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tables/table13.xml" ContentType="application/vnd.openxmlformats-officedocument.spreadsheetml.table+xml"/>
  <Override PartName="/xl/comments6.xml" ContentType="application/vnd.openxmlformats-officedocument.spreadsheetml.comments+xml"/>
  <Override PartName="/xl/tables/table14.xml" ContentType="application/vnd.openxmlformats-officedocument.spreadsheetml.table+xml"/>
  <Override PartName="/xl/comments7.xml" ContentType="application/vnd.openxmlformats-officedocument.spreadsheetml.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filterPrivacy="1" updateLinks="never" codeName="ThisWorkbook" autoCompressPictures="0"/>
  <xr:revisionPtr revIDLastSave="0" documentId="8_{BDD6BE86-16A4-C345-9578-1ED96FF8C10B}" xr6:coauthVersionLast="45" xr6:coauthVersionMax="45" xr10:uidLastSave="{00000000-0000-0000-0000-000000000000}"/>
  <bookViews>
    <workbookView xWindow="0" yWindow="460" windowWidth="28800" windowHeight="16980" tabRatio="812" activeTab="7" xr2:uid="{00000000-000D-0000-FFFF-FFFF00000000}"/>
  </bookViews>
  <sheets>
    <sheet name="Spill" sheetId="15" r:id="rId1"/>
    <sheet name="Regnskap" sheetId="3" r:id="rId2"/>
    <sheet name="Penger" sheetId="5" r:id="rId3"/>
    <sheet name="Li" sheetId="25" r:id="rId4"/>
    <sheet name="Aa" sheetId="28" r:id="rId5"/>
    <sheet name="BookieNavn" sheetId="2" r:id="rId6"/>
    <sheet name="Spinsports" sheetId="27" r:id="rId7"/>
    <sheet name="#Banken" sheetId="26" r:id="rId8"/>
    <sheet name="Stats" sheetId="21" r:id="rId9"/>
    <sheet name="Graf" sheetId="22" r:id="rId10"/>
    <sheet name="LES MEG" sheetId="11" state="hidden" r:id="rId11"/>
    <sheet name="Data" sheetId="14" r:id="rId12"/>
    <sheet name="LogBackBets" sheetId="13" state="hidden" r:id="rId13"/>
    <sheet name="TurnOver" sheetId="17" state="hidden" r:id="rId14"/>
  </sheets>
  <externalReferences>
    <externalReference r:id="rId15"/>
    <externalReference r:id="rId16"/>
  </externalReferences>
  <definedNames>
    <definedName name="ListAdjustmentType" localSheetId="8">OFFSET([1]BookieNavn!$M$2,0,0,COUNTA([1]BookieNavn!$M:$M),1)</definedName>
    <definedName name="ListAdjustmentType">OFFSET(BookieNavn!$M$2,0,0,COUNTA(BookieNavn!$M:$M),1)</definedName>
    <definedName name="ListBookies" localSheetId="8">OFFSET([1]BookieNavn!$H$40,0,0,COUNTA([1]BookieNavn!$H:$H),1)</definedName>
    <definedName name="ListBookies">OFFSET(BookieNavn!$H$2,0,0,COUNTA(BookieNavn!$H:$H),1)</definedName>
    <definedName name="ListBookies2" localSheetId="4">BookieName[Bookie]</definedName>
    <definedName name="ListBookies2">BookieName[Bookie]</definedName>
    <definedName name="ListDepWithType" localSheetId="8">OFFSET([1]BookieNavn!$K$2,0,0,COUNTA([1]BookieNavn!$K:$K),1)</definedName>
    <definedName name="ListDepWithType">OFFSET(BookieNavn!$K$2,0,0,COUNTA(BookieNavn!$K:$K),1)</definedName>
    <definedName name="ListSports" localSheetId="8">OFFSET([1]BookieNavn!$D$2,0,0,COUNTA([1]BookieNavn!$D:$D),1)</definedName>
    <definedName name="ListSports">OFFSET(BookieNavn!$D$2,0,0,COUNTA(BookieNavn!$D:$D),1)</definedName>
  </definedNames>
  <calcPr calcId="191028" calcMode="manual"/>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90" i="15" l="1"/>
  <c r="N690" i="15"/>
  <c r="C25" i="25" l="1"/>
  <c r="C25" i="28"/>
  <c r="P2" i="3" l="1"/>
  <c r="L13" i="3"/>
  <c r="L12" i="3"/>
  <c r="P9" i="3" l="1"/>
  <c r="P12" i="3"/>
  <c r="M641" i="15"/>
  <c r="Q641" i="15" s="1"/>
  <c r="N641" i="15"/>
  <c r="U641" i="15"/>
  <c r="M136" i="15" l="1"/>
  <c r="AF2" i="15" l="1"/>
  <c r="P5" i="3" l="1"/>
  <c r="C54" i="25" l="1"/>
  <c r="M537" i="15" l="1"/>
  <c r="M538" i="15"/>
  <c r="M539" i="15"/>
  <c r="R539" i="15" s="1"/>
  <c r="M540" i="15"/>
  <c r="Q540" i="15" s="1"/>
  <c r="M541" i="15"/>
  <c r="Q541" i="15" s="1"/>
  <c r="M542" i="15"/>
  <c r="Q542" i="15" s="1"/>
  <c r="Q539" i="15"/>
  <c r="S539" i="15"/>
  <c r="U539" i="15"/>
  <c r="U540" i="15"/>
  <c r="U541" i="15"/>
  <c r="U542" i="15"/>
  <c r="V542" i="15" l="1"/>
  <c r="T542" i="15" s="1"/>
  <c r="Y542" i="15" s="1"/>
  <c r="V539" i="15"/>
  <c r="T539" i="15" s="1"/>
  <c r="Y539" i="15" s="1"/>
  <c r="W539" i="15"/>
  <c r="X539" i="15"/>
  <c r="U536" i="15"/>
  <c r="U537" i="15"/>
  <c r="V538" i="15"/>
  <c r="M533" i="15"/>
  <c r="M534" i="15"/>
  <c r="M535" i="15"/>
  <c r="M536" i="15"/>
  <c r="Q536" i="15" s="1"/>
  <c r="Q537" i="15" l="1"/>
  <c r="U535" i="15"/>
  <c r="Q535" i="15"/>
  <c r="Q538" i="15"/>
  <c r="U534" i="15" l="1"/>
  <c r="Q534" i="15"/>
  <c r="U533" i="15" l="1"/>
  <c r="M532" i="15"/>
  <c r="Q533" i="15"/>
  <c r="U531" i="15"/>
  <c r="U532" i="15"/>
  <c r="L4" i="3" l="1"/>
  <c r="L5" i="3"/>
  <c r="L7" i="3"/>
  <c r="L8" i="3"/>
  <c r="L10" i="3"/>
  <c r="L9" i="3"/>
  <c r="L11" i="3"/>
  <c r="G27" i="25" l="1"/>
  <c r="E12" i="25"/>
  <c r="H2" i="3" l="1"/>
  <c r="L2" i="3"/>
  <c r="M427" i="15"/>
  <c r="Q427" i="15" s="1"/>
  <c r="N427" i="15"/>
  <c r="I17" i="3"/>
  <c r="E19" i="28"/>
  <c r="C19" i="28"/>
  <c r="E19" i="25"/>
  <c r="C19" i="25"/>
  <c r="K108" i="25" a="1"/>
  <c r="K108" i="25" s="1"/>
  <c r="K107" i="25" a="1"/>
  <c r="K107" i="25" s="1"/>
  <c r="K106" i="25" a="1"/>
  <c r="K106" i="25" s="1"/>
  <c r="K105" i="25" a="1"/>
  <c r="K105" i="25" s="1"/>
  <c r="K104" i="25" a="1"/>
  <c r="K104" i="25" s="1"/>
  <c r="K103" i="25" a="1"/>
  <c r="K103" i="25" s="1"/>
  <c r="K102" i="25" a="1"/>
  <c r="K102" i="25" s="1"/>
  <c r="K101" i="25" a="1"/>
  <c r="K101" i="25" s="1"/>
  <c r="K100" i="25" a="1"/>
  <c r="K100" i="25" s="1"/>
  <c r="K99" i="25" a="1"/>
  <c r="K99" i="25" s="1"/>
  <c r="K98" i="25" a="1"/>
  <c r="K98" i="25" s="1"/>
  <c r="K97" i="25" a="1"/>
  <c r="K97" i="25" s="1"/>
  <c r="K96" i="25" a="1"/>
  <c r="K96" i="25" s="1"/>
  <c r="K95" i="25" a="1"/>
  <c r="K95" i="25" s="1"/>
  <c r="K94" i="25" a="1"/>
  <c r="K94" i="25" s="1"/>
  <c r="K93" i="25" a="1"/>
  <c r="K93" i="25" s="1"/>
  <c r="K92" i="25" a="1"/>
  <c r="K92" i="25" s="1"/>
  <c r="K91" i="25" a="1"/>
  <c r="K91" i="25" s="1"/>
  <c r="K90" i="25" a="1"/>
  <c r="K90" i="25" s="1"/>
  <c r="K89" i="25" a="1"/>
  <c r="K89" i="25" s="1"/>
  <c r="K88" i="25" a="1"/>
  <c r="K88" i="25" s="1"/>
  <c r="K87" i="25" a="1"/>
  <c r="K87" i="25" s="1"/>
  <c r="K86" i="25" a="1"/>
  <c r="K86" i="25" s="1"/>
  <c r="K85" i="25" a="1"/>
  <c r="K85" i="25" s="1"/>
  <c r="K84" i="25" a="1"/>
  <c r="K84" i="25" s="1"/>
  <c r="K83" i="25" a="1"/>
  <c r="K83" i="25" s="1"/>
  <c r="K82" i="25" a="1"/>
  <c r="K82" i="25" s="1"/>
  <c r="K81" i="25" a="1"/>
  <c r="K81" i="25" s="1"/>
  <c r="K80" i="25" a="1"/>
  <c r="K80" i="25" s="1"/>
  <c r="K79" i="25" a="1"/>
  <c r="K79" i="25" s="1"/>
  <c r="K78" i="25" a="1"/>
  <c r="K78" i="25" s="1"/>
  <c r="K77" i="25" a="1"/>
  <c r="K77" i="25" s="1"/>
  <c r="K76" i="25" a="1"/>
  <c r="K76" i="25" s="1"/>
  <c r="K75" i="25" a="1"/>
  <c r="K75" i="25" s="1"/>
  <c r="K74" i="25" a="1"/>
  <c r="K74" i="25" s="1"/>
  <c r="K73" i="25" a="1"/>
  <c r="K73" i="25" s="1"/>
  <c r="C56" i="25"/>
  <c r="K72" i="25" a="1"/>
  <c r="K72" i="25" s="1"/>
  <c r="K71" i="25" a="1"/>
  <c r="K71" i="25" s="1"/>
  <c r="K70" i="25" a="1"/>
  <c r="K70" i="25" s="1"/>
  <c r="K69" i="25" a="1"/>
  <c r="K69" i="25" s="1"/>
  <c r="K68" i="25" a="1"/>
  <c r="K68" i="25" s="1"/>
  <c r="K67" i="25" a="1"/>
  <c r="K67" i="25" s="1"/>
  <c r="K66" i="25" a="1"/>
  <c r="K66" i="25" s="1"/>
  <c r="K65" i="25" a="1"/>
  <c r="K65" i="25" s="1"/>
  <c r="K64" i="25" a="1"/>
  <c r="K64" i="25" s="1"/>
  <c r="K63" i="25" a="1"/>
  <c r="K63" i="25" s="1"/>
  <c r="K62" i="25" a="1"/>
  <c r="K62" i="25" s="1"/>
  <c r="K61" i="25" a="1"/>
  <c r="K61" i="25" s="1"/>
  <c r="K60" i="25" a="1"/>
  <c r="K60" i="25" s="1"/>
  <c r="K59" i="25" a="1"/>
  <c r="K59" i="25" s="1"/>
  <c r="K58" i="25" a="1"/>
  <c r="K58" i="25" s="1"/>
  <c r="K57" i="25" a="1"/>
  <c r="K57" i="25" s="1"/>
  <c r="K56" i="25" a="1"/>
  <c r="K56" i="25" s="1"/>
  <c r="K55" i="25" a="1"/>
  <c r="K55" i="25" s="1"/>
  <c r="K54" i="25" a="1"/>
  <c r="K54" i="25" s="1"/>
  <c r="K53" i="25" a="1"/>
  <c r="K53" i="25" s="1"/>
  <c r="K52" i="25" a="1"/>
  <c r="K52" i="25" s="1"/>
  <c r="K51" i="25" a="1"/>
  <c r="K51" i="25" s="1"/>
  <c r="K50" i="25" a="1"/>
  <c r="K50" i="25" s="1"/>
  <c r="K49" i="25" a="1"/>
  <c r="K49" i="25" s="1"/>
  <c r="K48" i="25" a="1"/>
  <c r="K48" i="25" s="1"/>
  <c r="K47" i="25" a="1"/>
  <c r="K47" i="25" s="1"/>
  <c r="K46" i="25" a="1"/>
  <c r="K46" i="25" s="1"/>
  <c r="K45" i="25" a="1"/>
  <c r="K45" i="25" s="1"/>
  <c r="K44" i="25" a="1"/>
  <c r="K44" i="25" s="1"/>
  <c r="K43" i="25" a="1"/>
  <c r="K43" i="25" s="1"/>
  <c r="K42" i="25" a="1"/>
  <c r="K42" i="25" s="1"/>
  <c r="K41" i="25" a="1"/>
  <c r="K41" i="25" s="1"/>
  <c r="K40" i="25" a="1"/>
  <c r="K40" i="25" s="1"/>
  <c r="K39" i="25" a="1"/>
  <c r="K39" i="25" s="1"/>
  <c r="K38" i="25" a="1"/>
  <c r="K38" i="25" s="1"/>
  <c r="K37" i="25" a="1"/>
  <c r="K37" i="25" s="1"/>
  <c r="K36" i="25" a="1"/>
  <c r="K36" i="25" s="1"/>
  <c r="K35" i="25" a="1"/>
  <c r="K35" i="25" s="1"/>
  <c r="K34" i="25" a="1"/>
  <c r="K34" i="25" s="1"/>
  <c r="K33" i="25" a="1"/>
  <c r="K33" i="25" s="1"/>
  <c r="K32" i="25" a="1"/>
  <c r="K32" i="25" s="1"/>
  <c r="K31" i="25" a="1"/>
  <c r="K31" i="25" s="1"/>
  <c r="K30" i="25" a="1"/>
  <c r="K30" i="25" s="1"/>
  <c r="K29" i="25" a="1"/>
  <c r="K29" i="25" s="1"/>
  <c r="K28" i="25" a="1"/>
  <c r="K28" i="25" s="1"/>
  <c r="K27" i="25" a="1"/>
  <c r="K27" i="25" s="1"/>
  <c r="K26" i="25" a="1"/>
  <c r="K26" i="25" s="1"/>
  <c r="K25" i="25" a="1"/>
  <c r="K25" i="25" s="1"/>
  <c r="G25" i="25"/>
  <c r="K24" i="25" a="1"/>
  <c r="K24" i="25" s="1"/>
  <c r="K23" i="25" a="1"/>
  <c r="K23" i="25" s="1"/>
  <c r="K22" i="25" a="1"/>
  <c r="K22" i="25" s="1"/>
  <c r="K21" i="25" a="1"/>
  <c r="K21" i="25" s="1"/>
  <c r="K20" i="25" a="1"/>
  <c r="K20" i="25" s="1"/>
  <c r="K19" i="25" a="1"/>
  <c r="K19" i="25" s="1"/>
  <c r="K18" i="25" a="1"/>
  <c r="K18" i="25" s="1"/>
  <c r="K17" i="25" a="1"/>
  <c r="K17" i="25" s="1"/>
  <c r="K16" i="25" a="1"/>
  <c r="K16" i="25" s="1"/>
  <c r="K15" i="25" a="1"/>
  <c r="K15" i="25" s="1"/>
  <c r="K14" i="25" a="1"/>
  <c r="K14" i="25" s="1"/>
  <c r="K13" i="25" a="1"/>
  <c r="K13" i="25" s="1"/>
  <c r="K12" i="25" a="1"/>
  <c r="K12" i="25" s="1"/>
  <c r="K11" i="25" a="1"/>
  <c r="K11" i="25" s="1"/>
  <c r="K10" i="25" a="1"/>
  <c r="K10" i="25" s="1"/>
  <c r="K9" i="25" a="1"/>
  <c r="K9" i="25" s="1"/>
  <c r="K8" i="25" a="1"/>
  <c r="K8" i="25" s="1"/>
  <c r="K7" i="25" a="1"/>
  <c r="K7" i="25" s="1"/>
  <c r="F25" i="28"/>
  <c r="C55" i="25"/>
  <c r="AP17" i="27"/>
  <c r="Z13" i="27"/>
  <c r="Z14" i="27"/>
  <c r="Z15" i="27"/>
  <c r="Z16" i="27"/>
  <c r="Z17" i="27"/>
  <c r="Z18" i="27"/>
  <c r="Z19" i="27"/>
  <c r="Z20" i="27"/>
  <c r="Z21" i="27"/>
  <c r="Z22" i="27"/>
  <c r="Z23" i="27"/>
  <c r="Z24" i="27"/>
  <c r="Z25" i="27"/>
  <c r="Z26" i="27"/>
  <c r="Z27" i="27"/>
  <c r="Z28" i="27"/>
  <c r="Z29" i="27"/>
  <c r="Z30" i="27"/>
  <c r="Z31" i="27"/>
  <c r="Z32" i="27"/>
  <c r="Z33" i="27"/>
  <c r="Z34" i="27"/>
  <c r="Z35" i="27"/>
  <c r="Z36" i="27"/>
  <c r="Z37" i="27"/>
  <c r="Z38" i="27"/>
  <c r="Z39" i="27"/>
  <c r="Z40" i="27"/>
  <c r="Z41" i="27"/>
  <c r="Z42" i="27"/>
  <c r="Z43" i="27"/>
  <c r="Z44" i="27"/>
  <c r="Z45" i="27"/>
  <c r="Z46" i="27"/>
  <c r="Z47" i="27"/>
  <c r="Z48" i="27"/>
  <c r="Z49" i="27"/>
  <c r="Z12" i="27"/>
  <c r="AM15" i="27"/>
  <c r="Q16" i="27" s="1"/>
  <c r="AM11" i="27"/>
  <c r="AM12" i="27"/>
  <c r="AA12" i="27"/>
  <c r="AA13" i="27"/>
  <c r="AA14" i="27"/>
  <c r="AA15" i="27"/>
  <c r="K108" i="28" a="1"/>
  <c r="K108" i="28" s="1"/>
  <c r="K107" i="28" a="1"/>
  <c r="K107" i="28" s="1"/>
  <c r="K106" i="28" a="1"/>
  <c r="K106" i="28" s="1"/>
  <c r="K105" i="28" a="1"/>
  <c r="K105" i="28" s="1"/>
  <c r="K104" i="28" a="1"/>
  <c r="K104" i="28" s="1"/>
  <c r="K103" i="28" a="1"/>
  <c r="K103" i="28" s="1"/>
  <c r="K102" i="28" a="1"/>
  <c r="K102" i="28" s="1"/>
  <c r="K101" i="28" a="1"/>
  <c r="K101" i="28" s="1"/>
  <c r="K100" i="28" a="1"/>
  <c r="K100" i="28" s="1"/>
  <c r="K99" i="28" a="1"/>
  <c r="K99" i="28" s="1"/>
  <c r="K98" i="28" a="1"/>
  <c r="K98" i="28" s="1"/>
  <c r="K97" i="28" a="1"/>
  <c r="K97" i="28" s="1"/>
  <c r="K96" i="28" a="1"/>
  <c r="K96" i="28" s="1"/>
  <c r="K95" i="28" a="1"/>
  <c r="K95" i="28" s="1"/>
  <c r="K94" i="28" a="1"/>
  <c r="K94" i="28" s="1"/>
  <c r="K93" i="28" a="1"/>
  <c r="K93" i="28" s="1"/>
  <c r="K92" i="28" a="1"/>
  <c r="K92" i="28" s="1"/>
  <c r="K91" i="28" a="1"/>
  <c r="K91" i="28" s="1"/>
  <c r="K90" i="28" a="1"/>
  <c r="K90" i="28" s="1"/>
  <c r="K89" i="28" a="1"/>
  <c r="K89" i="28" s="1"/>
  <c r="K88" i="28" a="1"/>
  <c r="K88" i="28" s="1"/>
  <c r="K87" i="28" a="1"/>
  <c r="K87" i="28" s="1"/>
  <c r="K86" i="28" a="1"/>
  <c r="K86" i="28" s="1"/>
  <c r="K85" i="28" a="1"/>
  <c r="K85" i="28" s="1"/>
  <c r="K84" i="28" a="1"/>
  <c r="K84" i="28" s="1"/>
  <c r="K83" i="28" a="1"/>
  <c r="K83" i="28" s="1"/>
  <c r="K82" i="28" a="1"/>
  <c r="K82" i="28" s="1"/>
  <c r="K81" i="28" a="1"/>
  <c r="K81" i="28" s="1"/>
  <c r="K80" i="28" a="1"/>
  <c r="K80" i="28" s="1"/>
  <c r="K79" i="28" a="1"/>
  <c r="K79" i="28" s="1"/>
  <c r="K78" i="28" a="1"/>
  <c r="K78" i="28" s="1"/>
  <c r="K77" i="28" a="1"/>
  <c r="K77" i="28" s="1"/>
  <c r="K76" i="28" a="1"/>
  <c r="K76" i="28" s="1"/>
  <c r="K75" i="28" a="1"/>
  <c r="K75" i="28" s="1"/>
  <c r="K74" i="28" a="1"/>
  <c r="K74" i="28" s="1"/>
  <c r="K73" i="28" a="1"/>
  <c r="K73" i="28" s="1"/>
  <c r="K72" i="28" a="1"/>
  <c r="K72" i="28" s="1"/>
  <c r="K71" i="28" a="1"/>
  <c r="K71" i="28" s="1"/>
  <c r="K70" i="28" a="1"/>
  <c r="K70" i="28" s="1"/>
  <c r="K69" i="28" a="1"/>
  <c r="K69" i="28" s="1"/>
  <c r="K68" i="28" a="1"/>
  <c r="K68" i="28" s="1"/>
  <c r="K67" i="28" a="1"/>
  <c r="K67" i="28" s="1"/>
  <c r="K66" i="28" a="1"/>
  <c r="K66" i="28" s="1"/>
  <c r="K65" i="28" a="1"/>
  <c r="K65" i="28" s="1"/>
  <c r="K64" i="28" a="1"/>
  <c r="K64" i="28" s="1"/>
  <c r="K63" i="28" a="1"/>
  <c r="K63" i="28" s="1"/>
  <c r="K62" i="28" a="1"/>
  <c r="K62" i="28" s="1"/>
  <c r="K61" i="28" a="1"/>
  <c r="K61" i="28" s="1"/>
  <c r="K60" i="28" a="1"/>
  <c r="K60" i="28" s="1"/>
  <c r="K59" i="28" a="1"/>
  <c r="K59" i="28" s="1"/>
  <c r="K58" i="28" a="1"/>
  <c r="K58" i="28" s="1"/>
  <c r="K57" i="28" a="1"/>
  <c r="K57" i="28" s="1"/>
  <c r="K56" i="28" a="1"/>
  <c r="K56" i="28" s="1"/>
  <c r="K55" i="28" a="1"/>
  <c r="K55" i="28" s="1"/>
  <c r="K54" i="28" a="1"/>
  <c r="K54" i="28" s="1"/>
  <c r="K53" i="28" a="1"/>
  <c r="K53" i="28" s="1"/>
  <c r="K52" i="28" a="1"/>
  <c r="K52" i="28" s="1"/>
  <c r="K51" i="28" a="1"/>
  <c r="K51" i="28" s="1"/>
  <c r="K50" i="28" a="1"/>
  <c r="K50" i="28" s="1"/>
  <c r="K49" i="28" a="1"/>
  <c r="K49" i="28" s="1"/>
  <c r="K48" i="28" a="1"/>
  <c r="K48" i="28" s="1"/>
  <c r="K47" i="28" a="1"/>
  <c r="K47" i="28" s="1"/>
  <c r="K46" i="28" a="1"/>
  <c r="K46" i="28" s="1"/>
  <c r="K45" i="28" a="1"/>
  <c r="K45" i="28" s="1"/>
  <c r="U45" i="28" s="1"/>
  <c r="C73" i="28"/>
  <c r="C74" i="28"/>
  <c r="K44" i="28" a="1"/>
  <c r="K44" i="28" s="1"/>
  <c r="K43" i="28" a="1"/>
  <c r="K43" i="28" s="1"/>
  <c r="K42" i="28" a="1"/>
  <c r="K42" i="28" s="1"/>
  <c r="K41" i="28" a="1"/>
  <c r="K41" i="28" s="1"/>
  <c r="K40" i="28" a="1"/>
  <c r="K40" i="28" s="1"/>
  <c r="K39" i="28" a="1"/>
  <c r="K39" i="28" s="1"/>
  <c r="K38" i="28" a="1"/>
  <c r="K38" i="28" s="1"/>
  <c r="K37" i="28" a="1"/>
  <c r="K37" i="28" s="1"/>
  <c r="K36" i="28" a="1"/>
  <c r="K36" i="28" s="1"/>
  <c r="K35" i="28" a="1"/>
  <c r="K35" i="28" s="1"/>
  <c r="K34" i="28" a="1"/>
  <c r="K34" i="28" s="1"/>
  <c r="V34" i="28" s="1"/>
  <c r="K33" i="28" a="1"/>
  <c r="K33" i="28" s="1"/>
  <c r="K32" i="28" a="1"/>
  <c r="K32" i="28" s="1"/>
  <c r="K31" i="28" a="1"/>
  <c r="K31" i="28" s="1"/>
  <c r="K30" i="28" a="1"/>
  <c r="K30" i="28" s="1"/>
  <c r="K29" i="28" a="1"/>
  <c r="K29" i="28" s="1"/>
  <c r="K28" i="28" a="1"/>
  <c r="K28" i="28" s="1"/>
  <c r="K27" i="28" a="1"/>
  <c r="K27" i="28" s="1"/>
  <c r="K26" i="28" a="1"/>
  <c r="K26" i="28" s="1"/>
  <c r="K25" i="28" a="1"/>
  <c r="K25" i="28" s="1"/>
  <c r="K24" i="28" a="1"/>
  <c r="K24" i="28" s="1"/>
  <c r="K23" i="28" a="1"/>
  <c r="K23" i="28" s="1"/>
  <c r="K22" i="28" a="1"/>
  <c r="K22" i="28" s="1"/>
  <c r="K21" i="28" a="1"/>
  <c r="K21" i="28" s="1"/>
  <c r="K20" i="28" a="1"/>
  <c r="K20" i="28" s="1"/>
  <c r="K19" i="28" a="1"/>
  <c r="K19" i="28" s="1"/>
  <c r="K18" i="28" a="1"/>
  <c r="K18" i="28" s="1"/>
  <c r="K17" i="28" a="1"/>
  <c r="K17" i="28" s="1"/>
  <c r="L17" i="28" s="1"/>
  <c r="K16" i="28" a="1"/>
  <c r="K16" i="28" s="1"/>
  <c r="K15" i="28" a="1"/>
  <c r="K15" i="28" s="1"/>
  <c r="K14" i="28" a="1"/>
  <c r="K14" i="28" s="1"/>
  <c r="K13" i="28" a="1"/>
  <c r="K13" i="28" s="1"/>
  <c r="K12" i="28" a="1"/>
  <c r="K12" i="28" s="1"/>
  <c r="K11" i="28" a="1"/>
  <c r="K11" i="28" s="1"/>
  <c r="K10" i="28" a="1"/>
  <c r="K10" i="28" s="1"/>
  <c r="K9" i="28" a="1"/>
  <c r="K9" i="28" s="1"/>
  <c r="K8" i="28" a="1"/>
  <c r="K8" i="28" s="1"/>
  <c r="K7" i="28" a="1"/>
  <c r="K7" i="28" s="1"/>
  <c r="AA16" i="27"/>
  <c r="C75" i="28"/>
  <c r="AA17" i="27"/>
  <c r="AA18" i="27"/>
  <c r="P3" i="3"/>
  <c r="AA19" i="27"/>
  <c r="H40" i="27"/>
  <c r="H41" i="27"/>
  <c r="H42"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AA47" i="27"/>
  <c r="AA48" i="27"/>
  <c r="AA49" i="27"/>
  <c r="H38" i="27"/>
  <c r="N3" i="3"/>
  <c r="L3" i="3" s="1"/>
  <c r="Q6" i="3"/>
  <c r="Q14" i="3" s="1"/>
  <c r="N6" i="3"/>
  <c r="L6" i="3" s="1"/>
  <c r="Q12" i="27"/>
  <c r="Q13" i="27"/>
  <c r="H13" i="27"/>
  <c r="H14" i="27"/>
  <c r="H15" i="27"/>
  <c r="H16" i="27"/>
  <c r="H17" i="27"/>
  <c r="H18" i="27"/>
  <c r="H19" i="27"/>
  <c r="H20" i="27"/>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G116" i="2"/>
  <c r="G117" i="2"/>
  <c r="G118" i="2"/>
  <c r="G119" i="2"/>
  <c r="G120" i="2"/>
  <c r="G121" i="2"/>
  <c r="G122" i="2"/>
  <c r="G123" i="2"/>
  <c r="G124" i="2"/>
  <c r="G125" i="2"/>
  <c r="G126" i="2"/>
  <c r="G127" i="2"/>
  <c r="G128" i="2"/>
  <c r="G129" i="2"/>
  <c r="G130" i="2"/>
  <c r="G131" i="2"/>
  <c r="G132" i="2"/>
  <c r="G133" i="2"/>
  <c r="C29" i="22"/>
  <c r="C31" i="22"/>
  <c r="C34" i="22"/>
  <c r="C43" i="22"/>
  <c r="C54" i="22"/>
  <c r="C55" i="22"/>
  <c r="C56" i="22"/>
  <c r="C74" i="22"/>
  <c r="C75" i="22"/>
  <c r="C76" i="22"/>
  <c r="C77" i="22"/>
  <c r="C78" i="22"/>
  <c r="C79" i="22"/>
  <c r="C81" i="22"/>
  <c r="C82" i="22"/>
  <c r="C83" i="22"/>
  <c r="C84" i="22"/>
  <c r="C85" i="22"/>
  <c r="C86" i="22"/>
  <c r="C88" i="22"/>
  <c r="C89" i="22"/>
  <c r="C90" i="22"/>
  <c r="C91" i="22"/>
  <c r="C92" i="22"/>
  <c r="C93" i="22"/>
  <c r="C95" i="22"/>
  <c r="C97" i="22"/>
  <c r="C98" i="22"/>
  <c r="C99" i="22"/>
  <c r="C100" i="22"/>
  <c r="C101" i="22"/>
  <c r="C102" i="22"/>
  <c r="C103" i="22"/>
  <c r="C104" i="22"/>
  <c r="C105" i="22"/>
  <c r="C106" i="22"/>
  <c r="C107" i="22"/>
  <c r="C108" i="22"/>
  <c r="C109" i="22"/>
  <c r="C110" i="22"/>
  <c r="C111" i="22"/>
  <c r="C112" i="22"/>
  <c r="C113" i="22"/>
  <c r="C114" i="22"/>
  <c r="C115" i="22"/>
  <c r="C116" i="22"/>
  <c r="C117" i="22"/>
  <c r="C118" i="22"/>
  <c r="C119" i="22"/>
  <c r="C120" i="22"/>
  <c r="C121" i="22"/>
  <c r="C122" i="22"/>
  <c r="C123" i="22"/>
  <c r="C124" i="22"/>
  <c r="C125" i="22"/>
  <c r="C126" i="22"/>
  <c r="C127" i="22"/>
  <c r="C128" i="22"/>
  <c r="C130" i="22"/>
  <c r="C131" i="22"/>
  <c r="C133" i="22"/>
  <c r="C137" i="22"/>
  <c r="C139" i="22"/>
  <c r="C141" i="22"/>
  <c r="C142" i="22"/>
  <c r="C143" i="22"/>
  <c r="C144" i="22"/>
  <c r="C145" i="22"/>
  <c r="C147" i="22"/>
  <c r="C150" i="22"/>
  <c r="C152" i="22"/>
  <c r="C154" i="22"/>
  <c r="C156" i="22"/>
  <c r="C157" i="22"/>
  <c r="C158" i="22"/>
  <c r="C159" i="22"/>
  <c r="C164" i="22"/>
  <c r="C165" i="22"/>
  <c r="C167" i="22"/>
  <c r="C168" i="22"/>
  <c r="C187" i="22"/>
  <c r="C188" i="22"/>
  <c r="C198" i="22"/>
  <c r="C201" i="22"/>
  <c r="C230" i="22"/>
  <c r="C231" i="22"/>
  <c r="C245" i="22"/>
  <c r="C246" i="22"/>
  <c r="C254" i="22"/>
  <c r="C255" i="22"/>
  <c r="C259" i="22"/>
  <c r="C261" i="22"/>
  <c r="C265" i="22"/>
  <c r="C268" i="22"/>
  <c r="C270" i="22"/>
  <c r="C271" i="22"/>
  <c r="C272" i="22"/>
  <c r="C273" i="22"/>
  <c r="C276" i="22"/>
  <c r="C278" i="22"/>
  <c r="C279" i="22"/>
  <c r="C280" i="22"/>
  <c r="C281" i="22"/>
  <c r="C282" i="22"/>
  <c r="C283" i="22"/>
  <c r="C284" i="22"/>
  <c r="C285" i="22"/>
  <c r="C286" i="22"/>
  <c r="C287" i="22"/>
  <c r="C288" i="22"/>
  <c r="C289" i="22"/>
  <c r="C290" i="22"/>
  <c r="C291" i="22"/>
  <c r="C292" i="22"/>
  <c r="C293" i="22"/>
  <c r="C294" i="22"/>
  <c r="C295" i="22"/>
  <c r="C296" i="22"/>
  <c r="C297" i="22"/>
  <c r="C298" i="22"/>
  <c r="C299" i="22"/>
  <c r="C300" i="22"/>
  <c r="C301" i="22"/>
  <c r="C302" i="22"/>
  <c r="C303" i="22"/>
  <c r="C304" i="22"/>
  <c r="C305" i="22"/>
  <c r="C306" i="22"/>
  <c r="C307" i="22"/>
  <c r="C308" i="22"/>
  <c r="C309" i="22"/>
  <c r="C310" i="22"/>
  <c r="C311" i="22"/>
  <c r="C312" i="22"/>
  <c r="C313" i="22"/>
  <c r="C314" i="22"/>
  <c r="C315" i="22"/>
  <c r="C316" i="22"/>
  <c r="C317" i="22"/>
  <c r="C318" i="22"/>
  <c r="C319" i="22"/>
  <c r="C320" i="22"/>
  <c r="C321" i="22"/>
  <c r="C322" i="22"/>
  <c r="C323" i="22"/>
  <c r="C324" i="22"/>
  <c r="C325" i="22"/>
  <c r="C326" i="22"/>
  <c r="C327" i="22"/>
  <c r="C328" i="22"/>
  <c r="C329" i="22"/>
  <c r="C330" i="22"/>
  <c r="C331" i="22"/>
  <c r="C332" i="22"/>
  <c r="C333" i="22"/>
  <c r="C334" i="22"/>
  <c r="C335" i="22"/>
  <c r="C336" i="22"/>
  <c r="C337" i="22"/>
  <c r="C338" i="22"/>
  <c r="C339" i="22"/>
  <c r="C340" i="22"/>
  <c r="C341" i="22"/>
  <c r="C342" i="22"/>
  <c r="C343" i="22"/>
  <c r="C344" i="22"/>
  <c r="C345" i="22"/>
  <c r="C346" i="22"/>
  <c r="C347" i="22"/>
  <c r="C348" i="22"/>
  <c r="C349" i="22"/>
  <c r="C350" i="22"/>
  <c r="C351" i="22"/>
  <c r="C352" i="22"/>
  <c r="C353" i="22"/>
  <c r="C354" i="22"/>
  <c r="C355" i="22"/>
  <c r="C356" i="22"/>
  <c r="C357" i="22"/>
  <c r="C358" i="22"/>
  <c r="C359" i="22"/>
  <c r="C360" i="22"/>
  <c r="C361" i="22"/>
  <c r="C362" i="22"/>
  <c r="C363" i="22"/>
  <c r="C364" i="22"/>
  <c r="C365" i="22"/>
  <c r="C366" i="22"/>
  <c r="C367" i="22"/>
  <c r="A121" i="14"/>
  <c r="A122" i="14"/>
  <c r="A123" i="14"/>
  <c r="A124" i="14"/>
  <c r="A125" i="14"/>
  <c r="A126" i="14"/>
  <c r="A127" i="14"/>
  <c r="A128" i="14"/>
  <c r="A111" i="14"/>
  <c r="A112" i="14"/>
  <c r="A113" i="14"/>
  <c r="A114" i="14"/>
  <c r="A115" i="14"/>
  <c r="A116" i="14"/>
  <c r="A117" i="14"/>
  <c r="A118" i="14"/>
  <c r="A119" i="14"/>
  <c r="A120" i="14"/>
  <c r="A108" i="14"/>
  <c r="A109" i="14"/>
  <c r="A110" i="14"/>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M2147" i="15"/>
  <c r="Q2147" i="15"/>
  <c r="N2147" i="15"/>
  <c r="S2147" i="15"/>
  <c r="B326" i="22"/>
  <c r="B327" i="22"/>
  <c r="B322" i="22"/>
  <c r="B323" i="22"/>
  <c r="B324" i="22"/>
  <c r="B325" i="22"/>
  <c r="B311" i="22"/>
  <c r="B312" i="22"/>
  <c r="B313" i="22"/>
  <c r="B314" i="22"/>
  <c r="B315" i="22"/>
  <c r="B316" i="22"/>
  <c r="B317" i="22"/>
  <c r="B318" i="22"/>
  <c r="B319" i="22"/>
  <c r="B320" i="22"/>
  <c r="B321" i="22"/>
  <c r="A107" i="21"/>
  <c r="A108" i="21"/>
  <c r="A109" i="21"/>
  <c r="H109" i="21" s="1"/>
  <c r="A110" i="21"/>
  <c r="H110" i="21" s="1"/>
  <c r="A111" i="21"/>
  <c r="I111" i="21" s="1"/>
  <c r="A112" i="21"/>
  <c r="A113" i="21"/>
  <c r="M1715" i="15"/>
  <c r="G100" i="2"/>
  <c r="G99" i="2"/>
  <c r="M1654" i="15"/>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239" i="22"/>
  <c r="B240" i="22"/>
  <c r="B241" i="22"/>
  <c r="B242" i="22"/>
  <c r="B243" i="22"/>
  <c r="B244" i="22"/>
  <c r="B245" i="22"/>
  <c r="B246" i="22"/>
  <c r="A104" i="14"/>
  <c r="A105" i="14"/>
  <c r="A106" i="14"/>
  <c r="A107" i="14"/>
  <c r="A96" i="14"/>
  <c r="A97" i="14"/>
  <c r="A98" i="14"/>
  <c r="A99" i="14"/>
  <c r="A100" i="14"/>
  <c r="A101" i="14"/>
  <c r="A102" i="14"/>
  <c r="A103" i="14"/>
  <c r="M1133" i="15"/>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04" i="22"/>
  <c r="AB57" i="13"/>
  <c r="S56" i="13"/>
  <c r="Z57" i="13"/>
  <c r="AG57" i="13"/>
  <c r="S58" i="13"/>
  <c r="W58" i="13"/>
  <c r="Z58" i="13"/>
  <c r="AG58" i="13"/>
  <c r="AA58" i="13"/>
  <c r="AB58" i="13"/>
  <c r="V58" i="13"/>
  <c r="AE58" i="13"/>
  <c r="AH58" i="13"/>
  <c r="AI58" i="13"/>
  <c r="W57" i="13"/>
  <c r="AA57" i="13"/>
  <c r="AH57" i="13"/>
  <c r="AI57" i="13"/>
  <c r="W56" i="13"/>
  <c r="Z56" i="13"/>
  <c r="AG56" i="13"/>
  <c r="AA56" i="13"/>
  <c r="AH56" i="13"/>
  <c r="AI56" i="13"/>
  <c r="S55" i="13"/>
  <c r="W55" i="13"/>
  <c r="Z55" i="13"/>
  <c r="AA55" i="13"/>
  <c r="AB55" i="13"/>
  <c r="AG55" i="13"/>
  <c r="AH55" i="13"/>
  <c r="S48" i="13"/>
  <c r="W48" i="13"/>
  <c r="Z48" i="13"/>
  <c r="AA48" i="13"/>
  <c r="AB48" i="13"/>
  <c r="AI48" i="13"/>
  <c r="AG48" i="13"/>
  <c r="AH48" i="13"/>
  <c r="S49" i="13"/>
  <c r="W49" i="13"/>
  <c r="Z49" i="13"/>
  <c r="AA49" i="13"/>
  <c r="AB49" i="13"/>
  <c r="AH49" i="13"/>
  <c r="AI49" i="13"/>
  <c r="S50" i="13"/>
  <c r="V50" i="13"/>
  <c r="W50" i="13"/>
  <c r="Z50" i="13"/>
  <c r="AG50" i="13"/>
  <c r="AA50" i="13"/>
  <c r="AB50" i="13"/>
  <c r="AH50" i="13"/>
  <c r="AI50" i="13"/>
  <c r="S51" i="13"/>
  <c r="V51" i="13"/>
  <c r="W51" i="13"/>
  <c r="Z51" i="13"/>
  <c r="AA51" i="13"/>
  <c r="AB51" i="13"/>
  <c r="AG51" i="13"/>
  <c r="AI51" i="13"/>
  <c r="S52" i="13"/>
  <c r="W52" i="13"/>
  <c r="Z52" i="13"/>
  <c r="AA52" i="13"/>
  <c r="AB52" i="13"/>
  <c r="AI52" i="13"/>
  <c r="AG52" i="13"/>
  <c r="AH52" i="13"/>
  <c r="S53" i="13"/>
  <c r="V53" i="13"/>
  <c r="W53" i="13"/>
  <c r="Z53" i="13"/>
  <c r="AG53" i="13"/>
  <c r="AA53" i="13"/>
  <c r="AB53" i="13"/>
  <c r="AH53" i="13"/>
  <c r="AI53" i="13"/>
  <c r="S54" i="13"/>
  <c r="V54" i="13"/>
  <c r="W54" i="13"/>
  <c r="Z54" i="13"/>
  <c r="AG54" i="13"/>
  <c r="AA54" i="13"/>
  <c r="AB54" i="13"/>
  <c r="AH54" i="13"/>
  <c r="AI54" i="13"/>
  <c r="AB44" i="13"/>
  <c r="AB43" i="13"/>
  <c r="S44" i="13"/>
  <c r="AA43" i="13"/>
  <c r="S42" i="13"/>
  <c r="W42" i="13"/>
  <c r="Z42" i="13"/>
  <c r="AA42" i="13"/>
  <c r="AB42" i="13"/>
  <c r="AI42" i="13"/>
  <c r="AG42" i="13"/>
  <c r="AH42" i="13"/>
  <c r="W43" i="13"/>
  <c r="Z43" i="13"/>
  <c r="AG43" i="13"/>
  <c r="AH43" i="13"/>
  <c r="AI43" i="13"/>
  <c r="W44" i="13"/>
  <c r="Z44" i="13"/>
  <c r="AG44" i="13"/>
  <c r="AH44" i="13"/>
  <c r="AI44" i="13"/>
  <c r="S41" i="13"/>
  <c r="W41" i="13"/>
  <c r="Z41" i="13"/>
  <c r="AG41" i="13"/>
  <c r="AA41" i="13"/>
  <c r="AB41" i="13"/>
  <c r="AH41" i="13"/>
  <c r="AI41" i="13"/>
  <c r="S45" i="13"/>
  <c r="W45" i="13"/>
  <c r="Z45" i="13"/>
  <c r="AG45" i="13"/>
  <c r="AA45" i="13"/>
  <c r="AB45" i="13"/>
  <c r="AH45" i="13"/>
  <c r="AI45" i="13"/>
  <c r="S46" i="13"/>
  <c r="W46" i="13"/>
  <c r="Z46" i="13"/>
  <c r="AA46" i="13"/>
  <c r="AH46" i="13"/>
  <c r="AB46" i="13"/>
  <c r="AG46" i="13"/>
  <c r="AI46" i="13"/>
  <c r="S47" i="13"/>
  <c r="W47" i="13"/>
  <c r="Z47" i="13"/>
  <c r="AG47" i="13"/>
  <c r="AA47" i="13"/>
  <c r="AB47" i="13"/>
  <c r="AH47" i="13"/>
  <c r="AI47" i="13"/>
  <c r="S39" i="13"/>
  <c r="V39" i="13"/>
  <c r="W39" i="13"/>
  <c r="Z39" i="13"/>
  <c r="AA39" i="13"/>
  <c r="AB39" i="13"/>
  <c r="AH39" i="13"/>
  <c r="AI39" i="13"/>
  <c r="S38" i="13"/>
  <c r="W38" i="13"/>
  <c r="Z38" i="13"/>
  <c r="AA38" i="13"/>
  <c r="AB38" i="13"/>
  <c r="AI38" i="13"/>
  <c r="AG38" i="13"/>
  <c r="AH38" i="13"/>
  <c r="S40" i="13"/>
  <c r="W40" i="13"/>
  <c r="Z40" i="13"/>
  <c r="AG40" i="13"/>
  <c r="AA40" i="13"/>
  <c r="AB40" i="13"/>
  <c r="AH40" i="13"/>
  <c r="AI40" i="13"/>
  <c r="S37" i="13"/>
  <c r="W37" i="13"/>
  <c r="Z37" i="13"/>
  <c r="AA37" i="13"/>
  <c r="AB37" i="13"/>
  <c r="AG37" i="13"/>
  <c r="AH37" i="13"/>
  <c r="S34" i="13"/>
  <c r="W34" i="13"/>
  <c r="Z34" i="13"/>
  <c r="AG34" i="13"/>
  <c r="AA34" i="13"/>
  <c r="AB34" i="13"/>
  <c r="AH34" i="13"/>
  <c r="AI34" i="13"/>
  <c r="S35" i="13"/>
  <c r="W35" i="13"/>
  <c r="Z35" i="13"/>
  <c r="AG35" i="13"/>
  <c r="AA35" i="13"/>
  <c r="AB35" i="13"/>
  <c r="AH35" i="13"/>
  <c r="AI35" i="13"/>
  <c r="S36" i="13"/>
  <c r="W36" i="13"/>
  <c r="Z36" i="13"/>
  <c r="AG36" i="13"/>
  <c r="AA36" i="13"/>
  <c r="AB36" i="13"/>
  <c r="AH36" i="13"/>
  <c r="AI36" i="13"/>
  <c r="S59" i="13"/>
  <c r="U59" i="13"/>
  <c r="V59" i="13"/>
  <c r="W59" i="13"/>
  <c r="Z59" i="13"/>
  <c r="AA59" i="13"/>
  <c r="AB59" i="13"/>
  <c r="AD59" i="13"/>
  <c r="AH59" i="13"/>
  <c r="AI59" i="13"/>
  <c r="S32" i="13"/>
  <c r="W32" i="13"/>
  <c r="Z32" i="13"/>
  <c r="AA32" i="13"/>
  <c r="AB32" i="13"/>
  <c r="AH32" i="13"/>
  <c r="AI32" i="13"/>
  <c r="S31" i="13"/>
  <c r="W31" i="13"/>
  <c r="Z31" i="13"/>
  <c r="AG31" i="13"/>
  <c r="AA31" i="13"/>
  <c r="AB31" i="13"/>
  <c r="AH31" i="13"/>
  <c r="AI31" i="13"/>
  <c r="S30" i="13"/>
  <c r="W30" i="13"/>
  <c r="Z30" i="13"/>
  <c r="AA30" i="13"/>
  <c r="AB30" i="13"/>
  <c r="AG30" i="13"/>
  <c r="AH30" i="13"/>
  <c r="S29" i="13"/>
  <c r="V29" i="13"/>
  <c r="W29" i="13"/>
  <c r="Z29" i="13"/>
  <c r="AA29" i="13"/>
  <c r="AH29" i="13"/>
  <c r="AB29" i="13"/>
  <c r="AG29" i="13"/>
  <c r="AI29" i="13"/>
  <c r="S33" i="13"/>
  <c r="W33" i="13"/>
  <c r="Z33" i="13"/>
  <c r="AA33" i="13"/>
  <c r="AB33" i="13"/>
  <c r="AG33" i="13"/>
  <c r="AI33" i="13"/>
  <c r="S28" i="13"/>
  <c r="W28" i="13"/>
  <c r="Z28" i="13"/>
  <c r="AG28" i="13"/>
  <c r="AA28" i="13"/>
  <c r="AB28" i="13"/>
  <c r="AH28" i="13"/>
  <c r="AI28" i="13"/>
  <c r="S27" i="13"/>
  <c r="V27" i="13"/>
  <c r="W27" i="13"/>
  <c r="Z27" i="13"/>
  <c r="AA27" i="13"/>
  <c r="AB27" i="13"/>
  <c r="AG27" i="13"/>
  <c r="AI27" i="13"/>
  <c r="S26" i="13"/>
  <c r="W26" i="13"/>
  <c r="Z26" i="13"/>
  <c r="AG26" i="13"/>
  <c r="AA26" i="13"/>
  <c r="AB26" i="13"/>
  <c r="AH26" i="13"/>
  <c r="AI26" i="13"/>
  <c r="S14" i="13"/>
  <c r="S2" i="13"/>
  <c r="W2" i="13"/>
  <c r="Z2" i="13"/>
  <c r="AG2" i="13"/>
  <c r="AA2" i="13"/>
  <c r="AH2" i="13"/>
  <c r="AB2" i="13"/>
  <c r="AI2" i="13"/>
  <c r="S3" i="13"/>
  <c r="W3" i="13"/>
  <c r="Z3" i="13"/>
  <c r="AG3" i="13"/>
  <c r="AA3" i="13"/>
  <c r="AB3" i="13"/>
  <c r="AI3" i="13"/>
  <c r="AH3" i="13"/>
  <c r="S4" i="13"/>
  <c r="W4" i="13"/>
  <c r="Z4" i="13"/>
  <c r="AG4" i="13"/>
  <c r="AA4" i="13"/>
  <c r="AB4" i="13"/>
  <c r="AH4" i="13"/>
  <c r="AI4" i="13"/>
  <c r="S5" i="13"/>
  <c r="W5" i="13"/>
  <c r="Z5" i="13"/>
  <c r="AG5" i="13"/>
  <c r="AA5" i="13"/>
  <c r="AB5" i="13"/>
  <c r="AH5" i="13"/>
  <c r="AI5" i="13"/>
  <c r="S6" i="13"/>
  <c r="W6" i="13"/>
  <c r="Z6" i="13"/>
  <c r="AA6" i="13"/>
  <c r="AB6" i="13"/>
  <c r="AI6" i="13"/>
  <c r="AG6" i="13"/>
  <c r="AH6" i="13"/>
  <c r="S7" i="13"/>
  <c r="W7" i="13"/>
  <c r="Z7" i="13"/>
  <c r="AG7" i="13"/>
  <c r="AA7" i="13"/>
  <c r="AB7" i="13"/>
  <c r="AH7" i="13"/>
  <c r="AI7" i="13"/>
  <c r="S8" i="13"/>
  <c r="W8" i="13"/>
  <c r="Z8" i="13"/>
  <c r="AG8" i="13"/>
  <c r="AA8" i="13"/>
  <c r="AB8" i="13"/>
  <c r="AH8" i="13"/>
  <c r="AI8" i="13"/>
  <c r="S9" i="13"/>
  <c r="W9" i="13"/>
  <c r="Z9" i="13"/>
  <c r="AA9" i="13"/>
  <c r="AH9" i="13"/>
  <c r="AB9" i="13"/>
  <c r="AG9" i="13"/>
  <c r="AI9" i="13"/>
  <c r="S25" i="13"/>
  <c r="W25" i="13"/>
  <c r="Z25" i="13"/>
  <c r="AA25" i="13"/>
  <c r="AB25" i="13"/>
  <c r="AH25" i="13"/>
  <c r="AI25" i="13"/>
  <c r="AB66" i="13"/>
  <c r="AA66" i="13"/>
  <c r="AH66" i="13"/>
  <c r="Z66" i="13"/>
  <c r="W66" i="13"/>
  <c r="S66" i="13"/>
  <c r="S60" i="13"/>
  <c r="S61" i="13"/>
  <c r="S62" i="13"/>
  <c r="S63" i="13"/>
  <c r="S64" i="13"/>
  <c r="S65" i="13"/>
  <c r="S10" i="13"/>
  <c r="S11" i="13"/>
  <c r="S12" i="13"/>
  <c r="S15" i="13"/>
  <c r="S16" i="13"/>
  <c r="S17" i="13"/>
  <c r="S18" i="13"/>
  <c r="S19" i="13"/>
  <c r="S20" i="13"/>
  <c r="S21" i="13"/>
  <c r="S22" i="13"/>
  <c r="S23" i="13"/>
  <c r="S24"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42" i="13"/>
  <c r="S143" i="13"/>
  <c r="S144" i="13"/>
  <c r="S145" i="13"/>
  <c r="S146" i="13"/>
  <c r="S147" i="13"/>
  <c r="S148" i="13"/>
  <c r="S149" i="13"/>
  <c r="S150"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4" i="13"/>
  <c r="S175" i="13"/>
  <c r="S176" i="13"/>
  <c r="S177" i="13"/>
  <c r="S178" i="13"/>
  <c r="S179" i="13"/>
  <c r="S180" i="13"/>
  <c r="S181" i="13"/>
  <c r="S182" i="13"/>
  <c r="S183" i="13"/>
  <c r="S184" i="13"/>
  <c r="S185" i="13"/>
  <c r="S186" i="13"/>
  <c r="S187" i="13"/>
  <c r="S188" i="13"/>
  <c r="S189" i="13"/>
  <c r="S190" i="13"/>
  <c r="S191" i="13"/>
  <c r="S192" i="13"/>
  <c r="S193" i="13"/>
  <c r="S194" i="13"/>
  <c r="S195" i="13"/>
  <c r="S196" i="13"/>
  <c r="S197" i="13"/>
  <c r="S198" i="13"/>
  <c r="S199" i="13"/>
  <c r="S200" i="13"/>
  <c r="S201" i="13"/>
  <c r="S202" i="13"/>
  <c r="S203" i="13"/>
  <c r="S204" i="13"/>
  <c r="S205" i="13"/>
  <c r="S206" i="13"/>
  <c r="S207" i="13"/>
  <c r="S208" i="13"/>
  <c r="S209" i="13"/>
  <c r="S210" i="13"/>
  <c r="S211" i="13"/>
  <c r="S212" i="13"/>
  <c r="S213" i="13"/>
  <c r="S214" i="13"/>
  <c r="S215" i="13"/>
  <c r="S216" i="13"/>
  <c r="S217" i="13"/>
  <c r="S218" i="13"/>
  <c r="S219" i="13"/>
  <c r="S220" i="13"/>
  <c r="S221" i="13"/>
  <c r="S222" i="13"/>
  <c r="S223" i="13"/>
  <c r="S224" i="13"/>
  <c r="S225" i="13"/>
  <c r="S226" i="13"/>
  <c r="S227" i="13"/>
  <c r="S228" i="13"/>
  <c r="S229" i="13"/>
  <c r="S230" i="13"/>
  <c r="S231" i="13"/>
  <c r="S232" i="13"/>
  <c r="S233" i="13"/>
  <c r="T77" i="13"/>
  <c r="T78" i="13"/>
  <c r="T79" i="13"/>
  <c r="T80" i="13"/>
  <c r="T81" i="13"/>
  <c r="T82" i="13"/>
  <c r="T83" i="13"/>
  <c r="T84" i="13"/>
  <c r="T85" i="13"/>
  <c r="T86" i="13"/>
  <c r="T87" i="13"/>
  <c r="T88" i="13"/>
  <c r="T89" i="13"/>
  <c r="T90" i="13"/>
  <c r="T91" i="13"/>
  <c r="T92" i="13"/>
  <c r="T93" i="13"/>
  <c r="T94" i="13"/>
  <c r="T95" i="13"/>
  <c r="T96" i="13"/>
  <c r="T97" i="13"/>
  <c r="T98" i="13"/>
  <c r="T99" i="13"/>
  <c r="T100" i="13"/>
  <c r="T101" i="13"/>
  <c r="T102" i="13"/>
  <c r="T103" i="13"/>
  <c r="T104" i="13"/>
  <c r="T105" i="13"/>
  <c r="T106" i="13"/>
  <c r="T107" i="13"/>
  <c r="T108" i="13"/>
  <c r="T109" i="13"/>
  <c r="T110" i="13"/>
  <c r="T111" i="13"/>
  <c r="T112" i="13"/>
  <c r="T113" i="13"/>
  <c r="T114" i="13"/>
  <c r="T115" i="13"/>
  <c r="T116" i="13"/>
  <c r="T117" i="13"/>
  <c r="T118" i="13"/>
  <c r="T119" i="13"/>
  <c r="T120" i="13"/>
  <c r="T121" i="13"/>
  <c r="T122" i="13"/>
  <c r="T123" i="13"/>
  <c r="T124" i="13"/>
  <c r="T125" i="13"/>
  <c r="T126" i="13"/>
  <c r="T127" i="13"/>
  <c r="T128" i="13"/>
  <c r="T129" i="13"/>
  <c r="T130" i="13"/>
  <c r="T131" i="13"/>
  <c r="T132" i="13"/>
  <c r="T133" i="13"/>
  <c r="T134" i="13"/>
  <c r="T135" i="13"/>
  <c r="T136" i="13"/>
  <c r="T137" i="13"/>
  <c r="T138" i="13"/>
  <c r="T139" i="13"/>
  <c r="T140" i="13"/>
  <c r="T141" i="13"/>
  <c r="T142" i="13"/>
  <c r="T143" i="13"/>
  <c r="T144" i="13"/>
  <c r="T145" i="13"/>
  <c r="T146" i="13"/>
  <c r="T147" i="13"/>
  <c r="T148" i="13"/>
  <c r="T149" i="13"/>
  <c r="T150" i="13"/>
  <c r="T151" i="13"/>
  <c r="T152" i="13"/>
  <c r="T153" i="13"/>
  <c r="T154" i="13"/>
  <c r="T155" i="13"/>
  <c r="T156" i="13"/>
  <c r="T157" i="13"/>
  <c r="T158" i="13"/>
  <c r="T159" i="13"/>
  <c r="T160" i="13"/>
  <c r="T161" i="13"/>
  <c r="T162" i="13"/>
  <c r="T163" i="13"/>
  <c r="T164" i="13"/>
  <c r="T165" i="13"/>
  <c r="T166" i="13"/>
  <c r="T167" i="13"/>
  <c r="T168" i="13"/>
  <c r="T169" i="13"/>
  <c r="T170" i="13"/>
  <c r="T171" i="13"/>
  <c r="T172" i="13"/>
  <c r="T173" i="13"/>
  <c r="T174" i="13"/>
  <c r="T175" i="13"/>
  <c r="T176" i="13"/>
  <c r="T177" i="13"/>
  <c r="T178" i="13"/>
  <c r="T179" i="13"/>
  <c r="T180" i="13"/>
  <c r="T181" i="13"/>
  <c r="T182" i="13"/>
  <c r="T183" i="13"/>
  <c r="T184" i="13"/>
  <c r="T185" i="13"/>
  <c r="T186" i="13"/>
  <c r="T187" i="13"/>
  <c r="T188" i="13"/>
  <c r="T189" i="13"/>
  <c r="T190" i="13"/>
  <c r="T191" i="13"/>
  <c r="T192" i="13"/>
  <c r="T193" i="13"/>
  <c r="T194" i="13"/>
  <c r="T195" i="13"/>
  <c r="T196" i="13"/>
  <c r="T197" i="13"/>
  <c r="T198" i="13"/>
  <c r="T199" i="13"/>
  <c r="T200" i="13"/>
  <c r="T201" i="13"/>
  <c r="T202" i="13"/>
  <c r="T203" i="13"/>
  <c r="T204" i="13"/>
  <c r="T205" i="13"/>
  <c r="T206" i="13"/>
  <c r="T207" i="13"/>
  <c r="T208" i="13"/>
  <c r="T209" i="13"/>
  <c r="T210" i="13"/>
  <c r="T211" i="13"/>
  <c r="T212" i="13"/>
  <c r="T213" i="13"/>
  <c r="T214" i="13"/>
  <c r="T215" i="13"/>
  <c r="T216" i="13"/>
  <c r="T217" i="13"/>
  <c r="T218" i="13"/>
  <c r="T219" i="13"/>
  <c r="T220" i="13"/>
  <c r="T221" i="13"/>
  <c r="T222" i="13"/>
  <c r="T223" i="13"/>
  <c r="T224" i="13"/>
  <c r="T225" i="13"/>
  <c r="T226" i="13"/>
  <c r="T227" i="13"/>
  <c r="T228" i="13"/>
  <c r="T229" i="13"/>
  <c r="T230" i="13"/>
  <c r="T231" i="13"/>
  <c r="T232" i="13"/>
  <c r="T233" i="13"/>
  <c r="U60" i="13"/>
  <c r="U63" i="13"/>
  <c r="U65" i="13"/>
  <c r="U67" i="13"/>
  <c r="U68" i="13"/>
  <c r="U69"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U126" i="13"/>
  <c r="U127" i="13"/>
  <c r="U128" i="13"/>
  <c r="U129" i="13"/>
  <c r="U130" i="13"/>
  <c r="U131" i="13"/>
  <c r="U132" i="13"/>
  <c r="U133" i="13"/>
  <c r="U134" i="13"/>
  <c r="U135" i="13"/>
  <c r="U136" i="13"/>
  <c r="U137" i="13"/>
  <c r="U138" i="13"/>
  <c r="U139" i="13"/>
  <c r="U140" i="13"/>
  <c r="U141" i="13"/>
  <c r="U142" i="13"/>
  <c r="U143" i="13"/>
  <c r="U144" i="13"/>
  <c r="U145" i="13"/>
  <c r="U146" i="13"/>
  <c r="U147" i="13"/>
  <c r="U148" i="13"/>
  <c r="U149" i="13"/>
  <c r="U150" i="13"/>
  <c r="U151" i="13"/>
  <c r="U152" i="13"/>
  <c r="U153" i="13"/>
  <c r="U154" i="13"/>
  <c r="U155" i="13"/>
  <c r="U156" i="13"/>
  <c r="U157" i="13"/>
  <c r="U158" i="13"/>
  <c r="U159" i="13"/>
  <c r="U160" i="13"/>
  <c r="U161" i="13"/>
  <c r="U162" i="13"/>
  <c r="U163" i="13"/>
  <c r="U164" i="13"/>
  <c r="U165" i="13"/>
  <c r="U166" i="13"/>
  <c r="U167" i="13"/>
  <c r="U168" i="13"/>
  <c r="U169" i="13"/>
  <c r="U170" i="13"/>
  <c r="U171" i="13"/>
  <c r="U172" i="13"/>
  <c r="U173" i="13"/>
  <c r="U174" i="13"/>
  <c r="U175" i="13"/>
  <c r="U176" i="13"/>
  <c r="U177" i="13"/>
  <c r="U178" i="13"/>
  <c r="U179" i="13"/>
  <c r="U180" i="13"/>
  <c r="U181" i="13"/>
  <c r="U182" i="13"/>
  <c r="U183" i="13"/>
  <c r="U184" i="13"/>
  <c r="U185" i="13"/>
  <c r="U186" i="13"/>
  <c r="U187" i="13"/>
  <c r="U188" i="13"/>
  <c r="U189" i="13"/>
  <c r="U190" i="13"/>
  <c r="U191" i="13"/>
  <c r="U192" i="13"/>
  <c r="U193" i="13"/>
  <c r="U194" i="13"/>
  <c r="U195" i="13"/>
  <c r="U196" i="13"/>
  <c r="U197" i="13"/>
  <c r="U198" i="13"/>
  <c r="U199" i="13"/>
  <c r="U200" i="13"/>
  <c r="U201" i="13"/>
  <c r="U202" i="13"/>
  <c r="U203" i="13"/>
  <c r="U204" i="13"/>
  <c r="U205" i="13"/>
  <c r="U206" i="13"/>
  <c r="U207" i="13"/>
  <c r="U208" i="13"/>
  <c r="U209" i="13"/>
  <c r="U210" i="13"/>
  <c r="U211" i="13"/>
  <c r="U212" i="13"/>
  <c r="U213" i="13"/>
  <c r="U214" i="13"/>
  <c r="U215" i="13"/>
  <c r="U216" i="13"/>
  <c r="U217" i="13"/>
  <c r="U218" i="13"/>
  <c r="U219" i="13"/>
  <c r="U220" i="13"/>
  <c r="U221" i="13"/>
  <c r="U222" i="13"/>
  <c r="U223" i="13"/>
  <c r="U224" i="13"/>
  <c r="U225" i="13"/>
  <c r="U226" i="13"/>
  <c r="U227" i="13"/>
  <c r="U228" i="13"/>
  <c r="U229" i="13"/>
  <c r="U230" i="13"/>
  <c r="U231" i="13"/>
  <c r="U232" i="13"/>
  <c r="U233" i="13"/>
  <c r="V60" i="13"/>
  <c r="V63" i="13"/>
  <c r="V65" i="13"/>
  <c r="V17" i="13"/>
  <c r="V67" i="13"/>
  <c r="V68" i="13"/>
  <c r="V69" i="13"/>
  <c r="V73" i="13"/>
  <c r="AE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W60" i="13"/>
  <c r="W61" i="13"/>
  <c r="W62" i="13"/>
  <c r="W63" i="13"/>
  <c r="W64" i="13"/>
  <c r="W65" i="13"/>
  <c r="W10" i="13"/>
  <c r="W11" i="13"/>
  <c r="W12" i="13"/>
  <c r="W13" i="13"/>
  <c r="W14" i="13"/>
  <c r="W15" i="13"/>
  <c r="W16" i="13"/>
  <c r="W17" i="13"/>
  <c r="W18" i="13"/>
  <c r="W19" i="13"/>
  <c r="W20" i="13"/>
  <c r="W21" i="13"/>
  <c r="W22" i="13"/>
  <c r="W23" i="13"/>
  <c r="W24"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X77" i="13"/>
  <c r="Y77" i="13"/>
  <c r="X78" i="13"/>
  <c r="Y78" i="13"/>
  <c r="X79" i="13"/>
  <c r="Y79" i="13"/>
  <c r="X80" i="13"/>
  <c r="Y80" i="13"/>
  <c r="X81" i="13"/>
  <c r="Y81" i="13"/>
  <c r="X82" i="13"/>
  <c r="Y82" i="13"/>
  <c r="X83" i="13"/>
  <c r="Y83" i="13"/>
  <c r="X84" i="13"/>
  <c r="Y84" i="13"/>
  <c r="X85" i="13"/>
  <c r="Y85" i="13"/>
  <c r="X86" i="13"/>
  <c r="Y86" i="13"/>
  <c r="X87" i="13"/>
  <c r="Y87" i="13"/>
  <c r="X88" i="13"/>
  <c r="Y88" i="13"/>
  <c r="X89" i="13"/>
  <c r="Y89" i="13"/>
  <c r="X90" i="13"/>
  <c r="Y90" i="13"/>
  <c r="X91" i="13"/>
  <c r="Y91" i="13"/>
  <c r="X92" i="13"/>
  <c r="Y92" i="13"/>
  <c r="X93" i="13"/>
  <c r="Y93" i="13"/>
  <c r="X94" i="13"/>
  <c r="Y94" i="13"/>
  <c r="X95" i="13"/>
  <c r="Y95" i="13"/>
  <c r="X96" i="13"/>
  <c r="Y96" i="13"/>
  <c r="X97" i="13"/>
  <c r="Y97" i="13"/>
  <c r="X98" i="13"/>
  <c r="Y98" i="13"/>
  <c r="X99" i="13"/>
  <c r="Y99" i="13"/>
  <c r="X100" i="13"/>
  <c r="Y100" i="13"/>
  <c r="X101" i="13"/>
  <c r="Y101" i="13"/>
  <c r="X102" i="13"/>
  <c r="Y102" i="13"/>
  <c r="X103" i="13"/>
  <c r="Y103" i="13"/>
  <c r="X104" i="13"/>
  <c r="Y104" i="13"/>
  <c r="X105" i="13"/>
  <c r="Y105" i="13"/>
  <c r="X106" i="13"/>
  <c r="Y106" i="13"/>
  <c r="X107" i="13"/>
  <c r="Y107" i="13"/>
  <c r="X108" i="13"/>
  <c r="Y108" i="13"/>
  <c r="X109" i="13"/>
  <c r="Y109" i="13"/>
  <c r="X110" i="13"/>
  <c r="Y110" i="13"/>
  <c r="X111" i="13"/>
  <c r="Y111" i="13"/>
  <c r="X112" i="13"/>
  <c r="Y112" i="13"/>
  <c r="X113" i="13"/>
  <c r="Y113" i="13"/>
  <c r="X114" i="13"/>
  <c r="Y114" i="13"/>
  <c r="X115" i="13"/>
  <c r="Y115" i="13"/>
  <c r="X116" i="13"/>
  <c r="Y116" i="13"/>
  <c r="X117" i="13"/>
  <c r="Y117" i="13"/>
  <c r="X118" i="13"/>
  <c r="Y118" i="13"/>
  <c r="X119" i="13"/>
  <c r="Y119" i="13"/>
  <c r="X120" i="13"/>
  <c r="Y120" i="13"/>
  <c r="X121" i="13"/>
  <c r="Y121" i="13"/>
  <c r="X122" i="13"/>
  <c r="Y122" i="13"/>
  <c r="X123" i="13"/>
  <c r="Y123" i="13"/>
  <c r="X124" i="13"/>
  <c r="Y124" i="13"/>
  <c r="X125" i="13"/>
  <c r="Y125" i="13"/>
  <c r="X126" i="13"/>
  <c r="Y126" i="13"/>
  <c r="X127" i="13"/>
  <c r="Y127" i="13"/>
  <c r="X128" i="13"/>
  <c r="Y128" i="13"/>
  <c r="X129" i="13"/>
  <c r="Y129" i="13"/>
  <c r="X130" i="13"/>
  <c r="Y130" i="13"/>
  <c r="X131" i="13"/>
  <c r="Y131" i="13"/>
  <c r="X132" i="13"/>
  <c r="Y132" i="13"/>
  <c r="X133" i="13"/>
  <c r="Y133" i="13"/>
  <c r="X134" i="13"/>
  <c r="Y134" i="13"/>
  <c r="X135" i="13"/>
  <c r="Y135" i="13"/>
  <c r="X136" i="13"/>
  <c r="Y136" i="13"/>
  <c r="X137" i="13"/>
  <c r="Y137" i="13"/>
  <c r="X138" i="13"/>
  <c r="Y138" i="13"/>
  <c r="X139" i="13"/>
  <c r="Y139" i="13"/>
  <c r="X140" i="13"/>
  <c r="Y140" i="13"/>
  <c r="X141" i="13"/>
  <c r="Y141" i="13"/>
  <c r="X142" i="13"/>
  <c r="Y142" i="13"/>
  <c r="X143" i="13"/>
  <c r="Y143" i="13"/>
  <c r="X144" i="13"/>
  <c r="Y144" i="13"/>
  <c r="X145" i="13"/>
  <c r="Y145" i="13"/>
  <c r="X146" i="13"/>
  <c r="Y146" i="13"/>
  <c r="X147" i="13"/>
  <c r="Y147" i="13"/>
  <c r="X148" i="13"/>
  <c r="Y148" i="13"/>
  <c r="X149" i="13"/>
  <c r="Y149" i="13"/>
  <c r="X150" i="13"/>
  <c r="Y150" i="13"/>
  <c r="X151" i="13"/>
  <c r="Y151" i="13"/>
  <c r="X152" i="13"/>
  <c r="Y152" i="13"/>
  <c r="X153" i="13"/>
  <c r="Y153" i="13"/>
  <c r="X154" i="13"/>
  <c r="Y154" i="13"/>
  <c r="X155" i="13"/>
  <c r="Y155" i="13"/>
  <c r="X156" i="13"/>
  <c r="Y156" i="13"/>
  <c r="X157" i="13"/>
  <c r="Y157" i="13"/>
  <c r="X158" i="13"/>
  <c r="Y158" i="13"/>
  <c r="X159" i="13"/>
  <c r="Y159" i="13"/>
  <c r="X160" i="13"/>
  <c r="Y160" i="13"/>
  <c r="X161" i="13"/>
  <c r="Y161" i="13"/>
  <c r="X162" i="13"/>
  <c r="Y162" i="13"/>
  <c r="X163" i="13"/>
  <c r="Y163" i="13"/>
  <c r="X164" i="13"/>
  <c r="Y164" i="13"/>
  <c r="X165" i="13"/>
  <c r="Y165" i="13"/>
  <c r="X166" i="13"/>
  <c r="Y166" i="13"/>
  <c r="X167" i="13"/>
  <c r="Y167" i="13"/>
  <c r="X168" i="13"/>
  <c r="Y168" i="13"/>
  <c r="X169" i="13"/>
  <c r="Y169" i="13"/>
  <c r="X170" i="13"/>
  <c r="Y170" i="13"/>
  <c r="X171" i="13"/>
  <c r="Y171" i="13"/>
  <c r="X172" i="13"/>
  <c r="Y172" i="13"/>
  <c r="X173" i="13"/>
  <c r="Y173" i="13"/>
  <c r="X174" i="13"/>
  <c r="Y174" i="13"/>
  <c r="X175" i="13"/>
  <c r="Y175" i="13"/>
  <c r="X176" i="13"/>
  <c r="Y176" i="13"/>
  <c r="X177" i="13"/>
  <c r="Y177" i="13"/>
  <c r="X178" i="13"/>
  <c r="Y178" i="13"/>
  <c r="X179" i="13"/>
  <c r="Y179" i="13"/>
  <c r="X180" i="13"/>
  <c r="Y180" i="13"/>
  <c r="X181" i="13"/>
  <c r="Y181" i="13"/>
  <c r="X182" i="13"/>
  <c r="Y182" i="13"/>
  <c r="X183" i="13"/>
  <c r="Y183" i="13"/>
  <c r="X184" i="13"/>
  <c r="Y184" i="13"/>
  <c r="X185" i="13"/>
  <c r="Y185" i="13"/>
  <c r="X186" i="13"/>
  <c r="Y186" i="13"/>
  <c r="X187" i="13"/>
  <c r="Y187" i="13"/>
  <c r="X188" i="13"/>
  <c r="Y188" i="13"/>
  <c r="X189" i="13"/>
  <c r="Y189" i="13"/>
  <c r="X190" i="13"/>
  <c r="Y190" i="13"/>
  <c r="X191" i="13"/>
  <c r="Y191" i="13"/>
  <c r="X192" i="13"/>
  <c r="Y192" i="13"/>
  <c r="X193" i="13"/>
  <c r="Y193" i="13"/>
  <c r="X194" i="13"/>
  <c r="Y194" i="13"/>
  <c r="X195" i="13"/>
  <c r="Y195" i="13"/>
  <c r="X196" i="13"/>
  <c r="Y196" i="13"/>
  <c r="X197" i="13"/>
  <c r="Y197" i="13"/>
  <c r="X198" i="13"/>
  <c r="Y198" i="13"/>
  <c r="X199" i="13"/>
  <c r="Y199" i="13"/>
  <c r="X200" i="13"/>
  <c r="Y200" i="13"/>
  <c r="X201" i="13"/>
  <c r="Y201" i="13"/>
  <c r="X202" i="13"/>
  <c r="Y202" i="13"/>
  <c r="X203" i="13"/>
  <c r="Y203" i="13"/>
  <c r="X204" i="13"/>
  <c r="Y204" i="13"/>
  <c r="X205" i="13"/>
  <c r="Y205" i="13"/>
  <c r="X206" i="13"/>
  <c r="Y206" i="13"/>
  <c r="X207" i="13"/>
  <c r="Y207" i="13"/>
  <c r="X208" i="13"/>
  <c r="Y208" i="13"/>
  <c r="X209" i="13"/>
  <c r="Y209" i="13"/>
  <c r="X210" i="13"/>
  <c r="Y210" i="13"/>
  <c r="X211" i="13"/>
  <c r="Y211" i="13"/>
  <c r="X212" i="13"/>
  <c r="Y212" i="13"/>
  <c r="X213" i="13"/>
  <c r="Y213" i="13"/>
  <c r="X214" i="13"/>
  <c r="Y214" i="13"/>
  <c r="X215" i="13"/>
  <c r="Y215" i="13"/>
  <c r="X216" i="13"/>
  <c r="Y216" i="13"/>
  <c r="X217" i="13"/>
  <c r="Y217" i="13"/>
  <c r="X218" i="13"/>
  <c r="Y218" i="13"/>
  <c r="X219" i="13"/>
  <c r="Y219" i="13"/>
  <c r="X220" i="13"/>
  <c r="Y220" i="13"/>
  <c r="X221" i="13"/>
  <c r="Y221" i="13"/>
  <c r="X222" i="13"/>
  <c r="Y222" i="13"/>
  <c r="X223" i="13"/>
  <c r="Y223" i="13"/>
  <c r="X224" i="13"/>
  <c r="Y224" i="13"/>
  <c r="X225" i="13"/>
  <c r="Y225" i="13"/>
  <c r="X226" i="13"/>
  <c r="Y226" i="13"/>
  <c r="X227" i="13"/>
  <c r="Y227" i="13"/>
  <c r="X228" i="13"/>
  <c r="Y228" i="13"/>
  <c r="X229" i="13"/>
  <c r="Y229" i="13"/>
  <c r="X230" i="13"/>
  <c r="Y230" i="13"/>
  <c r="X231" i="13"/>
  <c r="Y231" i="13"/>
  <c r="X232" i="13"/>
  <c r="Y232" i="13"/>
  <c r="X233" i="13"/>
  <c r="Y233" i="13"/>
  <c r="Z60" i="13"/>
  <c r="Z61" i="13"/>
  <c r="Z62" i="13"/>
  <c r="Z63" i="13"/>
  <c r="Z64" i="13"/>
  <c r="Z65" i="13"/>
  <c r="Z10" i="13"/>
  <c r="AG10" i="13"/>
  <c r="Z11" i="13"/>
  <c r="Z12" i="13"/>
  <c r="AG12" i="13"/>
  <c r="Z13" i="13"/>
  <c r="Z14" i="13"/>
  <c r="Z15" i="13"/>
  <c r="Z16" i="13"/>
  <c r="Z17" i="13"/>
  <c r="Z18" i="13"/>
  <c r="Z19" i="13"/>
  <c r="AG19" i="13"/>
  <c r="Z20" i="13"/>
  <c r="Z21" i="13"/>
  <c r="AG21" i="13"/>
  <c r="Z22" i="13"/>
  <c r="Z23" i="13"/>
  <c r="Z24" i="13"/>
  <c r="AG24" i="13"/>
  <c r="Z67" i="13"/>
  <c r="T67" i="13"/>
  <c r="AC67" i="13"/>
  <c r="Z68" i="13"/>
  <c r="T68" i="13"/>
  <c r="AC68" i="13"/>
  <c r="Z69" i="13"/>
  <c r="T69" i="13"/>
  <c r="AC69" i="13"/>
  <c r="Z70" i="13"/>
  <c r="T70" i="13"/>
  <c r="AC70" i="13"/>
  <c r="Z71" i="13"/>
  <c r="T71" i="13"/>
  <c r="AC71" i="13"/>
  <c r="Z72" i="13"/>
  <c r="T72" i="13"/>
  <c r="AC72" i="13"/>
  <c r="Z73" i="13"/>
  <c r="T73" i="13"/>
  <c r="AC73" i="13"/>
  <c r="Z74" i="13"/>
  <c r="T74" i="13"/>
  <c r="AC74" i="13"/>
  <c r="Z75" i="13"/>
  <c r="T75" i="13"/>
  <c r="AC75" i="13"/>
  <c r="Z76" i="13"/>
  <c r="T76" i="13"/>
  <c r="AC76" i="13"/>
  <c r="Z77" i="13"/>
  <c r="Z78" i="13"/>
  <c r="Z79" i="13"/>
  <c r="Z80" i="13"/>
  <c r="Z81" i="13"/>
  <c r="Z82" i="13"/>
  <c r="Z83" i="13"/>
  <c r="Z84" i="13"/>
  <c r="Z85" i="13"/>
  <c r="Z86" i="13"/>
  <c r="Z87" i="13"/>
  <c r="Z88" i="13"/>
  <c r="Z89" i="13"/>
  <c r="Z90" i="13"/>
  <c r="Z91" i="13"/>
  <c r="Z92" i="13"/>
  <c r="Z93" i="13"/>
  <c r="Z94" i="13"/>
  <c r="Z95" i="13"/>
  <c r="Z96" i="13"/>
  <c r="Z97" i="13"/>
  <c r="Z98" i="13"/>
  <c r="Z99" i="13"/>
  <c r="Z100" i="13"/>
  <c r="Z101" i="13"/>
  <c r="Z102" i="13"/>
  <c r="Z103" i="13"/>
  <c r="Z104" i="13"/>
  <c r="Z105" i="13"/>
  <c r="Z106" i="13"/>
  <c r="Z107" i="13"/>
  <c r="Z108" i="13"/>
  <c r="Z109" i="13"/>
  <c r="Z110" i="13"/>
  <c r="Z111" i="13"/>
  <c r="Z112" i="13"/>
  <c r="Z113" i="13"/>
  <c r="Z114" i="13"/>
  <c r="Z115" i="13"/>
  <c r="Z116" i="13"/>
  <c r="Z117" i="13"/>
  <c r="Z118" i="13"/>
  <c r="Z119" i="13"/>
  <c r="Z120" i="13"/>
  <c r="Z121" i="13"/>
  <c r="Z122" i="13"/>
  <c r="Z123" i="13"/>
  <c r="Z124" i="13"/>
  <c r="Z125" i="13"/>
  <c r="Z126" i="13"/>
  <c r="Z127" i="13"/>
  <c r="Z128" i="13"/>
  <c r="Z129" i="13"/>
  <c r="Z130" i="13"/>
  <c r="Z131" i="13"/>
  <c r="Z132" i="13"/>
  <c r="Z133" i="13"/>
  <c r="Z134" i="13"/>
  <c r="Z135" i="13"/>
  <c r="Z136" i="13"/>
  <c r="Z137" i="13"/>
  <c r="Z138" i="13"/>
  <c r="Z139" i="13"/>
  <c r="Z140" i="13"/>
  <c r="Z141" i="13"/>
  <c r="Z142" i="13"/>
  <c r="Z143" i="13"/>
  <c r="Z144" i="13"/>
  <c r="Z145" i="13"/>
  <c r="Z146" i="13"/>
  <c r="Z147" i="13"/>
  <c r="Z148" i="13"/>
  <c r="Z149" i="13"/>
  <c r="Z150" i="13"/>
  <c r="Z151" i="13"/>
  <c r="Z152" i="13"/>
  <c r="Z153" i="13"/>
  <c r="Z154" i="13"/>
  <c r="Z155" i="13"/>
  <c r="Z156" i="13"/>
  <c r="Z157" i="13"/>
  <c r="Z158" i="13"/>
  <c r="Z159" i="13"/>
  <c r="Z160" i="13"/>
  <c r="Z161" i="13"/>
  <c r="Z162" i="13"/>
  <c r="Z163" i="13"/>
  <c r="Z164" i="13"/>
  <c r="Z165" i="13"/>
  <c r="Z166" i="13"/>
  <c r="Z167" i="13"/>
  <c r="Z168" i="13"/>
  <c r="Z169" i="13"/>
  <c r="Z170" i="13"/>
  <c r="Z171" i="13"/>
  <c r="Z172" i="13"/>
  <c r="Z173" i="13"/>
  <c r="Z174" i="13"/>
  <c r="Z175" i="13"/>
  <c r="Z176" i="13"/>
  <c r="Z177" i="13"/>
  <c r="Z178" i="13"/>
  <c r="Z179" i="13"/>
  <c r="Z180" i="13"/>
  <c r="Z181" i="13"/>
  <c r="Z182" i="13"/>
  <c r="Z183" i="13"/>
  <c r="Z184" i="13"/>
  <c r="Z185" i="13"/>
  <c r="Z186" i="13"/>
  <c r="Z187" i="13"/>
  <c r="Z188" i="13"/>
  <c r="Z189" i="13"/>
  <c r="Z190" i="13"/>
  <c r="Z191" i="13"/>
  <c r="Z192" i="13"/>
  <c r="Z193" i="13"/>
  <c r="Z194" i="13"/>
  <c r="Z195" i="13"/>
  <c r="Z196" i="13"/>
  <c r="Z197" i="13"/>
  <c r="Z198" i="13"/>
  <c r="Z199" i="13"/>
  <c r="Z200" i="13"/>
  <c r="Z201" i="13"/>
  <c r="Z202" i="13"/>
  <c r="Z203" i="13"/>
  <c r="Z204" i="13"/>
  <c r="Z205" i="13"/>
  <c r="Z206" i="13"/>
  <c r="Z207" i="13"/>
  <c r="Z208" i="13"/>
  <c r="Z209" i="13"/>
  <c r="Z210" i="13"/>
  <c r="Z211" i="13"/>
  <c r="Z212" i="13"/>
  <c r="Z213" i="13"/>
  <c r="Z214" i="13"/>
  <c r="Z215" i="13"/>
  <c r="Z216" i="13"/>
  <c r="Z217" i="13"/>
  <c r="Z218" i="13"/>
  <c r="Z219" i="13"/>
  <c r="Z220" i="13"/>
  <c r="Z221" i="13"/>
  <c r="Z222" i="13"/>
  <c r="Z223" i="13"/>
  <c r="Z224" i="13"/>
  <c r="Z225" i="13"/>
  <c r="Z226" i="13"/>
  <c r="Z227" i="13"/>
  <c r="Z228" i="13"/>
  <c r="Z229" i="13"/>
  <c r="Z230" i="13"/>
  <c r="Z231" i="13"/>
  <c r="Z232" i="13"/>
  <c r="Z233" i="13"/>
  <c r="AA60" i="13"/>
  <c r="AA61" i="13"/>
  <c r="AA62" i="13"/>
  <c r="AA63" i="13"/>
  <c r="AA64" i="13"/>
  <c r="AA65" i="13"/>
  <c r="AA10" i="13"/>
  <c r="AA11" i="13"/>
  <c r="AA12" i="13"/>
  <c r="AA13" i="13"/>
  <c r="AH13" i="13"/>
  <c r="AA14" i="13"/>
  <c r="AA15" i="13"/>
  <c r="AA16" i="13"/>
  <c r="AH16" i="13"/>
  <c r="AA17" i="13"/>
  <c r="AA18" i="13"/>
  <c r="AA19" i="13"/>
  <c r="AA20" i="13"/>
  <c r="AA21" i="13"/>
  <c r="AA22" i="13"/>
  <c r="AA23" i="13"/>
  <c r="AA24" i="13"/>
  <c r="AA67" i="13"/>
  <c r="AA68" i="13"/>
  <c r="AA69" i="13"/>
  <c r="AA70" i="13"/>
  <c r="U70" i="13"/>
  <c r="AD70" i="13"/>
  <c r="AA71" i="13"/>
  <c r="U71" i="13"/>
  <c r="AD71" i="13"/>
  <c r="AA72" i="13"/>
  <c r="U72" i="13"/>
  <c r="AD72" i="13"/>
  <c r="AA73" i="13"/>
  <c r="U73" i="13"/>
  <c r="AD73" i="13"/>
  <c r="AA74" i="13"/>
  <c r="U74" i="13"/>
  <c r="AD74" i="13"/>
  <c r="AA75" i="13"/>
  <c r="AA76" i="13"/>
  <c r="AA77" i="13"/>
  <c r="AA78" i="13"/>
  <c r="AA79" i="13"/>
  <c r="AA80" i="13"/>
  <c r="AA81" i="13"/>
  <c r="AA82" i="13"/>
  <c r="AA83" i="13"/>
  <c r="AA84" i="13"/>
  <c r="AA85" i="13"/>
  <c r="AA86" i="13"/>
  <c r="AA87" i="13"/>
  <c r="AA88" i="13"/>
  <c r="AA89" i="13"/>
  <c r="AA90" i="13"/>
  <c r="AA91" i="13"/>
  <c r="AA92" i="13"/>
  <c r="AA93" i="13"/>
  <c r="AA94" i="13"/>
  <c r="AA95" i="13"/>
  <c r="AA96" i="13"/>
  <c r="AA97" i="13"/>
  <c r="AA98" i="13"/>
  <c r="AA99" i="13"/>
  <c r="AA100" i="13"/>
  <c r="AA101" i="13"/>
  <c r="AA102" i="13"/>
  <c r="AA103" i="13"/>
  <c r="AA104" i="13"/>
  <c r="AA105" i="13"/>
  <c r="AA106" i="13"/>
  <c r="AA107" i="13"/>
  <c r="AA108" i="13"/>
  <c r="AA109" i="13"/>
  <c r="AA110" i="13"/>
  <c r="AA111" i="13"/>
  <c r="AA112" i="13"/>
  <c r="AA113" i="13"/>
  <c r="AA114" i="13"/>
  <c r="AA115" i="13"/>
  <c r="AA116" i="13"/>
  <c r="AA117" i="13"/>
  <c r="AA118" i="13"/>
  <c r="AA119" i="13"/>
  <c r="AA120" i="13"/>
  <c r="AA121" i="13"/>
  <c r="AA122" i="13"/>
  <c r="AA123" i="13"/>
  <c r="AA124" i="13"/>
  <c r="AA125" i="13"/>
  <c r="AA126" i="13"/>
  <c r="AA127" i="13"/>
  <c r="AA128" i="13"/>
  <c r="AA129" i="13"/>
  <c r="AA130" i="13"/>
  <c r="AA131" i="13"/>
  <c r="AA132" i="13"/>
  <c r="AA133" i="13"/>
  <c r="AA134" i="13"/>
  <c r="AA135" i="13"/>
  <c r="AA136" i="13"/>
  <c r="AA137" i="13"/>
  <c r="AA138" i="13"/>
  <c r="AA139" i="13"/>
  <c r="AA140" i="13"/>
  <c r="AA141" i="13"/>
  <c r="AA142" i="13"/>
  <c r="AA143" i="13"/>
  <c r="AA144" i="13"/>
  <c r="AA145" i="13"/>
  <c r="AA146" i="13"/>
  <c r="AA147" i="13"/>
  <c r="AA148" i="13"/>
  <c r="AA149" i="13"/>
  <c r="AA150" i="13"/>
  <c r="AA151" i="13"/>
  <c r="AA152" i="13"/>
  <c r="AA153" i="13"/>
  <c r="AA154" i="13"/>
  <c r="AA155" i="13"/>
  <c r="AA156" i="13"/>
  <c r="AA157" i="13"/>
  <c r="AA158" i="13"/>
  <c r="AA159" i="13"/>
  <c r="AA160" i="13"/>
  <c r="AA161" i="13"/>
  <c r="AA162" i="13"/>
  <c r="AA163" i="13"/>
  <c r="AA164" i="13"/>
  <c r="AA165" i="13"/>
  <c r="AA166" i="13"/>
  <c r="AA167" i="13"/>
  <c r="AA168" i="13"/>
  <c r="AA169" i="13"/>
  <c r="AA170" i="13"/>
  <c r="AA171" i="13"/>
  <c r="AA172" i="13"/>
  <c r="AA173" i="13"/>
  <c r="AA174" i="13"/>
  <c r="AA175" i="13"/>
  <c r="AA176" i="13"/>
  <c r="AA177" i="13"/>
  <c r="AA178" i="13"/>
  <c r="AA179" i="13"/>
  <c r="AA180" i="13"/>
  <c r="AA181" i="13"/>
  <c r="AA182" i="13"/>
  <c r="AA183" i="13"/>
  <c r="AA184" i="13"/>
  <c r="AA185" i="13"/>
  <c r="AA186" i="13"/>
  <c r="AA187" i="13"/>
  <c r="AA188" i="13"/>
  <c r="AA189" i="13"/>
  <c r="AA190" i="13"/>
  <c r="AA191" i="13"/>
  <c r="AA192" i="13"/>
  <c r="AA193" i="13"/>
  <c r="AA194" i="13"/>
  <c r="AA195" i="13"/>
  <c r="AA196" i="13"/>
  <c r="AA197" i="13"/>
  <c r="AA198" i="13"/>
  <c r="AA199" i="13"/>
  <c r="AA200" i="13"/>
  <c r="AA201" i="13"/>
  <c r="AA202" i="13"/>
  <c r="AA203" i="13"/>
  <c r="AA204" i="13"/>
  <c r="AA205" i="13"/>
  <c r="AA206" i="13"/>
  <c r="AA207" i="13"/>
  <c r="AA208" i="13"/>
  <c r="AA209" i="13"/>
  <c r="AA210" i="13"/>
  <c r="AA211" i="13"/>
  <c r="AA212" i="13"/>
  <c r="AA213" i="13"/>
  <c r="AA214" i="13"/>
  <c r="AA215" i="13"/>
  <c r="AA216" i="13"/>
  <c r="AA217" i="13"/>
  <c r="AA218" i="13"/>
  <c r="AA219" i="13"/>
  <c r="AA220" i="13"/>
  <c r="AA221" i="13"/>
  <c r="AA222" i="13"/>
  <c r="AA223" i="13"/>
  <c r="AA224" i="13"/>
  <c r="AA225" i="13"/>
  <c r="AA226" i="13"/>
  <c r="AA227" i="13"/>
  <c r="AA228" i="13"/>
  <c r="AA229" i="13"/>
  <c r="AA230" i="13"/>
  <c r="AA231" i="13"/>
  <c r="AA232" i="13"/>
  <c r="AA233" i="13"/>
  <c r="AB60" i="13"/>
  <c r="AB61" i="13"/>
  <c r="AB62" i="13"/>
  <c r="AI62" i="13"/>
  <c r="AB63" i="13"/>
  <c r="AB64" i="13"/>
  <c r="AB65" i="13"/>
  <c r="AB10" i="13"/>
  <c r="AB11" i="13"/>
  <c r="AB12" i="13"/>
  <c r="AB13" i="13"/>
  <c r="AB14" i="13"/>
  <c r="AB15" i="13"/>
  <c r="AB16" i="13"/>
  <c r="AB17" i="13"/>
  <c r="AB18" i="13"/>
  <c r="AB19" i="13"/>
  <c r="AB20" i="13"/>
  <c r="AB21" i="13"/>
  <c r="AB22" i="13"/>
  <c r="AB23" i="13"/>
  <c r="AB24" i="13"/>
  <c r="AB67" i="13"/>
  <c r="AB68" i="13"/>
  <c r="AB69" i="13"/>
  <c r="AB70" i="13"/>
  <c r="V70" i="13"/>
  <c r="AE70" i="13"/>
  <c r="AB71" i="13"/>
  <c r="AB72" i="13"/>
  <c r="V72" i="13"/>
  <c r="AE72" i="13"/>
  <c r="AB73" i="13"/>
  <c r="AB74" i="13"/>
  <c r="AB75" i="13"/>
  <c r="AB76" i="13"/>
  <c r="AB77" i="13"/>
  <c r="AB78" i="13"/>
  <c r="AB79" i="13"/>
  <c r="AB80" i="13"/>
  <c r="AB81" i="13"/>
  <c r="AB82" i="13"/>
  <c r="AB83" i="13"/>
  <c r="AB84" i="13"/>
  <c r="AB85" i="13"/>
  <c r="AB86" i="13"/>
  <c r="AB87" i="13"/>
  <c r="AB88" i="13"/>
  <c r="AB89" i="13"/>
  <c r="AB90" i="13"/>
  <c r="AB91" i="13"/>
  <c r="AB92" i="13"/>
  <c r="AB93" i="13"/>
  <c r="AB94" i="13"/>
  <c r="AB95" i="13"/>
  <c r="AB96" i="13"/>
  <c r="AB97" i="13"/>
  <c r="AB98" i="13"/>
  <c r="AB99" i="13"/>
  <c r="AB100" i="13"/>
  <c r="AB101" i="13"/>
  <c r="AB102" i="13"/>
  <c r="AB103" i="13"/>
  <c r="AB104" i="13"/>
  <c r="AB105" i="13"/>
  <c r="AB106" i="13"/>
  <c r="AB107" i="13"/>
  <c r="AB108" i="13"/>
  <c r="AB109" i="13"/>
  <c r="AB110" i="13"/>
  <c r="AB111" i="13"/>
  <c r="AB112" i="13"/>
  <c r="AB113" i="13"/>
  <c r="AB114" i="13"/>
  <c r="AB115" i="13"/>
  <c r="AB116" i="13"/>
  <c r="AB117" i="13"/>
  <c r="AB118" i="13"/>
  <c r="AB119" i="13"/>
  <c r="AB120" i="13"/>
  <c r="AB121" i="13"/>
  <c r="AB122" i="13"/>
  <c r="AB123" i="13"/>
  <c r="AB124" i="13"/>
  <c r="AB125" i="13"/>
  <c r="AB126" i="13"/>
  <c r="AB127" i="13"/>
  <c r="AB128" i="13"/>
  <c r="AB129" i="13"/>
  <c r="AB130" i="13"/>
  <c r="AB131" i="13"/>
  <c r="AB132" i="13"/>
  <c r="AB133" i="13"/>
  <c r="AB134" i="13"/>
  <c r="AB135" i="13"/>
  <c r="AB136" i="13"/>
  <c r="AB137" i="13"/>
  <c r="AB138" i="13"/>
  <c r="AB139" i="13"/>
  <c r="AB140" i="13"/>
  <c r="AB141" i="13"/>
  <c r="AB142" i="13"/>
  <c r="AB143" i="13"/>
  <c r="AB144" i="13"/>
  <c r="AB145" i="13"/>
  <c r="AB146" i="13"/>
  <c r="AB147" i="13"/>
  <c r="AB148" i="13"/>
  <c r="AB149" i="13"/>
  <c r="AB150" i="13"/>
  <c r="AB151" i="13"/>
  <c r="AB152" i="13"/>
  <c r="AB153" i="13"/>
  <c r="AB154" i="13"/>
  <c r="AB155" i="13"/>
  <c r="AB156" i="13"/>
  <c r="AB157" i="13"/>
  <c r="AB158" i="13"/>
  <c r="AB159" i="13"/>
  <c r="AB160" i="13"/>
  <c r="AB161" i="13"/>
  <c r="AB162" i="13"/>
  <c r="AB163" i="13"/>
  <c r="AB164" i="13"/>
  <c r="AB165" i="13"/>
  <c r="AB166" i="13"/>
  <c r="AB167" i="13"/>
  <c r="AB168" i="13"/>
  <c r="AB169" i="13"/>
  <c r="AB170" i="13"/>
  <c r="AB171" i="13"/>
  <c r="AB172" i="13"/>
  <c r="AB173" i="13"/>
  <c r="AB174" i="13"/>
  <c r="AB175" i="13"/>
  <c r="AB176" i="13"/>
  <c r="AB177" i="13"/>
  <c r="AB178" i="13"/>
  <c r="AB179" i="13"/>
  <c r="AB180" i="13"/>
  <c r="AB181" i="13"/>
  <c r="AB182" i="13"/>
  <c r="AB183" i="13"/>
  <c r="AB184" i="13"/>
  <c r="AB185" i="13"/>
  <c r="AB186" i="13"/>
  <c r="AB187" i="13"/>
  <c r="AB188" i="13"/>
  <c r="AB189" i="13"/>
  <c r="AB190" i="13"/>
  <c r="AB191" i="13"/>
  <c r="AB192" i="13"/>
  <c r="AB193" i="13"/>
  <c r="AB194" i="13"/>
  <c r="AB195" i="13"/>
  <c r="AB196" i="13"/>
  <c r="AB197" i="13"/>
  <c r="AB198" i="13"/>
  <c r="AB199" i="13"/>
  <c r="AB200" i="13"/>
  <c r="AB201" i="13"/>
  <c r="AB202" i="13"/>
  <c r="AB203" i="13"/>
  <c r="AB204" i="13"/>
  <c r="AB205" i="13"/>
  <c r="AB206" i="13"/>
  <c r="AB207" i="13"/>
  <c r="AB208" i="13"/>
  <c r="AB209" i="13"/>
  <c r="AB210" i="13"/>
  <c r="AB211" i="13"/>
  <c r="AB212" i="13"/>
  <c r="AB213" i="13"/>
  <c r="AB214" i="13"/>
  <c r="AB215" i="13"/>
  <c r="AB216" i="13"/>
  <c r="AB217" i="13"/>
  <c r="AB218" i="13"/>
  <c r="AB219" i="13"/>
  <c r="AB220" i="13"/>
  <c r="AB221" i="13"/>
  <c r="AB222" i="13"/>
  <c r="AB223" i="13"/>
  <c r="AB224" i="13"/>
  <c r="AB225" i="13"/>
  <c r="AB226" i="13"/>
  <c r="AB227" i="13"/>
  <c r="AB228" i="13"/>
  <c r="AB229" i="13"/>
  <c r="AB230" i="13"/>
  <c r="AB231" i="13"/>
  <c r="AB232" i="13"/>
  <c r="AB233" i="13"/>
  <c r="AC77" i="13"/>
  <c r="AC78" i="13"/>
  <c r="AC79" i="13"/>
  <c r="AC80" i="13"/>
  <c r="AC81" i="13"/>
  <c r="AC82" i="13"/>
  <c r="AC83" i="13"/>
  <c r="AC84" i="13"/>
  <c r="AC85" i="13"/>
  <c r="AC86" i="13"/>
  <c r="AC87" i="13"/>
  <c r="AC88" i="13"/>
  <c r="AC89" i="13"/>
  <c r="AC90" i="13"/>
  <c r="AC91" i="13"/>
  <c r="AC92" i="13"/>
  <c r="AC93" i="13"/>
  <c r="AC94" i="13"/>
  <c r="AC95" i="13"/>
  <c r="AC96" i="13"/>
  <c r="AC97" i="13"/>
  <c r="AC98" i="13"/>
  <c r="AC99" i="13"/>
  <c r="AC100" i="13"/>
  <c r="AC101" i="13"/>
  <c r="AC102" i="13"/>
  <c r="AC103" i="13"/>
  <c r="AC104" i="13"/>
  <c r="AC105" i="13"/>
  <c r="AC106" i="13"/>
  <c r="AC107" i="13"/>
  <c r="AC108" i="13"/>
  <c r="AC109" i="13"/>
  <c r="AC110" i="13"/>
  <c r="AC111" i="13"/>
  <c r="AC112" i="13"/>
  <c r="AC113" i="13"/>
  <c r="AC114" i="13"/>
  <c r="AC115" i="13"/>
  <c r="AC116" i="13"/>
  <c r="AC117" i="13"/>
  <c r="AC118" i="13"/>
  <c r="AC119" i="13"/>
  <c r="AC120" i="13"/>
  <c r="AC121" i="13"/>
  <c r="AC122" i="13"/>
  <c r="AC123" i="13"/>
  <c r="AC124" i="13"/>
  <c r="AC125" i="13"/>
  <c r="AC126" i="13"/>
  <c r="AC127" i="13"/>
  <c r="AC128" i="13"/>
  <c r="AC129" i="13"/>
  <c r="AC130" i="13"/>
  <c r="AC131" i="13"/>
  <c r="AC132" i="13"/>
  <c r="AC133" i="13"/>
  <c r="AC134" i="13"/>
  <c r="AC135" i="13"/>
  <c r="AC136" i="13"/>
  <c r="AC137" i="13"/>
  <c r="AC138" i="13"/>
  <c r="AC139" i="13"/>
  <c r="AC140" i="13"/>
  <c r="AC141" i="13"/>
  <c r="AC142" i="13"/>
  <c r="AC143" i="13"/>
  <c r="AC144" i="13"/>
  <c r="AC145" i="13"/>
  <c r="AC146" i="13"/>
  <c r="AC147" i="13"/>
  <c r="AC148" i="13"/>
  <c r="AC149" i="13"/>
  <c r="AC150" i="13"/>
  <c r="AC151" i="13"/>
  <c r="AC152" i="13"/>
  <c r="AC153" i="13"/>
  <c r="AC154" i="13"/>
  <c r="AC155" i="13"/>
  <c r="AC156" i="13"/>
  <c r="AC157" i="13"/>
  <c r="AC158" i="13"/>
  <c r="AC159" i="13"/>
  <c r="AC160" i="13"/>
  <c r="AC161" i="13"/>
  <c r="AC162" i="13"/>
  <c r="AC163" i="13"/>
  <c r="AC164" i="13"/>
  <c r="AC165" i="13"/>
  <c r="AC166" i="13"/>
  <c r="AC167" i="13"/>
  <c r="AC168" i="13"/>
  <c r="AC169" i="13"/>
  <c r="AC170" i="13"/>
  <c r="AC171" i="13"/>
  <c r="AC172" i="13"/>
  <c r="AC173" i="13"/>
  <c r="AC174" i="13"/>
  <c r="AC175" i="13"/>
  <c r="AC176" i="13"/>
  <c r="AC177" i="13"/>
  <c r="AC178" i="13"/>
  <c r="AC179" i="13"/>
  <c r="AC180" i="13"/>
  <c r="AC181" i="13"/>
  <c r="AC182" i="13"/>
  <c r="AC183" i="13"/>
  <c r="AC184" i="13"/>
  <c r="AC185" i="13"/>
  <c r="AC186" i="13"/>
  <c r="AC187" i="13"/>
  <c r="AC188" i="13"/>
  <c r="AC189" i="13"/>
  <c r="AC190" i="13"/>
  <c r="AC191" i="13"/>
  <c r="AC192" i="13"/>
  <c r="AC193" i="13"/>
  <c r="AC194" i="13"/>
  <c r="AC195" i="13"/>
  <c r="AC196" i="13"/>
  <c r="AC197" i="13"/>
  <c r="AC198" i="13"/>
  <c r="AC199" i="13"/>
  <c r="AC200" i="13"/>
  <c r="AC201" i="13"/>
  <c r="AC202" i="13"/>
  <c r="AC203" i="13"/>
  <c r="AC204" i="13"/>
  <c r="AC205" i="13"/>
  <c r="AC206" i="13"/>
  <c r="AC207" i="13"/>
  <c r="AC208" i="13"/>
  <c r="AC209" i="13"/>
  <c r="AC210" i="13"/>
  <c r="AC211" i="13"/>
  <c r="AC212" i="13"/>
  <c r="AC213" i="13"/>
  <c r="AC214" i="13"/>
  <c r="AC215" i="13"/>
  <c r="AC216" i="13"/>
  <c r="AC217" i="13"/>
  <c r="AC218" i="13"/>
  <c r="AC219" i="13"/>
  <c r="AC220" i="13"/>
  <c r="AC221" i="13"/>
  <c r="AC222" i="13"/>
  <c r="AC223" i="13"/>
  <c r="AC224" i="13"/>
  <c r="AC225" i="13"/>
  <c r="AC226" i="13"/>
  <c r="AC227" i="13"/>
  <c r="AC228" i="13"/>
  <c r="AC229" i="13"/>
  <c r="AC230" i="13"/>
  <c r="AC231" i="13"/>
  <c r="AC232" i="13"/>
  <c r="AC233" i="13"/>
  <c r="AD60" i="13"/>
  <c r="AD63" i="13"/>
  <c r="AD65" i="13"/>
  <c r="AD67" i="13"/>
  <c r="AD68" i="13"/>
  <c r="AD69" i="13"/>
  <c r="AD75" i="13"/>
  <c r="AD76" i="13"/>
  <c r="AD77" i="13"/>
  <c r="AD78" i="13"/>
  <c r="AD79" i="13"/>
  <c r="AD80" i="13"/>
  <c r="AD81" i="13"/>
  <c r="AD82" i="13"/>
  <c r="AD83" i="13"/>
  <c r="AD84" i="13"/>
  <c r="AD85" i="13"/>
  <c r="AD86" i="13"/>
  <c r="AD87" i="13"/>
  <c r="AD88" i="13"/>
  <c r="AD89" i="13"/>
  <c r="AD90" i="13"/>
  <c r="AD91" i="13"/>
  <c r="AD92" i="13"/>
  <c r="AD93" i="13"/>
  <c r="AD94" i="13"/>
  <c r="AD95" i="13"/>
  <c r="AD96" i="13"/>
  <c r="AD97" i="13"/>
  <c r="AD98" i="13"/>
  <c r="AD99" i="13"/>
  <c r="AD100" i="13"/>
  <c r="AD101" i="13"/>
  <c r="AD102" i="13"/>
  <c r="AD103" i="13"/>
  <c r="AD104" i="13"/>
  <c r="AD105" i="13"/>
  <c r="AD106" i="13"/>
  <c r="AD107" i="13"/>
  <c r="AD108" i="13"/>
  <c r="AD109" i="13"/>
  <c r="AD110" i="13"/>
  <c r="AD111" i="13"/>
  <c r="AD112" i="13"/>
  <c r="AD113" i="13"/>
  <c r="AD114" i="13"/>
  <c r="AD115" i="13"/>
  <c r="AD116" i="13"/>
  <c r="AD117" i="13"/>
  <c r="AD118" i="13"/>
  <c r="AD119" i="13"/>
  <c r="AD120" i="13"/>
  <c r="AD121" i="13"/>
  <c r="AD122" i="13"/>
  <c r="AD123" i="13"/>
  <c r="AD124" i="13"/>
  <c r="AD125" i="13"/>
  <c r="AD126" i="13"/>
  <c r="AD127" i="13"/>
  <c r="AD128" i="13"/>
  <c r="AD129" i="13"/>
  <c r="AD130" i="13"/>
  <c r="AD131" i="13"/>
  <c r="AD132" i="13"/>
  <c r="AD133" i="13"/>
  <c r="AD134" i="13"/>
  <c r="AD135" i="13"/>
  <c r="AD136" i="13"/>
  <c r="AD137" i="13"/>
  <c r="AD138" i="13"/>
  <c r="AD139" i="13"/>
  <c r="AD140" i="13"/>
  <c r="AD141" i="13"/>
  <c r="AD142" i="13"/>
  <c r="AD143" i="13"/>
  <c r="AD144" i="13"/>
  <c r="AD145" i="13"/>
  <c r="AD146" i="13"/>
  <c r="AD147" i="13"/>
  <c r="AD148" i="13"/>
  <c r="AD149" i="13"/>
  <c r="AD150" i="13"/>
  <c r="AD151" i="13"/>
  <c r="AD152" i="13"/>
  <c r="AD153" i="13"/>
  <c r="AD154" i="13"/>
  <c r="AD155" i="13"/>
  <c r="AD156" i="13"/>
  <c r="AD157" i="13"/>
  <c r="AD158" i="13"/>
  <c r="AD159" i="13"/>
  <c r="AD160" i="13"/>
  <c r="AD161" i="13"/>
  <c r="AD162" i="13"/>
  <c r="AD163" i="13"/>
  <c r="AD164" i="13"/>
  <c r="AD165" i="13"/>
  <c r="AD166" i="13"/>
  <c r="AD167" i="13"/>
  <c r="AD168" i="13"/>
  <c r="AD169" i="13"/>
  <c r="AD170" i="13"/>
  <c r="AD171" i="13"/>
  <c r="AD172" i="13"/>
  <c r="AD173" i="13"/>
  <c r="AD174" i="13"/>
  <c r="AD175" i="13"/>
  <c r="AD176" i="13"/>
  <c r="AD177" i="13"/>
  <c r="AD178" i="13"/>
  <c r="AD179" i="13"/>
  <c r="AD180" i="13"/>
  <c r="AD181" i="13"/>
  <c r="AD182" i="13"/>
  <c r="AD183" i="13"/>
  <c r="AD184" i="13"/>
  <c r="AD185" i="13"/>
  <c r="AD186" i="13"/>
  <c r="AD187" i="13"/>
  <c r="AD188" i="13"/>
  <c r="AD189" i="13"/>
  <c r="AD190" i="13"/>
  <c r="AD191" i="13"/>
  <c r="AD192" i="13"/>
  <c r="AD193" i="13"/>
  <c r="AD194" i="13"/>
  <c r="AD195" i="13"/>
  <c r="AD196" i="13"/>
  <c r="AD197" i="13"/>
  <c r="AD198" i="13"/>
  <c r="AD199" i="13"/>
  <c r="AD200" i="13"/>
  <c r="AD201" i="13"/>
  <c r="AD202" i="13"/>
  <c r="AD203" i="13"/>
  <c r="AD204" i="13"/>
  <c r="AD205" i="13"/>
  <c r="AD206" i="13"/>
  <c r="AD207" i="13"/>
  <c r="AD208" i="13"/>
  <c r="AD209" i="13"/>
  <c r="AD210" i="13"/>
  <c r="AD211" i="13"/>
  <c r="AD212" i="13"/>
  <c r="AD213" i="13"/>
  <c r="AD214" i="13"/>
  <c r="AD215" i="13"/>
  <c r="AD216" i="13"/>
  <c r="AD217" i="13"/>
  <c r="AD218" i="13"/>
  <c r="AD219" i="13"/>
  <c r="AD220" i="13"/>
  <c r="AD221" i="13"/>
  <c r="AD222" i="13"/>
  <c r="AD223" i="13"/>
  <c r="AD224" i="13"/>
  <c r="AD225" i="13"/>
  <c r="AD226" i="13"/>
  <c r="AD227" i="13"/>
  <c r="AD228" i="13"/>
  <c r="AD229" i="13"/>
  <c r="AD230" i="13"/>
  <c r="AD231" i="13"/>
  <c r="AD232" i="13"/>
  <c r="AD233" i="13"/>
  <c r="AE67" i="13"/>
  <c r="AE68" i="13"/>
  <c r="AE69" i="13"/>
  <c r="AE74" i="13"/>
  <c r="AE75" i="13"/>
  <c r="AE76" i="13"/>
  <c r="AE77" i="13"/>
  <c r="AE78" i="13"/>
  <c r="AE79" i="13"/>
  <c r="AE80" i="13"/>
  <c r="AE81" i="13"/>
  <c r="AE82" i="13"/>
  <c r="AE83" i="13"/>
  <c r="AE84" i="13"/>
  <c r="AE85" i="13"/>
  <c r="AE86" i="13"/>
  <c r="AE87" i="13"/>
  <c r="AE88" i="13"/>
  <c r="AE89" i="13"/>
  <c r="AE90" i="13"/>
  <c r="AE91" i="13"/>
  <c r="AE92" i="13"/>
  <c r="AE93" i="13"/>
  <c r="AE94" i="13"/>
  <c r="AE95" i="13"/>
  <c r="AE96" i="13"/>
  <c r="AE97" i="13"/>
  <c r="AE98" i="13"/>
  <c r="AE99" i="13"/>
  <c r="AE100" i="13"/>
  <c r="AE101" i="13"/>
  <c r="AE102" i="13"/>
  <c r="AE103" i="13"/>
  <c r="AE104" i="13"/>
  <c r="AE105" i="13"/>
  <c r="AE106" i="13"/>
  <c r="AE107" i="13"/>
  <c r="AE108" i="13"/>
  <c r="AE109" i="13"/>
  <c r="AE110" i="13"/>
  <c r="AE111" i="13"/>
  <c r="AE112" i="13"/>
  <c r="AE113" i="13"/>
  <c r="AE114" i="13"/>
  <c r="AE115" i="13"/>
  <c r="AE116" i="13"/>
  <c r="AE117" i="13"/>
  <c r="AE118" i="13"/>
  <c r="AE119" i="13"/>
  <c r="AE120" i="13"/>
  <c r="AE121" i="13"/>
  <c r="AE122" i="13"/>
  <c r="AE123" i="13"/>
  <c r="AE124" i="13"/>
  <c r="AE125" i="13"/>
  <c r="AE126" i="13"/>
  <c r="AE127" i="13"/>
  <c r="AE128" i="13"/>
  <c r="AE129" i="13"/>
  <c r="AE130" i="13"/>
  <c r="AE131" i="13"/>
  <c r="AE132" i="13"/>
  <c r="AE133" i="13"/>
  <c r="AE134" i="13"/>
  <c r="AE135" i="13"/>
  <c r="AE136" i="13"/>
  <c r="AE137" i="13"/>
  <c r="AE138" i="13"/>
  <c r="AE139" i="13"/>
  <c r="AE140" i="13"/>
  <c r="AE141" i="13"/>
  <c r="AE142" i="13"/>
  <c r="AE143" i="13"/>
  <c r="AE144" i="13"/>
  <c r="AE145" i="13"/>
  <c r="AE146" i="13"/>
  <c r="AE147" i="13"/>
  <c r="AE148" i="13"/>
  <c r="AE149" i="13"/>
  <c r="AE150" i="13"/>
  <c r="AE151" i="13"/>
  <c r="AE152" i="13"/>
  <c r="AE153" i="13"/>
  <c r="AE154" i="13"/>
  <c r="AE155" i="13"/>
  <c r="AE156" i="13"/>
  <c r="AE157" i="13"/>
  <c r="AE158" i="13"/>
  <c r="AE159" i="13"/>
  <c r="AE160" i="13"/>
  <c r="AE161" i="13"/>
  <c r="AE162" i="13"/>
  <c r="AE163" i="13"/>
  <c r="AE164" i="13"/>
  <c r="AE165" i="13"/>
  <c r="AE166" i="13"/>
  <c r="AE167" i="13"/>
  <c r="AE168" i="13"/>
  <c r="AE169" i="13"/>
  <c r="AE170" i="13"/>
  <c r="AE171" i="13"/>
  <c r="AE172" i="13"/>
  <c r="AE173" i="13"/>
  <c r="AE174" i="13"/>
  <c r="AE175" i="13"/>
  <c r="AE176" i="13"/>
  <c r="AE177" i="13"/>
  <c r="AE178" i="13"/>
  <c r="AE179" i="13"/>
  <c r="AE180" i="13"/>
  <c r="AE181" i="13"/>
  <c r="AE182" i="13"/>
  <c r="AE183" i="13"/>
  <c r="AE184" i="13"/>
  <c r="AE185" i="13"/>
  <c r="AE186" i="13"/>
  <c r="AE187" i="13"/>
  <c r="AE188" i="13"/>
  <c r="AE189" i="13"/>
  <c r="AE190" i="13"/>
  <c r="AE191" i="13"/>
  <c r="AE192" i="13"/>
  <c r="AE193" i="13"/>
  <c r="AE194" i="13"/>
  <c r="AE195" i="13"/>
  <c r="AE196" i="13"/>
  <c r="AE197" i="13"/>
  <c r="AE198" i="13"/>
  <c r="AE199" i="13"/>
  <c r="AE200" i="13"/>
  <c r="AE201" i="13"/>
  <c r="AE202" i="13"/>
  <c r="AE203" i="13"/>
  <c r="AE204" i="13"/>
  <c r="AE205" i="13"/>
  <c r="AE206" i="13"/>
  <c r="AE207" i="13"/>
  <c r="AE208" i="13"/>
  <c r="AE209" i="13"/>
  <c r="AE210" i="13"/>
  <c r="AE211" i="13"/>
  <c r="AE212" i="13"/>
  <c r="AE213" i="13"/>
  <c r="AE214" i="13"/>
  <c r="AE215" i="13"/>
  <c r="AE216" i="13"/>
  <c r="AE217" i="13"/>
  <c r="AE218" i="13"/>
  <c r="AE219" i="13"/>
  <c r="AE220" i="13"/>
  <c r="AE221" i="13"/>
  <c r="AE222" i="13"/>
  <c r="AE223" i="13"/>
  <c r="AE224" i="13"/>
  <c r="AE225" i="13"/>
  <c r="AE226" i="13"/>
  <c r="AE227" i="13"/>
  <c r="AE228" i="13"/>
  <c r="AE229" i="13"/>
  <c r="AE230" i="13"/>
  <c r="AE231" i="13"/>
  <c r="AE232" i="13"/>
  <c r="AE233"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104" i="13"/>
  <c r="AF105" i="13"/>
  <c r="AF106" i="13"/>
  <c r="AF107" i="13"/>
  <c r="AF108" i="13"/>
  <c r="AF109" i="13"/>
  <c r="AF110" i="13"/>
  <c r="AF111" i="13"/>
  <c r="AF112" i="13"/>
  <c r="AF113" i="13"/>
  <c r="AF114" i="13"/>
  <c r="AF115" i="13"/>
  <c r="AF116" i="13"/>
  <c r="AF117" i="13"/>
  <c r="AF118" i="13"/>
  <c r="AF119" i="13"/>
  <c r="AF120" i="13"/>
  <c r="AF121" i="13"/>
  <c r="AF122" i="13"/>
  <c r="AF123" i="13"/>
  <c r="AF124" i="13"/>
  <c r="AF125" i="13"/>
  <c r="AF126" i="13"/>
  <c r="AF127" i="13"/>
  <c r="AF128" i="13"/>
  <c r="AF129" i="13"/>
  <c r="AF130" i="13"/>
  <c r="AF131" i="13"/>
  <c r="AF132" i="13"/>
  <c r="AF133" i="13"/>
  <c r="AF134" i="13"/>
  <c r="AF135" i="13"/>
  <c r="AF136" i="13"/>
  <c r="AF137" i="13"/>
  <c r="AF138" i="13"/>
  <c r="AF139" i="13"/>
  <c r="AF140" i="13"/>
  <c r="AF141" i="13"/>
  <c r="AF142" i="13"/>
  <c r="AF143" i="13"/>
  <c r="AF144" i="13"/>
  <c r="AF145" i="13"/>
  <c r="AF146" i="13"/>
  <c r="AF147" i="13"/>
  <c r="AF148" i="13"/>
  <c r="AF149" i="13"/>
  <c r="AF150" i="13"/>
  <c r="AF151" i="13"/>
  <c r="AF152" i="13"/>
  <c r="AF153" i="13"/>
  <c r="AF154" i="13"/>
  <c r="AF155" i="13"/>
  <c r="AF156" i="13"/>
  <c r="AF157" i="13"/>
  <c r="AF158" i="13"/>
  <c r="AF159" i="13"/>
  <c r="AF160" i="13"/>
  <c r="AF161" i="13"/>
  <c r="AF162" i="13"/>
  <c r="AF163" i="13"/>
  <c r="AF164" i="13"/>
  <c r="AF165" i="13"/>
  <c r="AF166" i="13"/>
  <c r="AF167" i="13"/>
  <c r="AF168" i="13"/>
  <c r="AF169" i="13"/>
  <c r="AF170" i="13"/>
  <c r="AF171" i="13"/>
  <c r="AF172" i="13"/>
  <c r="AF173" i="13"/>
  <c r="AF174" i="13"/>
  <c r="AF175" i="13"/>
  <c r="AF176" i="13"/>
  <c r="AF177" i="13"/>
  <c r="AF178" i="13"/>
  <c r="AF179" i="13"/>
  <c r="AF180" i="13"/>
  <c r="AF181" i="13"/>
  <c r="AF182" i="13"/>
  <c r="AF183" i="13"/>
  <c r="AF184" i="13"/>
  <c r="AF185" i="13"/>
  <c r="AF186" i="13"/>
  <c r="AF187" i="13"/>
  <c r="AF188" i="13"/>
  <c r="AF189" i="13"/>
  <c r="AF190" i="13"/>
  <c r="AF191" i="13"/>
  <c r="AF192" i="13"/>
  <c r="AF193" i="13"/>
  <c r="AF194" i="13"/>
  <c r="AF195" i="13"/>
  <c r="AF196" i="13"/>
  <c r="AF197" i="13"/>
  <c r="AF198" i="13"/>
  <c r="AF199" i="13"/>
  <c r="AF200" i="13"/>
  <c r="AF201" i="13"/>
  <c r="AF202" i="13"/>
  <c r="AF203" i="13"/>
  <c r="AF204" i="13"/>
  <c r="AF205" i="13"/>
  <c r="AF206" i="13"/>
  <c r="AF207" i="13"/>
  <c r="AF208" i="13"/>
  <c r="AF209" i="13"/>
  <c r="AF210" i="13"/>
  <c r="AF211" i="13"/>
  <c r="AF212" i="13"/>
  <c r="AF213" i="13"/>
  <c r="AF214" i="13"/>
  <c r="AF215" i="13"/>
  <c r="AF216" i="13"/>
  <c r="AF217" i="13"/>
  <c r="AF218" i="13"/>
  <c r="AF219" i="13"/>
  <c r="AF220" i="13"/>
  <c r="AF221" i="13"/>
  <c r="AF222" i="13"/>
  <c r="AF223" i="13"/>
  <c r="AF224" i="13"/>
  <c r="AF225" i="13"/>
  <c r="AF226" i="13"/>
  <c r="AF227" i="13"/>
  <c r="AF228" i="13"/>
  <c r="AF229" i="13"/>
  <c r="AF230" i="13"/>
  <c r="AF231" i="13"/>
  <c r="AF232" i="13"/>
  <c r="AF233" i="13"/>
  <c r="AG60" i="13"/>
  <c r="AG61" i="13"/>
  <c r="AG62" i="13"/>
  <c r="AG65" i="13"/>
  <c r="AG13" i="13"/>
  <c r="AG14" i="13"/>
  <c r="AG16" i="13"/>
  <c r="AG66" i="13"/>
  <c r="AG23" i="13"/>
  <c r="AG67" i="13"/>
  <c r="AG68" i="13"/>
  <c r="AG69" i="13"/>
  <c r="AG70" i="13"/>
  <c r="X70" i="13"/>
  <c r="Y70" i="13"/>
  <c r="AG71" i="13"/>
  <c r="AG72" i="13"/>
  <c r="AG73" i="13"/>
  <c r="AG74" i="13"/>
  <c r="X74" i="13"/>
  <c r="Y74" i="13"/>
  <c r="AG75" i="13"/>
  <c r="X75" i="13"/>
  <c r="AG76" i="13"/>
  <c r="X76" i="13"/>
  <c r="AG77" i="13"/>
  <c r="AG78" i="13"/>
  <c r="AG79" i="13"/>
  <c r="AG80" i="13"/>
  <c r="AG81" i="13"/>
  <c r="AG82" i="13"/>
  <c r="AG83" i="13"/>
  <c r="AG84" i="13"/>
  <c r="AG85" i="13"/>
  <c r="AG86" i="13"/>
  <c r="AG87" i="13"/>
  <c r="AG88" i="13"/>
  <c r="AG89" i="13"/>
  <c r="AG90" i="13"/>
  <c r="AG91" i="13"/>
  <c r="AG92" i="13"/>
  <c r="AG93" i="13"/>
  <c r="AG94" i="13"/>
  <c r="AG95" i="13"/>
  <c r="AG96" i="13"/>
  <c r="AG97" i="13"/>
  <c r="AG98" i="13"/>
  <c r="AG99" i="13"/>
  <c r="AG100" i="13"/>
  <c r="AG101" i="13"/>
  <c r="AG102" i="13"/>
  <c r="AG103" i="13"/>
  <c r="AG104" i="13"/>
  <c r="AG105" i="13"/>
  <c r="AG106" i="13"/>
  <c r="AG107" i="13"/>
  <c r="AG108" i="13"/>
  <c r="AG109" i="13"/>
  <c r="AG110" i="13"/>
  <c r="AG111" i="13"/>
  <c r="AG112" i="13"/>
  <c r="AG113" i="13"/>
  <c r="AG114" i="13"/>
  <c r="AG115" i="13"/>
  <c r="AG116" i="13"/>
  <c r="AG117" i="13"/>
  <c r="AG118" i="13"/>
  <c r="AG119" i="13"/>
  <c r="AG120" i="13"/>
  <c r="AG121" i="13"/>
  <c r="AG122" i="13"/>
  <c r="AG123" i="13"/>
  <c r="AG124" i="13"/>
  <c r="AG125" i="13"/>
  <c r="AG126" i="13"/>
  <c r="AG127" i="13"/>
  <c r="AG128" i="13"/>
  <c r="AG129" i="13"/>
  <c r="AG130" i="13"/>
  <c r="AG131" i="13"/>
  <c r="AG132" i="13"/>
  <c r="AG133" i="13"/>
  <c r="AG134" i="13"/>
  <c r="AG135" i="13"/>
  <c r="AG136" i="13"/>
  <c r="AG137" i="13"/>
  <c r="AG138" i="13"/>
  <c r="AG139" i="13"/>
  <c r="AG140" i="13"/>
  <c r="AG141" i="13"/>
  <c r="AG142" i="13"/>
  <c r="AG143" i="13"/>
  <c r="AG144" i="13"/>
  <c r="AG145" i="13"/>
  <c r="AG146" i="13"/>
  <c r="AG147" i="13"/>
  <c r="AG148" i="13"/>
  <c r="AG149" i="13"/>
  <c r="AG150" i="13"/>
  <c r="AG151" i="13"/>
  <c r="AG152" i="13"/>
  <c r="AG153" i="13"/>
  <c r="AG154" i="13"/>
  <c r="AG155" i="13"/>
  <c r="AG156" i="13"/>
  <c r="AG157" i="13"/>
  <c r="AG158" i="13"/>
  <c r="AG159" i="13"/>
  <c r="AG160" i="13"/>
  <c r="AG161" i="13"/>
  <c r="AG162" i="13"/>
  <c r="AG163" i="13"/>
  <c r="AG164" i="13"/>
  <c r="AG165" i="13"/>
  <c r="AG166" i="13"/>
  <c r="AG167" i="13"/>
  <c r="AG168" i="13"/>
  <c r="AG169" i="13"/>
  <c r="AG170" i="13"/>
  <c r="AG171" i="13"/>
  <c r="AG172" i="13"/>
  <c r="AG173" i="13"/>
  <c r="AG174" i="13"/>
  <c r="AG175" i="13"/>
  <c r="AG176" i="13"/>
  <c r="AG177" i="13"/>
  <c r="AG178" i="13"/>
  <c r="AG179" i="13"/>
  <c r="AG180" i="13"/>
  <c r="AG181" i="13"/>
  <c r="AG182" i="13"/>
  <c r="AG183" i="13"/>
  <c r="AG184" i="13"/>
  <c r="AG185" i="13"/>
  <c r="AG186" i="13"/>
  <c r="AG187" i="13"/>
  <c r="AG188" i="13"/>
  <c r="AG189" i="13"/>
  <c r="AG190" i="13"/>
  <c r="AG191" i="13"/>
  <c r="AG192" i="13"/>
  <c r="AG193" i="13"/>
  <c r="AG194" i="13"/>
  <c r="AG195" i="13"/>
  <c r="AG196" i="13"/>
  <c r="AG197" i="13"/>
  <c r="AG198" i="13"/>
  <c r="AG199" i="13"/>
  <c r="AG200" i="13"/>
  <c r="AG201" i="13"/>
  <c r="AG202" i="13"/>
  <c r="AG203" i="13"/>
  <c r="AG204" i="13"/>
  <c r="AG205" i="13"/>
  <c r="AG206" i="13"/>
  <c r="AG207" i="13"/>
  <c r="AG208" i="13"/>
  <c r="AG209" i="13"/>
  <c r="AG210" i="13"/>
  <c r="AG211" i="13"/>
  <c r="AG212" i="13"/>
  <c r="AG213" i="13"/>
  <c r="AG214" i="13"/>
  <c r="AG215" i="13"/>
  <c r="AG216" i="13"/>
  <c r="AG217" i="13"/>
  <c r="AG218" i="13"/>
  <c r="AG219" i="13"/>
  <c r="AG220" i="13"/>
  <c r="AG221" i="13"/>
  <c r="AG222" i="13"/>
  <c r="AG223" i="13"/>
  <c r="AG224" i="13"/>
  <c r="AG225" i="13"/>
  <c r="AG226" i="13"/>
  <c r="AG227" i="13"/>
  <c r="AG228" i="13"/>
  <c r="AG229" i="13"/>
  <c r="AG230" i="13"/>
  <c r="AG231" i="13"/>
  <c r="AG232" i="13"/>
  <c r="AG233" i="13"/>
  <c r="AH60" i="13"/>
  <c r="AH61" i="13"/>
  <c r="AH62" i="13"/>
  <c r="AH63" i="13"/>
  <c r="AH64" i="13"/>
  <c r="AH65" i="13"/>
  <c r="AH10" i="13"/>
  <c r="AH11" i="13"/>
  <c r="AH12" i="13"/>
  <c r="AH15" i="13"/>
  <c r="AH17" i="13"/>
  <c r="AH18" i="13"/>
  <c r="AH19" i="13"/>
  <c r="AH20" i="13"/>
  <c r="AH21" i="13"/>
  <c r="AH22" i="13"/>
  <c r="AH23" i="13"/>
  <c r="AH24" i="13"/>
  <c r="AH67" i="13"/>
  <c r="AH68" i="13"/>
  <c r="AH69" i="13"/>
  <c r="AH70" i="13"/>
  <c r="AH71" i="13"/>
  <c r="AH72" i="13"/>
  <c r="AH73" i="13"/>
  <c r="X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I60" i="13"/>
  <c r="AI63" i="13"/>
  <c r="AI64" i="13"/>
  <c r="AI65" i="13"/>
  <c r="AI10" i="13"/>
  <c r="AI11" i="13"/>
  <c r="AI12" i="13"/>
  <c r="AI13" i="13"/>
  <c r="AI14" i="13"/>
  <c r="AI15" i="13"/>
  <c r="AI16" i="13"/>
  <c r="AI17" i="13"/>
  <c r="AI18" i="13"/>
  <c r="AI66" i="13"/>
  <c r="AI19" i="13"/>
  <c r="AI20" i="13"/>
  <c r="AI21" i="13"/>
  <c r="AI22" i="13"/>
  <c r="AI24"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Y76" i="13"/>
  <c r="AF76" i="13"/>
  <c r="Y75" i="13"/>
  <c r="AF75" i="13"/>
  <c r="X69" i="13"/>
  <c r="Y69" i="13"/>
  <c r="X68" i="13"/>
  <c r="Y68" i="13"/>
  <c r="X67" i="13"/>
  <c r="Y67" i="13"/>
  <c r="AE50" i="13"/>
  <c r="V55" i="13"/>
  <c r="AB56" i="13"/>
  <c r="X72" i="13"/>
  <c r="AF72" i="13"/>
  <c r="X71" i="13"/>
  <c r="Y71" i="13"/>
  <c r="AF70" i="13"/>
  <c r="AF74" i="13"/>
  <c r="Y73" i="13"/>
  <c r="AF73" i="13"/>
  <c r="AF67" i="13"/>
  <c r="V71" i="13"/>
  <c r="AE71" i="13"/>
  <c r="U55" i="13"/>
  <c r="AD55" i="13"/>
  <c r="U58" i="13"/>
  <c r="AD58" i="13"/>
  <c r="AA44" i="13"/>
  <c r="X58" i="13"/>
  <c r="Y58" i="13"/>
  <c r="AI55" i="13"/>
  <c r="X55" i="13"/>
  <c r="Y55" i="13"/>
  <c r="X56" i="13"/>
  <c r="Y56" i="13"/>
  <c r="U56" i="13"/>
  <c r="AD56" i="13"/>
  <c r="S57" i="13"/>
  <c r="T57" i="13"/>
  <c r="AC57" i="13"/>
  <c r="T58" i="13"/>
  <c r="AC58" i="13"/>
  <c r="T56" i="13"/>
  <c r="AC56" i="13"/>
  <c r="V56" i="13"/>
  <c r="AE56" i="13"/>
  <c r="T55" i="13"/>
  <c r="AC55" i="13"/>
  <c r="AE55" i="13"/>
  <c r="AE54" i="13"/>
  <c r="AE53" i="13"/>
  <c r="U51" i="13"/>
  <c r="AD51" i="13"/>
  <c r="V49" i="13"/>
  <c r="AE49" i="13"/>
  <c r="U53" i="13"/>
  <c r="AD53" i="13"/>
  <c r="T52" i="13"/>
  <c r="AC52" i="13"/>
  <c r="X53" i="13"/>
  <c r="Y53" i="13"/>
  <c r="U50" i="13"/>
  <c r="AD50" i="13"/>
  <c r="U49" i="13"/>
  <c r="AD49" i="13"/>
  <c r="T49" i="13"/>
  <c r="AC49" i="13"/>
  <c r="AE51" i="13"/>
  <c r="AH51" i="13"/>
  <c r="X51" i="13"/>
  <c r="AF51" i="13"/>
  <c r="T50" i="13"/>
  <c r="AC50" i="13"/>
  <c r="U52" i="13"/>
  <c r="AD52" i="13"/>
  <c r="AG49" i="13"/>
  <c r="X49" i="13"/>
  <c r="Y49" i="13"/>
  <c r="T53" i="13"/>
  <c r="AC53" i="13"/>
  <c r="X54" i="13"/>
  <c r="Y54" i="13"/>
  <c r="U54" i="13"/>
  <c r="AD54" i="13"/>
  <c r="T54" i="13"/>
  <c r="AC54" i="13"/>
  <c r="X52" i="13"/>
  <c r="AF52" i="13"/>
  <c r="V52" i="13"/>
  <c r="AE52" i="13"/>
  <c r="X50" i="13"/>
  <c r="Y50" i="13"/>
  <c r="T51" i="13"/>
  <c r="AC51" i="13"/>
  <c r="X48" i="13"/>
  <c r="Y48" i="13"/>
  <c r="T48" i="13"/>
  <c r="AC48" i="13"/>
  <c r="U48" i="13"/>
  <c r="AD48" i="13"/>
  <c r="V48" i="13"/>
  <c r="AE48" i="13"/>
  <c r="X47" i="13"/>
  <c r="Y47" i="13"/>
  <c r="V47" i="13"/>
  <c r="AE47" i="13"/>
  <c r="U47" i="13"/>
  <c r="AD47" i="13"/>
  <c r="T47" i="13"/>
  <c r="AC47" i="13"/>
  <c r="V46" i="13"/>
  <c r="AE46" i="13"/>
  <c r="U45" i="13"/>
  <c r="AD45" i="13"/>
  <c r="U42" i="13"/>
  <c r="AD42" i="13"/>
  <c r="X46" i="13"/>
  <c r="Y46" i="13"/>
  <c r="U46" i="13"/>
  <c r="AD46" i="13"/>
  <c r="T46" i="13"/>
  <c r="AC46" i="13"/>
  <c r="V41" i="13"/>
  <c r="AE41" i="13"/>
  <c r="U41" i="13"/>
  <c r="AD41" i="13"/>
  <c r="T41" i="13"/>
  <c r="AC41" i="13"/>
  <c r="V42" i="13"/>
  <c r="AE42" i="13"/>
  <c r="X45" i="13"/>
  <c r="Y45" i="13"/>
  <c r="X44" i="13"/>
  <c r="AF44" i="13"/>
  <c r="V45" i="13"/>
  <c r="AE45" i="13"/>
  <c r="T45" i="13"/>
  <c r="AC45" i="13"/>
  <c r="V44" i="13"/>
  <c r="AE44" i="13"/>
  <c r="S43" i="13"/>
  <c r="T43" i="13"/>
  <c r="AC43" i="13"/>
  <c r="U44" i="13"/>
  <c r="AD44" i="13"/>
  <c r="T44" i="13"/>
  <c r="AC44" i="13"/>
  <c r="X42" i="13"/>
  <c r="Y42" i="13"/>
  <c r="T42" i="13"/>
  <c r="AC42" i="13"/>
  <c r="X41" i="13"/>
  <c r="Y41" i="13"/>
  <c r="V37" i="13"/>
  <c r="AE37" i="13"/>
  <c r="T39" i="13"/>
  <c r="AC39" i="13"/>
  <c r="U37" i="13"/>
  <c r="AD37" i="13"/>
  <c r="T38" i="13"/>
  <c r="AC38" i="13"/>
  <c r="AI37" i="13"/>
  <c r="X37" i="13"/>
  <c r="Y37" i="13"/>
  <c r="X40" i="13"/>
  <c r="AF40" i="13"/>
  <c r="U38" i="13"/>
  <c r="AD38" i="13"/>
  <c r="U39" i="13"/>
  <c r="AD39" i="13"/>
  <c r="T40" i="13"/>
  <c r="AC40" i="13"/>
  <c r="V38" i="13"/>
  <c r="AE38" i="13"/>
  <c r="AG39" i="13"/>
  <c r="X39" i="13"/>
  <c r="Y39" i="13"/>
  <c r="U40" i="13"/>
  <c r="AD40" i="13"/>
  <c r="V40" i="13"/>
  <c r="AE40" i="13"/>
  <c r="AE39" i="13"/>
  <c r="X38" i="13"/>
  <c r="Y38" i="13"/>
  <c r="T37" i="13"/>
  <c r="AC37" i="13"/>
  <c r="V11" i="13"/>
  <c r="AE11" i="13"/>
  <c r="T11" i="13"/>
  <c r="AC11" i="13"/>
  <c r="U20" i="13"/>
  <c r="AD20" i="13"/>
  <c r="V20" i="13"/>
  <c r="AE20" i="13"/>
  <c r="T20" i="13"/>
  <c r="AC20" i="13"/>
  <c r="U35" i="13"/>
  <c r="AD35" i="13"/>
  <c r="T35" i="13"/>
  <c r="AC35" i="13"/>
  <c r="V32" i="13"/>
  <c r="AE32" i="13"/>
  <c r="X36" i="13"/>
  <c r="Y36" i="13"/>
  <c r="V36" i="13"/>
  <c r="AE36" i="13"/>
  <c r="T36" i="13"/>
  <c r="AC36" i="13"/>
  <c r="U36" i="13"/>
  <c r="AD36" i="13"/>
  <c r="X35" i="13"/>
  <c r="Y35" i="13"/>
  <c r="V35" i="13"/>
  <c r="AE35" i="13"/>
  <c r="X34" i="13"/>
  <c r="Y34" i="13"/>
  <c r="V34" i="13"/>
  <c r="AE34" i="13"/>
  <c r="U34" i="13"/>
  <c r="AD34" i="13"/>
  <c r="T34" i="13"/>
  <c r="AC34" i="13"/>
  <c r="U26" i="13"/>
  <c r="AD26" i="13"/>
  <c r="V30" i="13"/>
  <c r="AE30" i="13"/>
  <c r="T59" i="13"/>
  <c r="AC59" i="13"/>
  <c r="X31" i="13"/>
  <c r="Y31" i="13"/>
  <c r="T30" i="13"/>
  <c r="AC30" i="13"/>
  <c r="AE59" i="13"/>
  <c r="T27" i="13"/>
  <c r="AC27" i="13"/>
  <c r="U23" i="13"/>
  <c r="AD23" i="13"/>
  <c r="U27" i="13"/>
  <c r="AD27" i="13"/>
  <c r="T29" i="13"/>
  <c r="AC29" i="13"/>
  <c r="AG59" i="13"/>
  <c r="X59" i="13"/>
  <c r="AG20" i="13"/>
  <c r="X20" i="13"/>
  <c r="Y20" i="13"/>
  <c r="AE27" i="13"/>
  <c r="V23" i="13"/>
  <c r="AE23" i="13"/>
  <c r="AI30" i="13"/>
  <c r="X30" i="13"/>
  <c r="Y30" i="13"/>
  <c r="T31" i="13"/>
  <c r="AC31" i="13"/>
  <c r="U32" i="13"/>
  <c r="AD32" i="13"/>
  <c r="T32" i="13"/>
  <c r="AC32" i="13"/>
  <c r="AG32" i="13"/>
  <c r="X32" i="13"/>
  <c r="V31" i="13"/>
  <c r="AE31" i="13"/>
  <c r="U31" i="13"/>
  <c r="AD31" i="13"/>
  <c r="U19" i="13"/>
  <c r="AD19" i="13"/>
  <c r="U29" i="13"/>
  <c r="AD29" i="13"/>
  <c r="V33" i="13"/>
  <c r="AE33" i="13"/>
  <c r="V19" i="13"/>
  <c r="AE19" i="13"/>
  <c r="U33" i="13"/>
  <c r="AD33" i="13"/>
  <c r="X29" i="13"/>
  <c r="Y29" i="13"/>
  <c r="U30" i="13"/>
  <c r="AD30" i="13"/>
  <c r="X28" i="13"/>
  <c r="AF28" i="13"/>
  <c r="AE29" i="13"/>
  <c r="AI23" i="13"/>
  <c r="X23" i="13"/>
  <c r="Y23" i="13"/>
  <c r="U18" i="13"/>
  <c r="AD18" i="13"/>
  <c r="U4" i="13"/>
  <c r="AD4" i="13"/>
  <c r="T33" i="13"/>
  <c r="AC33" i="13"/>
  <c r="AH33" i="13"/>
  <c r="X33" i="13"/>
  <c r="Y33" i="13"/>
  <c r="V18" i="13"/>
  <c r="AE18" i="13"/>
  <c r="T18" i="13"/>
  <c r="AC18" i="13"/>
  <c r="T65" i="13"/>
  <c r="AC65" i="13"/>
  <c r="U64" i="13"/>
  <c r="AD64" i="13"/>
  <c r="AH27" i="13"/>
  <c r="X27" i="13"/>
  <c r="Y27" i="13"/>
  <c r="T17" i="13"/>
  <c r="AC17" i="13"/>
  <c r="V64" i="13"/>
  <c r="AE64" i="13"/>
  <c r="T64" i="13"/>
  <c r="AC64" i="13"/>
  <c r="U28" i="13"/>
  <c r="AD28" i="13"/>
  <c r="T28" i="13"/>
  <c r="AC28" i="13"/>
  <c r="V28" i="13"/>
  <c r="AE28" i="13"/>
  <c r="X26" i="13"/>
  <c r="AF26" i="13"/>
  <c r="T26" i="13"/>
  <c r="AC26" i="13"/>
  <c r="V26" i="13"/>
  <c r="AE26" i="13"/>
  <c r="U14" i="13"/>
  <c r="AD14" i="13"/>
  <c r="U24" i="13"/>
  <c r="AD24" i="13"/>
  <c r="S13" i="13"/>
  <c r="X13" i="13"/>
  <c r="Y13" i="13"/>
  <c r="AE17" i="13"/>
  <c r="T21" i="13"/>
  <c r="AC21" i="13"/>
  <c r="AG18" i="13"/>
  <c r="X18" i="13"/>
  <c r="AF18" i="13"/>
  <c r="V22" i="13"/>
  <c r="AE22" i="13"/>
  <c r="V14" i="13"/>
  <c r="AE14" i="13"/>
  <c r="T22" i="13"/>
  <c r="AC22" i="13"/>
  <c r="T14" i="13"/>
  <c r="AC14" i="13"/>
  <c r="T24" i="13"/>
  <c r="AC24" i="13"/>
  <c r="AE63" i="13"/>
  <c r="AG17" i="13"/>
  <c r="X17" i="13"/>
  <c r="Y17" i="13"/>
  <c r="V21" i="13"/>
  <c r="AE21" i="13"/>
  <c r="T5" i="13"/>
  <c r="AC5" i="13"/>
  <c r="V12" i="13"/>
  <c r="AE12" i="13"/>
  <c r="T19" i="13"/>
  <c r="AC19" i="13"/>
  <c r="T6" i="13"/>
  <c r="AC6" i="13"/>
  <c r="AG22" i="13"/>
  <c r="X22" i="13"/>
  <c r="Y22" i="13"/>
  <c r="U7" i="13"/>
  <c r="AD7" i="13"/>
  <c r="T8" i="13"/>
  <c r="AC8" i="13"/>
  <c r="U21" i="13"/>
  <c r="AD21" i="13"/>
  <c r="V24" i="13"/>
  <c r="AE24" i="13"/>
  <c r="U12" i="13"/>
  <c r="AD12" i="13"/>
  <c r="T23" i="13"/>
  <c r="AC23" i="13"/>
  <c r="U22" i="13"/>
  <c r="AD22" i="13"/>
  <c r="X24" i="13"/>
  <c r="Y24" i="13"/>
  <c r="X21" i="13"/>
  <c r="Y21" i="13"/>
  <c r="X19" i="13"/>
  <c r="Y19" i="13"/>
  <c r="V16" i="13"/>
  <c r="AE16" i="13"/>
  <c r="T3" i="13"/>
  <c r="AC3" i="13"/>
  <c r="AH14" i="13"/>
  <c r="X14" i="13"/>
  <c r="Y14" i="13"/>
  <c r="AG11" i="13"/>
  <c r="X11" i="13"/>
  <c r="Y11" i="13"/>
  <c r="T16" i="13"/>
  <c r="AC16" i="13"/>
  <c r="T12" i="13"/>
  <c r="AC12" i="13"/>
  <c r="T63" i="13"/>
  <c r="AC63" i="13"/>
  <c r="U11" i="13"/>
  <c r="AD11" i="13"/>
  <c r="V7" i="13"/>
  <c r="AE7" i="13"/>
  <c r="U16" i="13"/>
  <c r="AD16" i="13"/>
  <c r="U17" i="13"/>
  <c r="AD17" i="13"/>
  <c r="T15" i="13"/>
  <c r="AC15" i="13"/>
  <c r="U15" i="13"/>
  <c r="AD15" i="13"/>
  <c r="V15" i="13"/>
  <c r="AE15" i="13"/>
  <c r="X16" i="13"/>
  <c r="AF16" i="13"/>
  <c r="AG15" i="13"/>
  <c r="X15" i="13"/>
  <c r="X12" i="13"/>
  <c r="AF12" i="13"/>
  <c r="X10" i="13"/>
  <c r="Y10" i="13"/>
  <c r="T10" i="13"/>
  <c r="AC10" i="13"/>
  <c r="U10" i="13"/>
  <c r="AD10" i="13"/>
  <c r="V10" i="13"/>
  <c r="AE10" i="13"/>
  <c r="X9" i="13"/>
  <c r="AF9" i="13"/>
  <c r="T9" i="13"/>
  <c r="AC9" i="13"/>
  <c r="U9" i="13"/>
  <c r="AD9" i="13"/>
  <c r="V9" i="13"/>
  <c r="AE9" i="13"/>
  <c r="X8" i="13"/>
  <c r="Y8" i="13"/>
  <c r="U8" i="13"/>
  <c r="AD8" i="13"/>
  <c r="V8" i="13"/>
  <c r="AE8" i="13"/>
  <c r="X7" i="13"/>
  <c r="Y7" i="13"/>
  <c r="T7" i="13"/>
  <c r="AC7" i="13"/>
  <c r="X6" i="13"/>
  <c r="Y6" i="13"/>
  <c r="U6" i="13"/>
  <c r="AD6" i="13"/>
  <c r="V6" i="13"/>
  <c r="AE6" i="13"/>
  <c r="X5" i="13"/>
  <c r="Y5" i="13"/>
  <c r="V5" i="13"/>
  <c r="AE5" i="13"/>
  <c r="U5" i="13"/>
  <c r="AD5" i="13"/>
  <c r="X4" i="13"/>
  <c r="V4" i="13"/>
  <c r="AE4" i="13"/>
  <c r="T4" i="13"/>
  <c r="AC4" i="13"/>
  <c r="X3" i="13"/>
  <c r="Y3" i="13"/>
  <c r="U3" i="13"/>
  <c r="AD3" i="13"/>
  <c r="V3" i="13"/>
  <c r="AE3" i="13"/>
  <c r="V61" i="13"/>
  <c r="AE61" i="13"/>
  <c r="AG64" i="13"/>
  <c r="X64" i="13"/>
  <c r="Y64" i="13"/>
  <c r="T61" i="13"/>
  <c r="AC61" i="13"/>
  <c r="T2" i="13"/>
  <c r="AC2" i="13"/>
  <c r="U61" i="13"/>
  <c r="AD61" i="13"/>
  <c r="AG63" i="13"/>
  <c r="X63" i="13"/>
  <c r="Y63" i="13"/>
  <c r="AI61" i="13"/>
  <c r="X61" i="13"/>
  <c r="Y61" i="13"/>
  <c r="V2" i="13"/>
  <c r="AE2" i="13"/>
  <c r="U2" i="13"/>
  <c r="AD2" i="13"/>
  <c r="X2" i="13"/>
  <c r="AE65" i="13"/>
  <c r="U62" i="13"/>
  <c r="AD62" i="13"/>
  <c r="X65" i="13"/>
  <c r="AF65" i="13"/>
  <c r="V62" i="13"/>
  <c r="AE62" i="13"/>
  <c r="T62" i="13"/>
  <c r="AC62" i="13"/>
  <c r="T60" i="13"/>
  <c r="AC60" i="13"/>
  <c r="V66" i="13"/>
  <c r="AE66" i="13"/>
  <c r="X62" i="13"/>
  <c r="Y62" i="13"/>
  <c r="X60" i="13"/>
  <c r="Y60" i="13"/>
  <c r="AE60" i="13"/>
  <c r="U66" i="13"/>
  <c r="AD66" i="13"/>
  <c r="U25" i="13"/>
  <c r="AD25" i="13"/>
  <c r="V25" i="13"/>
  <c r="AE25" i="13"/>
  <c r="T25" i="13"/>
  <c r="AC25" i="13"/>
  <c r="AG25" i="13"/>
  <c r="X25" i="13"/>
  <c r="X66" i="13"/>
  <c r="AF66" i="13"/>
  <c r="T66" i="13"/>
  <c r="AC66" i="13"/>
  <c r="AF4" i="13"/>
  <c r="AF2" i="13"/>
  <c r="AF69" i="13"/>
  <c r="AF68" i="13"/>
  <c r="Y72" i="13"/>
  <c r="AF71" i="13"/>
  <c r="AF56" i="13"/>
  <c r="AF58" i="13"/>
  <c r="V57" i="13"/>
  <c r="AE57" i="13"/>
  <c r="X57" i="13"/>
  <c r="Y57" i="13"/>
  <c r="U57" i="13"/>
  <c r="AD57" i="13"/>
  <c r="AF55" i="13"/>
  <c r="AF53" i="13"/>
  <c r="AF54" i="13"/>
  <c r="Y51" i="13"/>
  <c r="Y52" i="13"/>
  <c r="AF50" i="13"/>
  <c r="AF49" i="13"/>
  <c r="AF48" i="13"/>
  <c r="AF47" i="13"/>
  <c r="X43" i="13"/>
  <c r="Y43" i="13"/>
  <c r="AF46" i="13"/>
  <c r="Y44" i="13"/>
  <c r="AF45" i="13"/>
  <c r="U43" i="13"/>
  <c r="AD43" i="13"/>
  <c r="V43" i="13"/>
  <c r="AE43" i="13"/>
  <c r="AF42" i="13"/>
  <c r="AF41" i="13"/>
  <c r="Y40" i="13"/>
  <c r="AF39" i="13"/>
  <c r="AF38" i="13"/>
  <c r="AF37" i="13"/>
  <c r="T13" i="13"/>
  <c r="AC13" i="13"/>
  <c r="AF36" i="13"/>
  <c r="AF31" i="13"/>
  <c r="AF35" i="13"/>
  <c r="AF34" i="13"/>
  <c r="AF59" i="13"/>
  <c r="Y59" i="13"/>
  <c r="AF32" i="13"/>
  <c r="Y32" i="13"/>
  <c r="AF30" i="13"/>
  <c r="Y28" i="13"/>
  <c r="AF29" i="13"/>
  <c r="AF33" i="13"/>
  <c r="Y26" i="13"/>
  <c r="AF27" i="13"/>
  <c r="V13" i="13"/>
  <c r="AE13" i="13"/>
  <c r="U13" i="13"/>
  <c r="AD13" i="13"/>
  <c r="Y18" i="13"/>
  <c r="AF23" i="13"/>
  <c r="AF24" i="13"/>
  <c r="AF22" i="13"/>
  <c r="AF21" i="13"/>
  <c r="AF20" i="13"/>
  <c r="AF19" i="13"/>
  <c r="AF17" i="13"/>
  <c r="Y16" i="13"/>
  <c r="Y15" i="13"/>
  <c r="AF15" i="13"/>
  <c r="AF13" i="13"/>
  <c r="AF14" i="13"/>
  <c r="Y12" i="13"/>
  <c r="AF11" i="13"/>
  <c r="AF10" i="13"/>
  <c r="Y9" i="13"/>
  <c r="AF8" i="13"/>
  <c r="AF7" i="13"/>
  <c r="AF6" i="13"/>
  <c r="AF5" i="13"/>
  <c r="Y4" i="13"/>
  <c r="AF3" i="13"/>
  <c r="Y2" i="13"/>
  <c r="Y65" i="13"/>
  <c r="AF64" i="13"/>
  <c r="AF63" i="13"/>
  <c r="AF62" i="13"/>
  <c r="AF61" i="13"/>
  <c r="AF60" i="13"/>
  <c r="AJ25" i="13"/>
  <c r="AJ26" i="13"/>
  <c r="AJ27" i="13"/>
  <c r="AJ28" i="13"/>
  <c r="AJ29" i="13"/>
  <c r="AJ30" i="13"/>
  <c r="AJ31" i="13"/>
  <c r="AJ32" i="13"/>
  <c r="AF25" i="13"/>
  <c r="Y25" i="13"/>
  <c r="Y66" i="13"/>
  <c r="M894" i="15"/>
  <c r="M884" i="15"/>
  <c r="AF57" i="13"/>
  <c r="AF43" i="13"/>
  <c r="AJ59" i="13"/>
  <c r="AJ33" i="13"/>
  <c r="AJ34" i="13"/>
  <c r="AJ3" i="13"/>
  <c r="AJ36" i="13"/>
  <c r="AJ37" i="13"/>
  <c r="AJ35" i="13"/>
  <c r="AJ40" i="13"/>
  <c r="AJ38" i="13"/>
  <c r="AJ39" i="13"/>
  <c r="AJ45" i="13"/>
  <c r="AJ41" i="13"/>
  <c r="AJ42" i="13"/>
  <c r="AJ47" i="13"/>
  <c r="AJ48" i="13"/>
  <c r="AJ46" i="13"/>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AJ50" i="13"/>
  <c r="AJ49" i="13"/>
  <c r="AJ52" i="13"/>
  <c r="AJ51" i="13"/>
  <c r="AJ54" i="13"/>
  <c r="AJ55" i="13"/>
  <c r="AJ56" i="13"/>
  <c r="AJ57" i="13"/>
  <c r="AJ53" i="13"/>
  <c r="AJ44" i="13"/>
  <c r="AJ43" i="13"/>
  <c r="AJ58" i="13"/>
  <c r="I3" i="22"/>
  <c r="I10" i="22"/>
  <c r="I11" i="22"/>
  <c r="I12" i="22"/>
  <c r="I13" i="22"/>
  <c r="I14" i="22"/>
  <c r="I9" i="22"/>
  <c r="I5" i="22"/>
  <c r="I4"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8" i="22"/>
  <c r="B63" i="22"/>
  <c r="B64" i="22"/>
  <c r="B68" i="22"/>
  <c r="B70" i="22"/>
  <c r="B71" i="22"/>
  <c r="B72" i="22"/>
  <c r="B74" i="22"/>
  <c r="B77" i="22"/>
  <c r="B78" i="22"/>
  <c r="B79" i="22"/>
  <c r="B80" i="22"/>
  <c r="B81" i="22"/>
  <c r="B82" i="22"/>
  <c r="B83" i="22"/>
  <c r="B85" i="22"/>
  <c r="B86" i="22"/>
  <c r="B89" i="22"/>
  <c r="B93" i="22"/>
  <c r="B94" i="22"/>
  <c r="B95" i="22"/>
  <c r="B96" i="22"/>
  <c r="B98" i="22"/>
  <c r="B99" i="22"/>
  <c r="B101" i="22"/>
  <c r="B102" i="22"/>
  <c r="B103" i="22"/>
  <c r="B104" i="22"/>
  <c r="B105" i="22"/>
  <c r="B106" i="22"/>
  <c r="B107" i="22"/>
  <c r="B108" i="22"/>
  <c r="B109" i="22"/>
  <c r="B110" i="22"/>
  <c r="B111" i="22"/>
  <c r="B113" i="22"/>
  <c r="B114" i="22"/>
  <c r="B115" i="22"/>
  <c r="B116" i="22"/>
  <c r="B117" i="22"/>
  <c r="B118" i="22"/>
  <c r="B119" i="22"/>
  <c r="B120" i="22"/>
  <c r="B121" i="22"/>
  <c r="B122" i="22"/>
  <c r="B123" i="22"/>
  <c r="B124" i="22"/>
  <c r="B126" i="22"/>
  <c r="B128" i="22"/>
  <c r="B132" i="22"/>
  <c r="B134" i="22"/>
  <c r="B135"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3" i="22"/>
  <c r="B2" i="22"/>
  <c r="B140" i="22"/>
  <c r="B139" i="22"/>
  <c r="B138" i="22"/>
  <c r="B137" i="22"/>
  <c r="B136" i="22"/>
  <c r="B133" i="22"/>
  <c r="B131" i="22"/>
  <c r="B130" i="22"/>
  <c r="B127" i="22"/>
  <c r="B129" i="22"/>
  <c r="B125" i="22"/>
  <c r="B112" i="22"/>
  <c r="I8" i="22"/>
  <c r="B100" i="22"/>
  <c r="B97" i="22"/>
  <c r="B92" i="22"/>
  <c r="B91" i="22"/>
  <c r="B90" i="22"/>
  <c r="B88" i="22"/>
  <c r="B87" i="22"/>
  <c r="B84" i="22"/>
  <c r="I7" i="22"/>
  <c r="B76" i="22"/>
  <c r="B75" i="22"/>
  <c r="B73" i="22"/>
  <c r="B67" i="22"/>
  <c r="B69" i="22"/>
  <c r="B66" i="22"/>
  <c r="B65" i="22"/>
  <c r="B62" i="22"/>
  <c r="B61" i="22"/>
  <c r="B60" i="22"/>
  <c r="B59" i="22"/>
  <c r="B57" i="22"/>
  <c r="A11" i="21"/>
  <c r="H11" i="21" s="1"/>
  <c r="A12" i="21"/>
  <c r="A13" i="21"/>
  <c r="A14" i="21"/>
  <c r="H14" i="21" s="1"/>
  <c r="A15" i="21"/>
  <c r="A16" i="21"/>
  <c r="H16" i="21" s="1"/>
  <c r="A17" i="21"/>
  <c r="A18" i="21"/>
  <c r="H18" i="21" s="1"/>
  <c r="A19" i="21"/>
  <c r="A20" i="21"/>
  <c r="H20" i="21" s="1"/>
  <c r="A21" i="21"/>
  <c r="A22" i="21"/>
  <c r="H22" i="21"/>
  <c r="A23" i="21"/>
  <c r="A24" i="21"/>
  <c r="A25" i="21"/>
  <c r="A26" i="21"/>
  <c r="H26" i="21" s="1"/>
  <c r="A27" i="21"/>
  <c r="H27" i="21" s="1"/>
  <c r="A28" i="21"/>
  <c r="H28" i="21" s="1"/>
  <c r="A29" i="21"/>
  <c r="H29" i="21" s="1"/>
  <c r="A30" i="21"/>
  <c r="A31" i="21"/>
  <c r="S31" i="21" s="1"/>
  <c r="H31" i="21"/>
  <c r="A32" i="21"/>
  <c r="A33" i="21"/>
  <c r="H33" i="21" s="1"/>
  <c r="A34" i="21"/>
  <c r="A35" i="21"/>
  <c r="H35" i="21" s="1"/>
  <c r="A36" i="21"/>
  <c r="H36" i="21" s="1"/>
  <c r="A37" i="21"/>
  <c r="H37" i="21" s="1"/>
  <c r="A38" i="21"/>
  <c r="A39" i="21"/>
  <c r="A40" i="21"/>
  <c r="H40" i="21" s="1"/>
  <c r="A41" i="21"/>
  <c r="H41" i="21" s="1"/>
  <c r="A42" i="21"/>
  <c r="A43" i="21"/>
  <c r="H43" i="21" s="1"/>
  <c r="A44" i="21"/>
  <c r="H44" i="21" s="1"/>
  <c r="A45" i="21"/>
  <c r="A46" i="21"/>
  <c r="H46" i="21" s="1"/>
  <c r="A47" i="21"/>
  <c r="B47" i="21" s="1"/>
  <c r="A48" i="21"/>
  <c r="H48" i="21" s="1"/>
  <c r="A49" i="21"/>
  <c r="H49" i="21" s="1"/>
  <c r="A50" i="21"/>
  <c r="H50" i="21" s="1"/>
  <c r="A51" i="21"/>
  <c r="H51" i="21" s="1"/>
  <c r="A52" i="21"/>
  <c r="A53" i="21"/>
  <c r="A54" i="21"/>
  <c r="H54" i="21" s="1"/>
  <c r="A55" i="21"/>
  <c r="Q55" i="21" s="1"/>
  <c r="A56" i="21"/>
  <c r="H56" i="21" s="1"/>
  <c r="A57" i="21"/>
  <c r="H57" i="21" s="1"/>
  <c r="A58" i="21"/>
  <c r="H58" i="21" s="1"/>
  <c r="A59" i="21"/>
  <c r="H59" i="21" s="1"/>
  <c r="A60" i="21"/>
  <c r="H60" i="21" s="1"/>
  <c r="A61" i="21"/>
  <c r="A62" i="21"/>
  <c r="H62" i="21" s="1"/>
  <c r="A63" i="21"/>
  <c r="C63" i="21" s="1"/>
  <c r="D63" i="21" s="1"/>
  <c r="F63" i="21" s="1"/>
  <c r="A64" i="21"/>
  <c r="H64" i="21" s="1"/>
  <c r="A65" i="21"/>
  <c r="H65" i="21" s="1"/>
  <c r="A66" i="21"/>
  <c r="H66" i="21" s="1"/>
  <c r="A67" i="21"/>
  <c r="A68" i="21"/>
  <c r="H68" i="21" s="1"/>
  <c r="A69" i="21"/>
  <c r="H69" i="21" s="1"/>
  <c r="A70" i="21"/>
  <c r="H70" i="21" s="1"/>
  <c r="A71" i="21"/>
  <c r="O71" i="21" s="1"/>
  <c r="A72" i="21"/>
  <c r="H72" i="21" s="1"/>
  <c r="A73" i="21"/>
  <c r="H73" i="21" s="1"/>
  <c r="A74" i="21"/>
  <c r="H74" i="21" s="1"/>
  <c r="A75" i="21"/>
  <c r="H75" i="21" s="1"/>
  <c r="A76" i="21"/>
  <c r="H76" i="21" s="1"/>
  <c r="A77" i="21"/>
  <c r="A78" i="21"/>
  <c r="H78" i="21"/>
  <c r="A79" i="21"/>
  <c r="J79" i="21"/>
  <c r="A80" i="21"/>
  <c r="H80" i="21"/>
  <c r="A81" i="21"/>
  <c r="H81" i="21"/>
  <c r="A82" i="21"/>
  <c r="H82" i="21"/>
  <c r="A83" i="21"/>
  <c r="M83" i="21"/>
  <c r="A84" i="21"/>
  <c r="A85" i="21"/>
  <c r="M85" i="21" s="1"/>
  <c r="A86" i="21"/>
  <c r="A87" i="21"/>
  <c r="M87" i="21" s="1"/>
  <c r="A88" i="21"/>
  <c r="H88" i="21"/>
  <c r="A89" i="21"/>
  <c r="A90" i="21"/>
  <c r="A91" i="21"/>
  <c r="H91" i="21"/>
  <c r="A92" i="21"/>
  <c r="H92" i="21"/>
  <c r="A93" i="21"/>
  <c r="A94" i="21"/>
  <c r="A95" i="21"/>
  <c r="A96" i="21"/>
  <c r="H96" i="21" s="1"/>
  <c r="A97" i="21"/>
  <c r="A98" i="21"/>
  <c r="A99" i="21"/>
  <c r="H99" i="21" s="1"/>
  <c r="A100" i="21"/>
  <c r="H100" i="21" s="1"/>
  <c r="A101" i="21"/>
  <c r="H101" i="21" s="1"/>
  <c r="A102" i="21"/>
  <c r="H102" i="21" s="1"/>
  <c r="A103" i="21"/>
  <c r="H103" i="21" s="1"/>
  <c r="A104" i="21"/>
  <c r="A105" i="21"/>
  <c r="A106" i="21"/>
  <c r="H106" i="21" s="1"/>
  <c r="A114" i="21"/>
  <c r="A115" i="21"/>
  <c r="A116" i="21"/>
  <c r="H116" i="21" s="1"/>
  <c r="A117" i="21"/>
  <c r="H117" i="21" s="1"/>
  <c r="A118" i="21"/>
  <c r="A119" i="21"/>
  <c r="J119" i="21" s="1"/>
  <c r="A120" i="21"/>
  <c r="H120" i="21" s="1"/>
  <c r="A121" i="21"/>
  <c r="H121" i="21" s="1"/>
  <c r="A122" i="21"/>
  <c r="H122" i="21" s="1"/>
  <c r="A123" i="21"/>
  <c r="H123" i="21" s="1"/>
  <c r="A124" i="21"/>
  <c r="H124" i="21" s="1"/>
  <c r="A125" i="21"/>
  <c r="H125" i="21" s="1"/>
  <c r="A126" i="21"/>
  <c r="A127" i="21"/>
  <c r="O127" i="21" s="1"/>
  <c r="A128" i="21"/>
  <c r="H128" i="21" s="1"/>
  <c r="A129" i="21"/>
  <c r="H129" i="21" s="1"/>
  <c r="A130" i="21"/>
  <c r="H130" i="21" s="1"/>
  <c r="A131" i="21"/>
  <c r="H131" i="21" s="1"/>
  <c r="A132" i="21"/>
  <c r="H132" i="21" s="1"/>
  <c r="A133" i="21"/>
  <c r="H133" i="21" s="1"/>
  <c r="A134" i="21"/>
  <c r="A135" i="21"/>
  <c r="I135" i="21" s="1"/>
  <c r="A136" i="21"/>
  <c r="H136" i="21" s="1"/>
  <c r="A137" i="21"/>
  <c r="H137" i="21" s="1"/>
  <c r="A138" i="21"/>
  <c r="H138" i="21" s="1"/>
  <c r="A139" i="21"/>
  <c r="H139" i="21" s="1"/>
  <c r="A140" i="21"/>
  <c r="H140" i="21" s="1"/>
  <c r="A141" i="21"/>
  <c r="H141" i="21" s="1"/>
  <c r="A142" i="21"/>
  <c r="A143" i="21"/>
  <c r="L143" i="21" s="1"/>
  <c r="A144" i="21"/>
  <c r="H144" i="21" s="1"/>
  <c r="A145" i="21"/>
  <c r="H145" i="21" s="1"/>
  <c r="A146" i="21"/>
  <c r="H146" i="21" s="1"/>
  <c r="A147" i="21"/>
  <c r="H147" i="21" s="1"/>
  <c r="A148" i="21"/>
  <c r="H148" i="21" s="1"/>
  <c r="A149" i="21"/>
  <c r="H149" i="21" s="1"/>
  <c r="A150" i="21"/>
  <c r="A151" i="21"/>
  <c r="S151" i="21" s="1"/>
  <c r="A152" i="21"/>
  <c r="H152" i="21" s="1"/>
  <c r="A153" i="21"/>
  <c r="H153" i="21" s="1"/>
  <c r="A154" i="21"/>
  <c r="H154" i="21" s="1"/>
  <c r="A155" i="21"/>
  <c r="H155" i="21" s="1"/>
  <c r="A156" i="21"/>
  <c r="H156" i="21" s="1"/>
  <c r="A157" i="21"/>
  <c r="H157" i="21" s="1"/>
  <c r="A158" i="21"/>
  <c r="A159" i="21"/>
  <c r="J159" i="21" s="1"/>
  <c r="A10" i="21"/>
  <c r="M159" i="21"/>
  <c r="L159" i="21"/>
  <c r="O151" i="21"/>
  <c r="M143" i="21"/>
  <c r="E135" i="21"/>
  <c r="K135" i="21"/>
  <c r="R127" i="21"/>
  <c r="P119" i="21"/>
  <c r="M119" i="21"/>
  <c r="Q111" i="21"/>
  <c r="S111" i="21"/>
  <c r="K87" i="21"/>
  <c r="L87" i="21"/>
  <c r="I79" i="21"/>
  <c r="M79" i="21"/>
  <c r="K79" i="21"/>
  <c r="L79" i="21"/>
  <c r="C71" i="21"/>
  <c r="Q71" i="21"/>
  <c r="N71" i="21"/>
  <c r="P63" i="21"/>
  <c r="R63" i="21"/>
  <c r="M63" i="21"/>
  <c r="C55" i="21"/>
  <c r="J55" i="21"/>
  <c r="M55" i="21"/>
  <c r="O47" i="21"/>
  <c r="I47" i="21"/>
  <c r="J47" i="21"/>
  <c r="L47" i="21"/>
  <c r="K47" i="21"/>
  <c r="S47" i="21"/>
  <c r="B39" i="21"/>
  <c r="I39" i="21"/>
  <c r="B31" i="21"/>
  <c r="R31" i="21"/>
  <c r="C23" i="21"/>
  <c r="M23" i="21"/>
  <c r="K23" i="21"/>
  <c r="C15" i="21"/>
  <c r="Q15" i="21"/>
  <c r="R15" i="21"/>
  <c r="J15" i="21"/>
  <c r="S15" i="21"/>
  <c r="L15" i="21"/>
  <c r="P15" i="21"/>
  <c r="B158" i="21"/>
  <c r="J158" i="21"/>
  <c r="K158" i="21"/>
  <c r="M158" i="21"/>
  <c r="S158" i="21"/>
  <c r="O158" i="21"/>
  <c r="P158" i="21"/>
  <c r="R158" i="21"/>
  <c r="B150" i="21"/>
  <c r="L150" i="21"/>
  <c r="K150" i="21"/>
  <c r="M150" i="21"/>
  <c r="O150" i="21"/>
  <c r="R150" i="21"/>
  <c r="S150" i="21"/>
  <c r="I150" i="21"/>
  <c r="B142" i="21"/>
  <c r="L142" i="21"/>
  <c r="P142" i="21"/>
  <c r="R142" i="21"/>
  <c r="S142" i="21"/>
  <c r="I142" i="21"/>
  <c r="K142" i="21"/>
  <c r="M142" i="21"/>
  <c r="O142" i="21"/>
  <c r="Q134" i="21"/>
  <c r="I134" i="21"/>
  <c r="R134" i="21"/>
  <c r="S134" i="21"/>
  <c r="K134" i="21"/>
  <c r="L134" i="21"/>
  <c r="O134" i="21"/>
  <c r="P134" i="21"/>
  <c r="B126" i="21"/>
  <c r="I126" i="21"/>
  <c r="R126" i="21"/>
  <c r="J126" i="21"/>
  <c r="K126" i="21"/>
  <c r="L126" i="21"/>
  <c r="M126" i="21"/>
  <c r="P126" i="21"/>
  <c r="B118" i="21"/>
  <c r="Q118" i="21"/>
  <c r="R118" i="21"/>
  <c r="J118" i="21"/>
  <c r="S118" i="21"/>
  <c r="L118" i="21"/>
  <c r="M118" i="21"/>
  <c r="O118" i="21"/>
  <c r="B110" i="21"/>
  <c r="Q110" i="21"/>
  <c r="I110" i="21"/>
  <c r="R110" i="21"/>
  <c r="J110" i="21"/>
  <c r="K110" i="21"/>
  <c r="L110" i="21"/>
  <c r="M110" i="21"/>
  <c r="O110" i="21"/>
  <c r="P110" i="21"/>
  <c r="I86" i="21"/>
  <c r="L86" i="21"/>
  <c r="M86" i="21"/>
  <c r="O86" i="21"/>
  <c r="S86" i="21"/>
  <c r="J86" i="21"/>
  <c r="J78" i="21"/>
  <c r="S78" i="21"/>
  <c r="K78" i="21"/>
  <c r="L78" i="21"/>
  <c r="P78" i="21"/>
  <c r="R78" i="21"/>
  <c r="I78" i="21"/>
  <c r="M78" i="21"/>
  <c r="N78" i="21"/>
  <c r="Q78" i="21"/>
  <c r="E70" i="21"/>
  <c r="P70" i="21"/>
  <c r="I70" i="21"/>
  <c r="Q70" i="21"/>
  <c r="J70" i="21"/>
  <c r="R70" i="21"/>
  <c r="K70" i="21"/>
  <c r="S70" i="21"/>
  <c r="M70" i="21"/>
  <c r="N70" i="21"/>
  <c r="L70" i="21"/>
  <c r="O70" i="21"/>
  <c r="E62" i="21"/>
  <c r="K62" i="21"/>
  <c r="S62" i="21"/>
  <c r="L62" i="21"/>
  <c r="M62" i="21"/>
  <c r="N62" i="21"/>
  <c r="P62" i="21"/>
  <c r="I62" i="21"/>
  <c r="Q62" i="21"/>
  <c r="J62" i="21"/>
  <c r="O62" i="21"/>
  <c r="R62" i="21"/>
  <c r="C54" i="21"/>
  <c r="J54" i="21"/>
  <c r="R54" i="21"/>
  <c r="K54" i="21"/>
  <c r="S54" i="21"/>
  <c r="L54" i="21"/>
  <c r="M54" i="21"/>
  <c r="O54" i="21"/>
  <c r="P54" i="21"/>
  <c r="I54" i="21"/>
  <c r="N54" i="21"/>
  <c r="Q54" i="21"/>
  <c r="C46" i="21"/>
  <c r="J46" i="21"/>
  <c r="R46" i="21"/>
  <c r="K46" i="21"/>
  <c r="S46" i="21"/>
  <c r="L46" i="21"/>
  <c r="M46" i="21"/>
  <c r="P46" i="21"/>
  <c r="Q46" i="21"/>
  <c r="N46" i="21"/>
  <c r="C38" i="21"/>
  <c r="I38" i="21"/>
  <c r="C30" i="21"/>
  <c r="R30" i="21"/>
  <c r="I30" i="21"/>
  <c r="J30" i="21"/>
  <c r="N30" i="21"/>
  <c r="P30" i="21"/>
  <c r="M30" i="21"/>
  <c r="E22" i="21"/>
  <c r="O22" i="21"/>
  <c r="P22" i="21"/>
  <c r="I22" i="21"/>
  <c r="Q22" i="21"/>
  <c r="J22" i="21"/>
  <c r="R22" i="21"/>
  <c r="K22" i="21"/>
  <c r="S22" i="21"/>
  <c r="L22" i="21"/>
  <c r="M22" i="21"/>
  <c r="N22" i="21"/>
  <c r="C14" i="21"/>
  <c r="K14" i="21"/>
  <c r="S14" i="21"/>
  <c r="L14" i="21"/>
  <c r="M14" i="21"/>
  <c r="N14" i="21"/>
  <c r="O14" i="21"/>
  <c r="P14" i="21"/>
  <c r="I14" i="21"/>
  <c r="Q14" i="21"/>
  <c r="J14" i="21"/>
  <c r="R14" i="21"/>
  <c r="C157" i="21"/>
  <c r="O157" i="21"/>
  <c r="I157" i="21"/>
  <c r="R157" i="21"/>
  <c r="P157" i="21"/>
  <c r="Q157" i="21"/>
  <c r="S157" i="21"/>
  <c r="J157" i="21"/>
  <c r="K157" i="21"/>
  <c r="L157" i="21"/>
  <c r="M157" i="21"/>
  <c r="C149" i="21"/>
  <c r="O149" i="21"/>
  <c r="I149" i="21"/>
  <c r="R149" i="21"/>
  <c r="J149" i="21"/>
  <c r="K149" i="21"/>
  <c r="L149" i="21"/>
  <c r="M149" i="21"/>
  <c r="P149" i="21"/>
  <c r="Q149" i="21"/>
  <c r="S149" i="21"/>
  <c r="C141" i="21"/>
  <c r="O141" i="21"/>
  <c r="I141" i="21"/>
  <c r="R141" i="21"/>
  <c r="P141" i="21"/>
  <c r="Q141" i="21"/>
  <c r="S141" i="21"/>
  <c r="J141" i="21"/>
  <c r="K141" i="21"/>
  <c r="L141" i="21"/>
  <c r="M141" i="21"/>
  <c r="C133" i="21"/>
  <c r="J133" i="21"/>
  <c r="S133" i="21"/>
  <c r="K133" i="21"/>
  <c r="L133" i="21"/>
  <c r="M133" i="21"/>
  <c r="O133" i="21"/>
  <c r="P133" i="21"/>
  <c r="Q133" i="21"/>
  <c r="I133" i="21"/>
  <c r="R133" i="21"/>
  <c r="C125" i="21"/>
  <c r="J125" i="21"/>
  <c r="S125" i="21"/>
  <c r="K125" i="21"/>
  <c r="L125" i="21"/>
  <c r="M125" i="21"/>
  <c r="O125" i="21"/>
  <c r="P125" i="21"/>
  <c r="Q125" i="21"/>
  <c r="I125" i="21"/>
  <c r="R125" i="21"/>
  <c r="C117" i="21"/>
  <c r="J117" i="21"/>
  <c r="S117" i="21"/>
  <c r="K117" i="21"/>
  <c r="L117" i="21"/>
  <c r="M117" i="21"/>
  <c r="O117" i="21"/>
  <c r="P117" i="21"/>
  <c r="Q117" i="21"/>
  <c r="I117" i="21"/>
  <c r="R117" i="21"/>
  <c r="J109" i="21"/>
  <c r="K109" i="21"/>
  <c r="O109" i="21"/>
  <c r="Q109" i="21"/>
  <c r="K85" i="21"/>
  <c r="L85" i="21"/>
  <c r="I85" i="21"/>
  <c r="J85" i="21"/>
  <c r="K77" i="21"/>
  <c r="Q77" i="21"/>
  <c r="B69" i="21"/>
  <c r="K69" i="21"/>
  <c r="S69" i="21"/>
  <c r="L69" i="21"/>
  <c r="M69" i="21"/>
  <c r="N69" i="21"/>
  <c r="P69" i="21"/>
  <c r="I69" i="21"/>
  <c r="Q69" i="21"/>
  <c r="R69" i="21"/>
  <c r="J69" i="21"/>
  <c r="O69" i="21"/>
  <c r="B61" i="21"/>
  <c r="I61" i="21"/>
  <c r="B53" i="21"/>
  <c r="C45" i="21"/>
  <c r="L45" i="21"/>
  <c r="M45" i="21"/>
  <c r="O45" i="21"/>
  <c r="I45" i="21"/>
  <c r="Q45" i="21"/>
  <c r="J45" i="21"/>
  <c r="R45" i="21"/>
  <c r="K45" i="21"/>
  <c r="P45" i="21"/>
  <c r="S45" i="21"/>
  <c r="B37" i="21"/>
  <c r="K37" i="21"/>
  <c r="S37" i="21"/>
  <c r="L37" i="21"/>
  <c r="N37" i="21"/>
  <c r="I37" i="21"/>
  <c r="Q37" i="21"/>
  <c r="J37" i="21"/>
  <c r="O37" i="21"/>
  <c r="R37" i="21"/>
  <c r="C29" i="21"/>
  <c r="P29" i="21"/>
  <c r="I29" i="21"/>
  <c r="Q29" i="21"/>
  <c r="J29" i="21"/>
  <c r="R29" i="21"/>
  <c r="K29" i="21"/>
  <c r="S29" i="21"/>
  <c r="L29" i="21"/>
  <c r="M29" i="21"/>
  <c r="N29" i="21"/>
  <c r="O29" i="21"/>
  <c r="B21" i="21"/>
  <c r="R21" i="21"/>
  <c r="S21" i="21"/>
  <c r="P21" i="21"/>
  <c r="Q21" i="21"/>
  <c r="C13" i="21"/>
  <c r="L13" i="21"/>
  <c r="O13" i="21"/>
  <c r="P13" i="21"/>
  <c r="Q13" i="21"/>
  <c r="R13" i="21"/>
  <c r="I13" i="21"/>
  <c r="S13" i="21"/>
  <c r="J13" i="21"/>
  <c r="K13" i="21"/>
  <c r="C156" i="21"/>
  <c r="Q156" i="21"/>
  <c r="K156" i="21"/>
  <c r="P156" i="21"/>
  <c r="S156" i="21"/>
  <c r="I156" i="21"/>
  <c r="J156" i="21"/>
  <c r="R156" i="21"/>
  <c r="L156" i="21"/>
  <c r="M156" i="21"/>
  <c r="O156" i="21"/>
  <c r="C148" i="21"/>
  <c r="Q148" i="21"/>
  <c r="K148" i="21"/>
  <c r="J148" i="21"/>
  <c r="L148" i="21"/>
  <c r="M148" i="21"/>
  <c r="O148" i="21"/>
  <c r="P148" i="21"/>
  <c r="R148" i="21"/>
  <c r="S148" i="21"/>
  <c r="I148" i="21"/>
  <c r="C140" i="21"/>
  <c r="Q140" i="21"/>
  <c r="K140" i="21"/>
  <c r="P140" i="21"/>
  <c r="R140" i="21"/>
  <c r="S140" i="21"/>
  <c r="I140" i="21"/>
  <c r="J140" i="21"/>
  <c r="L140" i="21"/>
  <c r="M140" i="21"/>
  <c r="O140" i="21"/>
  <c r="C132" i="21"/>
  <c r="D132" i="21" s="1"/>
  <c r="F132" i="21" s="1"/>
  <c r="L132" i="21"/>
  <c r="M132" i="21"/>
  <c r="O132" i="21"/>
  <c r="P132" i="21"/>
  <c r="Q132" i="21"/>
  <c r="I132" i="21"/>
  <c r="R132" i="21"/>
  <c r="J132" i="21"/>
  <c r="S132" i="21"/>
  <c r="K132" i="21"/>
  <c r="C124" i="21"/>
  <c r="L124" i="21"/>
  <c r="M124" i="21"/>
  <c r="O124" i="21"/>
  <c r="P124" i="21"/>
  <c r="Q124" i="21"/>
  <c r="I124" i="21"/>
  <c r="R124" i="21"/>
  <c r="J124" i="21"/>
  <c r="S124" i="21"/>
  <c r="K124" i="21"/>
  <c r="C116" i="21"/>
  <c r="L116" i="21"/>
  <c r="M116" i="21"/>
  <c r="O116" i="21"/>
  <c r="P116" i="21"/>
  <c r="Q116" i="21"/>
  <c r="I116" i="21"/>
  <c r="R116" i="21"/>
  <c r="J116" i="21"/>
  <c r="S116" i="21"/>
  <c r="K116" i="21"/>
  <c r="C108" i="21"/>
  <c r="L108" i="21"/>
  <c r="M108" i="21"/>
  <c r="Q108" i="21"/>
  <c r="I108" i="21"/>
  <c r="R108" i="21"/>
  <c r="J108" i="21"/>
  <c r="K108" i="21"/>
  <c r="L84" i="21"/>
  <c r="M84" i="21"/>
  <c r="I84" i="21"/>
  <c r="K84" i="21"/>
  <c r="P84" i="21"/>
  <c r="J84" i="21"/>
  <c r="L76" i="21"/>
  <c r="M76" i="21"/>
  <c r="N76" i="21"/>
  <c r="I76" i="21"/>
  <c r="S76" i="21"/>
  <c r="J76" i="21"/>
  <c r="K76" i="21"/>
  <c r="Q76" i="21"/>
  <c r="R76" i="21"/>
  <c r="C68" i="21"/>
  <c r="N68" i="21"/>
  <c r="O68" i="21"/>
  <c r="P68" i="21"/>
  <c r="I68" i="21"/>
  <c r="Q68" i="21"/>
  <c r="K68" i="21"/>
  <c r="S68" i="21"/>
  <c r="L68" i="21"/>
  <c r="J68" i="21"/>
  <c r="M68" i="21"/>
  <c r="R68" i="21"/>
  <c r="B60" i="21"/>
  <c r="P60" i="21"/>
  <c r="I60" i="21"/>
  <c r="Q60" i="21"/>
  <c r="J60" i="21"/>
  <c r="R60" i="21"/>
  <c r="K60" i="21"/>
  <c r="S60" i="21"/>
  <c r="M60" i="21"/>
  <c r="N60" i="21"/>
  <c r="L60" i="21"/>
  <c r="O60" i="21"/>
  <c r="B52" i="21"/>
  <c r="Q52" i="21"/>
  <c r="R52" i="21"/>
  <c r="K52" i="21"/>
  <c r="S52" i="21"/>
  <c r="C44" i="21"/>
  <c r="O44" i="21"/>
  <c r="P44" i="21"/>
  <c r="I44" i="21"/>
  <c r="Q44" i="21"/>
  <c r="J44" i="21"/>
  <c r="R44" i="21"/>
  <c r="L44" i="21"/>
  <c r="M44" i="21"/>
  <c r="K44" i="21"/>
  <c r="N44" i="21"/>
  <c r="S44" i="21"/>
  <c r="B36" i="21"/>
  <c r="N36" i="21"/>
  <c r="O36" i="21"/>
  <c r="P36" i="21"/>
  <c r="I36" i="21"/>
  <c r="Q36" i="21"/>
  <c r="K36" i="21"/>
  <c r="S36" i="21"/>
  <c r="L36" i="21"/>
  <c r="M36" i="21"/>
  <c r="J36" i="21"/>
  <c r="R36" i="21"/>
  <c r="C28" i="21"/>
  <c r="K28" i="21"/>
  <c r="S28" i="21"/>
  <c r="L28" i="21"/>
  <c r="M28" i="21"/>
  <c r="N28" i="21"/>
  <c r="O28" i="21"/>
  <c r="P28" i="21"/>
  <c r="Q28" i="21"/>
  <c r="R28" i="21"/>
  <c r="B20" i="21"/>
  <c r="N20" i="21"/>
  <c r="O20" i="21"/>
  <c r="P20" i="21"/>
  <c r="Q20" i="21"/>
  <c r="R20" i="21"/>
  <c r="I20" i="21"/>
  <c r="S20" i="21"/>
  <c r="J20" i="21"/>
  <c r="B12" i="21"/>
  <c r="J12" i="21"/>
  <c r="N12" i="21"/>
  <c r="R12" i="21"/>
  <c r="S12" i="21"/>
  <c r="B155" i="21"/>
  <c r="J155" i="21"/>
  <c r="S155" i="21"/>
  <c r="M155" i="21"/>
  <c r="O155" i="21"/>
  <c r="R155" i="21"/>
  <c r="I155" i="21"/>
  <c r="K155" i="21"/>
  <c r="Q155" i="21"/>
  <c r="L155" i="21"/>
  <c r="P155" i="21"/>
  <c r="B147" i="21"/>
  <c r="J147" i="21"/>
  <c r="S147" i="21"/>
  <c r="M147" i="21"/>
  <c r="I147" i="21"/>
  <c r="K147" i="21"/>
  <c r="L147" i="21"/>
  <c r="O147" i="21"/>
  <c r="P147" i="21"/>
  <c r="Q147" i="21"/>
  <c r="R147" i="21"/>
  <c r="B139" i="21"/>
  <c r="I139" i="21"/>
  <c r="J139" i="21"/>
  <c r="S139" i="21"/>
  <c r="K139" i="21"/>
  <c r="M139" i="21"/>
  <c r="O139" i="21"/>
  <c r="P139" i="21"/>
  <c r="Q139" i="21"/>
  <c r="R139" i="21"/>
  <c r="L139" i="21"/>
  <c r="B131" i="21"/>
  <c r="O131" i="21"/>
  <c r="P131" i="21"/>
  <c r="Q131" i="21"/>
  <c r="I131" i="21"/>
  <c r="R131" i="21"/>
  <c r="J131" i="21"/>
  <c r="S131" i="21"/>
  <c r="K131" i="21"/>
  <c r="L131" i="21"/>
  <c r="M131" i="21"/>
  <c r="B123" i="21"/>
  <c r="O123" i="21"/>
  <c r="P123" i="21"/>
  <c r="Q123" i="21"/>
  <c r="I123" i="21"/>
  <c r="R123" i="21"/>
  <c r="J123" i="21"/>
  <c r="S123" i="21"/>
  <c r="K123" i="21"/>
  <c r="L123" i="21"/>
  <c r="M123" i="21"/>
  <c r="B115" i="21"/>
  <c r="O115" i="21"/>
  <c r="P115" i="21"/>
  <c r="Q115" i="21"/>
  <c r="I115" i="21"/>
  <c r="R115" i="21"/>
  <c r="J115" i="21"/>
  <c r="S115" i="21"/>
  <c r="K115" i="21"/>
  <c r="L115" i="21"/>
  <c r="M115" i="21"/>
  <c r="B107" i="21"/>
  <c r="L107" i="21"/>
  <c r="Q107" i="21"/>
  <c r="I107" i="21"/>
  <c r="J107" i="21"/>
  <c r="K107" i="21"/>
  <c r="M107" i="21"/>
  <c r="L83" i="21"/>
  <c r="I83" i="21"/>
  <c r="O75" i="21"/>
  <c r="P75" i="21"/>
  <c r="I75" i="21"/>
  <c r="Q75" i="21"/>
  <c r="L75" i="21"/>
  <c r="N75" i="21"/>
  <c r="R75" i="21"/>
  <c r="S75" i="21"/>
  <c r="J75" i="21"/>
  <c r="K75" i="21"/>
  <c r="M75" i="21"/>
  <c r="C67" i="21"/>
  <c r="Q67" i="21"/>
  <c r="J67" i="21"/>
  <c r="R67" i="21"/>
  <c r="K67" i="21"/>
  <c r="S67" i="21"/>
  <c r="L67" i="21"/>
  <c r="O67" i="21"/>
  <c r="M67" i="21"/>
  <c r="B59" i="21"/>
  <c r="K59" i="21"/>
  <c r="S59" i="21"/>
  <c r="L59" i="21"/>
  <c r="M59" i="21"/>
  <c r="N59" i="21"/>
  <c r="P59" i="21"/>
  <c r="I59" i="21"/>
  <c r="Q59" i="21"/>
  <c r="R59" i="21"/>
  <c r="J59" i="21"/>
  <c r="O59" i="21"/>
  <c r="B51" i="21"/>
  <c r="I51" i="21"/>
  <c r="R51" i="21"/>
  <c r="K51" i="21"/>
  <c r="S51" i="21"/>
  <c r="L51" i="21"/>
  <c r="M51" i="21"/>
  <c r="O51" i="21"/>
  <c r="P51" i="21"/>
  <c r="N51" i="21"/>
  <c r="Q51" i="21"/>
  <c r="B43" i="21"/>
  <c r="J43" i="21"/>
  <c r="R43" i="21"/>
  <c r="K43" i="21"/>
  <c r="S43" i="21"/>
  <c r="L43" i="21"/>
  <c r="M43" i="21"/>
  <c r="O43" i="21"/>
  <c r="P43" i="21"/>
  <c r="Q43" i="21"/>
  <c r="I43" i="21"/>
  <c r="N43" i="21"/>
  <c r="B35" i="21"/>
  <c r="Q35" i="21"/>
  <c r="R35" i="21"/>
  <c r="S35" i="21"/>
  <c r="J35" i="21"/>
  <c r="M35" i="21"/>
  <c r="O35" i="21"/>
  <c r="I35" i="21"/>
  <c r="C27" i="21"/>
  <c r="I27" i="21"/>
  <c r="B19" i="21"/>
  <c r="I19" i="21"/>
  <c r="B11" i="21"/>
  <c r="K11" i="21"/>
  <c r="S11" i="21"/>
  <c r="L11" i="21"/>
  <c r="M11" i="21"/>
  <c r="N11" i="21"/>
  <c r="O11" i="21"/>
  <c r="P11" i="21"/>
  <c r="I11" i="21"/>
  <c r="Q11" i="21"/>
  <c r="J11" i="21"/>
  <c r="R11" i="21"/>
  <c r="B154" i="21"/>
  <c r="L154" i="21"/>
  <c r="P154" i="21"/>
  <c r="O154" i="21"/>
  <c r="Q154" i="21"/>
  <c r="R154" i="21"/>
  <c r="S154" i="21"/>
  <c r="I154" i="21"/>
  <c r="J154" i="21"/>
  <c r="K154" i="21"/>
  <c r="M154" i="21"/>
  <c r="B146" i="21"/>
  <c r="L146" i="21"/>
  <c r="P146" i="21"/>
  <c r="S146" i="21"/>
  <c r="I146" i="21"/>
  <c r="J146" i="21"/>
  <c r="K146" i="21"/>
  <c r="M146" i="21"/>
  <c r="O146" i="21"/>
  <c r="Q146" i="21"/>
  <c r="R146" i="21"/>
  <c r="B138" i="21"/>
  <c r="Q138" i="21"/>
  <c r="I138" i="21"/>
  <c r="R138" i="21"/>
  <c r="J138" i="21"/>
  <c r="S138" i="21"/>
  <c r="K138" i="21"/>
  <c r="L138" i="21"/>
  <c r="M138" i="21"/>
  <c r="O138" i="21"/>
  <c r="P138" i="21"/>
  <c r="B130" i="21"/>
  <c r="Q130" i="21"/>
  <c r="I130" i="21"/>
  <c r="R130" i="21"/>
  <c r="J130" i="21"/>
  <c r="S130" i="21"/>
  <c r="K130" i="21"/>
  <c r="L130" i="21"/>
  <c r="M130" i="21"/>
  <c r="O130" i="21"/>
  <c r="P130" i="21"/>
  <c r="B122" i="21"/>
  <c r="Q122" i="21"/>
  <c r="I122" i="21"/>
  <c r="R122" i="21"/>
  <c r="J122" i="21"/>
  <c r="S122" i="21"/>
  <c r="K122" i="21"/>
  <c r="L122" i="21"/>
  <c r="M122" i="21"/>
  <c r="O122" i="21"/>
  <c r="P122" i="21"/>
  <c r="B114" i="21"/>
  <c r="Q114" i="21"/>
  <c r="I114" i="21"/>
  <c r="R114" i="21"/>
  <c r="J114" i="21"/>
  <c r="S114" i="21"/>
  <c r="K114" i="21"/>
  <c r="L114" i="21"/>
  <c r="M114" i="21"/>
  <c r="O114" i="21"/>
  <c r="P114" i="21"/>
  <c r="L82" i="21"/>
  <c r="M82" i="21"/>
  <c r="N82" i="21"/>
  <c r="I82" i="21"/>
  <c r="S82" i="21"/>
  <c r="K82" i="21"/>
  <c r="Q82" i="21"/>
  <c r="R82" i="21"/>
  <c r="J82" i="21"/>
  <c r="I74" i="21"/>
  <c r="R74" i="21"/>
  <c r="J74" i="21"/>
  <c r="S74" i="21"/>
  <c r="K74" i="21"/>
  <c r="N74" i="21"/>
  <c r="L74" i="21"/>
  <c r="M74" i="21"/>
  <c r="P74" i="21"/>
  <c r="Q74" i="21"/>
  <c r="O74" i="21"/>
  <c r="B66" i="21"/>
  <c r="I66" i="21"/>
  <c r="M66" i="21"/>
  <c r="Q66" i="21"/>
  <c r="R66" i="21"/>
  <c r="S66" i="21"/>
  <c r="N66" i="21"/>
  <c r="C58" i="21"/>
  <c r="N58" i="21"/>
  <c r="O58" i="21"/>
  <c r="P58" i="21"/>
  <c r="I58" i="21"/>
  <c r="Q58" i="21"/>
  <c r="K58" i="21"/>
  <c r="S58" i="21"/>
  <c r="L58" i="21"/>
  <c r="J58" i="21"/>
  <c r="M58" i="21"/>
  <c r="R58" i="21"/>
  <c r="B50" i="21"/>
  <c r="I50" i="21"/>
  <c r="J50" i="21"/>
  <c r="K50" i="21"/>
  <c r="M50" i="21"/>
  <c r="N50" i="21"/>
  <c r="L50" i="21"/>
  <c r="S50" i="21"/>
  <c r="B42" i="21"/>
  <c r="M42" i="21"/>
  <c r="N42" i="21"/>
  <c r="O42" i="21"/>
  <c r="P42" i="21"/>
  <c r="J42" i="21"/>
  <c r="R42" i="21"/>
  <c r="K42" i="21"/>
  <c r="S42" i="21"/>
  <c r="I42" i="21"/>
  <c r="Q42" i="21"/>
  <c r="B34" i="21"/>
  <c r="Q34" i="21"/>
  <c r="S34" i="21"/>
  <c r="B26" i="21"/>
  <c r="N26" i="21"/>
  <c r="O26" i="21"/>
  <c r="P26" i="21"/>
  <c r="I26" i="21"/>
  <c r="Q26" i="21"/>
  <c r="J26" i="21"/>
  <c r="R26" i="21"/>
  <c r="K26" i="21"/>
  <c r="S26" i="21"/>
  <c r="L26" i="21"/>
  <c r="M26" i="21"/>
  <c r="B18" i="21"/>
  <c r="I18" i="21"/>
  <c r="Q18" i="21"/>
  <c r="J18" i="21"/>
  <c r="R18" i="21"/>
  <c r="K18" i="21"/>
  <c r="S18" i="21"/>
  <c r="L18" i="21"/>
  <c r="M18" i="21"/>
  <c r="N18" i="21"/>
  <c r="O18" i="21"/>
  <c r="P18" i="21"/>
  <c r="C153" i="21"/>
  <c r="D153" i="21" s="1"/>
  <c r="F153" i="21" s="1"/>
  <c r="O153" i="21"/>
  <c r="I153" i="21"/>
  <c r="R153" i="21"/>
  <c r="L153" i="21"/>
  <c r="M153" i="21"/>
  <c r="P153" i="21"/>
  <c r="Q153" i="21"/>
  <c r="S153" i="21"/>
  <c r="J153" i="21"/>
  <c r="K153" i="21"/>
  <c r="C145" i="21"/>
  <c r="D145" i="21" s="1"/>
  <c r="F145" i="21" s="1"/>
  <c r="O145" i="21"/>
  <c r="I145" i="21"/>
  <c r="R145" i="21"/>
  <c r="J145" i="21"/>
  <c r="K145" i="21"/>
  <c r="L145" i="21"/>
  <c r="M145" i="21"/>
  <c r="P145" i="21"/>
  <c r="Q145" i="21"/>
  <c r="S145" i="21"/>
  <c r="C137" i="21"/>
  <c r="D137" i="21" s="1"/>
  <c r="F137" i="21" s="1"/>
  <c r="J137" i="21"/>
  <c r="S137" i="21"/>
  <c r="K137" i="21"/>
  <c r="L137" i="21"/>
  <c r="M137" i="21"/>
  <c r="O137" i="21"/>
  <c r="P137" i="21"/>
  <c r="Q137" i="21"/>
  <c r="I137" i="21"/>
  <c r="R137" i="21"/>
  <c r="C129" i="21"/>
  <c r="D129" i="21" s="1"/>
  <c r="F129" i="21" s="1"/>
  <c r="J129" i="21"/>
  <c r="S129" i="21"/>
  <c r="K129" i="21"/>
  <c r="L129" i="21"/>
  <c r="M129" i="21"/>
  <c r="O129" i="21"/>
  <c r="P129" i="21"/>
  <c r="Q129" i="21"/>
  <c r="I129" i="21"/>
  <c r="R129" i="21"/>
  <c r="C121" i="21"/>
  <c r="D121" i="21" s="1"/>
  <c r="F121" i="21" s="1"/>
  <c r="J121" i="21"/>
  <c r="S121" i="21"/>
  <c r="K121" i="21"/>
  <c r="L121" i="21"/>
  <c r="M121" i="21"/>
  <c r="O121" i="21"/>
  <c r="P121" i="21"/>
  <c r="Q121" i="21"/>
  <c r="I121" i="21"/>
  <c r="R121" i="21"/>
  <c r="C113" i="21"/>
  <c r="J113" i="21"/>
  <c r="S113" i="21"/>
  <c r="K113" i="21"/>
  <c r="L113" i="21"/>
  <c r="M113" i="21"/>
  <c r="O113" i="21"/>
  <c r="P113" i="21"/>
  <c r="Q113" i="21"/>
  <c r="I113" i="21"/>
  <c r="R113" i="21"/>
  <c r="Q81" i="21"/>
  <c r="L81" i="21"/>
  <c r="K73" i="21"/>
  <c r="L73" i="21"/>
  <c r="M73" i="21"/>
  <c r="Q73" i="21"/>
  <c r="S73" i="21"/>
  <c r="I73" i="21"/>
  <c r="J73" i="21"/>
  <c r="N73" i="21"/>
  <c r="P73" i="21"/>
  <c r="R73" i="21"/>
  <c r="B65" i="21"/>
  <c r="J65" i="21"/>
  <c r="R65" i="21"/>
  <c r="K65" i="21"/>
  <c r="S65" i="21"/>
  <c r="L65" i="21"/>
  <c r="M65" i="21"/>
  <c r="O65" i="21"/>
  <c r="P65" i="21"/>
  <c r="I65" i="21"/>
  <c r="N65" i="21"/>
  <c r="Q65" i="21"/>
  <c r="B57" i="21"/>
  <c r="I57" i="21"/>
  <c r="Q57" i="21"/>
  <c r="J57" i="21"/>
  <c r="R57" i="21"/>
  <c r="K57" i="21"/>
  <c r="S57" i="21"/>
  <c r="L57" i="21"/>
  <c r="N57" i="21"/>
  <c r="O57" i="21"/>
  <c r="M57" i="21"/>
  <c r="P57" i="21"/>
  <c r="B49" i="21"/>
  <c r="K49" i="21"/>
  <c r="S49" i="21"/>
  <c r="L49" i="21"/>
  <c r="M49" i="21"/>
  <c r="N49" i="21"/>
  <c r="P49" i="21"/>
  <c r="Q49" i="21"/>
  <c r="R49" i="21"/>
  <c r="O49" i="21"/>
  <c r="B41" i="21"/>
  <c r="I41" i="21"/>
  <c r="P41" i="21"/>
  <c r="R41" i="21"/>
  <c r="S41" i="21"/>
  <c r="B33" i="21"/>
  <c r="K33" i="21"/>
  <c r="S33" i="21"/>
  <c r="L33" i="21"/>
  <c r="M33" i="21"/>
  <c r="N33" i="21"/>
  <c r="P33" i="21"/>
  <c r="I33" i="21"/>
  <c r="Q33" i="21"/>
  <c r="J33" i="21"/>
  <c r="R33" i="21"/>
  <c r="O33" i="21"/>
  <c r="B25" i="21"/>
  <c r="B17" i="21"/>
  <c r="I17" i="21"/>
  <c r="P10" i="21"/>
  <c r="S10" i="21"/>
  <c r="L10" i="21"/>
  <c r="I10" i="21"/>
  <c r="M10" i="21"/>
  <c r="O10" i="21"/>
  <c r="C152" i="21"/>
  <c r="D152" i="21" s="1"/>
  <c r="F152" i="21" s="1"/>
  <c r="Q152" i="21"/>
  <c r="K152" i="21"/>
  <c r="O152" i="21"/>
  <c r="P152" i="21"/>
  <c r="R152" i="21"/>
  <c r="S152" i="21"/>
  <c r="I152" i="21"/>
  <c r="J152" i="21"/>
  <c r="L152" i="21"/>
  <c r="M152" i="21"/>
  <c r="C144" i="21"/>
  <c r="D144" i="21" s="1"/>
  <c r="F144" i="21" s="1"/>
  <c r="Q144" i="21"/>
  <c r="K144" i="21"/>
  <c r="R144" i="21"/>
  <c r="S144" i="21"/>
  <c r="I144" i="21"/>
  <c r="J144" i="21"/>
  <c r="L144" i="21"/>
  <c r="M144" i="21"/>
  <c r="O144" i="21"/>
  <c r="P144" i="21"/>
  <c r="C136" i="21"/>
  <c r="D136" i="21" s="1"/>
  <c r="F136" i="21" s="1"/>
  <c r="L136" i="21"/>
  <c r="M136" i="21"/>
  <c r="O136" i="21"/>
  <c r="P136" i="21"/>
  <c r="Q136" i="21"/>
  <c r="I136" i="21"/>
  <c r="R136" i="21"/>
  <c r="J136" i="21"/>
  <c r="S136" i="21"/>
  <c r="K136" i="21"/>
  <c r="C128" i="21"/>
  <c r="D128" i="21" s="1"/>
  <c r="F128" i="21" s="1"/>
  <c r="L128" i="21"/>
  <c r="M128" i="21"/>
  <c r="O128" i="21"/>
  <c r="P128" i="21"/>
  <c r="Q128" i="21"/>
  <c r="I128" i="21"/>
  <c r="R128" i="21"/>
  <c r="J128" i="21"/>
  <c r="S128" i="21"/>
  <c r="K128" i="21"/>
  <c r="C120" i="21"/>
  <c r="D120" i="21" s="1"/>
  <c r="F120" i="21" s="1"/>
  <c r="L120" i="21"/>
  <c r="M120" i="21"/>
  <c r="O120" i="21"/>
  <c r="P120" i="21"/>
  <c r="Q120" i="21"/>
  <c r="I120" i="21"/>
  <c r="R120" i="21"/>
  <c r="J120" i="21"/>
  <c r="S120" i="21"/>
  <c r="K120" i="21"/>
  <c r="C112" i="21"/>
  <c r="L112" i="21"/>
  <c r="M112" i="21"/>
  <c r="O112" i="21"/>
  <c r="P112" i="21"/>
  <c r="Q112" i="21"/>
  <c r="I112" i="21"/>
  <c r="R112" i="21"/>
  <c r="J112" i="21"/>
  <c r="S112" i="21"/>
  <c r="K112" i="21"/>
  <c r="I80" i="21"/>
  <c r="Q80" i="21"/>
  <c r="J80" i="21"/>
  <c r="R80" i="21"/>
  <c r="K80" i="21"/>
  <c r="S80" i="21"/>
  <c r="N80" i="21"/>
  <c r="P80" i="21"/>
  <c r="L80" i="21"/>
  <c r="M80" i="21"/>
  <c r="O80" i="21"/>
  <c r="C72" i="21"/>
  <c r="M72" i="21"/>
  <c r="N72" i="21"/>
  <c r="O72" i="21"/>
  <c r="P72" i="21"/>
  <c r="J72" i="21"/>
  <c r="S72" i="21"/>
  <c r="L72" i="21"/>
  <c r="Q72" i="21"/>
  <c r="R72" i="21"/>
  <c r="I72" i="21"/>
  <c r="C64" i="21"/>
  <c r="M64" i="21"/>
  <c r="N64" i="21"/>
  <c r="O64" i="21"/>
  <c r="J64" i="21"/>
  <c r="R64" i="21"/>
  <c r="K64" i="21"/>
  <c r="S64" i="21"/>
  <c r="I64" i="21"/>
  <c r="L64" i="21"/>
  <c r="E56" i="21"/>
  <c r="L56" i="21"/>
  <c r="M56" i="21"/>
  <c r="N56" i="21"/>
  <c r="O56" i="21"/>
  <c r="I56" i="21"/>
  <c r="Q56" i="21"/>
  <c r="J56" i="21"/>
  <c r="R56" i="21"/>
  <c r="S56" i="21"/>
  <c r="K56" i="21"/>
  <c r="P56" i="21"/>
  <c r="E48" i="21"/>
  <c r="L48" i="21"/>
  <c r="M48" i="21"/>
  <c r="N48" i="21"/>
  <c r="O48" i="21"/>
  <c r="I48" i="21"/>
  <c r="Q48" i="21"/>
  <c r="J48" i="21"/>
  <c r="R48" i="21"/>
  <c r="K48" i="21"/>
  <c r="P48" i="21"/>
  <c r="S48" i="21"/>
  <c r="C40" i="21"/>
  <c r="D40" i="21" s="1"/>
  <c r="F40" i="21" s="1"/>
  <c r="L40" i="21"/>
  <c r="M40" i="21"/>
  <c r="N40" i="21"/>
  <c r="O40" i="21"/>
  <c r="I40" i="21"/>
  <c r="Q40" i="21"/>
  <c r="J40" i="21"/>
  <c r="R40" i="21"/>
  <c r="K40" i="21"/>
  <c r="P40" i="21"/>
  <c r="S40" i="21"/>
  <c r="B32" i="21"/>
  <c r="M32" i="21"/>
  <c r="K32" i="21"/>
  <c r="R32" i="21"/>
  <c r="C24" i="21"/>
  <c r="I24" i="21"/>
  <c r="J24" i="21"/>
  <c r="B16" i="21"/>
  <c r="N16" i="21"/>
  <c r="O16" i="21"/>
  <c r="P16" i="21"/>
  <c r="I16" i="21"/>
  <c r="Q16" i="21"/>
  <c r="J16" i="21"/>
  <c r="R16" i="21"/>
  <c r="K16" i="21"/>
  <c r="S16" i="21"/>
  <c r="L16" i="21"/>
  <c r="M16" i="21"/>
  <c r="B106" i="21"/>
  <c r="I106" i="21"/>
  <c r="J106" i="21"/>
  <c r="K106" i="21"/>
  <c r="L106" i="21"/>
  <c r="M106" i="21"/>
  <c r="P106" i="21"/>
  <c r="Q106" i="21"/>
  <c r="C105" i="21"/>
  <c r="K105" i="21"/>
  <c r="L105" i="21"/>
  <c r="M105" i="21"/>
  <c r="I105" i="21"/>
  <c r="J105" i="21"/>
  <c r="S105" i="21"/>
  <c r="Q105" i="21"/>
  <c r="C104" i="21"/>
  <c r="O104" i="21"/>
  <c r="M104" i="21"/>
  <c r="P104" i="21"/>
  <c r="I104" i="21"/>
  <c r="J104" i="21"/>
  <c r="K104" i="21"/>
  <c r="L104" i="21"/>
  <c r="I103" i="21"/>
  <c r="R103" i="21"/>
  <c r="J103" i="21"/>
  <c r="S103" i="21"/>
  <c r="L103" i="21"/>
  <c r="M103" i="21"/>
  <c r="B102" i="21"/>
  <c r="I102" i="21"/>
  <c r="R102" i="21"/>
  <c r="J102" i="21"/>
  <c r="S102" i="21"/>
  <c r="K102" i="21"/>
  <c r="L102" i="21"/>
  <c r="M102" i="21"/>
  <c r="C101" i="21"/>
  <c r="M101" i="21"/>
  <c r="O101" i="21"/>
  <c r="L101" i="21"/>
  <c r="I101" i="21"/>
  <c r="R101" i="21"/>
  <c r="J101" i="21"/>
  <c r="S101" i="21"/>
  <c r="K101" i="21"/>
  <c r="C100" i="21"/>
  <c r="L100" i="21"/>
  <c r="M100" i="21"/>
  <c r="I100" i="21"/>
  <c r="J100" i="21"/>
  <c r="K100" i="21"/>
  <c r="S100" i="21"/>
  <c r="B99" i="21"/>
  <c r="L99" i="21"/>
  <c r="M99" i="21"/>
  <c r="Q99" i="21"/>
  <c r="I99" i="21"/>
  <c r="R99" i="21"/>
  <c r="K99" i="21"/>
  <c r="J99" i="21"/>
  <c r="S99" i="21"/>
  <c r="B98" i="21"/>
  <c r="L98" i="21"/>
  <c r="M98" i="21"/>
  <c r="O98" i="21"/>
  <c r="I98" i="21"/>
  <c r="K98" i="21"/>
  <c r="J98" i="21"/>
  <c r="C97" i="21"/>
  <c r="I97" i="21"/>
  <c r="J97" i="21"/>
  <c r="K97" i="21"/>
  <c r="L97" i="21"/>
  <c r="M97" i="21"/>
  <c r="C96" i="21"/>
  <c r="L96" i="21"/>
  <c r="M96" i="21"/>
  <c r="Q96" i="21"/>
  <c r="I96" i="21"/>
  <c r="S96" i="21"/>
  <c r="K96" i="21"/>
  <c r="J96" i="21"/>
  <c r="J95" i="21"/>
  <c r="K95" i="21"/>
  <c r="L95" i="21"/>
  <c r="I95" i="21"/>
  <c r="M95" i="21"/>
  <c r="O95" i="21"/>
  <c r="B94" i="21"/>
  <c r="J94" i="21"/>
  <c r="I94" i="21"/>
  <c r="K94" i="21"/>
  <c r="L94" i="21"/>
  <c r="M94" i="21"/>
  <c r="O94" i="21"/>
  <c r="C93" i="21"/>
  <c r="I93" i="21"/>
  <c r="J93" i="21"/>
  <c r="K93" i="21"/>
  <c r="L93" i="21"/>
  <c r="M93" i="21"/>
  <c r="C92" i="21"/>
  <c r="M92" i="21"/>
  <c r="L92" i="21"/>
  <c r="Q92" i="21"/>
  <c r="I92" i="21"/>
  <c r="R92" i="21"/>
  <c r="J92" i="21"/>
  <c r="S92" i="21"/>
  <c r="K92" i="21"/>
  <c r="B91" i="21"/>
  <c r="L91" i="21"/>
  <c r="M91" i="21"/>
  <c r="Q91" i="21"/>
  <c r="K91" i="21"/>
  <c r="I91" i="21"/>
  <c r="R91" i="21"/>
  <c r="J91" i="21"/>
  <c r="S91" i="21"/>
  <c r="B90" i="21"/>
  <c r="O90" i="21"/>
  <c r="I90" i="21"/>
  <c r="J90" i="21"/>
  <c r="K90" i="21"/>
  <c r="M90" i="21"/>
  <c r="L90" i="21"/>
  <c r="C89" i="21"/>
  <c r="M89" i="21"/>
  <c r="J89" i="21"/>
  <c r="I89" i="21"/>
  <c r="K89" i="21"/>
  <c r="L89" i="21"/>
  <c r="C88" i="21"/>
  <c r="M88" i="21"/>
  <c r="P88" i="21"/>
  <c r="L88" i="21"/>
  <c r="Q88" i="21"/>
  <c r="I88" i="21"/>
  <c r="R88" i="21"/>
  <c r="J88" i="21"/>
  <c r="S88" i="21"/>
  <c r="K88" i="21"/>
  <c r="B86" i="21"/>
  <c r="C85" i="21"/>
  <c r="C84" i="21"/>
  <c r="B83" i="21"/>
  <c r="B82" i="21"/>
  <c r="C80" i="21"/>
  <c r="D80" i="21" s="1"/>
  <c r="F80" i="21" s="1"/>
  <c r="B78" i="21"/>
  <c r="C77" i="21"/>
  <c r="C76" i="21"/>
  <c r="B75" i="21"/>
  <c r="B74" i="21"/>
  <c r="C73" i="21"/>
  <c r="D54" i="21"/>
  <c r="F54" i="21" s="1"/>
  <c r="D14" i="21"/>
  <c r="F14" i="21" s="1"/>
  <c r="D157" i="21"/>
  <c r="F157" i="21" s="1"/>
  <c r="D149" i="21"/>
  <c r="F149" i="21" s="1"/>
  <c r="D141" i="21"/>
  <c r="F141" i="21" s="1"/>
  <c r="D133" i="21"/>
  <c r="F133" i="21" s="1"/>
  <c r="D125" i="21"/>
  <c r="F125" i="21" s="1"/>
  <c r="D117" i="21"/>
  <c r="F117" i="21" s="1"/>
  <c r="D29" i="21"/>
  <c r="F29" i="21" s="1"/>
  <c r="D156" i="21"/>
  <c r="F156" i="21" s="1"/>
  <c r="D148" i="21"/>
  <c r="F148" i="21" s="1"/>
  <c r="D140" i="21"/>
  <c r="F140" i="21" s="1"/>
  <c r="D124" i="21"/>
  <c r="F124" i="21" s="1"/>
  <c r="D116" i="21"/>
  <c r="F116" i="21" s="1"/>
  <c r="D68" i="21"/>
  <c r="F68" i="21" s="1"/>
  <c r="D44" i="21"/>
  <c r="F44" i="21" s="1"/>
  <c r="D58" i="21"/>
  <c r="F58" i="21" s="1"/>
  <c r="E142" i="21"/>
  <c r="B88" i="21"/>
  <c r="C127" i="21"/>
  <c r="D127" i="21" s="1"/>
  <c r="F127" i="21" s="1"/>
  <c r="B62" i="21"/>
  <c r="E126" i="21"/>
  <c r="C52" i="21"/>
  <c r="B55" i="21"/>
  <c r="C111" i="21"/>
  <c r="C32" i="21"/>
  <c r="B30" i="21"/>
  <c r="C31" i="21"/>
  <c r="B23" i="21"/>
  <c r="C159" i="21"/>
  <c r="D159" i="21" s="1"/>
  <c r="F159" i="21" s="1"/>
  <c r="C95" i="21"/>
  <c r="B159" i="21"/>
  <c r="E158" i="21"/>
  <c r="B127" i="21"/>
  <c r="C143" i="21"/>
  <c r="D143" i="21" s="1"/>
  <c r="F143" i="21" s="1"/>
  <c r="C79" i="21"/>
  <c r="B95" i="21"/>
  <c r="B152" i="21"/>
  <c r="B120" i="21"/>
  <c r="C155" i="21"/>
  <c r="D155" i="21" s="1"/>
  <c r="F155" i="21" s="1"/>
  <c r="C139" i="21"/>
  <c r="D139" i="21" s="1"/>
  <c r="F139" i="21" s="1"/>
  <c r="C123" i="21"/>
  <c r="D123" i="21" s="1"/>
  <c r="F123" i="21" s="1"/>
  <c r="C107" i="21"/>
  <c r="C91" i="21"/>
  <c r="C75" i="21"/>
  <c r="D75" i="21" s="1"/>
  <c r="F75" i="21" s="1"/>
  <c r="E47" i="21"/>
  <c r="C26" i="21"/>
  <c r="D26" i="21" s="1"/>
  <c r="F26" i="21" s="1"/>
  <c r="B151" i="21"/>
  <c r="B119" i="21"/>
  <c r="B87" i="21"/>
  <c r="B54" i="21"/>
  <c r="B22" i="21"/>
  <c r="E154" i="21"/>
  <c r="E138" i="21"/>
  <c r="E122" i="21"/>
  <c r="E74" i="21"/>
  <c r="C47" i="21"/>
  <c r="D47" i="21" s="1"/>
  <c r="F47" i="21" s="1"/>
  <c r="C21" i="21"/>
  <c r="B144" i="21"/>
  <c r="B112" i="21"/>
  <c r="B80" i="21"/>
  <c r="B15" i="21"/>
  <c r="C151" i="21"/>
  <c r="D151" i="21" s="1"/>
  <c r="F151" i="21" s="1"/>
  <c r="C135" i="21"/>
  <c r="D135" i="21" s="1"/>
  <c r="F135" i="21" s="1"/>
  <c r="C119" i="21"/>
  <c r="D119" i="21" s="1"/>
  <c r="F119" i="21" s="1"/>
  <c r="C103" i="21"/>
  <c r="C87" i="21"/>
  <c r="C70" i="21"/>
  <c r="D70" i="21" s="1"/>
  <c r="F70" i="21" s="1"/>
  <c r="C43" i="21"/>
  <c r="D43" i="21" s="1"/>
  <c r="F43" i="21" s="1"/>
  <c r="B143" i="21"/>
  <c r="B111" i="21"/>
  <c r="B79" i="21"/>
  <c r="B46" i="21"/>
  <c r="B14" i="21"/>
  <c r="E150" i="21"/>
  <c r="E134" i="21"/>
  <c r="E118" i="21"/>
  <c r="E69" i="21"/>
  <c r="C16" i="21"/>
  <c r="D16" i="21" s="1"/>
  <c r="F16" i="21" s="1"/>
  <c r="B136" i="21"/>
  <c r="B104" i="21"/>
  <c r="B72" i="21"/>
  <c r="C147" i="21"/>
  <c r="D147" i="21" s="1"/>
  <c r="F147" i="21" s="1"/>
  <c r="C131" i="21"/>
  <c r="D131" i="21" s="1"/>
  <c r="F131" i="21" s="1"/>
  <c r="C115" i="21"/>
  <c r="C99" i="21"/>
  <c r="C83" i="21"/>
  <c r="C61" i="21"/>
  <c r="B135" i="21"/>
  <c r="B103" i="21"/>
  <c r="B70" i="21"/>
  <c r="B38" i="21"/>
  <c r="E146" i="21"/>
  <c r="E130" i="21"/>
  <c r="E60" i="21"/>
  <c r="C37" i="21"/>
  <c r="B128" i="21"/>
  <c r="B96" i="21"/>
  <c r="B63" i="21"/>
  <c r="C25" i="21"/>
  <c r="E155" i="21"/>
  <c r="E147" i="21"/>
  <c r="E139" i="21"/>
  <c r="E131" i="21"/>
  <c r="E123" i="21"/>
  <c r="E75" i="21"/>
  <c r="C66" i="21"/>
  <c r="C62" i="21"/>
  <c r="D62" i="21" s="1"/>
  <c r="F62" i="21" s="1"/>
  <c r="E57" i="21"/>
  <c r="C53" i="21"/>
  <c r="C48" i="21"/>
  <c r="D48" i="21" s="1"/>
  <c r="F48" i="21" s="1"/>
  <c r="E43" i="21"/>
  <c r="C33" i="21"/>
  <c r="D33" i="21" s="1"/>
  <c r="F33" i="21" s="1"/>
  <c r="E26" i="21"/>
  <c r="C22" i="21"/>
  <c r="D22" i="21" s="1"/>
  <c r="F22" i="21" s="1"/>
  <c r="E16" i="21"/>
  <c r="C12" i="21"/>
  <c r="D12" i="21" s="1"/>
  <c r="F12" i="21" s="1"/>
  <c r="B153" i="21"/>
  <c r="B145" i="21"/>
  <c r="B137" i="21"/>
  <c r="B129" i="21"/>
  <c r="B121" i="21"/>
  <c r="B113" i="21"/>
  <c r="B105" i="21"/>
  <c r="B97" i="21"/>
  <c r="B89" i="21"/>
  <c r="B81" i="21"/>
  <c r="B73" i="21"/>
  <c r="B64" i="21"/>
  <c r="B56" i="21"/>
  <c r="B48" i="21"/>
  <c r="B40" i="21"/>
  <c r="B24" i="21"/>
  <c r="C158" i="21"/>
  <c r="D158" i="21" s="1"/>
  <c r="F158" i="21" s="1"/>
  <c r="C154" i="21"/>
  <c r="D154" i="21" s="1"/>
  <c r="F154" i="21" s="1"/>
  <c r="C150" i="21"/>
  <c r="D150" i="21" s="1"/>
  <c r="F150" i="21" s="1"/>
  <c r="C146" i="21"/>
  <c r="D146" i="21" s="1"/>
  <c r="F146" i="21" s="1"/>
  <c r="C142" i="21"/>
  <c r="D142" i="21" s="1"/>
  <c r="F142" i="21" s="1"/>
  <c r="C138" i="21"/>
  <c r="D138" i="21" s="1"/>
  <c r="F138" i="21" s="1"/>
  <c r="C134" i="21"/>
  <c r="D134" i="21" s="1"/>
  <c r="F134" i="21" s="1"/>
  <c r="C130" i="21"/>
  <c r="D130" i="21" s="1"/>
  <c r="F130" i="21" s="1"/>
  <c r="C126" i="21"/>
  <c r="D126" i="21" s="1"/>
  <c r="F126" i="21" s="1"/>
  <c r="C122" i="21"/>
  <c r="D122" i="21" s="1"/>
  <c r="F122" i="21" s="1"/>
  <c r="C118" i="21"/>
  <c r="D118" i="21" s="1"/>
  <c r="F118" i="21" s="1"/>
  <c r="C114" i="21"/>
  <c r="C110" i="21"/>
  <c r="D110" i="21" s="1"/>
  <c r="F110" i="21" s="1"/>
  <c r="C106" i="21"/>
  <c r="D106" i="21" s="1"/>
  <c r="F106" i="21" s="1"/>
  <c r="C102" i="21"/>
  <c r="C98" i="21"/>
  <c r="C94" i="21"/>
  <c r="C90" i="21"/>
  <c r="C86" i="21"/>
  <c r="C82" i="21"/>
  <c r="C78" i="21"/>
  <c r="D78" i="21" s="1"/>
  <c r="F78" i="21" s="1"/>
  <c r="C74" i="21"/>
  <c r="D74" i="21" s="1"/>
  <c r="F74" i="21" s="1"/>
  <c r="C69" i="21"/>
  <c r="D69" i="21" s="1"/>
  <c r="F69" i="21" s="1"/>
  <c r="C60" i="21"/>
  <c r="D60" i="21" s="1"/>
  <c r="F60" i="21" s="1"/>
  <c r="C56" i="21"/>
  <c r="D56" i="21" s="1"/>
  <c r="F56" i="21" s="1"/>
  <c r="C51" i="21"/>
  <c r="C42" i="21"/>
  <c r="E36" i="21"/>
  <c r="C20" i="21"/>
  <c r="B45" i="21"/>
  <c r="B29" i="21"/>
  <c r="B13" i="21"/>
  <c r="C57" i="21"/>
  <c r="D57" i="21" s="1"/>
  <c r="F57" i="21" s="1"/>
  <c r="E157" i="21"/>
  <c r="E153" i="21"/>
  <c r="E149" i="21"/>
  <c r="E145" i="21"/>
  <c r="E141" i="21"/>
  <c r="E137" i="21"/>
  <c r="E133" i="21"/>
  <c r="E129" i="21"/>
  <c r="E125" i="21"/>
  <c r="E121" i="21"/>
  <c r="E117" i="21"/>
  <c r="E68" i="21"/>
  <c r="E59" i="21"/>
  <c r="C41" i="21"/>
  <c r="D41" i="21" s="1"/>
  <c r="F41" i="21" s="1"/>
  <c r="C36" i="21"/>
  <c r="D36" i="21" s="1"/>
  <c r="F36" i="21" s="1"/>
  <c r="E29" i="21"/>
  <c r="C19" i="21"/>
  <c r="D19" i="21" s="1"/>
  <c r="F19" i="21" s="1"/>
  <c r="E14" i="21"/>
  <c r="B157" i="21"/>
  <c r="B149" i="21"/>
  <c r="B141" i="21"/>
  <c r="B133" i="21"/>
  <c r="B125" i="21"/>
  <c r="B117" i="21"/>
  <c r="B109" i="21"/>
  <c r="B101" i="21"/>
  <c r="B93" i="21"/>
  <c r="B85" i="21"/>
  <c r="B77" i="21"/>
  <c r="B68" i="21"/>
  <c r="B44" i="21"/>
  <c r="B28" i="21"/>
  <c r="E63" i="21"/>
  <c r="C59" i="21"/>
  <c r="D59" i="21" s="1"/>
  <c r="F59" i="21" s="1"/>
  <c r="C50" i="21"/>
  <c r="D50" i="21" s="1"/>
  <c r="F50" i="21" s="1"/>
  <c r="E40" i="21"/>
  <c r="C35" i="21"/>
  <c r="E18" i="21"/>
  <c r="B156" i="21"/>
  <c r="B148" i="21"/>
  <c r="B140" i="21"/>
  <c r="B132" i="21"/>
  <c r="B124" i="21"/>
  <c r="B116" i="21"/>
  <c r="B108" i="21"/>
  <c r="B100" i="21"/>
  <c r="B92" i="21"/>
  <c r="B84" i="21"/>
  <c r="B76" i="21"/>
  <c r="B67" i="21"/>
  <c r="B27" i="21"/>
  <c r="E65" i="21"/>
  <c r="C65" i="21"/>
  <c r="D65" i="21" s="1"/>
  <c r="F65" i="21" s="1"/>
  <c r="E156" i="21"/>
  <c r="E152" i="21"/>
  <c r="E148" i="21"/>
  <c r="E144" i="21"/>
  <c r="E140" i="21"/>
  <c r="E136" i="21"/>
  <c r="E132" i="21"/>
  <c r="E128" i="21"/>
  <c r="E124" i="21"/>
  <c r="E120" i="21"/>
  <c r="E116" i="21"/>
  <c r="E80" i="21"/>
  <c r="E58" i="21"/>
  <c r="E54" i="21"/>
  <c r="C49" i="21"/>
  <c r="E44" i="21"/>
  <c r="C18" i="21"/>
  <c r="D18" i="21" s="1"/>
  <c r="F18" i="21" s="1"/>
  <c r="B58" i="21"/>
  <c r="E33" i="21"/>
  <c r="C17" i="21"/>
  <c r="B71" i="21"/>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G115" i="2"/>
  <c r="G114" i="2"/>
  <c r="G113" i="2"/>
  <c r="G112" i="2"/>
  <c r="G111" i="2"/>
  <c r="G110" i="2"/>
  <c r="G109" i="2"/>
  <c r="G108" i="2"/>
  <c r="G107" i="2"/>
  <c r="G106" i="2"/>
  <c r="G105" i="2"/>
  <c r="G104" i="2"/>
  <c r="G103" i="2"/>
  <c r="G102" i="2"/>
  <c r="G101"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H45" i="17" s="1"/>
  <c r="G24" i="2"/>
  <c r="C24" i="2"/>
  <c r="G23" i="2"/>
  <c r="C23" i="2"/>
  <c r="G22" i="2"/>
  <c r="C22" i="2"/>
  <c r="G21" i="2"/>
  <c r="C21" i="2"/>
  <c r="G20" i="2"/>
  <c r="C20" i="2"/>
  <c r="G19" i="2"/>
  <c r="C19" i="2"/>
  <c r="G18" i="2"/>
  <c r="C18" i="2"/>
  <c r="G17" i="2"/>
  <c r="C17" i="2"/>
  <c r="G16" i="2"/>
  <c r="C16" i="2"/>
  <c r="G15" i="2"/>
  <c r="C15" i="2"/>
  <c r="G14" i="2"/>
  <c r="C14" i="2"/>
  <c r="G13" i="2"/>
  <c r="C13" i="2"/>
  <c r="G12" i="2"/>
  <c r="C12" i="2"/>
  <c r="G11" i="2"/>
  <c r="C11" i="2"/>
  <c r="G10" i="2"/>
  <c r="C10" i="2"/>
  <c r="G9" i="2"/>
  <c r="C9" i="2"/>
  <c r="G8" i="2"/>
  <c r="C8" i="2"/>
  <c r="G7" i="2"/>
  <c r="C7" i="2"/>
  <c r="G6" i="2"/>
  <c r="C6" i="2"/>
  <c r="G5" i="2"/>
  <c r="C5" i="2"/>
  <c r="G4" i="2"/>
  <c r="C4" i="2"/>
  <c r="G3" i="2"/>
  <c r="C3" i="2"/>
  <c r="G2" i="2"/>
  <c r="C2" i="2"/>
  <c r="A2451" i="5"/>
  <c r="A2450" i="5"/>
  <c r="A2449" i="5"/>
  <c r="A2448" i="5"/>
  <c r="A2447" i="5"/>
  <c r="A2446" i="5"/>
  <c r="A2445" i="5"/>
  <c r="A2444" i="5"/>
  <c r="A2443" i="5"/>
  <c r="A2442" i="5"/>
  <c r="A2441" i="5"/>
  <c r="A2440" i="5"/>
  <c r="A2439" i="5"/>
  <c r="A2438" i="5"/>
  <c r="A2437" i="5"/>
  <c r="A2436" i="5"/>
  <c r="A2435" i="5"/>
  <c r="A2434" i="5"/>
  <c r="A2433" i="5"/>
  <c r="A2432" i="5"/>
  <c r="A2431" i="5"/>
  <c r="A2430" i="5"/>
  <c r="A2429" i="5"/>
  <c r="A2428" i="5"/>
  <c r="A2427" i="5"/>
  <c r="A2426" i="5"/>
  <c r="A2425" i="5"/>
  <c r="A2424" i="5"/>
  <c r="A2423" i="5"/>
  <c r="A2422" i="5"/>
  <c r="A2421" i="5"/>
  <c r="A2420" i="5"/>
  <c r="A2419" i="5"/>
  <c r="A2418" i="5"/>
  <c r="A2417" i="5"/>
  <c r="A2416" i="5"/>
  <c r="A2415" i="5"/>
  <c r="A2414" i="5"/>
  <c r="A2413" i="5"/>
  <c r="A2412" i="5"/>
  <c r="A2411" i="5"/>
  <c r="A2410" i="5"/>
  <c r="A2409" i="5"/>
  <c r="A2408" i="5"/>
  <c r="A2407" i="5"/>
  <c r="A2406" i="5"/>
  <c r="A2405" i="5"/>
  <c r="A2404" i="5"/>
  <c r="A2403" i="5"/>
  <c r="A2402" i="5"/>
  <c r="A2401" i="5"/>
  <c r="A2400" i="5"/>
  <c r="A2399" i="5"/>
  <c r="A2398" i="5"/>
  <c r="A2397" i="5"/>
  <c r="A2396" i="5"/>
  <c r="A2395" i="5"/>
  <c r="A2394" i="5"/>
  <c r="A2393" i="5"/>
  <c r="A2392" i="5"/>
  <c r="A2391" i="5"/>
  <c r="A2390" i="5"/>
  <c r="A2389" i="5"/>
  <c r="A2388" i="5"/>
  <c r="A2387" i="5"/>
  <c r="A2386" i="5"/>
  <c r="A2385" i="5"/>
  <c r="A2384" i="5"/>
  <c r="A2383" i="5"/>
  <c r="A2382" i="5"/>
  <c r="A2381" i="5"/>
  <c r="A2380" i="5"/>
  <c r="A2379" i="5"/>
  <c r="A2378" i="5"/>
  <c r="A2377" i="5"/>
  <c r="A2376" i="5"/>
  <c r="A2375" i="5"/>
  <c r="A2374" i="5"/>
  <c r="A2373" i="5"/>
  <c r="A2372" i="5"/>
  <c r="A2371" i="5"/>
  <c r="A2370" i="5"/>
  <c r="A2369" i="5"/>
  <c r="A2368" i="5"/>
  <c r="A2367" i="5"/>
  <c r="A2366" i="5"/>
  <c r="A2365" i="5"/>
  <c r="A2364" i="5"/>
  <c r="A2363" i="5"/>
  <c r="A2362" i="5"/>
  <c r="A2361" i="5"/>
  <c r="A2360" i="5"/>
  <c r="A2359" i="5"/>
  <c r="A2358" i="5"/>
  <c r="A2357" i="5"/>
  <c r="A2356" i="5"/>
  <c r="A2355" i="5"/>
  <c r="A2354" i="5"/>
  <c r="A2353" i="5"/>
  <c r="A2352" i="5"/>
  <c r="A2351" i="5"/>
  <c r="A2350" i="5"/>
  <c r="A2349" i="5"/>
  <c r="A2348" i="5"/>
  <c r="A2347" i="5"/>
  <c r="A2346" i="5"/>
  <c r="A2345" i="5"/>
  <c r="A2344" i="5"/>
  <c r="A2343" i="5"/>
  <c r="A2342" i="5"/>
  <c r="A2341" i="5"/>
  <c r="A2340" i="5"/>
  <c r="A2339" i="5"/>
  <c r="A2338" i="5"/>
  <c r="A2337" i="5"/>
  <c r="A2336" i="5"/>
  <c r="A2335" i="5"/>
  <c r="A2334" i="5"/>
  <c r="A2333" i="5"/>
  <c r="A2332" i="5"/>
  <c r="A2331" i="5"/>
  <c r="A2330" i="5"/>
  <c r="A2329" i="5"/>
  <c r="A2328" i="5"/>
  <c r="A2327" i="5"/>
  <c r="A2326" i="5"/>
  <c r="A2325" i="5"/>
  <c r="A2324" i="5"/>
  <c r="A2323" i="5"/>
  <c r="A2322" i="5"/>
  <c r="A2321" i="5"/>
  <c r="A2320" i="5"/>
  <c r="A2319" i="5"/>
  <c r="A2318" i="5"/>
  <c r="A2317" i="5"/>
  <c r="A2316" i="5"/>
  <c r="A2315" i="5"/>
  <c r="A2314" i="5"/>
  <c r="A2313" i="5"/>
  <c r="A2312" i="5"/>
  <c r="A2311" i="5"/>
  <c r="A2310" i="5"/>
  <c r="A2309" i="5"/>
  <c r="A2308" i="5"/>
  <c r="A2307" i="5"/>
  <c r="A2306" i="5"/>
  <c r="A2305" i="5"/>
  <c r="A2304" i="5"/>
  <c r="A2303" i="5"/>
  <c r="A2302" i="5"/>
  <c r="A2301" i="5"/>
  <c r="A2300" i="5"/>
  <c r="A2299" i="5"/>
  <c r="A2298" i="5"/>
  <c r="A2297" i="5"/>
  <c r="A2296" i="5"/>
  <c r="A2295" i="5"/>
  <c r="A2294" i="5"/>
  <c r="A2293" i="5"/>
  <c r="A2292" i="5"/>
  <c r="A2291" i="5"/>
  <c r="A2290" i="5"/>
  <c r="A2289" i="5"/>
  <c r="A2288" i="5"/>
  <c r="A2287" i="5"/>
  <c r="A2286" i="5"/>
  <c r="A2285" i="5"/>
  <c r="A2284" i="5"/>
  <c r="A2283" i="5"/>
  <c r="A2282" i="5"/>
  <c r="A2281" i="5"/>
  <c r="A2280" i="5"/>
  <c r="A2279" i="5"/>
  <c r="A2278" i="5"/>
  <c r="A2277" i="5"/>
  <c r="A2276" i="5"/>
  <c r="A2275" i="5"/>
  <c r="A2274" i="5"/>
  <c r="A2273" i="5"/>
  <c r="A2272" i="5"/>
  <c r="A2271" i="5"/>
  <c r="A2270" i="5"/>
  <c r="A2269" i="5"/>
  <c r="A2268" i="5"/>
  <c r="A2267" i="5"/>
  <c r="A2266" i="5"/>
  <c r="A2265" i="5"/>
  <c r="A2264" i="5"/>
  <c r="A2263" i="5"/>
  <c r="A2262" i="5"/>
  <c r="A2261" i="5"/>
  <c r="A2260" i="5"/>
  <c r="A2259" i="5"/>
  <c r="A2258" i="5"/>
  <c r="A2257" i="5"/>
  <c r="A2256" i="5"/>
  <c r="A2255" i="5"/>
  <c r="A2254" i="5"/>
  <c r="A2253" i="5"/>
  <c r="A2252" i="5"/>
  <c r="A2251" i="5"/>
  <c r="A2250" i="5"/>
  <c r="A2249" i="5"/>
  <c r="A2248" i="5"/>
  <c r="A2247" i="5"/>
  <c r="A2246" i="5"/>
  <c r="A2245" i="5"/>
  <c r="A2244" i="5"/>
  <c r="A2243" i="5"/>
  <c r="A2242" i="5"/>
  <c r="A2241" i="5"/>
  <c r="A2240" i="5"/>
  <c r="A2239" i="5"/>
  <c r="A2238" i="5"/>
  <c r="A2237" i="5"/>
  <c r="A2236" i="5"/>
  <c r="A2235" i="5"/>
  <c r="A2234" i="5"/>
  <c r="A2233" i="5"/>
  <c r="A2232" i="5"/>
  <c r="A2231" i="5"/>
  <c r="A2230" i="5"/>
  <c r="A2229" i="5"/>
  <c r="A2228" i="5"/>
  <c r="A2227" i="5"/>
  <c r="A2226" i="5"/>
  <c r="A2225" i="5"/>
  <c r="A2224" i="5"/>
  <c r="A2223" i="5"/>
  <c r="A2222" i="5"/>
  <c r="A2221" i="5"/>
  <c r="A2220" i="5"/>
  <c r="A2219" i="5"/>
  <c r="A2218" i="5"/>
  <c r="A2217" i="5"/>
  <c r="A2216" i="5"/>
  <c r="A2215" i="5"/>
  <c r="A2214" i="5"/>
  <c r="A2213" i="5"/>
  <c r="A2212" i="5"/>
  <c r="A2211" i="5"/>
  <c r="A2210" i="5"/>
  <c r="A2209" i="5"/>
  <c r="A2208" i="5"/>
  <c r="A2207" i="5"/>
  <c r="A2206" i="5"/>
  <c r="A2205" i="5"/>
  <c r="A2204" i="5"/>
  <c r="A2203" i="5"/>
  <c r="A2202" i="5"/>
  <c r="A2201" i="5"/>
  <c r="A2200" i="5"/>
  <c r="A2199" i="5"/>
  <c r="A2198" i="5"/>
  <c r="A2197" i="5"/>
  <c r="A2196" i="5"/>
  <c r="A2195" i="5"/>
  <c r="A2194" i="5"/>
  <c r="A2193" i="5"/>
  <c r="A2192" i="5"/>
  <c r="A2191" i="5"/>
  <c r="A2190" i="5"/>
  <c r="A2189" i="5"/>
  <c r="A2188" i="5"/>
  <c r="A2187" i="5"/>
  <c r="A2186" i="5"/>
  <c r="A2185" i="5"/>
  <c r="A2184" i="5"/>
  <c r="A2183" i="5"/>
  <c r="A2182" i="5"/>
  <c r="A2181" i="5"/>
  <c r="A2180" i="5"/>
  <c r="A2179" i="5"/>
  <c r="A2178" i="5"/>
  <c r="A2177" i="5"/>
  <c r="A2176" i="5"/>
  <c r="A2175" i="5"/>
  <c r="A2174" i="5"/>
  <c r="A2173" i="5"/>
  <c r="A2172" i="5"/>
  <c r="A2171" i="5"/>
  <c r="A2170" i="5"/>
  <c r="A2169" i="5"/>
  <c r="A2168" i="5"/>
  <c r="A2167" i="5"/>
  <c r="A2166" i="5"/>
  <c r="A2165" i="5"/>
  <c r="A2164" i="5"/>
  <c r="A2163" i="5"/>
  <c r="A2162" i="5"/>
  <c r="A2161" i="5"/>
  <c r="A2160" i="5"/>
  <c r="A2159" i="5"/>
  <c r="A2158" i="5"/>
  <c r="A2157" i="5"/>
  <c r="A2156" i="5"/>
  <c r="A2155" i="5"/>
  <c r="A2154" i="5"/>
  <c r="A2153" i="5"/>
  <c r="A2152" i="5"/>
  <c r="A2151" i="5"/>
  <c r="A2150" i="5"/>
  <c r="A2149" i="5"/>
  <c r="A2148" i="5"/>
  <c r="A2147" i="5"/>
  <c r="A2146" i="5"/>
  <c r="A2145" i="5"/>
  <c r="A2144" i="5"/>
  <c r="A2143" i="5"/>
  <c r="A2142" i="5"/>
  <c r="A2141" i="5"/>
  <c r="A2140" i="5"/>
  <c r="A2139" i="5"/>
  <c r="A2138" i="5"/>
  <c r="A2137" i="5"/>
  <c r="A2136" i="5"/>
  <c r="A2135" i="5"/>
  <c r="A2134" i="5"/>
  <c r="A2133" i="5"/>
  <c r="A2132" i="5"/>
  <c r="A2131" i="5"/>
  <c r="A2130" i="5"/>
  <c r="A2129" i="5"/>
  <c r="A2128" i="5"/>
  <c r="A2127" i="5"/>
  <c r="A2126" i="5"/>
  <c r="A2125" i="5"/>
  <c r="A2124" i="5"/>
  <c r="A2123" i="5"/>
  <c r="A2122" i="5"/>
  <c r="A2121" i="5"/>
  <c r="A2120" i="5"/>
  <c r="A2119" i="5"/>
  <c r="A2118" i="5"/>
  <c r="A2117" i="5"/>
  <c r="A2116" i="5"/>
  <c r="A2115" i="5"/>
  <c r="A2114" i="5"/>
  <c r="A2113" i="5"/>
  <c r="A2112" i="5"/>
  <c r="A2111" i="5"/>
  <c r="A2110" i="5"/>
  <c r="A2109" i="5"/>
  <c r="A2108" i="5"/>
  <c r="A2107" i="5"/>
  <c r="A2106" i="5"/>
  <c r="A2105" i="5"/>
  <c r="A2104" i="5"/>
  <c r="A2103" i="5"/>
  <c r="A2102" i="5"/>
  <c r="A2101" i="5"/>
  <c r="A2100" i="5"/>
  <c r="A2099" i="5"/>
  <c r="A2098" i="5"/>
  <c r="A2097" i="5"/>
  <c r="A2096" i="5"/>
  <c r="A2095" i="5"/>
  <c r="A2094" i="5"/>
  <c r="A2093" i="5"/>
  <c r="A2092" i="5"/>
  <c r="A2091" i="5"/>
  <c r="A2090" i="5"/>
  <c r="A2089" i="5"/>
  <c r="A2088" i="5"/>
  <c r="A2087" i="5"/>
  <c r="A2086" i="5"/>
  <c r="A2085" i="5"/>
  <c r="A2084" i="5"/>
  <c r="A2083" i="5"/>
  <c r="A2082" i="5"/>
  <c r="A2081" i="5"/>
  <c r="A2080" i="5"/>
  <c r="A2079" i="5"/>
  <c r="A2078" i="5"/>
  <c r="A2077" i="5"/>
  <c r="A2076" i="5"/>
  <c r="A2075" i="5"/>
  <c r="A2074" i="5"/>
  <c r="A2073" i="5"/>
  <c r="A2072" i="5"/>
  <c r="A2071" i="5"/>
  <c r="A2070" i="5"/>
  <c r="A2069" i="5"/>
  <c r="A2068" i="5"/>
  <c r="A2067" i="5"/>
  <c r="A2066" i="5"/>
  <c r="A2065" i="5"/>
  <c r="A2064" i="5"/>
  <c r="A2063" i="5"/>
  <c r="A2062" i="5"/>
  <c r="A2061" i="5"/>
  <c r="A2060" i="5"/>
  <c r="A2059" i="5"/>
  <c r="A2058" i="5"/>
  <c r="A2057" i="5"/>
  <c r="A2056" i="5"/>
  <c r="A2055" i="5"/>
  <c r="A2054" i="5"/>
  <c r="A2053" i="5"/>
  <c r="A2052" i="5"/>
  <c r="A2051" i="5"/>
  <c r="A2050" i="5"/>
  <c r="A2049" i="5"/>
  <c r="A2048" i="5"/>
  <c r="A2047" i="5"/>
  <c r="A2046" i="5"/>
  <c r="A2045" i="5"/>
  <c r="A2044" i="5"/>
  <c r="A2043" i="5"/>
  <c r="A2042" i="5"/>
  <c r="A2041" i="5"/>
  <c r="A2040" i="5"/>
  <c r="A2039" i="5"/>
  <c r="A2038" i="5"/>
  <c r="A2037" i="5"/>
  <c r="A2036" i="5"/>
  <c r="A2035" i="5"/>
  <c r="A2034" i="5"/>
  <c r="A2033" i="5"/>
  <c r="A2032" i="5"/>
  <c r="A2031" i="5"/>
  <c r="A2030" i="5"/>
  <c r="A2029" i="5"/>
  <c r="A2028" i="5"/>
  <c r="A2027" i="5"/>
  <c r="A2026" i="5"/>
  <c r="A2025" i="5"/>
  <c r="A2024" i="5"/>
  <c r="A2023" i="5"/>
  <c r="A2022" i="5"/>
  <c r="A2021" i="5"/>
  <c r="A2020" i="5"/>
  <c r="A2019" i="5"/>
  <c r="A2018" i="5"/>
  <c r="A2017" i="5"/>
  <c r="A2016" i="5"/>
  <c r="A2015" i="5"/>
  <c r="A2014" i="5"/>
  <c r="A2013" i="5"/>
  <c r="A2012" i="5"/>
  <c r="A2011" i="5"/>
  <c r="A2010" i="5"/>
  <c r="A2009" i="5"/>
  <c r="A2008" i="5"/>
  <c r="A2007" i="5"/>
  <c r="A2006" i="5"/>
  <c r="A2005" i="5"/>
  <c r="A2004" i="5"/>
  <c r="A2003" i="5"/>
  <c r="A2002" i="5"/>
  <c r="A2001"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B56" i="22"/>
  <c r="D56" i="22" s="1"/>
  <c r="A57" i="5"/>
  <c r="A56" i="5"/>
  <c r="A55" i="5"/>
  <c r="A54" i="5"/>
  <c r="A53" i="5"/>
  <c r="C34" i="21"/>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C11" i="21"/>
  <c r="D11" i="21" s="1"/>
  <c r="F11" i="21" s="1"/>
  <c r="C10" i="21"/>
  <c r="D10" i="21" s="1"/>
  <c r="F10" i="21" s="1"/>
  <c r="F5" i="21"/>
  <c r="F2" i="21"/>
  <c r="AA2275" i="15"/>
  <c r="Z2275" i="15"/>
  <c r="AC2275" i="15" s="1"/>
  <c r="V2275" i="15"/>
  <c r="U2275" i="15"/>
  <c r="T2275" i="15"/>
  <c r="S2275" i="15"/>
  <c r="Q2275" i="15"/>
  <c r="W2275" i="15" s="1"/>
  <c r="N2275" i="15"/>
  <c r="M2275" i="15"/>
  <c r="AA2274" i="15"/>
  <c r="Z2274" i="15"/>
  <c r="V2274" i="15"/>
  <c r="U2274" i="15"/>
  <c r="T2274" i="15"/>
  <c r="S2274" i="15"/>
  <c r="Q2274" i="15"/>
  <c r="X2274" i="15" s="1"/>
  <c r="N2274" i="15"/>
  <c r="M2274" i="15"/>
  <c r="AA2273" i="15"/>
  <c r="Z2273" i="15"/>
  <c r="V2273" i="15"/>
  <c r="U2273" i="15"/>
  <c r="T2273" i="15"/>
  <c r="S2273" i="15"/>
  <c r="Q2273" i="15"/>
  <c r="N2273" i="15"/>
  <c r="M2273" i="15"/>
  <c r="AA2272" i="15"/>
  <c r="Z2272" i="15"/>
  <c r="AC2272" i="15" s="1"/>
  <c r="V2272" i="15"/>
  <c r="U2272" i="15"/>
  <c r="T2272" i="15"/>
  <c r="S2272" i="15"/>
  <c r="Q2272" i="15"/>
  <c r="N2272" i="15"/>
  <c r="M2272" i="15"/>
  <c r="AA2271" i="15"/>
  <c r="Z2271" i="15"/>
  <c r="AC2271" i="15" s="1"/>
  <c r="V2271" i="15"/>
  <c r="U2271" i="15"/>
  <c r="T2271" i="15"/>
  <c r="S2271" i="15"/>
  <c r="Q2271" i="15"/>
  <c r="N2271" i="15"/>
  <c r="M2271" i="15"/>
  <c r="AA2270" i="15"/>
  <c r="Z2270" i="15"/>
  <c r="AC2270" i="15" s="1"/>
  <c r="V2270" i="15"/>
  <c r="U2270" i="15"/>
  <c r="T2270" i="15"/>
  <c r="S2270" i="15"/>
  <c r="Q2270" i="15"/>
  <c r="N2270" i="15"/>
  <c r="M2270" i="15"/>
  <c r="AA2269" i="15"/>
  <c r="Z2269" i="15"/>
  <c r="U2269" i="15"/>
  <c r="S2269" i="15"/>
  <c r="N2269" i="15"/>
  <c r="M2269" i="15"/>
  <c r="Q2269" i="15"/>
  <c r="W2269" i="15" s="1"/>
  <c r="AA2268" i="15"/>
  <c r="Z2268" i="15"/>
  <c r="AC2268" i="15" s="1"/>
  <c r="U2268" i="15"/>
  <c r="T2268" i="15"/>
  <c r="V2268" i="15"/>
  <c r="S2268" i="15"/>
  <c r="Q2268" i="15"/>
  <c r="N2268" i="15"/>
  <c r="M2268" i="15"/>
  <c r="AA2267" i="15"/>
  <c r="Z2267" i="15"/>
  <c r="U2267" i="15"/>
  <c r="S2267" i="15"/>
  <c r="Q2267" i="15"/>
  <c r="N2267" i="15"/>
  <c r="M2267" i="15"/>
  <c r="AA2266" i="15"/>
  <c r="Z2266" i="15"/>
  <c r="V2266" i="15"/>
  <c r="S2266" i="15"/>
  <c r="N2266" i="15"/>
  <c r="M2266" i="15"/>
  <c r="Q2266" i="15"/>
  <c r="W2266" i="15" s="1"/>
  <c r="AA2265" i="15"/>
  <c r="Z2265" i="15"/>
  <c r="U2265" i="15"/>
  <c r="S2265" i="15"/>
  <c r="N2265" i="15"/>
  <c r="M2265" i="15"/>
  <c r="Q2265" i="15"/>
  <c r="AA2264" i="15"/>
  <c r="Z2264" i="15"/>
  <c r="U2264" i="15"/>
  <c r="S2264" i="15"/>
  <c r="N2264" i="15"/>
  <c r="M2264" i="15"/>
  <c r="Q2264" i="15"/>
  <c r="AA2263" i="15"/>
  <c r="Z2263" i="15"/>
  <c r="AC2263" i="15" s="1"/>
  <c r="V2263" i="15"/>
  <c r="S2263" i="15"/>
  <c r="Q2263" i="15"/>
  <c r="N2263" i="15"/>
  <c r="M2263" i="15"/>
  <c r="AA2262" i="15"/>
  <c r="Z2262" i="15"/>
  <c r="U2262" i="15"/>
  <c r="S2262" i="15"/>
  <c r="Q2262" i="15"/>
  <c r="N2262" i="15"/>
  <c r="M2262" i="15"/>
  <c r="AA2261" i="15"/>
  <c r="Z2261" i="15"/>
  <c r="U2261" i="15"/>
  <c r="S2261" i="15"/>
  <c r="N2261" i="15"/>
  <c r="M2261" i="15"/>
  <c r="Q2261" i="15"/>
  <c r="X2261" i="15" s="1"/>
  <c r="AA2260" i="15"/>
  <c r="Z2260" i="15"/>
  <c r="AC2260" i="15" s="1"/>
  <c r="V2260" i="15"/>
  <c r="S2260" i="15"/>
  <c r="N2260" i="15"/>
  <c r="M2260" i="15"/>
  <c r="Q2260" i="15"/>
  <c r="AA2259" i="15"/>
  <c r="Z2259" i="15"/>
  <c r="AC2259" i="15" s="1"/>
  <c r="U2259" i="15"/>
  <c r="S2259" i="15"/>
  <c r="Q2259" i="15"/>
  <c r="N2259" i="15"/>
  <c r="M2259" i="15"/>
  <c r="AA2258" i="15"/>
  <c r="Z2258" i="15"/>
  <c r="AC2258" i="15" s="1"/>
  <c r="U2258" i="15"/>
  <c r="S2258" i="15"/>
  <c r="N2258" i="15"/>
  <c r="M2258" i="15"/>
  <c r="Q2258" i="15"/>
  <c r="X2258" i="15" s="1"/>
  <c r="AA2257" i="15"/>
  <c r="Z2257" i="15"/>
  <c r="U2257" i="15"/>
  <c r="S2257" i="15"/>
  <c r="N2257" i="15"/>
  <c r="M2257" i="15"/>
  <c r="Q2257" i="15"/>
  <c r="AA2256" i="15"/>
  <c r="Z2256" i="15"/>
  <c r="U2256" i="15"/>
  <c r="S2256" i="15"/>
  <c r="N2256" i="15"/>
  <c r="M2256" i="15"/>
  <c r="Q2256" i="15"/>
  <c r="AA2255" i="15"/>
  <c r="Z2255" i="15"/>
  <c r="V2255" i="15"/>
  <c r="S2255" i="15"/>
  <c r="Q2255" i="15"/>
  <c r="N2255" i="15"/>
  <c r="M2255" i="15"/>
  <c r="AA2254" i="15"/>
  <c r="Z2254" i="15"/>
  <c r="AC2254" i="15" s="1"/>
  <c r="U2254" i="15"/>
  <c r="S2254" i="15"/>
  <c r="Q2254" i="15"/>
  <c r="N2254" i="15"/>
  <c r="M2254" i="15"/>
  <c r="AA2253" i="15"/>
  <c r="Z2253" i="15"/>
  <c r="U2253" i="15"/>
  <c r="S2253" i="15"/>
  <c r="N2253" i="15"/>
  <c r="M2253" i="15"/>
  <c r="Q2253" i="15"/>
  <c r="AA2252" i="15"/>
  <c r="Z2252" i="15"/>
  <c r="AC2252" i="15" s="1"/>
  <c r="U2252" i="15"/>
  <c r="S2252" i="15"/>
  <c r="Q2252" i="15"/>
  <c r="N2252" i="15"/>
  <c r="M2252" i="15"/>
  <c r="AA2251" i="15"/>
  <c r="Z2251" i="15"/>
  <c r="AC2251" i="15" s="1"/>
  <c r="U2251" i="15"/>
  <c r="S2251" i="15"/>
  <c r="Q2251" i="15"/>
  <c r="W2251" i="15" s="1"/>
  <c r="N2251" i="15"/>
  <c r="M2251" i="15"/>
  <c r="AA2250" i="15"/>
  <c r="Z2250" i="15"/>
  <c r="AC2250" i="15" s="1"/>
  <c r="U2250" i="15"/>
  <c r="S2250" i="15"/>
  <c r="Q2250" i="15"/>
  <c r="N2250" i="15"/>
  <c r="M2250" i="15"/>
  <c r="AD2250" i="15" s="1"/>
  <c r="AA2249" i="15"/>
  <c r="Z2249" i="15"/>
  <c r="U2249" i="15"/>
  <c r="V2249" i="15"/>
  <c r="S2249" i="15"/>
  <c r="N2249" i="15"/>
  <c r="M2249" i="15"/>
  <c r="Q2249" i="15"/>
  <c r="AA2248" i="15"/>
  <c r="Z2248" i="15"/>
  <c r="U2248" i="15"/>
  <c r="S2248" i="15"/>
  <c r="Q2248" i="15"/>
  <c r="N2248" i="15"/>
  <c r="M2248" i="15"/>
  <c r="AA2247" i="15"/>
  <c r="Z2247" i="15"/>
  <c r="AC2247" i="15" s="1"/>
  <c r="U2247" i="15"/>
  <c r="S2247" i="15"/>
  <c r="Q2247" i="15"/>
  <c r="W2247" i="15" s="1"/>
  <c r="N2247" i="15"/>
  <c r="M2247" i="15"/>
  <c r="AA2246" i="15"/>
  <c r="Z2246" i="15"/>
  <c r="AC2246" i="15" s="1"/>
  <c r="U2246" i="15"/>
  <c r="S2246" i="15"/>
  <c r="Q2246" i="15"/>
  <c r="X2246" i="15" s="1"/>
  <c r="N2246" i="15"/>
  <c r="M2246" i="15"/>
  <c r="AA2245" i="15"/>
  <c r="Z2245" i="15"/>
  <c r="AC2245" i="15" s="1"/>
  <c r="U2245" i="15"/>
  <c r="V2245" i="15"/>
  <c r="S2245" i="15"/>
  <c r="Q2245" i="15"/>
  <c r="N2245" i="15"/>
  <c r="M2245" i="15"/>
  <c r="AA2244" i="15"/>
  <c r="Z2244" i="15"/>
  <c r="AC2244" i="15" s="1"/>
  <c r="V2244" i="15"/>
  <c r="S2244" i="15"/>
  <c r="Q2244" i="15"/>
  <c r="N2244" i="15"/>
  <c r="M2244" i="15"/>
  <c r="AA2243" i="15"/>
  <c r="Z2243" i="15"/>
  <c r="AC2243" i="15" s="1"/>
  <c r="U2243" i="15"/>
  <c r="S2243" i="15"/>
  <c r="N2243" i="15"/>
  <c r="M2243" i="15"/>
  <c r="Q2243" i="15"/>
  <c r="W2243" i="15" s="1"/>
  <c r="AA2242" i="15"/>
  <c r="Z2242" i="15"/>
  <c r="AC2242" i="15" s="1"/>
  <c r="U2242" i="15"/>
  <c r="S2242" i="15"/>
  <c r="N2242" i="15"/>
  <c r="M2242" i="15"/>
  <c r="Q2242" i="15"/>
  <c r="AA2241" i="15"/>
  <c r="Z2241" i="15"/>
  <c r="U2241" i="15"/>
  <c r="S2241" i="15"/>
  <c r="Q2241" i="15"/>
  <c r="N2241" i="15"/>
  <c r="M2241" i="15"/>
  <c r="AA2240" i="15"/>
  <c r="Z2240" i="15"/>
  <c r="AC2240" i="15" s="1"/>
  <c r="U2240" i="15"/>
  <c r="S2240" i="15"/>
  <c r="Q2240" i="15"/>
  <c r="N2240" i="15"/>
  <c r="M2240" i="15"/>
  <c r="AA2239" i="15"/>
  <c r="Z2239" i="15"/>
  <c r="U2239" i="15"/>
  <c r="S2239" i="15"/>
  <c r="Q2239" i="15"/>
  <c r="N2239" i="15"/>
  <c r="M2239" i="15"/>
  <c r="AA2238" i="15"/>
  <c r="Z2238" i="15"/>
  <c r="U2238" i="15"/>
  <c r="S2238" i="15"/>
  <c r="N2238" i="15"/>
  <c r="M2238" i="15"/>
  <c r="Q2238" i="15"/>
  <c r="AA2237" i="15"/>
  <c r="Z2237" i="15"/>
  <c r="AC2237" i="15" s="1"/>
  <c r="U2237" i="15"/>
  <c r="S2237" i="15"/>
  <c r="N2237" i="15"/>
  <c r="M2237" i="15"/>
  <c r="Q2237" i="15"/>
  <c r="X2237" i="15" s="1"/>
  <c r="AA2236" i="15"/>
  <c r="Z2236" i="15"/>
  <c r="U2236" i="15"/>
  <c r="S2236" i="15"/>
  <c r="N2236" i="15"/>
  <c r="M2236" i="15"/>
  <c r="Q2236" i="15"/>
  <c r="W2236" i="15" s="1"/>
  <c r="AA2235" i="15"/>
  <c r="Z2235" i="15"/>
  <c r="U2235" i="15"/>
  <c r="S2235" i="15"/>
  <c r="Q2235" i="15"/>
  <c r="X2235" i="15" s="1"/>
  <c r="N2235" i="15"/>
  <c r="M2235" i="15"/>
  <c r="AA2234" i="15"/>
  <c r="Z2234" i="15"/>
  <c r="U2234" i="15"/>
  <c r="S2234" i="15"/>
  <c r="N2234" i="15"/>
  <c r="M2234" i="15"/>
  <c r="Q2234" i="15"/>
  <c r="AA2233" i="15"/>
  <c r="Z2233" i="15"/>
  <c r="AC2233" i="15" s="1"/>
  <c r="U2233" i="15"/>
  <c r="V2233" i="15"/>
  <c r="S2233" i="15"/>
  <c r="N2233" i="15"/>
  <c r="M2233" i="15"/>
  <c r="Q2233" i="15"/>
  <c r="AA2232" i="15"/>
  <c r="Z2232" i="15"/>
  <c r="AC2232" i="15" s="1"/>
  <c r="U2232" i="15"/>
  <c r="V2232" i="15"/>
  <c r="S2232" i="15"/>
  <c r="Q2232" i="15"/>
  <c r="W2232" i="15" s="1"/>
  <c r="N2232" i="15"/>
  <c r="M2232" i="15"/>
  <c r="AA2231" i="15"/>
  <c r="Z2231" i="15"/>
  <c r="AC2231" i="15" s="1"/>
  <c r="V2231" i="15"/>
  <c r="S2231" i="15"/>
  <c r="Q2231" i="15"/>
  <c r="X2231" i="15" s="1"/>
  <c r="N2231" i="15"/>
  <c r="M2231" i="15"/>
  <c r="AA2230" i="15"/>
  <c r="Z2230" i="15"/>
  <c r="AC2230" i="15" s="1"/>
  <c r="U2230" i="15"/>
  <c r="V2230" i="15"/>
  <c r="S2230" i="15"/>
  <c r="Q2230" i="15"/>
  <c r="W2230" i="15" s="1"/>
  <c r="N2230" i="15"/>
  <c r="M2230" i="15"/>
  <c r="AA2229" i="15"/>
  <c r="Z2229" i="15"/>
  <c r="V2229" i="15"/>
  <c r="S2229" i="15"/>
  <c r="Q2229" i="15"/>
  <c r="X2229" i="15" s="1"/>
  <c r="N2229" i="15"/>
  <c r="M2229" i="15"/>
  <c r="AA2228" i="15"/>
  <c r="Z2228" i="15"/>
  <c r="U2228" i="15"/>
  <c r="S2228" i="15"/>
  <c r="N2228" i="15"/>
  <c r="M2228" i="15"/>
  <c r="Q2228" i="15"/>
  <c r="AA2227" i="15"/>
  <c r="Z2227" i="15"/>
  <c r="AC2227" i="15" s="1"/>
  <c r="U2227" i="15"/>
  <c r="V2227" i="15"/>
  <c r="S2227" i="15"/>
  <c r="N2227" i="15"/>
  <c r="M2227" i="15"/>
  <c r="Q2227" i="15"/>
  <c r="X2227" i="15" s="1"/>
  <c r="AA2226" i="15"/>
  <c r="Z2226" i="15"/>
  <c r="V2226" i="15"/>
  <c r="S2226" i="15"/>
  <c r="N2226" i="15"/>
  <c r="M2226" i="15"/>
  <c r="Q2226" i="15"/>
  <c r="X2226" i="15" s="1"/>
  <c r="AA2225" i="15"/>
  <c r="Z2225" i="15"/>
  <c r="U2225" i="15"/>
  <c r="S2225" i="15"/>
  <c r="N2225" i="15"/>
  <c r="M2225" i="15"/>
  <c r="Q2225" i="15"/>
  <c r="AA2224" i="15"/>
  <c r="Z2224" i="15"/>
  <c r="U2224" i="15"/>
  <c r="S2224" i="15"/>
  <c r="N2224" i="15"/>
  <c r="M2224" i="15"/>
  <c r="Q2224" i="15"/>
  <c r="AA2223" i="15"/>
  <c r="Z2223" i="15"/>
  <c r="V2223" i="15"/>
  <c r="S2223" i="15"/>
  <c r="Q2223" i="15"/>
  <c r="W2223" i="15" s="1"/>
  <c r="N2223" i="15"/>
  <c r="M2223" i="15"/>
  <c r="AA2222" i="15"/>
  <c r="Z2222" i="15"/>
  <c r="AC2222" i="15" s="1"/>
  <c r="U2222" i="15"/>
  <c r="S2222" i="15"/>
  <c r="Q2222" i="15"/>
  <c r="W2222" i="15" s="1"/>
  <c r="N2222" i="15"/>
  <c r="M2222" i="15"/>
  <c r="AA2221" i="15"/>
  <c r="Z2221" i="15"/>
  <c r="AC2221" i="15" s="1"/>
  <c r="U2221" i="15"/>
  <c r="S2221" i="15"/>
  <c r="Q2221" i="15"/>
  <c r="X2221" i="15" s="1"/>
  <c r="N2221" i="15"/>
  <c r="M2221" i="15"/>
  <c r="AA2220" i="15"/>
  <c r="Z2220" i="15"/>
  <c r="AC2220" i="15" s="1"/>
  <c r="V2220" i="15"/>
  <c r="S2220" i="15"/>
  <c r="N2220" i="15"/>
  <c r="M2220" i="15"/>
  <c r="Q2220" i="15"/>
  <c r="X2220" i="15" s="1"/>
  <c r="AA2219" i="15"/>
  <c r="Z2219" i="15"/>
  <c r="V2219" i="15"/>
  <c r="U2219" i="15"/>
  <c r="S2219" i="15"/>
  <c r="N2219" i="15"/>
  <c r="M2219" i="15"/>
  <c r="Q2219" i="15"/>
  <c r="X2219" i="15" s="1"/>
  <c r="AA2218" i="15"/>
  <c r="Z2218" i="15"/>
  <c r="AC2218" i="15" s="1"/>
  <c r="V2218" i="15"/>
  <c r="S2218" i="15"/>
  <c r="N2218" i="15"/>
  <c r="M2218" i="15"/>
  <c r="Q2218" i="15"/>
  <c r="AA2217" i="15"/>
  <c r="Z2217" i="15"/>
  <c r="U2217" i="15"/>
  <c r="S2217" i="15"/>
  <c r="N2217" i="15"/>
  <c r="M2217" i="15"/>
  <c r="Q2217" i="15"/>
  <c r="AA2216" i="15"/>
  <c r="Z2216" i="15"/>
  <c r="AC2216" i="15" s="1"/>
  <c r="U2216" i="15"/>
  <c r="S2216" i="15"/>
  <c r="N2216" i="15"/>
  <c r="M2216" i="15"/>
  <c r="Q2216" i="15"/>
  <c r="AA2215" i="15"/>
  <c r="Z2215" i="15"/>
  <c r="AC2215" i="15" s="1"/>
  <c r="V2215" i="15"/>
  <c r="S2215" i="15"/>
  <c r="Q2215" i="15"/>
  <c r="N2215" i="15"/>
  <c r="M2215" i="15"/>
  <c r="AA2214" i="15"/>
  <c r="Z2214" i="15"/>
  <c r="U2214" i="15"/>
  <c r="S2214" i="15"/>
  <c r="N2214" i="15"/>
  <c r="M2214" i="15"/>
  <c r="Q2214" i="15"/>
  <c r="W2214" i="15" s="1"/>
  <c r="AA2213" i="15"/>
  <c r="Z2213" i="15"/>
  <c r="AC2213" i="15" s="1"/>
  <c r="U2213" i="15"/>
  <c r="S2213" i="15"/>
  <c r="N2213" i="15"/>
  <c r="M2213" i="15"/>
  <c r="Q2213" i="15"/>
  <c r="AA2212" i="15"/>
  <c r="Z2212" i="15"/>
  <c r="U2212" i="15"/>
  <c r="V2212" i="15"/>
  <c r="S2212" i="15"/>
  <c r="N2212" i="15"/>
  <c r="M2212" i="15"/>
  <c r="Q2212" i="15"/>
  <c r="AA2211" i="15"/>
  <c r="Z2211" i="15"/>
  <c r="AC2211" i="15" s="1"/>
  <c r="V2211" i="15"/>
  <c r="U2211" i="15"/>
  <c r="S2211" i="15"/>
  <c r="N2211" i="15"/>
  <c r="M2211" i="15"/>
  <c r="Q2211" i="15"/>
  <c r="W2211" i="15" s="1"/>
  <c r="AA2210" i="15"/>
  <c r="Z2210" i="15"/>
  <c r="AC2210" i="15" s="1"/>
  <c r="V2210" i="15"/>
  <c r="S2210" i="15"/>
  <c r="Q2210" i="15"/>
  <c r="X2210" i="15" s="1"/>
  <c r="N2210" i="15"/>
  <c r="M2210" i="15"/>
  <c r="AA2209" i="15"/>
  <c r="Z2209" i="15"/>
  <c r="AC2209" i="15" s="1"/>
  <c r="U2209" i="15"/>
  <c r="S2209" i="15"/>
  <c r="N2209" i="15"/>
  <c r="M2209" i="15"/>
  <c r="Q2209" i="15"/>
  <c r="X2209" i="15" s="1"/>
  <c r="AA2208" i="15"/>
  <c r="Z2208" i="15"/>
  <c r="U2208" i="15"/>
  <c r="V2208" i="15"/>
  <c r="S2208" i="15"/>
  <c r="N2208" i="15"/>
  <c r="M2208" i="15"/>
  <c r="Q2208" i="15"/>
  <c r="AA2207" i="15"/>
  <c r="Z2207" i="15"/>
  <c r="U2207" i="15"/>
  <c r="S2207" i="15"/>
  <c r="Q2207" i="15"/>
  <c r="W2207" i="15" s="1"/>
  <c r="N2207" i="15"/>
  <c r="M2207" i="15"/>
  <c r="AA2206" i="15"/>
  <c r="Z2206" i="15"/>
  <c r="AC2206" i="15" s="1"/>
  <c r="U2206" i="15"/>
  <c r="V2206" i="15"/>
  <c r="S2206" i="15"/>
  <c r="N2206" i="15"/>
  <c r="M2206" i="15"/>
  <c r="Q2206" i="15"/>
  <c r="AA2205" i="15"/>
  <c r="Z2205" i="15"/>
  <c r="U2205" i="15"/>
  <c r="S2205" i="15"/>
  <c r="N2205" i="15"/>
  <c r="M2205" i="15"/>
  <c r="Q2205" i="15"/>
  <c r="X2205" i="15" s="1"/>
  <c r="AA2204" i="15"/>
  <c r="Z2204" i="15"/>
  <c r="AC2204" i="15" s="1"/>
  <c r="U2204" i="15"/>
  <c r="S2204" i="15"/>
  <c r="N2204" i="15"/>
  <c r="M2204" i="15"/>
  <c r="Q2204" i="15"/>
  <c r="AA2203" i="15"/>
  <c r="Z2203" i="15"/>
  <c r="AC2203" i="15" s="1"/>
  <c r="U2203" i="15"/>
  <c r="S2203" i="15"/>
  <c r="N2203" i="15"/>
  <c r="M2203" i="15"/>
  <c r="Q2203" i="15"/>
  <c r="AA2202" i="15"/>
  <c r="Z2202" i="15"/>
  <c r="U2202" i="15"/>
  <c r="S2202" i="15"/>
  <c r="Q2202" i="15"/>
  <c r="X2202" i="15" s="1"/>
  <c r="N2202" i="15"/>
  <c r="M2202" i="15"/>
  <c r="AA2201" i="15"/>
  <c r="Z2201" i="15"/>
  <c r="AC2201" i="15" s="1"/>
  <c r="U2201" i="15"/>
  <c r="S2201" i="15"/>
  <c r="N2201" i="15"/>
  <c r="M2201" i="15"/>
  <c r="Q2201" i="15"/>
  <c r="AA2200" i="15"/>
  <c r="Z2200" i="15"/>
  <c r="AC2200" i="15" s="1"/>
  <c r="U2200" i="15"/>
  <c r="S2200" i="15"/>
  <c r="Q2200" i="15"/>
  <c r="N2200" i="15"/>
  <c r="M2200" i="15"/>
  <c r="AA2199" i="15"/>
  <c r="Z2199" i="15"/>
  <c r="AC2199" i="15" s="1"/>
  <c r="U2199" i="15"/>
  <c r="S2199" i="15"/>
  <c r="Q2199" i="15"/>
  <c r="N2199" i="15"/>
  <c r="M2199" i="15"/>
  <c r="AA2198" i="15"/>
  <c r="Z2198" i="15"/>
  <c r="AC2198" i="15" s="1"/>
  <c r="U2198" i="15"/>
  <c r="S2198" i="15"/>
  <c r="Q2198" i="15"/>
  <c r="W2198" i="15" s="1"/>
  <c r="N2198" i="15"/>
  <c r="M2198" i="15"/>
  <c r="AA2197" i="15"/>
  <c r="Z2197" i="15"/>
  <c r="AC2197" i="15" s="1"/>
  <c r="U2197" i="15"/>
  <c r="S2197" i="15"/>
  <c r="N2197" i="15"/>
  <c r="M2197" i="15"/>
  <c r="Q2197" i="15"/>
  <c r="AA2196" i="15"/>
  <c r="Z2196" i="15"/>
  <c r="AC2196" i="15" s="1"/>
  <c r="U2196" i="15"/>
  <c r="S2196" i="15"/>
  <c r="N2196" i="15"/>
  <c r="M2196" i="15"/>
  <c r="Q2196" i="15"/>
  <c r="AA2195" i="15"/>
  <c r="Z2195" i="15"/>
  <c r="AC2195" i="15" s="1"/>
  <c r="U2195" i="15"/>
  <c r="S2195" i="15"/>
  <c r="N2195" i="15"/>
  <c r="M2195" i="15"/>
  <c r="Q2195" i="15"/>
  <c r="AA2194" i="15"/>
  <c r="Z2194" i="15"/>
  <c r="AC2194" i="15" s="1"/>
  <c r="U2194" i="15"/>
  <c r="S2194" i="15"/>
  <c r="N2194" i="15"/>
  <c r="M2194" i="15"/>
  <c r="Q2194" i="15"/>
  <c r="X2194" i="15" s="1"/>
  <c r="AA2193" i="15"/>
  <c r="Z2193" i="15"/>
  <c r="U2193" i="15"/>
  <c r="S2193" i="15"/>
  <c r="N2193" i="15"/>
  <c r="M2193" i="15"/>
  <c r="Q2193" i="15"/>
  <c r="AA2192" i="15"/>
  <c r="Z2192" i="15"/>
  <c r="AC2192" i="15" s="1"/>
  <c r="U2192" i="15"/>
  <c r="S2192" i="15"/>
  <c r="Q2192" i="15"/>
  <c r="N2192" i="15"/>
  <c r="M2192" i="15"/>
  <c r="AA2191" i="15"/>
  <c r="Z2191" i="15"/>
  <c r="AC2191" i="15" s="1"/>
  <c r="U2191" i="15"/>
  <c r="S2191" i="15"/>
  <c r="Q2191" i="15"/>
  <c r="N2191" i="15"/>
  <c r="M2191" i="15"/>
  <c r="AA2190" i="15"/>
  <c r="Z2190" i="15"/>
  <c r="U2190" i="15"/>
  <c r="S2190" i="15"/>
  <c r="Q2190" i="15"/>
  <c r="X2190" i="15" s="1"/>
  <c r="N2190" i="15"/>
  <c r="M2190" i="15"/>
  <c r="AA2189" i="15"/>
  <c r="Z2189" i="15"/>
  <c r="U2189" i="15"/>
  <c r="V2189" i="15"/>
  <c r="S2189" i="15"/>
  <c r="N2189" i="15"/>
  <c r="M2189" i="15"/>
  <c r="Q2189" i="15"/>
  <c r="W2189" i="15" s="1"/>
  <c r="AA2188" i="15"/>
  <c r="Z2188" i="15"/>
  <c r="AC2188" i="15" s="1"/>
  <c r="U2188" i="15"/>
  <c r="S2188" i="15"/>
  <c r="Q2188" i="15"/>
  <c r="N2188" i="15"/>
  <c r="M2188" i="15"/>
  <c r="AA2187" i="15"/>
  <c r="Z2187" i="15"/>
  <c r="AC2187" i="15" s="1"/>
  <c r="V2187" i="15"/>
  <c r="U2187" i="15"/>
  <c r="S2187" i="15"/>
  <c r="N2187" i="15"/>
  <c r="M2187" i="15"/>
  <c r="Q2187" i="15"/>
  <c r="AA2186" i="15"/>
  <c r="Z2186" i="15"/>
  <c r="U2186" i="15"/>
  <c r="V2186" i="15"/>
  <c r="S2186" i="15"/>
  <c r="Q2186" i="15"/>
  <c r="N2186" i="15"/>
  <c r="M2186" i="15"/>
  <c r="AA2185" i="15"/>
  <c r="Z2185" i="15"/>
  <c r="AC2185" i="15" s="1"/>
  <c r="U2185" i="15"/>
  <c r="S2185" i="15"/>
  <c r="N2185" i="15"/>
  <c r="M2185" i="15"/>
  <c r="Q2185" i="15"/>
  <c r="AA2184" i="15"/>
  <c r="Z2184" i="15"/>
  <c r="AC2184" i="15" s="1"/>
  <c r="U2184" i="15"/>
  <c r="V2184" i="15"/>
  <c r="S2184" i="15"/>
  <c r="Q2184" i="15"/>
  <c r="N2184" i="15"/>
  <c r="M2184" i="15"/>
  <c r="AA2183" i="15"/>
  <c r="Z2183" i="15"/>
  <c r="AC2183" i="15" s="1"/>
  <c r="U2183" i="15"/>
  <c r="S2183" i="15"/>
  <c r="Q2183" i="15"/>
  <c r="X2183" i="15" s="1"/>
  <c r="N2183" i="15"/>
  <c r="M2183" i="15"/>
  <c r="AA2182" i="15"/>
  <c r="Z2182" i="15"/>
  <c r="AC2182" i="15" s="1"/>
  <c r="U2182" i="15"/>
  <c r="S2182" i="15"/>
  <c r="Q2182" i="15"/>
  <c r="N2182" i="15"/>
  <c r="M2182" i="15"/>
  <c r="AA2181" i="15"/>
  <c r="Z2181" i="15"/>
  <c r="AC2181" i="15" s="1"/>
  <c r="U2181" i="15"/>
  <c r="S2181" i="15"/>
  <c r="Q2181" i="15"/>
  <c r="X2181" i="15" s="1"/>
  <c r="N2181" i="15"/>
  <c r="M2181" i="15"/>
  <c r="AA2180" i="15"/>
  <c r="Z2180" i="15"/>
  <c r="U2180" i="15"/>
  <c r="V2180" i="15"/>
  <c r="S2180" i="15"/>
  <c r="N2180" i="15"/>
  <c r="M2180" i="15"/>
  <c r="Q2180" i="15"/>
  <c r="AA2179" i="15"/>
  <c r="Z2179" i="15"/>
  <c r="AC2179" i="15" s="1"/>
  <c r="V2179" i="15"/>
  <c r="S2179" i="15"/>
  <c r="N2179" i="15"/>
  <c r="M2179" i="15"/>
  <c r="Q2179" i="15"/>
  <c r="AA2178" i="15"/>
  <c r="Z2178" i="15"/>
  <c r="AC2178" i="15" s="1"/>
  <c r="V2178" i="15"/>
  <c r="S2178" i="15"/>
  <c r="Q2178" i="15"/>
  <c r="N2178" i="15"/>
  <c r="M2178" i="15"/>
  <c r="AA2177" i="15"/>
  <c r="Z2177" i="15"/>
  <c r="AC2177" i="15" s="1"/>
  <c r="U2177" i="15"/>
  <c r="S2177" i="15"/>
  <c r="N2177" i="15"/>
  <c r="M2177" i="15"/>
  <c r="Q2177" i="15"/>
  <c r="AA2176" i="15"/>
  <c r="Z2176" i="15"/>
  <c r="AC2176" i="15" s="1"/>
  <c r="U2176" i="15"/>
  <c r="S2176" i="15"/>
  <c r="N2176" i="15"/>
  <c r="M2176" i="15"/>
  <c r="Q2176" i="15"/>
  <c r="AA2175" i="15"/>
  <c r="Z2175" i="15"/>
  <c r="V2175" i="15"/>
  <c r="S2175" i="15"/>
  <c r="N2175" i="15"/>
  <c r="M2175" i="15"/>
  <c r="Q2175" i="15"/>
  <c r="AA2174" i="15"/>
  <c r="Z2174" i="15"/>
  <c r="AC2174" i="15" s="1"/>
  <c r="U2174" i="15"/>
  <c r="S2174" i="15"/>
  <c r="N2174" i="15"/>
  <c r="M2174" i="15"/>
  <c r="Q2174" i="15"/>
  <c r="X2174" i="15" s="1"/>
  <c r="AA2173" i="15"/>
  <c r="Z2173" i="15"/>
  <c r="AC2173" i="15" s="1"/>
  <c r="V2173" i="15"/>
  <c r="S2173" i="15"/>
  <c r="N2173" i="15"/>
  <c r="M2173" i="15"/>
  <c r="Q2173" i="15"/>
  <c r="W2173" i="15" s="1"/>
  <c r="AA2172" i="15"/>
  <c r="Z2172" i="15"/>
  <c r="AC2172" i="15" s="1"/>
  <c r="V2172" i="15"/>
  <c r="S2172" i="15"/>
  <c r="Q2172" i="15"/>
  <c r="N2172" i="15"/>
  <c r="M2172" i="15"/>
  <c r="AA2171" i="15"/>
  <c r="Z2171" i="15"/>
  <c r="AC2171" i="15" s="1"/>
  <c r="U2171" i="15"/>
  <c r="S2171" i="15"/>
  <c r="Q2171" i="15"/>
  <c r="W2171" i="15" s="1"/>
  <c r="N2171" i="15"/>
  <c r="M2171" i="15"/>
  <c r="AA2170" i="15"/>
  <c r="Z2170" i="15"/>
  <c r="AC2170" i="15" s="1"/>
  <c r="U2170" i="15"/>
  <c r="S2170" i="15"/>
  <c r="Q2170" i="15"/>
  <c r="N2170" i="15"/>
  <c r="M2170" i="15"/>
  <c r="AA2169" i="15"/>
  <c r="Z2169" i="15"/>
  <c r="U2169" i="15"/>
  <c r="S2169" i="15"/>
  <c r="N2169" i="15"/>
  <c r="M2169" i="15"/>
  <c r="Q2169" i="15"/>
  <c r="AA2168" i="15"/>
  <c r="Z2168" i="15"/>
  <c r="U2168" i="15"/>
  <c r="V2168" i="15"/>
  <c r="S2168" i="15"/>
  <c r="Q2168" i="15"/>
  <c r="N2168" i="15"/>
  <c r="M2168" i="15"/>
  <c r="AA2167" i="15"/>
  <c r="Z2167" i="15"/>
  <c r="U2167" i="15"/>
  <c r="S2167" i="15"/>
  <c r="N2167" i="15"/>
  <c r="M2167" i="15"/>
  <c r="Q2167" i="15"/>
  <c r="AA2166" i="15"/>
  <c r="Z2166" i="15"/>
  <c r="AC2166" i="15" s="1"/>
  <c r="V2166" i="15"/>
  <c r="S2166" i="15"/>
  <c r="Q2166" i="15"/>
  <c r="W2166" i="15" s="1"/>
  <c r="N2166" i="15"/>
  <c r="M2166" i="15"/>
  <c r="AA2165" i="15"/>
  <c r="Z2165" i="15"/>
  <c r="AC2165" i="15" s="1"/>
  <c r="U2165" i="15"/>
  <c r="S2165" i="15"/>
  <c r="N2165" i="15"/>
  <c r="M2165" i="15"/>
  <c r="Q2165" i="15"/>
  <c r="AA2164" i="15"/>
  <c r="Z2164" i="15"/>
  <c r="U2164" i="15"/>
  <c r="S2164" i="15"/>
  <c r="N2164" i="15"/>
  <c r="M2164" i="15"/>
  <c r="Q2164" i="15"/>
  <c r="AA2163" i="15"/>
  <c r="Z2163" i="15"/>
  <c r="AC2163" i="15" s="1"/>
  <c r="V2163" i="15"/>
  <c r="S2163" i="15"/>
  <c r="N2163" i="15"/>
  <c r="M2163" i="15"/>
  <c r="Q2163" i="15"/>
  <c r="X2163" i="15" s="1"/>
  <c r="AA2162" i="15"/>
  <c r="Z2162" i="15"/>
  <c r="U2162" i="15"/>
  <c r="S2162" i="15"/>
  <c r="N2162" i="15"/>
  <c r="M2162" i="15"/>
  <c r="Q2162" i="15"/>
  <c r="AA2161" i="15"/>
  <c r="Z2161" i="15"/>
  <c r="U2161" i="15"/>
  <c r="S2161" i="15"/>
  <c r="N2161" i="15"/>
  <c r="M2161" i="15"/>
  <c r="Q2161" i="15"/>
  <c r="AA2160" i="15"/>
  <c r="Z2160" i="15"/>
  <c r="U2160" i="15"/>
  <c r="S2160" i="15"/>
  <c r="Q2160" i="15"/>
  <c r="W2160" i="15" s="1"/>
  <c r="N2160" i="15"/>
  <c r="M2160" i="15"/>
  <c r="AA2159" i="15"/>
  <c r="Z2159" i="15"/>
  <c r="AC2159" i="15" s="1"/>
  <c r="V2159" i="15"/>
  <c r="S2159" i="15"/>
  <c r="Q2159" i="15"/>
  <c r="N2159" i="15"/>
  <c r="M2159" i="15"/>
  <c r="AA2158" i="15"/>
  <c r="Z2158" i="15"/>
  <c r="AC2158" i="15" s="1"/>
  <c r="V2158" i="15"/>
  <c r="U2158" i="15"/>
  <c r="S2158" i="15"/>
  <c r="Q2158" i="15"/>
  <c r="X2158" i="15" s="1"/>
  <c r="N2158" i="15"/>
  <c r="M2158" i="15"/>
  <c r="AA2157" i="15"/>
  <c r="Z2157" i="15"/>
  <c r="AC2157" i="15" s="1"/>
  <c r="V2157" i="15"/>
  <c r="U2157" i="15"/>
  <c r="S2157" i="15"/>
  <c r="Q2157" i="15"/>
  <c r="X2157" i="15" s="1"/>
  <c r="N2157" i="15"/>
  <c r="M2157" i="15"/>
  <c r="AA2156" i="15"/>
  <c r="Z2156" i="15"/>
  <c r="U2156" i="15"/>
  <c r="S2156" i="15"/>
  <c r="Q2156" i="15"/>
  <c r="W2156" i="15" s="1"/>
  <c r="N2156" i="15"/>
  <c r="M2156" i="15"/>
  <c r="AA2155" i="15"/>
  <c r="Z2155" i="15"/>
  <c r="AC2155" i="15" s="1"/>
  <c r="V2155" i="15"/>
  <c r="S2155" i="15"/>
  <c r="N2155" i="15"/>
  <c r="M2155" i="15"/>
  <c r="Q2155" i="15"/>
  <c r="X2155" i="15" s="1"/>
  <c r="AA2154" i="15"/>
  <c r="Z2154" i="15"/>
  <c r="U2154" i="15"/>
  <c r="S2154" i="15"/>
  <c r="Q2154" i="15"/>
  <c r="N2154" i="15"/>
  <c r="M2154" i="15"/>
  <c r="AA2153" i="15"/>
  <c r="Z2153" i="15"/>
  <c r="AC2153" i="15" s="1"/>
  <c r="U2153" i="15"/>
  <c r="S2153" i="15"/>
  <c r="Q2153" i="15"/>
  <c r="X2153" i="15" s="1"/>
  <c r="N2153" i="15"/>
  <c r="M2153" i="15"/>
  <c r="AA2152" i="15"/>
  <c r="Z2152" i="15"/>
  <c r="U2152" i="15"/>
  <c r="S2152" i="15"/>
  <c r="N2152" i="15"/>
  <c r="M2152" i="15"/>
  <c r="Q2152" i="15"/>
  <c r="AA2151" i="15"/>
  <c r="Z2151" i="15"/>
  <c r="U2151" i="15"/>
  <c r="S2151" i="15"/>
  <c r="Q2151" i="15"/>
  <c r="N2151" i="15"/>
  <c r="M2151" i="15"/>
  <c r="AD2151" i="15" s="1"/>
  <c r="AA2150" i="15"/>
  <c r="Z2150" i="15"/>
  <c r="AC2150" i="15" s="1"/>
  <c r="U2150" i="15"/>
  <c r="S2150" i="15"/>
  <c r="Q2150" i="15"/>
  <c r="N2150" i="15"/>
  <c r="M2150" i="15"/>
  <c r="AA2149" i="15"/>
  <c r="Z2149" i="15"/>
  <c r="AC2149" i="15" s="1"/>
  <c r="U2149" i="15"/>
  <c r="S2149" i="15"/>
  <c r="N2149" i="15"/>
  <c r="M2149" i="15"/>
  <c r="Q2149" i="15"/>
  <c r="AA2148" i="15"/>
  <c r="Z2148" i="15"/>
  <c r="U2148" i="15"/>
  <c r="S2148" i="15"/>
  <c r="N2148" i="15"/>
  <c r="M2148" i="15"/>
  <c r="Q2148" i="15"/>
  <c r="AA2147" i="15"/>
  <c r="AD2147" i="15" s="1"/>
  <c r="Z2147" i="15"/>
  <c r="V2147" i="15"/>
  <c r="AA2146" i="15"/>
  <c r="Z2146" i="15"/>
  <c r="V2146" i="15"/>
  <c r="S2146" i="15"/>
  <c r="N2146" i="15"/>
  <c r="M2146" i="15"/>
  <c r="Q2146" i="15"/>
  <c r="X2146" i="15" s="1"/>
  <c r="AA2145" i="15"/>
  <c r="Z2145" i="15"/>
  <c r="U2145" i="15"/>
  <c r="V2145" i="15"/>
  <c r="S2145" i="15"/>
  <c r="N2145" i="15"/>
  <c r="M2145" i="15"/>
  <c r="Q2145" i="15"/>
  <c r="W2145" i="15" s="1"/>
  <c r="AA2144" i="15"/>
  <c r="Z2144" i="15"/>
  <c r="AC2144" i="15" s="1"/>
  <c r="U2144" i="15"/>
  <c r="S2144" i="15"/>
  <c r="Q2144" i="15"/>
  <c r="N2144" i="15"/>
  <c r="M2144" i="15"/>
  <c r="AA2143" i="15"/>
  <c r="Z2143" i="15"/>
  <c r="AC2143" i="15" s="1"/>
  <c r="U2143" i="15"/>
  <c r="S2143" i="15"/>
  <c r="N2143" i="15"/>
  <c r="M2143" i="15"/>
  <c r="Q2143" i="15"/>
  <c r="AA2142" i="15"/>
  <c r="Z2142" i="15"/>
  <c r="AC2142" i="15" s="1"/>
  <c r="V2142" i="15"/>
  <c r="U2142" i="15"/>
  <c r="S2142" i="15"/>
  <c r="N2142" i="15"/>
  <c r="M2142" i="15"/>
  <c r="Q2142" i="15"/>
  <c r="AA2141" i="15"/>
  <c r="Z2141" i="15"/>
  <c r="AC2141" i="15" s="1"/>
  <c r="U2141" i="15"/>
  <c r="S2141" i="15"/>
  <c r="Q2141" i="15"/>
  <c r="N2141" i="15"/>
  <c r="M2141" i="15"/>
  <c r="AA2140" i="15"/>
  <c r="Z2140" i="15"/>
  <c r="V2140" i="15"/>
  <c r="S2140" i="15"/>
  <c r="N2140" i="15"/>
  <c r="M2140" i="15"/>
  <c r="Q2140" i="15"/>
  <c r="AA2139" i="15"/>
  <c r="Z2139" i="15"/>
  <c r="AC2139" i="15" s="1"/>
  <c r="U2139" i="15"/>
  <c r="S2139" i="15"/>
  <c r="N2139" i="15"/>
  <c r="M2139" i="15"/>
  <c r="Q2139" i="15"/>
  <c r="AA2138" i="15"/>
  <c r="Z2138" i="15"/>
  <c r="U2138" i="15"/>
  <c r="S2138" i="15"/>
  <c r="Q2138" i="15"/>
  <c r="N2138" i="15"/>
  <c r="M2138" i="15"/>
  <c r="AA2137" i="15"/>
  <c r="Z2137" i="15"/>
  <c r="V2137" i="15"/>
  <c r="S2137" i="15"/>
  <c r="N2137" i="15"/>
  <c r="M2137" i="15"/>
  <c r="Q2137" i="15"/>
  <c r="AA2136" i="15"/>
  <c r="Z2136" i="15"/>
  <c r="AC2136" i="15" s="1"/>
  <c r="U2136" i="15"/>
  <c r="S2136" i="15"/>
  <c r="Q2136" i="15"/>
  <c r="N2136" i="15"/>
  <c r="M2136" i="15"/>
  <c r="AA2135" i="15"/>
  <c r="Z2135" i="15"/>
  <c r="AC2135" i="15" s="1"/>
  <c r="V2135" i="15"/>
  <c r="S2135" i="15"/>
  <c r="Q2135" i="15"/>
  <c r="N2135" i="15"/>
  <c r="M2135" i="15"/>
  <c r="AA2134" i="15"/>
  <c r="Z2134" i="15"/>
  <c r="AC2134" i="15" s="1"/>
  <c r="U2134" i="15"/>
  <c r="S2134" i="15"/>
  <c r="N2134" i="15"/>
  <c r="M2134" i="15"/>
  <c r="Q2134" i="15"/>
  <c r="AA2133" i="15"/>
  <c r="Z2133" i="15"/>
  <c r="AC2133" i="15" s="1"/>
  <c r="U2133" i="15"/>
  <c r="S2133" i="15"/>
  <c r="N2133" i="15"/>
  <c r="M2133" i="15"/>
  <c r="AA2132" i="15"/>
  <c r="Z2132" i="15"/>
  <c r="AC2132" i="15" s="1"/>
  <c r="U2132" i="15"/>
  <c r="S2132" i="15"/>
  <c r="N2132" i="15"/>
  <c r="M2132" i="15"/>
  <c r="Q2132" i="15"/>
  <c r="AA2131" i="15"/>
  <c r="Z2131" i="15"/>
  <c r="U2131" i="15"/>
  <c r="S2131" i="15"/>
  <c r="Q2131" i="15"/>
  <c r="W2131" i="15" s="1"/>
  <c r="N2131" i="15"/>
  <c r="M2131" i="15"/>
  <c r="AA2130" i="15"/>
  <c r="Z2130" i="15"/>
  <c r="AC2130" i="15" s="1"/>
  <c r="U2130" i="15"/>
  <c r="V2130" i="15"/>
  <c r="S2130" i="15"/>
  <c r="N2130" i="15"/>
  <c r="M2130" i="15"/>
  <c r="Q2130" i="15"/>
  <c r="AA2129" i="15"/>
  <c r="Z2129" i="15"/>
  <c r="U2129" i="15"/>
  <c r="S2129" i="15"/>
  <c r="N2129" i="15"/>
  <c r="M2129" i="15"/>
  <c r="AA2128" i="15"/>
  <c r="Z2128" i="15"/>
  <c r="AC2128" i="15" s="1"/>
  <c r="V2128" i="15"/>
  <c r="S2128" i="15"/>
  <c r="Q2128" i="15"/>
  <c r="N2128" i="15"/>
  <c r="M2128" i="15"/>
  <c r="AA2127" i="15"/>
  <c r="Z2127" i="15"/>
  <c r="AC2127" i="15" s="1"/>
  <c r="U2127" i="15"/>
  <c r="V2127" i="15"/>
  <c r="S2127" i="15"/>
  <c r="Q2127" i="15"/>
  <c r="N2127" i="15"/>
  <c r="M2127" i="15"/>
  <c r="AA2126" i="15"/>
  <c r="Z2126" i="15"/>
  <c r="U2126" i="15"/>
  <c r="S2126" i="15"/>
  <c r="N2126" i="15"/>
  <c r="M2126" i="15"/>
  <c r="Q2126" i="15"/>
  <c r="AA2125" i="15"/>
  <c r="Z2125" i="15"/>
  <c r="AC2125" i="15" s="1"/>
  <c r="U2125" i="15"/>
  <c r="S2125" i="15"/>
  <c r="Q2125" i="15"/>
  <c r="N2125" i="15"/>
  <c r="M2125" i="15"/>
  <c r="AA2124" i="15"/>
  <c r="Z2124" i="15"/>
  <c r="U2124" i="15"/>
  <c r="S2124" i="15"/>
  <c r="Q2124" i="15"/>
  <c r="N2124" i="15"/>
  <c r="M2124" i="15"/>
  <c r="AA2123" i="15"/>
  <c r="Z2123" i="15"/>
  <c r="AC2123" i="15" s="1"/>
  <c r="U2123" i="15"/>
  <c r="V2123" i="15"/>
  <c r="S2123" i="15"/>
  <c r="Q2123" i="15"/>
  <c r="N2123" i="15"/>
  <c r="M2123" i="15"/>
  <c r="AA2122" i="15"/>
  <c r="Z2122" i="15"/>
  <c r="AC2122" i="15" s="1"/>
  <c r="U2122" i="15"/>
  <c r="S2122" i="15"/>
  <c r="Q2122" i="15"/>
  <c r="N2122" i="15"/>
  <c r="M2122" i="15"/>
  <c r="AA2121" i="15"/>
  <c r="Z2121" i="15"/>
  <c r="U2121" i="15"/>
  <c r="V2121" i="15"/>
  <c r="S2121" i="15"/>
  <c r="N2121" i="15"/>
  <c r="M2121" i="15"/>
  <c r="Q2121" i="15"/>
  <c r="AA2120" i="15"/>
  <c r="Z2120" i="15"/>
  <c r="AC2120" i="15" s="1"/>
  <c r="U2120" i="15"/>
  <c r="V2120" i="15"/>
  <c r="S2120" i="15"/>
  <c r="N2120" i="15"/>
  <c r="M2120" i="15"/>
  <c r="Q2120" i="15"/>
  <c r="X2120" i="15" s="1"/>
  <c r="AA2119" i="15"/>
  <c r="Z2119" i="15"/>
  <c r="AC2119" i="15" s="1"/>
  <c r="U2119" i="15"/>
  <c r="S2119" i="15"/>
  <c r="N2119" i="15"/>
  <c r="M2119" i="15"/>
  <c r="Q2119" i="15"/>
  <c r="W2119" i="15" s="1"/>
  <c r="AA2118" i="15"/>
  <c r="Z2118" i="15"/>
  <c r="AC2118" i="15" s="1"/>
  <c r="U2118" i="15"/>
  <c r="S2118" i="15"/>
  <c r="Q2118" i="15"/>
  <c r="W2118" i="15" s="1"/>
  <c r="N2118" i="15"/>
  <c r="M2118" i="15"/>
  <c r="AA2117" i="15"/>
  <c r="Z2117" i="15"/>
  <c r="V2117" i="15"/>
  <c r="U2117" i="15"/>
  <c r="S2117" i="15"/>
  <c r="N2117" i="15"/>
  <c r="M2117" i="15"/>
  <c r="Q2117" i="15"/>
  <c r="AA2116" i="15"/>
  <c r="Z2116" i="15"/>
  <c r="AC2116" i="15" s="1"/>
  <c r="U2116" i="15"/>
  <c r="S2116" i="15"/>
  <c r="Q2116" i="15"/>
  <c r="N2116" i="15"/>
  <c r="M2116" i="15"/>
  <c r="AA2115" i="15"/>
  <c r="Z2115" i="15"/>
  <c r="AC2115" i="15" s="1"/>
  <c r="U2115" i="15"/>
  <c r="S2115" i="15"/>
  <c r="Q2115" i="15"/>
  <c r="N2115" i="15"/>
  <c r="M2115" i="15"/>
  <c r="AA2114" i="15"/>
  <c r="Z2114" i="15"/>
  <c r="U2114" i="15"/>
  <c r="S2114" i="15"/>
  <c r="N2114" i="15"/>
  <c r="M2114" i="15"/>
  <c r="Q2114" i="15"/>
  <c r="X2114" i="15" s="1"/>
  <c r="AA2113" i="15"/>
  <c r="Z2113" i="15"/>
  <c r="AC2113" i="15" s="1"/>
  <c r="U2113" i="15"/>
  <c r="S2113" i="15"/>
  <c r="N2113" i="15"/>
  <c r="M2113" i="15"/>
  <c r="Q2113" i="15"/>
  <c r="AA2112" i="15"/>
  <c r="Z2112" i="15"/>
  <c r="V2112" i="15"/>
  <c r="U2112" i="15"/>
  <c r="S2112" i="15"/>
  <c r="N2112" i="15"/>
  <c r="M2112" i="15"/>
  <c r="Q2112" i="15"/>
  <c r="AA2111" i="15"/>
  <c r="Z2111" i="15"/>
  <c r="AC2111" i="15" s="1"/>
  <c r="U2111" i="15"/>
  <c r="V2111" i="15"/>
  <c r="S2111" i="15"/>
  <c r="N2111" i="15"/>
  <c r="M2111" i="15"/>
  <c r="Q2111" i="15"/>
  <c r="AA2110" i="15"/>
  <c r="Z2110" i="15"/>
  <c r="AC2110" i="15" s="1"/>
  <c r="V2110" i="15"/>
  <c r="S2110" i="15"/>
  <c r="Q2110" i="15"/>
  <c r="N2110" i="15"/>
  <c r="M2110" i="15"/>
  <c r="AA2109" i="15"/>
  <c r="Z2109" i="15"/>
  <c r="AC2109" i="15" s="1"/>
  <c r="U2109" i="15"/>
  <c r="V2109" i="15"/>
  <c r="S2109" i="15"/>
  <c r="N2109" i="15"/>
  <c r="M2109" i="15"/>
  <c r="Q2109" i="15"/>
  <c r="X2109" i="15" s="1"/>
  <c r="AA2108" i="15"/>
  <c r="Z2108" i="15"/>
  <c r="AC2108" i="15" s="1"/>
  <c r="U2108" i="15"/>
  <c r="V2108" i="15"/>
  <c r="S2108" i="15"/>
  <c r="N2108" i="15"/>
  <c r="M2108" i="15"/>
  <c r="Q2108" i="15"/>
  <c r="W2108" i="15" s="1"/>
  <c r="AA2107" i="15"/>
  <c r="Z2107" i="15"/>
  <c r="AC2107" i="15" s="1"/>
  <c r="V2107" i="15"/>
  <c r="S2107" i="15"/>
  <c r="Q2107" i="15"/>
  <c r="N2107" i="15"/>
  <c r="M2107" i="15"/>
  <c r="AA2106" i="15"/>
  <c r="Z2106" i="15"/>
  <c r="AC2106" i="15" s="1"/>
  <c r="U2106" i="15"/>
  <c r="S2106" i="15"/>
  <c r="N2106" i="15"/>
  <c r="M2106" i="15"/>
  <c r="Q2106" i="15"/>
  <c r="W2106" i="15" s="1"/>
  <c r="AA2105" i="15"/>
  <c r="Z2105" i="15"/>
  <c r="AC2105" i="15" s="1"/>
  <c r="V2105" i="15"/>
  <c r="U2105" i="15"/>
  <c r="S2105" i="15"/>
  <c r="N2105" i="15"/>
  <c r="M2105" i="15"/>
  <c r="Q2105" i="15"/>
  <c r="AA2104" i="15"/>
  <c r="Z2104" i="15"/>
  <c r="AC2104" i="15" s="1"/>
  <c r="U2104" i="15"/>
  <c r="S2104" i="15"/>
  <c r="N2104" i="15"/>
  <c r="M2104" i="15"/>
  <c r="Q2104" i="15"/>
  <c r="AA2103" i="15"/>
  <c r="Z2103" i="15"/>
  <c r="AC2103" i="15" s="1"/>
  <c r="U2103" i="15"/>
  <c r="V2103" i="15"/>
  <c r="S2103" i="15"/>
  <c r="Q2103" i="15"/>
  <c r="N2103" i="15"/>
  <c r="M2103" i="15"/>
  <c r="AA2102" i="15"/>
  <c r="Z2102" i="15"/>
  <c r="AC2102" i="15" s="1"/>
  <c r="U2102" i="15"/>
  <c r="S2102" i="15"/>
  <c r="N2102" i="15"/>
  <c r="M2102" i="15"/>
  <c r="Q2102" i="15"/>
  <c r="W2102" i="15" s="1"/>
  <c r="AA2101" i="15"/>
  <c r="Z2101" i="15"/>
  <c r="AC2101" i="15" s="1"/>
  <c r="V2101" i="15"/>
  <c r="U2101" i="15"/>
  <c r="S2101" i="15"/>
  <c r="N2101" i="15"/>
  <c r="M2101" i="15"/>
  <c r="Q2101" i="15"/>
  <c r="X2101" i="15" s="1"/>
  <c r="AA2100" i="15"/>
  <c r="Z2100" i="15"/>
  <c r="AC2100" i="15" s="1"/>
  <c r="U2100" i="15"/>
  <c r="S2100" i="15"/>
  <c r="N2100" i="15"/>
  <c r="M2100" i="15"/>
  <c r="Q2100" i="15"/>
  <c r="X2100" i="15" s="1"/>
  <c r="AA2099" i="15"/>
  <c r="Z2099" i="15"/>
  <c r="U2099" i="15"/>
  <c r="V2099" i="15"/>
  <c r="S2099" i="15"/>
  <c r="Q2099" i="15"/>
  <c r="N2099" i="15"/>
  <c r="M2099" i="15"/>
  <c r="AA2098" i="15"/>
  <c r="Z2098" i="15"/>
  <c r="AC2098" i="15" s="1"/>
  <c r="U2098" i="15"/>
  <c r="S2098" i="15"/>
  <c r="N2098" i="15"/>
  <c r="M2098" i="15"/>
  <c r="Q2098" i="15"/>
  <c r="AA2097" i="15"/>
  <c r="Z2097" i="15"/>
  <c r="AC2097" i="15" s="1"/>
  <c r="U2097" i="15"/>
  <c r="S2097" i="15"/>
  <c r="N2097" i="15"/>
  <c r="M2097" i="15"/>
  <c r="Q2097" i="15"/>
  <c r="AA2096" i="15"/>
  <c r="Z2096" i="15"/>
  <c r="U2096" i="15"/>
  <c r="V2096" i="15"/>
  <c r="S2096" i="15"/>
  <c r="N2096" i="15"/>
  <c r="M2096" i="15"/>
  <c r="Q2096" i="15"/>
  <c r="AA2095" i="15"/>
  <c r="Z2095" i="15"/>
  <c r="V2095" i="15"/>
  <c r="U2095" i="15"/>
  <c r="S2095" i="15"/>
  <c r="Q2095" i="15"/>
  <c r="N2095" i="15"/>
  <c r="M2095" i="15"/>
  <c r="AA2094" i="15"/>
  <c r="Z2094" i="15"/>
  <c r="AC2094" i="15" s="1"/>
  <c r="U2094" i="15"/>
  <c r="S2094" i="15"/>
  <c r="N2094" i="15"/>
  <c r="M2094" i="15"/>
  <c r="Q2094" i="15"/>
  <c r="W2094" i="15" s="1"/>
  <c r="AA2093" i="15"/>
  <c r="Z2093" i="15"/>
  <c r="AC2093" i="15" s="1"/>
  <c r="U2093" i="15"/>
  <c r="S2093" i="15"/>
  <c r="Q2093" i="15"/>
  <c r="N2093" i="15"/>
  <c r="M2093" i="15"/>
  <c r="AA2092" i="15"/>
  <c r="Z2092" i="15"/>
  <c r="U2092" i="15"/>
  <c r="S2092" i="15"/>
  <c r="Q2092" i="15"/>
  <c r="X2092" i="15" s="1"/>
  <c r="N2092" i="15"/>
  <c r="M2092" i="15"/>
  <c r="AA2091" i="15"/>
  <c r="Z2091" i="15"/>
  <c r="U2091" i="15"/>
  <c r="S2091" i="15"/>
  <c r="Q2091" i="15"/>
  <c r="N2091" i="15"/>
  <c r="M2091" i="15"/>
  <c r="AA2090" i="15"/>
  <c r="Z2090" i="15"/>
  <c r="U2090" i="15"/>
  <c r="S2090" i="15"/>
  <c r="N2090" i="15"/>
  <c r="M2090" i="15"/>
  <c r="Q2090" i="15"/>
  <c r="W2090" i="15" s="1"/>
  <c r="AA2089" i="15"/>
  <c r="Z2089" i="15"/>
  <c r="U2089" i="15"/>
  <c r="S2089" i="15"/>
  <c r="N2089" i="15"/>
  <c r="M2089" i="15"/>
  <c r="Q2089" i="15"/>
  <c r="AA2088" i="15"/>
  <c r="Z2088" i="15"/>
  <c r="AC2088" i="15" s="1"/>
  <c r="U2088" i="15"/>
  <c r="S2088" i="15"/>
  <c r="Q2088" i="15"/>
  <c r="N2088" i="15"/>
  <c r="M2088" i="15"/>
  <c r="AA2087" i="15"/>
  <c r="Z2087" i="15"/>
  <c r="AC2087" i="15" s="1"/>
  <c r="V2087" i="15"/>
  <c r="U2087" i="15"/>
  <c r="S2087" i="15"/>
  <c r="Q2087" i="15"/>
  <c r="N2087" i="15"/>
  <c r="M2087" i="15"/>
  <c r="AA2086" i="15"/>
  <c r="Z2086" i="15"/>
  <c r="AC2086" i="15" s="1"/>
  <c r="U2086" i="15"/>
  <c r="S2086" i="15"/>
  <c r="Q2086" i="15"/>
  <c r="X2086" i="15" s="1"/>
  <c r="N2086" i="15"/>
  <c r="M2086" i="15"/>
  <c r="AA2085" i="15"/>
  <c r="Z2085" i="15"/>
  <c r="U2085" i="15"/>
  <c r="S2085" i="15"/>
  <c r="N2085" i="15"/>
  <c r="M2085" i="15"/>
  <c r="Q2085" i="15"/>
  <c r="X2085" i="15" s="1"/>
  <c r="AA2084" i="15"/>
  <c r="Z2084" i="15"/>
  <c r="U2084" i="15"/>
  <c r="S2084" i="15"/>
  <c r="N2084" i="15"/>
  <c r="M2084" i="15"/>
  <c r="Q2084" i="15"/>
  <c r="AA2083" i="15"/>
  <c r="Z2083" i="15"/>
  <c r="U2083" i="15"/>
  <c r="S2083" i="15"/>
  <c r="Q2083" i="15"/>
  <c r="N2083" i="15"/>
  <c r="M2083" i="15"/>
  <c r="AA2082" i="15"/>
  <c r="Z2082" i="15"/>
  <c r="AC2082" i="15" s="1"/>
  <c r="U2082" i="15"/>
  <c r="S2082" i="15"/>
  <c r="Q2082" i="15"/>
  <c r="X2082" i="15" s="1"/>
  <c r="N2082" i="15"/>
  <c r="M2082" i="15"/>
  <c r="AA2081" i="15"/>
  <c r="Z2081" i="15"/>
  <c r="U2081" i="15"/>
  <c r="V2081" i="15"/>
  <c r="S2081" i="15"/>
  <c r="Q2081" i="15"/>
  <c r="N2081" i="15"/>
  <c r="M2081" i="15"/>
  <c r="AA2080" i="15"/>
  <c r="Z2080" i="15"/>
  <c r="AC2080" i="15" s="1"/>
  <c r="U2080" i="15"/>
  <c r="V2080" i="15"/>
  <c r="S2080" i="15"/>
  <c r="Q2080" i="15"/>
  <c r="N2080" i="15"/>
  <c r="M2080" i="15"/>
  <c r="AA2079" i="15"/>
  <c r="Z2079" i="15"/>
  <c r="AC2079" i="15" s="1"/>
  <c r="U2079" i="15"/>
  <c r="S2079" i="15"/>
  <c r="Q2079" i="15"/>
  <c r="N2079" i="15"/>
  <c r="M2079" i="15"/>
  <c r="AA2078" i="15"/>
  <c r="Z2078" i="15"/>
  <c r="AC2078" i="15" s="1"/>
  <c r="U2078" i="15"/>
  <c r="S2078" i="15"/>
  <c r="Q2078" i="15"/>
  <c r="N2078" i="15"/>
  <c r="M2078" i="15"/>
  <c r="AA2077" i="15"/>
  <c r="Z2077" i="15"/>
  <c r="U2077" i="15"/>
  <c r="S2077" i="15"/>
  <c r="N2077" i="15"/>
  <c r="M2077" i="15"/>
  <c r="Q2077" i="15"/>
  <c r="X2077" i="15" s="1"/>
  <c r="AA2076" i="15"/>
  <c r="Z2076" i="15"/>
  <c r="AC2076" i="15" s="1"/>
  <c r="U2076" i="15"/>
  <c r="S2076" i="15"/>
  <c r="N2076" i="15"/>
  <c r="M2076" i="15"/>
  <c r="Q2076" i="15"/>
  <c r="AA2075" i="15"/>
  <c r="Z2075" i="15"/>
  <c r="U2075" i="15"/>
  <c r="S2075" i="15"/>
  <c r="N2075" i="15"/>
  <c r="M2075" i="15"/>
  <c r="Q2075" i="15"/>
  <c r="X2075" i="15" s="1"/>
  <c r="AA2074" i="15"/>
  <c r="Z2074" i="15"/>
  <c r="U2074" i="15"/>
  <c r="S2074" i="15"/>
  <c r="N2074" i="15"/>
  <c r="M2074" i="15"/>
  <c r="Q2074" i="15"/>
  <c r="W2074" i="15" s="1"/>
  <c r="AA2073" i="15"/>
  <c r="Z2073" i="15"/>
  <c r="V2073" i="15"/>
  <c r="U2073" i="15"/>
  <c r="S2073" i="15"/>
  <c r="N2073" i="15"/>
  <c r="M2073" i="15"/>
  <c r="Q2073" i="15"/>
  <c r="W2073" i="15" s="1"/>
  <c r="AA2072" i="15"/>
  <c r="Z2072" i="15"/>
  <c r="AC2072" i="15" s="1"/>
  <c r="U2072" i="15"/>
  <c r="S2072" i="15"/>
  <c r="Q2072" i="15"/>
  <c r="N2072" i="15"/>
  <c r="M2072" i="15"/>
  <c r="AA2071" i="15"/>
  <c r="Z2071" i="15"/>
  <c r="U2071" i="15"/>
  <c r="V2071" i="15"/>
  <c r="S2071" i="15"/>
  <c r="Q2071" i="15"/>
  <c r="X2071" i="15" s="1"/>
  <c r="N2071" i="15"/>
  <c r="M2071" i="15"/>
  <c r="AA2070" i="15"/>
  <c r="Z2070" i="15"/>
  <c r="AC2070" i="15" s="1"/>
  <c r="U2070" i="15"/>
  <c r="S2070" i="15"/>
  <c r="N2070" i="15"/>
  <c r="M2070" i="15"/>
  <c r="Q2070" i="15"/>
  <c r="AA2069" i="15"/>
  <c r="Z2069" i="15"/>
  <c r="AC2069" i="15" s="1"/>
  <c r="V2069" i="15"/>
  <c r="U2069" i="15"/>
  <c r="S2069" i="15"/>
  <c r="N2069" i="15"/>
  <c r="M2069" i="15"/>
  <c r="Q2069" i="15"/>
  <c r="AA2068" i="15"/>
  <c r="Z2068" i="15"/>
  <c r="AC2068" i="15" s="1"/>
  <c r="U2068" i="15"/>
  <c r="S2068" i="15"/>
  <c r="N2068" i="15"/>
  <c r="M2068" i="15"/>
  <c r="Q2068" i="15"/>
  <c r="X2068" i="15" s="1"/>
  <c r="AA2067" i="15"/>
  <c r="AD2067" i="15" s="1"/>
  <c r="Z2067" i="15"/>
  <c r="AC2067" i="15" s="1"/>
  <c r="V2067" i="15"/>
  <c r="S2067" i="15"/>
  <c r="Q2067" i="15"/>
  <c r="N2067" i="15"/>
  <c r="M2067" i="15"/>
  <c r="AA2066" i="15"/>
  <c r="Z2066" i="15"/>
  <c r="U2066" i="15"/>
  <c r="S2066" i="15"/>
  <c r="N2066" i="15"/>
  <c r="M2066" i="15"/>
  <c r="Q2066" i="15"/>
  <c r="X2066" i="15" s="1"/>
  <c r="AA2065" i="15"/>
  <c r="Z2065" i="15"/>
  <c r="AC2065" i="15" s="1"/>
  <c r="U2065" i="15"/>
  <c r="V2065" i="15"/>
  <c r="S2065" i="15"/>
  <c r="Q2065" i="15"/>
  <c r="X2065" i="15" s="1"/>
  <c r="N2065" i="15"/>
  <c r="M2065" i="15"/>
  <c r="AA2064" i="15"/>
  <c r="Z2064" i="15"/>
  <c r="AC2064" i="15" s="1"/>
  <c r="U2064" i="15"/>
  <c r="S2064" i="15"/>
  <c r="Q2064" i="15"/>
  <c r="X2064" i="15" s="1"/>
  <c r="N2064" i="15"/>
  <c r="M2064" i="15"/>
  <c r="AA2063" i="15"/>
  <c r="Z2063" i="15"/>
  <c r="U2063" i="15"/>
  <c r="S2063" i="15"/>
  <c r="Q2063" i="15"/>
  <c r="N2063" i="15"/>
  <c r="M2063" i="15"/>
  <c r="AA2062" i="15"/>
  <c r="Z2062" i="15"/>
  <c r="AC2062" i="15" s="1"/>
  <c r="U2062" i="15"/>
  <c r="S2062" i="15"/>
  <c r="Q2062" i="15"/>
  <c r="N2062" i="15"/>
  <c r="M2062" i="15"/>
  <c r="AA2061" i="15"/>
  <c r="Z2061" i="15"/>
  <c r="AC2061" i="15" s="1"/>
  <c r="U2061" i="15"/>
  <c r="V2061" i="15"/>
  <c r="S2061" i="15"/>
  <c r="N2061" i="15"/>
  <c r="M2061" i="15"/>
  <c r="Q2061" i="15"/>
  <c r="W2061" i="15" s="1"/>
  <c r="AA2060" i="15"/>
  <c r="Z2060" i="15"/>
  <c r="U2060" i="15"/>
  <c r="S2060" i="15"/>
  <c r="N2060" i="15"/>
  <c r="M2060" i="15"/>
  <c r="Q2060" i="15"/>
  <c r="AA2059" i="15"/>
  <c r="Z2059" i="15"/>
  <c r="AC2059" i="15" s="1"/>
  <c r="V2059" i="15"/>
  <c r="S2059" i="15"/>
  <c r="Q2059" i="15"/>
  <c r="N2059" i="15"/>
  <c r="M2059" i="15"/>
  <c r="AA2058" i="15"/>
  <c r="Z2058" i="15"/>
  <c r="AC2058" i="15" s="1"/>
  <c r="U2058" i="15"/>
  <c r="S2058" i="15"/>
  <c r="Q2058" i="15"/>
  <c r="N2058" i="15"/>
  <c r="M2058" i="15"/>
  <c r="AA2057" i="15"/>
  <c r="Z2057" i="15"/>
  <c r="V2057" i="15"/>
  <c r="U2057" i="15"/>
  <c r="S2057" i="15"/>
  <c r="Q2057" i="15"/>
  <c r="W2057" i="15" s="1"/>
  <c r="N2057" i="15"/>
  <c r="M2057" i="15"/>
  <c r="AA2056" i="15"/>
  <c r="Z2056" i="15"/>
  <c r="AC2056" i="15" s="1"/>
  <c r="U2056" i="15"/>
  <c r="S2056" i="15"/>
  <c r="Q2056" i="15"/>
  <c r="N2056" i="15"/>
  <c r="M2056" i="15"/>
  <c r="AA2055" i="15"/>
  <c r="Z2055" i="15"/>
  <c r="V2055" i="15"/>
  <c r="S2055" i="15"/>
  <c r="Q2055" i="15"/>
  <c r="X2055" i="15" s="1"/>
  <c r="N2055" i="15"/>
  <c r="M2055" i="15"/>
  <c r="AA2054" i="15"/>
  <c r="Z2054" i="15"/>
  <c r="U2054" i="15"/>
  <c r="S2054" i="15"/>
  <c r="N2054" i="15"/>
  <c r="M2054" i="15"/>
  <c r="Q2054" i="15"/>
  <c r="AA2053" i="15"/>
  <c r="Z2053" i="15"/>
  <c r="V2053" i="15"/>
  <c r="U2053" i="15"/>
  <c r="S2053" i="15"/>
  <c r="Q2053" i="15"/>
  <c r="N2053" i="15"/>
  <c r="M2053" i="15"/>
  <c r="AA2052" i="15"/>
  <c r="Z2052" i="15"/>
  <c r="U2052" i="15"/>
  <c r="S2052" i="15"/>
  <c r="N2052" i="15"/>
  <c r="M2052" i="15"/>
  <c r="Q2052" i="15"/>
  <c r="X2052" i="15" s="1"/>
  <c r="AA2051" i="15"/>
  <c r="Z2051" i="15"/>
  <c r="U2051" i="15"/>
  <c r="S2051" i="15"/>
  <c r="N2051" i="15"/>
  <c r="M2051" i="15"/>
  <c r="Q2051" i="15"/>
  <c r="AA2050" i="15"/>
  <c r="Z2050" i="15"/>
  <c r="U2050" i="15"/>
  <c r="S2050" i="15"/>
  <c r="N2050" i="15"/>
  <c r="M2050" i="15"/>
  <c r="Q2050" i="15"/>
  <c r="AA2049" i="15"/>
  <c r="Z2049" i="15"/>
  <c r="U2049" i="15"/>
  <c r="V2049" i="15"/>
  <c r="S2049" i="15"/>
  <c r="N2049" i="15"/>
  <c r="M2049" i="15"/>
  <c r="Q2049" i="15"/>
  <c r="AA2048" i="15"/>
  <c r="Z2048" i="15"/>
  <c r="AC2048" i="15" s="1"/>
  <c r="U2048" i="15"/>
  <c r="S2048" i="15"/>
  <c r="N2048" i="15"/>
  <c r="M2048" i="15"/>
  <c r="Q2048" i="15"/>
  <c r="AA2047" i="15"/>
  <c r="Z2047" i="15"/>
  <c r="AC2047" i="15" s="1"/>
  <c r="V2047" i="15"/>
  <c r="S2047" i="15"/>
  <c r="N2047" i="15"/>
  <c r="M2047" i="15"/>
  <c r="Q2047" i="15"/>
  <c r="AA2046" i="15"/>
  <c r="Z2046" i="15"/>
  <c r="AC2046" i="15" s="1"/>
  <c r="U2046" i="15"/>
  <c r="S2046" i="15"/>
  <c r="N2046" i="15"/>
  <c r="M2046" i="15"/>
  <c r="Q2046" i="15"/>
  <c r="X2046" i="15" s="1"/>
  <c r="AA2045" i="15"/>
  <c r="Z2045" i="15"/>
  <c r="U2045" i="15"/>
  <c r="S2045" i="15"/>
  <c r="N2045" i="15"/>
  <c r="M2045" i="15"/>
  <c r="Q2045" i="15"/>
  <c r="AA2044" i="15"/>
  <c r="Z2044" i="15"/>
  <c r="AC2044" i="15" s="1"/>
  <c r="U2044" i="15"/>
  <c r="S2044" i="15"/>
  <c r="N2044" i="15"/>
  <c r="M2044" i="15"/>
  <c r="Q2044" i="15"/>
  <c r="AA2043" i="15"/>
  <c r="Z2043" i="15"/>
  <c r="AC2043" i="15" s="1"/>
  <c r="U2043" i="15"/>
  <c r="S2043" i="15"/>
  <c r="Q2043" i="15"/>
  <c r="N2043" i="15"/>
  <c r="M2043" i="15"/>
  <c r="AA2042" i="15"/>
  <c r="Z2042" i="15"/>
  <c r="V2042" i="15"/>
  <c r="S2042" i="15"/>
  <c r="N2042" i="15"/>
  <c r="M2042" i="15"/>
  <c r="Q2042" i="15"/>
  <c r="AA2041" i="15"/>
  <c r="Z2041" i="15"/>
  <c r="AC2041" i="15" s="1"/>
  <c r="U2041" i="15"/>
  <c r="V2041" i="15"/>
  <c r="S2041" i="15"/>
  <c r="N2041" i="15"/>
  <c r="M2041" i="15"/>
  <c r="Q2041" i="15"/>
  <c r="AA2040" i="15"/>
  <c r="Z2040" i="15"/>
  <c r="U2040" i="15"/>
  <c r="S2040" i="15"/>
  <c r="N2040" i="15"/>
  <c r="M2040" i="15"/>
  <c r="Q2040" i="15"/>
  <c r="AA2039" i="15"/>
  <c r="Z2039" i="15"/>
  <c r="V2039" i="15"/>
  <c r="S2039" i="15"/>
  <c r="N2039" i="15"/>
  <c r="M2039" i="15"/>
  <c r="Q2039" i="15"/>
  <c r="AA2038" i="15"/>
  <c r="Z2038" i="15"/>
  <c r="AC2038" i="15" s="1"/>
  <c r="U2038" i="15"/>
  <c r="S2038" i="15"/>
  <c r="N2038" i="15"/>
  <c r="M2038" i="15"/>
  <c r="Q2038" i="15"/>
  <c r="W2038" i="15" s="1"/>
  <c r="AA2037" i="15"/>
  <c r="Z2037" i="15"/>
  <c r="AC2037" i="15" s="1"/>
  <c r="U2037" i="15"/>
  <c r="S2037" i="15"/>
  <c r="N2037" i="15"/>
  <c r="M2037" i="15"/>
  <c r="Q2037" i="15"/>
  <c r="AA2036" i="15"/>
  <c r="Z2036" i="15"/>
  <c r="U2036" i="15"/>
  <c r="S2036" i="15"/>
  <c r="N2036" i="15"/>
  <c r="M2036" i="15"/>
  <c r="Q2036" i="15"/>
  <c r="AA2035" i="15"/>
  <c r="Z2035" i="15"/>
  <c r="AC2035" i="15" s="1"/>
  <c r="U2035" i="15"/>
  <c r="S2035" i="15"/>
  <c r="Q2035" i="15"/>
  <c r="N2035" i="15"/>
  <c r="M2035" i="15"/>
  <c r="AA2034" i="15"/>
  <c r="Z2034" i="15"/>
  <c r="AC2034" i="15" s="1"/>
  <c r="U2034" i="15"/>
  <c r="S2034" i="15"/>
  <c r="N2034" i="15"/>
  <c r="M2034" i="15"/>
  <c r="Q2034" i="15"/>
  <c r="X2034" i="15" s="1"/>
  <c r="AA2033" i="15"/>
  <c r="Z2033" i="15"/>
  <c r="U2033" i="15"/>
  <c r="S2033" i="15"/>
  <c r="N2033" i="15"/>
  <c r="M2033" i="15"/>
  <c r="Q2033" i="15"/>
  <c r="AA2032" i="15"/>
  <c r="Z2032" i="15"/>
  <c r="U2032" i="15"/>
  <c r="S2032" i="15"/>
  <c r="N2032" i="15"/>
  <c r="M2032" i="15"/>
  <c r="Q2032" i="15"/>
  <c r="AA2031" i="15"/>
  <c r="Z2031" i="15"/>
  <c r="AC2031" i="15" s="1"/>
  <c r="U2031" i="15"/>
  <c r="S2031" i="15"/>
  <c r="N2031" i="15"/>
  <c r="M2031" i="15"/>
  <c r="Q2031" i="15"/>
  <c r="AA2030" i="15"/>
  <c r="Z2030" i="15"/>
  <c r="AC2030" i="15" s="1"/>
  <c r="U2030" i="15"/>
  <c r="S2030" i="15"/>
  <c r="N2030" i="15"/>
  <c r="M2030" i="15"/>
  <c r="Q2030" i="15"/>
  <c r="AA2029" i="15"/>
  <c r="Z2029" i="15"/>
  <c r="U2029" i="15"/>
  <c r="S2029" i="15"/>
  <c r="N2029" i="15"/>
  <c r="M2029" i="15"/>
  <c r="Q2029" i="15"/>
  <c r="AA2028" i="15"/>
  <c r="Z2028" i="15"/>
  <c r="AC2028" i="15" s="1"/>
  <c r="U2028" i="15"/>
  <c r="S2028" i="15"/>
  <c r="N2028" i="15"/>
  <c r="M2028" i="15"/>
  <c r="AA2027" i="15"/>
  <c r="Z2027" i="15"/>
  <c r="AC2027" i="15" s="1"/>
  <c r="U2027" i="15"/>
  <c r="S2027" i="15"/>
  <c r="N2027" i="15"/>
  <c r="M2027" i="15"/>
  <c r="Q2027" i="15"/>
  <c r="X2027" i="15" s="1"/>
  <c r="AA2026" i="15"/>
  <c r="Z2026" i="15"/>
  <c r="U2026" i="15"/>
  <c r="S2026" i="15"/>
  <c r="N2026" i="15"/>
  <c r="M2026" i="15"/>
  <c r="Q2026" i="15"/>
  <c r="AA2025" i="15"/>
  <c r="Z2025" i="15"/>
  <c r="U2025" i="15"/>
  <c r="S2025" i="15"/>
  <c r="N2025" i="15"/>
  <c r="M2025" i="15"/>
  <c r="Q2025" i="15"/>
  <c r="AA2024" i="15"/>
  <c r="Z2024" i="15"/>
  <c r="AC2024" i="15" s="1"/>
  <c r="U2024" i="15"/>
  <c r="S2024" i="15"/>
  <c r="N2024" i="15"/>
  <c r="M2024" i="15"/>
  <c r="Q2024" i="15"/>
  <c r="AA2023" i="15"/>
  <c r="Z2023" i="15"/>
  <c r="U2023" i="15"/>
  <c r="S2023" i="15"/>
  <c r="N2023" i="15"/>
  <c r="M2023" i="15"/>
  <c r="Q2023" i="15"/>
  <c r="AA2022" i="15"/>
  <c r="Z2022" i="15"/>
  <c r="AC2022" i="15" s="1"/>
  <c r="U2022" i="15"/>
  <c r="V2022" i="15"/>
  <c r="S2022" i="15"/>
  <c r="N2022" i="15"/>
  <c r="M2022" i="15"/>
  <c r="Q2022" i="15"/>
  <c r="W2022" i="15" s="1"/>
  <c r="AA2021" i="15"/>
  <c r="Z2021" i="15"/>
  <c r="AC2021" i="15" s="1"/>
  <c r="U2021" i="15"/>
  <c r="S2021" i="15"/>
  <c r="N2021" i="15"/>
  <c r="M2021" i="15"/>
  <c r="Q2021" i="15"/>
  <c r="AA2020" i="15"/>
  <c r="Z2020" i="15"/>
  <c r="U2020" i="15"/>
  <c r="S2020" i="15"/>
  <c r="N2020" i="15"/>
  <c r="M2020" i="15"/>
  <c r="Q2020" i="15"/>
  <c r="X2020" i="15" s="1"/>
  <c r="AA2019" i="15"/>
  <c r="Z2019" i="15"/>
  <c r="AC2019" i="15" s="1"/>
  <c r="U2019" i="15"/>
  <c r="S2019" i="15"/>
  <c r="N2019" i="15"/>
  <c r="M2019" i="15"/>
  <c r="Q2019" i="15"/>
  <c r="W2019" i="15" s="1"/>
  <c r="AA2018" i="15"/>
  <c r="Z2018" i="15"/>
  <c r="AC2018" i="15" s="1"/>
  <c r="U2018" i="15"/>
  <c r="S2018" i="15"/>
  <c r="N2018" i="15"/>
  <c r="M2018" i="15"/>
  <c r="Q2018" i="15"/>
  <c r="W2018" i="15" s="1"/>
  <c r="AA2017" i="15"/>
  <c r="Z2017" i="15"/>
  <c r="AC2017" i="15" s="1"/>
  <c r="U2017" i="15"/>
  <c r="V2017" i="15"/>
  <c r="S2017" i="15"/>
  <c r="N2017" i="15"/>
  <c r="M2017" i="15"/>
  <c r="Q2017" i="15"/>
  <c r="AA2016" i="15"/>
  <c r="Z2016" i="15"/>
  <c r="AC2016" i="15" s="1"/>
  <c r="U2016" i="15"/>
  <c r="S2016" i="15"/>
  <c r="N2016" i="15"/>
  <c r="M2016" i="15"/>
  <c r="Q2016" i="15"/>
  <c r="AA2015" i="15"/>
  <c r="Z2015" i="15"/>
  <c r="V2015" i="15"/>
  <c r="S2015" i="15"/>
  <c r="N2015" i="15"/>
  <c r="M2015" i="15"/>
  <c r="Q2015" i="15"/>
  <c r="AA2014" i="15"/>
  <c r="Z2014" i="15"/>
  <c r="U2014" i="15"/>
  <c r="S2014" i="15"/>
  <c r="N2014" i="15"/>
  <c r="M2014" i="15"/>
  <c r="Q2014" i="15"/>
  <c r="AA2013" i="15"/>
  <c r="Z2013" i="15"/>
  <c r="U2013" i="15"/>
  <c r="S2013" i="15"/>
  <c r="N2013" i="15"/>
  <c r="M2013" i="15"/>
  <c r="AA2012" i="15"/>
  <c r="Z2012" i="15"/>
  <c r="AC2012" i="15" s="1"/>
  <c r="U2012" i="15"/>
  <c r="S2012" i="15"/>
  <c r="N2012" i="15"/>
  <c r="M2012" i="15"/>
  <c r="Q2012" i="15"/>
  <c r="AA2011" i="15"/>
  <c r="Z2011" i="15"/>
  <c r="U2011" i="15"/>
  <c r="S2011" i="15"/>
  <c r="N2011" i="15"/>
  <c r="M2011" i="15"/>
  <c r="Q2011" i="15"/>
  <c r="AA2010" i="15"/>
  <c r="Z2010" i="15"/>
  <c r="U2010" i="15"/>
  <c r="S2010" i="15"/>
  <c r="N2010" i="15"/>
  <c r="M2010" i="15"/>
  <c r="Q2010" i="15"/>
  <c r="X2010" i="15" s="1"/>
  <c r="AA2009" i="15"/>
  <c r="Z2009" i="15"/>
  <c r="S2009" i="15"/>
  <c r="N2009" i="15"/>
  <c r="M2009" i="15"/>
  <c r="Q2009" i="15"/>
  <c r="AA2008" i="15"/>
  <c r="Z2008" i="15"/>
  <c r="AC2008" i="15" s="1"/>
  <c r="U2008" i="15"/>
  <c r="S2008" i="15"/>
  <c r="N2008" i="15"/>
  <c r="M2008" i="15"/>
  <c r="Q2008" i="15"/>
  <c r="X2008" i="15" s="1"/>
  <c r="AA2007" i="15"/>
  <c r="Z2007" i="15"/>
  <c r="AC2007" i="15" s="1"/>
  <c r="U2007" i="15"/>
  <c r="S2007" i="15"/>
  <c r="N2007" i="15"/>
  <c r="M2007" i="15"/>
  <c r="Q2007" i="15"/>
  <c r="AA2006" i="15"/>
  <c r="Z2006" i="15"/>
  <c r="U2006" i="15"/>
  <c r="S2006" i="15"/>
  <c r="N2006" i="15"/>
  <c r="M2006" i="15"/>
  <c r="Q2006" i="15"/>
  <c r="W2006" i="15" s="1"/>
  <c r="AA2005" i="15"/>
  <c r="Z2005" i="15"/>
  <c r="U2005" i="15"/>
  <c r="S2005" i="15"/>
  <c r="N2005" i="15"/>
  <c r="M2005" i="15"/>
  <c r="Q2005" i="15"/>
  <c r="X2005" i="15" s="1"/>
  <c r="AA2004" i="15"/>
  <c r="Z2004" i="15"/>
  <c r="U2004" i="15"/>
  <c r="S2004" i="15"/>
  <c r="N2004" i="15"/>
  <c r="M2004" i="15"/>
  <c r="Q2004" i="15"/>
  <c r="W2004" i="15" s="1"/>
  <c r="AA2003" i="15"/>
  <c r="Z2003" i="15"/>
  <c r="U2003" i="15"/>
  <c r="S2003" i="15"/>
  <c r="N2003" i="15"/>
  <c r="M2003" i="15"/>
  <c r="Q2003" i="15"/>
  <c r="AA2002" i="15"/>
  <c r="Z2002" i="15"/>
  <c r="U2002" i="15"/>
  <c r="S2002" i="15"/>
  <c r="N2002" i="15"/>
  <c r="M2002" i="15"/>
  <c r="Q2002" i="15"/>
  <c r="AA2001" i="15"/>
  <c r="Z2001" i="15"/>
  <c r="U2001" i="15"/>
  <c r="S2001" i="15"/>
  <c r="N2001" i="15"/>
  <c r="M2001" i="15"/>
  <c r="Q2001" i="15"/>
  <c r="X2001" i="15" s="1"/>
  <c r="AA2000" i="15"/>
  <c r="Z2000" i="15"/>
  <c r="AC2000" i="15" s="1"/>
  <c r="V2000" i="15"/>
  <c r="S2000" i="15"/>
  <c r="N2000" i="15"/>
  <c r="M2000" i="15"/>
  <c r="Q2000" i="15"/>
  <c r="AA1999" i="15"/>
  <c r="Z1999" i="15"/>
  <c r="AC1999" i="15" s="1"/>
  <c r="U1999" i="15"/>
  <c r="S1999" i="15"/>
  <c r="N1999" i="15"/>
  <c r="M1999" i="15"/>
  <c r="Q1999" i="15"/>
  <c r="AA1998" i="15"/>
  <c r="Z1998" i="15"/>
  <c r="AC1998" i="15" s="1"/>
  <c r="U1998" i="15"/>
  <c r="S1998" i="15"/>
  <c r="N1998" i="15"/>
  <c r="M1998" i="15"/>
  <c r="Q1998" i="15"/>
  <c r="AA1997" i="15"/>
  <c r="Z1997" i="15"/>
  <c r="U1997" i="15"/>
  <c r="S1997" i="15"/>
  <c r="N1997" i="15"/>
  <c r="M1997" i="15"/>
  <c r="Q1997" i="15"/>
  <c r="X1997" i="15" s="1"/>
  <c r="AA1996" i="15"/>
  <c r="Z1996" i="15"/>
  <c r="AC1996" i="15" s="1"/>
  <c r="U1996" i="15"/>
  <c r="S1996" i="15"/>
  <c r="N1996" i="15"/>
  <c r="M1996" i="15"/>
  <c r="Q1996" i="15"/>
  <c r="AA1995" i="15"/>
  <c r="Z1995" i="15"/>
  <c r="AC1995" i="15" s="1"/>
  <c r="V1995" i="15"/>
  <c r="S1995" i="15"/>
  <c r="N1995" i="15"/>
  <c r="M1995" i="15"/>
  <c r="Q1995" i="15"/>
  <c r="W1995" i="15" s="1"/>
  <c r="AA1994" i="15"/>
  <c r="Z1994" i="15"/>
  <c r="AC1994" i="15" s="1"/>
  <c r="U1994" i="15"/>
  <c r="S1994" i="15"/>
  <c r="Q1994" i="15"/>
  <c r="N1994" i="15"/>
  <c r="M1994" i="15"/>
  <c r="AA1993" i="15"/>
  <c r="Z1993" i="15"/>
  <c r="U1993" i="15"/>
  <c r="S1993" i="15"/>
  <c r="Q1993" i="15"/>
  <c r="N1993" i="15"/>
  <c r="M1993" i="15"/>
  <c r="AA1992" i="15"/>
  <c r="Z1992" i="15"/>
  <c r="U1992" i="15"/>
  <c r="S1992" i="15"/>
  <c r="N1992" i="15"/>
  <c r="M1992" i="15"/>
  <c r="Q1992" i="15"/>
  <c r="AA1991" i="15"/>
  <c r="Z1991" i="15"/>
  <c r="U1991" i="15"/>
  <c r="V1991" i="15"/>
  <c r="S1991" i="15"/>
  <c r="N1991" i="15"/>
  <c r="M1991" i="15"/>
  <c r="Q1991" i="15"/>
  <c r="AA1990" i="15"/>
  <c r="Z1990" i="15"/>
  <c r="U1990" i="15"/>
  <c r="S1990" i="15"/>
  <c r="Q1990" i="15"/>
  <c r="W1990" i="15" s="1"/>
  <c r="N1990" i="15"/>
  <c r="M1990" i="15"/>
  <c r="AA1989" i="15"/>
  <c r="Z1989" i="15"/>
  <c r="AC1989" i="15" s="1"/>
  <c r="U1989" i="15"/>
  <c r="S1989" i="15"/>
  <c r="N1989" i="15"/>
  <c r="M1989" i="15"/>
  <c r="Q1989" i="15"/>
  <c r="AA1988" i="15"/>
  <c r="Z1988" i="15"/>
  <c r="U1988" i="15"/>
  <c r="S1988" i="15"/>
  <c r="N1988" i="15"/>
  <c r="M1988" i="15"/>
  <c r="Q1988" i="15"/>
  <c r="AA1987" i="15"/>
  <c r="Z1987" i="15"/>
  <c r="U1987" i="15"/>
  <c r="S1987" i="15"/>
  <c r="N1987" i="15"/>
  <c r="M1987" i="15"/>
  <c r="Q1987" i="15"/>
  <c r="AA1986" i="15"/>
  <c r="Z1986" i="15"/>
  <c r="AC1986" i="15" s="1"/>
  <c r="V1986" i="15"/>
  <c r="S1986" i="15"/>
  <c r="N1986" i="15"/>
  <c r="M1986" i="15"/>
  <c r="Q1986" i="15"/>
  <c r="W1986" i="15" s="1"/>
  <c r="AA1985" i="15"/>
  <c r="Z1985" i="15"/>
  <c r="AC1985" i="15" s="1"/>
  <c r="U1985" i="15"/>
  <c r="S1985" i="15"/>
  <c r="N1985" i="15"/>
  <c r="M1985" i="15"/>
  <c r="Q1985" i="15"/>
  <c r="AA1984" i="15"/>
  <c r="Z1984" i="15"/>
  <c r="U1984" i="15"/>
  <c r="S1984" i="15"/>
  <c r="N1984" i="15"/>
  <c r="M1984" i="15"/>
  <c r="Q1984" i="15"/>
  <c r="AA1983" i="15"/>
  <c r="Z1983" i="15"/>
  <c r="AC1983" i="15" s="1"/>
  <c r="U1983" i="15"/>
  <c r="S1983" i="15"/>
  <c r="N1983" i="15"/>
  <c r="M1983" i="15"/>
  <c r="Q1983" i="15"/>
  <c r="W1983" i="15" s="1"/>
  <c r="AA1982" i="15"/>
  <c r="Z1982" i="15"/>
  <c r="U1982" i="15"/>
  <c r="S1982" i="15"/>
  <c r="N1982" i="15"/>
  <c r="M1982" i="15"/>
  <c r="Q1982" i="15"/>
  <c r="W1982" i="15" s="1"/>
  <c r="AA1981" i="15"/>
  <c r="Z1981" i="15"/>
  <c r="AC1981" i="15" s="1"/>
  <c r="U1981" i="15"/>
  <c r="S1981" i="15"/>
  <c r="N1981" i="15"/>
  <c r="M1981" i="15"/>
  <c r="Q1981" i="15"/>
  <c r="AA1980" i="15"/>
  <c r="Z1980" i="15"/>
  <c r="AC1980" i="15" s="1"/>
  <c r="U1980" i="15"/>
  <c r="V1980" i="15"/>
  <c r="S1980" i="15"/>
  <c r="N1980" i="15"/>
  <c r="M1980" i="15"/>
  <c r="Q1980" i="15"/>
  <c r="AA1979" i="15"/>
  <c r="Z1979" i="15"/>
  <c r="AC1979" i="15" s="1"/>
  <c r="U1979" i="15"/>
  <c r="S1979" i="15"/>
  <c r="N1979" i="15"/>
  <c r="M1979" i="15"/>
  <c r="Q1979" i="15"/>
  <c r="AA1978" i="15"/>
  <c r="Z1978" i="15"/>
  <c r="AC1978" i="15" s="1"/>
  <c r="U1978" i="15"/>
  <c r="S1978" i="15"/>
  <c r="N1978" i="15"/>
  <c r="M1978" i="15"/>
  <c r="Q1978" i="15"/>
  <c r="AA1977" i="15"/>
  <c r="Z1977" i="15"/>
  <c r="V1977" i="15"/>
  <c r="U1977" i="15"/>
  <c r="S1977" i="15"/>
  <c r="N1977" i="15"/>
  <c r="M1977" i="15"/>
  <c r="Q1977" i="15"/>
  <c r="AA1976" i="15"/>
  <c r="Z1976" i="15"/>
  <c r="V1976" i="15"/>
  <c r="S1976" i="15"/>
  <c r="N1976" i="15"/>
  <c r="M1976" i="15"/>
  <c r="Q1976" i="15"/>
  <c r="AA1975" i="15"/>
  <c r="Z1975" i="15"/>
  <c r="AC1975" i="15" s="1"/>
  <c r="U1975" i="15"/>
  <c r="S1975" i="15"/>
  <c r="N1975" i="15"/>
  <c r="M1975" i="15"/>
  <c r="Q1975" i="15"/>
  <c r="AA1974" i="15"/>
  <c r="Z1974" i="15"/>
  <c r="U1974" i="15"/>
  <c r="S1974" i="15"/>
  <c r="N1974" i="15"/>
  <c r="M1974" i="15"/>
  <c r="Q1974" i="15"/>
  <c r="X1974" i="15" s="1"/>
  <c r="AA1973" i="15"/>
  <c r="Z1973" i="15"/>
  <c r="AC1973" i="15" s="1"/>
  <c r="U1973" i="15"/>
  <c r="V1973" i="15"/>
  <c r="S1973" i="15"/>
  <c r="N1973" i="15"/>
  <c r="M1973" i="15"/>
  <c r="Q1973" i="15"/>
  <c r="AA1972" i="15"/>
  <c r="Z1972" i="15"/>
  <c r="AC1972" i="15" s="1"/>
  <c r="U1972" i="15"/>
  <c r="S1972" i="15"/>
  <c r="N1972" i="15"/>
  <c r="M1972" i="15"/>
  <c r="Q1972" i="15"/>
  <c r="AA1971" i="15"/>
  <c r="Z1971" i="15"/>
  <c r="V1971" i="15"/>
  <c r="S1971" i="15"/>
  <c r="N1971" i="15"/>
  <c r="M1971" i="15"/>
  <c r="Q1971" i="15"/>
  <c r="AA1970" i="15"/>
  <c r="Z1970" i="15"/>
  <c r="U1970" i="15"/>
  <c r="S1970" i="15"/>
  <c r="N1970" i="15"/>
  <c r="M1970" i="15"/>
  <c r="Q1970" i="15"/>
  <c r="W1970" i="15" s="1"/>
  <c r="AA1969" i="15"/>
  <c r="Z1969" i="15"/>
  <c r="U1969" i="15"/>
  <c r="S1969" i="15"/>
  <c r="N1969" i="15"/>
  <c r="M1969" i="15"/>
  <c r="Q1969" i="15"/>
  <c r="AA1968" i="15"/>
  <c r="Z1968" i="15"/>
  <c r="U1968" i="15"/>
  <c r="S1968" i="15"/>
  <c r="N1968" i="15"/>
  <c r="M1968" i="15"/>
  <c r="Q1968" i="15"/>
  <c r="AA1967" i="15"/>
  <c r="Z1967" i="15"/>
  <c r="AC1967" i="15" s="1"/>
  <c r="U1967" i="15"/>
  <c r="S1967" i="15"/>
  <c r="N1967" i="15"/>
  <c r="M1967" i="15"/>
  <c r="Q1967" i="15"/>
  <c r="W1967" i="15" s="1"/>
  <c r="AA1966" i="15"/>
  <c r="Z1966" i="15"/>
  <c r="AC1966" i="15" s="1"/>
  <c r="U1966" i="15"/>
  <c r="S1966" i="15"/>
  <c r="N1966" i="15"/>
  <c r="M1966" i="15"/>
  <c r="Q1966" i="15"/>
  <c r="X1966" i="15" s="1"/>
  <c r="AA1965" i="15"/>
  <c r="Z1965" i="15"/>
  <c r="AC1965" i="15" s="1"/>
  <c r="U1965" i="15"/>
  <c r="S1965" i="15"/>
  <c r="Q1965" i="15"/>
  <c r="N1965" i="15"/>
  <c r="M1965" i="15"/>
  <c r="AA1964" i="15"/>
  <c r="Z1964" i="15"/>
  <c r="AC1964" i="15" s="1"/>
  <c r="U1964" i="15"/>
  <c r="S1964" i="15"/>
  <c r="Q1964" i="15"/>
  <c r="N1964" i="15"/>
  <c r="M1964" i="15"/>
  <c r="AD1964" i="15" s="1"/>
  <c r="AA1963" i="15"/>
  <c r="Z1963" i="15"/>
  <c r="U1963" i="15"/>
  <c r="S1963" i="15"/>
  <c r="N1963" i="15"/>
  <c r="M1963" i="15"/>
  <c r="Q1963" i="15"/>
  <c r="X1963" i="15" s="1"/>
  <c r="AA1962" i="15"/>
  <c r="Z1962" i="15"/>
  <c r="AC1962" i="15" s="1"/>
  <c r="U1962" i="15"/>
  <c r="S1962" i="15"/>
  <c r="N1962" i="15"/>
  <c r="M1962" i="15"/>
  <c r="Q1962" i="15"/>
  <c r="X1962" i="15" s="1"/>
  <c r="AA1961" i="15"/>
  <c r="Z1961" i="15"/>
  <c r="U1961" i="15"/>
  <c r="S1961" i="15"/>
  <c r="N1961" i="15"/>
  <c r="M1961" i="15"/>
  <c r="Q1961" i="15"/>
  <c r="X1961" i="15" s="1"/>
  <c r="AA1960" i="15"/>
  <c r="Z1960" i="15"/>
  <c r="AC1960" i="15" s="1"/>
  <c r="U1960" i="15"/>
  <c r="S1960" i="15"/>
  <c r="N1960" i="15"/>
  <c r="M1960" i="15"/>
  <c r="Q1960" i="15"/>
  <c r="AA1959" i="15"/>
  <c r="Z1959" i="15"/>
  <c r="AC1959" i="15" s="1"/>
  <c r="U1959" i="15"/>
  <c r="S1959" i="15"/>
  <c r="N1959" i="15"/>
  <c r="M1959" i="15"/>
  <c r="Q1959" i="15"/>
  <c r="AA1958" i="15"/>
  <c r="Z1958" i="15"/>
  <c r="AC1958" i="15" s="1"/>
  <c r="U1958" i="15"/>
  <c r="S1958" i="15"/>
  <c r="N1958" i="15"/>
  <c r="M1958" i="15"/>
  <c r="Q1958" i="15"/>
  <c r="AA1957" i="15"/>
  <c r="Z1957" i="15"/>
  <c r="U1957" i="15"/>
  <c r="S1957" i="15"/>
  <c r="N1957" i="15"/>
  <c r="M1957" i="15"/>
  <c r="Q1957" i="15"/>
  <c r="AA1956" i="15"/>
  <c r="Z1956" i="15"/>
  <c r="AC1956" i="15" s="1"/>
  <c r="U1956" i="15"/>
  <c r="S1956" i="15"/>
  <c r="N1956" i="15"/>
  <c r="M1956" i="15"/>
  <c r="Q1956" i="15"/>
  <c r="W1956" i="15" s="1"/>
  <c r="AA1955" i="15"/>
  <c r="Z1955" i="15"/>
  <c r="AC1955" i="15" s="1"/>
  <c r="U1955" i="15"/>
  <c r="S1955" i="15"/>
  <c r="Q1955" i="15"/>
  <c r="N1955" i="15"/>
  <c r="M1955" i="15"/>
  <c r="AA1954" i="15"/>
  <c r="Z1954" i="15"/>
  <c r="V1954" i="15"/>
  <c r="S1954" i="15"/>
  <c r="N1954" i="15"/>
  <c r="M1954" i="15"/>
  <c r="Q1954" i="15"/>
  <c r="AA1953" i="15"/>
  <c r="Z1953" i="15"/>
  <c r="AC1953" i="15" s="1"/>
  <c r="U1953" i="15"/>
  <c r="S1953" i="15"/>
  <c r="N1953" i="15"/>
  <c r="M1953" i="15"/>
  <c r="AA1952" i="15"/>
  <c r="Z1952" i="15"/>
  <c r="V1952" i="15"/>
  <c r="S1952" i="15"/>
  <c r="N1952" i="15"/>
  <c r="M1952" i="15"/>
  <c r="Q1952" i="15"/>
  <c r="W1952" i="15" s="1"/>
  <c r="AA1951" i="15"/>
  <c r="Z1951" i="15"/>
  <c r="U1951" i="15"/>
  <c r="S1951" i="15"/>
  <c r="N1951" i="15"/>
  <c r="M1951" i="15"/>
  <c r="Q1951" i="15"/>
  <c r="AA1950" i="15"/>
  <c r="Z1950" i="15"/>
  <c r="V1950" i="15"/>
  <c r="S1950" i="15"/>
  <c r="N1950" i="15"/>
  <c r="M1950" i="15"/>
  <c r="Q1950" i="15"/>
  <c r="X1950" i="15" s="1"/>
  <c r="AA1949" i="15"/>
  <c r="Z1949" i="15"/>
  <c r="U1949" i="15"/>
  <c r="S1949" i="15"/>
  <c r="N1949" i="15"/>
  <c r="M1949" i="15"/>
  <c r="Q1949" i="15"/>
  <c r="W1949" i="15" s="1"/>
  <c r="AA1948" i="15"/>
  <c r="Z1948" i="15"/>
  <c r="U1948" i="15"/>
  <c r="V1948" i="15"/>
  <c r="S1948" i="15"/>
  <c r="N1948" i="15"/>
  <c r="M1948" i="15"/>
  <c r="Q1948" i="15"/>
  <c r="AA1947" i="15"/>
  <c r="Z1947" i="15"/>
  <c r="U1947" i="15"/>
  <c r="S1947" i="15"/>
  <c r="N1947" i="15"/>
  <c r="M1947" i="15"/>
  <c r="Q1947" i="15"/>
  <c r="AA1946" i="15"/>
  <c r="Z1946" i="15"/>
  <c r="AC1946" i="15" s="1"/>
  <c r="U1946" i="15"/>
  <c r="S1946" i="15"/>
  <c r="N1946" i="15"/>
  <c r="M1946" i="15"/>
  <c r="Q1946" i="15"/>
  <c r="X1946" i="15" s="1"/>
  <c r="AA1945" i="15"/>
  <c r="Z1945" i="15"/>
  <c r="AC1945" i="15" s="1"/>
  <c r="U1945" i="15"/>
  <c r="S1945" i="15"/>
  <c r="N1945" i="15"/>
  <c r="M1945" i="15"/>
  <c r="Q1945" i="15"/>
  <c r="W1945" i="15" s="1"/>
  <c r="AA1944" i="15"/>
  <c r="Z1944" i="15"/>
  <c r="U1944" i="15"/>
  <c r="S1944" i="15"/>
  <c r="N1944" i="15"/>
  <c r="M1944" i="15"/>
  <c r="Q1944" i="15"/>
  <c r="AA1943" i="15"/>
  <c r="Z1943" i="15"/>
  <c r="U1943" i="15"/>
  <c r="S1943" i="15"/>
  <c r="N1943" i="15"/>
  <c r="M1943" i="15"/>
  <c r="Q1943" i="15"/>
  <c r="AA1942" i="15"/>
  <c r="Z1942" i="15"/>
  <c r="U1942" i="15"/>
  <c r="S1942" i="15"/>
  <c r="N1942" i="15"/>
  <c r="M1942" i="15"/>
  <c r="Q1942" i="15"/>
  <c r="X1942" i="15" s="1"/>
  <c r="AA1941" i="15"/>
  <c r="Z1941" i="15"/>
  <c r="AC1941" i="15" s="1"/>
  <c r="U1941" i="15"/>
  <c r="S1941" i="15"/>
  <c r="Q1941" i="15"/>
  <c r="N1941" i="15"/>
  <c r="M1941" i="15"/>
  <c r="AA1940" i="15"/>
  <c r="Z1940" i="15"/>
  <c r="V1940" i="15"/>
  <c r="S1940" i="15"/>
  <c r="N1940" i="15"/>
  <c r="M1940" i="15"/>
  <c r="Q1940" i="15"/>
  <c r="AA1939" i="15"/>
  <c r="Z1939" i="15"/>
  <c r="U1939" i="15"/>
  <c r="S1939" i="15"/>
  <c r="Q1939" i="15"/>
  <c r="W1939" i="15" s="1"/>
  <c r="N1939" i="15"/>
  <c r="M1939" i="15"/>
  <c r="AA1938" i="15"/>
  <c r="AD1938" i="15" s="1"/>
  <c r="Z1938" i="15"/>
  <c r="AC1938" i="15" s="1"/>
  <c r="U1938" i="15"/>
  <c r="S1938" i="15"/>
  <c r="Q1938" i="15"/>
  <c r="X1938" i="15" s="1"/>
  <c r="N1938" i="15"/>
  <c r="M1938" i="15"/>
  <c r="AA1937" i="15"/>
  <c r="Z1937" i="15"/>
  <c r="U1937" i="15"/>
  <c r="S1937" i="15"/>
  <c r="N1937" i="15"/>
  <c r="M1937" i="15"/>
  <c r="Q1937" i="15"/>
  <c r="AA1936" i="15"/>
  <c r="Z1936" i="15"/>
  <c r="U1936" i="15"/>
  <c r="S1936" i="15"/>
  <c r="N1936" i="15"/>
  <c r="M1936" i="15"/>
  <c r="Q1936" i="15"/>
  <c r="AA1935" i="15"/>
  <c r="Z1935" i="15"/>
  <c r="U1935" i="15"/>
  <c r="S1935" i="15"/>
  <c r="Q1935" i="15"/>
  <c r="X1935" i="15" s="1"/>
  <c r="N1935" i="15"/>
  <c r="M1935" i="15"/>
  <c r="AA1934" i="15"/>
  <c r="Z1934" i="15"/>
  <c r="AC1934" i="15" s="1"/>
  <c r="U1934" i="15"/>
  <c r="S1934" i="15"/>
  <c r="N1934" i="15"/>
  <c r="M1934" i="15"/>
  <c r="Q1934" i="15"/>
  <c r="X1934" i="15" s="1"/>
  <c r="AA1933" i="15"/>
  <c r="Z1933" i="15"/>
  <c r="U1933" i="15"/>
  <c r="S1933" i="15"/>
  <c r="N1933" i="15"/>
  <c r="M1933" i="15"/>
  <c r="Q1933" i="15"/>
  <c r="AA1932" i="15"/>
  <c r="Z1932" i="15"/>
  <c r="U1932" i="15"/>
  <c r="S1932" i="15"/>
  <c r="N1932" i="15"/>
  <c r="M1932" i="15"/>
  <c r="Q1932" i="15"/>
  <c r="W1932" i="15" s="1"/>
  <c r="AA1931" i="15"/>
  <c r="Z1931" i="15"/>
  <c r="U1931" i="15"/>
  <c r="S1931" i="15"/>
  <c r="N1931" i="15"/>
  <c r="M1931" i="15"/>
  <c r="Q1931" i="15"/>
  <c r="W1931" i="15" s="1"/>
  <c r="AA1930" i="15"/>
  <c r="Z1930" i="15"/>
  <c r="U1930" i="15"/>
  <c r="S1930" i="15"/>
  <c r="Q1930" i="15"/>
  <c r="N1930" i="15"/>
  <c r="M1930" i="15"/>
  <c r="AA1929" i="15"/>
  <c r="Z1929" i="15"/>
  <c r="AC1929" i="15" s="1"/>
  <c r="U1929" i="15"/>
  <c r="V1929" i="15"/>
  <c r="S1929" i="15"/>
  <c r="N1929" i="15"/>
  <c r="M1929" i="15"/>
  <c r="AA1928" i="15"/>
  <c r="Z1928" i="15"/>
  <c r="AC1928" i="15" s="1"/>
  <c r="U1928" i="15"/>
  <c r="S1928" i="15"/>
  <c r="N1928" i="15"/>
  <c r="M1928" i="15"/>
  <c r="Q1928" i="15"/>
  <c r="AA1927" i="15"/>
  <c r="Z1927" i="15"/>
  <c r="AC1927" i="15" s="1"/>
  <c r="U1927" i="15"/>
  <c r="S1927" i="15"/>
  <c r="N1927" i="15"/>
  <c r="M1927" i="15"/>
  <c r="Q1927" i="15"/>
  <c r="AA1926" i="15"/>
  <c r="Z1926" i="15"/>
  <c r="U1926" i="15"/>
  <c r="S1926" i="15"/>
  <c r="N1926" i="15"/>
  <c r="M1926" i="15"/>
  <c r="Q1926" i="15"/>
  <c r="AA1925" i="15"/>
  <c r="Z1925" i="15"/>
  <c r="U1925" i="15"/>
  <c r="S1925" i="15"/>
  <c r="N1925" i="15"/>
  <c r="M1925" i="15"/>
  <c r="Q1925" i="15"/>
  <c r="X1925" i="15" s="1"/>
  <c r="AA1924" i="15"/>
  <c r="Z1924" i="15"/>
  <c r="AC1924" i="15" s="1"/>
  <c r="U1924" i="15"/>
  <c r="S1924" i="15"/>
  <c r="N1924" i="15"/>
  <c r="M1924" i="15"/>
  <c r="Q1924" i="15"/>
  <c r="AA1923" i="15"/>
  <c r="Z1923" i="15"/>
  <c r="AC1923" i="15" s="1"/>
  <c r="U1923" i="15"/>
  <c r="S1923" i="15"/>
  <c r="N1923" i="15"/>
  <c r="M1923" i="15"/>
  <c r="Q1923" i="15"/>
  <c r="X1923" i="15" s="1"/>
  <c r="AA1922" i="15"/>
  <c r="Z1922" i="15"/>
  <c r="U1922" i="15"/>
  <c r="S1922" i="15"/>
  <c r="N1922" i="15"/>
  <c r="M1922" i="15"/>
  <c r="AA1921" i="15"/>
  <c r="Z1921" i="15"/>
  <c r="U1921" i="15"/>
  <c r="S1921" i="15"/>
  <c r="N1921" i="15"/>
  <c r="M1921" i="15"/>
  <c r="Q1921" i="15"/>
  <c r="AA1920" i="15"/>
  <c r="Z1920" i="15"/>
  <c r="AC1920" i="15" s="1"/>
  <c r="V1920" i="15"/>
  <c r="S1920" i="15"/>
  <c r="N1920" i="15"/>
  <c r="M1920" i="15"/>
  <c r="Q1920" i="15"/>
  <c r="X1920" i="15" s="1"/>
  <c r="AA1919" i="15"/>
  <c r="Z1919" i="15"/>
  <c r="U1919" i="15"/>
  <c r="S1919" i="15"/>
  <c r="N1919" i="15"/>
  <c r="M1919" i="15"/>
  <c r="Q1919" i="15"/>
  <c r="AA1918" i="15"/>
  <c r="Z1918" i="15"/>
  <c r="U1918" i="15"/>
  <c r="S1918" i="15"/>
  <c r="N1918" i="15"/>
  <c r="M1918" i="15"/>
  <c r="Q1918" i="15"/>
  <c r="X1918" i="15" s="1"/>
  <c r="AA1917" i="15"/>
  <c r="Z1917" i="15"/>
  <c r="AC1917" i="15" s="1"/>
  <c r="U1917" i="15"/>
  <c r="S1917" i="15"/>
  <c r="N1917" i="15"/>
  <c r="M1917" i="15"/>
  <c r="Q1917" i="15"/>
  <c r="AA1916" i="15"/>
  <c r="Z1916" i="15"/>
  <c r="U1916" i="15"/>
  <c r="S1916" i="15"/>
  <c r="Q1916" i="15"/>
  <c r="N1916" i="15"/>
  <c r="M1916" i="15"/>
  <c r="AA1915" i="15"/>
  <c r="Z1915" i="15"/>
  <c r="AC1915" i="15" s="1"/>
  <c r="U1915" i="15"/>
  <c r="V1915" i="15"/>
  <c r="S1915" i="15"/>
  <c r="Q1915" i="15"/>
  <c r="X1915" i="15" s="1"/>
  <c r="N1915" i="15"/>
  <c r="M1915" i="15"/>
  <c r="AA1914" i="15"/>
  <c r="Z1914" i="15"/>
  <c r="U1914" i="15"/>
  <c r="S1914" i="15"/>
  <c r="N1914" i="15"/>
  <c r="M1914" i="15"/>
  <c r="Q1914" i="15"/>
  <c r="AA1913" i="15"/>
  <c r="Z1913" i="15"/>
  <c r="AC1913" i="15" s="1"/>
  <c r="U1913" i="15"/>
  <c r="V1913" i="15"/>
  <c r="S1913" i="15"/>
  <c r="N1913" i="15"/>
  <c r="M1913" i="15"/>
  <c r="Q1913" i="15"/>
  <c r="AA1912" i="15"/>
  <c r="Z1912" i="15"/>
  <c r="AC1912" i="15" s="1"/>
  <c r="U1912" i="15"/>
  <c r="S1912" i="15"/>
  <c r="Q1912" i="15"/>
  <c r="W1912" i="15" s="1"/>
  <c r="N1912" i="15"/>
  <c r="M1912" i="15"/>
  <c r="AA1911" i="15"/>
  <c r="Z1911" i="15"/>
  <c r="V1911" i="15"/>
  <c r="S1911" i="15"/>
  <c r="N1911" i="15"/>
  <c r="M1911" i="15"/>
  <c r="Q1911" i="15"/>
  <c r="AA1910" i="15"/>
  <c r="Z1910" i="15"/>
  <c r="AC1910" i="15" s="1"/>
  <c r="U1910" i="15"/>
  <c r="S1910" i="15"/>
  <c r="N1910" i="15"/>
  <c r="M1910" i="15"/>
  <c r="Q1910" i="15"/>
  <c r="X1910" i="15" s="1"/>
  <c r="AA1909" i="15"/>
  <c r="Z1909" i="15"/>
  <c r="U1909" i="15"/>
  <c r="V1909" i="15"/>
  <c r="S1909" i="15"/>
  <c r="Q1909" i="15"/>
  <c r="N1909" i="15"/>
  <c r="M1909" i="15"/>
  <c r="AA1908" i="15"/>
  <c r="Z1908" i="15"/>
  <c r="U1908" i="15"/>
  <c r="S1908" i="15"/>
  <c r="N1908" i="15"/>
  <c r="M1908" i="15"/>
  <c r="Q1908" i="15"/>
  <c r="X1908" i="15" s="1"/>
  <c r="AA1907" i="15"/>
  <c r="Z1907" i="15"/>
  <c r="U1907" i="15"/>
  <c r="S1907" i="15"/>
  <c r="N1907" i="15"/>
  <c r="M1907" i="15"/>
  <c r="AA1906" i="15"/>
  <c r="Z1906" i="15"/>
  <c r="V1906" i="15"/>
  <c r="U1906" i="15"/>
  <c r="S1906" i="15"/>
  <c r="N1906" i="15"/>
  <c r="M1906" i="15"/>
  <c r="Q1906" i="15"/>
  <c r="AA1905" i="15"/>
  <c r="Z1905" i="15"/>
  <c r="U1905" i="15"/>
  <c r="S1905" i="15"/>
  <c r="N1905" i="15"/>
  <c r="M1905" i="15"/>
  <c r="Q1905" i="15"/>
  <c r="AA1904" i="15"/>
  <c r="Z1904" i="15"/>
  <c r="AC1904" i="15" s="1"/>
  <c r="V1904" i="15"/>
  <c r="S1904" i="15"/>
  <c r="N1904" i="15"/>
  <c r="M1904" i="15"/>
  <c r="Q1904" i="15"/>
  <c r="X1904" i="15" s="1"/>
  <c r="AA1903" i="15"/>
  <c r="Z1903" i="15"/>
  <c r="AC1903" i="15" s="1"/>
  <c r="U1903" i="15"/>
  <c r="S1903" i="15"/>
  <c r="N1903" i="15"/>
  <c r="M1903" i="15"/>
  <c r="AD1903" i="15" s="1"/>
  <c r="Q1903" i="15"/>
  <c r="AA1902" i="15"/>
  <c r="Z1902" i="15"/>
  <c r="U1902" i="15"/>
  <c r="S1902" i="15"/>
  <c r="N1902" i="15"/>
  <c r="M1902" i="15"/>
  <c r="Q1902" i="15"/>
  <c r="X1902" i="15" s="1"/>
  <c r="AA1901" i="15"/>
  <c r="Z1901" i="15"/>
  <c r="U1901" i="15"/>
  <c r="S1901" i="15"/>
  <c r="N1901" i="15"/>
  <c r="M1901" i="15"/>
  <c r="Q1901" i="15"/>
  <c r="X1901" i="15" s="1"/>
  <c r="AA1900" i="15"/>
  <c r="Z1900" i="15"/>
  <c r="U1900" i="15"/>
  <c r="S1900" i="15"/>
  <c r="N1900" i="15"/>
  <c r="M1900" i="15"/>
  <c r="Q1900" i="15"/>
  <c r="AA1899" i="15"/>
  <c r="Z1899" i="15"/>
  <c r="AC1899" i="15" s="1"/>
  <c r="U1899" i="15"/>
  <c r="S1899" i="15"/>
  <c r="N1899" i="15"/>
  <c r="M1899" i="15"/>
  <c r="Q1899" i="15"/>
  <c r="AA1898" i="15"/>
  <c r="Z1898" i="15"/>
  <c r="AC1898" i="15" s="1"/>
  <c r="U1898" i="15"/>
  <c r="S1898" i="15"/>
  <c r="N1898" i="15"/>
  <c r="M1898" i="15"/>
  <c r="Q1898" i="15"/>
  <c r="AA1897" i="15"/>
  <c r="Z1897" i="15"/>
  <c r="U1897" i="15"/>
  <c r="V1897" i="15"/>
  <c r="S1897" i="15"/>
  <c r="N1897" i="15"/>
  <c r="M1897" i="15"/>
  <c r="Q1897" i="15"/>
  <c r="AA1896" i="15"/>
  <c r="Z1896" i="15"/>
  <c r="AC1896" i="15" s="1"/>
  <c r="U1896" i="15"/>
  <c r="S1896" i="15"/>
  <c r="N1896" i="15"/>
  <c r="M1896" i="15"/>
  <c r="Q1896" i="15"/>
  <c r="W1896" i="15" s="1"/>
  <c r="AA1895" i="15"/>
  <c r="Z1895" i="15"/>
  <c r="AC1895" i="15" s="1"/>
  <c r="U1895" i="15"/>
  <c r="S1895" i="15"/>
  <c r="N1895" i="15"/>
  <c r="M1895" i="15"/>
  <c r="Q1895" i="15"/>
  <c r="AA1894" i="15"/>
  <c r="Z1894" i="15"/>
  <c r="AC1894" i="15" s="1"/>
  <c r="U1894" i="15"/>
  <c r="S1894" i="15"/>
  <c r="N1894" i="15"/>
  <c r="M1894" i="15"/>
  <c r="AD1894" i="15" s="1"/>
  <c r="Q1894" i="15"/>
  <c r="AA1893" i="15"/>
  <c r="Z1893" i="15"/>
  <c r="U1893" i="15"/>
  <c r="S1893" i="15"/>
  <c r="N1893" i="15"/>
  <c r="M1893" i="15"/>
  <c r="Q1893" i="15"/>
  <c r="AA1892" i="15"/>
  <c r="Z1892" i="15"/>
  <c r="AC1892" i="15" s="1"/>
  <c r="U1892" i="15"/>
  <c r="S1892" i="15"/>
  <c r="N1892" i="15"/>
  <c r="M1892" i="15"/>
  <c r="Q1892" i="15"/>
  <c r="W1892" i="15" s="1"/>
  <c r="AA1891" i="15"/>
  <c r="Z1891" i="15"/>
  <c r="U1891" i="15"/>
  <c r="S1891" i="15"/>
  <c r="N1891" i="15"/>
  <c r="M1891" i="15"/>
  <c r="Q1891" i="15"/>
  <c r="AA1890" i="15"/>
  <c r="Z1890" i="15"/>
  <c r="AC1890" i="15" s="1"/>
  <c r="U1890" i="15"/>
  <c r="S1890" i="15"/>
  <c r="N1890" i="15"/>
  <c r="M1890" i="15"/>
  <c r="Q1890" i="15"/>
  <c r="AA1889" i="15"/>
  <c r="Z1889" i="15"/>
  <c r="AC1889" i="15" s="1"/>
  <c r="U1889" i="15"/>
  <c r="S1889" i="15"/>
  <c r="N1889" i="15"/>
  <c r="M1889" i="15"/>
  <c r="Q1889" i="15"/>
  <c r="AA1888" i="15"/>
  <c r="Z1888" i="15"/>
  <c r="AC1888" i="15" s="1"/>
  <c r="U1888" i="15"/>
  <c r="S1888" i="15"/>
  <c r="N1888" i="15"/>
  <c r="M1888" i="15"/>
  <c r="Q1888" i="15"/>
  <c r="X1888" i="15" s="1"/>
  <c r="AA1887" i="15"/>
  <c r="Z1887" i="15"/>
  <c r="U1887" i="15"/>
  <c r="S1887" i="15"/>
  <c r="N1887" i="15"/>
  <c r="M1887" i="15"/>
  <c r="Q1887" i="15"/>
  <c r="AA1886" i="15"/>
  <c r="Z1886" i="15"/>
  <c r="U1886" i="15"/>
  <c r="S1886" i="15"/>
  <c r="N1886" i="15"/>
  <c r="M1886" i="15"/>
  <c r="Q1886" i="15"/>
  <c r="AA1885" i="15"/>
  <c r="Z1885" i="15"/>
  <c r="AC1885" i="15" s="1"/>
  <c r="U1885" i="15"/>
  <c r="S1885" i="15"/>
  <c r="N1885" i="15"/>
  <c r="M1885" i="15"/>
  <c r="Q1885" i="15"/>
  <c r="AA1884" i="15"/>
  <c r="Z1884" i="15"/>
  <c r="AC1884" i="15" s="1"/>
  <c r="U1884" i="15"/>
  <c r="S1884" i="15"/>
  <c r="N1884" i="15"/>
  <c r="M1884" i="15"/>
  <c r="Q1884" i="15"/>
  <c r="X1884" i="15" s="1"/>
  <c r="AA1883" i="15"/>
  <c r="Z1883" i="15"/>
  <c r="U1883" i="15"/>
  <c r="S1883" i="15"/>
  <c r="N1883" i="15"/>
  <c r="M1883" i="15"/>
  <c r="Q1883" i="15"/>
  <c r="AA1882" i="15"/>
  <c r="Z1882" i="15"/>
  <c r="U1882" i="15"/>
  <c r="S1882" i="15"/>
  <c r="N1882" i="15"/>
  <c r="M1882" i="15"/>
  <c r="Q1882" i="15"/>
  <c r="AA1881" i="15"/>
  <c r="Z1881" i="15"/>
  <c r="AC1881" i="15" s="1"/>
  <c r="U1881" i="15"/>
  <c r="S1881" i="15"/>
  <c r="N1881" i="15"/>
  <c r="M1881" i="15"/>
  <c r="AA1880" i="15"/>
  <c r="Z1880" i="15"/>
  <c r="U1880" i="15"/>
  <c r="S1880" i="15"/>
  <c r="N1880" i="15"/>
  <c r="M1880" i="15"/>
  <c r="Q1880" i="15"/>
  <c r="W1880" i="15" s="1"/>
  <c r="AA1879" i="15"/>
  <c r="Z1879" i="15"/>
  <c r="AC1879" i="15" s="1"/>
  <c r="U1879" i="15"/>
  <c r="V1879" i="15"/>
  <c r="S1879" i="15"/>
  <c r="N1879" i="15"/>
  <c r="M1879" i="15"/>
  <c r="Q1879" i="15"/>
  <c r="AA1878" i="15"/>
  <c r="Z1878" i="15"/>
  <c r="AC1878" i="15" s="1"/>
  <c r="U1878" i="15"/>
  <c r="S1878" i="15"/>
  <c r="N1878" i="15"/>
  <c r="M1878" i="15"/>
  <c r="Q1878" i="15"/>
  <c r="AA1877" i="15"/>
  <c r="Z1877" i="15"/>
  <c r="U1877" i="15"/>
  <c r="S1877" i="15"/>
  <c r="N1877" i="15"/>
  <c r="M1877" i="15"/>
  <c r="Q1877" i="15"/>
  <c r="AA1876" i="15"/>
  <c r="Z1876" i="15"/>
  <c r="U1876" i="15"/>
  <c r="S1876" i="15"/>
  <c r="N1876" i="15"/>
  <c r="M1876" i="15"/>
  <c r="Q1876" i="15"/>
  <c r="W1876" i="15" s="1"/>
  <c r="AA1875" i="15"/>
  <c r="AD1875" i="15" s="1"/>
  <c r="Z1875" i="15"/>
  <c r="AC1875" i="15" s="1"/>
  <c r="U1875" i="15"/>
  <c r="V1875" i="15"/>
  <c r="S1875" i="15"/>
  <c r="N1875" i="15"/>
  <c r="M1875" i="15"/>
  <c r="Q1875" i="15"/>
  <c r="AA1874" i="15"/>
  <c r="Z1874" i="15"/>
  <c r="U1874" i="15"/>
  <c r="S1874" i="15"/>
  <c r="N1874" i="15"/>
  <c r="M1874" i="15"/>
  <c r="Q1874" i="15"/>
  <c r="AA1873" i="15"/>
  <c r="Z1873" i="15"/>
  <c r="AC1873" i="15" s="1"/>
  <c r="U1873" i="15"/>
  <c r="S1873" i="15"/>
  <c r="N1873" i="15"/>
  <c r="M1873" i="15"/>
  <c r="Q1873" i="15"/>
  <c r="X1873" i="15" s="1"/>
  <c r="AA1872" i="15"/>
  <c r="Z1872" i="15"/>
  <c r="AC1872" i="15" s="1"/>
  <c r="U1872" i="15"/>
  <c r="S1872" i="15"/>
  <c r="N1872" i="15"/>
  <c r="M1872" i="15"/>
  <c r="Q1872" i="15"/>
  <c r="X1872" i="15" s="1"/>
  <c r="AA1871" i="15"/>
  <c r="Z1871" i="15"/>
  <c r="U1871" i="15"/>
  <c r="V1871" i="15"/>
  <c r="S1871" i="15"/>
  <c r="N1871" i="15"/>
  <c r="M1871" i="15"/>
  <c r="Q1871" i="15"/>
  <c r="X1871" i="15" s="1"/>
  <c r="AA1870" i="15"/>
  <c r="Z1870" i="15"/>
  <c r="AC1870" i="15" s="1"/>
  <c r="V1870" i="15"/>
  <c r="S1870" i="15"/>
  <c r="N1870" i="15"/>
  <c r="M1870" i="15"/>
  <c r="Q1870" i="15"/>
  <c r="X1870" i="15" s="1"/>
  <c r="AA1869" i="15"/>
  <c r="Z1869" i="15"/>
  <c r="AC1869" i="15" s="1"/>
  <c r="U1869" i="15"/>
  <c r="S1869" i="15"/>
  <c r="N1869" i="15"/>
  <c r="M1869" i="15"/>
  <c r="Q1869" i="15"/>
  <c r="AA1868" i="15"/>
  <c r="Z1868" i="15"/>
  <c r="U1868" i="15"/>
  <c r="S1868" i="15"/>
  <c r="N1868" i="15"/>
  <c r="M1868" i="15"/>
  <c r="Q1868" i="15"/>
  <c r="AA1867" i="15"/>
  <c r="Z1867" i="15"/>
  <c r="AC1867" i="15" s="1"/>
  <c r="U1867" i="15"/>
  <c r="S1867" i="15"/>
  <c r="N1867" i="15"/>
  <c r="M1867" i="15"/>
  <c r="Q1867" i="15"/>
  <c r="X1867" i="15" s="1"/>
  <c r="AA1866" i="15"/>
  <c r="Z1866" i="15"/>
  <c r="AC1866" i="15" s="1"/>
  <c r="U1866" i="15"/>
  <c r="S1866" i="15"/>
  <c r="N1866" i="15"/>
  <c r="M1866" i="15"/>
  <c r="AA1865" i="15"/>
  <c r="Z1865" i="15"/>
  <c r="U1865" i="15"/>
  <c r="S1865" i="15"/>
  <c r="N1865" i="15"/>
  <c r="M1865" i="15"/>
  <c r="Q1865" i="15"/>
  <c r="AA1864" i="15"/>
  <c r="Z1864" i="15"/>
  <c r="U1864" i="15"/>
  <c r="S1864" i="15"/>
  <c r="N1864" i="15"/>
  <c r="M1864" i="15"/>
  <c r="Q1864" i="15"/>
  <c r="AA1863" i="15"/>
  <c r="Z1863" i="15"/>
  <c r="U1863" i="15"/>
  <c r="S1863" i="15"/>
  <c r="N1863" i="15"/>
  <c r="M1863" i="15"/>
  <c r="Q1863" i="15"/>
  <c r="X1863" i="15" s="1"/>
  <c r="AA1862" i="15"/>
  <c r="Z1862" i="15"/>
  <c r="U1862" i="15"/>
  <c r="S1862" i="15"/>
  <c r="N1862" i="15"/>
  <c r="M1862" i="15"/>
  <c r="Q1862" i="15"/>
  <c r="AA1861" i="15"/>
  <c r="Z1861" i="15"/>
  <c r="U1861" i="15"/>
  <c r="S1861" i="15"/>
  <c r="N1861" i="15"/>
  <c r="M1861" i="15"/>
  <c r="Q1861" i="15"/>
  <c r="AA1860" i="15"/>
  <c r="Z1860" i="15"/>
  <c r="AC1860" i="15" s="1"/>
  <c r="U1860" i="15"/>
  <c r="S1860" i="15"/>
  <c r="N1860" i="15"/>
  <c r="M1860" i="15"/>
  <c r="Q1860" i="15"/>
  <c r="AA1859" i="15"/>
  <c r="Z1859" i="15"/>
  <c r="AC1859" i="15" s="1"/>
  <c r="U1859" i="15"/>
  <c r="S1859" i="15"/>
  <c r="N1859" i="15"/>
  <c r="M1859" i="15"/>
  <c r="Q1859" i="15"/>
  <c r="AA1858" i="15"/>
  <c r="Z1858" i="15"/>
  <c r="U1858" i="15"/>
  <c r="S1858" i="15"/>
  <c r="N1858" i="15"/>
  <c r="M1858" i="15"/>
  <c r="Q1858" i="15"/>
  <c r="AA1857" i="15"/>
  <c r="Z1857" i="15"/>
  <c r="U1857" i="15"/>
  <c r="S1857" i="15"/>
  <c r="N1857" i="15"/>
  <c r="M1857" i="15"/>
  <c r="Q1857" i="15"/>
  <c r="AA1856" i="15"/>
  <c r="Z1856" i="15"/>
  <c r="AC1856" i="15" s="1"/>
  <c r="U1856" i="15"/>
  <c r="S1856" i="15"/>
  <c r="N1856" i="15"/>
  <c r="M1856" i="15"/>
  <c r="Q1856" i="15"/>
  <c r="AA1855" i="15"/>
  <c r="Z1855" i="15"/>
  <c r="AC1855" i="15" s="1"/>
  <c r="U1855" i="15"/>
  <c r="V1855" i="15"/>
  <c r="S1855" i="15"/>
  <c r="N1855" i="15"/>
  <c r="M1855" i="15"/>
  <c r="Q1855" i="15"/>
  <c r="AA1854" i="15"/>
  <c r="Z1854" i="15"/>
  <c r="U1854" i="15"/>
  <c r="S1854" i="15"/>
  <c r="N1854" i="15"/>
  <c r="M1854" i="15"/>
  <c r="Q1854" i="15"/>
  <c r="W1854" i="15" s="1"/>
  <c r="AA1853" i="15"/>
  <c r="Z1853" i="15"/>
  <c r="AC1853" i="15" s="1"/>
  <c r="U1853" i="15"/>
  <c r="V1853" i="15"/>
  <c r="S1853" i="15"/>
  <c r="N1853" i="15"/>
  <c r="M1853" i="15"/>
  <c r="Q1853" i="15"/>
  <c r="AA1852" i="15"/>
  <c r="Z1852" i="15"/>
  <c r="AC1852" i="15" s="1"/>
  <c r="U1852" i="15"/>
  <c r="V1852" i="15"/>
  <c r="S1852" i="15"/>
  <c r="N1852" i="15"/>
  <c r="M1852" i="15"/>
  <c r="Q1852" i="15"/>
  <c r="AA1851" i="15"/>
  <c r="Z1851" i="15"/>
  <c r="U1851" i="15"/>
  <c r="S1851" i="15"/>
  <c r="N1851" i="15"/>
  <c r="M1851" i="15"/>
  <c r="Q1851" i="15"/>
  <c r="AA1850" i="15"/>
  <c r="Z1850" i="15"/>
  <c r="U1850" i="15"/>
  <c r="S1850" i="15"/>
  <c r="N1850" i="15"/>
  <c r="M1850" i="15"/>
  <c r="Q1850" i="15"/>
  <c r="X1850" i="15" s="1"/>
  <c r="AA1849" i="15"/>
  <c r="Z1849" i="15"/>
  <c r="AC1849" i="15" s="1"/>
  <c r="U1849" i="15"/>
  <c r="S1849" i="15"/>
  <c r="N1849" i="15"/>
  <c r="M1849" i="15"/>
  <c r="Q1849" i="15"/>
  <c r="AA1848" i="15"/>
  <c r="Z1848" i="15"/>
  <c r="AC1848" i="15" s="1"/>
  <c r="U1848" i="15"/>
  <c r="S1848" i="15"/>
  <c r="N1848" i="15"/>
  <c r="M1848" i="15"/>
  <c r="Q1848" i="15"/>
  <c r="X1848" i="15" s="1"/>
  <c r="AA1847" i="15"/>
  <c r="Z1847" i="15"/>
  <c r="U1847" i="15"/>
  <c r="S1847" i="15"/>
  <c r="N1847" i="15"/>
  <c r="M1847" i="15"/>
  <c r="Q1847" i="15"/>
  <c r="AA1846" i="15"/>
  <c r="Z1846" i="15"/>
  <c r="V1846" i="15"/>
  <c r="S1846" i="15"/>
  <c r="N1846" i="15"/>
  <c r="M1846" i="15"/>
  <c r="Q1846" i="15"/>
  <c r="AA1845" i="15"/>
  <c r="Z1845" i="15"/>
  <c r="AC1845" i="15" s="1"/>
  <c r="U1845" i="15"/>
  <c r="S1845" i="15"/>
  <c r="N1845" i="15"/>
  <c r="M1845" i="15"/>
  <c r="Q1845" i="15"/>
  <c r="X1845" i="15" s="1"/>
  <c r="AA1844" i="15"/>
  <c r="Z1844" i="15"/>
  <c r="U1844" i="15"/>
  <c r="S1844" i="15"/>
  <c r="N1844" i="15"/>
  <c r="M1844" i="15"/>
  <c r="Q1844" i="15"/>
  <c r="X1844" i="15" s="1"/>
  <c r="AA1843" i="15"/>
  <c r="Z1843" i="15"/>
  <c r="U1843" i="15"/>
  <c r="S1843" i="15"/>
  <c r="N1843" i="15"/>
  <c r="M1843" i="15"/>
  <c r="Q1843" i="15"/>
  <c r="AA1842" i="15"/>
  <c r="Z1842" i="15"/>
  <c r="U1842" i="15"/>
  <c r="S1842" i="15"/>
  <c r="N1842" i="15"/>
  <c r="M1842" i="15"/>
  <c r="Q1842" i="15"/>
  <c r="AA1841" i="15"/>
  <c r="Z1841" i="15"/>
  <c r="AC1841" i="15" s="1"/>
  <c r="V1841" i="15"/>
  <c r="S1841" i="15"/>
  <c r="N1841" i="15"/>
  <c r="M1841" i="15"/>
  <c r="Q1841" i="15"/>
  <c r="AA1840" i="15"/>
  <c r="Z1840" i="15"/>
  <c r="U1840" i="15"/>
  <c r="S1840" i="15"/>
  <c r="N1840" i="15"/>
  <c r="M1840" i="15"/>
  <c r="Q1840" i="15"/>
  <c r="AA1839" i="15"/>
  <c r="Z1839" i="15"/>
  <c r="AC1839" i="15" s="1"/>
  <c r="U1839" i="15"/>
  <c r="S1839" i="15"/>
  <c r="N1839" i="15"/>
  <c r="M1839" i="15"/>
  <c r="Q1839" i="15"/>
  <c r="AA1838" i="15"/>
  <c r="Z1838" i="15"/>
  <c r="AC1838" i="15" s="1"/>
  <c r="U1838" i="15"/>
  <c r="S1838" i="15"/>
  <c r="N1838" i="15"/>
  <c r="M1838" i="15"/>
  <c r="Q1838" i="15"/>
  <c r="X1838" i="15" s="1"/>
  <c r="AA1837" i="15"/>
  <c r="Z1837" i="15"/>
  <c r="U1837" i="15"/>
  <c r="S1837" i="15"/>
  <c r="N1837" i="15"/>
  <c r="M1837" i="15"/>
  <c r="Q1837" i="15"/>
  <c r="AA1836" i="15"/>
  <c r="Z1836" i="15"/>
  <c r="U1836" i="15"/>
  <c r="S1836" i="15"/>
  <c r="N1836" i="15"/>
  <c r="M1836" i="15"/>
  <c r="Q1836" i="15"/>
  <c r="AA1835" i="15"/>
  <c r="Z1835" i="15"/>
  <c r="U1835" i="15"/>
  <c r="V1835" i="15"/>
  <c r="S1835" i="15"/>
  <c r="N1835" i="15"/>
  <c r="M1835" i="15"/>
  <c r="Q1835" i="15"/>
  <c r="AA1834" i="15"/>
  <c r="Z1834" i="15"/>
  <c r="AC1834" i="15" s="1"/>
  <c r="U1834" i="15"/>
  <c r="S1834" i="15"/>
  <c r="N1834" i="15"/>
  <c r="M1834" i="15"/>
  <c r="Q1834" i="15"/>
  <c r="W1834" i="15" s="1"/>
  <c r="AA1833" i="15"/>
  <c r="Z1833" i="15"/>
  <c r="AC1833" i="15" s="1"/>
  <c r="U1833" i="15"/>
  <c r="S1833" i="15"/>
  <c r="N1833" i="15"/>
  <c r="M1833" i="15"/>
  <c r="Q1833" i="15"/>
  <c r="AA1832" i="15"/>
  <c r="Z1832" i="15"/>
  <c r="U1832" i="15"/>
  <c r="S1832" i="15"/>
  <c r="N1832" i="15"/>
  <c r="M1832" i="15"/>
  <c r="Q1832" i="15"/>
  <c r="AA1831" i="15"/>
  <c r="Z1831" i="15"/>
  <c r="U1831" i="15"/>
  <c r="S1831" i="15"/>
  <c r="N1831" i="15"/>
  <c r="M1831" i="15"/>
  <c r="Q1831" i="15"/>
  <c r="X1831" i="15" s="1"/>
  <c r="AA1830" i="15"/>
  <c r="Z1830" i="15"/>
  <c r="AC1830" i="15" s="1"/>
  <c r="V1830" i="15"/>
  <c r="S1830" i="15"/>
  <c r="N1830" i="15"/>
  <c r="M1830" i="15"/>
  <c r="Q1830" i="15"/>
  <c r="AA1829" i="15"/>
  <c r="Z1829" i="15"/>
  <c r="U1829" i="15"/>
  <c r="S1829" i="15"/>
  <c r="N1829" i="15"/>
  <c r="M1829" i="15"/>
  <c r="Q1829" i="15"/>
  <c r="X1829" i="15" s="1"/>
  <c r="AA1828" i="15"/>
  <c r="Z1828" i="15"/>
  <c r="V1828" i="15"/>
  <c r="S1828" i="15"/>
  <c r="N1828" i="15"/>
  <c r="M1828" i="15"/>
  <c r="Q1828" i="15"/>
  <c r="AA1827" i="15"/>
  <c r="Z1827" i="15"/>
  <c r="U1827" i="15"/>
  <c r="V1827" i="15"/>
  <c r="S1827" i="15"/>
  <c r="N1827" i="15"/>
  <c r="M1827" i="15"/>
  <c r="Q1827" i="15"/>
  <c r="AA1826" i="15"/>
  <c r="Z1826" i="15"/>
  <c r="AC1826" i="15" s="1"/>
  <c r="U1826" i="15"/>
  <c r="S1826" i="15"/>
  <c r="N1826" i="15"/>
  <c r="M1826" i="15"/>
  <c r="Q1826" i="15"/>
  <c r="AA1825" i="15"/>
  <c r="Z1825" i="15"/>
  <c r="U1825" i="15"/>
  <c r="S1825" i="15"/>
  <c r="N1825" i="15"/>
  <c r="M1825" i="15"/>
  <c r="Q1825" i="15"/>
  <c r="AA1824" i="15"/>
  <c r="Z1824" i="15"/>
  <c r="U1824" i="15"/>
  <c r="S1824" i="15"/>
  <c r="N1824" i="15"/>
  <c r="M1824" i="15"/>
  <c r="Q1824" i="15"/>
  <c r="X1824" i="15" s="1"/>
  <c r="AA1823" i="15"/>
  <c r="Z1823" i="15"/>
  <c r="AC1823" i="15" s="1"/>
  <c r="U1823" i="15"/>
  <c r="S1823" i="15"/>
  <c r="N1823" i="15"/>
  <c r="M1823" i="15"/>
  <c r="Q1823" i="15"/>
  <c r="AA1822" i="15"/>
  <c r="Z1822" i="15"/>
  <c r="AC1822" i="15" s="1"/>
  <c r="U1822" i="15"/>
  <c r="S1822" i="15"/>
  <c r="N1822" i="15"/>
  <c r="M1822" i="15"/>
  <c r="Q1822" i="15"/>
  <c r="W1822" i="15" s="1"/>
  <c r="AA1821" i="15"/>
  <c r="Z1821" i="15"/>
  <c r="U1821" i="15"/>
  <c r="S1821" i="15"/>
  <c r="N1821" i="15"/>
  <c r="M1821" i="15"/>
  <c r="Q1821" i="15"/>
  <c r="AA1820" i="15"/>
  <c r="Z1820" i="15"/>
  <c r="U1820" i="15"/>
  <c r="S1820" i="15"/>
  <c r="N1820" i="15"/>
  <c r="M1820" i="15"/>
  <c r="Q1820" i="15"/>
  <c r="AA1819" i="15"/>
  <c r="Z1819" i="15"/>
  <c r="AC1819" i="15" s="1"/>
  <c r="V1819" i="15"/>
  <c r="S1819" i="15"/>
  <c r="N1819" i="15"/>
  <c r="M1819" i="15"/>
  <c r="Q1819" i="15"/>
  <c r="W1819" i="15" s="1"/>
  <c r="AA1818" i="15"/>
  <c r="Z1818" i="15"/>
  <c r="AC1818" i="15" s="1"/>
  <c r="V1818" i="15"/>
  <c r="S1818" i="15"/>
  <c r="N1818" i="15"/>
  <c r="M1818" i="15"/>
  <c r="Q1818" i="15"/>
  <c r="W1818" i="15" s="1"/>
  <c r="AA1817" i="15"/>
  <c r="Z1817" i="15"/>
  <c r="AC1817" i="15" s="1"/>
  <c r="U1817" i="15"/>
  <c r="S1817" i="15"/>
  <c r="N1817" i="15"/>
  <c r="M1817" i="15"/>
  <c r="AA1816" i="15"/>
  <c r="Z1816" i="15"/>
  <c r="AC1816" i="15" s="1"/>
  <c r="U1816" i="15"/>
  <c r="S1816" i="15"/>
  <c r="N1816" i="15"/>
  <c r="M1816" i="15"/>
  <c r="Q1816" i="15"/>
  <c r="AA1815" i="15"/>
  <c r="Z1815" i="15"/>
  <c r="AC1815" i="15" s="1"/>
  <c r="U1815" i="15"/>
  <c r="S1815" i="15"/>
  <c r="N1815" i="15"/>
  <c r="M1815" i="15"/>
  <c r="AA1814" i="15"/>
  <c r="Z1814" i="15"/>
  <c r="AC1814" i="15" s="1"/>
  <c r="U1814" i="15"/>
  <c r="S1814" i="15"/>
  <c r="N1814" i="15"/>
  <c r="M1814" i="15"/>
  <c r="Q1814" i="15"/>
  <c r="X1814" i="15" s="1"/>
  <c r="AA1813" i="15"/>
  <c r="Z1813" i="15"/>
  <c r="V1813" i="15"/>
  <c r="S1813" i="15"/>
  <c r="N1813" i="15"/>
  <c r="M1813" i="15"/>
  <c r="Q1813" i="15"/>
  <c r="X1813" i="15" s="1"/>
  <c r="AA1812" i="15"/>
  <c r="Z1812" i="15"/>
  <c r="AC1812" i="15" s="1"/>
  <c r="V1812" i="15"/>
  <c r="S1812" i="15"/>
  <c r="N1812" i="15"/>
  <c r="M1812" i="15"/>
  <c r="Q1812" i="15"/>
  <c r="W1812" i="15" s="1"/>
  <c r="AA1811" i="15"/>
  <c r="Z1811" i="15"/>
  <c r="U1811" i="15"/>
  <c r="S1811" i="15"/>
  <c r="N1811" i="15"/>
  <c r="M1811" i="15"/>
  <c r="Q1811" i="15"/>
  <c r="AA1810" i="15"/>
  <c r="Z1810" i="15"/>
  <c r="U1810" i="15"/>
  <c r="S1810" i="15"/>
  <c r="N1810" i="15"/>
  <c r="M1810" i="15"/>
  <c r="Q1810" i="15"/>
  <c r="X1810" i="15" s="1"/>
  <c r="AA1809" i="15"/>
  <c r="Z1809" i="15"/>
  <c r="AC1809" i="15" s="1"/>
  <c r="U1809" i="15"/>
  <c r="S1809" i="15"/>
  <c r="N1809" i="15"/>
  <c r="M1809" i="15"/>
  <c r="Q1809" i="15"/>
  <c r="X1809" i="15" s="1"/>
  <c r="AA1808" i="15"/>
  <c r="Z1808" i="15"/>
  <c r="V1808" i="15"/>
  <c r="S1808" i="15"/>
  <c r="N1808" i="15"/>
  <c r="M1808" i="15"/>
  <c r="Q1808" i="15"/>
  <c r="AA1807" i="15"/>
  <c r="Z1807" i="15"/>
  <c r="AC1807" i="15" s="1"/>
  <c r="U1807" i="15"/>
  <c r="S1807" i="15"/>
  <c r="N1807" i="15"/>
  <c r="M1807" i="15"/>
  <c r="Q1807" i="15"/>
  <c r="AA1806" i="15"/>
  <c r="Z1806" i="15"/>
  <c r="V1806" i="15"/>
  <c r="S1806" i="15"/>
  <c r="N1806" i="15"/>
  <c r="M1806" i="15"/>
  <c r="Q1806" i="15"/>
  <c r="X1806" i="15" s="1"/>
  <c r="AA1805" i="15"/>
  <c r="Z1805" i="15"/>
  <c r="AC1805" i="15" s="1"/>
  <c r="U1805" i="15"/>
  <c r="S1805" i="15"/>
  <c r="N1805" i="15"/>
  <c r="M1805" i="15"/>
  <c r="Q1805" i="15"/>
  <c r="X1805" i="15" s="1"/>
  <c r="AA1804" i="15"/>
  <c r="Z1804" i="15"/>
  <c r="U1804" i="15"/>
  <c r="S1804" i="15"/>
  <c r="N1804" i="15"/>
  <c r="M1804" i="15"/>
  <c r="Q1804" i="15"/>
  <c r="W1804" i="15" s="1"/>
  <c r="AA1803" i="15"/>
  <c r="Z1803" i="15"/>
  <c r="V1803" i="15"/>
  <c r="S1803" i="15"/>
  <c r="N1803" i="15"/>
  <c r="M1803" i="15"/>
  <c r="Q1803" i="15"/>
  <c r="AA1802" i="15"/>
  <c r="Z1802" i="15"/>
  <c r="AC1802" i="15" s="1"/>
  <c r="U1802" i="15"/>
  <c r="S1802" i="15"/>
  <c r="N1802" i="15"/>
  <c r="M1802" i="15"/>
  <c r="Q1802" i="15"/>
  <c r="AA1801" i="15"/>
  <c r="Z1801" i="15"/>
  <c r="U1801" i="15"/>
  <c r="S1801" i="15"/>
  <c r="N1801" i="15"/>
  <c r="M1801" i="15"/>
  <c r="Q1801" i="15"/>
  <c r="X1801" i="15" s="1"/>
  <c r="AA1800" i="15"/>
  <c r="Z1800" i="15"/>
  <c r="AC1800" i="15" s="1"/>
  <c r="U1800" i="15"/>
  <c r="S1800" i="15"/>
  <c r="N1800" i="15"/>
  <c r="M1800" i="15"/>
  <c r="Q1800" i="15"/>
  <c r="X1800" i="15" s="1"/>
  <c r="AA1799" i="15"/>
  <c r="Z1799" i="15"/>
  <c r="AC1799" i="15" s="1"/>
  <c r="U1799" i="15"/>
  <c r="V1799" i="15"/>
  <c r="S1799" i="15"/>
  <c r="N1799" i="15"/>
  <c r="M1799" i="15"/>
  <c r="Q1799" i="15"/>
  <c r="W1799" i="15" s="1"/>
  <c r="AA1798" i="15"/>
  <c r="Z1798" i="15"/>
  <c r="AC1798" i="15" s="1"/>
  <c r="U1798" i="15"/>
  <c r="S1798" i="15"/>
  <c r="N1798" i="15"/>
  <c r="M1798" i="15"/>
  <c r="Q1798" i="15"/>
  <c r="AA1797" i="15"/>
  <c r="Z1797" i="15"/>
  <c r="U1797" i="15"/>
  <c r="S1797" i="15"/>
  <c r="N1797" i="15"/>
  <c r="M1797" i="15"/>
  <c r="Q1797" i="15"/>
  <c r="AA1796" i="15"/>
  <c r="Z1796" i="15"/>
  <c r="U1796" i="15"/>
  <c r="S1796" i="15"/>
  <c r="N1796" i="15"/>
  <c r="M1796" i="15"/>
  <c r="Q1796" i="15"/>
  <c r="AA1795" i="15"/>
  <c r="Z1795" i="15"/>
  <c r="AC1795" i="15" s="1"/>
  <c r="V1795" i="15"/>
  <c r="S1795" i="15"/>
  <c r="N1795" i="15"/>
  <c r="M1795" i="15"/>
  <c r="Q1795" i="15"/>
  <c r="W1795" i="15" s="1"/>
  <c r="AA1794" i="15"/>
  <c r="Z1794" i="15"/>
  <c r="AC1794" i="15" s="1"/>
  <c r="V1794" i="15"/>
  <c r="S1794" i="15"/>
  <c r="N1794" i="15"/>
  <c r="M1794" i="15"/>
  <c r="Q1794" i="15"/>
  <c r="W1794" i="15" s="1"/>
  <c r="AA1793" i="15"/>
  <c r="Z1793" i="15"/>
  <c r="U1793" i="15"/>
  <c r="V1793" i="15"/>
  <c r="S1793" i="15"/>
  <c r="N1793" i="15"/>
  <c r="M1793" i="15"/>
  <c r="Q1793" i="15"/>
  <c r="X1793" i="15" s="1"/>
  <c r="AA1792" i="15"/>
  <c r="Z1792" i="15"/>
  <c r="AC1792" i="15" s="1"/>
  <c r="V1792" i="15"/>
  <c r="S1792" i="15"/>
  <c r="N1792" i="15"/>
  <c r="M1792" i="15"/>
  <c r="Q1792" i="15"/>
  <c r="AA1791" i="15"/>
  <c r="Z1791" i="15"/>
  <c r="AC1791" i="15" s="1"/>
  <c r="U1791" i="15"/>
  <c r="S1791" i="15"/>
  <c r="N1791" i="15"/>
  <c r="M1791" i="15"/>
  <c r="Q1791" i="15"/>
  <c r="W1791" i="15" s="1"/>
  <c r="AA1790" i="15"/>
  <c r="Z1790" i="15"/>
  <c r="U1790" i="15"/>
  <c r="S1790" i="15"/>
  <c r="N1790" i="15"/>
  <c r="M1790" i="15"/>
  <c r="Q1790" i="15"/>
  <c r="X1790" i="15" s="1"/>
  <c r="AA1789" i="15"/>
  <c r="Z1789" i="15"/>
  <c r="U1789" i="15"/>
  <c r="S1789" i="15"/>
  <c r="N1789" i="15"/>
  <c r="M1789" i="15"/>
  <c r="Q1789" i="15"/>
  <c r="AA1788" i="15"/>
  <c r="Z1788" i="15"/>
  <c r="AC1788" i="15" s="1"/>
  <c r="U1788" i="15"/>
  <c r="S1788" i="15"/>
  <c r="N1788" i="15"/>
  <c r="M1788" i="15"/>
  <c r="Q1788" i="15"/>
  <c r="W1788" i="15" s="1"/>
  <c r="AA1787" i="15"/>
  <c r="Z1787" i="15"/>
  <c r="AC1787" i="15" s="1"/>
  <c r="U1787" i="15"/>
  <c r="S1787" i="15"/>
  <c r="N1787" i="15"/>
  <c r="M1787" i="15"/>
  <c r="Q1787" i="15"/>
  <c r="X1787" i="15" s="1"/>
  <c r="AA1786" i="15"/>
  <c r="Z1786" i="15"/>
  <c r="AC1786" i="15" s="1"/>
  <c r="U1786" i="15"/>
  <c r="S1786" i="15"/>
  <c r="N1786" i="15"/>
  <c r="M1786" i="15"/>
  <c r="Q1786" i="15"/>
  <c r="W1786" i="15" s="1"/>
  <c r="AA1785" i="15"/>
  <c r="Z1785" i="15"/>
  <c r="U1785" i="15"/>
  <c r="S1785" i="15"/>
  <c r="N1785" i="15"/>
  <c r="M1785" i="15"/>
  <c r="Q1785" i="15"/>
  <c r="AA1784" i="15"/>
  <c r="Z1784" i="15"/>
  <c r="U1784" i="15"/>
  <c r="S1784" i="15"/>
  <c r="N1784" i="15"/>
  <c r="M1784" i="15"/>
  <c r="Q1784" i="15"/>
  <c r="AA1783" i="15"/>
  <c r="Z1783" i="15"/>
  <c r="U1783" i="15"/>
  <c r="S1783" i="15"/>
  <c r="N1783" i="15"/>
  <c r="M1783" i="15"/>
  <c r="AA1782" i="15"/>
  <c r="Z1782" i="15"/>
  <c r="AC1782" i="15" s="1"/>
  <c r="U1782" i="15"/>
  <c r="S1782" i="15"/>
  <c r="N1782" i="15"/>
  <c r="M1782" i="15"/>
  <c r="Q1782" i="15"/>
  <c r="X1782" i="15" s="1"/>
  <c r="AA1781" i="15"/>
  <c r="Z1781" i="15"/>
  <c r="AC1781" i="15" s="1"/>
  <c r="U1781" i="15"/>
  <c r="S1781" i="15"/>
  <c r="N1781" i="15"/>
  <c r="M1781" i="15"/>
  <c r="Q1781" i="15"/>
  <c r="AA1780" i="15"/>
  <c r="Z1780" i="15"/>
  <c r="AC1780" i="15" s="1"/>
  <c r="U1780" i="15"/>
  <c r="S1780" i="15"/>
  <c r="N1780" i="15"/>
  <c r="M1780" i="15"/>
  <c r="Q1780" i="15"/>
  <c r="AA1779" i="15"/>
  <c r="Z1779" i="15"/>
  <c r="U1779" i="15"/>
  <c r="S1779" i="15"/>
  <c r="N1779" i="15"/>
  <c r="M1779" i="15"/>
  <c r="Q1779" i="15"/>
  <c r="W1779" i="15" s="1"/>
  <c r="AA1778" i="15"/>
  <c r="Z1778" i="15"/>
  <c r="AC1778" i="15" s="1"/>
  <c r="U1778" i="15"/>
  <c r="S1778" i="15"/>
  <c r="N1778" i="15"/>
  <c r="M1778" i="15"/>
  <c r="Q1778" i="15"/>
  <c r="W1778" i="15" s="1"/>
  <c r="AA1777" i="15"/>
  <c r="Z1777" i="15"/>
  <c r="AC1777" i="15" s="1"/>
  <c r="U1777" i="15"/>
  <c r="S1777" i="15"/>
  <c r="N1777" i="15"/>
  <c r="M1777" i="15"/>
  <c r="Q1777" i="15"/>
  <c r="X1777" i="15" s="1"/>
  <c r="AA1776" i="15"/>
  <c r="Z1776" i="15"/>
  <c r="AC1776" i="15" s="1"/>
  <c r="U1776" i="15"/>
  <c r="S1776" i="15"/>
  <c r="N1776" i="15"/>
  <c r="M1776" i="15"/>
  <c r="Q1776" i="15"/>
  <c r="AA1775" i="15"/>
  <c r="Z1775" i="15"/>
  <c r="AC1775" i="15" s="1"/>
  <c r="U1775" i="15"/>
  <c r="S1775" i="15"/>
  <c r="N1775" i="15"/>
  <c r="M1775" i="15"/>
  <c r="Q1775" i="15"/>
  <c r="AA1774" i="15"/>
  <c r="Z1774" i="15"/>
  <c r="AC1774" i="15" s="1"/>
  <c r="U1774" i="15"/>
  <c r="S1774" i="15"/>
  <c r="N1774" i="15"/>
  <c r="M1774" i="15"/>
  <c r="Q1774" i="15"/>
  <c r="AA1773" i="15"/>
  <c r="Z1773" i="15"/>
  <c r="AC1773" i="15" s="1"/>
  <c r="U1773" i="15"/>
  <c r="S1773" i="15"/>
  <c r="N1773" i="15"/>
  <c r="M1773" i="15"/>
  <c r="Q1773" i="15"/>
  <c r="X1773" i="15" s="1"/>
  <c r="AA1772" i="15"/>
  <c r="Z1772" i="15"/>
  <c r="U1772" i="15"/>
  <c r="S1772" i="15"/>
  <c r="N1772" i="15"/>
  <c r="M1772" i="15"/>
  <c r="Q1772" i="15"/>
  <c r="AA1771" i="15"/>
  <c r="Z1771" i="15"/>
  <c r="AC1771" i="15" s="1"/>
  <c r="U1771" i="15"/>
  <c r="S1771" i="15"/>
  <c r="N1771" i="15"/>
  <c r="M1771" i="15"/>
  <c r="Q1771" i="15"/>
  <c r="AA1770" i="15"/>
  <c r="Z1770" i="15"/>
  <c r="AC1770" i="15" s="1"/>
  <c r="U1770" i="15"/>
  <c r="S1770" i="15"/>
  <c r="N1770" i="15"/>
  <c r="M1770" i="15"/>
  <c r="Q1770" i="15"/>
  <c r="W1770" i="15" s="1"/>
  <c r="AA1769" i="15"/>
  <c r="Z1769" i="15"/>
  <c r="AC1769" i="15" s="1"/>
  <c r="V1769" i="15"/>
  <c r="S1769" i="15"/>
  <c r="N1769" i="15"/>
  <c r="M1769" i="15"/>
  <c r="Q1769" i="15"/>
  <c r="W1769" i="15" s="1"/>
  <c r="AA1768" i="15"/>
  <c r="Z1768" i="15"/>
  <c r="U1768" i="15"/>
  <c r="S1768" i="15"/>
  <c r="N1768" i="15"/>
  <c r="M1768" i="15"/>
  <c r="Q1768" i="15"/>
  <c r="AA1767" i="15"/>
  <c r="Z1767" i="15"/>
  <c r="AC1767" i="15" s="1"/>
  <c r="U1767" i="15"/>
  <c r="S1767" i="15"/>
  <c r="N1767" i="15"/>
  <c r="M1767" i="15"/>
  <c r="Q1767" i="15"/>
  <c r="AA1766" i="15"/>
  <c r="Z1766" i="15"/>
  <c r="AC1766" i="15" s="1"/>
  <c r="U1766" i="15"/>
  <c r="S1766" i="15"/>
  <c r="N1766" i="15"/>
  <c r="M1766" i="15"/>
  <c r="Q1766" i="15"/>
  <c r="W1766" i="15" s="1"/>
  <c r="AA1765" i="15"/>
  <c r="Z1765" i="15"/>
  <c r="AC1765" i="15" s="1"/>
  <c r="U1765" i="15"/>
  <c r="S1765" i="15"/>
  <c r="N1765" i="15"/>
  <c r="M1765" i="15"/>
  <c r="Q1765" i="15"/>
  <c r="X1765" i="15" s="1"/>
  <c r="AA1764" i="15"/>
  <c r="Z1764" i="15"/>
  <c r="U1764" i="15"/>
  <c r="S1764" i="15"/>
  <c r="N1764" i="15"/>
  <c r="M1764" i="15"/>
  <c r="Q1764" i="15"/>
  <c r="AA1763" i="15"/>
  <c r="Z1763" i="15"/>
  <c r="U1763" i="15"/>
  <c r="S1763" i="15"/>
  <c r="N1763" i="15"/>
  <c r="M1763" i="15"/>
  <c r="AA1762" i="15"/>
  <c r="Z1762" i="15"/>
  <c r="AC1762" i="15" s="1"/>
  <c r="U1762" i="15"/>
  <c r="S1762" i="15"/>
  <c r="N1762" i="15"/>
  <c r="M1762" i="15"/>
  <c r="Q1762" i="15"/>
  <c r="X1762" i="15" s="1"/>
  <c r="AA1761" i="15"/>
  <c r="Z1761" i="15"/>
  <c r="U1761" i="15"/>
  <c r="S1761" i="15"/>
  <c r="N1761" i="15"/>
  <c r="M1761" i="15"/>
  <c r="Q1761" i="15"/>
  <c r="X1761" i="15" s="1"/>
  <c r="AA1760" i="15"/>
  <c r="Z1760" i="15"/>
  <c r="AC1760" i="15" s="1"/>
  <c r="U1760" i="15"/>
  <c r="S1760" i="15"/>
  <c r="N1760" i="15"/>
  <c r="M1760" i="15"/>
  <c r="Q1760" i="15"/>
  <c r="AA1759" i="15"/>
  <c r="Z1759" i="15"/>
  <c r="U1759" i="15"/>
  <c r="S1759" i="15"/>
  <c r="N1759" i="15"/>
  <c r="M1759" i="15"/>
  <c r="Q1759" i="15"/>
  <c r="AA1758" i="15"/>
  <c r="Z1758" i="15"/>
  <c r="U1758" i="15"/>
  <c r="S1758" i="15"/>
  <c r="N1758" i="15"/>
  <c r="M1758" i="15"/>
  <c r="Q1758" i="15"/>
  <c r="W1758" i="15" s="1"/>
  <c r="AA1757" i="15"/>
  <c r="Z1757" i="15"/>
  <c r="U1757" i="15"/>
  <c r="S1757" i="15"/>
  <c r="N1757" i="15"/>
  <c r="M1757" i="15"/>
  <c r="AA1756" i="15"/>
  <c r="Z1756" i="15"/>
  <c r="AC1756" i="15" s="1"/>
  <c r="V1756" i="15"/>
  <c r="S1756" i="15"/>
  <c r="N1756" i="15"/>
  <c r="M1756" i="15"/>
  <c r="Q1756" i="15"/>
  <c r="AA1755" i="15"/>
  <c r="Z1755" i="15"/>
  <c r="AC1755" i="15" s="1"/>
  <c r="U1755" i="15"/>
  <c r="S1755" i="15"/>
  <c r="N1755" i="15"/>
  <c r="M1755" i="15"/>
  <c r="Q1755" i="15"/>
  <c r="AA1754" i="15"/>
  <c r="Z1754" i="15"/>
  <c r="U1754" i="15"/>
  <c r="V1754" i="15"/>
  <c r="S1754" i="15"/>
  <c r="N1754" i="15"/>
  <c r="M1754" i="15"/>
  <c r="Q1754" i="15"/>
  <c r="X1754" i="15" s="1"/>
  <c r="AA1753" i="15"/>
  <c r="Z1753" i="15"/>
  <c r="U1753" i="15"/>
  <c r="S1753" i="15"/>
  <c r="N1753" i="15"/>
  <c r="M1753" i="15"/>
  <c r="Q1753" i="15"/>
  <c r="W1753" i="15" s="1"/>
  <c r="AA1752" i="15"/>
  <c r="Z1752" i="15"/>
  <c r="AC1752" i="15" s="1"/>
  <c r="U1752" i="15"/>
  <c r="S1752" i="15"/>
  <c r="N1752" i="15"/>
  <c r="M1752" i="15"/>
  <c r="Q1752" i="15"/>
  <c r="AA1751" i="15"/>
  <c r="Z1751" i="15"/>
  <c r="V1751" i="15"/>
  <c r="S1751" i="15"/>
  <c r="N1751" i="15"/>
  <c r="M1751" i="15"/>
  <c r="AA1750" i="15"/>
  <c r="Z1750" i="15"/>
  <c r="U1750" i="15"/>
  <c r="S1750" i="15"/>
  <c r="N1750" i="15"/>
  <c r="M1750" i="15"/>
  <c r="Q1750" i="15"/>
  <c r="W1750" i="15" s="1"/>
  <c r="AA1749" i="15"/>
  <c r="Z1749" i="15"/>
  <c r="AC1749" i="15" s="1"/>
  <c r="U1749" i="15"/>
  <c r="S1749" i="15"/>
  <c r="N1749" i="15"/>
  <c r="M1749" i="15"/>
  <c r="Q1749" i="15"/>
  <c r="AA1748" i="15"/>
  <c r="Z1748" i="15"/>
  <c r="U1748" i="15"/>
  <c r="S1748" i="15"/>
  <c r="N1748" i="15"/>
  <c r="M1748" i="15"/>
  <c r="Q1748" i="15"/>
  <c r="AA1747" i="15"/>
  <c r="Z1747" i="15"/>
  <c r="AC1747" i="15" s="1"/>
  <c r="U1747" i="15"/>
  <c r="S1747" i="15"/>
  <c r="N1747" i="15"/>
  <c r="M1747" i="15"/>
  <c r="Q1747" i="15"/>
  <c r="X1747" i="15" s="1"/>
  <c r="AA1746" i="15"/>
  <c r="Z1746" i="15"/>
  <c r="U1746" i="15"/>
  <c r="V1746" i="15"/>
  <c r="S1746" i="15"/>
  <c r="N1746" i="15"/>
  <c r="M1746" i="15"/>
  <c r="Q1746" i="15"/>
  <c r="AA1745" i="15"/>
  <c r="Z1745" i="15"/>
  <c r="U1745" i="15"/>
  <c r="S1745" i="15"/>
  <c r="N1745" i="15"/>
  <c r="M1745" i="15"/>
  <c r="Q1745" i="15"/>
  <c r="AA1744" i="15"/>
  <c r="Z1744" i="15"/>
  <c r="U1744" i="15"/>
  <c r="S1744" i="15"/>
  <c r="N1744" i="15"/>
  <c r="M1744" i="15"/>
  <c r="Q1744" i="15"/>
  <c r="AA1743" i="15"/>
  <c r="Z1743" i="15"/>
  <c r="AC1743" i="15" s="1"/>
  <c r="U1743" i="15"/>
  <c r="S1743" i="15"/>
  <c r="N1743" i="15"/>
  <c r="M1743" i="15"/>
  <c r="AA1742" i="15"/>
  <c r="Z1742" i="15"/>
  <c r="U1742" i="15"/>
  <c r="S1742" i="15"/>
  <c r="N1742" i="15"/>
  <c r="M1742" i="15"/>
  <c r="Q1742" i="15"/>
  <c r="W1742" i="15" s="1"/>
  <c r="AA1741" i="15"/>
  <c r="Z1741" i="15"/>
  <c r="AC1741" i="15" s="1"/>
  <c r="U1741" i="15"/>
  <c r="V1741" i="15"/>
  <c r="S1741" i="15"/>
  <c r="N1741" i="15"/>
  <c r="M1741" i="15"/>
  <c r="AA1740" i="15"/>
  <c r="Z1740" i="15"/>
  <c r="U1740" i="15"/>
  <c r="S1740" i="15"/>
  <c r="N1740" i="15"/>
  <c r="M1740" i="15"/>
  <c r="Q1740" i="15"/>
  <c r="X1740" i="15" s="1"/>
  <c r="AA1739" i="15"/>
  <c r="Z1739" i="15"/>
  <c r="U1739" i="15"/>
  <c r="S1739" i="15"/>
  <c r="N1739" i="15"/>
  <c r="M1739" i="15"/>
  <c r="Q1739" i="15"/>
  <c r="AA1738" i="15"/>
  <c r="Z1738" i="15"/>
  <c r="U1738" i="15"/>
  <c r="S1738" i="15"/>
  <c r="N1738" i="15"/>
  <c r="M1738" i="15"/>
  <c r="Q1738" i="15"/>
  <c r="X1738" i="15" s="1"/>
  <c r="AA1737" i="15"/>
  <c r="Z1737" i="15"/>
  <c r="U1737" i="15"/>
  <c r="S1737" i="15"/>
  <c r="N1737" i="15"/>
  <c r="M1737" i="15"/>
  <c r="Q1737" i="15"/>
  <c r="AA1736" i="15"/>
  <c r="Z1736" i="15"/>
  <c r="U1736" i="15"/>
  <c r="S1736" i="15"/>
  <c r="N1736" i="15"/>
  <c r="M1736" i="15"/>
  <c r="Q1736" i="15"/>
  <c r="X1736" i="15" s="1"/>
  <c r="AA1735" i="15"/>
  <c r="Z1735" i="15"/>
  <c r="AC1735" i="15" s="1"/>
  <c r="U1735" i="15"/>
  <c r="S1735" i="15"/>
  <c r="N1735" i="15"/>
  <c r="M1735" i="15"/>
  <c r="Q1735" i="15"/>
  <c r="AA1734" i="15"/>
  <c r="Z1734" i="15"/>
  <c r="U1734" i="15"/>
  <c r="S1734" i="15"/>
  <c r="N1734" i="15"/>
  <c r="M1734" i="15"/>
  <c r="Q1734" i="15"/>
  <c r="W1734" i="15" s="1"/>
  <c r="AA1733" i="15"/>
  <c r="Z1733" i="15"/>
  <c r="U1733" i="15"/>
  <c r="S1733" i="15"/>
  <c r="N1733" i="15"/>
  <c r="M1733" i="15"/>
  <c r="Q1733" i="15"/>
  <c r="AA1732" i="15"/>
  <c r="Z1732" i="15"/>
  <c r="U1732" i="15"/>
  <c r="S1732" i="15"/>
  <c r="N1732" i="15"/>
  <c r="M1732" i="15"/>
  <c r="Q1732" i="15"/>
  <c r="AA1731" i="15"/>
  <c r="Z1731" i="15"/>
  <c r="AC1731" i="15" s="1"/>
  <c r="U1731" i="15"/>
  <c r="S1731" i="15"/>
  <c r="N1731" i="15"/>
  <c r="M1731" i="15"/>
  <c r="AD1731" i="15" s="1"/>
  <c r="AA1730" i="15"/>
  <c r="Z1730" i="15"/>
  <c r="U1730" i="15"/>
  <c r="S1730" i="15"/>
  <c r="N1730" i="15"/>
  <c r="M1730" i="15"/>
  <c r="Q1730" i="15"/>
  <c r="AA1729" i="15"/>
  <c r="Z1729" i="15"/>
  <c r="U1729" i="15"/>
  <c r="S1729" i="15"/>
  <c r="N1729" i="15"/>
  <c r="M1729" i="15"/>
  <c r="Q1729" i="15"/>
  <c r="AA1728" i="15"/>
  <c r="Z1728" i="15"/>
  <c r="AC1728" i="15" s="1"/>
  <c r="V1728" i="15"/>
  <c r="S1728" i="15"/>
  <c r="N1728" i="15"/>
  <c r="M1728" i="15"/>
  <c r="Q1728" i="15"/>
  <c r="X1728" i="15" s="1"/>
  <c r="AA1727" i="15"/>
  <c r="Z1727" i="15"/>
  <c r="AC1727" i="15" s="1"/>
  <c r="V1727" i="15"/>
  <c r="S1727" i="15"/>
  <c r="N1727" i="15"/>
  <c r="M1727" i="15"/>
  <c r="Q1727" i="15"/>
  <c r="W1727" i="15" s="1"/>
  <c r="AA1726" i="15"/>
  <c r="Z1726" i="15"/>
  <c r="V1726" i="15"/>
  <c r="S1726" i="15"/>
  <c r="N1726" i="15"/>
  <c r="M1726" i="15"/>
  <c r="Q1726" i="15"/>
  <c r="AA1725" i="15"/>
  <c r="Z1725" i="15"/>
  <c r="AC1725" i="15" s="1"/>
  <c r="U1725" i="15"/>
  <c r="S1725" i="15"/>
  <c r="N1725" i="15"/>
  <c r="M1725" i="15"/>
  <c r="Q1725" i="15"/>
  <c r="AA1724" i="15"/>
  <c r="Z1724" i="15"/>
  <c r="AC1724" i="15" s="1"/>
  <c r="U1724" i="15"/>
  <c r="S1724" i="15"/>
  <c r="N1724" i="15"/>
  <c r="M1724" i="15"/>
  <c r="Q1724" i="15"/>
  <c r="AA1723" i="15"/>
  <c r="Z1723" i="15"/>
  <c r="U1723" i="15"/>
  <c r="S1723" i="15"/>
  <c r="N1723" i="15"/>
  <c r="M1723" i="15"/>
  <c r="Q1723" i="15"/>
  <c r="W1723" i="15" s="1"/>
  <c r="AA1722" i="15"/>
  <c r="Z1722" i="15"/>
  <c r="AC1722" i="15" s="1"/>
  <c r="U1722" i="15"/>
  <c r="V1722" i="15"/>
  <c r="S1722" i="15"/>
  <c r="N1722" i="15"/>
  <c r="M1722" i="15"/>
  <c r="Q1722" i="15"/>
  <c r="AA1721" i="15"/>
  <c r="Z1721" i="15"/>
  <c r="AC1721" i="15" s="1"/>
  <c r="U1721" i="15"/>
  <c r="S1721" i="15"/>
  <c r="N1721" i="15"/>
  <c r="M1721" i="15"/>
  <c r="Q1721" i="15"/>
  <c r="AA1720" i="15"/>
  <c r="Z1720" i="15"/>
  <c r="AC1720" i="15" s="1"/>
  <c r="V1720" i="15"/>
  <c r="S1720" i="15"/>
  <c r="N1720" i="15"/>
  <c r="M1720" i="15"/>
  <c r="Q1720" i="15"/>
  <c r="AA1719" i="15"/>
  <c r="Z1719" i="15"/>
  <c r="AC1719" i="15" s="1"/>
  <c r="U1719" i="15"/>
  <c r="S1719" i="15"/>
  <c r="N1719" i="15"/>
  <c r="M1719" i="15"/>
  <c r="Q1719" i="15"/>
  <c r="AA1718" i="15"/>
  <c r="Z1718" i="15"/>
  <c r="U1718" i="15"/>
  <c r="V1718" i="15"/>
  <c r="S1718" i="15"/>
  <c r="N1718" i="15"/>
  <c r="M1718" i="15"/>
  <c r="Q1718" i="15"/>
  <c r="AA1717" i="15"/>
  <c r="Z1717" i="15"/>
  <c r="U1717" i="15"/>
  <c r="V1717" i="15"/>
  <c r="S1717" i="15"/>
  <c r="N1717" i="15"/>
  <c r="M1717" i="15"/>
  <c r="AD1717" i="15" s="1"/>
  <c r="Q1717" i="15"/>
  <c r="X1717" i="15" s="1"/>
  <c r="AA1716" i="15"/>
  <c r="Z1716" i="15"/>
  <c r="AC1716" i="15" s="1"/>
  <c r="V1716" i="15"/>
  <c r="S1716" i="15"/>
  <c r="N1716" i="15"/>
  <c r="M1716" i="15"/>
  <c r="Q1716" i="15"/>
  <c r="AA1715" i="15"/>
  <c r="AD1715" i="15" s="1"/>
  <c r="Z1715" i="15"/>
  <c r="U1715" i="15"/>
  <c r="V1715" i="15"/>
  <c r="S1715" i="15"/>
  <c r="N1715" i="15"/>
  <c r="Q1715" i="15"/>
  <c r="AA1714" i="15"/>
  <c r="Z1714" i="15"/>
  <c r="AC1714" i="15" s="1"/>
  <c r="U1714" i="15"/>
  <c r="V1714" i="15"/>
  <c r="S1714" i="15"/>
  <c r="N1714" i="15"/>
  <c r="M1714" i="15"/>
  <c r="Q1714" i="15"/>
  <c r="X1714" i="15" s="1"/>
  <c r="AA1713" i="15"/>
  <c r="Z1713" i="15"/>
  <c r="AC1713" i="15" s="1"/>
  <c r="U1713" i="15"/>
  <c r="V1713" i="15"/>
  <c r="S1713" i="15"/>
  <c r="N1713" i="15"/>
  <c r="M1713" i="15"/>
  <c r="Q1713" i="15"/>
  <c r="X1713" i="15" s="1"/>
  <c r="AA1712" i="15"/>
  <c r="Z1712" i="15"/>
  <c r="U1712" i="15"/>
  <c r="V1712" i="15"/>
  <c r="S1712" i="15"/>
  <c r="N1712" i="15"/>
  <c r="M1712" i="15"/>
  <c r="Q1712" i="15"/>
  <c r="AA1711" i="15"/>
  <c r="Z1711" i="15"/>
  <c r="AC1711" i="15" s="1"/>
  <c r="V1711" i="15"/>
  <c r="S1711" i="15"/>
  <c r="N1711" i="15"/>
  <c r="M1711" i="15"/>
  <c r="Q1711" i="15"/>
  <c r="W1711" i="15" s="1"/>
  <c r="AA1710" i="15"/>
  <c r="Z1710" i="15"/>
  <c r="V1710" i="15"/>
  <c r="S1710" i="15"/>
  <c r="N1710" i="15"/>
  <c r="M1710" i="15"/>
  <c r="Q1710" i="15"/>
  <c r="X1710" i="15" s="1"/>
  <c r="AA1709" i="15"/>
  <c r="Z1709" i="15"/>
  <c r="AC1709" i="15" s="1"/>
  <c r="U1709" i="15"/>
  <c r="V1709" i="15"/>
  <c r="S1709" i="15"/>
  <c r="N1709" i="15"/>
  <c r="M1709" i="15"/>
  <c r="AD1709" i="15" s="1"/>
  <c r="Q1709" i="15"/>
  <c r="X1709" i="15" s="1"/>
  <c r="AA1708" i="15"/>
  <c r="Z1708" i="15"/>
  <c r="U1708" i="15"/>
  <c r="S1708" i="15"/>
  <c r="N1708" i="15"/>
  <c r="M1708" i="15"/>
  <c r="Q1708" i="15"/>
  <c r="X1708" i="15" s="1"/>
  <c r="AA1707" i="15"/>
  <c r="Z1707" i="15"/>
  <c r="AC1707" i="15" s="1"/>
  <c r="V1707" i="15"/>
  <c r="S1707" i="15"/>
  <c r="N1707" i="15"/>
  <c r="M1707" i="15"/>
  <c r="Q1707" i="15"/>
  <c r="AA1706" i="15"/>
  <c r="Z1706" i="15"/>
  <c r="AC1706" i="15" s="1"/>
  <c r="U1706" i="15"/>
  <c r="S1706" i="15"/>
  <c r="N1706" i="15"/>
  <c r="M1706" i="15"/>
  <c r="Q1706" i="15"/>
  <c r="W1706" i="15" s="1"/>
  <c r="AA1705" i="15"/>
  <c r="Z1705" i="15"/>
  <c r="AC1705" i="15" s="1"/>
  <c r="U1705" i="15"/>
  <c r="V1705" i="15"/>
  <c r="S1705" i="15"/>
  <c r="N1705" i="15"/>
  <c r="M1705" i="15"/>
  <c r="Q1705" i="15"/>
  <c r="AA1704" i="15"/>
  <c r="Z1704" i="15"/>
  <c r="AC1704" i="15" s="1"/>
  <c r="U1704" i="15"/>
  <c r="S1704" i="15"/>
  <c r="N1704" i="15"/>
  <c r="M1704" i="15"/>
  <c r="Q1704" i="15"/>
  <c r="AA1703" i="15"/>
  <c r="Z1703" i="15"/>
  <c r="U1703" i="15"/>
  <c r="S1703" i="15"/>
  <c r="N1703" i="15"/>
  <c r="M1703" i="15"/>
  <c r="Q1703" i="15"/>
  <c r="W1703" i="15" s="1"/>
  <c r="AA1702" i="15"/>
  <c r="Z1702" i="15"/>
  <c r="U1702" i="15"/>
  <c r="S1702" i="15"/>
  <c r="N1702" i="15"/>
  <c r="M1702" i="15"/>
  <c r="Q1702" i="15"/>
  <c r="AA1701" i="15"/>
  <c r="Z1701" i="15"/>
  <c r="AC1701" i="15" s="1"/>
  <c r="U1701" i="15"/>
  <c r="S1701" i="15"/>
  <c r="N1701" i="15"/>
  <c r="M1701" i="15"/>
  <c r="Q1701" i="15"/>
  <c r="AA1700" i="15"/>
  <c r="Z1700" i="15"/>
  <c r="U1700" i="15"/>
  <c r="S1700" i="15"/>
  <c r="N1700" i="15"/>
  <c r="M1700" i="15"/>
  <c r="Q1700" i="15"/>
  <c r="AA1699" i="15"/>
  <c r="Z1699" i="15"/>
  <c r="U1699" i="15"/>
  <c r="S1699" i="15"/>
  <c r="N1699" i="15"/>
  <c r="M1699" i="15"/>
  <c r="Q1699" i="15"/>
  <c r="W1699" i="15" s="1"/>
  <c r="AA1698" i="15"/>
  <c r="Z1698" i="15"/>
  <c r="AC1698" i="15" s="1"/>
  <c r="U1698" i="15"/>
  <c r="S1698" i="15"/>
  <c r="N1698" i="15"/>
  <c r="M1698" i="15"/>
  <c r="Q1698" i="15"/>
  <c r="AA1697" i="15"/>
  <c r="Z1697" i="15"/>
  <c r="AC1697" i="15" s="1"/>
  <c r="U1697" i="15"/>
  <c r="S1697" i="15"/>
  <c r="N1697" i="15"/>
  <c r="M1697" i="15"/>
  <c r="Q1697" i="15"/>
  <c r="AA1696" i="15"/>
  <c r="Z1696" i="15"/>
  <c r="AC1696" i="15" s="1"/>
  <c r="U1696" i="15"/>
  <c r="S1696" i="15"/>
  <c r="N1696" i="15"/>
  <c r="M1696" i="15"/>
  <c r="Q1696" i="15"/>
  <c r="X1696" i="15" s="1"/>
  <c r="AA1695" i="15"/>
  <c r="Z1695" i="15"/>
  <c r="U1695" i="15"/>
  <c r="S1695" i="15"/>
  <c r="N1695" i="15"/>
  <c r="M1695" i="15"/>
  <c r="Q1695" i="15"/>
  <c r="X1695" i="15" s="1"/>
  <c r="AA1694" i="15"/>
  <c r="Z1694" i="15"/>
  <c r="AC1694" i="15" s="1"/>
  <c r="U1694" i="15"/>
  <c r="S1694" i="15"/>
  <c r="N1694" i="15"/>
  <c r="M1694" i="15"/>
  <c r="Q1694" i="15"/>
  <c r="AA1693" i="15"/>
  <c r="Z1693" i="15"/>
  <c r="U1693" i="15"/>
  <c r="S1693" i="15"/>
  <c r="N1693" i="15"/>
  <c r="M1693" i="15"/>
  <c r="Q1693" i="15"/>
  <c r="X1693" i="15" s="1"/>
  <c r="AA1692" i="15"/>
  <c r="Z1692" i="15"/>
  <c r="U1692" i="15"/>
  <c r="S1692" i="15"/>
  <c r="N1692" i="15"/>
  <c r="M1692" i="15"/>
  <c r="Q1692" i="15"/>
  <c r="AA1691" i="15"/>
  <c r="Z1691" i="15"/>
  <c r="AC1691" i="15" s="1"/>
  <c r="U1691" i="15"/>
  <c r="V1691" i="15"/>
  <c r="S1691" i="15"/>
  <c r="N1691" i="15"/>
  <c r="M1691" i="15"/>
  <c r="Q1691" i="15"/>
  <c r="AA1690" i="15"/>
  <c r="Z1690" i="15"/>
  <c r="U1690" i="15"/>
  <c r="S1690" i="15"/>
  <c r="N1690" i="15"/>
  <c r="M1690" i="15"/>
  <c r="Q1690" i="15"/>
  <c r="AA1689" i="15"/>
  <c r="Z1689" i="15"/>
  <c r="U1689" i="15"/>
  <c r="S1689" i="15"/>
  <c r="N1689" i="15"/>
  <c r="M1689" i="15"/>
  <c r="Q1689" i="15"/>
  <c r="AA1688" i="15"/>
  <c r="Z1688" i="15"/>
  <c r="U1688" i="15"/>
  <c r="S1688" i="15"/>
  <c r="N1688" i="15"/>
  <c r="M1688" i="15"/>
  <c r="Q1688" i="15"/>
  <c r="AA1687" i="15"/>
  <c r="Z1687" i="15"/>
  <c r="AC1687" i="15" s="1"/>
  <c r="V1687" i="15"/>
  <c r="S1687" i="15"/>
  <c r="N1687" i="15"/>
  <c r="M1687" i="15"/>
  <c r="Q1687" i="15"/>
  <c r="AA1686" i="15"/>
  <c r="Z1686" i="15"/>
  <c r="U1686" i="15"/>
  <c r="S1686" i="15"/>
  <c r="N1686" i="15"/>
  <c r="M1686" i="15"/>
  <c r="Q1686" i="15"/>
  <c r="W1686" i="15" s="1"/>
  <c r="AA1685" i="15"/>
  <c r="Z1685" i="15"/>
  <c r="AC1685" i="15" s="1"/>
  <c r="U1685" i="15"/>
  <c r="V1685" i="15"/>
  <c r="S1685" i="15"/>
  <c r="N1685" i="15"/>
  <c r="M1685" i="15"/>
  <c r="Q1685" i="15"/>
  <c r="AA1684" i="15"/>
  <c r="Z1684" i="15"/>
  <c r="U1684" i="15"/>
  <c r="V1684" i="15"/>
  <c r="S1684" i="15"/>
  <c r="N1684" i="15"/>
  <c r="M1684" i="15"/>
  <c r="Q1684" i="15"/>
  <c r="X1684" i="15" s="1"/>
  <c r="AA1683" i="15"/>
  <c r="Z1683" i="15"/>
  <c r="AC1683" i="15" s="1"/>
  <c r="U1683" i="15"/>
  <c r="S1683" i="15"/>
  <c r="N1683" i="15"/>
  <c r="M1683" i="15"/>
  <c r="Q1683" i="15"/>
  <c r="AA1682" i="15"/>
  <c r="Z1682" i="15"/>
  <c r="AC1682" i="15" s="1"/>
  <c r="U1682" i="15"/>
  <c r="S1682" i="15"/>
  <c r="N1682" i="15"/>
  <c r="M1682" i="15"/>
  <c r="Q1682" i="15"/>
  <c r="X1682" i="15" s="1"/>
  <c r="AA1681" i="15"/>
  <c r="Z1681" i="15"/>
  <c r="AC1681" i="15" s="1"/>
  <c r="U1681" i="15"/>
  <c r="V1681" i="15"/>
  <c r="S1681" i="15"/>
  <c r="N1681" i="15"/>
  <c r="M1681" i="15"/>
  <c r="Q1681" i="15"/>
  <c r="X1681" i="15" s="1"/>
  <c r="AA1680" i="15"/>
  <c r="Z1680" i="15"/>
  <c r="U1680" i="15"/>
  <c r="S1680" i="15"/>
  <c r="N1680" i="15"/>
  <c r="M1680" i="15"/>
  <c r="Q1680" i="15"/>
  <c r="AA1679" i="15"/>
  <c r="Z1679" i="15"/>
  <c r="U1679" i="15"/>
  <c r="S1679" i="15"/>
  <c r="N1679" i="15"/>
  <c r="M1679" i="15"/>
  <c r="Q1679" i="15"/>
  <c r="AA1678" i="15"/>
  <c r="Z1678" i="15"/>
  <c r="U1678" i="15"/>
  <c r="S1678" i="15"/>
  <c r="N1678" i="15"/>
  <c r="M1678" i="15"/>
  <c r="Q1678" i="15"/>
  <c r="W1678" i="15" s="1"/>
  <c r="AA1677" i="15"/>
  <c r="Z1677" i="15"/>
  <c r="U1677" i="15"/>
  <c r="S1677" i="15"/>
  <c r="N1677" i="15"/>
  <c r="M1677" i="15"/>
  <c r="Q1677" i="15"/>
  <c r="W1677" i="15" s="1"/>
  <c r="AA1676" i="15"/>
  <c r="Z1676" i="15"/>
  <c r="AC1676" i="15" s="1"/>
  <c r="U1676" i="15"/>
  <c r="S1676" i="15"/>
  <c r="N1676" i="15"/>
  <c r="M1676" i="15"/>
  <c r="Q1676" i="15"/>
  <c r="AA1675" i="15"/>
  <c r="Z1675" i="15"/>
  <c r="U1675" i="15"/>
  <c r="S1675" i="15"/>
  <c r="N1675" i="15"/>
  <c r="M1675" i="15"/>
  <c r="Q1675" i="15"/>
  <c r="AA1674" i="15"/>
  <c r="Z1674" i="15"/>
  <c r="AC1674" i="15" s="1"/>
  <c r="U1674" i="15"/>
  <c r="S1674" i="15"/>
  <c r="N1674" i="15"/>
  <c r="M1674" i="15"/>
  <c r="Q1674" i="15"/>
  <c r="W1674" i="15" s="1"/>
  <c r="AA1673" i="15"/>
  <c r="Z1673" i="15"/>
  <c r="U1673" i="15"/>
  <c r="S1673" i="15"/>
  <c r="N1673" i="15"/>
  <c r="M1673" i="15"/>
  <c r="Q1673" i="15"/>
  <c r="AA1672" i="15"/>
  <c r="Z1672" i="15"/>
  <c r="U1672" i="15"/>
  <c r="S1672" i="15"/>
  <c r="N1672" i="15"/>
  <c r="M1672" i="15"/>
  <c r="Q1672" i="15"/>
  <c r="AA1671" i="15"/>
  <c r="Z1671" i="15"/>
  <c r="AC1671" i="15" s="1"/>
  <c r="U1671" i="15"/>
  <c r="S1671" i="15"/>
  <c r="N1671" i="15"/>
  <c r="M1671" i="15"/>
  <c r="Q1671" i="15"/>
  <c r="AA1670" i="15"/>
  <c r="Z1670" i="15"/>
  <c r="AC1670" i="15" s="1"/>
  <c r="U1670" i="15"/>
  <c r="S1670" i="15"/>
  <c r="N1670" i="15"/>
  <c r="M1670" i="15"/>
  <c r="Q1670" i="15"/>
  <c r="X1670" i="15" s="1"/>
  <c r="AA1669" i="15"/>
  <c r="Z1669" i="15"/>
  <c r="U1669" i="15"/>
  <c r="V1669" i="15"/>
  <c r="S1669" i="15"/>
  <c r="N1669" i="15"/>
  <c r="M1669" i="15"/>
  <c r="Q1669" i="15"/>
  <c r="AA1668" i="15"/>
  <c r="Z1668" i="15"/>
  <c r="AC1668" i="15" s="1"/>
  <c r="U1668" i="15"/>
  <c r="S1668" i="15"/>
  <c r="N1668" i="15"/>
  <c r="M1668" i="15"/>
  <c r="Q1668" i="15"/>
  <c r="X1668" i="15" s="1"/>
  <c r="AA1667" i="15"/>
  <c r="Z1667" i="15"/>
  <c r="AC1667" i="15" s="1"/>
  <c r="U1667" i="15"/>
  <c r="S1667" i="15"/>
  <c r="N1667" i="15"/>
  <c r="M1667" i="15"/>
  <c r="Q1667" i="15"/>
  <c r="AA1666" i="15"/>
  <c r="Z1666" i="15"/>
  <c r="AC1666" i="15" s="1"/>
  <c r="U1666" i="15"/>
  <c r="S1666" i="15"/>
  <c r="N1666" i="15"/>
  <c r="M1666" i="15"/>
  <c r="Q1666" i="15"/>
  <c r="AA1665" i="15"/>
  <c r="Z1665" i="15"/>
  <c r="AC1665" i="15" s="1"/>
  <c r="U1665" i="15"/>
  <c r="V1665" i="15"/>
  <c r="S1665" i="15"/>
  <c r="N1665" i="15"/>
  <c r="M1665" i="15"/>
  <c r="Q1665" i="15"/>
  <c r="AA1664" i="15"/>
  <c r="Z1664" i="15"/>
  <c r="U1664" i="15"/>
  <c r="S1664" i="15"/>
  <c r="N1664" i="15"/>
  <c r="M1664" i="15"/>
  <c r="Q1664" i="15"/>
  <c r="X1664" i="15" s="1"/>
  <c r="AA1663" i="15"/>
  <c r="Z1663" i="15"/>
  <c r="U1663" i="15"/>
  <c r="S1663" i="15"/>
  <c r="N1663" i="15"/>
  <c r="M1663" i="15"/>
  <c r="Q1663" i="15"/>
  <c r="AA1662" i="15"/>
  <c r="Z1662" i="15"/>
  <c r="AC1662" i="15" s="1"/>
  <c r="U1662" i="15"/>
  <c r="S1662" i="15"/>
  <c r="N1662" i="15"/>
  <c r="M1662" i="15"/>
  <c r="Q1662" i="15"/>
  <c r="AA1661" i="15"/>
  <c r="Z1661" i="15"/>
  <c r="AC1661" i="15" s="1"/>
  <c r="U1661" i="15"/>
  <c r="S1661" i="15"/>
  <c r="N1661" i="15"/>
  <c r="M1661" i="15"/>
  <c r="Q1661" i="15"/>
  <c r="W1661" i="15" s="1"/>
  <c r="AA1660" i="15"/>
  <c r="Z1660" i="15"/>
  <c r="U1660" i="15"/>
  <c r="S1660" i="15"/>
  <c r="N1660" i="15"/>
  <c r="M1660" i="15"/>
  <c r="Q1660" i="15"/>
  <c r="AA1659" i="15"/>
  <c r="Z1659" i="15"/>
  <c r="U1659" i="15"/>
  <c r="S1659" i="15"/>
  <c r="N1659" i="15"/>
  <c r="M1659" i="15"/>
  <c r="Q1659" i="15"/>
  <c r="AA1658" i="15"/>
  <c r="Z1658" i="15"/>
  <c r="V1658" i="15"/>
  <c r="S1658" i="15"/>
  <c r="N1658" i="15"/>
  <c r="M1658" i="15"/>
  <c r="Q1658" i="15"/>
  <c r="X1658" i="15" s="1"/>
  <c r="AA1657" i="15"/>
  <c r="Z1657" i="15"/>
  <c r="AC1657" i="15" s="1"/>
  <c r="U1657" i="15"/>
  <c r="S1657" i="15"/>
  <c r="N1657" i="15"/>
  <c r="M1657" i="15"/>
  <c r="Q1657" i="15"/>
  <c r="AA1656" i="15"/>
  <c r="Z1656" i="15"/>
  <c r="U1656" i="15"/>
  <c r="S1656" i="15"/>
  <c r="N1656" i="15"/>
  <c r="M1656" i="15"/>
  <c r="Q1656" i="15"/>
  <c r="W1656" i="15" s="1"/>
  <c r="AA1655" i="15"/>
  <c r="Z1655" i="15"/>
  <c r="U1655" i="15"/>
  <c r="S1655" i="15"/>
  <c r="N1655" i="15"/>
  <c r="M1655" i="15"/>
  <c r="Q1655" i="15"/>
  <c r="AA1654" i="15"/>
  <c r="AD1654" i="15" s="1"/>
  <c r="Z1654" i="15"/>
  <c r="R1654" i="15" s="1"/>
  <c r="U1654" i="15"/>
  <c r="S1654" i="15"/>
  <c r="N1654" i="15"/>
  <c r="Q1654" i="15"/>
  <c r="AA1653" i="15"/>
  <c r="Z1653" i="15"/>
  <c r="U1653" i="15"/>
  <c r="V1653" i="15"/>
  <c r="S1653" i="15"/>
  <c r="N1653" i="15"/>
  <c r="M1653" i="15"/>
  <c r="Q1653" i="15"/>
  <c r="AA1652" i="15"/>
  <c r="Z1652" i="15"/>
  <c r="U1652" i="15"/>
  <c r="S1652" i="15"/>
  <c r="N1652" i="15"/>
  <c r="M1652" i="15"/>
  <c r="Q1652" i="15"/>
  <c r="W1652" i="15" s="1"/>
  <c r="AA1651" i="15"/>
  <c r="Z1651" i="15"/>
  <c r="U1651" i="15"/>
  <c r="S1651" i="15"/>
  <c r="N1651" i="15"/>
  <c r="M1651" i="15"/>
  <c r="Q1651" i="15"/>
  <c r="AA1650" i="15"/>
  <c r="Z1650" i="15"/>
  <c r="AC1650" i="15" s="1"/>
  <c r="V1650" i="15"/>
  <c r="S1650" i="15"/>
  <c r="N1650" i="15"/>
  <c r="M1650" i="15"/>
  <c r="Q1650" i="15"/>
  <c r="AA1649" i="15"/>
  <c r="Z1649" i="15"/>
  <c r="U1649" i="15"/>
  <c r="S1649" i="15"/>
  <c r="N1649" i="15"/>
  <c r="M1649" i="15"/>
  <c r="Q1649" i="15"/>
  <c r="X1649" i="15" s="1"/>
  <c r="AA1648" i="15"/>
  <c r="Z1648" i="15"/>
  <c r="U1648" i="15"/>
  <c r="V1648" i="15"/>
  <c r="S1648" i="15"/>
  <c r="N1648" i="15"/>
  <c r="M1648" i="15"/>
  <c r="Q1648" i="15"/>
  <c r="AA1647" i="15"/>
  <c r="Z1647" i="15"/>
  <c r="U1647" i="15"/>
  <c r="S1647" i="15"/>
  <c r="N1647" i="15"/>
  <c r="M1647" i="15"/>
  <c r="Q1647" i="15"/>
  <c r="X1647" i="15" s="1"/>
  <c r="AA1646" i="15"/>
  <c r="Z1646" i="15"/>
  <c r="AC1646" i="15" s="1"/>
  <c r="U1646" i="15"/>
  <c r="S1646" i="15"/>
  <c r="N1646" i="15"/>
  <c r="M1646" i="15"/>
  <c r="Q1646" i="15"/>
  <c r="W1646" i="15" s="1"/>
  <c r="AA1645" i="15"/>
  <c r="Z1645" i="15"/>
  <c r="U1645" i="15"/>
  <c r="S1645" i="15"/>
  <c r="N1645" i="15"/>
  <c r="M1645" i="15"/>
  <c r="Q1645" i="15"/>
  <c r="AA1644" i="15"/>
  <c r="Z1644" i="15"/>
  <c r="U1644" i="15"/>
  <c r="S1644" i="15"/>
  <c r="N1644" i="15"/>
  <c r="M1644" i="15"/>
  <c r="Q1644" i="15"/>
  <c r="AA1643" i="15"/>
  <c r="Z1643" i="15"/>
  <c r="V1643" i="15"/>
  <c r="S1643" i="15"/>
  <c r="N1643" i="15"/>
  <c r="M1643" i="15"/>
  <c r="Q1643" i="15"/>
  <c r="X1643" i="15" s="1"/>
  <c r="AA1642" i="15"/>
  <c r="Z1642" i="15"/>
  <c r="U1642" i="15"/>
  <c r="S1642" i="15"/>
  <c r="N1642" i="15"/>
  <c r="M1642" i="15"/>
  <c r="Q1642" i="15"/>
  <c r="W1642" i="15" s="1"/>
  <c r="AA1641" i="15"/>
  <c r="Z1641" i="15"/>
  <c r="U1641" i="15"/>
  <c r="S1641" i="15"/>
  <c r="N1641" i="15"/>
  <c r="M1641" i="15"/>
  <c r="Q1641" i="15"/>
  <c r="AA1640" i="15"/>
  <c r="Z1640" i="15"/>
  <c r="U1640" i="15"/>
  <c r="S1640" i="15"/>
  <c r="N1640" i="15"/>
  <c r="M1640" i="15"/>
  <c r="Q1640" i="15"/>
  <c r="AA1639" i="15"/>
  <c r="Z1639" i="15"/>
  <c r="U1639" i="15"/>
  <c r="S1639" i="15"/>
  <c r="N1639" i="15"/>
  <c r="M1639" i="15"/>
  <c r="Q1639" i="15"/>
  <c r="W1639" i="15" s="1"/>
  <c r="AA1638" i="15"/>
  <c r="Z1638" i="15"/>
  <c r="AC1638" i="15" s="1"/>
  <c r="U1638" i="15"/>
  <c r="S1638" i="15"/>
  <c r="N1638" i="15"/>
  <c r="M1638" i="15"/>
  <c r="Q1638" i="15"/>
  <c r="X1638" i="15" s="1"/>
  <c r="AA1637" i="15"/>
  <c r="Z1637" i="15"/>
  <c r="AC1637" i="15" s="1"/>
  <c r="U1637" i="15"/>
  <c r="S1637" i="15"/>
  <c r="N1637" i="15"/>
  <c r="M1637" i="15"/>
  <c r="Q1637" i="15"/>
  <c r="AA1636" i="15"/>
  <c r="Z1636" i="15"/>
  <c r="AC1636" i="15" s="1"/>
  <c r="V1636" i="15"/>
  <c r="S1636" i="15"/>
  <c r="N1636" i="15"/>
  <c r="M1636" i="15"/>
  <c r="Q1636" i="15"/>
  <c r="AA1635" i="15"/>
  <c r="Z1635" i="15"/>
  <c r="U1635" i="15"/>
  <c r="V1635" i="15"/>
  <c r="S1635" i="15"/>
  <c r="N1635" i="15"/>
  <c r="M1635" i="15"/>
  <c r="Q1635" i="15"/>
  <c r="AA1634" i="15"/>
  <c r="Z1634" i="15"/>
  <c r="AC1634" i="15" s="1"/>
  <c r="U1634" i="15"/>
  <c r="S1634" i="15"/>
  <c r="N1634" i="15"/>
  <c r="M1634" i="15"/>
  <c r="Q1634" i="15"/>
  <c r="W1634" i="15" s="1"/>
  <c r="AA1633" i="15"/>
  <c r="Z1633" i="15"/>
  <c r="U1633" i="15"/>
  <c r="S1633" i="15"/>
  <c r="N1633" i="15"/>
  <c r="M1633" i="15"/>
  <c r="Q1633" i="15"/>
  <c r="AA1632" i="15"/>
  <c r="Z1632" i="15"/>
  <c r="V1632" i="15"/>
  <c r="S1632" i="15"/>
  <c r="N1632" i="15"/>
  <c r="M1632" i="15"/>
  <c r="Q1632" i="15"/>
  <c r="AA1631" i="15"/>
  <c r="Z1631" i="15"/>
  <c r="AC1631" i="15" s="1"/>
  <c r="U1631" i="15"/>
  <c r="V1631" i="15"/>
  <c r="S1631" i="15"/>
  <c r="N1631" i="15"/>
  <c r="M1631" i="15"/>
  <c r="Q1631" i="15"/>
  <c r="AA1630" i="15"/>
  <c r="Z1630" i="15"/>
  <c r="AC1630" i="15" s="1"/>
  <c r="V1630" i="15"/>
  <c r="S1630" i="15"/>
  <c r="N1630" i="15"/>
  <c r="M1630" i="15"/>
  <c r="Q1630" i="15"/>
  <c r="W1630" i="15" s="1"/>
  <c r="AA1629" i="15"/>
  <c r="Z1629" i="15"/>
  <c r="U1629" i="15"/>
  <c r="V1629" i="15"/>
  <c r="S1629" i="15"/>
  <c r="N1629" i="15"/>
  <c r="M1629" i="15"/>
  <c r="Q1629" i="15"/>
  <c r="AA1628" i="15"/>
  <c r="Z1628" i="15"/>
  <c r="U1628" i="15"/>
  <c r="S1628" i="15"/>
  <c r="N1628" i="15"/>
  <c r="M1628" i="15"/>
  <c r="AA1627" i="15"/>
  <c r="Z1627" i="15"/>
  <c r="V1627" i="15"/>
  <c r="S1627" i="15"/>
  <c r="N1627" i="15"/>
  <c r="M1627" i="15"/>
  <c r="Q1627" i="15"/>
  <c r="AA1626" i="15"/>
  <c r="Z1626" i="15"/>
  <c r="AC1626" i="15" s="1"/>
  <c r="U1626" i="15"/>
  <c r="S1626" i="15"/>
  <c r="N1626" i="15"/>
  <c r="M1626" i="15"/>
  <c r="Q1626" i="15"/>
  <c r="W1626" i="15" s="1"/>
  <c r="AA1625" i="15"/>
  <c r="Z1625" i="15"/>
  <c r="AC1625" i="15" s="1"/>
  <c r="U1625" i="15"/>
  <c r="V1625" i="15"/>
  <c r="S1625" i="15"/>
  <c r="N1625" i="15"/>
  <c r="M1625" i="15"/>
  <c r="Q1625" i="15"/>
  <c r="AA1624" i="15"/>
  <c r="Z1624" i="15"/>
  <c r="U1624" i="15"/>
  <c r="V1624" i="15"/>
  <c r="S1624" i="15"/>
  <c r="N1624" i="15"/>
  <c r="M1624" i="15"/>
  <c r="Q1624" i="15"/>
  <c r="AA1623" i="15"/>
  <c r="Z1623" i="15"/>
  <c r="U1623" i="15"/>
  <c r="V1623" i="15"/>
  <c r="S1623" i="15"/>
  <c r="N1623" i="15"/>
  <c r="M1623" i="15"/>
  <c r="Q1623" i="15"/>
  <c r="AA1622" i="15"/>
  <c r="Z1622" i="15"/>
  <c r="AC1622" i="15" s="1"/>
  <c r="V1622" i="15"/>
  <c r="S1622" i="15"/>
  <c r="N1622" i="15"/>
  <c r="M1622" i="15"/>
  <c r="Q1622" i="15"/>
  <c r="AA1621" i="15"/>
  <c r="Z1621" i="15"/>
  <c r="AC1621" i="15" s="1"/>
  <c r="U1621" i="15"/>
  <c r="V1621" i="15"/>
  <c r="S1621" i="15"/>
  <c r="N1621" i="15"/>
  <c r="M1621" i="15"/>
  <c r="Q1621" i="15"/>
  <c r="X1621" i="15" s="1"/>
  <c r="AA1620" i="15"/>
  <c r="Z1620" i="15"/>
  <c r="V1620" i="15"/>
  <c r="S1620" i="15"/>
  <c r="N1620" i="15"/>
  <c r="M1620" i="15"/>
  <c r="Q1620" i="15"/>
  <c r="AA1619" i="15"/>
  <c r="Z1619" i="15"/>
  <c r="U1619" i="15"/>
  <c r="V1619" i="15"/>
  <c r="S1619" i="15"/>
  <c r="N1619" i="15"/>
  <c r="M1619" i="15"/>
  <c r="Q1619" i="15"/>
  <c r="AA1618" i="15"/>
  <c r="Z1618" i="15"/>
  <c r="AC1618" i="15" s="1"/>
  <c r="U1618" i="15"/>
  <c r="S1618" i="15"/>
  <c r="N1618" i="15"/>
  <c r="M1618" i="15"/>
  <c r="Q1618" i="15"/>
  <c r="X1618" i="15" s="1"/>
  <c r="AA1617" i="15"/>
  <c r="Z1617" i="15"/>
  <c r="AC1617" i="15" s="1"/>
  <c r="U1617" i="15"/>
  <c r="V1617" i="15"/>
  <c r="S1617" i="15"/>
  <c r="N1617" i="15"/>
  <c r="M1617" i="15"/>
  <c r="Q1617" i="15"/>
  <c r="AA1616" i="15"/>
  <c r="Z1616" i="15"/>
  <c r="AC1616" i="15" s="1"/>
  <c r="U1616" i="15"/>
  <c r="S1616" i="15"/>
  <c r="N1616" i="15"/>
  <c r="M1616" i="15"/>
  <c r="Q1616" i="15"/>
  <c r="AA1615" i="15"/>
  <c r="Z1615" i="15"/>
  <c r="U1615" i="15"/>
  <c r="S1615" i="15"/>
  <c r="N1615" i="15"/>
  <c r="M1615" i="15"/>
  <c r="Q1615" i="15"/>
  <c r="W1615" i="15" s="1"/>
  <c r="AA1614" i="15"/>
  <c r="Z1614" i="15"/>
  <c r="U1614" i="15"/>
  <c r="S1614" i="15"/>
  <c r="N1614" i="15"/>
  <c r="M1614" i="15"/>
  <c r="Q1614" i="15"/>
  <c r="AA1613" i="15"/>
  <c r="Z1613" i="15"/>
  <c r="U1613" i="15"/>
  <c r="S1613" i="15"/>
  <c r="N1613" i="15"/>
  <c r="M1613" i="15"/>
  <c r="Q1613" i="15"/>
  <c r="AA1612" i="15"/>
  <c r="Z1612" i="15"/>
  <c r="AC1612" i="15" s="1"/>
  <c r="U1612" i="15"/>
  <c r="S1612" i="15"/>
  <c r="N1612" i="15"/>
  <c r="M1612" i="15"/>
  <c r="Q1612" i="15"/>
  <c r="AA1611" i="15"/>
  <c r="Z1611" i="15"/>
  <c r="U1611" i="15"/>
  <c r="S1611" i="15"/>
  <c r="N1611" i="15"/>
  <c r="M1611" i="15"/>
  <c r="Q1611" i="15"/>
  <c r="W1611" i="15" s="1"/>
  <c r="AA1610" i="15"/>
  <c r="Z1610" i="15"/>
  <c r="U1610" i="15"/>
  <c r="S1610" i="15"/>
  <c r="N1610" i="15"/>
  <c r="M1610" i="15"/>
  <c r="Q1610" i="15"/>
  <c r="AA1609" i="15"/>
  <c r="Z1609" i="15"/>
  <c r="U1609" i="15"/>
  <c r="V1609" i="15"/>
  <c r="S1609" i="15"/>
  <c r="N1609" i="15"/>
  <c r="M1609" i="15"/>
  <c r="Q1609" i="15"/>
  <c r="X1609" i="15" s="1"/>
  <c r="AA1608" i="15"/>
  <c r="Z1608" i="15"/>
  <c r="AC1608" i="15" s="1"/>
  <c r="U1608" i="15"/>
  <c r="S1608" i="15"/>
  <c r="N1608" i="15"/>
  <c r="M1608" i="15"/>
  <c r="Q1608" i="15"/>
  <c r="AA1607" i="15"/>
  <c r="Z1607" i="15"/>
  <c r="AC1607" i="15" s="1"/>
  <c r="U1607" i="15"/>
  <c r="S1607" i="15"/>
  <c r="N1607" i="15"/>
  <c r="M1607" i="15"/>
  <c r="Q1607" i="15"/>
  <c r="AA1606" i="15"/>
  <c r="Z1606" i="15"/>
  <c r="U1606" i="15"/>
  <c r="S1606" i="15"/>
  <c r="N1606" i="15"/>
  <c r="M1606" i="15"/>
  <c r="Q1606" i="15"/>
  <c r="X1606" i="15" s="1"/>
  <c r="AA1605" i="15"/>
  <c r="Z1605" i="15"/>
  <c r="AC1605" i="15" s="1"/>
  <c r="U1605" i="15"/>
  <c r="V1605" i="15"/>
  <c r="S1605" i="15"/>
  <c r="N1605" i="15"/>
  <c r="M1605" i="15"/>
  <c r="Q1605" i="15"/>
  <c r="X1605" i="15" s="1"/>
  <c r="AA1604" i="15"/>
  <c r="Z1604" i="15"/>
  <c r="U1604" i="15"/>
  <c r="S1604" i="15"/>
  <c r="N1604" i="15"/>
  <c r="M1604" i="15"/>
  <c r="Q1604" i="15"/>
  <c r="AA1603" i="15"/>
  <c r="Z1603" i="15"/>
  <c r="U1603" i="15"/>
  <c r="V1603" i="15"/>
  <c r="S1603" i="15"/>
  <c r="N1603" i="15"/>
  <c r="M1603" i="15"/>
  <c r="Q1603" i="15"/>
  <c r="AA1602" i="15"/>
  <c r="Z1602" i="15"/>
  <c r="AC1602" i="15" s="1"/>
  <c r="U1602" i="15"/>
  <c r="S1602" i="15"/>
  <c r="N1602" i="15"/>
  <c r="M1602" i="15"/>
  <c r="Q1602" i="15"/>
  <c r="X1602" i="15" s="1"/>
  <c r="AA1601" i="15"/>
  <c r="Z1601" i="15"/>
  <c r="AC1601" i="15" s="1"/>
  <c r="U1601" i="15"/>
  <c r="V1601" i="15"/>
  <c r="S1601" i="15"/>
  <c r="N1601" i="15"/>
  <c r="M1601" i="15"/>
  <c r="Q1601" i="15"/>
  <c r="X1601" i="15" s="1"/>
  <c r="AA1600" i="15"/>
  <c r="Z1600" i="15"/>
  <c r="U1600" i="15"/>
  <c r="S1600" i="15"/>
  <c r="N1600" i="15"/>
  <c r="M1600" i="15"/>
  <c r="Q1600" i="15"/>
  <c r="AA1599" i="15"/>
  <c r="Z1599" i="15"/>
  <c r="AC1599" i="15" s="1"/>
  <c r="U1599" i="15"/>
  <c r="S1599" i="15"/>
  <c r="N1599" i="15"/>
  <c r="M1599" i="15"/>
  <c r="Q1599" i="15"/>
  <c r="AA1598" i="15"/>
  <c r="Z1598" i="15"/>
  <c r="AC1598" i="15" s="1"/>
  <c r="U1598" i="15"/>
  <c r="S1598" i="15"/>
  <c r="N1598" i="15"/>
  <c r="M1598" i="15"/>
  <c r="Q1598" i="15"/>
  <c r="X1598" i="15" s="1"/>
  <c r="AA1597" i="15"/>
  <c r="Z1597" i="15"/>
  <c r="U1597" i="15"/>
  <c r="S1597" i="15"/>
  <c r="N1597" i="15"/>
  <c r="M1597" i="15"/>
  <c r="Q1597" i="15"/>
  <c r="X1597" i="15" s="1"/>
  <c r="AA1596" i="15"/>
  <c r="Z1596" i="15"/>
  <c r="U1596" i="15"/>
  <c r="S1596" i="15"/>
  <c r="N1596" i="15"/>
  <c r="M1596" i="15"/>
  <c r="Q1596" i="15"/>
  <c r="AA1595" i="15"/>
  <c r="Z1595" i="15"/>
  <c r="U1595" i="15"/>
  <c r="S1595" i="15"/>
  <c r="N1595" i="15"/>
  <c r="M1595" i="15"/>
  <c r="Q1595" i="15"/>
  <c r="AA1594" i="15"/>
  <c r="Z1594" i="15"/>
  <c r="AC1594" i="15" s="1"/>
  <c r="U1594" i="15"/>
  <c r="S1594" i="15"/>
  <c r="N1594" i="15"/>
  <c r="M1594" i="15"/>
  <c r="Q1594" i="15"/>
  <c r="AA1593" i="15"/>
  <c r="Z1593" i="15"/>
  <c r="AC1593" i="15" s="1"/>
  <c r="U1593" i="15"/>
  <c r="S1593" i="15"/>
  <c r="N1593" i="15"/>
  <c r="M1593" i="15"/>
  <c r="Q1593" i="15"/>
  <c r="AA1592" i="15"/>
  <c r="Z1592" i="15"/>
  <c r="U1592" i="15"/>
  <c r="S1592" i="15"/>
  <c r="N1592" i="15"/>
  <c r="M1592" i="15"/>
  <c r="Q1592" i="15"/>
  <c r="AA1591" i="15"/>
  <c r="Z1591" i="15"/>
  <c r="V1591" i="15"/>
  <c r="S1591" i="15"/>
  <c r="N1591" i="15"/>
  <c r="M1591" i="15"/>
  <c r="Q1591" i="15"/>
  <c r="AA1590" i="15"/>
  <c r="Z1590" i="15"/>
  <c r="U1590" i="15"/>
  <c r="S1590" i="15"/>
  <c r="N1590" i="15"/>
  <c r="M1590" i="15"/>
  <c r="Q1590" i="15"/>
  <c r="AA1589" i="15"/>
  <c r="Z1589" i="15"/>
  <c r="AC1589" i="15" s="1"/>
  <c r="U1589" i="15"/>
  <c r="S1589" i="15"/>
  <c r="N1589" i="15"/>
  <c r="M1589" i="15"/>
  <c r="Q1589" i="15"/>
  <c r="AA1588" i="15"/>
  <c r="Z1588" i="15"/>
  <c r="AC1588" i="15" s="1"/>
  <c r="U1588" i="15"/>
  <c r="S1588" i="15"/>
  <c r="N1588" i="15"/>
  <c r="M1588" i="15"/>
  <c r="Q1588" i="15"/>
  <c r="AA1587" i="15"/>
  <c r="Z1587" i="15"/>
  <c r="U1587" i="15"/>
  <c r="S1587" i="15"/>
  <c r="N1587" i="15"/>
  <c r="M1587" i="15"/>
  <c r="Q1587" i="15"/>
  <c r="AA1586" i="15"/>
  <c r="Z1586" i="15"/>
  <c r="AC1586" i="15" s="1"/>
  <c r="U1586" i="15"/>
  <c r="S1586" i="15"/>
  <c r="N1586" i="15"/>
  <c r="M1586" i="15"/>
  <c r="Q1586" i="15"/>
  <c r="AA1585" i="15"/>
  <c r="Z1585" i="15"/>
  <c r="AC1585" i="15" s="1"/>
  <c r="U1585" i="15"/>
  <c r="S1585" i="15"/>
  <c r="N1585" i="15"/>
  <c r="M1585" i="15"/>
  <c r="Q1585" i="15"/>
  <c r="AA1584" i="15"/>
  <c r="Z1584" i="15"/>
  <c r="AC1584" i="15" s="1"/>
  <c r="U1584" i="15"/>
  <c r="V1584" i="15"/>
  <c r="S1584" i="15"/>
  <c r="N1584" i="15"/>
  <c r="M1584" i="15"/>
  <c r="Q1584" i="15"/>
  <c r="AA1583" i="15"/>
  <c r="Z1583" i="15"/>
  <c r="U1583" i="15"/>
  <c r="S1583" i="15"/>
  <c r="N1583" i="15"/>
  <c r="M1583" i="15"/>
  <c r="Q1583" i="15"/>
  <c r="AA1582" i="15"/>
  <c r="Z1582" i="15"/>
  <c r="U1582" i="15"/>
  <c r="S1582" i="15"/>
  <c r="N1582" i="15"/>
  <c r="M1582" i="15"/>
  <c r="Q1582" i="15"/>
  <c r="X1582" i="15" s="1"/>
  <c r="AA1581" i="15"/>
  <c r="Z1581" i="15"/>
  <c r="U1581" i="15"/>
  <c r="S1581" i="15"/>
  <c r="N1581" i="15"/>
  <c r="M1581" i="15"/>
  <c r="Q1581" i="15"/>
  <c r="AA1580" i="15"/>
  <c r="Z1580" i="15"/>
  <c r="V1580" i="15"/>
  <c r="S1580" i="15"/>
  <c r="N1580" i="15"/>
  <c r="M1580" i="15"/>
  <c r="Q1580" i="15"/>
  <c r="AA1579" i="15"/>
  <c r="Z1579" i="15"/>
  <c r="U1579" i="15"/>
  <c r="S1579" i="15"/>
  <c r="N1579" i="15"/>
  <c r="M1579" i="15"/>
  <c r="Q1579" i="15"/>
  <c r="AA1578" i="15"/>
  <c r="Z1578" i="15"/>
  <c r="U1578" i="15"/>
  <c r="S1578" i="15"/>
  <c r="N1578" i="15"/>
  <c r="M1578" i="15"/>
  <c r="Q1578" i="15"/>
  <c r="X1578" i="15" s="1"/>
  <c r="AA1577" i="15"/>
  <c r="Z1577" i="15"/>
  <c r="U1577" i="15"/>
  <c r="S1577" i="15"/>
  <c r="N1577" i="15"/>
  <c r="M1577" i="15"/>
  <c r="Q1577" i="15"/>
  <c r="X1577" i="15" s="1"/>
  <c r="AA1576" i="15"/>
  <c r="Z1576" i="15"/>
  <c r="AC1576" i="15" s="1"/>
  <c r="U1576" i="15"/>
  <c r="S1576" i="15"/>
  <c r="N1576" i="15"/>
  <c r="M1576" i="15"/>
  <c r="AD1576" i="15" s="1"/>
  <c r="Q1576" i="15"/>
  <c r="X1576" i="15" s="1"/>
  <c r="AA1575" i="15"/>
  <c r="Z1575" i="15"/>
  <c r="U1575" i="15"/>
  <c r="S1575" i="15"/>
  <c r="N1575" i="15"/>
  <c r="M1575" i="15"/>
  <c r="Q1575" i="15"/>
  <c r="AA1574" i="15"/>
  <c r="Z1574" i="15"/>
  <c r="AC1574" i="15" s="1"/>
  <c r="U1574" i="15"/>
  <c r="S1574" i="15"/>
  <c r="N1574" i="15"/>
  <c r="M1574" i="15"/>
  <c r="Q1574" i="15"/>
  <c r="W1574" i="15" s="1"/>
  <c r="AA1573" i="15"/>
  <c r="Z1573" i="15"/>
  <c r="AC1573" i="15" s="1"/>
  <c r="U1573" i="15"/>
  <c r="S1573" i="15"/>
  <c r="N1573" i="15"/>
  <c r="M1573" i="15"/>
  <c r="Q1573" i="15"/>
  <c r="AA1572" i="15"/>
  <c r="Z1572" i="15"/>
  <c r="U1572" i="15"/>
  <c r="S1572" i="15"/>
  <c r="N1572" i="15"/>
  <c r="M1572" i="15"/>
  <c r="Q1572" i="15"/>
  <c r="AA1571" i="15"/>
  <c r="Z1571" i="15"/>
  <c r="AC1571" i="15" s="1"/>
  <c r="U1571" i="15"/>
  <c r="S1571" i="15"/>
  <c r="N1571" i="15"/>
  <c r="M1571" i="15"/>
  <c r="Q1571" i="15"/>
  <c r="AA1570" i="15"/>
  <c r="Z1570" i="15"/>
  <c r="U1570" i="15"/>
  <c r="S1570" i="15"/>
  <c r="N1570" i="15"/>
  <c r="M1570" i="15"/>
  <c r="Q1570" i="15"/>
  <c r="AA1569" i="15"/>
  <c r="Z1569" i="15"/>
  <c r="AC1569" i="15" s="1"/>
  <c r="U1569" i="15"/>
  <c r="V1569" i="15"/>
  <c r="S1569" i="15"/>
  <c r="N1569" i="15"/>
  <c r="M1569" i="15"/>
  <c r="Q1569" i="15"/>
  <c r="X1569" i="15" s="1"/>
  <c r="AA1568" i="15"/>
  <c r="Z1568" i="15"/>
  <c r="AC1568" i="15" s="1"/>
  <c r="V1568" i="15"/>
  <c r="S1568" i="15"/>
  <c r="N1568" i="15"/>
  <c r="M1568" i="15"/>
  <c r="Q1568" i="15"/>
  <c r="AA1567" i="15"/>
  <c r="Z1567" i="15"/>
  <c r="AC1567" i="15" s="1"/>
  <c r="U1567" i="15"/>
  <c r="S1567" i="15"/>
  <c r="N1567" i="15"/>
  <c r="M1567" i="15"/>
  <c r="Q1567" i="15"/>
  <c r="AA1566" i="15"/>
  <c r="Z1566" i="15"/>
  <c r="AC1566" i="15" s="1"/>
  <c r="V1566" i="15"/>
  <c r="S1566" i="15"/>
  <c r="N1566" i="15"/>
  <c r="M1566" i="15"/>
  <c r="Q1566" i="15"/>
  <c r="X1566" i="15" s="1"/>
  <c r="AA1565" i="15"/>
  <c r="Z1565" i="15"/>
  <c r="AC1565" i="15" s="1"/>
  <c r="U1565" i="15"/>
  <c r="S1565" i="15"/>
  <c r="N1565" i="15"/>
  <c r="M1565" i="15"/>
  <c r="Q1565" i="15"/>
  <c r="X1565" i="15" s="1"/>
  <c r="AA1564" i="15"/>
  <c r="Z1564" i="15"/>
  <c r="U1564" i="15"/>
  <c r="S1564" i="15"/>
  <c r="N1564" i="15"/>
  <c r="M1564" i="15"/>
  <c r="Q1564" i="15"/>
  <c r="AA1563" i="15"/>
  <c r="Z1563" i="15"/>
  <c r="U1563" i="15"/>
  <c r="S1563" i="15"/>
  <c r="N1563" i="15"/>
  <c r="M1563" i="15"/>
  <c r="Q1563" i="15"/>
  <c r="AA1562" i="15"/>
  <c r="Z1562" i="15"/>
  <c r="U1562" i="15"/>
  <c r="S1562" i="15"/>
  <c r="N1562" i="15"/>
  <c r="M1562" i="15"/>
  <c r="Q1562" i="15"/>
  <c r="AA1561" i="15"/>
  <c r="Z1561" i="15"/>
  <c r="AC1561" i="15" s="1"/>
  <c r="U1561" i="15"/>
  <c r="V1561" i="15"/>
  <c r="S1561" i="15"/>
  <c r="N1561" i="15"/>
  <c r="M1561" i="15"/>
  <c r="Q1561" i="15"/>
  <c r="AA1560" i="15"/>
  <c r="Z1560" i="15"/>
  <c r="U1560" i="15"/>
  <c r="V1560" i="15"/>
  <c r="S1560" i="15"/>
  <c r="N1560" i="15"/>
  <c r="M1560" i="15"/>
  <c r="Q1560" i="15"/>
  <c r="AA1559" i="15"/>
  <c r="Z1559" i="15"/>
  <c r="U1559" i="15"/>
  <c r="V1559" i="15"/>
  <c r="S1559" i="15"/>
  <c r="N1559" i="15"/>
  <c r="M1559" i="15"/>
  <c r="Q1559" i="15"/>
  <c r="AA1558" i="15"/>
  <c r="Z1558" i="15"/>
  <c r="AC1558" i="15" s="1"/>
  <c r="U1558" i="15"/>
  <c r="S1558" i="15"/>
  <c r="N1558" i="15"/>
  <c r="M1558" i="15"/>
  <c r="Q1558" i="15"/>
  <c r="W1558" i="15" s="1"/>
  <c r="AA1557" i="15"/>
  <c r="Z1557" i="15"/>
  <c r="U1557" i="15"/>
  <c r="S1557" i="15"/>
  <c r="N1557" i="15"/>
  <c r="M1557" i="15"/>
  <c r="Q1557" i="15"/>
  <c r="AA1556" i="15"/>
  <c r="Z1556" i="15"/>
  <c r="U1556" i="15"/>
  <c r="S1556" i="15"/>
  <c r="N1556" i="15"/>
  <c r="M1556" i="15"/>
  <c r="Q1556" i="15"/>
  <c r="W1556" i="15" s="1"/>
  <c r="AA1555" i="15"/>
  <c r="Z1555" i="15"/>
  <c r="AC1555" i="15" s="1"/>
  <c r="U1555" i="15"/>
  <c r="S1555" i="15"/>
  <c r="N1555" i="15"/>
  <c r="M1555" i="15"/>
  <c r="Q1555" i="15"/>
  <c r="AA1554" i="15"/>
  <c r="Z1554" i="15"/>
  <c r="AC1554" i="15" s="1"/>
  <c r="V1554" i="15"/>
  <c r="S1554" i="15"/>
  <c r="N1554" i="15"/>
  <c r="M1554" i="15"/>
  <c r="Q1554" i="15"/>
  <c r="AA1553" i="15"/>
  <c r="Z1553" i="15"/>
  <c r="AC1553" i="15" s="1"/>
  <c r="U1553" i="15"/>
  <c r="V1553" i="15"/>
  <c r="S1553" i="15"/>
  <c r="N1553" i="15"/>
  <c r="M1553" i="15"/>
  <c r="Q1553" i="15"/>
  <c r="X1553" i="15" s="1"/>
  <c r="AA1552" i="15"/>
  <c r="Z1552" i="15"/>
  <c r="U1552" i="15"/>
  <c r="S1552" i="15"/>
  <c r="N1552" i="15"/>
  <c r="M1552" i="15"/>
  <c r="Q1552" i="15"/>
  <c r="AA1551" i="15"/>
  <c r="Z1551" i="15"/>
  <c r="U1551" i="15"/>
  <c r="V1551" i="15"/>
  <c r="S1551" i="15"/>
  <c r="N1551" i="15"/>
  <c r="M1551" i="15"/>
  <c r="Q1551" i="15"/>
  <c r="AA1550" i="15"/>
  <c r="Z1550" i="15"/>
  <c r="AC1550" i="15" s="1"/>
  <c r="U1550" i="15"/>
  <c r="S1550" i="15"/>
  <c r="N1550" i="15"/>
  <c r="M1550" i="15"/>
  <c r="Q1550" i="15"/>
  <c r="W1550" i="15" s="1"/>
  <c r="AA1549" i="15"/>
  <c r="Z1549" i="15"/>
  <c r="U1549" i="15"/>
  <c r="S1549" i="15"/>
  <c r="N1549" i="15"/>
  <c r="M1549" i="15"/>
  <c r="Q1549" i="15"/>
  <c r="AA1548" i="15"/>
  <c r="Z1548" i="15"/>
  <c r="U1548" i="15"/>
  <c r="S1548" i="15"/>
  <c r="N1548" i="15"/>
  <c r="M1548" i="15"/>
  <c r="Q1548" i="15"/>
  <c r="AA1547" i="15"/>
  <c r="Z1547" i="15"/>
  <c r="AC1547" i="15" s="1"/>
  <c r="U1547" i="15"/>
  <c r="S1547" i="15"/>
  <c r="N1547" i="15"/>
  <c r="M1547" i="15"/>
  <c r="Q1547" i="15"/>
  <c r="AA1546" i="15"/>
  <c r="Z1546" i="15"/>
  <c r="U1546" i="15"/>
  <c r="S1546" i="15"/>
  <c r="N1546" i="15"/>
  <c r="M1546" i="15"/>
  <c r="Q1546" i="15"/>
  <c r="X1546" i="15" s="1"/>
  <c r="AA1545" i="15"/>
  <c r="Z1545" i="15"/>
  <c r="U1545" i="15"/>
  <c r="S1545" i="15"/>
  <c r="N1545" i="15"/>
  <c r="M1545" i="15"/>
  <c r="Q1545" i="15"/>
  <c r="AA1544" i="15"/>
  <c r="Z1544" i="15"/>
  <c r="U1544" i="15"/>
  <c r="V1544" i="15"/>
  <c r="S1544" i="15"/>
  <c r="N1544" i="15"/>
  <c r="M1544" i="15"/>
  <c r="Q1544" i="15"/>
  <c r="AA1543" i="15"/>
  <c r="Z1543" i="15"/>
  <c r="AC1543" i="15" s="1"/>
  <c r="U1543" i="15"/>
  <c r="S1543" i="15"/>
  <c r="N1543" i="15"/>
  <c r="M1543" i="15"/>
  <c r="Q1543" i="15"/>
  <c r="AA1542" i="15"/>
  <c r="Z1542" i="15"/>
  <c r="AC1542" i="15" s="1"/>
  <c r="U1542" i="15"/>
  <c r="S1542" i="15"/>
  <c r="N1542" i="15"/>
  <c r="M1542" i="15"/>
  <c r="Q1542" i="15"/>
  <c r="AA1541" i="15"/>
  <c r="Z1541" i="15"/>
  <c r="U1541" i="15"/>
  <c r="S1541" i="15"/>
  <c r="N1541" i="15"/>
  <c r="M1541" i="15"/>
  <c r="Q1541" i="15"/>
  <c r="AA1540" i="15"/>
  <c r="Z1540" i="15"/>
  <c r="AC1540" i="15" s="1"/>
  <c r="U1540" i="15"/>
  <c r="S1540" i="15"/>
  <c r="N1540" i="15"/>
  <c r="M1540" i="15"/>
  <c r="Q1540" i="15"/>
  <c r="AA1539" i="15"/>
  <c r="Z1539" i="15"/>
  <c r="AC1539" i="15" s="1"/>
  <c r="V1539" i="15"/>
  <c r="S1539" i="15"/>
  <c r="N1539" i="15"/>
  <c r="M1539" i="15"/>
  <c r="Q1539" i="15"/>
  <c r="AA1538" i="15"/>
  <c r="Z1538" i="15"/>
  <c r="U1538" i="15"/>
  <c r="S1538" i="15"/>
  <c r="N1538" i="15"/>
  <c r="M1538" i="15"/>
  <c r="Q1538" i="15"/>
  <c r="AA1537" i="15"/>
  <c r="Z1537" i="15"/>
  <c r="U1537" i="15"/>
  <c r="S1537" i="15"/>
  <c r="N1537" i="15"/>
  <c r="M1537" i="15"/>
  <c r="Q1537" i="15"/>
  <c r="AA1536" i="15"/>
  <c r="Z1536" i="15"/>
  <c r="AC1536" i="15" s="1"/>
  <c r="U1536" i="15"/>
  <c r="S1536" i="15"/>
  <c r="N1536" i="15"/>
  <c r="M1536" i="15"/>
  <c r="Q1536" i="15"/>
  <c r="AA1535" i="15"/>
  <c r="Z1535" i="15"/>
  <c r="U1535" i="15"/>
  <c r="S1535" i="15"/>
  <c r="N1535" i="15"/>
  <c r="M1535" i="15"/>
  <c r="Q1535" i="15"/>
  <c r="AA1534" i="15"/>
  <c r="Z1534" i="15"/>
  <c r="AC1534" i="15" s="1"/>
  <c r="U1534" i="15"/>
  <c r="S1534" i="15"/>
  <c r="N1534" i="15"/>
  <c r="M1534" i="15"/>
  <c r="Q1534" i="15"/>
  <c r="AA1533" i="15"/>
  <c r="Z1533" i="15"/>
  <c r="AC1533" i="15" s="1"/>
  <c r="U1533" i="15"/>
  <c r="S1533" i="15"/>
  <c r="N1533" i="15"/>
  <c r="M1533" i="15"/>
  <c r="Q1533" i="15"/>
  <c r="AA1532" i="15"/>
  <c r="Z1532" i="15"/>
  <c r="U1532" i="15"/>
  <c r="S1532" i="15"/>
  <c r="N1532" i="15"/>
  <c r="M1532" i="15"/>
  <c r="Q1532" i="15"/>
  <c r="AA1531" i="15"/>
  <c r="Z1531" i="15"/>
  <c r="U1531" i="15"/>
  <c r="S1531" i="15"/>
  <c r="N1531" i="15"/>
  <c r="M1531" i="15"/>
  <c r="Q1531" i="15"/>
  <c r="AA1530" i="15"/>
  <c r="Z1530" i="15"/>
  <c r="AC1530" i="15" s="1"/>
  <c r="U1530" i="15"/>
  <c r="S1530" i="15"/>
  <c r="N1530" i="15"/>
  <c r="M1530" i="15"/>
  <c r="Q1530" i="15"/>
  <c r="W1530" i="15" s="1"/>
  <c r="AA1529" i="15"/>
  <c r="Z1529" i="15"/>
  <c r="U1529" i="15"/>
  <c r="S1529" i="15"/>
  <c r="N1529" i="15"/>
  <c r="M1529" i="15"/>
  <c r="Q1529" i="15"/>
  <c r="AA1528" i="15"/>
  <c r="Z1528" i="15"/>
  <c r="AC1528" i="15" s="1"/>
  <c r="U1528" i="15"/>
  <c r="S1528" i="15"/>
  <c r="N1528" i="15"/>
  <c r="M1528" i="15"/>
  <c r="Q1528" i="15"/>
  <c r="AA1527" i="15"/>
  <c r="Z1527" i="15"/>
  <c r="U1527" i="15"/>
  <c r="S1527" i="15"/>
  <c r="N1527" i="15"/>
  <c r="M1527" i="15"/>
  <c r="Q1527" i="15"/>
  <c r="AA1526" i="15"/>
  <c r="Z1526" i="15"/>
  <c r="AC1526" i="15" s="1"/>
  <c r="U1526" i="15"/>
  <c r="S1526" i="15"/>
  <c r="N1526" i="15"/>
  <c r="M1526" i="15"/>
  <c r="Q1526" i="15"/>
  <c r="AA1525" i="15"/>
  <c r="Z1525" i="15"/>
  <c r="U1525" i="15"/>
  <c r="S1525" i="15"/>
  <c r="N1525" i="15"/>
  <c r="M1525" i="15"/>
  <c r="Q1525" i="15"/>
  <c r="AA1524" i="15"/>
  <c r="Z1524" i="15"/>
  <c r="U1524" i="15"/>
  <c r="S1524" i="15"/>
  <c r="N1524" i="15"/>
  <c r="M1524" i="15"/>
  <c r="Q1524" i="15"/>
  <c r="AA1523" i="15"/>
  <c r="Z1523" i="15"/>
  <c r="U1523" i="15"/>
  <c r="S1523" i="15"/>
  <c r="N1523" i="15"/>
  <c r="M1523" i="15"/>
  <c r="Q1523" i="15"/>
  <c r="AA1522" i="15"/>
  <c r="Z1522" i="15"/>
  <c r="U1522" i="15"/>
  <c r="S1522" i="15"/>
  <c r="N1522" i="15"/>
  <c r="M1522" i="15"/>
  <c r="Q1522" i="15"/>
  <c r="W1522" i="15" s="1"/>
  <c r="AA1521" i="15"/>
  <c r="Z1521" i="15"/>
  <c r="U1521" i="15"/>
  <c r="V1521" i="15"/>
  <c r="S1521" i="15"/>
  <c r="N1521" i="15"/>
  <c r="M1521" i="15"/>
  <c r="Q1521" i="15"/>
  <c r="AA1520" i="15"/>
  <c r="Z1520" i="15"/>
  <c r="AC1520" i="15" s="1"/>
  <c r="U1520" i="15"/>
  <c r="S1520" i="15"/>
  <c r="N1520" i="15"/>
  <c r="M1520" i="15"/>
  <c r="Q1520" i="15"/>
  <c r="AA1519" i="15"/>
  <c r="Z1519" i="15"/>
  <c r="U1519" i="15"/>
  <c r="S1519" i="15"/>
  <c r="N1519" i="15"/>
  <c r="M1519" i="15"/>
  <c r="Q1519" i="15"/>
  <c r="AA1518" i="15"/>
  <c r="Z1518" i="15"/>
  <c r="AC1518" i="15" s="1"/>
  <c r="U1518" i="15"/>
  <c r="S1518" i="15"/>
  <c r="N1518" i="15"/>
  <c r="M1518" i="15"/>
  <c r="Q1518" i="15"/>
  <c r="X1518" i="15" s="1"/>
  <c r="AA1517" i="15"/>
  <c r="Z1517" i="15"/>
  <c r="U1517" i="15"/>
  <c r="S1517" i="15"/>
  <c r="N1517" i="15"/>
  <c r="M1517" i="15"/>
  <c r="Q1517" i="15"/>
  <c r="AA1516" i="15"/>
  <c r="Z1516" i="15"/>
  <c r="AC1516" i="15" s="1"/>
  <c r="U1516" i="15"/>
  <c r="S1516" i="15"/>
  <c r="N1516" i="15"/>
  <c r="M1516" i="15"/>
  <c r="Q1516" i="15"/>
  <c r="AA1515" i="15"/>
  <c r="Z1515" i="15"/>
  <c r="U1515" i="15"/>
  <c r="S1515" i="15"/>
  <c r="N1515" i="15"/>
  <c r="M1515" i="15"/>
  <c r="Q1515" i="15"/>
  <c r="X1515" i="15" s="1"/>
  <c r="AA1514" i="15"/>
  <c r="Z1514" i="15"/>
  <c r="V1514" i="15"/>
  <c r="S1514" i="15"/>
  <c r="N1514" i="15"/>
  <c r="M1514" i="15"/>
  <c r="Q1514" i="15"/>
  <c r="AA1513" i="15"/>
  <c r="Z1513" i="15"/>
  <c r="AC1513" i="15" s="1"/>
  <c r="U1513" i="15"/>
  <c r="V1513" i="15"/>
  <c r="S1513" i="15"/>
  <c r="N1513" i="15"/>
  <c r="M1513" i="15"/>
  <c r="Q1513" i="15"/>
  <c r="AA1512" i="15"/>
  <c r="Z1512" i="15"/>
  <c r="U1512" i="15"/>
  <c r="S1512" i="15"/>
  <c r="N1512" i="15"/>
  <c r="M1512" i="15"/>
  <c r="Q1512" i="15"/>
  <c r="AA1511" i="15"/>
  <c r="Z1511" i="15"/>
  <c r="U1511" i="15"/>
  <c r="S1511" i="15"/>
  <c r="N1511" i="15"/>
  <c r="M1511" i="15"/>
  <c r="Q1511" i="15"/>
  <c r="AA1510" i="15"/>
  <c r="Z1510" i="15"/>
  <c r="AC1510" i="15" s="1"/>
  <c r="U1510" i="15"/>
  <c r="S1510" i="15"/>
  <c r="N1510" i="15"/>
  <c r="M1510" i="15"/>
  <c r="Q1510" i="15"/>
  <c r="AA1509" i="15"/>
  <c r="Z1509" i="15"/>
  <c r="AC1509" i="15" s="1"/>
  <c r="U1509" i="15"/>
  <c r="S1509" i="15"/>
  <c r="N1509" i="15"/>
  <c r="M1509" i="15"/>
  <c r="Q1509" i="15"/>
  <c r="AA1508" i="15"/>
  <c r="Z1508" i="15"/>
  <c r="U1508" i="15"/>
  <c r="S1508" i="15"/>
  <c r="N1508" i="15"/>
  <c r="M1508" i="15"/>
  <c r="Q1508" i="15"/>
  <c r="AA1507" i="15"/>
  <c r="Z1507" i="15"/>
  <c r="AC1507" i="15" s="1"/>
  <c r="U1507" i="15"/>
  <c r="S1507" i="15"/>
  <c r="N1507" i="15"/>
  <c r="M1507" i="15"/>
  <c r="Q1507" i="15"/>
  <c r="AA1506" i="15"/>
  <c r="Z1506" i="15"/>
  <c r="AC1506" i="15" s="1"/>
  <c r="U1506" i="15"/>
  <c r="S1506" i="15"/>
  <c r="N1506" i="15"/>
  <c r="M1506" i="15"/>
  <c r="Q1506" i="15"/>
  <c r="AA1505" i="15"/>
  <c r="Z1505" i="15"/>
  <c r="AC1505" i="15" s="1"/>
  <c r="U1505" i="15"/>
  <c r="V1505" i="15"/>
  <c r="S1505" i="15"/>
  <c r="N1505" i="15"/>
  <c r="M1505" i="15"/>
  <c r="Q1505" i="15"/>
  <c r="X1505" i="15" s="1"/>
  <c r="AA1504" i="15"/>
  <c r="Z1504" i="15"/>
  <c r="AC1504" i="15" s="1"/>
  <c r="U1504" i="15"/>
  <c r="S1504" i="15"/>
  <c r="N1504" i="15"/>
  <c r="M1504" i="15"/>
  <c r="Q1504" i="15"/>
  <c r="AA1503" i="15"/>
  <c r="Z1503" i="15"/>
  <c r="U1503" i="15"/>
  <c r="S1503" i="15"/>
  <c r="N1503" i="15"/>
  <c r="M1503" i="15"/>
  <c r="Q1503" i="15"/>
  <c r="AA1502" i="15"/>
  <c r="Z1502" i="15"/>
  <c r="AC1502" i="15" s="1"/>
  <c r="U1502" i="15"/>
  <c r="S1502" i="15"/>
  <c r="N1502" i="15"/>
  <c r="M1502" i="15"/>
  <c r="Q1502" i="15"/>
  <c r="AA1501" i="15"/>
  <c r="Z1501" i="15"/>
  <c r="U1501" i="15"/>
  <c r="V1501" i="15"/>
  <c r="S1501" i="15"/>
  <c r="N1501" i="15"/>
  <c r="M1501" i="15"/>
  <c r="Q1501" i="15"/>
  <c r="X1501" i="15" s="1"/>
  <c r="AA1500" i="15"/>
  <c r="Z1500" i="15"/>
  <c r="U1500" i="15"/>
  <c r="S1500" i="15"/>
  <c r="N1500" i="15"/>
  <c r="M1500" i="15"/>
  <c r="Q1500" i="15"/>
  <c r="AA1499" i="15"/>
  <c r="Z1499" i="15"/>
  <c r="AC1499" i="15" s="1"/>
  <c r="U1499" i="15"/>
  <c r="S1499" i="15"/>
  <c r="N1499" i="15"/>
  <c r="M1499" i="15"/>
  <c r="Q1499" i="15"/>
  <c r="AA1498" i="15"/>
  <c r="Z1498" i="15"/>
  <c r="V1498" i="15"/>
  <c r="S1498" i="15"/>
  <c r="N1498" i="15"/>
  <c r="M1498" i="15"/>
  <c r="Q1498" i="15"/>
  <c r="W1498" i="15" s="1"/>
  <c r="AA1497" i="15"/>
  <c r="Z1497" i="15"/>
  <c r="AC1497" i="15" s="1"/>
  <c r="U1497" i="15"/>
  <c r="V1497" i="15"/>
  <c r="S1497" i="15"/>
  <c r="N1497" i="15"/>
  <c r="M1497" i="15"/>
  <c r="Q1497" i="15"/>
  <c r="AA1496" i="15"/>
  <c r="Z1496" i="15"/>
  <c r="AC1496" i="15" s="1"/>
  <c r="U1496" i="15"/>
  <c r="V1496" i="15"/>
  <c r="S1496" i="15"/>
  <c r="N1496" i="15"/>
  <c r="M1496" i="15"/>
  <c r="Q1496" i="15"/>
  <c r="AA1495" i="15"/>
  <c r="Z1495" i="15"/>
  <c r="AC1495" i="15" s="1"/>
  <c r="U1495" i="15"/>
  <c r="V1495" i="15"/>
  <c r="S1495" i="15"/>
  <c r="N1495" i="15"/>
  <c r="M1495" i="15"/>
  <c r="Q1495" i="15"/>
  <c r="AA1494" i="15"/>
  <c r="Z1494" i="15"/>
  <c r="U1494" i="15"/>
  <c r="S1494" i="15"/>
  <c r="N1494" i="15"/>
  <c r="M1494" i="15"/>
  <c r="Q1494" i="15"/>
  <c r="AA1493" i="15"/>
  <c r="Z1493" i="15"/>
  <c r="U1493" i="15"/>
  <c r="S1493" i="15"/>
  <c r="N1493" i="15"/>
  <c r="M1493" i="15"/>
  <c r="Q1493" i="15"/>
  <c r="X1493" i="15" s="1"/>
  <c r="AA1492" i="15"/>
  <c r="Z1492" i="15"/>
  <c r="U1492" i="15"/>
  <c r="S1492" i="15"/>
  <c r="N1492" i="15"/>
  <c r="M1492" i="15"/>
  <c r="Q1492" i="15"/>
  <c r="AA1491" i="15"/>
  <c r="Z1491" i="15"/>
  <c r="AC1491" i="15" s="1"/>
  <c r="U1491" i="15"/>
  <c r="V1491" i="15"/>
  <c r="S1491" i="15"/>
  <c r="N1491" i="15"/>
  <c r="M1491" i="15"/>
  <c r="Q1491" i="15"/>
  <c r="AA1490" i="15"/>
  <c r="Z1490" i="15"/>
  <c r="AC1490" i="15" s="1"/>
  <c r="U1490" i="15"/>
  <c r="V1490" i="15"/>
  <c r="S1490" i="15"/>
  <c r="N1490" i="15"/>
  <c r="M1490" i="15"/>
  <c r="Q1490" i="15"/>
  <c r="AA1489" i="15"/>
  <c r="Z1489" i="15"/>
  <c r="U1489" i="15"/>
  <c r="V1489" i="15"/>
  <c r="S1489" i="15"/>
  <c r="N1489" i="15"/>
  <c r="M1489" i="15"/>
  <c r="Q1489" i="15"/>
  <c r="AA1488" i="15"/>
  <c r="Z1488" i="15"/>
  <c r="U1488" i="15"/>
  <c r="S1488" i="15"/>
  <c r="N1488" i="15"/>
  <c r="M1488" i="15"/>
  <c r="Q1488" i="15"/>
  <c r="AA1487" i="15"/>
  <c r="Z1487" i="15"/>
  <c r="AC1487" i="15" s="1"/>
  <c r="U1487" i="15"/>
  <c r="S1487" i="15"/>
  <c r="N1487" i="15"/>
  <c r="M1487" i="15"/>
  <c r="Q1487" i="15"/>
  <c r="AA1486" i="15"/>
  <c r="Z1486" i="15"/>
  <c r="V1486" i="15"/>
  <c r="S1486" i="15"/>
  <c r="N1486" i="15"/>
  <c r="M1486" i="15"/>
  <c r="Q1486" i="15"/>
  <c r="AA1485" i="15"/>
  <c r="Z1485" i="15"/>
  <c r="AC1485" i="15" s="1"/>
  <c r="U1485" i="15"/>
  <c r="V1485" i="15"/>
  <c r="S1485" i="15"/>
  <c r="N1485" i="15"/>
  <c r="M1485" i="15"/>
  <c r="Q1485" i="15"/>
  <c r="AA1484" i="15"/>
  <c r="Z1484" i="15"/>
  <c r="AC1484" i="15" s="1"/>
  <c r="V1484" i="15"/>
  <c r="S1484" i="15"/>
  <c r="N1484" i="15"/>
  <c r="M1484" i="15"/>
  <c r="Q1484" i="15"/>
  <c r="AA1483" i="15"/>
  <c r="Z1483" i="15"/>
  <c r="AC1483" i="15" s="1"/>
  <c r="U1483" i="15"/>
  <c r="S1483" i="15"/>
  <c r="N1483" i="15"/>
  <c r="M1483" i="15"/>
  <c r="Q1483" i="15"/>
  <c r="X1483" i="15" s="1"/>
  <c r="AA1482" i="15"/>
  <c r="Z1482" i="15"/>
  <c r="AC1482" i="15" s="1"/>
  <c r="U1482" i="15"/>
  <c r="S1482" i="15"/>
  <c r="N1482" i="15"/>
  <c r="M1482" i="15"/>
  <c r="AA1481" i="15"/>
  <c r="Z1481" i="15"/>
  <c r="U1481" i="15"/>
  <c r="S1481" i="15"/>
  <c r="N1481" i="15"/>
  <c r="M1481" i="15"/>
  <c r="Q1481" i="15"/>
  <c r="AA1480" i="15"/>
  <c r="Z1480" i="15"/>
  <c r="U1480" i="15"/>
  <c r="S1480" i="15"/>
  <c r="N1480" i="15"/>
  <c r="M1480" i="15"/>
  <c r="Q1480" i="15"/>
  <c r="AA1479" i="15"/>
  <c r="Z1479" i="15"/>
  <c r="U1479" i="15"/>
  <c r="V1479" i="15"/>
  <c r="S1479" i="15"/>
  <c r="N1479" i="15"/>
  <c r="M1479" i="15"/>
  <c r="Q1479" i="15"/>
  <c r="AA1478" i="15"/>
  <c r="Z1478" i="15"/>
  <c r="U1478" i="15"/>
  <c r="S1478" i="15"/>
  <c r="N1478" i="15"/>
  <c r="M1478" i="15"/>
  <c r="Q1478" i="15"/>
  <c r="AA1477" i="15"/>
  <c r="Z1477" i="15"/>
  <c r="U1477" i="15"/>
  <c r="S1477" i="15"/>
  <c r="N1477" i="15"/>
  <c r="M1477" i="15"/>
  <c r="Q1477" i="15"/>
  <c r="X1477" i="15" s="1"/>
  <c r="AA1476" i="15"/>
  <c r="Z1476" i="15"/>
  <c r="U1476" i="15"/>
  <c r="S1476" i="15"/>
  <c r="N1476" i="15"/>
  <c r="M1476" i="15"/>
  <c r="Q1476" i="15"/>
  <c r="AA1475" i="15"/>
  <c r="Z1475" i="15"/>
  <c r="AC1475" i="15" s="1"/>
  <c r="V1475" i="15"/>
  <c r="S1475" i="15"/>
  <c r="N1475" i="15"/>
  <c r="M1475" i="15"/>
  <c r="Q1475" i="15"/>
  <c r="AA1474" i="15"/>
  <c r="Z1474" i="15"/>
  <c r="U1474" i="15"/>
  <c r="V1474" i="15"/>
  <c r="S1474" i="15"/>
  <c r="N1474" i="15"/>
  <c r="M1474" i="15"/>
  <c r="Q1474" i="15"/>
  <c r="X1474" i="15" s="1"/>
  <c r="AA1473" i="15"/>
  <c r="Z1473" i="15"/>
  <c r="AC1473" i="15" s="1"/>
  <c r="U1473" i="15"/>
  <c r="S1473" i="15"/>
  <c r="N1473" i="15"/>
  <c r="M1473" i="15"/>
  <c r="Q1473" i="15"/>
  <c r="AA1472" i="15"/>
  <c r="Z1472" i="15"/>
  <c r="U1472" i="15"/>
  <c r="S1472" i="15"/>
  <c r="N1472" i="15"/>
  <c r="M1472" i="15"/>
  <c r="Q1472" i="15"/>
  <c r="AA1471" i="15"/>
  <c r="Z1471" i="15"/>
  <c r="AC1471" i="15" s="1"/>
  <c r="U1471" i="15"/>
  <c r="S1471" i="15"/>
  <c r="N1471" i="15"/>
  <c r="M1471" i="15"/>
  <c r="Q1471" i="15"/>
  <c r="AA1470" i="15"/>
  <c r="Z1470" i="15"/>
  <c r="U1470" i="15"/>
  <c r="S1470" i="15"/>
  <c r="N1470" i="15"/>
  <c r="M1470" i="15"/>
  <c r="Q1470" i="15"/>
  <c r="AA1469" i="15"/>
  <c r="Z1469" i="15"/>
  <c r="U1469" i="15"/>
  <c r="S1469" i="15"/>
  <c r="N1469" i="15"/>
  <c r="M1469" i="15"/>
  <c r="Q1469" i="15"/>
  <c r="AA1468" i="15"/>
  <c r="Z1468" i="15"/>
  <c r="U1468" i="15"/>
  <c r="S1468" i="15"/>
  <c r="N1468" i="15"/>
  <c r="M1468" i="15"/>
  <c r="Q1468" i="15"/>
  <c r="AA1467" i="15"/>
  <c r="Z1467" i="15"/>
  <c r="U1467" i="15"/>
  <c r="V1467" i="15"/>
  <c r="S1467" i="15"/>
  <c r="N1467" i="15"/>
  <c r="M1467" i="15"/>
  <c r="Q1467" i="15"/>
  <c r="AA1466" i="15"/>
  <c r="Z1466" i="15"/>
  <c r="U1466" i="15"/>
  <c r="S1466" i="15"/>
  <c r="N1466" i="15"/>
  <c r="M1466" i="15"/>
  <c r="Q1466" i="15"/>
  <c r="AA1465" i="15"/>
  <c r="Z1465" i="15"/>
  <c r="U1465" i="15"/>
  <c r="S1465" i="15"/>
  <c r="N1465" i="15"/>
  <c r="M1465" i="15"/>
  <c r="Q1465" i="15"/>
  <c r="X1465" i="15" s="1"/>
  <c r="AA1464" i="15"/>
  <c r="Z1464" i="15"/>
  <c r="U1464" i="15"/>
  <c r="V1464" i="15"/>
  <c r="S1464" i="15"/>
  <c r="N1464" i="15"/>
  <c r="M1464" i="15"/>
  <c r="Q1464" i="15"/>
  <c r="AA1463" i="15"/>
  <c r="Z1463" i="15"/>
  <c r="U1463" i="15"/>
  <c r="S1463" i="15"/>
  <c r="N1463" i="15"/>
  <c r="M1463" i="15"/>
  <c r="Q1463" i="15"/>
  <c r="AA1462" i="15"/>
  <c r="Z1462" i="15"/>
  <c r="AC1462" i="15" s="1"/>
  <c r="U1462" i="15"/>
  <c r="S1462" i="15"/>
  <c r="N1462" i="15"/>
  <c r="M1462" i="15"/>
  <c r="Q1462" i="15"/>
  <c r="AA1461" i="15"/>
  <c r="Z1461" i="15"/>
  <c r="U1461" i="15"/>
  <c r="S1461" i="15"/>
  <c r="N1461" i="15"/>
  <c r="M1461" i="15"/>
  <c r="Q1461" i="15"/>
  <c r="X1461" i="15" s="1"/>
  <c r="AA1460" i="15"/>
  <c r="Z1460" i="15"/>
  <c r="AC1460" i="15" s="1"/>
  <c r="U1460" i="15"/>
  <c r="V1460" i="15"/>
  <c r="S1460" i="15"/>
  <c r="N1460" i="15"/>
  <c r="M1460" i="15"/>
  <c r="Q1460" i="15"/>
  <c r="AA1459" i="15"/>
  <c r="Z1459" i="15"/>
  <c r="U1459" i="15"/>
  <c r="S1459" i="15"/>
  <c r="N1459" i="15"/>
  <c r="M1459" i="15"/>
  <c r="Q1459" i="15"/>
  <c r="AA1458" i="15"/>
  <c r="Z1458" i="15"/>
  <c r="V1458" i="15"/>
  <c r="S1458" i="15"/>
  <c r="N1458" i="15"/>
  <c r="M1458" i="15"/>
  <c r="Q1458" i="15"/>
  <c r="X1458" i="15" s="1"/>
  <c r="AA1457" i="15"/>
  <c r="Z1457" i="15"/>
  <c r="U1457" i="15"/>
  <c r="S1457" i="15"/>
  <c r="N1457" i="15"/>
  <c r="M1457" i="15"/>
  <c r="Q1457" i="15"/>
  <c r="AA1456" i="15"/>
  <c r="Z1456" i="15"/>
  <c r="U1456" i="15"/>
  <c r="S1456" i="15"/>
  <c r="N1456" i="15"/>
  <c r="M1456" i="15"/>
  <c r="Q1456" i="15"/>
  <c r="X1456" i="15" s="1"/>
  <c r="AA1455" i="15"/>
  <c r="Z1455" i="15"/>
  <c r="U1455" i="15"/>
  <c r="S1455" i="15"/>
  <c r="N1455" i="15"/>
  <c r="M1455" i="15"/>
  <c r="Q1455" i="15"/>
  <c r="AA1454" i="15"/>
  <c r="Z1454" i="15"/>
  <c r="AC1454" i="15" s="1"/>
  <c r="U1454" i="15"/>
  <c r="S1454" i="15"/>
  <c r="N1454" i="15"/>
  <c r="M1454" i="15"/>
  <c r="Q1454" i="15"/>
  <c r="AA1453" i="15"/>
  <c r="Z1453" i="15"/>
  <c r="AC1453" i="15" s="1"/>
  <c r="U1453" i="15"/>
  <c r="V1453" i="15"/>
  <c r="S1453" i="15"/>
  <c r="N1453" i="15"/>
  <c r="M1453" i="15"/>
  <c r="AA1452" i="15"/>
  <c r="Z1452" i="15"/>
  <c r="AC1452" i="15" s="1"/>
  <c r="U1452" i="15"/>
  <c r="S1452" i="15"/>
  <c r="N1452" i="15"/>
  <c r="M1452" i="15"/>
  <c r="Q1452" i="15"/>
  <c r="W1452" i="15" s="1"/>
  <c r="AA1451" i="15"/>
  <c r="AD1451" i="15" s="1"/>
  <c r="Z1451" i="15"/>
  <c r="AC1451" i="15" s="1"/>
  <c r="U1451" i="15"/>
  <c r="V1451" i="15"/>
  <c r="S1451" i="15"/>
  <c r="N1451" i="15"/>
  <c r="M1451" i="15"/>
  <c r="Q1451" i="15"/>
  <c r="AA1450" i="15"/>
  <c r="Z1450" i="15"/>
  <c r="AC1450" i="15" s="1"/>
  <c r="U1450" i="15"/>
  <c r="S1450" i="15"/>
  <c r="N1450" i="15"/>
  <c r="M1450" i="15"/>
  <c r="Q1450" i="15"/>
  <c r="AA1449" i="15"/>
  <c r="Z1449" i="15"/>
  <c r="U1449" i="15"/>
  <c r="S1449" i="15"/>
  <c r="N1449" i="15"/>
  <c r="M1449" i="15"/>
  <c r="Q1449" i="15"/>
  <c r="AA1448" i="15"/>
  <c r="Z1448" i="15"/>
  <c r="V1448" i="15"/>
  <c r="S1448" i="15"/>
  <c r="N1448" i="15"/>
  <c r="M1448" i="15"/>
  <c r="AA1447" i="15"/>
  <c r="Z1447" i="15"/>
  <c r="AC1447" i="15" s="1"/>
  <c r="U1447" i="15"/>
  <c r="V1447" i="15"/>
  <c r="S1447" i="15"/>
  <c r="N1447" i="15"/>
  <c r="M1447" i="15"/>
  <c r="Q1447" i="15"/>
  <c r="X1447" i="15" s="1"/>
  <c r="AA1446" i="15"/>
  <c r="Z1446" i="15"/>
  <c r="U1446" i="15"/>
  <c r="S1446" i="15"/>
  <c r="N1446" i="15"/>
  <c r="M1446" i="15"/>
  <c r="Q1446" i="15"/>
  <c r="AA1445" i="15"/>
  <c r="Z1445" i="15"/>
  <c r="U1445" i="15"/>
  <c r="S1445" i="15"/>
  <c r="N1445" i="15"/>
  <c r="M1445" i="15"/>
  <c r="Q1445" i="15"/>
  <c r="AA1444" i="15"/>
  <c r="Z1444" i="15"/>
  <c r="V1444" i="15"/>
  <c r="S1444" i="15"/>
  <c r="N1444" i="15"/>
  <c r="M1444" i="15"/>
  <c r="AA1443" i="15"/>
  <c r="Z1443" i="15"/>
  <c r="U1443" i="15"/>
  <c r="S1443" i="15"/>
  <c r="N1443" i="15"/>
  <c r="M1443" i="15"/>
  <c r="Q1443" i="15"/>
  <c r="AA1442" i="15"/>
  <c r="Z1442" i="15"/>
  <c r="U1442" i="15"/>
  <c r="V1442" i="15"/>
  <c r="S1442" i="15"/>
  <c r="N1442" i="15"/>
  <c r="M1442" i="15"/>
  <c r="Q1442" i="15"/>
  <c r="AA1441" i="15"/>
  <c r="Z1441" i="15"/>
  <c r="AC1441" i="15" s="1"/>
  <c r="U1441" i="15"/>
  <c r="V1441" i="15"/>
  <c r="S1441" i="15"/>
  <c r="N1441" i="15"/>
  <c r="M1441" i="15"/>
  <c r="Q1441" i="15"/>
  <c r="AA1440" i="15"/>
  <c r="Z1440" i="15"/>
  <c r="V1440" i="15"/>
  <c r="S1440" i="15"/>
  <c r="N1440" i="15"/>
  <c r="M1440" i="15"/>
  <c r="Q1440" i="15"/>
  <c r="X1440" i="15" s="1"/>
  <c r="AA1439" i="15"/>
  <c r="Z1439" i="15"/>
  <c r="AC1439" i="15" s="1"/>
  <c r="U1439" i="15"/>
  <c r="S1439" i="15"/>
  <c r="N1439" i="15"/>
  <c r="M1439" i="15"/>
  <c r="Q1439" i="15"/>
  <c r="AA1438" i="15"/>
  <c r="Z1438" i="15"/>
  <c r="U1438" i="15"/>
  <c r="V1438" i="15"/>
  <c r="S1438" i="15"/>
  <c r="N1438" i="15"/>
  <c r="M1438" i="15"/>
  <c r="Q1438" i="15"/>
  <c r="AA1437" i="15"/>
  <c r="Z1437" i="15"/>
  <c r="AC1437" i="15" s="1"/>
  <c r="U1437" i="15"/>
  <c r="V1437" i="15"/>
  <c r="S1437" i="15"/>
  <c r="N1437" i="15"/>
  <c r="M1437" i="15"/>
  <c r="Q1437" i="15"/>
  <c r="X1437" i="15" s="1"/>
  <c r="AA1436" i="15"/>
  <c r="Z1436" i="15"/>
  <c r="V1436" i="15"/>
  <c r="S1436" i="15"/>
  <c r="N1436" i="15"/>
  <c r="M1436" i="15"/>
  <c r="AA1435" i="15"/>
  <c r="Z1435" i="15"/>
  <c r="U1435" i="15"/>
  <c r="S1435" i="15"/>
  <c r="N1435" i="15"/>
  <c r="M1435" i="15"/>
  <c r="Q1435" i="15"/>
  <c r="X1435" i="15" s="1"/>
  <c r="AA1434" i="15"/>
  <c r="Z1434" i="15"/>
  <c r="U1434" i="15"/>
  <c r="V1434" i="15"/>
  <c r="S1434" i="15"/>
  <c r="N1434" i="15"/>
  <c r="M1434" i="15"/>
  <c r="Q1434" i="15"/>
  <c r="X1434" i="15" s="1"/>
  <c r="AA1433" i="15"/>
  <c r="Z1433" i="15"/>
  <c r="U1433" i="15"/>
  <c r="S1433" i="15"/>
  <c r="N1433" i="15"/>
  <c r="M1433" i="15"/>
  <c r="Q1433" i="15"/>
  <c r="AA1432" i="15"/>
  <c r="Z1432" i="15"/>
  <c r="U1432" i="15"/>
  <c r="S1432" i="15"/>
  <c r="N1432" i="15"/>
  <c r="M1432" i="15"/>
  <c r="Q1432" i="15"/>
  <c r="AA1431" i="15"/>
  <c r="Z1431" i="15"/>
  <c r="U1431" i="15"/>
  <c r="S1431" i="15"/>
  <c r="N1431" i="15"/>
  <c r="M1431" i="15"/>
  <c r="Q1431" i="15"/>
  <c r="AA1430" i="15"/>
  <c r="Z1430" i="15"/>
  <c r="AC1430" i="15" s="1"/>
  <c r="U1430" i="15"/>
  <c r="S1430" i="15"/>
  <c r="N1430" i="15"/>
  <c r="M1430" i="15"/>
  <c r="Q1430" i="15"/>
  <c r="AA1429" i="15"/>
  <c r="Z1429" i="15"/>
  <c r="U1429" i="15"/>
  <c r="S1429" i="15"/>
  <c r="N1429" i="15"/>
  <c r="M1429" i="15"/>
  <c r="Q1429" i="15"/>
  <c r="X1429" i="15" s="1"/>
  <c r="AA1428" i="15"/>
  <c r="Z1428" i="15"/>
  <c r="AC1428" i="15" s="1"/>
  <c r="V1428" i="15"/>
  <c r="S1428" i="15"/>
  <c r="N1428" i="15"/>
  <c r="M1428" i="15"/>
  <c r="AA1427" i="15"/>
  <c r="Z1427" i="15"/>
  <c r="U1427" i="15"/>
  <c r="S1427" i="15"/>
  <c r="N1427" i="15"/>
  <c r="M1427" i="15"/>
  <c r="Q1427" i="15"/>
  <c r="AA1426" i="15"/>
  <c r="Z1426" i="15"/>
  <c r="U1426" i="15"/>
  <c r="S1426" i="15"/>
  <c r="N1426" i="15"/>
  <c r="M1426" i="15"/>
  <c r="Q1426" i="15"/>
  <c r="AA1425" i="15"/>
  <c r="Z1425" i="15"/>
  <c r="U1425" i="15"/>
  <c r="S1425" i="15"/>
  <c r="N1425" i="15"/>
  <c r="M1425" i="15"/>
  <c r="Q1425" i="15"/>
  <c r="AA1424" i="15"/>
  <c r="Z1424" i="15"/>
  <c r="AC1424" i="15" s="1"/>
  <c r="V1424" i="15"/>
  <c r="S1424" i="15"/>
  <c r="N1424" i="15"/>
  <c r="M1424" i="15"/>
  <c r="Q1424" i="15"/>
  <c r="AA1423" i="15"/>
  <c r="Z1423" i="15"/>
  <c r="AC1423" i="15" s="1"/>
  <c r="U1423" i="15"/>
  <c r="S1423" i="15"/>
  <c r="N1423" i="15"/>
  <c r="M1423" i="15"/>
  <c r="Q1423" i="15"/>
  <c r="AA1422" i="15"/>
  <c r="Z1422" i="15"/>
  <c r="AC1422" i="15" s="1"/>
  <c r="U1422" i="15"/>
  <c r="V1422" i="15"/>
  <c r="S1422" i="15"/>
  <c r="N1422" i="15"/>
  <c r="M1422" i="15"/>
  <c r="Q1422" i="15"/>
  <c r="AA1421" i="15"/>
  <c r="Z1421" i="15"/>
  <c r="U1421" i="15"/>
  <c r="V1421" i="15"/>
  <c r="S1421" i="15"/>
  <c r="N1421" i="15"/>
  <c r="M1421" i="15"/>
  <c r="AA1420" i="15"/>
  <c r="Z1420" i="15"/>
  <c r="AC1420" i="15" s="1"/>
  <c r="U1420" i="15"/>
  <c r="S1420" i="15"/>
  <c r="N1420" i="15"/>
  <c r="M1420" i="15"/>
  <c r="AA1419" i="15"/>
  <c r="Z1419" i="15"/>
  <c r="U1419" i="15"/>
  <c r="V1419" i="15"/>
  <c r="S1419" i="15"/>
  <c r="N1419" i="15"/>
  <c r="M1419" i="15"/>
  <c r="Q1419" i="15"/>
  <c r="AA1418" i="15"/>
  <c r="Z1418" i="15"/>
  <c r="U1418" i="15"/>
  <c r="S1418" i="15"/>
  <c r="N1418" i="15"/>
  <c r="M1418" i="15"/>
  <c r="Q1418" i="15"/>
  <c r="X1418" i="15" s="1"/>
  <c r="AA1417" i="15"/>
  <c r="Z1417" i="15"/>
  <c r="U1417" i="15"/>
  <c r="S1417" i="15"/>
  <c r="N1417" i="15"/>
  <c r="M1417" i="15"/>
  <c r="Q1417" i="15"/>
  <c r="AA1416" i="15"/>
  <c r="Z1416" i="15"/>
  <c r="U1416" i="15"/>
  <c r="S1416" i="15"/>
  <c r="N1416" i="15"/>
  <c r="M1416" i="15"/>
  <c r="Q1416" i="15"/>
  <c r="AA1415" i="15"/>
  <c r="Z1415" i="15"/>
  <c r="U1415" i="15"/>
  <c r="S1415" i="15"/>
  <c r="N1415" i="15"/>
  <c r="M1415" i="15"/>
  <c r="Q1415" i="15"/>
  <c r="AA1414" i="15"/>
  <c r="Z1414" i="15"/>
  <c r="U1414" i="15"/>
  <c r="S1414" i="15"/>
  <c r="N1414" i="15"/>
  <c r="M1414" i="15"/>
  <c r="Q1414" i="15"/>
  <c r="AA1413" i="15"/>
  <c r="Z1413" i="15"/>
  <c r="U1413" i="15"/>
  <c r="S1413" i="15"/>
  <c r="N1413" i="15"/>
  <c r="M1413" i="15"/>
  <c r="Q1413" i="15"/>
  <c r="AA1412" i="15"/>
  <c r="Z1412" i="15"/>
  <c r="AC1412" i="15" s="1"/>
  <c r="U1412" i="15"/>
  <c r="S1412" i="15"/>
  <c r="N1412" i="15"/>
  <c r="M1412" i="15"/>
  <c r="AA1411" i="15"/>
  <c r="Z1411" i="15"/>
  <c r="U1411" i="15"/>
  <c r="S1411" i="15"/>
  <c r="N1411" i="15"/>
  <c r="M1411" i="15"/>
  <c r="Q1411" i="15"/>
  <c r="X1411" i="15" s="1"/>
  <c r="AA1410" i="15"/>
  <c r="Z1410" i="15"/>
  <c r="AC1410" i="15" s="1"/>
  <c r="U1410" i="15"/>
  <c r="S1410" i="15"/>
  <c r="N1410" i="15"/>
  <c r="M1410" i="15"/>
  <c r="Q1410" i="15"/>
  <c r="AA1409" i="15"/>
  <c r="Z1409" i="15"/>
  <c r="AC1409" i="15" s="1"/>
  <c r="U1409" i="15"/>
  <c r="V1409" i="15"/>
  <c r="S1409" i="15"/>
  <c r="N1409" i="15"/>
  <c r="M1409" i="15"/>
  <c r="Q1409" i="15"/>
  <c r="AA1408" i="15"/>
  <c r="Z1408" i="15"/>
  <c r="U1408" i="15"/>
  <c r="S1408" i="15"/>
  <c r="N1408" i="15"/>
  <c r="M1408" i="15"/>
  <c r="AA1407" i="15"/>
  <c r="Z1407" i="15"/>
  <c r="U1407" i="15"/>
  <c r="V1407" i="15"/>
  <c r="S1407" i="15"/>
  <c r="N1407" i="15"/>
  <c r="M1407" i="15"/>
  <c r="Q1407" i="15"/>
  <c r="AA1406" i="15"/>
  <c r="Z1406" i="15"/>
  <c r="U1406" i="15"/>
  <c r="S1406" i="15"/>
  <c r="N1406" i="15"/>
  <c r="M1406" i="15"/>
  <c r="Q1406" i="15"/>
  <c r="AA1405" i="15"/>
  <c r="Z1405" i="15"/>
  <c r="U1405" i="15"/>
  <c r="S1405" i="15"/>
  <c r="N1405" i="15"/>
  <c r="M1405" i="15"/>
  <c r="Q1405" i="15"/>
  <c r="AA1404" i="15"/>
  <c r="Z1404" i="15"/>
  <c r="U1404" i="15"/>
  <c r="S1404" i="15"/>
  <c r="N1404" i="15"/>
  <c r="M1404" i="15"/>
  <c r="AA1403" i="15"/>
  <c r="Z1403" i="15"/>
  <c r="U1403" i="15"/>
  <c r="S1403" i="15"/>
  <c r="N1403" i="15"/>
  <c r="M1403" i="15"/>
  <c r="Q1403" i="15"/>
  <c r="AA1402" i="15"/>
  <c r="Z1402" i="15"/>
  <c r="AC1402" i="15" s="1"/>
  <c r="U1402" i="15"/>
  <c r="S1402" i="15"/>
  <c r="N1402" i="15"/>
  <c r="M1402" i="15"/>
  <c r="Q1402" i="15"/>
  <c r="AA1401" i="15"/>
  <c r="Z1401" i="15"/>
  <c r="AC1401" i="15" s="1"/>
  <c r="U1401" i="15"/>
  <c r="V1401" i="15"/>
  <c r="S1401" i="15"/>
  <c r="N1401" i="15"/>
  <c r="M1401" i="15"/>
  <c r="Q1401" i="15"/>
  <c r="X1401" i="15" s="1"/>
  <c r="AA1400" i="15"/>
  <c r="Z1400" i="15"/>
  <c r="AC1400" i="15" s="1"/>
  <c r="V1400" i="15"/>
  <c r="S1400" i="15"/>
  <c r="N1400" i="15"/>
  <c r="M1400" i="15"/>
  <c r="Q1400" i="15"/>
  <c r="W1400" i="15" s="1"/>
  <c r="AA1399" i="15"/>
  <c r="Z1399" i="15"/>
  <c r="U1399" i="15"/>
  <c r="S1399" i="15"/>
  <c r="N1399" i="15"/>
  <c r="M1399" i="15"/>
  <c r="Q1399" i="15"/>
  <c r="AA1398" i="15"/>
  <c r="Z1398" i="15"/>
  <c r="U1398" i="15"/>
  <c r="V1398" i="15"/>
  <c r="S1398" i="15"/>
  <c r="N1398" i="15"/>
  <c r="M1398" i="15"/>
  <c r="Q1398" i="15"/>
  <c r="AA1397" i="15"/>
  <c r="Z1397" i="15"/>
  <c r="U1397" i="15"/>
  <c r="V1397" i="15"/>
  <c r="S1397" i="15"/>
  <c r="N1397" i="15"/>
  <c r="M1397" i="15"/>
  <c r="Q1397" i="15"/>
  <c r="AA1396" i="15"/>
  <c r="Z1396" i="15"/>
  <c r="AC1396" i="15" s="1"/>
  <c r="U1396" i="15"/>
  <c r="S1396" i="15"/>
  <c r="N1396" i="15"/>
  <c r="M1396" i="15"/>
  <c r="AA1395" i="15"/>
  <c r="Z1395" i="15"/>
  <c r="AC1395" i="15" s="1"/>
  <c r="U1395" i="15"/>
  <c r="S1395" i="15"/>
  <c r="N1395" i="15"/>
  <c r="M1395" i="15"/>
  <c r="Q1395" i="15"/>
  <c r="X1395" i="15" s="1"/>
  <c r="AA1394" i="15"/>
  <c r="Z1394" i="15"/>
  <c r="AC1394" i="15" s="1"/>
  <c r="U1394" i="15"/>
  <c r="S1394" i="15"/>
  <c r="N1394" i="15"/>
  <c r="M1394" i="15"/>
  <c r="Q1394" i="15"/>
  <c r="AA1393" i="15"/>
  <c r="Z1393" i="15"/>
  <c r="U1393" i="15"/>
  <c r="S1393" i="15"/>
  <c r="N1393" i="15"/>
  <c r="M1393" i="15"/>
  <c r="Q1393" i="15"/>
  <c r="AA1392" i="15"/>
  <c r="Z1392" i="15"/>
  <c r="AC1392" i="15" s="1"/>
  <c r="U1392" i="15"/>
  <c r="S1392" i="15"/>
  <c r="N1392" i="15"/>
  <c r="M1392" i="15"/>
  <c r="Q1392" i="15"/>
  <c r="AA1391" i="15"/>
  <c r="Z1391" i="15"/>
  <c r="U1391" i="15"/>
  <c r="S1391" i="15"/>
  <c r="N1391" i="15"/>
  <c r="M1391" i="15"/>
  <c r="Q1391" i="15"/>
  <c r="X1391" i="15" s="1"/>
  <c r="AA1390" i="15"/>
  <c r="Z1390" i="15"/>
  <c r="U1390" i="15"/>
  <c r="S1390" i="15"/>
  <c r="N1390" i="15"/>
  <c r="M1390" i="15"/>
  <c r="Q1390" i="15"/>
  <c r="AA1389" i="15"/>
  <c r="Z1389" i="15"/>
  <c r="U1389" i="15"/>
  <c r="S1389" i="15"/>
  <c r="N1389" i="15"/>
  <c r="M1389" i="15"/>
  <c r="Q1389" i="15"/>
  <c r="AA1388" i="15"/>
  <c r="Z1388" i="15"/>
  <c r="AC1388" i="15" s="1"/>
  <c r="U1388" i="15"/>
  <c r="S1388" i="15"/>
  <c r="N1388" i="15"/>
  <c r="M1388" i="15"/>
  <c r="AA1387" i="15"/>
  <c r="Z1387" i="15"/>
  <c r="U1387" i="15"/>
  <c r="S1387" i="15"/>
  <c r="N1387" i="15"/>
  <c r="M1387" i="15"/>
  <c r="Q1387" i="15"/>
  <c r="AA1386" i="15"/>
  <c r="Z1386" i="15"/>
  <c r="AC1386" i="15" s="1"/>
  <c r="U1386" i="15"/>
  <c r="V1386" i="15"/>
  <c r="S1386" i="15"/>
  <c r="N1386" i="15"/>
  <c r="M1386" i="15"/>
  <c r="Q1386" i="15"/>
  <c r="AA1385" i="15"/>
  <c r="Z1385" i="15"/>
  <c r="U1385" i="15"/>
  <c r="S1385" i="15"/>
  <c r="N1385" i="15"/>
  <c r="M1385" i="15"/>
  <c r="Q1385" i="15"/>
  <c r="AA1384" i="15"/>
  <c r="Z1384" i="15"/>
  <c r="U1384" i="15"/>
  <c r="S1384" i="15"/>
  <c r="N1384" i="15"/>
  <c r="M1384" i="15"/>
  <c r="AA1383" i="15"/>
  <c r="Z1383" i="15"/>
  <c r="U1383" i="15"/>
  <c r="S1383" i="15"/>
  <c r="N1383" i="15"/>
  <c r="M1383" i="15"/>
  <c r="Q1383" i="15"/>
  <c r="AA1382" i="15"/>
  <c r="Z1382" i="15"/>
  <c r="AC1382" i="15" s="1"/>
  <c r="U1382" i="15"/>
  <c r="V1382" i="15"/>
  <c r="S1382" i="15"/>
  <c r="N1382" i="15"/>
  <c r="M1382" i="15"/>
  <c r="Q1382" i="15"/>
  <c r="AA1381" i="15"/>
  <c r="Z1381" i="15"/>
  <c r="AC1381" i="15" s="1"/>
  <c r="V1381" i="15"/>
  <c r="S1381" i="15"/>
  <c r="N1381" i="15"/>
  <c r="M1381" i="15"/>
  <c r="AA1380" i="15"/>
  <c r="Z1380" i="15"/>
  <c r="U1380" i="15"/>
  <c r="S1380" i="15"/>
  <c r="N1380" i="15"/>
  <c r="M1380" i="15"/>
  <c r="AA1379" i="15"/>
  <c r="Z1379" i="15"/>
  <c r="U1379" i="15"/>
  <c r="S1379" i="15"/>
  <c r="N1379" i="15"/>
  <c r="M1379" i="15"/>
  <c r="Q1379" i="15"/>
  <c r="AA1378" i="15"/>
  <c r="Z1378" i="15"/>
  <c r="AC1378" i="15" s="1"/>
  <c r="U1378" i="15"/>
  <c r="V1378" i="15"/>
  <c r="S1378" i="15"/>
  <c r="N1378" i="15"/>
  <c r="M1378" i="15"/>
  <c r="Q1378" i="15"/>
  <c r="X1378" i="15" s="1"/>
  <c r="AA1377" i="15"/>
  <c r="Z1377" i="15"/>
  <c r="AC1377" i="15" s="1"/>
  <c r="U1377" i="15"/>
  <c r="S1377" i="15"/>
  <c r="N1377" i="15"/>
  <c r="M1377" i="15"/>
  <c r="AA1376" i="15"/>
  <c r="Z1376" i="15"/>
  <c r="U1376" i="15"/>
  <c r="S1376" i="15"/>
  <c r="N1376" i="15"/>
  <c r="M1376" i="15"/>
  <c r="AA1375" i="15"/>
  <c r="Z1375" i="15"/>
  <c r="U1375" i="15"/>
  <c r="S1375" i="15"/>
  <c r="N1375" i="15"/>
  <c r="M1375" i="15"/>
  <c r="Q1375" i="15"/>
  <c r="AA1374" i="15"/>
  <c r="Z1374" i="15"/>
  <c r="U1374" i="15"/>
  <c r="S1374" i="15"/>
  <c r="N1374" i="15"/>
  <c r="M1374" i="15"/>
  <c r="Q1374" i="15"/>
  <c r="X1374" i="15" s="1"/>
  <c r="AA1373" i="15"/>
  <c r="Z1373" i="15"/>
  <c r="U1373" i="15"/>
  <c r="S1373" i="15"/>
  <c r="N1373" i="15"/>
  <c r="M1373" i="15"/>
  <c r="Q1373" i="15"/>
  <c r="AA1372" i="15"/>
  <c r="Z1372" i="15"/>
  <c r="U1372" i="15"/>
  <c r="S1372" i="15"/>
  <c r="N1372" i="15"/>
  <c r="M1372" i="15"/>
  <c r="Q1372" i="15"/>
  <c r="AA1371" i="15"/>
  <c r="Z1371" i="15"/>
  <c r="U1371" i="15"/>
  <c r="S1371" i="15"/>
  <c r="N1371" i="15"/>
  <c r="M1371" i="15"/>
  <c r="Q1371" i="15"/>
  <c r="AA1370" i="15"/>
  <c r="Z1370" i="15"/>
  <c r="U1370" i="15"/>
  <c r="S1370" i="15"/>
  <c r="N1370" i="15"/>
  <c r="M1370" i="15"/>
  <c r="Q1370" i="15"/>
  <c r="X1370" i="15" s="1"/>
  <c r="AA1369" i="15"/>
  <c r="AD1369" i="15" s="1"/>
  <c r="Z1369" i="15"/>
  <c r="AC1369" i="15" s="1"/>
  <c r="U1369" i="15"/>
  <c r="S1369" i="15"/>
  <c r="N1369" i="15"/>
  <c r="M1369" i="15"/>
  <c r="AA1368" i="15"/>
  <c r="Z1368" i="15"/>
  <c r="U1368" i="15"/>
  <c r="S1368" i="15"/>
  <c r="N1368" i="15"/>
  <c r="M1368" i="15"/>
  <c r="AA1367" i="15"/>
  <c r="Z1367" i="15"/>
  <c r="AC1367" i="15" s="1"/>
  <c r="U1367" i="15"/>
  <c r="S1367" i="15"/>
  <c r="N1367" i="15"/>
  <c r="M1367" i="15"/>
  <c r="Q1367" i="15"/>
  <c r="AA1366" i="15"/>
  <c r="Z1366" i="15"/>
  <c r="AC1366" i="15" s="1"/>
  <c r="U1366" i="15"/>
  <c r="V1366" i="15"/>
  <c r="S1366" i="15"/>
  <c r="N1366" i="15"/>
  <c r="M1366" i="15"/>
  <c r="Q1366" i="15"/>
  <c r="X1366" i="15" s="1"/>
  <c r="AA1365" i="15"/>
  <c r="Z1365" i="15"/>
  <c r="AC1365" i="15" s="1"/>
  <c r="U1365" i="15"/>
  <c r="S1365" i="15"/>
  <c r="N1365" i="15"/>
  <c r="M1365" i="15"/>
  <c r="Q1365" i="15"/>
  <c r="AA1364" i="15"/>
  <c r="Z1364" i="15"/>
  <c r="AC1364" i="15" s="1"/>
  <c r="U1364" i="15"/>
  <c r="S1364" i="15"/>
  <c r="N1364" i="15"/>
  <c r="M1364" i="15"/>
  <c r="AA1363" i="15"/>
  <c r="Z1363" i="15"/>
  <c r="AC1363" i="15" s="1"/>
  <c r="U1363" i="15"/>
  <c r="S1363" i="15"/>
  <c r="N1363" i="15"/>
  <c r="M1363" i="15"/>
  <c r="Q1363" i="15"/>
  <c r="AA1362" i="15"/>
  <c r="Z1362" i="15"/>
  <c r="AC1362" i="15" s="1"/>
  <c r="U1362" i="15"/>
  <c r="V1362" i="15"/>
  <c r="S1362" i="15"/>
  <c r="N1362" i="15"/>
  <c r="M1362" i="15"/>
  <c r="Q1362" i="15"/>
  <c r="AA1361" i="15"/>
  <c r="Z1361" i="15"/>
  <c r="U1361" i="15"/>
  <c r="S1361" i="15"/>
  <c r="N1361" i="15"/>
  <c r="M1361" i="15"/>
  <c r="Q1361" i="15"/>
  <c r="AA1360" i="15"/>
  <c r="Z1360" i="15"/>
  <c r="AC1360" i="15" s="1"/>
  <c r="U1360" i="15"/>
  <c r="S1360" i="15"/>
  <c r="N1360" i="15"/>
  <c r="M1360" i="15"/>
  <c r="AA1359" i="15"/>
  <c r="Z1359" i="15"/>
  <c r="AC1359" i="15" s="1"/>
  <c r="U1359" i="15"/>
  <c r="S1359" i="15"/>
  <c r="N1359" i="15"/>
  <c r="M1359" i="15"/>
  <c r="Q1359" i="15"/>
  <c r="AA1358" i="15"/>
  <c r="Z1358" i="15"/>
  <c r="U1358" i="15"/>
  <c r="V1358" i="15"/>
  <c r="S1358" i="15"/>
  <c r="N1358" i="15"/>
  <c r="M1358" i="15"/>
  <c r="Q1358" i="15"/>
  <c r="X1358" i="15" s="1"/>
  <c r="AA1357" i="15"/>
  <c r="Z1357" i="15"/>
  <c r="AC1357" i="15" s="1"/>
  <c r="U1357" i="15"/>
  <c r="V1357" i="15"/>
  <c r="S1357" i="15"/>
  <c r="N1357" i="15"/>
  <c r="M1357" i="15"/>
  <c r="Q1357" i="15"/>
  <c r="W1357" i="15" s="1"/>
  <c r="AA1356" i="15"/>
  <c r="Z1356" i="15"/>
  <c r="AC1356" i="15" s="1"/>
  <c r="U1356" i="15"/>
  <c r="S1356" i="15"/>
  <c r="N1356" i="15"/>
  <c r="M1356" i="15"/>
  <c r="Q1356" i="15"/>
  <c r="AA1355" i="15"/>
  <c r="Z1355" i="15"/>
  <c r="AC1355" i="15" s="1"/>
  <c r="U1355" i="15"/>
  <c r="S1355" i="15"/>
  <c r="N1355" i="15"/>
  <c r="M1355" i="15"/>
  <c r="Q1355" i="15"/>
  <c r="X1355" i="15" s="1"/>
  <c r="AA1354" i="15"/>
  <c r="Z1354" i="15"/>
  <c r="AC1354" i="15" s="1"/>
  <c r="U1354" i="15"/>
  <c r="S1354" i="15"/>
  <c r="N1354" i="15"/>
  <c r="M1354" i="15"/>
  <c r="Q1354" i="15"/>
  <c r="X1354" i="15" s="1"/>
  <c r="AA1353" i="15"/>
  <c r="Z1353" i="15"/>
  <c r="AC1353" i="15" s="1"/>
  <c r="U1353" i="15"/>
  <c r="V1353" i="15"/>
  <c r="S1353" i="15"/>
  <c r="N1353" i="15"/>
  <c r="M1353" i="15"/>
  <c r="Q1353" i="15"/>
  <c r="X1353" i="15" s="1"/>
  <c r="AA1352" i="15"/>
  <c r="Z1352" i="15"/>
  <c r="V1352" i="15"/>
  <c r="S1352" i="15"/>
  <c r="N1352" i="15"/>
  <c r="M1352" i="15"/>
  <c r="Q1352" i="15"/>
  <c r="X1352" i="15" s="1"/>
  <c r="AA1351" i="15"/>
  <c r="Z1351" i="15"/>
  <c r="V1351" i="15"/>
  <c r="S1351" i="15"/>
  <c r="N1351" i="15"/>
  <c r="M1351" i="15"/>
  <c r="Q1351" i="15"/>
  <c r="X1351" i="15" s="1"/>
  <c r="AA1350" i="15"/>
  <c r="Z1350" i="15"/>
  <c r="AC1350" i="15" s="1"/>
  <c r="U1350" i="15"/>
  <c r="S1350" i="15"/>
  <c r="N1350" i="15"/>
  <c r="M1350" i="15"/>
  <c r="Q1350" i="15"/>
  <c r="X1350" i="15" s="1"/>
  <c r="AA1349" i="15"/>
  <c r="Z1349" i="15"/>
  <c r="AC1349" i="15" s="1"/>
  <c r="U1349" i="15"/>
  <c r="S1349" i="15"/>
  <c r="N1349" i="15"/>
  <c r="M1349" i="15"/>
  <c r="Q1349" i="15"/>
  <c r="X1349" i="15" s="1"/>
  <c r="AA1348" i="15"/>
  <c r="Z1348" i="15"/>
  <c r="V1348" i="15"/>
  <c r="S1348" i="15"/>
  <c r="N1348" i="15"/>
  <c r="M1348" i="15"/>
  <c r="AA1347" i="15"/>
  <c r="Z1347" i="15"/>
  <c r="AC1347" i="15" s="1"/>
  <c r="U1347" i="15"/>
  <c r="V1347" i="15"/>
  <c r="S1347" i="15"/>
  <c r="N1347" i="15"/>
  <c r="M1347" i="15"/>
  <c r="Q1347" i="15"/>
  <c r="AA1346" i="15"/>
  <c r="Z1346" i="15"/>
  <c r="AC1346" i="15" s="1"/>
  <c r="U1346" i="15"/>
  <c r="S1346" i="15"/>
  <c r="N1346" i="15"/>
  <c r="M1346" i="15"/>
  <c r="Q1346" i="15"/>
  <c r="AA1345" i="15"/>
  <c r="Z1345" i="15"/>
  <c r="U1345" i="15"/>
  <c r="S1345" i="15"/>
  <c r="N1345" i="15"/>
  <c r="M1345" i="15"/>
  <c r="Q1345" i="15"/>
  <c r="AA1344" i="15"/>
  <c r="Z1344" i="15"/>
  <c r="AC1344" i="15" s="1"/>
  <c r="V1344" i="15"/>
  <c r="S1344" i="15"/>
  <c r="N1344" i="15"/>
  <c r="M1344" i="15"/>
  <c r="Q1344" i="15"/>
  <c r="W1344" i="15" s="1"/>
  <c r="AA1343" i="15"/>
  <c r="Z1343" i="15"/>
  <c r="U1343" i="15"/>
  <c r="S1343" i="15"/>
  <c r="N1343" i="15"/>
  <c r="M1343" i="15"/>
  <c r="Q1343" i="15"/>
  <c r="X1343" i="15" s="1"/>
  <c r="AA1342" i="15"/>
  <c r="Z1342" i="15"/>
  <c r="AC1342" i="15" s="1"/>
  <c r="U1342" i="15"/>
  <c r="S1342" i="15"/>
  <c r="N1342" i="15"/>
  <c r="M1342" i="15"/>
  <c r="Q1342" i="15"/>
  <c r="AA1341" i="15"/>
  <c r="Z1341" i="15"/>
  <c r="U1341" i="15"/>
  <c r="S1341" i="15"/>
  <c r="N1341" i="15"/>
  <c r="M1341" i="15"/>
  <c r="Q1341" i="15"/>
  <c r="AA1340" i="15"/>
  <c r="Z1340" i="15"/>
  <c r="U1340" i="15"/>
  <c r="S1340" i="15"/>
  <c r="N1340" i="15"/>
  <c r="M1340" i="15"/>
  <c r="AA1339" i="15"/>
  <c r="Z1339" i="15"/>
  <c r="AC1339" i="15" s="1"/>
  <c r="U1339" i="15"/>
  <c r="S1339" i="15"/>
  <c r="N1339" i="15"/>
  <c r="M1339" i="15"/>
  <c r="Q1339" i="15"/>
  <c r="AA1338" i="15"/>
  <c r="Z1338" i="15"/>
  <c r="U1338" i="15"/>
  <c r="S1338" i="15"/>
  <c r="N1338" i="15"/>
  <c r="M1338" i="15"/>
  <c r="Q1338" i="15"/>
  <c r="X1338" i="15" s="1"/>
  <c r="AA1337" i="15"/>
  <c r="Z1337" i="15"/>
  <c r="U1337" i="15"/>
  <c r="S1337" i="15"/>
  <c r="N1337" i="15"/>
  <c r="M1337" i="15"/>
  <c r="AA1336" i="15"/>
  <c r="Z1336" i="15"/>
  <c r="U1336" i="15"/>
  <c r="S1336" i="15"/>
  <c r="N1336" i="15"/>
  <c r="M1336" i="15"/>
  <c r="AA1335" i="15"/>
  <c r="Z1335" i="15"/>
  <c r="AC1335" i="15" s="1"/>
  <c r="U1335" i="15"/>
  <c r="S1335" i="15"/>
  <c r="N1335" i="15"/>
  <c r="M1335" i="15"/>
  <c r="Q1335" i="15"/>
  <c r="AA1334" i="15"/>
  <c r="Z1334" i="15"/>
  <c r="AC1334" i="15" s="1"/>
  <c r="U1334" i="15"/>
  <c r="S1334" i="15"/>
  <c r="N1334" i="15"/>
  <c r="M1334" i="15"/>
  <c r="Q1334" i="15"/>
  <c r="AA1333" i="15"/>
  <c r="Z1333" i="15"/>
  <c r="AC1333" i="15" s="1"/>
  <c r="U1333" i="15"/>
  <c r="S1333" i="15"/>
  <c r="N1333" i="15"/>
  <c r="M1333" i="15"/>
  <c r="Q1333" i="15"/>
  <c r="AA1332" i="15"/>
  <c r="Z1332" i="15"/>
  <c r="U1332" i="15"/>
  <c r="S1332" i="15"/>
  <c r="N1332" i="15"/>
  <c r="M1332" i="15"/>
  <c r="Q1332" i="15"/>
  <c r="AA1331" i="15"/>
  <c r="Z1331" i="15"/>
  <c r="AC1331" i="15" s="1"/>
  <c r="U1331" i="15"/>
  <c r="S1331" i="15"/>
  <c r="N1331" i="15"/>
  <c r="M1331" i="15"/>
  <c r="Q1331" i="15"/>
  <c r="AA1330" i="15"/>
  <c r="Z1330" i="15"/>
  <c r="AC1330" i="15" s="1"/>
  <c r="U1330" i="15"/>
  <c r="V1330" i="15"/>
  <c r="S1330" i="15"/>
  <c r="N1330" i="15"/>
  <c r="M1330" i="15"/>
  <c r="Q1330" i="15"/>
  <c r="AA1329" i="15"/>
  <c r="Z1329" i="15"/>
  <c r="U1329" i="15"/>
  <c r="S1329" i="15"/>
  <c r="N1329" i="15"/>
  <c r="M1329" i="15"/>
  <c r="Q1329" i="15"/>
  <c r="AA1328" i="15"/>
  <c r="Z1328" i="15"/>
  <c r="AC1328" i="15" s="1"/>
  <c r="U1328" i="15"/>
  <c r="S1328" i="15"/>
  <c r="N1328" i="15"/>
  <c r="M1328" i="15"/>
  <c r="Q1328" i="15"/>
  <c r="AA1327" i="15"/>
  <c r="Z1327" i="15"/>
  <c r="U1327" i="15"/>
  <c r="S1327" i="15"/>
  <c r="N1327" i="15"/>
  <c r="M1327" i="15"/>
  <c r="Q1327" i="15"/>
  <c r="AA1326" i="15"/>
  <c r="Z1326" i="15"/>
  <c r="U1326" i="15"/>
  <c r="S1326" i="15"/>
  <c r="N1326" i="15"/>
  <c r="M1326" i="15"/>
  <c r="Q1326" i="15"/>
  <c r="AA1325" i="15"/>
  <c r="Z1325" i="15"/>
  <c r="U1325" i="15"/>
  <c r="S1325" i="15"/>
  <c r="N1325" i="15"/>
  <c r="M1325" i="15"/>
  <c r="Q1325" i="15"/>
  <c r="AA1324" i="15"/>
  <c r="Z1324" i="15"/>
  <c r="U1324" i="15"/>
  <c r="S1324" i="15"/>
  <c r="N1324" i="15"/>
  <c r="M1324" i="15"/>
  <c r="Q1324" i="15"/>
  <c r="X1324" i="15" s="1"/>
  <c r="AA1323" i="15"/>
  <c r="Z1323" i="15"/>
  <c r="U1323" i="15"/>
  <c r="S1323" i="15"/>
  <c r="N1323" i="15"/>
  <c r="M1323" i="15"/>
  <c r="Q1323" i="15"/>
  <c r="X1323" i="15" s="1"/>
  <c r="AA1322" i="15"/>
  <c r="Z1322" i="15"/>
  <c r="U1322" i="15"/>
  <c r="V1322" i="15"/>
  <c r="S1322" i="15"/>
  <c r="N1322" i="15"/>
  <c r="M1322" i="15"/>
  <c r="Q1322" i="15"/>
  <c r="X1322" i="15" s="1"/>
  <c r="AA1321" i="15"/>
  <c r="Z1321" i="15"/>
  <c r="U1321" i="15"/>
  <c r="S1321" i="15"/>
  <c r="N1321" i="15"/>
  <c r="M1321" i="15"/>
  <c r="Q1321" i="15"/>
  <c r="W1321" i="15" s="1"/>
  <c r="AA1320" i="15"/>
  <c r="Z1320" i="15"/>
  <c r="U1320" i="15"/>
  <c r="S1320" i="15"/>
  <c r="N1320" i="15"/>
  <c r="M1320" i="15"/>
  <c r="Q1320" i="15"/>
  <c r="AA1319" i="15"/>
  <c r="Z1319" i="15"/>
  <c r="U1319" i="15"/>
  <c r="V1319" i="15"/>
  <c r="S1319" i="15"/>
  <c r="N1319" i="15"/>
  <c r="M1319" i="15"/>
  <c r="Q1319" i="15"/>
  <c r="AA1318" i="15"/>
  <c r="Z1318" i="15"/>
  <c r="AC1318" i="15" s="1"/>
  <c r="U1318" i="15"/>
  <c r="S1318" i="15"/>
  <c r="N1318" i="15"/>
  <c r="M1318" i="15"/>
  <c r="Q1318" i="15"/>
  <c r="AA1317" i="15"/>
  <c r="Z1317" i="15"/>
  <c r="U1317" i="15"/>
  <c r="S1317" i="15"/>
  <c r="N1317" i="15"/>
  <c r="M1317" i="15"/>
  <c r="Q1317" i="15"/>
  <c r="AA1316" i="15"/>
  <c r="Z1316" i="15"/>
  <c r="U1316" i="15"/>
  <c r="S1316" i="15"/>
  <c r="N1316" i="15"/>
  <c r="M1316" i="15"/>
  <c r="Q1316" i="15"/>
  <c r="AA1315" i="15"/>
  <c r="Z1315" i="15"/>
  <c r="AC1315" i="15" s="1"/>
  <c r="U1315" i="15"/>
  <c r="V1315" i="15"/>
  <c r="S1315" i="15"/>
  <c r="N1315" i="15"/>
  <c r="M1315" i="15"/>
  <c r="Q1315" i="15"/>
  <c r="AA1314" i="15"/>
  <c r="Z1314" i="15"/>
  <c r="AC1314" i="15" s="1"/>
  <c r="V1314" i="15"/>
  <c r="S1314" i="15"/>
  <c r="N1314" i="15"/>
  <c r="M1314" i="15"/>
  <c r="Q1314" i="15"/>
  <c r="AA1313" i="15"/>
  <c r="Z1313" i="15"/>
  <c r="U1313" i="15"/>
  <c r="S1313" i="15"/>
  <c r="N1313" i="15"/>
  <c r="M1313" i="15"/>
  <c r="Q1313" i="15"/>
  <c r="AA1312" i="15"/>
  <c r="Z1312" i="15"/>
  <c r="AC1312" i="15" s="1"/>
  <c r="U1312" i="15"/>
  <c r="V1312" i="15"/>
  <c r="S1312" i="15"/>
  <c r="N1312" i="15"/>
  <c r="M1312" i="15"/>
  <c r="AA1311" i="15"/>
  <c r="Z1311" i="15"/>
  <c r="U1311" i="15"/>
  <c r="S1311" i="15"/>
  <c r="N1311" i="15"/>
  <c r="M1311" i="15"/>
  <c r="Q1311" i="15"/>
  <c r="AA1310" i="15"/>
  <c r="Z1310" i="15"/>
  <c r="U1310" i="15"/>
  <c r="S1310" i="15"/>
  <c r="N1310" i="15"/>
  <c r="M1310" i="15"/>
  <c r="Q1310" i="15"/>
  <c r="AA1309" i="15"/>
  <c r="Z1309" i="15"/>
  <c r="U1309" i="15"/>
  <c r="S1309" i="15"/>
  <c r="N1309" i="15"/>
  <c r="M1309" i="15"/>
  <c r="Q1309" i="15"/>
  <c r="AA1308" i="15"/>
  <c r="Z1308" i="15"/>
  <c r="AC1308" i="15" s="1"/>
  <c r="U1308" i="15"/>
  <c r="S1308" i="15"/>
  <c r="N1308" i="15"/>
  <c r="M1308" i="15"/>
  <c r="Q1308" i="15"/>
  <c r="AA1307" i="15"/>
  <c r="Z1307" i="15"/>
  <c r="AC1307" i="15" s="1"/>
  <c r="U1307" i="15"/>
  <c r="S1307" i="15"/>
  <c r="N1307" i="15"/>
  <c r="M1307" i="15"/>
  <c r="Q1307" i="15"/>
  <c r="AA1306" i="15"/>
  <c r="Z1306" i="15"/>
  <c r="AC1306" i="15" s="1"/>
  <c r="V1306" i="15"/>
  <c r="S1306" i="15"/>
  <c r="N1306" i="15"/>
  <c r="M1306" i="15"/>
  <c r="Q1306" i="15"/>
  <c r="X1306" i="15" s="1"/>
  <c r="AA1305" i="15"/>
  <c r="Z1305" i="15"/>
  <c r="U1305" i="15"/>
  <c r="S1305" i="15"/>
  <c r="N1305" i="15"/>
  <c r="M1305" i="15"/>
  <c r="Q1305" i="15"/>
  <c r="X1305" i="15" s="1"/>
  <c r="AA1304" i="15"/>
  <c r="Z1304" i="15"/>
  <c r="AC1304" i="15" s="1"/>
  <c r="V1304" i="15"/>
  <c r="S1304" i="15"/>
  <c r="N1304" i="15"/>
  <c r="M1304" i="15"/>
  <c r="Q1304" i="15"/>
  <c r="W1304" i="15" s="1"/>
  <c r="AA1303" i="15"/>
  <c r="Z1303" i="15"/>
  <c r="AC1303" i="15" s="1"/>
  <c r="U1303" i="15"/>
  <c r="V1303" i="15"/>
  <c r="S1303" i="15"/>
  <c r="N1303" i="15"/>
  <c r="M1303" i="15"/>
  <c r="Q1303" i="15"/>
  <c r="X1303" i="15" s="1"/>
  <c r="AA1302" i="15"/>
  <c r="Z1302" i="15"/>
  <c r="U1302" i="15"/>
  <c r="S1302" i="15"/>
  <c r="N1302" i="15"/>
  <c r="M1302" i="15"/>
  <c r="Q1302" i="15"/>
  <c r="AA1301" i="15"/>
  <c r="Z1301" i="15"/>
  <c r="U1301" i="15"/>
  <c r="S1301" i="15"/>
  <c r="N1301" i="15"/>
  <c r="M1301" i="15"/>
  <c r="Q1301" i="15"/>
  <c r="AA1300" i="15"/>
  <c r="Z1300" i="15"/>
  <c r="U1300" i="15"/>
  <c r="S1300" i="15"/>
  <c r="N1300" i="15"/>
  <c r="M1300" i="15"/>
  <c r="Q1300" i="15"/>
  <c r="X1300" i="15" s="1"/>
  <c r="AA1299" i="15"/>
  <c r="Z1299" i="15"/>
  <c r="U1299" i="15"/>
  <c r="S1299" i="15"/>
  <c r="N1299" i="15"/>
  <c r="M1299" i="15"/>
  <c r="Q1299" i="15"/>
  <c r="AA1298" i="15"/>
  <c r="Z1298" i="15"/>
  <c r="AC1298" i="15" s="1"/>
  <c r="U1298" i="15"/>
  <c r="S1298" i="15"/>
  <c r="N1298" i="15"/>
  <c r="M1298" i="15"/>
  <c r="Q1298" i="15"/>
  <c r="AA1297" i="15"/>
  <c r="Z1297" i="15"/>
  <c r="AC1297" i="15" s="1"/>
  <c r="U1297" i="15"/>
  <c r="V1297" i="15"/>
  <c r="S1297" i="15"/>
  <c r="N1297" i="15"/>
  <c r="M1297" i="15"/>
  <c r="AA1296" i="15"/>
  <c r="Z1296" i="15"/>
  <c r="AC1296" i="15" s="1"/>
  <c r="U1296" i="15"/>
  <c r="S1296" i="15"/>
  <c r="N1296" i="15"/>
  <c r="M1296" i="15"/>
  <c r="Q1296" i="15"/>
  <c r="X1296" i="15" s="1"/>
  <c r="AA1295" i="15"/>
  <c r="Z1295" i="15"/>
  <c r="AC1295" i="15" s="1"/>
  <c r="U1295" i="15"/>
  <c r="S1295" i="15"/>
  <c r="N1295" i="15"/>
  <c r="M1295" i="15"/>
  <c r="Q1295" i="15"/>
  <c r="AA1294" i="15"/>
  <c r="Z1294" i="15"/>
  <c r="AC1294" i="15" s="1"/>
  <c r="U1294" i="15"/>
  <c r="S1294" i="15"/>
  <c r="N1294" i="15"/>
  <c r="M1294" i="15"/>
  <c r="Q1294" i="15"/>
  <c r="AA1293" i="15"/>
  <c r="Z1293" i="15"/>
  <c r="AC1293" i="15" s="1"/>
  <c r="U1293" i="15"/>
  <c r="V1293" i="15"/>
  <c r="S1293" i="15"/>
  <c r="N1293" i="15"/>
  <c r="M1293" i="15"/>
  <c r="Q1293" i="15"/>
  <c r="AA1292" i="15"/>
  <c r="Z1292" i="15"/>
  <c r="AC1292" i="15" s="1"/>
  <c r="U1292" i="15"/>
  <c r="S1292" i="15"/>
  <c r="N1292" i="15"/>
  <c r="M1292" i="15"/>
  <c r="Q1292" i="15"/>
  <c r="AA1291" i="15"/>
  <c r="Z1291" i="15"/>
  <c r="U1291" i="15"/>
  <c r="S1291" i="15"/>
  <c r="N1291" i="15"/>
  <c r="M1291" i="15"/>
  <c r="Q1291" i="15"/>
  <c r="AA1290" i="15"/>
  <c r="Z1290" i="15"/>
  <c r="U1290" i="15"/>
  <c r="S1290" i="15"/>
  <c r="N1290" i="15"/>
  <c r="M1290" i="15"/>
  <c r="Q1290" i="15"/>
  <c r="X1290" i="15" s="1"/>
  <c r="AA1289" i="15"/>
  <c r="Z1289" i="15"/>
  <c r="AC1289" i="15" s="1"/>
  <c r="U1289" i="15"/>
  <c r="S1289" i="15"/>
  <c r="N1289" i="15"/>
  <c r="M1289" i="15"/>
  <c r="AA1288" i="15"/>
  <c r="Z1288" i="15"/>
  <c r="U1288" i="15"/>
  <c r="S1288" i="15"/>
  <c r="N1288" i="15"/>
  <c r="M1288" i="15"/>
  <c r="Q1288" i="15"/>
  <c r="X1288" i="15" s="1"/>
  <c r="AA1287" i="15"/>
  <c r="Z1287" i="15"/>
  <c r="U1287" i="15"/>
  <c r="S1287" i="15"/>
  <c r="N1287" i="15"/>
  <c r="M1287" i="15"/>
  <c r="Q1287" i="15"/>
  <c r="AA1286" i="15"/>
  <c r="Z1286" i="15"/>
  <c r="AC1286" i="15" s="1"/>
  <c r="U1286" i="15"/>
  <c r="S1286" i="15"/>
  <c r="N1286" i="15"/>
  <c r="M1286" i="15"/>
  <c r="Q1286" i="15"/>
  <c r="W1286" i="15" s="1"/>
  <c r="AA1285" i="15"/>
  <c r="Z1285" i="15"/>
  <c r="AC1285" i="15" s="1"/>
  <c r="U1285" i="15"/>
  <c r="S1285" i="15"/>
  <c r="N1285" i="15"/>
  <c r="M1285" i="15"/>
  <c r="Q1285" i="15"/>
  <c r="AA1284" i="15"/>
  <c r="Z1284" i="15"/>
  <c r="U1284" i="15"/>
  <c r="S1284" i="15"/>
  <c r="N1284" i="15"/>
  <c r="M1284" i="15"/>
  <c r="Q1284" i="15"/>
  <c r="X1284" i="15" s="1"/>
  <c r="AA1283" i="15"/>
  <c r="Z1283" i="15"/>
  <c r="U1283" i="15"/>
  <c r="S1283" i="15"/>
  <c r="N1283" i="15"/>
  <c r="M1283" i="15"/>
  <c r="Q1283" i="15"/>
  <c r="AA1282" i="15"/>
  <c r="Z1282" i="15"/>
  <c r="AC1282" i="15" s="1"/>
  <c r="U1282" i="15"/>
  <c r="S1282" i="15"/>
  <c r="N1282" i="15"/>
  <c r="M1282" i="15"/>
  <c r="Q1282" i="15"/>
  <c r="AA1281" i="15"/>
  <c r="Z1281" i="15"/>
  <c r="U1281" i="15"/>
  <c r="S1281" i="15"/>
  <c r="N1281" i="15"/>
  <c r="M1281" i="15"/>
  <c r="Q1281" i="15"/>
  <c r="AA1280" i="15"/>
  <c r="Z1280" i="15"/>
  <c r="V1280" i="15"/>
  <c r="S1280" i="15"/>
  <c r="N1280" i="15"/>
  <c r="M1280" i="15"/>
  <c r="Q1280" i="15"/>
  <c r="X1280" i="15" s="1"/>
  <c r="AA1279" i="15"/>
  <c r="Z1279" i="15"/>
  <c r="V1279" i="15"/>
  <c r="S1279" i="15"/>
  <c r="N1279" i="15"/>
  <c r="M1279" i="15"/>
  <c r="Q1279" i="15"/>
  <c r="X1279" i="15" s="1"/>
  <c r="AA1278" i="15"/>
  <c r="Z1278" i="15"/>
  <c r="V1278" i="15"/>
  <c r="S1278" i="15"/>
  <c r="N1278" i="15"/>
  <c r="M1278" i="15"/>
  <c r="Q1278" i="15"/>
  <c r="X1278" i="15" s="1"/>
  <c r="AA1277" i="15"/>
  <c r="Z1277" i="15"/>
  <c r="U1277" i="15"/>
  <c r="S1277" i="15"/>
  <c r="N1277" i="15"/>
  <c r="M1277" i="15"/>
  <c r="Q1277" i="15"/>
  <c r="AA1276" i="15"/>
  <c r="Z1276" i="15"/>
  <c r="V1276" i="15"/>
  <c r="S1276" i="15"/>
  <c r="N1276" i="15"/>
  <c r="M1276" i="15"/>
  <c r="Q1276" i="15"/>
  <c r="AA1275" i="15"/>
  <c r="Z1275" i="15"/>
  <c r="U1275" i="15"/>
  <c r="V1275" i="15"/>
  <c r="S1275" i="15"/>
  <c r="N1275" i="15"/>
  <c r="M1275" i="15"/>
  <c r="Q1275" i="15"/>
  <c r="AA1274" i="15"/>
  <c r="Z1274" i="15"/>
  <c r="U1274" i="15"/>
  <c r="S1274" i="15"/>
  <c r="N1274" i="15"/>
  <c r="M1274" i="15"/>
  <c r="Q1274" i="15"/>
  <c r="AA1273" i="15"/>
  <c r="AD1273" i="15" s="1"/>
  <c r="Z1273" i="15"/>
  <c r="U1273" i="15"/>
  <c r="S1273" i="15"/>
  <c r="N1273" i="15"/>
  <c r="M1273" i="15"/>
  <c r="AA1272" i="15"/>
  <c r="Z1272" i="15"/>
  <c r="AC1272" i="15" s="1"/>
  <c r="U1272" i="15"/>
  <c r="S1272" i="15"/>
  <c r="N1272" i="15"/>
  <c r="M1272" i="15"/>
  <c r="Q1272" i="15"/>
  <c r="AA1271" i="15"/>
  <c r="Z1271" i="15"/>
  <c r="U1271" i="15"/>
  <c r="S1271" i="15"/>
  <c r="N1271" i="15"/>
  <c r="M1271" i="15"/>
  <c r="Q1271" i="15"/>
  <c r="AA1270" i="15"/>
  <c r="Z1270" i="15"/>
  <c r="AC1270" i="15" s="1"/>
  <c r="V1270" i="15"/>
  <c r="S1270" i="15"/>
  <c r="N1270" i="15"/>
  <c r="M1270" i="15"/>
  <c r="Q1270" i="15"/>
  <c r="AA1269" i="15"/>
  <c r="Z1269" i="15"/>
  <c r="U1269" i="15"/>
  <c r="S1269" i="15"/>
  <c r="N1269" i="15"/>
  <c r="M1269" i="15"/>
  <c r="Q1269" i="15"/>
  <c r="AA1268" i="15"/>
  <c r="Z1268" i="15"/>
  <c r="AC1268" i="15" s="1"/>
  <c r="U1268" i="15"/>
  <c r="S1268" i="15"/>
  <c r="N1268" i="15"/>
  <c r="M1268" i="15"/>
  <c r="Q1268" i="15"/>
  <c r="AA1267" i="15"/>
  <c r="Z1267" i="15"/>
  <c r="U1267" i="15"/>
  <c r="S1267" i="15"/>
  <c r="N1267" i="15"/>
  <c r="M1267" i="15"/>
  <c r="Q1267" i="15"/>
  <c r="AA1266" i="15"/>
  <c r="Z1266" i="15"/>
  <c r="AC1266" i="15" s="1"/>
  <c r="U1266" i="15"/>
  <c r="S1266" i="15"/>
  <c r="N1266" i="15"/>
  <c r="M1266" i="15"/>
  <c r="Q1266" i="15"/>
  <c r="AA1265" i="15"/>
  <c r="Z1265" i="15"/>
  <c r="U1265" i="15"/>
  <c r="V1265" i="15"/>
  <c r="S1265" i="15"/>
  <c r="N1265" i="15"/>
  <c r="M1265" i="15"/>
  <c r="Q1265" i="15"/>
  <c r="X1265" i="15" s="1"/>
  <c r="AA1264" i="15"/>
  <c r="Z1264" i="15"/>
  <c r="U1264" i="15"/>
  <c r="S1264" i="15"/>
  <c r="N1264" i="15"/>
  <c r="M1264" i="15"/>
  <c r="Q1264" i="15"/>
  <c r="AA1263" i="15"/>
  <c r="Z1263" i="15"/>
  <c r="U1263" i="15"/>
  <c r="S1263" i="15"/>
  <c r="N1263" i="15"/>
  <c r="M1263" i="15"/>
  <c r="Q1263" i="15"/>
  <c r="AA1262" i="15"/>
  <c r="Z1262" i="15"/>
  <c r="AC1262" i="15" s="1"/>
  <c r="U1262" i="15"/>
  <c r="S1262" i="15"/>
  <c r="N1262" i="15"/>
  <c r="M1262" i="15"/>
  <c r="Q1262" i="15"/>
  <c r="W1262" i="15" s="1"/>
  <c r="AA1261" i="15"/>
  <c r="Z1261" i="15"/>
  <c r="AC1261" i="15" s="1"/>
  <c r="U1261" i="15"/>
  <c r="S1261" i="15"/>
  <c r="N1261" i="15"/>
  <c r="M1261" i="15"/>
  <c r="Q1261" i="15"/>
  <c r="AA1260" i="15"/>
  <c r="Z1260" i="15"/>
  <c r="U1260" i="15"/>
  <c r="S1260" i="15"/>
  <c r="N1260" i="15"/>
  <c r="M1260" i="15"/>
  <c r="Q1260" i="15"/>
  <c r="AA1259" i="15"/>
  <c r="Z1259" i="15"/>
  <c r="AC1259" i="15" s="1"/>
  <c r="U1259" i="15"/>
  <c r="S1259" i="15"/>
  <c r="N1259" i="15"/>
  <c r="M1259" i="15"/>
  <c r="Q1259" i="15"/>
  <c r="AA1258" i="15"/>
  <c r="Z1258" i="15"/>
  <c r="U1258" i="15"/>
  <c r="S1258" i="15"/>
  <c r="N1258" i="15"/>
  <c r="M1258" i="15"/>
  <c r="Q1258" i="15"/>
  <c r="X1258" i="15" s="1"/>
  <c r="AA1257" i="15"/>
  <c r="Z1257" i="15"/>
  <c r="AC1257" i="15" s="1"/>
  <c r="U1257" i="15"/>
  <c r="S1257" i="15"/>
  <c r="N1257" i="15"/>
  <c r="M1257" i="15"/>
  <c r="Q1257" i="15"/>
  <c r="AA1256" i="15"/>
  <c r="Z1256" i="15"/>
  <c r="U1256" i="15"/>
  <c r="S1256" i="15"/>
  <c r="N1256" i="15"/>
  <c r="M1256" i="15"/>
  <c r="Q1256" i="15"/>
  <c r="X1256" i="15" s="1"/>
  <c r="AA1255" i="15"/>
  <c r="Z1255" i="15"/>
  <c r="U1255" i="15"/>
  <c r="S1255" i="15"/>
  <c r="N1255" i="15"/>
  <c r="M1255" i="15"/>
  <c r="Q1255" i="15"/>
  <c r="AA1254" i="15"/>
  <c r="Z1254" i="15"/>
  <c r="AC1254" i="15" s="1"/>
  <c r="U1254" i="15"/>
  <c r="S1254" i="15"/>
  <c r="N1254" i="15"/>
  <c r="M1254" i="15"/>
  <c r="Q1254" i="15"/>
  <c r="W1254" i="15" s="1"/>
  <c r="AA1253" i="15"/>
  <c r="Z1253" i="15"/>
  <c r="U1253" i="15"/>
  <c r="S1253" i="15"/>
  <c r="N1253" i="15"/>
  <c r="M1253" i="15"/>
  <c r="Q1253" i="15"/>
  <c r="X1253" i="15" s="1"/>
  <c r="AA1252" i="15"/>
  <c r="Z1252" i="15"/>
  <c r="U1252" i="15"/>
  <c r="S1252" i="15"/>
  <c r="N1252" i="15"/>
  <c r="M1252" i="15"/>
  <c r="Q1252" i="15"/>
  <c r="AA1251" i="15"/>
  <c r="Z1251" i="15"/>
  <c r="U1251" i="15"/>
  <c r="S1251" i="15"/>
  <c r="N1251" i="15"/>
  <c r="M1251" i="15"/>
  <c r="Q1251" i="15"/>
  <c r="AA1250" i="15"/>
  <c r="Z1250" i="15"/>
  <c r="AC1250" i="15" s="1"/>
  <c r="U1250" i="15"/>
  <c r="S1250" i="15"/>
  <c r="N1250" i="15"/>
  <c r="M1250" i="15"/>
  <c r="Q1250" i="15"/>
  <c r="AA1249" i="15"/>
  <c r="Z1249" i="15"/>
  <c r="U1249" i="15"/>
  <c r="S1249" i="15"/>
  <c r="N1249" i="15"/>
  <c r="M1249" i="15"/>
  <c r="Q1249" i="15"/>
  <c r="AA1248" i="15"/>
  <c r="Z1248" i="15"/>
  <c r="U1248" i="15"/>
  <c r="S1248" i="15"/>
  <c r="N1248" i="15"/>
  <c r="M1248" i="15"/>
  <c r="Q1248" i="15"/>
  <c r="AA1247" i="15"/>
  <c r="Z1247" i="15"/>
  <c r="U1247" i="15"/>
  <c r="S1247" i="15"/>
  <c r="N1247" i="15"/>
  <c r="M1247" i="15"/>
  <c r="Q1247" i="15"/>
  <c r="AA1246" i="15"/>
  <c r="Z1246" i="15"/>
  <c r="AC1246" i="15" s="1"/>
  <c r="U1246" i="15"/>
  <c r="S1246" i="15"/>
  <c r="N1246" i="15"/>
  <c r="M1246" i="15"/>
  <c r="Q1246" i="15"/>
  <c r="W1246" i="15" s="1"/>
  <c r="AA1245" i="15"/>
  <c r="Z1245" i="15"/>
  <c r="U1245" i="15"/>
  <c r="S1245" i="15"/>
  <c r="N1245" i="15"/>
  <c r="M1245" i="15"/>
  <c r="Q1245" i="15"/>
  <c r="X1245" i="15" s="1"/>
  <c r="AA1244" i="15"/>
  <c r="Z1244" i="15"/>
  <c r="U1244" i="15"/>
  <c r="S1244" i="15"/>
  <c r="N1244" i="15"/>
  <c r="M1244" i="15"/>
  <c r="Q1244" i="15"/>
  <c r="AA1243" i="15"/>
  <c r="Z1243" i="15"/>
  <c r="U1243" i="15"/>
  <c r="S1243" i="15"/>
  <c r="N1243" i="15"/>
  <c r="M1243" i="15"/>
  <c r="Q1243" i="15"/>
  <c r="AA1242" i="15"/>
  <c r="Z1242" i="15"/>
  <c r="U1242" i="15"/>
  <c r="S1242" i="15"/>
  <c r="N1242" i="15"/>
  <c r="M1242" i="15"/>
  <c r="Q1242" i="15"/>
  <c r="W1242" i="15" s="1"/>
  <c r="AA1241" i="15"/>
  <c r="Z1241" i="15"/>
  <c r="AC1241" i="15" s="1"/>
  <c r="U1241" i="15"/>
  <c r="S1241" i="15"/>
  <c r="N1241" i="15"/>
  <c r="M1241" i="15"/>
  <c r="Q1241" i="15"/>
  <c r="AA1240" i="15"/>
  <c r="Z1240" i="15"/>
  <c r="U1240" i="15"/>
  <c r="S1240" i="15"/>
  <c r="N1240" i="15"/>
  <c r="M1240" i="15"/>
  <c r="Q1240" i="15"/>
  <c r="AA1239" i="15"/>
  <c r="Z1239" i="15"/>
  <c r="U1239" i="15"/>
  <c r="S1239" i="15"/>
  <c r="N1239" i="15"/>
  <c r="M1239" i="15"/>
  <c r="Q1239" i="15"/>
  <c r="AA1238" i="15"/>
  <c r="Z1238" i="15"/>
  <c r="AC1238" i="15" s="1"/>
  <c r="U1238" i="15"/>
  <c r="S1238" i="15"/>
  <c r="N1238" i="15"/>
  <c r="M1238" i="15"/>
  <c r="Q1238" i="15"/>
  <c r="AA1237" i="15"/>
  <c r="Z1237" i="15"/>
  <c r="U1237" i="15"/>
  <c r="S1237" i="15"/>
  <c r="N1237" i="15"/>
  <c r="M1237" i="15"/>
  <c r="Q1237" i="15"/>
  <c r="AA1236" i="15"/>
  <c r="Z1236" i="15"/>
  <c r="U1236" i="15"/>
  <c r="S1236" i="15"/>
  <c r="N1236" i="15"/>
  <c r="M1236" i="15"/>
  <c r="Q1236" i="15"/>
  <c r="AA1235" i="15"/>
  <c r="Z1235" i="15"/>
  <c r="U1235" i="15"/>
  <c r="S1235" i="15"/>
  <c r="N1235" i="15"/>
  <c r="M1235" i="15"/>
  <c r="Q1235" i="15"/>
  <c r="W1235" i="15" s="1"/>
  <c r="AA1234" i="15"/>
  <c r="Z1234" i="15"/>
  <c r="AC1234" i="15" s="1"/>
  <c r="U1234" i="15"/>
  <c r="S1234" i="15"/>
  <c r="N1234" i="15"/>
  <c r="M1234" i="15"/>
  <c r="Q1234" i="15"/>
  <c r="X1234" i="15" s="1"/>
  <c r="AA1233" i="15"/>
  <c r="Z1233" i="15"/>
  <c r="U1233" i="15"/>
  <c r="S1233" i="15"/>
  <c r="N1233" i="15"/>
  <c r="M1233" i="15"/>
  <c r="Q1233" i="15"/>
  <c r="X1233" i="15" s="1"/>
  <c r="AA1232" i="15"/>
  <c r="Z1232" i="15"/>
  <c r="AC1232" i="15" s="1"/>
  <c r="U1232" i="15"/>
  <c r="S1232" i="15"/>
  <c r="N1232" i="15"/>
  <c r="M1232" i="15"/>
  <c r="Q1232" i="15"/>
  <c r="W1232" i="15" s="1"/>
  <c r="AA1231" i="15"/>
  <c r="Z1231" i="15"/>
  <c r="AC1231" i="15" s="1"/>
  <c r="U1231" i="15"/>
  <c r="S1231" i="15"/>
  <c r="N1231" i="15"/>
  <c r="M1231" i="15"/>
  <c r="Q1231" i="15"/>
  <c r="AA1230" i="15"/>
  <c r="Z1230" i="15"/>
  <c r="AC1230" i="15" s="1"/>
  <c r="U1230" i="15"/>
  <c r="S1230" i="15"/>
  <c r="N1230" i="15"/>
  <c r="M1230" i="15"/>
  <c r="Q1230" i="15"/>
  <c r="X1230" i="15" s="1"/>
  <c r="AA1229" i="15"/>
  <c r="Z1229" i="15"/>
  <c r="U1229" i="15"/>
  <c r="S1229" i="15"/>
  <c r="N1229" i="15"/>
  <c r="M1229" i="15"/>
  <c r="Q1229" i="15"/>
  <c r="AA1228" i="15"/>
  <c r="Z1228" i="15"/>
  <c r="U1228" i="15"/>
  <c r="S1228" i="15"/>
  <c r="N1228" i="15"/>
  <c r="M1228" i="15"/>
  <c r="Q1228" i="15"/>
  <c r="AA1227" i="15"/>
  <c r="Z1227" i="15"/>
  <c r="AC1227" i="15" s="1"/>
  <c r="U1227" i="15"/>
  <c r="S1227" i="15"/>
  <c r="N1227" i="15"/>
  <c r="M1227" i="15"/>
  <c r="Q1227" i="15"/>
  <c r="AA1226" i="15"/>
  <c r="Z1226" i="15"/>
  <c r="AC1226" i="15" s="1"/>
  <c r="V1226" i="15"/>
  <c r="S1226" i="15"/>
  <c r="N1226" i="15"/>
  <c r="M1226" i="15"/>
  <c r="Q1226" i="15"/>
  <c r="W1226" i="15" s="1"/>
  <c r="AA1225" i="15"/>
  <c r="Z1225" i="15"/>
  <c r="AC1225" i="15" s="1"/>
  <c r="U1225" i="15"/>
  <c r="S1225" i="15"/>
  <c r="N1225" i="15"/>
  <c r="M1225" i="15"/>
  <c r="Q1225" i="15"/>
  <c r="AA1224" i="15"/>
  <c r="Z1224" i="15"/>
  <c r="AC1224" i="15" s="1"/>
  <c r="V1224" i="15"/>
  <c r="S1224" i="15"/>
  <c r="N1224" i="15"/>
  <c r="M1224" i="15"/>
  <c r="Q1224" i="15"/>
  <c r="AA1223" i="15"/>
  <c r="Z1223" i="15"/>
  <c r="AC1223" i="15" s="1"/>
  <c r="U1223" i="15"/>
  <c r="S1223" i="15"/>
  <c r="N1223" i="15"/>
  <c r="M1223" i="15"/>
  <c r="Q1223" i="15"/>
  <c r="AA1222" i="15"/>
  <c r="Z1222" i="15"/>
  <c r="AC1222" i="15" s="1"/>
  <c r="U1222" i="15"/>
  <c r="S1222" i="15"/>
  <c r="N1222" i="15"/>
  <c r="M1222" i="15"/>
  <c r="Q1222" i="15"/>
  <c r="AA1221" i="15"/>
  <c r="Z1221" i="15"/>
  <c r="AC1221" i="15" s="1"/>
  <c r="U1221" i="15"/>
  <c r="V1221" i="15"/>
  <c r="S1221" i="15"/>
  <c r="N1221" i="15"/>
  <c r="M1221" i="15"/>
  <c r="Q1221" i="15"/>
  <c r="X1221" i="15" s="1"/>
  <c r="AA1220" i="15"/>
  <c r="Z1220" i="15"/>
  <c r="U1220" i="15"/>
  <c r="V1220" i="15"/>
  <c r="S1220" i="15"/>
  <c r="N1220" i="15"/>
  <c r="M1220" i="15"/>
  <c r="AA1219" i="15"/>
  <c r="Z1219" i="15"/>
  <c r="U1219" i="15"/>
  <c r="S1219" i="15"/>
  <c r="N1219" i="15"/>
  <c r="M1219" i="15"/>
  <c r="Q1219" i="15"/>
  <c r="AA1218" i="15"/>
  <c r="Z1218" i="15"/>
  <c r="AC1218" i="15" s="1"/>
  <c r="V1218" i="15"/>
  <c r="S1218" i="15"/>
  <c r="N1218" i="15"/>
  <c r="M1218" i="15"/>
  <c r="Q1218" i="15"/>
  <c r="W1218" i="15" s="1"/>
  <c r="AA1217" i="15"/>
  <c r="Z1217" i="15"/>
  <c r="U1217" i="15"/>
  <c r="S1217" i="15"/>
  <c r="N1217" i="15"/>
  <c r="M1217" i="15"/>
  <c r="Q1217" i="15"/>
  <c r="X1217" i="15" s="1"/>
  <c r="AA1216" i="15"/>
  <c r="Z1216" i="15"/>
  <c r="U1216" i="15"/>
  <c r="S1216" i="15"/>
  <c r="N1216" i="15"/>
  <c r="M1216" i="15"/>
  <c r="Q1216" i="15"/>
  <c r="AA1215" i="15"/>
  <c r="Z1215" i="15"/>
  <c r="U1215" i="15"/>
  <c r="S1215" i="15"/>
  <c r="N1215" i="15"/>
  <c r="M1215" i="15"/>
  <c r="Q1215" i="15"/>
  <c r="AA1214" i="15"/>
  <c r="Z1214" i="15"/>
  <c r="AC1214" i="15" s="1"/>
  <c r="U1214" i="15"/>
  <c r="S1214" i="15"/>
  <c r="N1214" i="15"/>
  <c r="M1214" i="15"/>
  <c r="Q1214" i="15"/>
  <c r="X1214" i="15" s="1"/>
  <c r="AA1213" i="15"/>
  <c r="Z1213" i="15"/>
  <c r="AC1213" i="15" s="1"/>
  <c r="U1213" i="15"/>
  <c r="S1213" i="15"/>
  <c r="N1213" i="15"/>
  <c r="M1213" i="15"/>
  <c r="Q1213" i="15"/>
  <c r="W1213" i="15" s="1"/>
  <c r="AA1212" i="15"/>
  <c r="Z1212" i="15"/>
  <c r="AC1212" i="15" s="1"/>
  <c r="U1212" i="15"/>
  <c r="V1212" i="15"/>
  <c r="S1212" i="15"/>
  <c r="N1212" i="15"/>
  <c r="M1212" i="15"/>
  <c r="Q1212" i="15"/>
  <c r="AA1211" i="15"/>
  <c r="Z1211" i="15"/>
  <c r="U1211" i="15"/>
  <c r="S1211" i="15"/>
  <c r="N1211" i="15"/>
  <c r="M1211" i="15"/>
  <c r="Q1211" i="15"/>
  <c r="AA1210" i="15"/>
  <c r="Z1210" i="15"/>
  <c r="U1210" i="15"/>
  <c r="S1210" i="15"/>
  <c r="N1210" i="15"/>
  <c r="M1210" i="15"/>
  <c r="Q1210" i="15"/>
  <c r="AA1209" i="15"/>
  <c r="Z1209" i="15"/>
  <c r="U1209" i="15"/>
  <c r="S1209" i="15"/>
  <c r="N1209" i="15"/>
  <c r="M1209" i="15"/>
  <c r="Q1209" i="15"/>
  <c r="X1209" i="15" s="1"/>
  <c r="AA1208" i="15"/>
  <c r="Z1208" i="15"/>
  <c r="U1208" i="15"/>
  <c r="S1208" i="15"/>
  <c r="N1208" i="15"/>
  <c r="M1208" i="15"/>
  <c r="Q1208" i="15"/>
  <c r="AA1207" i="15"/>
  <c r="Z1207" i="15"/>
  <c r="U1207" i="15"/>
  <c r="S1207" i="15"/>
  <c r="N1207" i="15"/>
  <c r="M1207" i="15"/>
  <c r="AA1206" i="15"/>
  <c r="Z1206" i="15"/>
  <c r="AC1206" i="15" s="1"/>
  <c r="U1206" i="15"/>
  <c r="S1206" i="15"/>
  <c r="N1206" i="15"/>
  <c r="M1206" i="15"/>
  <c r="Q1206" i="15"/>
  <c r="AA1205" i="15"/>
  <c r="Z1205" i="15"/>
  <c r="AC1205" i="15" s="1"/>
  <c r="U1205" i="15"/>
  <c r="S1205" i="15"/>
  <c r="N1205" i="15"/>
  <c r="M1205" i="15"/>
  <c r="Q1205" i="15"/>
  <c r="AA1204" i="15"/>
  <c r="Z1204" i="15"/>
  <c r="AC1204" i="15" s="1"/>
  <c r="U1204" i="15"/>
  <c r="S1204" i="15"/>
  <c r="N1204" i="15"/>
  <c r="M1204" i="15"/>
  <c r="Q1204" i="15"/>
  <c r="AA1203" i="15"/>
  <c r="Z1203" i="15"/>
  <c r="U1203" i="15"/>
  <c r="S1203" i="15"/>
  <c r="N1203" i="15"/>
  <c r="M1203" i="15"/>
  <c r="Q1203" i="15"/>
  <c r="AA1202" i="15"/>
  <c r="Z1202" i="15"/>
  <c r="AC1202" i="15" s="1"/>
  <c r="U1202" i="15"/>
  <c r="S1202" i="15"/>
  <c r="N1202" i="15"/>
  <c r="M1202" i="15"/>
  <c r="Q1202" i="15"/>
  <c r="AA1201" i="15"/>
  <c r="Z1201" i="15"/>
  <c r="U1201" i="15"/>
  <c r="S1201" i="15"/>
  <c r="N1201" i="15"/>
  <c r="M1201" i="15"/>
  <c r="Q1201" i="15"/>
  <c r="AA1200" i="15"/>
  <c r="Z1200" i="15"/>
  <c r="U1200" i="15"/>
  <c r="S1200" i="15"/>
  <c r="N1200" i="15"/>
  <c r="M1200" i="15"/>
  <c r="Q1200" i="15"/>
  <c r="AA1199" i="15"/>
  <c r="Z1199" i="15"/>
  <c r="U1199" i="15"/>
  <c r="S1199" i="15"/>
  <c r="N1199" i="15"/>
  <c r="M1199" i="15"/>
  <c r="AD1199" i="15" s="1"/>
  <c r="Q1199" i="15"/>
  <c r="AA1198" i="15"/>
  <c r="Z1198" i="15"/>
  <c r="AC1198" i="15" s="1"/>
  <c r="U1198" i="15"/>
  <c r="S1198" i="15"/>
  <c r="N1198" i="15"/>
  <c r="M1198" i="15"/>
  <c r="Q1198" i="15"/>
  <c r="W1198" i="15" s="1"/>
  <c r="AA1197" i="15"/>
  <c r="Z1197" i="15"/>
  <c r="U1197" i="15"/>
  <c r="S1197" i="15"/>
  <c r="N1197" i="15"/>
  <c r="M1197" i="15"/>
  <c r="Q1197" i="15"/>
  <c r="AA1196" i="15"/>
  <c r="AD1196" i="15" s="1"/>
  <c r="Z1196" i="15"/>
  <c r="U1196" i="15"/>
  <c r="S1196" i="15"/>
  <c r="N1196" i="15"/>
  <c r="M1196" i="15"/>
  <c r="Q1196" i="15"/>
  <c r="AA1195" i="15"/>
  <c r="Z1195" i="15"/>
  <c r="U1195" i="15"/>
  <c r="S1195" i="15"/>
  <c r="N1195" i="15"/>
  <c r="M1195" i="15"/>
  <c r="Q1195" i="15"/>
  <c r="AA1194" i="15"/>
  <c r="Z1194" i="15"/>
  <c r="U1194" i="15"/>
  <c r="V1194" i="15"/>
  <c r="S1194" i="15"/>
  <c r="N1194" i="15"/>
  <c r="M1194" i="15"/>
  <c r="AD1194" i="15" s="1"/>
  <c r="Q1194" i="15"/>
  <c r="AA1193" i="15"/>
  <c r="Z1193" i="15"/>
  <c r="AC1193" i="15" s="1"/>
  <c r="U1193" i="15"/>
  <c r="V1193" i="15"/>
  <c r="S1193" i="15"/>
  <c r="N1193" i="15"/>
  <c r="M1193" i="15"/>
  <c r="Q1193" i="15"/>
  <c r="AA1192" i="15"/>
  <c r="Z1192" i="15"/>
  <c r="AC1192" i="15" s="1"/>
  <c r="U1192" i="15"/>
  <c r="S1192" i="15"/>
  <c r="N1192" i="15"/>
  <c r="M1192" i="15"/>
  <c r="Q1192" i="15"/>
  <c r="AA1191" i="15"/>
  <c r="Z1191" i="15"/>
  <c r="U1191" i="15"/>
  <c r="S1191" i="15"/>
  <c r="N1191" i="15"/>
  <c r="M1191" i="15"/>
  <c r="Q1191" i="15"/>
  <c r="W1191" i="15" s="1"/>
  <c r="AA1190" i="15"/>
  <c r="Z1190" i="15"/>
  <c r="AC1190" i="15" s="1"/>
  <c r="U1190" i="15"/>
  <c r="S1190" i="15"/>
  <c r="N1190" i="15"/>
  <c r="M1190" i="15"/>
  <c r="Q1190" i="15"/>
  <c r="AA1189" i="15"/>
  <c r="Z1189" i="15"/>
  <c r="U1189" i="15"/>
  <c r="S1189" i="15"/>
  <c r="N1189" i="15"/>
  <c r="M1189" i="15"/>
  <c r="Q1189" i="15"/>
  <c r="AA1188" i="15"/>
  <c r="Z1188" i="15"/>
  <c r="AC1188" i="15" s="1"/>
  <c r="U1188" i="15"/>
  <c r="V1188" i="15"/>
  <c r="S1188" i="15"/>
  <c r="N1188" i="15"/>
  <c r="M1188" i="15"/>
  <c r="Q1188" i="15"/>
  <c r="AA1187" i="15"/>
  <c r="Z1187" i="15"/>
  <c r="AC1187" i="15" s="1"/>
  <c r="U1187" i="15"/>
  <c r="V1187" i="15"/>
  <c r="S1187" i="15"/>
  <c r="N1187" i="15"/>
  <c r="M1187" i="15"/>
  <c r="Q1187" i="15"/>
  <c r="AA1186" i="15"/>
  <c r="Z1186" i="15"/>
  <c r="U1186" i="15"/>
  <c r="S1186" i="15"/>
  <c r="N1186" i="15"/>
  <c r="M1186" i="15"/>
  <c r="Q1186" i="15"/>
  <c r="AA1185" i="15"/>
  <c r="Z1185" i="15"/>
  <c r="U1185" i="15"/>
  <c r="S1185" i="15"/>
  <c r="N1185" i="15"/>
  <c r="M1185" i="15"/>
  <c r="Q1185" i="15"/>
  <c r="AA1184" i="15"/>
  <c r="Z1184" i="15"/>
  <c r="V1184" i="15"/>
  <c r="S1184" i="15"/>
  <c r="N1184" i="15"/>
  <c r="M1184" i="15"/>
  <c r="Q1184" i="15"/>
  <c r="AA1183" i="15"/>
  <c r="Z1183" i="15"/>
  <c r="U1183" i="15"/>
  <c r="V1183" i="15"/>
  <c r="S1183" i="15"/>
  <c r="N1183" i="15"/>
  <c r="M1183" i="15"/>
  <c r="Q1183" i="15"/>
  <c r="AA1182" i="15"/>
  <c r="Z1182" i="15"/>
  <c r="AC1182" i="15" s="1"/>
  <c r="U1182" i="15"/>
  <c r="V1182" i="15"/>
  <c r="S1182" i="15"/>
  <c r="N1182" i="15"/>
  <c r="M1182" i="15"/>
  <c r="Q1182" i="15"/>
  <c r="AA1181" i="15"/>
  <c r="Z1181" i="15"/>
  <c r="R1181" i="15" s="1"/>
  <c r="U1181" i="15"/>
  <c r="S1181" i="15"/>
  <c r="N1181" i="15"/>
  <c r="M1181" i="15"/>
  <c r="Q1181" i="15"/>
  <c r="AA1180" i="15"/>
  <c r="Z1180" i="15"/>
  <c r="U1180" i="15"/>
  <c r="S1180" i="15"/>
  <c r="N1180" i="15"/>
  <c r="M1180" i="15"/>
  <c r="Q1180" i="15"/>
  <c r="W1180" i="15" s="1"/>
  <c r="AA1179" i="15"/>
  <c r="Z1179" i="15"/>
  <c r="U1179" i="15"/>
  <c r="S1179" i="15"/>
  <c r="N1179" i="15"/>
  <c r="M1179" i="15"/>
  <c r="Q1179" i="15"/>
  <c r="AA1178" i="15"/>
  <c r="Z1178" i="15"/>
  <c r="U1178" i="15"/>
  <c r="S1178" i="15"/>
  <c r="N1178" i="15"/>
  <c r="M1178" i="15"/>
  <c r="Q1178" i="15"/>
  <c r="AA1177" i="15"/>
  <c r="Z1177" i="15"/>
  <c r="AC1177" i="15" s="1"/>
  <c r="U1177" i="15"/>
  <c r="V1177" i="15"/>
  <c r="S1177" i="15"/>
  <c r="N1177" i="15"/>
  <c r="M1177" i="15"/>
  <c r="Q1177" i="15"/>
  <c r="AA1176" i="15"/>
  <c r="Z1176" i="15"/>
  <c r="U1176" i="15"/>
  <c r="S1176" i="15"/>
  <c r="N1176" i="15"/>
  <c r="M1176" i="15"/>
  <c r="Q1176" i="15"/>
  <c r="AA1175" i="15"/>
  <c r="Z1175" i="15"/>
  <c r="AC1175" i="15" s="1"/>
  <c r="U1175" i="15"/>
  <c r="S1175" i="15"/>
  <c r="N1175" i="15"/>
  <c r="M1175" i="15"/>
  <c r="Q1175" i="15"/>
  <c r="AA1174" i="15"/>
  <c r="Z1174" i="15"/>
  <c r="U1174" i="15"/>
  <c r="S1174" i="15"/>
  <c r="N1174" i="15"/>
  <c r="M1174" i="15"/>
  <c r="Q1174" i="15"/>
  <c r="X1174" i="15" s="1"/>
  <c r="AA1173" i="15"/>
  <c r="Z1173" i="15"/>
  <c r="AC1173" i="15" s="1"/>
  <c r="U1173" i="15"/>
  <c r="V1173" i="15"/>
  <c r="S1173" i="15"/>
  <c r="N1173" i="15"/>
  <c r="M1173" i="15"/>
  <c r="Q1173" i="15"/>
  <c r="X1173" i="15" s="1"/>
  <c r="AA1172" i="15"/>
  <c r="Z1172" i="15"/>
  <c r="AC1172" i="15" s="1"/>
  <c r="U1172" i="15"/>
  <c r="S1172" i="15"/>
  <c r="N1172" i="15"/>
  <c r="M1172" i="15"/>
  <c r="Q1172" i="15"/>
  <c r="AA1171" i="15"/>
  <c r="Z1171" i="15"/>
  <c r="U1171" i="15"/>
  <c r="S1171" i="15"/>
  <c r="N1171" i="15"/>
  <c r="M1171" i="15"/>
  <c r="Q1171" i="15"/>
  <c r="W1171" i="15" s="1"/>
  <c r="AA1170" i="15"/>
  <c r="Z1170" i="15"/>
  <c r="U1170" i="15"/>
  <c r="S1170" i="15"/>
  <c r="N1170" i="15"/>
  <c r="M1170" i="15"/>
  <c r="Q1170" i="15"/>
  <c r="X1170" i="15" s="1"/>
  <c r="AA1169" i="15"/>
  <c r="Z1169" i="15"/>
  <c r="U1169" i="15"/>
  <c r="S1169" i="15"/>
  <c r="N1169" i="15"/>
  <c r="M1169" i="15"/>
  <c r="Q1169" i="15"/>
  <c r="AA1168" i="15"/>
  <c r="Z1168" i="15"/>
  <c r="AC1168" i="15" s="1"/>
  <c r="U1168" i="15"/>
  <c r="S1168" i="15"/>
  <c r="N1168" i="15"/>
  <c r="M1168" i="15"/>
  <c r="AA1167" i="15"/>
  <c r="Z1167" i="15"/>
  <c r="AC1167" i="15" s="1"/>
  <c r="V1167" i="15"/>
  <c r="S1167" i="15"/>
  <c r="N1167" i="15"/>
  <c r="M1167" i="15"/>
  <c r="Q1167" i="15"/>
  <c r="AA1166" i="15"/>
  <c r="Z1166" i="15"/>
  <c r="U1166" i="15"/>
  <c r="S1166" i="15"/>
  <c r="N1166" i="15"/>
  <c r="M1166" i="15"/>
  <c r="Q1166" i="15"/>
  <c r="AA1165" i="15"/>
  <c r="Z1165" i="15"/>
  <c r="U1165" i="15"/>
  <c r="S1165" i="15"/>
  <c r="N1165" i="15"/>
  <c r="M1165" i="15"/>
  <c r="Q1165" i="15"/>
  <c r="AA1164" i="15"/>
  <c r="Z1164" i="15"/>
  <c r="U1164" i="15"/>
  <c r="V1164" i="15"/>
  <c r="S1164" i="15"/>
  <c r="N1164" i="15"/>
  <c r="M1164" i="15"/>
  <c r="Q1164" i="15"/>
  <c r="AA1163" i="15"/>
  <c r="Z1163" i="15"/>
  <c r="U1163" i="15"/>
  <c r="S1163" i="15"/>
  <c r="N1163" i="15"/>
  <c r="M1163" i="15"/>
  <c r="Q1163" i="15"/>
  <c r="AA1162" i="15"/>
  <c r="Z1162" i="15"/>
  <c r="U1162" i="15"/>
  <c r="S1162" i="15"/>
  <c r="N1162" i="15"/>
  <c r="M1162" i="15"/>
  <c r="Q1162" i="15"/>
  <c r="AA1161" i="15"/>
  <c r="Z1161" i="15"/>
  <c r="U1161" i="15"/>
  <c r="S1161" i="15"/>
  <c r="N1161" i="15"/>
  <c r="M1161" i="15"/>
  <c r="Q1161" i="15"/>
  <c r="AA1160" i="15"/>
  <c r="Z1160" i="15"/>
  <c r="AC1160" i="15" s="1"/>
  <c r="V1160" i="15"/>
  <c r="S1160" i="15"/>
  <c r="N1160" i="15"/>
  <c r="M1160" i="15"/>
  <c r="Q1160" i="15"/>
  <c r="AA1159" i="15"/>
  <c r="Z1159" i="15"/>
  <c r="V1159" i="15"/>
  <c r="S1159" i="15"/>
  <c r="N1159" i="15"/>
  <c r="M1159" i="15"/>
  <c r="Q1159" i="15"/>
  <c r="AA1158" i="15"/>
  <c r="Z1158" i="15"/>
  <c r="U1158" i="15"/>
  <c r="S1158" i="15"/>
  <c r="N1158" i="15"/>
  <c r="M1158" i="15"/>
  <c r="Q1158" i="15"/>
  <c r="AA1157" i="15"/>
  <c r="Z1157" i="15"/>
  <c r="U1157" i="15"/>
  <c r="S1157" i="15"/>
  <c r="N1157" i="15"/>
  <c r="M1157" i="15"/>
  <c r="Q1157" i="15"/>
  <c r="AA1156" i="15"/>
  <c r="Z1156" i="15"/>
  <c r="U1156" i="15"/>
  <c r="S1156" i="15"/>
  <c r="N1156" i="15"/>
  <c r="M1156" i="15"/>
  <c r="Q1156" i="15"/>
  <c r="AA1155" i="15"/>
  <c r="Z1155" i="15"/>
  <c r="U1155" i="15"/>
  <c r="S1155" i="15"/>
  <c r="N1155" i="15"/>
  <c r="M1155" i="15"/>
  <c r="Q1155" i="15"/>
  <c r="AA1154" i="15"/>
  <c r="Z1154" i="15"/>
  <c r="AC1154" i="15" s="1"/>
  <c r="U1154" i="15"/>
  <c r="S1154" i="15"/>
  <c r="N1154" i="15"/>
  <c r="M1154" i="15"/>
  <c r="Q1154" i="15"/>
  <c r="AA1153" i="15"/>
  <c r="Z1153" i="15"/>
  <c r="U1153" i="15"/>
  <c r="S1153" i="15"/>
  <c r="N1153" i="15"/>
  <c r="M1153" i="15"/>
  <c r="Q1153" i="15"/>
  <c r="X1153" i="15" s="1"/>
  <c r="AA1152" i="15"/>
  <c r="Z1152" i="15"/>
  <c r="AC1152" i="15" s="1"/>
  <c r="U1152" i="15"/>
  <c r="S1152" i="15"/>
  <c r="N1152" i="15"/>
  <c r="M1152" i="15"/>
  <c r="Q1152" i="15"/>
  <c r="AA1151" i="15"/>
  <c r="Z1151" i="15"/>
  <c r="AC1151" i="15" s="1"/>
  <c r="U1151" i="15"/>
  <c r="S1151" i="15"/>
  <c r="N1151" i="15"/>
  <c r="M1151" i="15"/>
  <c r="Q1151" i="15"/>
  <c r="AA1150" i="15"/>
  <c r="Z1150" i="15"/>
  <c r="AC1150" i="15" s="1"/>
  <c r="U1150" i="15"/>
  <c r="S1150" i="15"/>
  <c r="N1150" i="15"/>
  <c r="M1150" i="15"/>
  <c r="Q1150" i="15"/>
  <c r="AA1149" i="15"/>
  <c r="Z1149" i="15"/>
  <c r="U1149" i="15"/>
  <c r="S1149" i="15"/>
  <c r="N1149" i="15"/>
  <c r="M1149" i="15"/>
  <c r="Q1149" i="15"/>
  <c r="AA1148" i="15"/>
  <c r="AD1148" i="15" s="1"/>
  <c r="Z1148" i="15"/>
  <c r="AC1148" i="15" s="1"/>
  <c r="U1148" i="15"/>
  <c r="S1148" i="15"/>
  <c r="N1148" i="15"/>
  <c r="M1148" i="15"/>
  <c r="Q1148" i="15"/>
  <c r="AA1147" i="15"/>
  <c r="Z1147" i="15"/>
  <c r="U1147" i="15"/>
  <c r="S1147" i="15"/>
  <c r="N1147" i="15"/>
  <c r="M1147" i="15"/>
  <c r="Q1147" i="15"/>
  <c r="AA1146" i="15"/>
  <c r="Z1146" i="15"/>
  <c r="U1146" i="15"/>
  <c r="S1146" i="15"/>
  <c r="N1146" i="15"/>
  <c r="M1146" i="15"/>
  <c r="Q1146" i="15"/>
  <c r="W1146" i="15" s="1"/>
  <c r="AA1145" i="15"/>
  <c r="Z1145" i="15"/>
  <c r="U1145" i="15"/>
  <c r="S1145" i="15"/>
  <c r="N1145" i="15"/>
  <c r="M1145" i="15"/>
  <c r="Q1145" i="15"/>
  <c r="W1145" i="15" s="1"/>
  <c r="AA1144" i="15"/>
  <c r="Z1144" i="15"/>
  <c r="AC1144" i="15" s="1"/>
  <c r="U1144" i="15"/>
  <c r="S1144" i="15"/>
  <c r="N1144" i="15"/>
  <c r="M1144" i="15"/>
  <c r="Q1144" i="15"/>
  <c r="AA1143" i="15"/>
  <c r="Z1143" i="15"/>
  <c r="U1143" i="15"/>
  <c r="S1143" i="15"/>
  <c r="N1143" i="15"/>
  <c r="M1143" i="15"/>
  <c r="Q1143" i="15"/>
  <c r="X1143" i="15" s="1"/>
  <c r="AA1142" i="15"/>
  <c r="Z1142" i="15"/>
  <c r="AC1142" i="15" s="1"/>
  <c r="U1142" i="15"/>
  <c r="S1142" i="15"/>
  <c r="N1142" i="15"/>
  <c r="M1142" i="15"/>
  <c r="Q1142" i="15"/>
  <c r="AA1141" i="15"/>
  <c r="Z1141" i="15"/>
  <c r="U1141" i="15"/>
  <c r="V1141" i="15"/>
  <c r="S1141" i="15"/>
  <c r="N1141" i="15"/>
  <c r="M1141" i="15"/>
  <c r="Q1141" i="15"/>
  <c r="AA1140" i="15"/>
  <c r="Z1140" i="15"/>
  <c r="U1140" i="15"/>
  <c r="S1140" i="15"/>
  <c r="N1140" i="15"/>
  <c r="M1140" i="15"/>
  <c r="Q1140" i="15"/>
  <c r="W1140" i="15" s="1"/>
  <c r="AA1139" i="15"/>
  <c r="Z1139" i="15"/>
  <c r="AC1139" i="15" s="1"/>
  <c r="U1139" i="15"/>
  <c r="S1139" i="15"/>
  <c r="N1139" i="15"/>
  <c r="M1139" i="15"/>
  <c r="Q1139" i="15"/>
  <c r="AA1138" i="15"/>
  <c r="Z1138" i="15"/>
  <c r="U1138" i="15"/>
  <c r="S1138" i="15"/>
  <c r="N1138" i="15"/>
  <c r="M1138" i="15"/>
  <c r="AD1138" i="15" s="1"/>
  <c r="Q1138" i="15"/>
  <c r="W1138" i="15" s="1"/>
  <c r="AA1137" i="15"/>
  <c r="Z1137" i="15"/>
  <c r="AC1137" i="15" s="1"/>
  <c r="U1137" i="15"/>
  <c r="V1137" i="15"/>
  <c r="S1137" i="15"/>
  <c r="N1137" i="15"/>
  <c r="M1137" i="15"/>
  <c r="Q1137" i="15"/>
  <c r="AA1136" i="15"/>
  <c r="Z1136" i="15"/>
  <c r="V1136" i="15"/>
  <c r="S1136" i="15"/>
  <c r="N1136" i="15"/>
  <c r="M1136" i="15"/>
  <c r="Q1136" i="15"/>
  <c r="AA1135" i="15"/>
  <c r="Z1135" i="15"/>
  <c r="U1135" i="15"/>
  <c r="S1135" i="15"/>
  <c r="N1135" i="15"/>
  <c r="M1135" i="15"/>
  <c r="Q1135" i="15"/>
  <c r="W1135" i="15" s="1"/>
  <c r="AA1134" i="15"/>
  <c r="Z1134" i="15"/>
  <c r="U1134" i="15"/>
  <c r="S1134" i="15"/>
  <c r="N1134" i="15"/>
  <c r="M1134" i="15"/>
  <c r="Q1134" i="15"/>
  <c r="AA1133" i="15"/>
  <c r="AD1133" i="15" s="1"/>
  <c r="Z1133" i="15"/>
  <c r="U1133" i="15"/>
  <c r="S1133" i="15"/>
  <c r="N1133" i="15"/>
  <c r="Q1133" i="15"/>
  <c r="AA1132" i="15"/>
  <c r="Z1132" i="15"/>
  <c r="U1132" i="15"/>
  <c r="S1132" i="15"/>
  <c r="N1132" i="15"/>
  <c r="M1132" i="15"/>
  <c r="Q1132" i="15"/>
  <c r="AA1131" i="15"/>
  <c r="Z1131" i="15"/>
  <c r="U1131" i="15"/>
  <c r="S1131" i="15"/>
  <c r="N1131" i="15"/>
  <c r="M1131" i="15"/>
  <c r="Q1131" i="15"/>
  <c r="AA1130" i="15"/>
  <c r="Z1130" i="15"/>
  <c r="U1130" i="15"/>
  <c r="S1130" i="15"/>
  <c r="N1130" i="15"/>
  <c r="M1130" i="15"/>
  <c r="Q1130" i="15"/>
  <c r="AA1129" i="15"/>
  <c r="Z1129" i="15"/>
  <c r="U1129" i="15"/>
  <c r="S1129" i="15"/>
  <c r="N1129" i="15"/>
  <c r="M1129" i="15"/>
  <c r="Q1129" i="15"/>
  <c r="AA1128" i="15"/>
  <c r="Z1128" i="15"/>
  <c r="AC1128" i="15" s="1"/>
  <c r="U1128" i="15"/>
  <c r="S1128" i="15"/>
  <c r="N1128" i="15"/>
  <c r="M1128" i="15"/>
  <c r="Q1128" i="15"/>
  <c r="X1128" i="15" s="1"/>
  <c r="AA1127" i="15"/>
  <c r="Z1127" i="15"/>
  <c r="AC1127" i="15" s="1"/>
  <c r="U1127" i="15"/>
  <c r="V1127" i="15"/>
  <c r="S1127" i="15"/>
  <c r="N1127" i="15"/>
  <c r="M1127" i="15"/>
  <c r="Q1127" i="15"/>
  <c r="W1127" i="15" s="1"/>
  <c r="AA1126" i="15"/>
  <c r="Z1126" i="15"/>
  <c r="U1126" i="15"/>
  <c r="S1126" i="15"/>
  <c r="N1126" i="15"/>
  <c r="M1126" i="15"/>
  <c r="Q1126" i="15"/>
  <c r="AA1125" i="15"/>
  <c r="Z1125" i="15"/>
  <c r="U1125" i="15"/>
  <c r="V1125" i="15"/>
  <c r="S1125" i="15"/>
  <c r="N1125" i="15"/>
  <c r="M1125" i="15"/>
  <c r="Q1125" i="15"/>
  <c r="AA1124" i="15"/>
  <c r="Z1124" i="15"/>
  <c r="U1124" i="15"/>
  <c r="S1124" i="15"/>
  <c r="N1124" i="15"/>
  <c r="M1124" i="15"/>
  <c r="Q1124" i="15"/>
  <c r="AA1123" i="15"/>
  <c r="Z1123" i="15"/>
  <c r="U1123" i="15"/>
  <c r="S1123" i="15"/>
  <c r="N1123" i="15"/>
  <c r="M1123" i="15"/>
  <c r="Q1123" i="15"/>
  <c r="AA1122" i="15"/>
  <c r="Z1122" i="15"/>
  <c r="U1122" i="15"/>
  <c r="S1122" i="15"/>
  <c r="N1122" i="15"/>
  <c r="M1122" i="15"/>
  <c r="Q1122" i="15"/>
  <c r="W1122" i="15" s="1"/>
  <c r="AA1121" i="15"/>
  <c r="Z1121" i="15"/>
  <c r="U1121" i="15"/>
  <c r="S1121" i="15"/>
  <c r="N1121" i="15"/>
  <c r="M1121" i="15"/>
  <c r="Q1121" i="15"/>
  <c r="AA1120" i="15"/>
  <c r="Z1120" i="15"/>
  <c r="U1120" i="15"/>
  <c r="V1120" i="15"/>
  <c r="S1120" i="15"/>
  <c r="N1120" i="15"/>
  <c r="M1120" i="15"/>
  <c r="Q1120" i="15"/>
  <c r="AA1119" i="15"/>
  <c r="Z1119" i="15"/>
  <c r="AC1119" i="15" s="1"/>
  <c r="U1119" i="15"/>
  <c r="V1119" i="15"/>
  <c r="S1119" i="15"/>
  <c r="N1119" i="15"/>
  <c r="M1119" i="15"/>
  <c r="Q1119" i="15"/>
  <c r="AA1118" i="15"/>
  <c r="Z1118" i="15"/>
  <c r="U1118" i="15"/>
  <c r="V1118" i="15"/>
  <c r="S1118" i="15"/>
  <c r="N1118" i="15"/>
  <c r="M1118" i="15"/>
  <c r="Q1118" i="15"/>
  <c r="W1118" i="15" s="1"/>
  <c r="AA1117" i="15"/>
  <c r="Z1117" i="15"/>
  <c r="AC1117" i="15" s="1"/>
  <c r="U1117" i="15"/>
  <c r="V1117" i="15"/>
  <c r="S1117" i="15"/>
  <c r="N1117" i="15"/>
  <c r="M1117" i="15"/>
  <c r="Q1117" i="15"/>
  <c r="AA1116" i="15"/>
  <c r="Z1116" i="15"/>
  <c r="V1116" i="15"/>
  <c r="S1116" i="15"/>
  <c r="N1116" i="15"/>
  <c r="M1116" i="15"/>
  <c r="Q1116" i="15"/>
  <c r="X1116" i="15" s="1"/>
  <c r="AA1115" i="15"/>
  <c r="Z1115" i="15"/>
  <c r="U1115" i="15"/>
  <c r="S1115" i="15"/>
  <c r="N1115" i="15"/>
  <c r="M1115" i="15"/>
  <c r="Q1115" i="15"/>
  <c r="AA1114" i="15"/>
  <c r="Z1114" i="15"/>
  <c r="U1114" i="15"/>
  <c r="S1114" i="15"/>
  <c r="N1114" i="15"/>
  <c r="M1114" i="15"/>
  <c r="Q1114" i="15"/>
  <c r="AA1113" i="15"/>
  <c r="Z1113" i="15"/>
  <c r="AC1113" i="15" s="1"/>
  <c r="U1113" i="15"/>
  <c r="V1113" i="15"/>
  <c r="S1113" i="15"/>
  <c r="N1113" i="15"/>
  <c r="M1113" i="15"/>
  <c r="Q1113" i="15"/>
  <c r="AA1112" i="15"/>
  <c r="Z1112" i="15"/>
  <c r="U1112" i="15"/>
  <c r="S1112" i="15"/>
  <c r="N1112" i="15"/>
  <c r="M1112" i="15"/>
  <c r="Q1112" i="15"/>
  <c r="AA1111" i="15"/>
  <c r="Z1111" i="15"/>
  <c r="U1111" i="15"/>
  <c r="S1111" i="15"/>
  <c r="N1111" i="15"/>
  <c r="M1111" i="15"/>
  <c r="Q1111" i="15"/>
  <c r="W1111" i="15" s="1"/>
  <c r="AA1110" i="15"/>
  <c r="Z1110" i="15"/>
  <c r="U1110" i="15"/>
  <c r="V1110" i="15"/>
  <c r="S1110" i="15"/>
  <c r="N1110" i="15"/>
  <c r="M1110" i="15"/>
  <c r="Q1110" i="15"/>
  <c r="AA1109" i="15"/>
  <c r="Z1109" i="15"/>
  <c r="AC1109" i="15" s="1"/>
  <c r="U1109" i="15"/>
  <c r="V1109" i="15"/>
  <c r="S1109" i="15"/>
  <c r="N1109" i="15"/>
  <c r="M1109" i="15"/>
  <c r="Q1109" i="15"/>
  <c r="W1109" i="15" s="1"/>
  <c r="AA1108" i="15"/>
  <c r="Z1108" i="15"/>
  <c r="AC1108" i="15" s="1"/>
  <c r="U1108" i="15"/>
  <c r="S1108" i="15"/>
  <c r="N1108" i="15"/>
  <c r="M1108" i="15"/>
  <c r="Q1108" i="15"/>
  <c r="AA1107" i="15"/>
  <c r="Z1107" i="15"/>
  <c r="U1107" i="15"/>
  <c r="S1107" i="15"/>
  <c r="N1107" i="15"/>
  <c r="M1107" i="15"/>
  <c r="Q1107" i="15"/>
  <c r="AA1106" i="15"/>
  <c r="Z1106" i="15"/>
  <c r="AC1106" i="15" s="1"/>
  <c r="U1106" i="15"/>
  <c r="S1106" i="15"/>
  <c r="N1106" i="15"/>
  <c r="M1106" i="15"/>
  <c r="Q1106" i="15"/>
  <c r="AA1105" i="15"/>
  <c r="Z1105" i="15"/>
  <c r="U1105" i="15"/>
  <c r="S1105" i="15"/>
  <c r="N1105" i="15"/>
  <c r="M1105" i="15"/>
  <c r="Q1105" i="15"/>
  <c r="AA1104" i="15"/>
  <c r="Z1104" i="15"/>
  <c r="U1104" i="15"/>
  <c r="S1104" i="15"/>
  <c r="N1104" i="15"/>
  <c r="M1104" i="15"/>
  <c r="Q1104" i="15"/>
  <c r="AA1103" i="15"/>
  <c r="Z1103" i="15"/>
  <c r="V1103" i="15"/>
  <c r="U1103" i="15"/>
  <c r="T1103" i="15"/>
  <c r="S1103" i="15"/>
  <c r="N1103" i="15"/>
  <c r="M1103" i="15"/>
  <c r="R1103" i="15" s="1"/>
  <c r="Q1103" i="15"/>
  <c r="X1103" i="15" s="1"/>
  <c r="AA1102" i="15"/>
  <c r="Z1102" i="15"/>
  <c r="U1102" i="15"/>
  <c r="V1102" i="15"/>
  <c r="S1102" i="15"/>
  <c r="N1102" i="15"/>
  <c r="M1102" i="15"/>
  <c r="Q1102" i="15"/>
  <c r="AA1101" i="15"/>
  <c r="Z1101" i="15"/>
  <c r="U1101" i="15"/>
  <c r="V1101" i="15"/>
  <c r="S1101" i="15"/>
  <c r="N1101" i="15"/>
  <c r="M1101" i="15"/>
  <c r="Q1101" i="15"/>
  <c r="AA1100" i="15"/>
  <c r="Z1100" i="15"/>
  <c r="V1100" i="15"/>
  <c r="S1100" i="15"/>
  <c r="N1100" i="15"/>
  <c r="M1100" i="15"/>
  <c r="Q1100" i="15"/>
  <c r="AA1099" i="15"/>
  <c r="Z1099" i="15"/>
  <c r="U1099" i="15"/>
  <c r="V1099" i="15"/>
  <c r="S1099" i="15"/>
  <c r="N1099" i="15"/>
  <c r="M1099" i="15"/>
  <c r="Q1099" i="15"/>
  <c r="AA1098" i="15"/>
  <c r="Z1098" i="15"/>
  <c r="U1098" i="15"/>
  <c r="S1098" i="15"/>
  <c r="N1098" i="15"/>
  <c r="M1098" i="15"/>
  <c r="Q1098" i="15"/>
  <c r="W1098" i="15" s="1"/>
  <c r="AA1097" i="15"/>
  <c r="Z1097" i="15"/>
  <c r="U1097" i="15"/>
  <c r="S1097" i="15"/>
  <c r="N1097" i="15"/>
  <c r="M1097" i="15"/>
  <c r="Q1097" i="15"/>
  <c r="AA1096" i="15"/>
  <c r="Z1096" i="15"/>
  <c r="U1096" i="15"/>
  <c r="S1096" i="15"/>
  <c r="N1096" i="15"/>
  <c r="M1096" i="15"/>
  <c r="Q1096" i="15"/>
  <c r="W1096" i="15" s="1"/>
  <c r="AA1095" i="15"/>
  <c r="Z1095" i="15"/>
  <c r="U1095" i="15"/>
  <c r="S1095" i="15"/>
  <c r="N1095" i="15"/>
  <c r="M1095" i="15"/>
  <c r="Q1095" i="15"/>
  <c r="AA1094" i="15"/>
  <c r="Z1094" i="15"/>
  <c r="AC1094" i="15" s="1"/>
  <c r="U1094" i="15"/>
  <c r="S1094" i="15"/>
  <c r="N1094" i="15"/>
  <c r="M1094" i="15"/>
  <c r="Q1094" i="15"/>
  <c r="AA1093" i="15"/>
  <c r="Z1093" i="15"/>
  <c r="AC1093" i="15" s="1"/>
  <c r="U1093" i="15"/>
  <c r="V1093" i="15"/>
  <c r="S1093" i="15"/>
  <c r="N1093" i="15"/>
  <c r="M1093" i="15"/>
  <c r="Q1093" i="15"/>
  <c r="AA1092" i="15"/>
  <c r="Z1092" i="15"/>
  <c r="AC1092" i="15" s="1"/>
  <c r="U1092" i="15"/>
  <c r="S1092" i="15"/>
  <c r="N1092" i="15"/>
  <c r="M1092" i="15"/>
  <c r="Q1092" i="15"/>
  <c r="AA1091" i="15"/>
  <c r="Z1091" i="15"/>
  <c r="AC1091" i="15" s="1"/>
  <c r="U1091" i="15"/>
  <c r="S1091" i="15"/>
  <c r="N1091" i="15"/>
  <c r="M1091" i="15"/>
  <c r="Q1091" i="15"/>
  <c r="AA1090" i="15"/>
  <c r="Z1090" i="15"/>
  <c r="U1090" i="15"/>
  <c r="S1090" i="15"/>
  <c r="N1090" i="15"/>
  <c r="M1090" i="15"/>
  <c r="Q1090" i="15"/>
  <c r="AA1089" i="15"/>
  <c r="Z1089" i="15"/>
  <c r="U1089" i="15"/>
  <c r="V1089" i="15"/>
  <c r="S1089" i="15"/>
  <c r="N1089" i="15"/>
  <c r="M1089" i="15"/>
  <c r="Q1089" i="15"/>
  <c r="AA1088" i="15"/>
  <c r="Z1088" i="15"/>
  <c r="V1088" i="15"/>
  <c r="S1088" i="15"/>
  <c r="N1088" i="15"/>
  <c r="M1088" i="15"/>
  <c r="Q1088" i="15"/>
  <c r="AA1087" i="15"/>
  <c r="Z1087" i="15"/>
  <c r="AC1087" i="15" s="1"/>
  <c r="U1087" i="15"/>
  <c r="V1087" i="15"/>
  <c r="S1087" i="15"/>
  <c r="N1087" i="15"/>
  <c r="M1087" i="15"/>
  <c r="Q1087" i="15"/>
  <c r="AA1086" i="15"/>
  <c r="Z1086" i="15"/>
  <c r="AC1086" i="15" s="1"/>
  <c r="U1086" i="15"/>
  <c r="V1086" i="15"/>
  <c r="S1086" i="15"/>
  <c r="N1086" i="15"/>
  <c r="M1086" i="15"/>
  <c r="Q1086" i="15"/>
  <c r="AA1085" i="15"/>
  <c r="Z1085" i="15"/>
  <c r="AC1085" i="15" s="1"/>
  <c r="U1085" i="15"/>
  <c r="V1085" i="15"/>
  <c r="S1085" i="15"/>
  <c r="N1085" i="15"/>
  <c r="M1085" i="15"/>
  <c r="Q1085" i="15"/>
  <c r="AA1084" i="15"/>
  <c r="Z1084" i="15"/>
  <c r="AC1084" i="15" s="1"/>
  <c r="U1084" i="15"/>
  <c r="S1084" i="15"/>
  <c r="N1084" i="15"/>
  <c r="M1084" i="15"/>
  <c r="Q1084" i="15"/>
  <c r="AA1083" i="15"/>
  <c r="Z1083" i="15"/>
  <c r="U1083" i="15"/>
  <c r="S1083" i="15"/>
  <c r="N1083" i="15"/>
  <c r="M1083" i="15"/>
  <c r="Q1083" i="15"/>
  <c r="AA1082" i="15"/>
  <c r="Z1082" i="15"/>
  <c r="AC1082" i="15" s="1"/>
  <c r="U1082" i="15"/>
  <c r="V1082" i="15"/>
  <c r="S1082" i="15"/>
  <c r="N1082" i="15"/>
  <c r="M1082" i="15"/>
  <c r="Q1082" i="15"/>
  <c r="W1082" i="15" s="1"/>
  <c r="AA1081" i="15"/>
  <c r="Z1081" i="15"/>
  <c r="U1081" i="15"/>
  <c r="S1081" i="15"/>
  <c r="N1081" i="15"/>
  <c r="M1081" i="15"/>
  <c r="Q1081" i="15"/>
  <c r="AA1080" i="15"/>
  <c r="Z1080" i="15"/>
  <c r="AC1080" i="15" s="1"/>
  <c r="U1080" i="15"/>
  <c r="S1080" i="15"/>
  <c r="N1080" i="15"/>
  <c r="M1080" i="15"/>
  <c r="Q1080" i="15"/>
  <c r="AA1079" i="15"/>
  <c r="Z1079" i="15"/>
  <c r="AC1079" i="15" s="1"/>
  <c r="U1079" i="15"/>
  <c r="S1079" i="15"/>
  <c r="N1079" i="15"/>
  <c r="M1079" i="15"/>
  <c r="Q1079" i="15"/>
  <c r="AA1078" i="15"/>
  <c r="Z1078" i="15"/>
  <c r="U1078" i="15"/>
  <c r="S1078" i="15"/>
  <c r="N1078" i="15"/>
  <c r="M1078" i="15"/>
  <c r="Q1078" i="15"/>
  <c r="AA1077" i="15"/>
  <c r="Z1077" i="15"/>
  <c r="U1077" i="15"/>
  <c r="S1077" i="15"/>
  <c r="N1077" i="15"/>
  <c r="M1077" i="15"/>
  <c r="Q1077" i="15"/>
  <c r="AA1076" i="15"/>
  <c r="Z1076" i="15"/>
  <c r="U1076" i="15"/>
  <c r="S1076" i="15"/>
  <c r="N1076" i="15"/>
  <c r="M1076" i="15"/>
  <c r="Q1076" i="15"/>
  <c r="AA1075" i="15"/>
  <c r="Z1075" i="15"/>
  <c r="AC1075" i="15" s="1"/>
  <c r="U1075" i="15"/>
  <c r="S1075" i="15"/>
  <c r="N1075" i="15"/>
  <c r="M1075" i="15"/>
  <c r="Q1075" i="15"/>
  <c r="AA1074" i="15"/>
  <c r="Z1074" i="15"/>
  <c r="U1074" i="15"/>
  <c r="S1074" i="15"/>
  <c r="N1074" i="15"/>
  <c r="M1074" i="15"/>
  <c r="Q1074" i="15"/>
  <c r="X1074" i="15" s="1"/>
  <c r="AA1073" i="15"/>
  <c r="Z1073" i="15"/>
  <c r="AC1073" i="15" s="1"/>
  <c r="U1073" i="15"/>
  <c r="V1073" i="15"/>
  <c r="S1073" i="15"/>
  <c r="N1073" i="15"/>
  <c r="M1073" i="15"/>
  <c r="R1073" i="15" s="1"/>
  <c r="Q1073" i="15"/>
  <c r="AA1072" i="15"/>
  <c r="Z1072" i="15"/>
  <c r="U1072" i="15"/>
  <c r="S1072" i="15"/>
  <c r="N1072" i="15"/>
  <c r="M1072" i="15"/>
  <c r="Q1072" i="15"/>
  <c r="AA1071" i="15"/>
  <c r="Z1071" i="15"/>
  <c r="U1071" i="15"/>
  <c r="V1071" i="15"/>
  <c r="S1071" i="15"/>
  <c r="N1071" i="15"/>
  <c r="M1071" i="15"/>
  <c r="Q1071" i="15"/>
  <c r="AA1070" i="15"/>
  <c r="Z1070" i="15"/>
  <c r="U1070" i="15"/>
  <c r="S1070" i="15"/>
  <c r="N1070" i="15"/>
  <c r="M1070" i="15"/>
  <c r="Q1070" i="15"/>
  <c r="AA1069" i="15"/>
  <c r="AD1069" i="15" s="1"/>
  <c r="Z1069" i="15"/>
  <c r="U1069" i="15"/>
  <c r="S1069" i="15"/>
  <c r="N1069" i="15"/>
  <c r="M1069" i="15"/>
  <c r="Q1069" i="15"/>
  <c r="X1069" i="15" s="1"/>
  <c r="AA1068" i="15"/>
  <c r="Z1068" i="15"/>
  <c r="AC1068" i="15" s="1"/>
  <c r="U1068" i="15"/>
  <c r="S1068" i="15"/>
  <c r="N1068" i="15"/>
  <c r="M1068" i="15"/>
  <c r="Q1068" i="15"/>
  <c r="X1068" i="15" s="1"/>
  <c r="AA1067" i="15"/>
  <c r="Z1067" i="15"/>
  <c r="U1067" i="15"/>
  <c r="S1067" i="15"/>
  <c r="N1067" i="15"/>
  <c r="M1067" i="15"/>
  <c r="Q1067" i="15"/>
  <c r="AA1066" i="15"/>
  <c r="Z1066" i="15"/>
  <c r="U1066" i="15"/>
  <c r="S1066" i="15"/>
  <c r="N1066" i="15"/>
  <c r="M1066" i="15"/>
  <c r="Q1066" i="15"/>
  <c r="AA1065" i="15"/>
  <c r="AD1065" i="15" s="1"/>
  <c r="Z1065" i="15"/>
  <c r="AC1065" i="15" s="1"/>
  <c r="U1065" i="15"/>
  <c r="V1065" i="15"/>
  <c r="S1065" i="15"/>
  <c r="N1065" i="15"/>
  <c r="M1065" i="15"/>
  <c r="Q1065" i="15"/>
  <c r="X1065" i="15" s="1"/>
  <c r="AA1064" i="15"/>
  <c r="Z1064" i="15"/>
  <c r="AC1064" i="15" s="1"/>
  <c r="V1064" i="15"/>
  <c r="S1064" i="15"/>
  <c r="N1064" i="15"/>
  <c r="M1064" i="15"/>
  <c r="Q1064" i="15"/>
  <c r="AA1063" i="15"/>
  <c r="Z1063" i="15"/>
  <c r="U1063" i="15"/>
  <c r="S1063" i="15"/>
  <c r="N1063" i="15"/>
  <c r="M1063" i="15"/>
  <c r="Q1063" i="15"/>
  <c r="AA1062" i="15"/>
  <c r="Z1062" i="15"/>
  <c r="U1062" i="15"/>
  <c r="S1062" i="15"/>
  <c r="N1062" i="15"/>
  <c r="M1062" i="15"/>
  <c r="Q1062" i="15"/>
  <c r="AA1061" i="15"/>
  <c r="Z1061" i="15"/>
  <c r="U1061" i="15"/>
  <c r="S1061" i="15"/>
  <c r="N1061" i="15"/>
  <c r="M1061" i="15"/>
  <c r="Q1061" i="15"/>
  <c r="X1061" i="15" s="1"/>
  <c r="AA1060" i="15"/>
  <c r="Z1060" i="15"/>
  <c r="U1060" i="15"/>
  <c r="S1060" i="15"/>
  <c r="N1060" i="15"/>
  <c r="M1060" i="15"/>
  <c r="Q1060" i="15"/>
  <c r="X1060" i="15" s="1"/>
  <c r="AA1059" i="15"/>
  <c r="Z1059" i="15"/>
  <c r="AC1059" i="15" s="1"/>
  <c r="U1059" i="15"/>
  <c r="V1059" i="15"/>
  <c r="S1059" i="15"/>
  <c r="N1059" i="15"/>
  <c r="M1059" i="15"/>
  <c r="Q1059" i="15"/>
  <c r="AA1058" i="15"/>
  <c r="Z1058" i="15"/>
  <c r="AC1058" i="15" s="1"/>
  <c r="U1058" i="15"/>
  <c r="S1058" i="15"/>
  <c r="N1058" i="15"/>
  <c r="M1058" i="15"/>
  <c r="Q1058" i="15"/>
  <c r="W1058" i="15" s="1"/>
  <c r="AA1057" i="15"/>
  <c r="Z1057" i="15"/>
  <c r="U1057" i="15"/>
  <c r="S1057" i="15"/>
  <c r="N1057" i="15"/>
  <c r="M1057" i="15"/>
  <c r="Q1057" i="15"/>
  <c r="AA1056" i="15"/>
  <c r="Z1056" i="15"/>
  <c r="U1056" i="15"/>
  <c r="S1056" i="15"/>
  <c r="N1056" i="15"/>
  <c r="M1056" i="15"/>
  <c r="Q1056" i="15"/>
  <c r="AA1055" i="15"/>
  <c r="Z1055" i="15"/>
  <c r="AC1055" i="15" s="1"/>
  <c r="U1055" i="15"/>
  <c r="V1055" i="15"/>
  <c r="S1055" i="15"/>
  <c r="N1055" i="15"/>
  <c r="M1055" i="15"/>
  <c r="Q1055" i="15"/>
  <c r="AA1054" i="15"/>
  <c r="Z1054" i="15"/>
  <c r="AC1054" i="15" s="1"/>
  <c r="V1054" i="15"/>
  <c r="S1054" i="15"/>
  <c r="N1054" i="15"/>
  <c r="M1054" i="15"/>
  <c r="Q1054" i="15"/>
  <c r="AA1053" i="15"/>
  <c r="Z1053" i="15"/>
  <c r="U1053" i="15"/>
  <c r="S1053" i="15"/>
  <c r="N1053" i="15"/>
  <c r="M1053" i="15"/>
  <c r="Q1053" i="15"/>
  <c r="AA1052" i="15"/>
  <c r="Z1052" i="15"/>
  <c r="AC1052" i="15" s="1"/>
  <c r="U1052" i="15"/>
  <c r="S1052" i="15"/>
  <c r="N1052" i="15"/>
  <c r="M1052" i="15"/>
  <c r="Q1052" i="15"/>
  <c r="AA1051" i="15"/>
  <c r="Z1051" i="15"/>
  <c r="U1051" i="15"/>
  <c r="S1051" i="15"/>
  <c r="N1051" i="15"/>
  <c r="M1051" i="15"/>
  <c r="Q1051" i="15"/>
  <c r="AA1050" i="15"/>
  <c r="Z1050" i="15"/>
  <c r="U1050" i="15"/>
  <c r="S1050" i="15"/>
  <c r="N1050" i="15"/>
  <c r="M1050" i="15"/>
  <c r="Q1050" i="15"/>
  <c r="AA1049" i="15"/>
  <c r="Z1049" i="15"/>
  <c r="AC1049" i="15" s="1"/>
  <c r="U1049" i="15"/>
  <c r="S1049" i="15"/>
  <c r="N1049" i="15"/>
  <c r="M1049" i="15"/>
  <c r="Q1049" i="15"/>
  <c r="AA1048" i="15"/>
  <c r="Z1048" i="15"/>
  <c r="U1048" i="15"/>
  <c r="S1048" i="15"/>
  <c r="N1048" i="15"/>
  <c r="M1048" i="15"/>
  <c r="Q1048" i="15"/>
  <c r="AA1047" i="15"/>
  <c r="Z1047" i="15"/>
  <c r="U1047" i="15"/>
  <c r="S1047" i="15"/>
  <c r="N1047" i="15"/>
  <c r="M1047" i="15"/>
  <c r="Q1047" i="15"/>
  <c r="AA1046" i="15"/>
  <c r="Z1046" i="15"/>
  <c r="AC1046" i="15" s="1"/>
  <c r="V1046" i="15"/>
  <c r="S1046" i="15"/>
  <c r="N1046" i="15"/>
  <c r="M1046" i="15"/>
  <c r="Q1046" i="15"/>
  <c r="X1046" i="15" s="1"/>
  <c r="AA1045" i="15"/>
  <c r="Z1045" i="15"/>
  <c r="AC1045" i="15" s="1"/>
  <c r="V1045" i="15"/>
  <c r="S1045" i="15"/>
  <c r="N1045" i="15"/>
  <c r="M1045" i="15"/>
  <c r="Q1045" i="15"/>
  <c r="W1045" i="15" s="1"/>
  <c r="AA1044" i="15"/>
  <c r="Z1044" i="15"/>
  <c r="AC1044" i="15" s="1"/>
  <c r="U1044" i="15"/>
  <c r="V1044" i="15"/>
  <c r="S1044" i="15"/>
  <c r="N1044" i="15"/>
  <c r="M1044" i="15"/>
  <c r="Q1044" i="15"/>
  <c r="AA1043" i="15"/>
  <c r="Z1043" i="15"/>
  <c r="V1043" i="15"/>
  <c r="S1043" i="15"/>
  <c r="N1043" i="15"/>
  <c r="M1043" i="15"/>
  <c r="Q1043" i="15"/>
  <c r="AA1042" i="15"/>
  <c r="Z1042" i="15"/>
  <c r="AC1042" i="15" s="1"/>
  <c r="V1042" i="15"/>
  <c r="S1042" i="15"/>
  <c r="N1042" i="15"/>
  <c r="M1042" i="15"/>
  <c r="Q1042" i="15"/>
  <c r="AA1041" i="15"/>
  <c r="Z1041" i="15"/>
  <c r="AC1041" i="15" s="1"/>
  <c r="U1041" i="15"/>
  <c r="V1041" i="15"/>
  <c r="S1041" i="15"/>
  <c r="N1041" i="15"/>
  <c r="M1041" i="15"/>
  <c r="Q1041" i="15"/>
  <c r="X1041" i="15" s="1"/>
  <c r="AA1040" i="15"/>
  <c r="Z1040" i="15"/>
  <c r="AC1040" i="15" s="1"/>
  <c r="V1040" i="15"/>
  <c r="S1040" i="15"/>
  <c r="N1040" i="15"/>
  <c r="M1040" i="15"/>
  <c r="Q1040" i="15"/>
  <c r="AA1039" i="15"/>
  <c r="Z1039" i="15"/>
  <c r="AC1039" i="15" s="1"/>
  <c r="U1039" i="15"/>
  <c r="S1039" i="15"/>
  <c r="N1039" i="15"/>
  <c r="M1039" i="15"/>
  <c r="Q1039" i="15"/>
  <c r="AA1038" i="15"/>
  <c r="Z1038" i="15"/>
  <c r="AC1038" i="15" s="1"/>
  <c r="U1038" i="15"/>
  <c r="S1038" i="15"/>
  <c r="N1038" i="15"/>
  <c r="M1038" i="15"/>
  <c r="Q1038" i="15"/>
  <c r="AA1037" i="15"/>
  <c r="Z1037" i="15"/>
  <c r="AC1037" i="15" s="1"/>
  <c r="U1037" i="15"/>
  <c r="V1037" i="15"/>
  <c r="S1037" i="15"/>
  <c r="N1037" i="15"/>
  <c r="M1037" i="15"/>
  <c r="Q1037" i="15"/>
  <c r="AA1036" i="15"/>
  <c r="Z1036" i="15"/>
  <c r="AC1036" i="15" s="1"/>
  <c r="U1036" i="15"/>
  <c r="S1036" i="15"/>
  <c r="N1036" i="15"/>
  <c r="M1036" i="15"/>
  <c r="Q1036" i="15"/>
  <c r="AA1035" i="15"/>
  <c r="Z1035" i="15"/>
  <c r="AC1035" i="15" s="1"/>
  <c r="V1035" i="15"/>
  <c r="S1035" i="15"/>
  <c r="N1035" i="15"/>
  <c r="M1035" i="15"/>
  <c r="Q1035" i="15"/>
  <c r="AA1034" i="15"/>
  <c r="Z1034" i="15"/>
  <c r="U1034" i="15"/>
  <c r="S1034" i="15"/>
  <c r="N1034" i="15"/>
  <c r="M1034" i="15"/>
  <c r="Q1034" i="15"/>
  <c r="AA1033" i="15"/>
  <c r="Z1033" i="15"/>
  <c r="AC1033" i="15" s="1"/>
  <c r="U1033" i="15"/>
  <c r="S1033" i="15"/>
  <c r="N1033" i="15"/>
  <c r="M1033" i="15"/>
  <c r="Q1033" i="15"/>
  <c r="AA1032" i="15"/>
  <c r="Z1032" i="15"/>
  <c r="U1032" i="15"/>
  <c r="S1032" i="15"/>
  <c r="N1032" i="15"/>
  <c r="M1032" i="15"/>
  <c r="Q1032" i="15"/>
  <c r="AA1031" i="15"/>
  <c r="Z1031" i="15"/>
  <c r="AC1031" i="15" s="1"/>
  <c r="U1031" i="15"/>
  <c r="S1031" i="15"/>
  <c r="N1031" i="15"/>
  <c r="M1031" i="15"/>
  <c r="Q1031" i="15"/>
  <c r="W1031" i="15" s="1"/>
  <c r="AA1030" i="15"/>
  <c r="Z1030" i="15"/>
  <c r="AC1030" i="15" s="1"/>
  <c r="U1030" i="15"/>
  <c r="V1030" i="15"/>
  <c r="S1030" i="15"/>
  <c r="N1030" i="15"/>
  <c r="M1030" i="15"/>
  <c r="Q1030" i="15"/>
  <c r="AA1029" i="15"/>
  <c r="Z1029" i="15"/>
  <c r="V1029" i="15"/>
  <c r="S1029" i="15"/>
  <c r="N1029" i="15"/>
  <c r="M1029" i="15"/>
  <c r="Q1029" i="15"/>
  <c r="W1029" i="15" s="1"/>
  <c r="AA1028" i="15"/>
  <c r="Z1028" i="15"/>
  <c r="U1028" i="15"/>
  <c r="V1028" i="15"/>
  <c r="S1028" i="15"/>
  <c r="N1028" i="15"/>
  <c r="M1028" i="15"/>
  <c r="AA1027" i="15"/>
  <c r="Z1027" i="15"/>
  <c r="AC1027" i="15" s="1"/>
  <c r="U1027" i="15"/>
  <c r="S1027" i="15"/>
  <c r="N1027" i="15"/>
  <c r="M1027" i="15"/>
  <c r="Q1027" i="15"/>
  <c r="W1027" i="15" s="1"/>
  <c r="AA1026" i="15"/>
  <c r="Z1026" i="15"/>
  <c r="AC1026" i="15" s="1"/>
  <c r="U1026" i="15"/>
  <c r="S1026" i="15"/>
  <c r="N1026" i="15"/>
  <c r="M1026" i="15"/>
  <c r="Q1026" i="15"/>
  <c r="AA1025" i="15"/>
  <c r="Z1025" i="15"/>
  <c r="AC1025" i="15" s="1"/>
  <c r="U1025" i="15"/>
  <c r="S1025" i="15"/>
  <c r="N1025" i="15"/>
  <c r="M1025" i="15"/>
  <c r="Q1025" i="15"/>
  <c r="X1025" i="15" s="1"/>
  <c r="AA1024" i="15"/>
  <c r="Z1024" i="15"/>
  <c r="AC1024" i="15" s="1"/>
  <c r="U1024" i="15"/>
  <c r="V1024" i="15"/>
  <c r="S1024" i="15"/>
  <c r="N1024" i="15"/>
  <c r="M1024" i="15"/>
  <c r="Q1024" i="15"/>
  <c r="AA1023" i="15"/>
  <c r="Z1023" i="15"/>
  <c r="AC1023" i="15" s="1"/>
  <c r="U1023" i="15"/>
  <c r="S1023" i="15"/>
  <c r="N1023" i="15"/>
  <c r="M1023" i="15"/>
  <c r="Q1023" i="15"/>
  <c r="X1023" i="15" s="1"/>
  <c r="AA1022" i="15"/>
  <c r="Z1022" i="15"/>
  <c r="AC1022" i="15" s="1"/>
  <c r="U1022" i="15"/>
  <c r="S1022" i="15"/>
  <c r="N1022" i="15"/>
  <c r="M1022" i="15"/>
  <c r="Q1022" i="15"/>
  <c r="X1022" i="15" s="1"/>
  <c r="AA1021" i="15"/>
  <c r="Z1021" i="15"/>
  <c r="AC1021" i="15" s="1"/>
  <c r="U1021" i="15"/>
  <c r="S1021" i="15"/>
  <c r="N1021" i="15"/>
  <c r="M1021" i="15"/>
  <c r="Q1021" i="15"/>
  <c r="AA1020" i="15"/>
  <c r="Z1020" i="15"/>
  <c r="U1020" i="15"/>
  <c r="V1020" i="15"/>
  <c r="S1020" i="15"/>
  <c r="N1020" i="15"/>
  <c r="M1020" i="15"/>
  <c r="Q1020" i="15"/>
  <c r="AA1019" i="15"/>
  <c r="Z1019" i="15"/>
  <c r="U1019" i="15"/>
  <c r="S1019" i="15"/>
  <c r="N1019" i="15"/>
  <c r="M1019" i="15"/>
  <c r="Q1019" i="15"/>
  <c r="AA1018" i="15"/>
  <c r="Z1018" i="15"/>
  <c r="AC1018" i="15" s="1"/>
  <c r="U1018" i="15"/>
  <c r="V1018" i="15"/>
  <c r="S1018" i="15"/>
  <c r="N1018" i="15"/>
  <c r="M1018" i="15"/>
  <c r="Q1018" i="15"/>
  <c r="AA1017" i="15"/>
  <c r="Z1017" i="15"/>
  <c r="V1017" i="15"/>
  <c r="S1017" i="15"/>
  <c r="N1017" i="15"/>
  <c r="M1017" i="15"/>
  <c r="Q1017" i="15"/>
  <c r="X1017" i="15" s="1"/>
  <c r="AA1016" i="15"/>
  <c r="Z1016" i="15"/>
  <c r="U1016" i="15"/>
  <c r="V1016" i="15"/>
  <c r="S1016" i="15"/>
  <c r="N1016" i="15"/>
  <c r="M1016" i="15"/>
  <c r="Q1016" i="15"/>
  <c r="AA1015" i="15"/>
  <c r="Z1015" i="15"/>
  <c r="AC1015" i="15" s="1"/>
  <c r="U1015" i="15"/>
  <c r="S1015" i="15"/>
  <c r="N1015" i="15"/>
  <c r="M1015" i="15"/>
  <c r="Q1015" i="15"/>
  <c r="W1015" i="15" s="1"/>
  <c r="AA1014" i="15"/>
  <c r="Z1014" i="15"/>
  <c r="U1014" i="15"/>
  <c r="S1014" i="15"/>
  <c r="N1014" i="15"/>
  <c r="M1014" i="15"/>
  <c r="Q1014" i="15"/>
  <c r="AA1013" i="15"/>
  <c r="Z1013" i="15"/>
  <c r="U1013" i="15"/>
  <c r="S1013" i="15"/>
  <c r="N1013" i="15"/>
  <c r="M1013" i="15"/>
  <c r="Q1013" i="15"/>
  <c r="W1013" i="15" s="1"/>
  <c r="AA1012" i="15"/>
  <c r="Z1012" i="15"/>
  <c r="U1012" i="15"/>
  <c r="S1012" i="15"/>
  <c r="N1012" i="15"/>
  <c r="M1012" i="15"/>
  <c r="AA1011" i="15"/>
  <c r="Z1011" i="15"/>
  <c r="AC1011" i="15" s="1"/>
  <c r="U1011" i="15"/>
  <c r="S1011" i="15"/>
  <c r="N1011" i="15"/>
  <c r="M1011" i="15"/>
  <c r="Q1011" i="15"/>
  <c r="AA1010" i="15"/>
  <c r="Z1010" i="15"/>
  <c r="AC1010" i="15" s="1"/>
  <c r="U1010" i="15"/>
  <c r="S1010" i="15"/>
  <c r="N1010" i="15"/>
  <c r="M1010" i="15"/>
  <c r="Q1010" i="15"/>
  <c r="AA1009" i="15"/>
  <c r="Z1009" i="15"/>
  <c r="AC1009" i="15" s="1"/>
  <c r="U1009" i="15"/>
  <c r="V1009" i="15"/>
  <c r="S1009" i="15"/>
  <c r="N1009" i="15"/>
  <c r="M1009" i="15"/>
  <c r="Q1009" i="15"/>
  <c r="X1009" i="15" s="1"/>
  <c r="AA1008" i="15"/>
  <c r="Z1008" i="15"/>
  <c r="V1008" i="15"/>
  <c r="S1008" i="15"/>
  <c r="N1008" i="15"/>
  <c r="M1008" i="15"/>
  <c r="Q1008" i="15"/>
  <c r="AA1007" i="15"/>
  <c r="Z1007" i="15"/>
  <c r="U1007" i="15"/>
  <c r="V1007" i="15"/>
  <c r="S1007" i="15"/>
  <c r="N1007" i="15"/>
  <c r="M1007" i="15"/>
  <c r="Q1007" i="15"/>
  <c r="AA1006" i="15"/>
  <c r="Z1006" i="15"/>
  <c r="AC1006" i="15" s="1"/>
  <c r="V1006" i="15"/>
  <c r="S1006" i="15"/>
  <c r="N1006" i="15"/>
  <c r="M1006" i="15"/>
  <c r="Q1006" i="15"/>
  <c r="W1006" i="15" s="1"/>
  <c r="AA1005" i="15"/>
  <c r="Z1005" i="15"/>
  <c r="U1005" i="15"/>
  <c r="S1005" i="15"/>
  <c r="N1005" i="15"/>
  <c r="M1005" i="15"/>
  <c r="Q1005" i="15"/>
  <c r="AA1004" i="15"/>
  <c r="Z1004" i="15"/>
  <c r="AC1004" i="15" s="1"/>
  <c r="U1004" i="15"/>
  <c r="S1004" i="15"/>
  <c r="N1004" i="15"/>
  <c r="M1004" i="15"/>
  <c r="Q1004" i="15"/>
  <c r="AA1003" i="15"/>
  <c r="Z1003" i="15"/>
  <c r="AC1003" i="15" s="1"/>
  <c r="U1003" i="15"/>
  <c r="S1003" i="15"/>
  <c r="N1003" i="15"/>
  <c r="M1003" i="15"/>
  <c r="Q1003" i="15"/>
  <c r="AA1002" i="15"/>
  <c r="Z1002" i="15"/>
  <c r="V1002" i="15"/>
  <c r="S1002" i="15"/>
  <c r="N1002" i="15"/>
  <c r="M1002" i="15"/>
  <c r="Q1002" i="15"/>
  <c r="W1002" i="15" s="1"/>
  <c r="AA1001" i="15"/>
  <c r="Z1001" i="15"/>
  <c r="U1001" i="15"/>
  <c r="S1001" i="15"/>
  <c r="N1001" i="15"/>
  <c r="M1001" i="15"/>
  <c r="Q1001" i="15"/>
  <c r="AA1000" i="15"/>
  <c r="Z1000" i="15"/>
  <c r="U1000" i="15"/>
  <c r="S1000" i="15"/>
  <c r="N1000" i="15"/>
  <c r="M1000" i="15"/>
  <c r="Q1000" i="15"/>
  <c r="AA999" i="15"/>
  <c r="Z999" i="15"/>
  <c r="U999" i="15"/>
  <c r="S999" i="15"/>
  <c r="N999" i="15"/>
  <c r="M999" i="15"/>
  <c r="AA998" i="15"/>
  <c r="Z998" i="15"/>
  <c r="AC998" i="15" s="1"/>
  <c r="U998" i="15"/>
  <c r="S998" i="15"/>
  <c r="N998" i="15"/>
  <c r="M998" i="15"/>
  <c r="Q998" i="15"/>
  <c r="X998" i="15" s="1"/>
  <c r="AA997" i="15"/>
  <c r="Z997" i="15"/>
  <c r="AC997" i="15" s="1"/>
  <c r="V997" i="15"/>
  <c r="S997" i="15"/>
  <c r="N997" i="15"/>
  <c r="M997" i="15"/>
  <c r="Q997" i="15"/>
  <c r="AA996" i="15"/>
  <c r="Z996" i="15"/>
  <c r="AC996" i="15" s="1"/>
  <c r="U996" i="15"/>
  <c r="S996" i="15"/>
  <c r="N996" i="15"/>
  <c r="M996" i="15"/>
  <c r="Q996" i="15"/>
  <c r="AA995" i="15"/>
  <c r="Z995" i="15"/>
  <c r="U995" i="15"/>
  <c r="S995" i="15"/>
  <c r="N995" i="15"/>
  <c r="M995" i="15"/>
  <c r="Q995" i="15"/>
  <c r="AA994" i="15"/>
  <c r="Z994" i="15"/>
  <c r="U994" i="15"/>
  <c r="S994" i="15"/>
  <c r="N994" i="15"/>
  <c r="M994" i="15"/>
  <c r="Q994" i="15"/>
  <c r="X994" i="15" s="1"/>
  <c r="AA993" i="15"/>
  <c r="Z993" i="15"/>
  <c r="AC993" i="15" s="1"/>
  <c r="U993" i="15"/>
  <c r="V993" i="15"/>
  <c r="S993" i="15"/>
  <c r="N993" i="15"/>
  <c r="M993" i="15"/>
  <c r="Q993" i="15"/>
  <c r="AA992" i="15"/>
  <c r="Z992" i="15"/>
  <c r="U992" i="15"/>
  <c r="S992" i="15"/>
  <c r="N992" i="15"/>
  <c r="M992" i="15"/>
  <c r="Q992" i="15"/>
  <c r="AA991" i="15"/>
  <c r="Z991" i="15"/>
  <c r="AC991" i="15" s="1"/>
  <c r="U991" i="15"/>
  <c r="S991" i="15"/>
  <c r="N991" i="15"/>
  <c r="M991" i="15"/>
  <c r="Q991" i="15"/>
  <c r="X991" i="15" s="1"/>
  <c r="AA990" i="15"/>
  <c r="Z990" i="15"/>
  <c r="AC990" i="15" s="1"/>
  <c r="U990" i="15"/>
  <c r="S990" i="15"/>
  <c r="N990" i="15"/>
  <c r="M990" i="15"/>
  <c r="Q990" i="15"/>
  <c r="W990" i="15" s="1"/>
  <c r="AA989" i="15"/>
  <c r="Z989" i="15"/>
  <c r="U989" i="15"/>
  <c r="S989" i="15"/>
  <c r="N989" i="15"/>
  <c r="M989" i="15"/>
  <c r="Q989" i="15"/>
  <c r="X989" i="15" s="1"/>
  <c r="AA988" i="15"/>
  <c r="Z988" i="15"/>
  <c r="U988" i="15"/>
  <c r="S988" i="15"/>
  <c r="N988" i="15"/>
  <c r="M988" i="15"/>
  <c r="Q988" i="15"/>
  <c r="AA987" i="15"/>
  <c r="Z987" i="15"/>
  <c r="U987" i="15"/>
  <c r="S987" i="15"/>
  <c r="N987" i="15"/>
  <c r="M987" i="15"/>
  <c r="Q987" i="15"/>
  <c r="AA986" i="15"/>
  <c r="Z986" i="15"/>
  <c r="U986" i="15"/>
  <c r="S986" i="15"/>
  <c r="N986" i="15"/>
  <c r="M986" i="15"/>
  <c r="Q986" i="15"/>
  <c r="W986" i="15" s="1"/>
  <c r="AA985" i="15"/>
  <c r="Z985" i="15"/>
  <c r="U985" i="15"/>
  <c r="S985" i="15"/>
  <c r="N985" i="15"/>
  <c r="M985" i="15"/>
  <c r="AA984" i="15"/>
  <c r="Z984" i="15"/>
  <c r="V984" i="15"/>
  <c r="S984" i="15"/>
  <c r="N984" i="15"/>
  <c r="M984" i="15"/>
  <c r="Q984" i="15"/>
  <c r="AA983" i="15"/>
  <c r="Z983" i="15"/>
  <c r="AC983" i="15" s="1"/>
  <c r="U983" i="15"/>
  <c r="V983" i="15"/>
  <c r="S983" i="15"/>
  <c r="N983" i="15"/>
  <c r="M983" i="15"/>
  <c r="Q983" i="15"/>
  <c r="AA982" i="15"/>
  <c r="Z982" i="15"/>
  <c r="U982" i="15"/>
  <c r="S982" i="15"/>
  <c r="N982" i="15"/>
  <c r="M982" i="15"/>
  <c r="Q982" i="15"/>
  <c r="AA981" i="15"/>
  <c r="Z981" i="15"/>
  <c r="U981" i="15"/>
  <c r="S981" i="15"/>
  <c r="N981" i="15"/>
  <c r="M981" i="15"/>
  <c r="Q981" i="15"/>
  <c r="AA980" i="15"/>
  <c r="Z980" i="15"/>
  <c r="AC980" i="15" s="1"/>
  <c r="U980" i="15"/>
  <c r="S980" i="15"/>
  <c r="N980" i="15"/>
  <c r="M980" i="15"/>
  <c r="Q980" i="15"/>
  <c r="W980" i="15" s="1"/>
  <c r="AA979" i="15"/>
  <c r="Z979" i="15"/>
  <c r="AC979" i="15" s="1"/>
  <c r="U979" i="15"/>
  <c r="S979" i="15"/>
  <c r="N979" i="15"/>
  <c r="M979" i="15"/>
  <c r="Q979" i="15"/>
  <c r="AA978" i="15"/>
  <c r="Z978" i="15"/>
  <c r="AC978" i="15" s="1"/>
  <c r="U978" i="15"/>
  <c r="S978" i="15"/>
  <c r="N978" i="15"/>
  <c r="M978" i="15"/>
  <c r="Q978" i="15"/>
  <c r="X978" i="15" s="1"/>
  <c r="AA977" i="15"/>
  <c r="Z977" i="15"/>
  <c r="U977" i="15"/>
  <c r="S977" i="15"/>
  <c r="N977" i="15"/>
  <c r="M977" i="15"/>
  <c r="Q977" i="15"/>
  <c r="AA976" i="15"/>
  <c r="Z976" i="15"/>
  <c r="U976" i="15"/>
  <c r="S976" i="15"/>
  <c r="N976" i="15"/>
  <c r="M976" i="15"/>
  <c r="Q976" i="15"/>
  <c r="W976" i="15" s="1"/>
  <c r="AA975" i="15"/>
  <c r="Z975" i="15"/>
  <c r="AC975" i="15" s="1"/>
  <c r="U975" i="15"/>
  <c r="S975" i="15"/>
  <c r="N975" i="15"/>
  <c r="M975" i="15"/>
  <c r="Q975" i="15"/>
  <c r="AA974" i="15"/>
  <c r="Z974" i="15"/>
  <c r="U974" i="15"/>
  <c r="S974" i="15"/>
  <c r="N974" i="15"/>
  <c r="M974" i="15"/>
  <c r="Q974" i="15"/>
  <c r="AA973" i="15"/>
  <c r="Z973" i="15"/>
  <c r="AC973" i="15" s="1"/>
  <c r="U973" i="15"/>
  <c r="V973" i="15"/>
  <c r="S973" i="15"/>
  <c r="N973" i="15"/>
  <c r="M973" i="15"/>
  <c r="Q973" i="15"/>
  <c r="X973" i="15" s="1"/>
  <c r="AA972" i="15"/>
  <c r="Z972" i="15"/>
  <c r="U972" i="15"/>
  <c r="S972" i="15"/>
  <c r="N972" i="15"/>
  <c r="M972" i="15"/>
  <c r="Q972" i="15"/>
  <c r="W972" i="15" s="1"/>
  <c r="AA971" i="15"/>
  <c r="Z971" i="15"/>
  <c r="AC971" i="15" s="1"/>
  <c r="U971" i="15"/>
  <c r="V971" i="15"/>
  <c r="S971" i="15"/>
  <c r="N971" i="15"/>
  <c r="M971" i="15"/>
  <c r="Q971" i="15"/>
  <c r="AA970" i="15"/>
  <c r="Z970" i="15"/>
  <c r="U970" i="15"/>
  <c r="S970" i="15"/>
  <c r="N970" i="15"/>
  <c r="M970" i="15"/>
  <c r="Q970" i="15"/>
  <c r="W970" i="15" s="1"/>
  <c r="AA969" i="15"/>
  <c r="Z969" i="15"/>
  <c r="U969" i="15"/>
  <c r="S969" i="15"/>
  <c r="N969" i="15"/>
  <c r="M969" i="15"/>
  <c r="Q969" i="15"/>
  <c r="W969" i="15" s="1"/>
  <c r="AA968" i="15"/>
  <c r="Z968" i="15"/>
  <c r="U968" i="15"/>
  <c r="S968" i="15"/>
  <c r="N968" i="15"/>
  <c r="M968" i="15"/>
  <c r="Q968" i="15"/>
  <c r="X968" i="15" s="1"/>
  <c r="AA967" i="15"/>
  <c r="Z967" i="15"/>
  <c r="U967" i="15"/>
  <c r="V967" i="15"/>
  <c r="S967" i="15"/>
  <c r="N967" i="15"/>
  <c r="M967" i="15"/>
  <c r="Q967" i="15"/>
  <c r="AA966" i="15"/>
  <c r="Z966" i="15"/>
  <c r="AC966" i="15" s="1"/>
  <c r="U966" i="15"/>
  <c r="S966" i="15"/>
  <c r="N966" i="15"/>
  <c r="M966" i="15"/>
  <c r="Q966" i="15"/>
  <c r="AA965" i="15"/>
  <c r="Z965" i="15"/>
  <c r="V965" i="15"/>
  <c r="S965" i="15"/>
  <c r="N965" i="15"/>
  <c r="M965" i="15"/>
  <c r="Q965" i="15"/>
  <c r="AA964" i="15"/>
  <c r="Z964" i="15"/>
  <c r="U964" i="15"/>
  <c r="S964" i="15"/>
  <c r="N964" i="15"/>
  <c r="M964" i="15"/>
  <c r="Q964" i="15"/>
  <c r="X964" i="15" s="1"/>
  <c r="AA963" i="15"/>
  <c r="Z963" i="15"/>
  <c r="U963" i="15"/>
  <c r="S963" i="15"/>
  <c r="N963" i="15"/>
  <c r="M963" i="15"/>
  <c r="Q963" i="15"/>
  <c r="AA962" i="15"/>
  <c r="Z962" i="15"/>
  <c r="AC962" i="15" s="1"/>
  <c r="U962" i="15"/>
  <c r="S962" i="15"/>
  <c r="N962" i="15"/>
  <c r="M962" i="15"/>
  <c r="Q962" i="15"/>
  <c r="AA961" i="15"/>
  <c r="Z961" i="15"/>
  <c r="U961" i="15"/>
  <c r="S961" i="15"/>
  <c r="N961" i="15"/>
  <c r="M961" i="15"/>
  <c r="Q961" i="15"/>
  <c r="AA960" i="15"/>
  <c r="Z960" i="15"/>
  <c r="AC960" i="15" s="1"/>
  <c r="U960" i="15"/>
  <c r="S960" i="15"/>
  <c r="N960" i="15"/>
  <c r="M960" i="15"/>
  <c r="Q960" i="15"/>
  <c r="AA959" i="15"/>
  <c r="Z959" i="15"/>
  <c r="U959" i="15"/>
  <c r="V959" i="15"/>
  <c r="S959" i="15"/>
  <c r="N959" i="15"/>
  <c r="M959" i="15"/>
  <c r="Q959" i="15"/>
  <c r="X959" i="15" s="1"/>
  <c r="AA958" i="15"/>
  <c r="Z958" i="15"/>
  <c r="AC958" i="15" s="1"/>
  <c r="V958" i="15"/>
  <c r="S958" i="15"/>
  <c r="N958" i="15"/>
  <c r="M958" i="15"/>
  <c r="Q958" i="15"/>
  <c r="X958" i="15" s="1"/>
  <c r="AA957" i="15"/>
  <c r="AD957" i="15" s="1"/>
  <c r="Z957" i="15"/>
  <c r="AC957" i="15" s="1"/>
  <c r="U957" i="15"/>
  <c r="V957" i="15"/>
  <c r="S957" i="15"/>
  <c r="N957" i="15"/>
  <c r="M957" i="15"/>
  <c r="Q957" i="15"/>
  <c r="X957" i="15" s="1"/>
  <c r="AA956" i="15"/>
  <c r="Z956" i="15"/>
  <c r="V956" i="15"/>
  <c r="S956" i="15"/>
  <c r="N956" i="15"/>
  <c r="M956" i="15"/>
  <c r="Q956" i="15"/>
  <c r="AA955" i="15"/>
  <c r="Z955" i="15"/>
  <c r="V955" i="15"/>
  <c r="S955" i="15"/>
  <c r="N955" i="15"/>
  <c r="M955" i="15"/>
  <c r="Q955" i="15"/>
  <c r="AA954" i="15"/>
  <c r="Z954" i="15"/>
  <c r="AC954" i="15" s="1"/>
  <c r="U954" i="15"/>
  <c r="S954" i="15"/>
  <c r="N954" i="15"/>
  <c r="M954" i="15"/>
  <c r="Q954" i="15"/>
  <c r="W954" i="15" s="1"/>
  <c r="AA953" i="15"/>
  <c r="Z953" i="15"/>
  <c r="U953" i="15"/>
  <c r="V953" i="15"/>
  <c r="S953" i="15"/>
  <c r="N953" i="15"/>
  <c r="M953" i="15"/>
  <c r="Q953" i="15"/>
  <c r="AA952" i="15"/>
  <c r="Z952" i="15"/>
  <c r="V952" i="15"/>
  <c r="S952" i="15"/>
  <c r="N952" i="15"/>
  <c r="M952" i="15"/>
  <c r="Q952" i="15"/>
  <c r="X952" i="15" s="1"/>
  <c r="AA951" i="15"/>
  <c r="Z951" i="15"/>
  <c r="U951" i="15"/>
  <c r="S951" i="15"/>
  <c r="N951" i="15"/>
  <c r="M951" i="15"/>
  <c r="Q951" i="15"/>
  <c r="AA950" i="15"/>
  <c r="Z950" i="15"/>
  <c r="U950" i="15"/>
  <c r="V950" i="15"/>
  <c r="S950" i="15"/>
  <c r="N950" i="15"/>
  <c r="M950" i="15"/>
  <c r="Q950" i="15"/>
  <c r="AA949" i="15"/>
  <c r="Z949" i="15"/>
  <c r="AC949" i="15" s="1"/>
  <c r="U949" i="15"/>
  <c r="S949" i="15"/>
  <c r="N949" i="15"/>
  <c r="M949" i="15"/>
  <c r="Q949" i="15"/>
  <c r="AA948" i="15"/>
  <c r="Z948" i="15"/>
  <c r="AC948" i="15" s="1"/>
  <c r="U948" i="15"/>
  <c r="S948" i="15"/>
  <c r="N948" i="15"/>
  <c r="M948" i="15"/>
  <c r="Q948" i="15"/>
  <c r="W948" i="15" s="1"/>
  <c r="AA947" i="15"/>
  <c r="Z947" i="15"/>
  <c r="U947" i="15"/>
  <c r="V947" i="15"/>
  <c r="S947" i="15"/>
  <c r="N947" i="15"/>
  <c r="M947" i="15"/>
  <c r="Q947" i="15"/>
  <c r="AA946" i="15"/>
  <c r="Z946" i="15"/>
  <c r="U946" i="15"/>
  <c r="V946" i="15"/>
  <c r="S946" i="15"/>
  <c r="N946" i="15"/>
  <c r="M946" i="15"/>
  <c r="Q946" i="15"/>
  <c r="AA945" i="15"/>
  <c r="Z945" i="15"/>
  <c r="AC945" i="15" s="1"/>
  <c r="U945" i="15"/>
  <c r="S945" i="15"/>
  <c r="N945" i="15"/>
  <c r="M945" i="15"/>
  <c r="Q945" i="15"/>
  <c r="AA944" i="15"/>
  <c r="Z944" i="15"/>
  <c r="AC944" i="15" s="1"/>
  <c r="V944" i="15"/>
  <c r="S944" i="15"/>
  <c r="N944" i="15"/>
  <c r="M944" i="15"/>
  <c r="Q944" i="15"/>
  <c r="AA943" i="15"/>
  <c r="Z943" i="15"/>
  <c r="U943" i="15"/>
  <c r="S943" i="15"/>
  <c r="N943" i="15"/>
  <c r="M943" i="15"/>
  <c r="Q943" i="15"/>
  <c r="X943" i="15" s="1"/>
  <c r="AA942" i="15"/>
  <c r="Z942" i="15"/>
  <c r="AC942" i="15" s="1"/>
  <c r="U942" i="15"/>
  <c r="S942" i="15"/>
  <c r="N942" i="15"/>
  <c r="M942" i="15"/>
  <c r="Q942" i="15"/>
  <c r="AA941" i="15"/>
  <c r="Z941" i="15"/>
  <c r="AC941" i="15" s="1"/>
  <c r="U941" i="15"/>
  <c r="V941" i="15"/>
  <c r="S941" i="15"/>
  <c r="N941" i="15"/>
  <c r="M941" i="15"/>
  <c r="Q941" i="15"/>
  <c r="AA940" i="15"/>
  <c r="Z940" i="15"/>
  <c r="U940" i="15"/>
  <c r="S940" i="15"/>
  <c r="N940" i="15"/>
  <c r="M940" i="15"/>
  <c r="Q940" i="15"/>
  <c r="W940" i="15" s="1"/>
  <c r="AA939" i="15"/>
  <c r="Z939" i="15"/>
  <c r="U939" i="15"/>
  <c r="V939" i="15"/>
  <c r="S939" i="15"/>
  <c r="N939" i="15"/>
  <c r="M939" i="15"/>
  <c r="Q939" i="15"/>
  <c r="X939" i="15" s="1"/>
  <c r="AA938" i="15"/>
  <c r="Z938" i="15"/>
  <c r="AC938" i="15" s="1"/>
  <c r="U938" i="15"/>
  <c r="V938" i="15"/>
  <c r="S938" i="15"/>
  <c r="N938" i="15"/>
  <c r="M938" i="15"/>
  <c r="Q938" i="15"/>
  <c r="W938" i="15" s="1"/>
  <c r="AA937" i="15"/>
  <c r="Z937" i="15"/>
  <c r="U937" i="15"/>
  <c r="S937" i="15"/>
  <c r="N937" i="15"/>
  <c r="M937" i="15"/>
  <c r="Q937" i="15"/>
  <c r="X937" i="15" s="1"/>
  <c r="AA936" i="15"/>
  <c r="Z936" i="15"/>
  <c r="U936" i="15"/>
  <c r="S936" i="15"/>
  <c r="N936" i="15"/>
  <c r="M936" i="15"/>
  <c r="Q936" i="15"/>
  <c r="W936" i="15" s="1"/>
  <c r="AA935" i="15"/>
  <c r="Z935" i="15"/>
  <c r="AC935" i="15" s="1"/>
  <c r="U935" i="15"/>
  <c r="S935" i="15"/>
  <c r="N935" i="15"/>
  <c r="M935" i="15"/>
  <c r="Q935" i="15"/>
  <c r="AA934" i="15"/>
  <c r="Z934" i="15"/>
  <c r="U934" i="15"/>
  <c r="S934" i="15"/>
  <c r="N934" i="15"/>
  <c r="M934" i="15"/>
  <c r="Q934" i="15"/>
  <c r="W934" i="15" s="1"/>
  <c r="AA933" i="15"/>
  <c r="Z933" i="15"/>
  <c r="AC933" i="15" s="1"/>
  <c r="U933" i="15"/>
  <c r="S933" i="15"/>
  <c r="N933" i="15"/>
  <c r="M933" i="15"/>
  <c r="Q933" i="15"/>
  <c r="AA932" i="15"/>
  <c r="Z932" i="15"/>
  <c r="AC932" i="15" s="1"/>
  <c r="U932" i="15"/>
  <c r="S932" i="15"/>
  <c r="N932" i="15"/>
  <c r="M932" i="15"/>
  <c r="Q932" i="15"/>
  <c r="AA931" i="15"/>
  <c r="Z931" i="15"/>
  <c r="AC931" i="15" s="1"/>
  <c r="U931" i="15"/>
  <c r="S931" i="15"/>
  <c r="N931" i="15"/>
  <c r="M931" i="15"/>
  <c r="Q931" i="15"/>
  <c r="X931" i="15" s="1"/>
  <c r="AA930" i="15"/>
  <c r="Z930" i="15"/>
  <c r="AC930" i="15" s="1"/>
  <c r="U930" i="15"/>
  <c r="S930" i="15"/>
  <c r="N930" i="15"/>
  <c r="M930" i="15"/>
  <c r="Q930" i="15"/>
  <c r="W930" i="15" s="1"/>
  <c r="AA929" i="15"/>
  <c r="Z929" i="15"/>
  <c r="V929" i="15"/>
  <c r="S929" i="15"/>
  <c r="N929" i="15"/>
  <c r="M929" i="15"/>
  <c r="Q929" i="15"/>
  <c r="AA928" i="15"/>
  <c r="Z928" i="15"/>
  <c r="U928" i="15"/>
  <c r="S928" i="15"/>
  <c r="N928" i="15"/>
  <c r="M928" i="15"/>
  <c r="Q928" i="15"/>
  <c r="AA927" i="15"/>
  <c r="Z927" i="15"/>
  <c r="AC927" i="15" s="1"/>
  <c r="U927" i="15"/>
  <c r="S927" i="15"/>
  <c r="N927" i="15"/>
  <c r="M927" i="15"/>
  <c r="Q927" i="15"/>
  <c r="AA926" i="15"/>
  <c r="Z926" i="15"/>
  <c r="U926" i="15"/>
  <c r="S926" i="15"/>
  <c r="N926" i="15"/>
  <c r="M926" i="15"/>
  <c r="Q926" i="15"/>
  <c r="X926" i="15" s="1"/>
  <c r="AA925" i="15"/>
  <c r="AD925" i="15" s="1"/>
  <c r="Z925" i="15"/>
  <c r="AC925" i="15" s="1"/>
  <c r="U925" i="15"/>
  <c r="V925" i="15"/>
  <c r="S925" i="15"/>
  <c r="N925" i="15"/>
  <c r="M925" i="15"/>
  <c r="AA924" i="15"/>
  <c r="Z924" i="15"/>
  <c r="U924" i="15"/>
  <c r="S924" i="15"/>
  <c r="N924" i="15"/>
  <c r="M924" i="15"/>
  <c r="Q924" i="15"/>
  <c r="W924" i="15" s="1"/>
  <c r="AA923" i="15"/>
  <c r="Z923" i="15"/>
  <c r="U923" i="15"/>
  <c r="S923" i="15"/>
  <c r="N923" i="15"/>
  <c r="M923" i="15"/>
  <c r="Q923" i="15"/>
  <c r="X923" i="15" s="1"/>
  <c r="AA922" i="15"/>
  <c r="Z922" i="15"/>
  <c r="U922" i="15"/>
  <c r="S922" i="15"/>
  <c r="N922" i="15"/>
  <c r="M922" i="15"/>
  <c r="Q922" i="15"/>
  <c r="AA921" i="15"/>
  <c r="Z921" i="15"/>
  <c r="AC921" i="15" s="1"/>
  <c r="U921" i="15"/>
  <c r="S921" i="15"/>
  <c r="N921" i="15"/>
  <c r="M921" i="15"/>
  <c r="Q921" i="15"/>
  <c r="AA920" i="15"/>
  <c r="Z920" i="15"/>
  <c r="AC920" i="15" s="1"/>
  <c r="U920" i="15"/>
  <c r="S920" i="15"/>
  <c r="N920" i="15"/>
  <c r="M920" i="15"/>
  <c r="Q920" i="15"/>
  <c r="AA919" i="15"/>
  <c r="Z919" i="15"/>
  <c r="U919" i="15"/>
  <c r="S919" i="15"/>
  <c r="N919" i="15"/>
  <c r="M919" i="15"/>
  <c r="Q919" i="15"/>
  <c r="AA918" i="15"/>
  <c r="Z918" i="15"/>
  <c r="AC918" i="15" s="1"/>
  <c r="V918" i="15"/>
  <c r="S918" i="15"/>
  <c r="N918" i="15"/>
  <c r="M918" i="15"/>
  <c r="Q918" i="15"/>
  <c r="W918" i="15" s="1"/>
  <c r="AA917" i="15"/>
  <c r="Z917" i="15"/>
  <c r="U917" i="15"/>
  <c r="S917" i="15"/>
  <c r="N917" i="15"/>
  <c r="M917" i="15"/>
  <c r="AA916" i="15"/>
  <c r="Z916" i="15"/>
  <c r="AC916" i="15" s="1"/>
  <c r="U916" i="15"/>
  <c r="S916" i="15"/>
  <c r="N916" i="15"/>
  <c r="M916" i="15"/>
  <c r="Q916" i="15"/>
  <c r="AA915" i="15"/>
  <c r="Z915" i="15"/>
  <c r="AC915" i="15" s="1"/>
  <c r="U915" i="15"/>
  <c r="S915" i="15"/>
  <c r="N915" i="15"/>
  <c r="M915" i="15"/>
  <c r="Q915" i="15"/>
  <c r="X915" i="15" s="1"/>
  <c r="AA914" i="15"/>
  <c r="Z914" i="15"/>
  <c r="U914" i="15"/>
  <c r="S914" i="15"/>
  <c r="N914" i="15"/>
  <c r="M914" i="15"/>
  <c r="Q914" i="15"/>
  <c r="AA913" i="15"/>
  <c r="Z913" i="15"/>
  <c r="U913" i="15"/>
  <c r="V913" i="15"/>
  <c r="S913" i="15"/>
  <c r="N913" i="15"/>
  <c r="M913" i="15"/>
  <c r="Q913" i="15"/>
  <c r="AA912" i="15"/>
  <c r="Z912" i="15"/>
  <c r="U912" i="15"/>
  <c r="S912" i="15"/>
  <c r="N912" i="15"/>
  <c r="M912" i="15"/>
  <c r="Q912" i="15"/>
  <c r="AA911" i="15"/>
  <c r="Z911" i="15"/>
  <c r="AC911" i="15" s="1"/>
  <c r="U911" i="15"/>
  <c r="V911" i="15"/>
  <c r="S911" i="15"/>
  <c r="N911" i="15"/>
  <c r="M911" i="15"/>
  <c r="Q911" i="15"/>
  <c r="AA910" i="15"/>
  <c r="Z910" i="15"/>
  <c r="AC910" i="15" s="1"/>
  <c r="U910" i="15"/>
  <c r="S910" i="15"/>
  <c r="N910" i="15"/>
  <c r="M910" i="15"/>
  <c r="Q910" i="15"/>
  <c r="AA909" i="15"/>
  <c r="Z909" i="15"/>
  <c r="U909" i="15"/>
  <c r="S909" i="15"/>
  <c r="N909" i="15"/>
  <c r="M909" i="15"/>
  <c r="AA908" i="15"/>
  <c r="Z908" i="15"/>
  <c r="U908" i="15"/>
  <c r="S908" i="15"/>
  <c r="N908" i="15"/>
  <c r="M908" i="15"/>
  <c r="Q908" i="15"/>
  <c r="X908" i="15" s="1"/>
  <c r="AA907" i="15"/>
  <c r="Z907" i="15"/>
  <c r="U907" i="15"/>
  <c r="S907" i="15"/>
  <c r="N907" i="15"/>
  <c r="M907" i="15"/>
  <c r="Q907" i="15"/>
  <c r="AA906" i="15"/>
  <c r="Z906" i="15"/>
  <c r="U906" i="15"/>
  <c r="S906" i="15"/>
  <c r="N906" i="15"/>
  <c r="M906" i="15"/>
  <c r="Q906" i="15"/>
  <c r="AA905" i="15"/>
  <c r="Z905" i="15"/>
  <c r="U905" i="15"/>
  <c r="S905" i="15"/>
  <c r="N905" i="15"/>
  <c r="M905" i="15"/>
  <c r="Q905" i="15"/>
  <c r="AA904" i="15"/>
  <c r="Z904" i="15"/>
  <c r="U904" i="15"/>
  <c r="S904" i="15"/>
  <c r="N904" i="15"/>
  <c r="M904" i="15"/>
  <c r="Q904" i="15"/>
  <c r="AA903" i="15"/>
  <c r="Z903" i="15"/>
  <c r="AC903" i="15" s="1"/>
  <c r="U903" i="15"/>
  <c r="S903" i="15"/>
  <c r="N903" i="15"/>
  <c r="M903" i="15"/>
  <c r="AA902" i="15"/>
  <c r="Z902" i="15"/>
  <c r="AC902" i="15" s="1"/>
  <c r="U902" i="15"/>
  <c r="S902" i="15"/>
  <c r="N902" i="15"/>
  <c r="M902" i="15"/>
  <c r="Q902" i="15"/>
  <c r="AA901" i="15"/>
  <c r="Z901" i="15"/>
  <c r="U901" i="15"/>
  <c r="S901" i="15"/>
  <c r="N901" i="15"/>
  <c r="M901" i="15"/>
  <c r="Q901" i="15"/>
  <c r="AA900" i="15"/>
  <c r="Z900" i="15"/>
  <c r="AC900" i="15" s="1"/>
  <c r="U900" i="15"/>
  <c r="S900" i="15"/>
  <c r="N900" i="15"/>
  <c r="M900" i="15"/>
  <c r="Q900" i="15"/>
  <c r="AA899" i="15"/>
  <c r="Z899" i="15"/>
  <c r="V899" i="15"/>
  <c r="S899" i="15"/>
  <c r="N899" i="15"/>
  <c r="M899" i="15"/>
  <c r="Q899" i="15"/>
  <c r="X899" i="15" s="1"/>
  <c r="AA898" i="15"/>
  <c r="Z898" i="15"/>
  <c r="AC898" i="15" s="1"/>
  <c r="V898" i="15"/>
  <c r="S898" i="15"/>
  <c r="N898" i="15"/>
  <c r="M898" i="15"/>
  <c r="Q898" i="15"/>
  <c r="X898" i="15" s="1"/>
  <c r="AA897" i="15"/>
  <c r="Z897" i="15"/>
  <c r="U897" i="15"/>
  <c r="S897" i="15"/>
  <c r="N897" i="15"/>
  <c r="M897" i="15"/>
  <c r="Q897" i="15"/>
  <c r="AA896" i="15"/>
  <c r="Z896" i="15"/>
  <c r="AC896" i="15" s="1"/>
  <c r="U896" i="15"/>
  <c r="S896" i="15"/>
  <c r="N896" i="15"/>
  <c r="M896" i="15"/>
  <c r="Q896" i="15"/>
  <c r="AA895" i="15"/>
  <c r="Z895" i="15"/>
  <c r="AC895" i="15" s="1"/>
  <c r="U895" i="15"/>
  <c r="S895" i="15"/>
  <c r="N895" i="15"/>
  <c r="M895" i="15"/>
  <c r="AA894" i="15"/>
  <c r="AD894" i="15" s="1"/>
  <c r="Z894" i="15"/>
  <c r="U894" i="15"/>
  <c r="S894" i="15"/>
  <c r="N894" i="15"/>
  <c r="Q894" i="15"/>
  <c r="AA893" i="15"/>
  <c r="Z893" i="15"/>
  <c r="AC893" i="15" s="1"/>
  <c r="U893" i="15"/>
  <c r="S893" i="15"/>
  <c r="N893" i="15"/>
  <c r="M893" i="15"/>
  <c r="Q893" i="15"/>
  <c r="AA892" i="15"/>
  <c r="AD892" i="15" s="1"/>
  <c r="Z892" i="15"/>
  <c r="AC892" i="15" s="1"/>
  <c r="U892" i="15"/>
  <c r="V892" i="15"/>
  <c r="S892" i="15"/>
  <c r="N892" i="15"/>
  <c r="M892" i="15"/>
  <c r="Q892" i="15"/>
  <c r="AA891" i="15"/>
  <c r="AD891" i="15" s="1"/>
  <c r="Z891" i="15"/>
  <c r="AC891" i="15" s="1"/>
  <c r="U891" i="15"/>
  <c r="V891" i="15"/>
  <c r="S891" i="15"/>
  <c r="N891" i="15"/>
  <c r="M891" i="15"/>
  <c r="Q891" i="15"/>
  <c r="X891" i="15" s="1"/>
  <c r="AA890" i="15"/>
  <c r="Z890" i="15"/>
  <c r="U890" i="15"/>
  <c r="V890" i="15"/>
  <c r="S890" i="15"/>
  <c r="N890" i="15"/>
  <c r="M890" i="15"/>
  <c r="Q890" i="15"/>
  <c r="AA889" i="15"/>
  <c r="Z889" i="15"/>
  <c r="AC889" i="15" s="1"/>
  <c r="U889" i="15"/>
  <c r="V889" i="15"/>
  <c r="S889" i="15"/>
  <c r="N889" i="15"/>
  <c r="M889" i="15"/>
  <c r="Q889" i="15"/>
  <c r="AA888" i="15"/>
  <c r="AD888" i="15" s="1"/>
  <c r="Z888" i="15"/>
  <c r="AC888" i="15" s="1"/>
  <c r="U888" i="15"/>
  <c r="S888" i="15"/>
  <c r="N888" i="15"/>
  <c r="M888" i="15"/>
  <c r="Q888" i="15"/>
  <c r="AA887" i="15"/>
  <c r="Z887" i="15"/>
  <c r="U887" i="15"/>
  <c r="S887" i="15"/>
  <c r="N887" i="15"/>
  <c r="M887" i="15"/>
  <c r="Q887" i="15"/>
  <c r="AA886" i="15"/>
  <c r="Z886" i="15"/>
  <c r="AC886" i="15" s="1"/>
  <c r="U886" i="15"/>
  <c r="S886" i="15"/>
  <c r="N886" i="15"/>
  <c r="M886" i="15"/>
  <c r="Q886" i="15"/>
  <c r="AA885" i="15"/>
  <c r="Z885" i="15"/>
  <c r="U885" i="15"/>
  <c r="S885" i="15"/>
  <c r="N885" i="15"/>
  <c r="M885" i="15"/>
  <c r="Q885" i="15"/>
  <c r="AA884" i="15"/>
  <c r="AD884" i="15" s="1"/>
  <c r="Z884" i="15"/>
  <c r="V884" i="15"/>
  <c r="S884" i="15"/>
  <c r="N884" i="15"/>
  <c r="Q884" i="15"/>
  <c r="AA883" i="15"/>
  <c r="Z883" i="15"/>
  <c r="AC883" i="15" s="1"/>
  <c r="U883" i="15"/>
  <c r="S883" i="15"/>
  <c r="N883" i="15"/>
  <c r="M883" i="15"/>
  <c r="AA882" i="15"/>
  <c r="AD882" i="15" s="1"/>
  <c r="Z882" i="15"/>
  <c r="AC882" i="15" s="1"/>
  <c r="U882" i="15"/>
  <c r="V882" i="15"/>
  <c r="S882" i="15"/>
  <c r="N882" i="15"/>
  <c r="M882" i="15"/>
  <c r="Q882" i="15"/>
  <c r="AA881" i="15"/>
  <c r="Z881" i="15"/>
  <c r="U881" i="15"/>
  <c r="S881" i="15"/>
  <c r="N881" i="15"/>
  <c r="M881" i="15"/>
  <c r="Q881" i="15"/>
  <c r="AA880" i="15"/>
  <c r="Z880" i="15"/>
  <c r="AC880" i="15" s="1"/>
  <c r="V880" i="15"/>
  <c r="S880" i="15"/>
  <c r="N880" i="15"/>
  <c r="M880" i="15"/>
  <c r="Q880" i="15"/>
  <c r="AA879" i="15"/>
  <c r="Z879" i="15"/>
  <c r="U879" i="15"/>
  <c r="S879" i="15"/>
  <c r="N879" i="15"/>
  <c r="M879" i="15"/>
  <c r="Q879" i="15"/>
  <c r="AA878" i="15"/>
  <c r="Z878" i="15"/>
  <c r="AC878" i="15" s="1"/>
  <c r="V878" i="15"/>
  <c r="S878" i="15"/>
  <c r="N878" i="15"/>
  <c r="M878" i="15"/>
  <c r="Q878" i="15"/>
  <c r="W878" i="15" s="1"/>
  <c r="AA877" i="15"/>
  <c r="Z877" i="15"/>
  <c r="AC877" i="15" s="1"/>
  <c r="U877" i="15"/>
  <c r="S877" i="15"/>
  <c r="N877" i="15"/>
  <c r="M877" i="15"/>
  <c r="Q877" i="15"/>
  <c r="AA876" i="15"/>
  <c r="Z876" i="15"/>
  <c r="AC876" i="15" s="1"/>
  <c r="V876" i="15"/>
  <c r="S876" i="15"/>
  <c r="N876" i="15"/>
  <c r="M876" i="15"/>
  <c r="Q876" i="15"/>
  <c r="W876" i="15" s="1"/>
  <c r="AA875" i="15"/>
  <c r="Z875" i="15"/>
  <c r="U875" i="15"/>
  <c r="S875" i="15"/>
  <c r="N875" i="15"/>
  <c r="M875" i="15"/>
  <c r="Q875" i="15"/>
  <c r="AA874" i="15"/>
  <c r="Z874" i="15"/>
  <c r="AC874" i="15" s="1"/>
  <c r="U874" i="15"/>
  <c r="S874" i="15"/>
  <c r="N874" i="15"/>
  <c r="M874" i="15"/>
  <c r="Q874" i="15"/>
  <c r="W874" i="15" s="1"/>
  <c r="AA873" i="15"/>
  <c r="Z873" i="15"/>
  <c r="U873" i="15"/>
  <c r="S873" i="15"/>
  <c r="N873" i="15"/>
  <c r="M873" i="15"/>
  <c r="Q873" i="15"/>
  <c r="X873" i="15" s="1"/>
  <c r="AA872" i="15"/>
  <c r="Z872" i="15"/>
  <c r="AC872" i="15" s="1"/>
  <c r="U872" i="15"/>
  <c r="V872" i="15"/>
  <c r="S872" i="15"/>
  <c r="N872" i="15"/>
  <c r="M872" i="15"/>
  <c r="Q872" i="15"/>
  <c r="X872" i="15" s="1"/>
  <c r="AA871" i="15"/>
  <c r="Z871" i="15"/>
  <c r="U871" i="15"/>
  <c r="S871" i="15"/>
  <c r="N871" i="15"/>
  <c r="M871" i="15"/>
  <c r="Q871" i="15"/>
  <c r="X871" i="15" s="1"/>
  <c r="AA870" i="15"/>
  <c r="Z870" i="15"/>
  <c r="U870" i="15"/>
  <c r="S870" i="15"/>
  <c r="N870" i="15"/>
  <c r="M870" i="15"/>
  <c r="Q870" i="15"/>
  <c r="AA869" i="15"/>
  <c r="Z869" i="15"/>
  <c r="U869" i="15"/>
  <c r="S869" i="15"/>
  <c r="N869" i="15"/>
  <c r="M869" i="15"/>
  <c r="Q869" i="15"/>
  <c r="AA868" i="15"/>
  <c r="Z868" i="15"/>
  <c r="AC868" i="15" s="1"/>
  <c r="U868" i="15"/>
  <c r="V868" i="15"/>
  <c r="S868" i="15"/>
  <c r="N868" i="15"/>
  <c r="M868" i="15"/>
  <c r="Q868" i="15"/>
  <c r="AA867" i="15"/>
  <c r="AD867" i="15" s="1"/>
  <c r="Z867" i="15"/>
  <c r="U867" i="15"/>
  <c r="V867" i="15"/>
  <c r="S867" i="15"/>
  <c r="N867" i="15"/>
  <c r="M867" i="15"/>
  <c r="Q867" i="15"/>
  <c r="AA866" i="15"/>
  <c r="AD866" i="15" s="1"/>
  <c r="Z866" i="15"/>
  <c r="V866" i="15"/>
  <c r="S866" i="15"/>
  <c r="N866" i="15"/>
  <c r="M866" i="15"/>
  <c r="Q866" i="15"/>
  <c r="AA865" i="15"/>
  <c r="Z865" i="15"/>
  <c r="AC865" i="15" s="1"/>
  <c r="V865" i="15"/>
  <c r="S865" i="15"/>
  <c r="N865" i="15"/>
  <c r="M865" i="15"/>
  <c r="Q865" i="15"/>
  <c r="AA864" i="15"/>
  <c r="Z864" i="15"/>
  <c r="U864" i="15"/>
  <c r="S864" i="15"/>
  <c r="N864" i="15"/>
  <c r="M864" i="15"/>
  <c r="Q864" i="15"/>
  <c r="AA863" i="15"/>
  <c r="Z863" i="15"/>
  <c r="U863" i="15"/>
  <c r="S863" i="15"/>
  <c r="N863" i="15"/>
  <c r="M863" i="15"/>
  <c r="Q863" i="15"/>
  <c r="AA862" i="15"/>
  <c r="Z862" i="15"/>
  <c r="U862" i="15"/>
  <c r="S862" i="15"/>
  <c r="N862" i="15"/>
  <c r="M862" i="15"/>
  <c r="Q862" i="15"/>
  <c r="X862" i="15" s="1"/>
  <c r="AA861" i="15"/>
  <c r="Z861" i="15"/>
  <c r="AC861" i="15" s="1"/>
  <c r="V861" i="15"/>
  <c r="S861" i="15"/>
  <c r="N861" i="15"/>
  <c r="M861" i="15"/>
  <c r="Q861" i="15"/>
  <c r="AA860" i="15"/>
  <c r="Z860" i="15"/>
  <c r="AC860" i="15" s="1"/>
  <c r="U860" i="15"/>
  <c r="V860" i="15"/>
  <c r="S860" i="15"/>
  <c r="N860" i="15"/>
  <c r="M860" i="15"/>
  <c r="Q860" i="15"/>
  <c r="AA859" i="15"/>
  <c r="Z859" i="15"/>
  <c r="V859" i="15"/>
  <c r="S859" i="15"/>
  <c r="N859" i="15"/>
  <c r="M859" i="15"/>
  <c r="Q859" i="15"/>
  <c r="AA858" i="15"/>
  <c r="Z858" i="15"/>
  <c r="V858" i="15"/>
  <c r="S858" i="15"/>
  <c r="N858" i="15"/>
  <c r="M858" i="15"/>
  <c r="Q858" i="15"/>
  <c r="X858" i="15" s="1"/>
  <c r="AA857" i="15"/>
  <c r="Z857" i="15"/>
  <c r="U857" i="15"/>
  <c r="S857" i="15"/>
  <c r="N857" i="15"/>
  <c r="M857" i="15"/>
  <c r="Q857" i="15"/>
  <c r="AA856" i="15"/>
  <c r="Z856" i="15"/>
  <c r="AC856" i="15" s="1"/>
  <c r="U856" i="15"/>
  <c r="V856" i="15"/>
  <c r="S856" i="15"/>
  <c r="N856" i="15"/>
  <c r="M856" i="15"/>
  <c r="Q856" i="15"/>
  <c r="AA855" i="15"/>
  <c r="Z855" i="15"/>
  <c r="U855" i="15"/>
  <c r="S855" i="15"/>
  <c r="N855" i="15"/>
  <c r="M855" i="15"/>
  <c r="Q855" i="15"/>
  <c r="AA854" i="15"/>
  <c r="Z854" i="15"/>
  <c r="V854" i="15"/>
  <c r="S854" i="15"/>
  <c r="N854" i="15"/>
  <c r="M854" i="15"/>
  <c r="Q854" i="15"/>
  <c r="AA853" i="15"/>
  <c r="Z853" i="15"/>
  <c r="V853" i="15"/>
  <c r="S853" i="15"/>
  <c r="N853" i="15"/>
  <c r="M853" i="15"/>
  <c r="Q853" i="15"/>
  <c r="AA852" i="15"/>
  <c r="Z852" i="15"/>
  <c r="U852" i="15"/>
  <c r="S852" i="15"/>
  <c r="N852" i="15"/>
  <c r="M852" i="15"/>
  <c r="Q852" i="15"/>
  <c r="AA851" i="15"/>
  <c r="Z851" i="15"/>
  <c r="AC851" i="15" s="1"/>
  <c r="U851" i="15"/>
  <c r="V851" i="15"/>
  <c r="S851" i="15"/>
  <c r="N851" i="15"/>
  <c r="M851" i="15"/>
  <c r="Q851" i="15"/>
  <c r="X851" i="15" s="1"/>
  <c r="AA850" i="15"/>
  <c r="Z850" i="15"/>
  <c r="AC850" i="15" s="1"/>
  <c r="U850" i="15"/>
  <c r="S850" i="15"/>
  <c r="N850" i="15"/>
  <c r="M850" i="15"/>
  <c r="Q850" i="15"/>
  <c r="AA849" i="15"/>
  <c r="Z849" i="15"/>
  <c r="AC849" i="15" s="1"/>
  <c r="U849" i="15"/>
  <c r="S849" i="15"/>
  <c r="N849" i="15"/>
  <c r="M849" i="15"/>
  <c r="Q849" i="15"/>
  <c r="AA848" i="15"/>
  <c r="Z848" i="15"/>
  <c r="U848" i="15"/>
  <c r="V848" i="15"/>
  <c r="S848" i="15"/>
  <c r="N848" i="15"/>
  <c r="M848" i="15"/>
  <c r="Q848" i="15"/>
  <c r="AA847" i="15"/>
  <c r="Z847" i="15"/>
  <c r="U847" i="15"/>
  <c r="V847" i="15"/>
  <c r="S847" i="15"/>
  <c r="N847" i="15"/>
  <c r="M847" i="15"/>
  <c r="Q847" i="15"/>
  <c r="AA846" i="15"/>
  <c r="Z846" i="15"/>
  <c r="V846" i="15"/>
  <c r="S846" i="15"/>
  <c r="N846" i="15"/>
  <c r="M846" i="15"/>
  <c r="Q846" i="15"/>
  <c r="AA845" i="15"/>
  <c r="Z845" i="15"/>
  <c r="AC845" i="15" s="1"/>
  <c r="V845" i="15"/>
  <c r="S845" i="15"/>
  <c r="N845" i="15"/>
  <c r="M845" i="15"/>
  <c r="Q845" i="15"/>
  <c r="AA844" i="15"/>
  <c r="Z844" i="15"/>
  <c r="U844" i="15"/>
  <c r="S844" i="15"/>
  <c r="N844" i="15"/>
  <c r="M844" i="15"/>
  <c r="Q844" i="15"/>
  <c r="AA843" i="15"/>
  <c r="Z843" i="15"/>
  <c r="V843" i="15"/>
  <c r="S843" i="15"/>
  <c r="N843" i="15"/>
  <c r="M843" i="15"/>
  <c r="Q843" i="15"/>
  <c r="AA842" i="15"/>
  <c r="Z842" i="15"/>
  <c r="AC842" i="15" s="1"/>
  <c r="V842" i="15"/>
  <c r="S842" i="15"/>
  <c r="N842" i="15"/>
  <c r="M842" i="15"/>
  <c r="Q842" i="15"/>
  <c r="AA841" i="15"/>
  <c r="Z841" i="15"/>
  <c r="AC841" i="15" s="1"/>
  <c r="V841" i="15"/>
  <c r="S841" i="15"/>
  <c r="N841" i="15"/>
  <c r="M841" i="15"/>
  <c r="Q841" i="15"/>
  <c r="X841" i="15" s="1"/>
  <c r="AA840" i="15"/>
  <c r="Z840" i="15"/>
  <c r="U840" i="15"/>
  <c r="S840" i="15"/>
  <c r="N840" i="15"/>
  <c r="M840" i="15"/>
  <c r="Q840" i="15"/>
  <c r="AA839" i="15"/>
  <c r="Z839" i="15"/>
  <c r="U839" i="15"/>
  <c r="S839" i="15"/>
  <c r="N839" i="15"/>
  <c r="M839" i="15"/>
  <c r="Q839" i="15"/>
  <c r="AA838" i="15"/>
  <c r="Z838" i="15"/>
  <c r="AC838" i="15" s="1"/>
  <c r="U838" i="15"/>
  <c r="S838" i="15"/>
  <c r="N838" i="15"/>
  <c r="M838" i="15"/>
  <c r="Q838" i="15"/>
  <c r="AA837" i="15"/>
  <c r="Z837" i="15"/>
  <c r="V837" i="15"/>
  <c r="S837" i="15"/>
  <c r="N837" i="15"/>
  <c r="M837" i="15"/>
  <c r="Q837" i="15"/>
  <c r="AA836" i="15"/>
  <c r="Z836" i="15"/>
  <c r="AC836" i="15" s="1"/>
  <c r="U836" i="15"/>
  <c r="V836" i="15"/>
  <c r="S836" i="15"/>
  <c r="N836" i="15"/>
  <c r="M836" i="15"/>
  <c r="Q836" i="15"/>
  <c r="X836" i="15" s="1"/>
  <c r="AA835" i="15"/>
  <c r="Z835" i="15"/>
  <c r="U835" i="15"/>
  <c r="S835" i="15"/>
  <c r="N835" i="15"/>
  <c r="M835" i="15"/>
  <c r="Q835" i="15"/>
  <c r="AA834" i="15"/>
  <c r="Z834" i="15"/>
  <c r="AC834" i="15" s="1"/>
  <c r="U834" i="15"/>
  <c r="S834" i="15"/>
  <c r="N834" i="15"/>
  <c r="M834" i="15"/>
  <c r="Q834" i="15"/>
  <c r="AA833" i="15"/>
  <c r="Z833" i="15"/>
  <c r="AC833" i="15" s="1"/>
  <c r="V833" i="15"/>
  <c r="S833" i="15"/>
  <c r="N833" i="15"/>
  <c r="M833" i="15"/>
  <c r="Q833" i="15"/>
  <c r="AA832" i="15"/>
  <c r="Z832" i="15"/>
  <c r="AC832" i="15" s="1"/>
  <c r="U832" i="15"/>
  <c r="S832" i="15"/>
  <c r="N832" i="15"/>
  <c r="M832" i="15"/>
  <c r="Q832" i="15"/>
  <c r="AA831" i="15"/>
  <c r="Z831" i="15"/>
  <c r="U831" i="15"/>
  <c r="S831" i="15"/>
  <c r="N831" i="15"/>
  <c r="M831" i="15"/>
  <c r="Q831" i="15"/>
  <c r="AA830" i="15"/>
  <c r="Z830" i="15"/>
  <c r="V830" i="15"/>
  <c r="S830" i="15"/>
  <c r="N830" i="15"/>
  <c r="M830" i="15"/>
  <c r="Q830" i="15"/>
  <c r="X830" i="15" s="1"/>
  <c r="AA829" i="15"/>
  <c r="Z829" i="15"/>
  <c r="U829" i="15"/>
  <c r="S829" i="15"/>
  <c r="N829" i="15"/>
  <c r="M829" i="15"/>
  <c r="Q829" i="15"/>
  <c r="AA828" i="15"/>
  <c r="Z828" i="15"/>
  <c r="U828" i="15"/>
  <c r="S828" i="15"/>
  <c r="N828" i="15"/>
  <c r="M828" i="15"/>
  <c r="Q828" i="15"/>
  <c r="AA827" i="15"/>
  <c r="Z827" i="15"/>
  <c r="V827" i="15"/>
  <c r="S827" i="15"/>
  <c r="N827" i="15"/>
  <c r="M827" i="15"/>
  <c r="Q827" i="15"/>
  <c r="AA826" i="15"/>
  <c r="Z826" i="15"/>
  <c r="V826" i="15"/>
  <c r="S826" i="15"/>
  <c r="N826" i="15"/>
  <c r="M826" i="15"/>
  <c r="Q826" i="15"/>
  <c r="AA825" i="15"/>
  <c r="Z825" i="15"/>
  <c r="AC825" i="15" s="1"/>
  <c r="U825" i="15"/>
  <c r="S825" i="15"/>
  <c r="N825" i="15"/>
  <c r="M825" i="15"/>
  <c r="Q825" i="15"/>
  <c r="AA824" i="15"/>
  <c r="Z824" i="15"/>
  <c r="AC824" i="15" s="1"/>
  <c r="U824" i="15"/>
  <c r="S824" i="15"/>
  <c r="N824" i="15"/>
  <c r="M824" i="15"/>
  <c r="Q824" i="15"/>
  <c r="AA823" i="15"/>
  <c r="Z823" i="15"/>
  <c r="U823" i="15"/>
  <c r="V823" i="15"/>
  <c r="S823" i="15"/>
  <c r="N823" i="15"/>
  <c r="M823" i="15"/>
  <c r="Q823" i="15"/>
  <c r="AA822" i="15"/>
  <c r="Z822" i="15"/>
  <c r="U822" i="15"/>
  <c r="S822" i="15"/>
  <c r="N822" i="15"/>
  <c r="M822" i="15"/>
  <c r="Q822" i="15"/>
  <c r="AA821" i="15"/>
  <c r="Z821" i="15"/>
  <c r="V821" i="15"/>
  <c r="S821" i="15"/>
  <c r="N821" i="15"/>
  <c r="M821" i="15"/>
  <c r="Q821" i="15"/>
  <c r="AA820" i="15"/>
  <c r="Z820" i="15"/>
  <c r="AC820" i="15" s="1"/>
  <c r="U820" i="15"/>
  <c r="S820" i="15"/>
  <c r="N820" i="15"/>
  <c r="M820" i="15"/>
  <c r="Q820" i="15"/>
  <c r="X820" i="15" s="1"/>
  <c r="AA819" i="15"/>
  <c r="Z819" i="15"/>
  <c r="U819" i="15"/>
  <c r="S819" i="15"/>
  <c r="N819" i="15"/>
  <c r="M819" i="15"/>
  <c r="Q819" i="15"/>
  <c r="X819" i="15" s="1"/>
  <c r="AA818" i="15"/>
  <c r="Z818" i="15"/>
  <c r="AC818" i="15" s="1"/>
  <c r="U818" i="15"/>
  <c r="S818" i="15"/>
  <c r="N818" i="15"/>
  <c r="M818" i="15"/>
  <c r="AA817" i="15"/>
  <c r="Z817" i="15"/>
  <c r="U817" i="15"/>
  <c r="V817" i="15"/>
  <c r="S817" i="15"/>
  <c r="N817" i="15"/>
  <c r="M817" i="15"/>
  <c r="Q817" i="15"/>
  <c r="AA816" i="15"/>
  <c r="Z816" i="15"/>
  <c r="U816" i="15"/>
  <c r="S816" i="15"/>
  <c r="N816" i="15"/>
  <c r="M816" i="15"/>
  <c r="Q816" i="15"/>
  <c r="AA815" i="15"/>
  <c r="Z815" i="15"/>
  <c r="U815" i="15"/>
  <c r="S815" i="15"/>
  <c r="N815" i="15"/>
  <c r="M815" i="15"/>
  <c r="Q815" i="15"/>
  <c r="X815" i="15" s="1"/>
  <c r="AA814" i="15"/>
  <c r="Z814" i="15"/>
  <c r="AC814" i="15" s="1"/>
  <c r="U814" i="15"/>
  <c r="S814" i="15"/>
  <c r="N814" i="15"/>
  <c r="M814" i="15"/>
  <c r="Q814" i="15"/>
  <c r="X814" i="15" s="1"/>
  <c r="AA813" i="15"/>
  <c r="Z813" i="15"/>
  <c r="AC813" i="15" s="1"/>
  <c r="V813" i="15"/>
  <c r="S813" i="15"/>
  <c r="N813" i="15"/>
  <c r="M813" i="15"/>
  <c r="Q813" i="15"/>
  <c r="W813" i="15" s="1"/>
  <c r="AA812" i="15"/>
  <c r="Z812" i="15"/>
  <c r="U812" i="15"/>
  <c r="S812" i="15"/>
  <c r="N812" i="15"/>
  <c r="M812" i="15"/>
  <c r="Q812" i="15"/>
  <c r="AA811" i="15"/>
  <c r="Z811" i="15"/>
  <c r="AC811" i="15" s="1"/>
  <c r="U811" i="15"/>
  <c r="V811" i="15"/>
  <c r="S811" i="15"/>
  <c r="N811" i="15"/>
  <c r="M811" i="15"/>
  <c r="Q811" i="15"/>
  <c r="AA810" i="15"/>
  <c r="Z810" i="15"/>
  <c r="U810" i="15"/>
  <c r="S810" i="15"/>
  <c r="N810" i="15"/>
  <c r="M810" i="15"/>
  <c r="Q810" i="15"/>
  <c r="AA809" i="15"/>
  <c r="Z809" i="15"/>
  <c r="U809" i="15"/>
  <c r="S809" i="15"/>
  <c r="N809" i="15"/>
  <c r="M809" i="15"/>
  <c r="Q809" i="15"/>
  <c r="AA808" i="15"/>
  <c r="Z808" i="15"/>
  <c r="AC808" i="15" s="1"/>
  <c r="V808" i="15"/>
  <c r="S808" i="15"/>
  <c r="N808" i="15"/>
  <c r="M808" i="15"/>
  <c r="Q808" i="15"/>
  <c r="AA807" i="15"/>
  <c r="Z807" i="15"/>
  <c r="U807" i="15"/>
  <c r="V807" i="15"/>
  <c r="S807" i="15"/>
  <c r="N807" i="15"/>
  <c r="M807" i="15"/>
  <c r="Q807" i="15"/>
  <c r="AA806" i="15"/>
  <c r="Z806" i="15"/>
  <c r="U806" i="15"/>
  <c r="S806" i="15"/>
  <c r="N806" i="15"/>
  <c r="M806" i="15"/>
  <c r="Q806" i="15"/>
  <c r="X806" i="15" s="1"/>
  <c r="AA805" i="15"/>
  <c r="Z805" i="15"/>
  <c r="AC805" i="15" s="1"/>
  <c r="U805" i="15"/>
  <c r="V805" i="15"/>
  <c r="S805" i="15"/>
  <c r="N805" i="15"/>
  <c r="M805" i="15"/>
  <c r="Q805" i="15"/>
  <c r="AA804" i="15"/>
  <c r="Z804" i="15"/>
  <c r="AC804" i="15" s="1"/>
  <c r="U804" i="15"/>
  <c r="V804" i="15"/>
  <c r="S804" i="15"/>
  <c r="N804" i="15"/>
  <c r="M804" i="15"/>
  <c r="Q804" i="15"/>
  <c r="AA803" i="15"/>
  <c r="Z803" i="15"/>
  <c r="U803" i="15"/>
  <c r="S803" i="15"/>
  <c r="N803" i="15"/>
  <c r="M803" i="15"/>
  <c r="Q803" i="15"/>
  <c r="AA802" i="15"/>
  <c r="Z802" i="15"/>
  <c r="AC802" i="15" s="1"/>
  <c r="U802" i="15"/>
  <c r="S802" i="15"/>
  <c r="N802" i="15"/>
  <c r="M802" i="15"/>
  <c r="Q802" i="15"/>
  <c r="AA801" i="15"/>
  <c r="Z801" i="15"/>
  <c r="AC801" i="15" s="1"/>
  <c r="U801" i="15"/>
  <c r="S801" i="15"/>
  <c r="N801" i="15"/>
  <c r="M801" i="15"/>
  <c r="Q801" i="15"/>
  <c r="X801" i="15" s="1"/>
  <c r="AA800" i="15"/>
  <c r="Z800" i="15"/>
  <c r="U800" i="15"/>
  <c r="V800" i="15"/>
  <c r="S800" i="15"/>
  <c r="N800" i="15"/>
  <c r="M800" i="15"/>
  <c r="Q800" i="15"/>
  <c r="AA799" i="15"/>
  <c r="Z799" i="15"/>
  <c r="AC799" i="15" s="1"/>
  <c r="U799" i="15"/>
  <c r="S799" i="15"/>
  <c r="N799" i="15"/>
  <c r="M799" i="15"/>
  <c r="Q799" i="15"/>
  <c r="AA798" i="15"/>
  <c r="Z798" i="15"/>
  <c r="AC798" i="15" s="1"/>
  <c r="U798" i="15"/>
  <c r="S798" i="15"/>
  <c r="N798" i="15"/>
  <c r="M798" i="15"/>
  <c r="Q798" i="15"/>
  <c r="AA797" i="15"/>
  <c r="Z797" i="15"/>
  <c r="V797" i="15"/>
  <c r="U797" i="15"/>
  <c r="T797" i="15"/>
  <c r="S797" i="15"/>
  <c r="N797" i="15"/>
  <c r="M797" i="15"/>
  <c r="Q797" i="15"/>
  <c r="AA796" i="15"/>
  <c r="Z796" i="15"/>
  <c r="U796" i="15"/>
  <c r="S796" i="15"/>
  <c r="N796" i="15"/>
  <c r="M796" i="15"/>
  <c r="Q796" i="15"/>
  <c r="AA795" i="15"/>
  <c r="Z795" i="15"/>
  <c r="AC795" i="15" s="1"/>
  <c r="U795" i="15"/>
  <c r="S795" i="15"/>
  <c r="N795" i="15"/>
  <c r="M795" i="15"/>
  <c r="Q795" i="15"/>
  <c r="AA794" i="15"/>
  <c r="Z794" i="15"/>
  <c r="AC794" i="15" s="1"/>
  <c r="U794" i="15"/>
  <c r="S794" i="15"/>
  <c r="N794" i="15"/>
  <c r="M794" i="15"/>
  <c r="Q794" i="15"/>
  <c r="AA793" i="15"/>
  <c r="Z793" i="15"/>
  <c r="V793" i="15"/>
  <c r="S793" i="15"/>
  <c r="N793" i="15"/>
  <c r="M793" i="15"/>
  <c r="Q793" i="15"/>
  <c r="X793" i="15" s="1"/>
  <c r="AA792" i="15"/>
  <c r="Z792" i="15"/>
  <c r="U792" i="15"/>
  <c r="S792" i="15"/>
  <c r="N792" i="15"/>
  <c r="M792" i="15"/>
  <c r="Q792" i="15"/>
  <c r="AA791" i="15"/>
  <c r="Z791" i="15"/>
  <c r="U791" i="15"/>
  <c r="S791" i="15"/>
  <c r="N791" i="15"/>
  <c r="M791" i="15"/>
  <c r="Q791" i="15"/>
  <c r="AA790" i="15"/>
  <c r="Z790" i="15"/>
  <c r="U790" i="15"/>
  <c r="V790" i="15"/>
  <c r="S790" i="15"/>
  <c r="N790" i="15"/>
  <c r="M790" i="15"/>
  <c r="Q790" i="15"/>
  <c r="W790" i="15" s="1"/>
  <c r="AA789" i="15"/>
  <c r="Z789" i="15"/>
  <c r="AC789" i="15" s="1"/>
  <c r="U789" i="15"/>
  <c r="S789" i="15"/>
  <c r="N789" i="15"/>
  <c r="M789" i="15"/>
  <c r="Q789" i="15"/>
  <c r="X789" i="15" s="1"/>
  <c r="AA788" i="15"/>
  <c r="Z788" i="15"/>
  <c r="U788" i="15"/>
  <c r="S788" i="15"/>
  <c r="N788" i="15"/>
  <c r="M788" i="15"/>
  <c r="Q788" i="15"/>
  <c r="AA787" i="15"/>
  <c r="Z787" i="15"/>
  <c r="AC787" i="15" s="1"/>
  <c r="U787" i="15"/>
  <c r="V787" i="15"/>
  <c r="S787" i="15"/>
  <c r="N787" i="15"/>
  <c r="M787" i="15"/>
  <c r="Q787" i="15"/>
  <c r="AA786" i="15"/>
  <c r="Z786" i="15"/>
  <c r="AC786" i="15" s="1"/>
  <c r="U786" i="15"/>
  <c r="S786" i="15"/>
  <c r="N786" i="15"/>
  <c r="M786" i="15"/>
  <c r="Q786" i="15"/>
  <c r="W786" i="15" s="1"/>
  <c r="AA785" i="15"/>
  <c r="Z785" i="15"/>
  <c r="AC785" i="15" s="1"/>
  <c r="V785" i="15"/>
  <c r="S785" i="15"/>
  <c r="N785" i="15"/>
  <c r="M785" i="15"/>
  <c r="Q785" i="15"/>
  <c r="W785" i="15" s="1"/>
  <c r="AA784" i="15"/>
  <c r="Z784" i="15"/>
  <c r="U784" i="15"/>
  <c r="V784" i="15"/>
  <c r="S784" i="15"/>
  <c r="N784" i="15"/>
  <c r="M784" i="15"/>
  <c r="Q784" i="15"/>
  <c r="AA783" i="15"/>
  <c r="Z783" i="15"/>
  <c r="AC783" i="15" s="1"/>
  <c r="U783" i="15"/>
  <c r="V783" i="15"/>
  <c r="S783" i="15"/>
  <c r="N783" i="15"/>
  <c r="M783" i="15"/>
  <c r="Q783" i="15"/>
  <c r="W783" i="15" s="1"/>
  <c r="AA782" i="15"/>
  <c r="Z782" i="15"/>
  <c r="AC782" i="15" s="1"/>
  <c r="U782" i="15"/>
  <c r="S782" i="15"/>
  <c r="N782" i="15"/>
  <c r="M782" i="15"/>
  <c r="AA781" i="15"/>
  <c r="Z781" i="15"/>
  <c r="U781" i="15"/>
  <c r="S781" i="15"/>
  <c r="N781" i="15"/>
  <c r="M781" i="15"/>
  <c r="Q781" i="15"/>
  <c r="X781" i="15" s="1"/>
  <c r="AA780" i="15"/>
  <c r="Z780" i="15"/>
  <c r="AC780" i="15" s="1"/>
  <c r="U780" i="15"/>
  <c r="V780" i="15"/>
  <c r="S780" i="15"/>
  <c r="N780" i="15"/>
  <c r="M780" i="15"/>
  <c r="Q780" i="15"/>
  <c r="AA779" i="15"/>
  <c r="Z779" i="15"/>
  <c r="AC779" i="15" s="1"/>
  <c r="U779" i="15"/>
  <c r="V779" i="15"/>
  <c r="S779" i="15"/>
  <c r="N779" i="15"/>
  <c r="M779" i="15"/>
  <c r="Q779" i="15"/>
  <c r="AA778" i="15"/>
  <c r="Z778" i="15"/>
  <c r="AC778" i="15" s="1"/>
  <c r="U778" i="15"/>
  <c r="S778" i="15"/>
  <c r="N778" i="15"/>
  <c r="M778" i="15"/>
  <c r="Q778" i="15"/>
  <c r="AA777" i="15"/>
  <c r="Z777" i="15"/>
  <c r="U777" i="15"/>
  <c r="S777" i="15"/>
  <c r="N777" i="15"/>
  <c r="M777" i="15"/>
  <c r="Q777" i="15"/>
  <c r="X777" i="15" s="1"/>
  <c r="AA776" i="15"/>
  <c r="Z776" i="15"/>
  <c r="U776" i="15"/>
  <c r="V776" i="15"/>
  <c r="S776" i="15"/>
  <c r="N776" i="15"/>
  <c r="M776" i="15"/>
  <c r="Q776" i="15"/>
  <c r="AA775" i="15"/>
  <c r="Z775" i="15"/>
  <c r="U775" i="15"/>
  <c r="S775" i="15"/>
  <c r="N775" i="15"/>
  <c r="M775" i="15"/>
  <c r="Q775" i="15"/>
  <c r="AA774" i="15"/>
  <c r="Z774" i="15"/>
  <c r="AC774" i="15" s="1"/>
  <c r="U774" i="15"/>
  <c r="S774" i="15"/>
  <c r="N774" i="15"/>
  <c r="M774" i="15"/>
  <c r="Q774" i="15"/>
  <c r="W774" i="15" s="1"/>
  <c r="AA773" i="15"/>
  <c r="Z773" i="15"/>
  <c r="AC773" i="15" s="1"/>
  <c r="U773" i="15"/>
  <c r="S773" i="15"/>
  <c r="N773" i="15"/>
  <c r="M773" i="15"/>
  <c r="Q773" i="15"/>
  <c r="X773" i="15" s="1"/>
  <c r="AA772" i="15"/>
  <c r="Z772" i="15"/>
  <c r="U772" i="15"/>
  <c r="S772" i="15"/>
  <c r="N772" i="15"/>
  <c r="M772" i="15"/>
  <c r="Q772" i="15"/>
  <c r="W772" i="15" s="1"/>
  <c r="AA771" i="15"/>
  <c r="Z771" i="15"/>
  <c r="V771" i="15"/>
  <c r="S771" i="15"/>
  <c r="N771" i="15"/>
  <c r="M771" i="15"/>
  <c r="Q771" i="15"/>
  <c r="AA770" i="15"/>
  <c r="Z770" i="15"/>
  <c r="AC770" i="15" s="1"/>
  <c r="U770" i="15"/>
  <c r="S770" i="15"/>
  <c r="N770" i="15"/>
  <c r="M770" i="15"/>
  <c r="Q770" i="15"/>
  <c r="AA769" i="15"/>
  <c r="Z769" i="15"/>
  <c r="AC769" i="15" s="1"/>
  <c r="U769" i="15"/>
  <c r="S769" i="15"/>
  <c r="N769" i="15"/>
  <c r="M769" i="15"/>
  <c r="Q769" i="15"/>
  <c r="AA768" i="15"/>
  <c r="Z768" i="15"/>
  <c r="U768" i="15"/>
  <c r="S768" i="15"/>
  <c r="N768" i="15"/>
  <c r="M768" i="15"/>
  <c r="Q768" i="15"/>
  <c r="AA767" i="15"/>
  <c r="Z767" i="15"/>
  <c r="AC767" i="15" s="1"/>
  <c r="V767" i="15"/>
  <c r="S767" i="15"/>
  <c r="N767" i="15"/>
  <c r="M767" i="15"/>
  <c r="Q767" i="15"/>
  <c r="X767" i="15" s="1"/>
  <c r="AA766" i="15"/>
  <c r="Z766" i="15"/>
  <c r="U766" i="15"/>
  <c r="S766" i="15"/>
  <c r="N766" i="15"/>
  <c r="M766" i="15"/>
  <c r="Q766" i="15"/>
  <c r="AA765" i="15"/>
  <c r="Z765" i="15"/>
  <c r="AC765" i="15" s="1"/>
  <c r="U765" i="15"/>
  <c r="S765" i="15"/>
  <c r="N765" i="15"/>
  <c r="M765" i="15"/>
  <c r="Q765" i="15"/>
  <c r="W765" i="15" s="1"/>
  <c r="AA764" i="15"/>
  <c r="Z764" i="15"/>
  <c r="U764" i="15"/>
  <c r="S764" i="15"/>
  <c r="N764" i="15"/>
  <c r="M764" i="15"/>
  <c r="Q764" i="15"/>
  <c r="X764" i="15" s="1"/>
  <c r="AA763" i="15"/>
  <c r="Z763" i="15"/>
  <c r="AC763" i="15" s="1"/>
  <c r="U763" i="15"/>
  <c r="S763" i="15"/>
  <c r="N763" i="15"/>
  <c r="M763" i="15"/>
  <c r="Q763" i="15"/>
  <c r="AA762" i="15"/>
  <c r="Z762" i="15"/>
  <c r="U762" i="15"/>
  <c r="V762" i="15"/>
  <c r="S762" i="15"/>
  <c r="N762" i="15"/>
  <c r="M762" i="15"/>
  <c r="Q762" i="15"/>
  <c r="AA761" i="15"/>
  <c r="Z761" i="15"/>
  <c r="U761" i="15"/>
  <c r="S761" i="15"/>
  <c r="N761" i="15"/>
  <c r="M761" i="15"/>
  <c r="Q761" i="15"/>
  <c r="AA760" i="15"/>
  <c r="Z760" i="15"/>
  <c r="U760" i="15"/>
  <c r="S760" i="15"/>
  <c r="N760" i="15"/>
  <c r="M760" i="15"/>
  <c r="Q760" i="15"/>
  <c r="AA759" i="15"/>
  <c r="Z759" i="15"/>
  <c r="U759" i="15"/>
  <c r="S759" i="15"/>
  <c r="N759" i="15"/>
  <c r="M759" i="15"/>
  <c r="Q759" i="15"/>
  <c r="AA758" i="15"/>
  <c r="Z758" i="15"/>
  <c r="AC758" i="15" s="1"/>
  <c r="U758" i="15"/>
  <c r="S758" i="15"/>
  <c r="N758" i="15"/>
  <c r="M758" i="15"/>
  <c r="Q758" i="15"/>
  <c r="W758" i="15" s="1"/>
  <c r="AA757" i="15"/>
  <c r="Z757" i="15"/>
  <c r="U757" i="15"/>
  <c r="S757" i="15"/>
  <c r="N757" i="15"/>
  <c r="M757" i="15"/>
  <c r="Q757" i="15"/>
  <c r="AA756" i="15"/>
  <c r="Z756" i="15"/>
  <c r="U756" i="15"/>
  <c r="S756" i="15"/>
  <c r="N756" i="15"/>
  <c r="M756" i="15"/>
  <c r="Q756" i="15"/>
  <c r="AA755" i="15"/>
  <c r="Z755" i="15"/>
  <c r="V755" i="15"/>
  <c r="S755" i="15"/>
  <c r="N755" i="15"/>
  <c r="M755" i="15"/>
  <c r="Q755" i="15"/>
  <c r="AA754" i="15"/>
  <c r="Z754" i="15"/>
  <c r="U754" i="15"/>
  <c r="S754" i="15"/>
  <c r="N754" i="15"/>
  <c r="M754" i="15"/>
  <c r="Q754" i="15"/>
  <c r="AA753" i="15"/>
  <c r="Z753" i="15"/>
  <c r="AC753" i="15" s="1"/>
  <c r="U753" i="15"/>
  <c r="S753" i="15"/>
  <c r="N753" i="15"/>
  <c r="M753" i="15"/>
  <c r="Q753" i="15"/>
  <c r="AA752" i="15"/>
  <c r="Z752" i="15"/>
  <c r="U752" i="15"/>
  <c r="S752" i="15"/>
  <c r="N752" i="15"/>
  <c r="M752" i="15"/>
  <c r="Q752" i="15"/>
  <c r="AA751" i="15"/>
  <c r="Z751" i="15"/>
  <c r="U751" i="15"/>
  <c r="S751" i="15"/>
  <c r="N751" i="15"/>
  <c r="M751" i="15"/>
  <c r="Q751" i="15"/>
  <c r="AA750" i="15"/>
  <c r="Z750" i="15"/>
  <c r="U750" i="15"/>
  <c r="S750" i="15"/>
  <c r="N750" i="15"/>
  <c r="M750" i="15"/>
  <c r="Q750" i="15"/>
  <c r="W750" i="15" s="1"/>
  <c r="AA749" i="15"/>
  <c r="Z749" i="15"/>
  <c r="AC749" i="15" s="1"/>
  <c r="V749" i="15"/>
  <c r="S749" i="15"/>
  <c r="N749" i="15"/>
  <c r="M749" i="15"/>
  <c r="Q749" i="15"/>
  <c r="AA748" i="15"/>
  <c r="Z748" i="15"/>
  <c r="U748" i="15"/>
  <c r="S748" i="15"/>
  <c r="N748" i="15"/>
  <c r="M748" i="15"/>
  <c r="Q748" i="15"/>
  <c r="AA747" i="15"/>
  <c r="Z747" i="15"/>
  <c r="AC747" i="15" s="1"/>
  <c r="U747" i="15"/>
  <c r="S747" i="15"/>
  <c r="N747" i="15"/>
  <c r="M747" i="15"/>
  <c r="Q747" i="15"/>
  <c r="AA746" i="15"/>
  <c r="Z746" i="15"/>
  <c r="AC746" i="15" s="1"/>
  <c r="V746" i="15"/>
  <c r="S746" i="15"/>
  <c r="N746" i="15"/>
  <c r="M746" i="15"/>
  <c r="Q746" i="15"/>
  <c r="W746" i="15" s="1"/>
  <c r="AA745" i="15"/>
  <c r="Z745" i="15"/>
  <c r="U745" i="15"/>
  <c r="S745" i="15"/>
  <c r="N745" i="15"/>
  <c r="M745" i="15"/>
  <c r="Q745" i="15"/>
  <c r="AA744" i="15"/>
  <c r="Z744" i="15"/>
  <c r="AC744" i="15" s="1"/>
  <c r="U744" i="15"/>
  <c r="V744" i="15"/>
  <c r="S744" i="15"/>
  <c r="N744" i="15"/>
  <c r="M744" i="15"/>
  <c r="Q744" i="15"/>
  <c r="X744" i="15" s="1"/>
  <c r="AA743" i="15"/>
  <c r="Z743" i="15"/>
  <c r="V743" i="15"/>
  <c r="S743" i="15"/>
  <c r="N743" i="15"/>
  <c r="M743" i="15"/>
  <c r="Q743" i="15"/>
  <c r="AA742" i="15"/>
  <c r="Z742" i="15"/>
  <c r="AC742" i="15" s="1"/>
  <c r="V742" i="15"/>
  <c r="S742" i="15"/>
  <c r="N742" i="15"/>
  <c r="M742" i="15"/>
  <c r="Q742" i="15"/>
  <c r="AA741" i="15"/>
  <c r="Z741" i="15"/>
  <c r="U741" i="15"/>
  <c r="V741" i="15"/>
  <c r="S741" i="15"/>
  <c r="N741" i="15"/>
  <c r="M741" i="15"/>
  <c r="Q741" i="15"/>
  <c r="X741" i="15" s="1"/>
  <c r="AA740" i="15"/>
  <c r="Z740" i="15"/>
  <c r="AC740" i="15" s="1"/>
  <c r="U740" i="15"/>
  <c r="V740" i="15"/>
  <c r="S740" i="15"/>
  <c r="N740" i="15"/>
  <c r="M740" i="15"/>
  <c r="Q740" i="15"/>
  <c r="X740" i="15" s="1"/>
  <c r="AA739" i="15"/>
  <c r="Z739" i="15"/>
  <c r="U739" i="15"/>
  <c r="V739" i="15"/>
  <c r="S739" i="15"/>
  <c r="N739" i="15"/>
  <c r="M739" i="15"/>
  <c r="Q739" i="15"/>
  <c r="AA738" i="15"/>
  <c r="Z738" i="15"/>
  <c r="U738" i="15"/>
  <c r="V738" i="15"/>
  <c r="S738" i="15"/>
  <c r="N738" i="15"/>
  <c r="M738" i="15"/>
  <c r="Q738" i="15"/>
  <c r="AA737" i="15"/>
  <c r="Z737" i="15"/>
  <c r="U737" i="15"/>
  <c r="V737" i="15"/>
  <c r="S737" i="15"/>
  <c r="N737" i="15"/>
  <c r="M737" i="15"/>
  <c r="Q737" i="15"/>
  <c r="W737" i="15" s="1"/>
  <c r="AA736" i="15"/>
  <c r="Z736" i="15"/>
  <c r="U736" i="15"/>
  <c r="S736" i="15"/>
  <c r="N736" i="15"/>
  <c r="M736" i="15"/>
  <c r="Q736" i="15"/>
  <c r="AA735" i="15"/>
  <c r="Z735" i="15"/>
  <c r="U735" i="15"/>
  <c r="V735" i="15"/>
  <c r="S735" i="15"/>
  <c r="N735" i="15"/>
  <c r="M735" i="15"/>
  <c r="Q735" i="15"/>
  <c r="AA734" i="15"/>
  <c r="Z734" i="15"/>
  <c r="V734" i="15"/>
  <c r="S734" i="15"/>
  <c r="N734" i="15"/>
  <c r="M734" i="15"/>
  <c r="Q734" i="15"/>
  <c r="AA733" i="15"/>
  <c r="Z733" i="15"/>
  <c r="AC733" i="15" s="1"/>
  <c r="U733" i="15"/>
  <c r="S733" i="15"/>
  <c r="N733" i="15"/>
  <c r="M733" i="15"/>
  <c r="Q733" i="15"/>
  <c r="AA732" i="15"/>
  <c r="Z732" i="15"/>
  <c r="U732" i="15"/>
  <c r="S732" i="15"/>
  <c r="N732" i="15"/>
  <c r="M732" i="15"/>
  <c r="Q732" i="15"/>
  <c r="AA731" i="15"/>
  <c r="Z731" i="15"/>
  <c r="V731" i="15"/>
  <c r="S731" i="15"/>
  <c r="N731" i="15"/>
  <c r="M731" i="15"/>
  <c r="Q731" i="15"/>
  <c r="AA730" i="15"/>
  <c r="Z730" i="15"/>
  <c r="U730" i="15"/>
  <c r="S730" i="15"/>
  <c r="N730" i="15"/>
  <c r="M730" i="15"/>
  <c r="Q730" i="15"/>
  <c r="AA729" i="15"/>
  <c r="Z729" i="15"/>
  <c r="AC729" i="15" s="1"/>
  <c r="U729" i="15"/>
  <c r="V729" i="15"/>
  <c r="S729" i="15"/>
  <c r="N729" i="15"/>
  <c r="M729" i="15"/>
  <c r="Q729" i="15"/>
  <c r="AA728" i="15"/>
  <c r="Z728" i="15"/>
  <c r="U728" i="15"/>
  <c r="S728" i="15"/>
  <c r="N728" i="15"/>
  <c r="M728" i="15"/>
  <c r="Q728" i="15"/>
  <c r="AA727" i="15"/>
  <c r="Z727" i="15"/>
  <c r="AC727" i="15" s="1"/>
  <c r="U727" i="15"/>
  <c r="S727" i="15"/>
  <c r="N727" i="15"/>
  <c r="M727" i="15"/>
  <c r="Q727" i="15"/>
  <c r="AA726" i="15"/>
  <c r="Z726" i="15"/>
  <c r="AC726" i="15" s="1"/>
  <c r="U726" i="15"/>
  <c r="S726" i="15"/>
  <c r="N726" i="15"/>
  <c r="M726" i="15"/>
  <c r="Q726" i="15"/>
  <c r="AA725" i="15"/>
  <c r="Z725" i="15"/>
  <c r="U725" i="15"/>
  <c r="S725" i="15"/>
  <c r="N725" i="15"/>
  <c r="M725" i="15"/>
  <c r="Q725" i="15"/>
  <c r="X725" i="15" s="1"/>
  <c r="AA724" i="15"/>
  <c r="Z724" i="15"/>
  <c r="AC724" i="15" s="1"/>
  <c r="U724" i="15"/>
  <c r="V724" i="15"/>
  <c r="S724" i="15"/>
  <c r="N724" i="15"/>
  <c r="M724" i="15"/>
  <c r="Q724" i="15"/>
  <c r="AA723" i="15"/>
  <c r="Z723" i="15"/>
  <c r="U723" i="15"/>
  <c r="V723" i="15"/>
  <c r="S723" i="15"/>
  <c r="N723" i="15"/>
  <c r="M723" i="15"/>
  <c r="Q723" i="15"/>
  <c r="AA722" i="15"/>
  <c r="Z722" i="15"/>
  <c r="AC722" i="15" s="1"/>
  <c r="U722" i="15"/>
  <c r="S722" i="15"/>
  <c r="N722" i="15"/>
  <c r="M722" i="15"/>
  <c r="Q722" i="15"/>
  <c r="AA721" i="15"/>
  <c r="Z721" i="15"/>
  <c r="U721" i="15"/>
  <c r="S721" i="15"/>
  <c r="N721" i="15"/>
  <c r="M721" i="15"/>
  <c r="Q721" i="15"/>
  <c r="X721" i="15" s="1"/>
  <c r="AA720" i="15"/>
  <c r="Z720" i="15"/>
  <c r="U720" i="15"/>
  <c r="S720" i="15"/>
  <c r="N720" i="15"/>
  <c r="M720" i="15"/>
  <c r="Q720" i="15"/>
  <c r="AA719" i="15"/>
  <c r="Z719" i="15"/>
  <c r="U719" i="15"/>
  <c r="S719" i="15"/>
  <c r="N719" i="15"/>
  <c r="M719" i="15"/>
  <c r="Q719" i="15"/>
  <c r="W719" i="15" s="1"/>
  <c r="AA718" i="15"/>
  <c r="Z718" i="15"/>
  <c r="V718" i="15"/>
  <c r="S718" i="15"/>
  <c r="N718" i="15"/>
  <c r="M718" i="15"/>
  <c r="AA717" i="15"/>
  <c r="Z717" i="15"/>
  <c r="U717" i="15"/>
  <c r="S717" i="15"/>
  <c r="N717" i="15"/>
  <c r="M717" i="15"/>
  <c r="Q717" i="15"/>
  <c r="W717" i="15" s="1"/>
  <c r="AA716" i="15"/>
  <c r="Z716" i="15"/>
  <c r="U716" i="15"/>
  <c r="S716" i="15"/>
  <c r="N716" i="15"/>
  <c r="M716" i="15"/>
  <c r="Q716" i="15"/>
  <c r="AA715" i="15"/>
  <c r="Z715" i="15"/>
  <c r="AC715" i="15" s="1"/>
  <c r="V715" i="15"/>
  <c r="S715" i="15"/>
  <c r="N715" i="15"/>
  <c r="M715" i="15"/>
  <c r="Q715" i="15"/>
  <c r="AA714" i="15"/>
  <c r="Z714" i="15"/>
  <c r="AC714" i="15" s="1"/>
  <c r="U714" i="15"/>
  <c r="S714" i="15"/>
  <c r="N714" i="15"/>
  <c r="M714" i="15"/>
  <c r="Q714" i="15"/>
  <c r="AA713" i="15"/>
  <c r="Z713" i="15"/>
  <c r="U713" i="15"/>
  <c r="S713" i="15"/>
  <c r="N713" i="15"/>
  <c r="M713" i="15"/>
  <c r="Q713" i="15"/>
  <c r="AA712" i="15"/>
  <c r="Z712" i="15"/>
  <c r="AC712" i="15" s="1"/>
  <c r="U712" i="15"/>
  <c r="V712" i="15"/>
  <c r="S712" i="15"/>
  <c r="N712" i="15"/>
  <c r="M712" i="15"/>
  <c r="Q712" i="15"/>
  <c r="AA711" i="15"/>
  <c r="Z711" i="15"/>
  <c r="U711" i="15"/>
  <c r="S711" i="15"/>
  <c r="N711" i="15"/>
  <c r="M711" i="15"/>
  <c r="Q711" i="15"/>
  <c r="W711" i="15" s="1"/>
  <c r="AA710" i="15"/>
  <c r="Z710" i="15"/>
  <c r="U710" i="15"/>
  <c r="S710" i="15"/>
  <c r="N710" i="15"/>
  <c r="M710" i="15"/>
  <c r="AA709" i="15"/>
  <c r="Z709" i="15"/>
  <c r="U709" i="15"/>
  <c r="S709" i="15"/>
  <c r="N709" i="15"/>
  <c r="M709" i="15"/>
  <c r="Q709" i="15"/>
  <c r="X709" i="15" s="1"/>
  <c r="AA708" i="15"/>
  <c r="Z708" i="15"/>
  <c r="AC708" i="15" s="1"/>
  <c r="U708" i="15"/>
  <c r="S708" i="15"/>
  <c r="N708" i="15"/>
  <c r="M708" i="15"/>
  <c r="Q708" i="15"/>
  <c r="AA707" i="15"/>
  <c r="Z707" i="15"/>
  <c r="U707" i="15"/>
  <c r="S707" i="15"/>
  <c r="N707" i="15"/>
  <c r="M707" i="15"/>
  <c r="Q707" i="15"/>
  <c r="AA706" i="15"/>
  <c r="Z706" i="15"/>
  <c r="U706" i="15"/>
  <c r="S706" i="15"/>
  <c r="N706" i="15"/>
  <c r="M706" i="15"/>
  <c r="Q706" i="15"/>
  <c r="AA705" i="15"/>
  <c r="Z705" i="15"/>
  <c r="AC705" i="15" s="1"/>
  <c r="U705" i="15"/>
  <c r="S705" i="15"/>
  <c r="N705" i="15"/>
  <c r="M705" i="15"/>
  <c r="Q705" i="15"/>
  <c r="AA704" i="15"/>
  <c r="Z704" i="15"/>
  <c r="U704" i="15"/>
  <c r="S704" i="15"/>
  <c r="N704" i="15"/>
  <c r="M704" i="15"/>
  <c r="Q704" i="15"/>
  <c r="W704" i="15" s="1"/>
  <c r="AA703" i="15"/>
  <c r="Z703" i="15"/>
  <c r="U703" i="15"/>
  <c r="S703" i="15"/>
  <c r="N703" i="15"/>
  <c r="M703" i="15"/>
  <c r="Q703" i="15"/>
  <c r="AA702" i="15"/>
  <c r="Z702" i="15"/>
  <c r="AC702" i="15" s="1"/>
  <c r="V702" i="15"/>
  <c r="S702" i="15"/>
  <c r="N702" i="15"/>
  <c r="M702" i="15"/>
  <c r="Q702" i="15"/>
  <c r="AA701" i="15"/>
  <c r="Z701" i="15"/>
  <c r="U701" i="15"/>
  <c r="S701" i="15"/>
  <c r="N701" i="15"/>
  <c r="M701" i="15"/>
  <c r="Q701" i="15"/>
  <c r="X701" i="15" s="1"/>
  <c r="AA700" i="15"/>
  <c r="Z700" i="15"/>
  <c r="U700" i="15"/>
  <c r="S700" i="15"/>
  <c r="N700" i="15"/>
  <c r="M700" i="15"/>
  <c r="Q700" i="15"/>
  <c r="W700" i="15" s="1"/>
  <c r="AA699" i="15"/>
  <c r="Z699" i="15"/>
  <c r="AC699" i="15" s="1"/>
  <c r="U699" i="15"/>
  <c r="S699" i="15"/>
  <c r="N699" i="15"/>
  <c r="M699" i="15"/>
  <c r="Q699" i="15"/>
  <c r="W699" i="15" s="1"/>
  <c r="AA698" i="15"/>
  <c r="Z698" i="15"/>
  <c r="U698" i="15"/>
  <c r="S698" i="15"/>
  <c r="N698" i="15"/>
  <c r="M698" i="15"/>
  <c r="Q698" i="15"/>
  <c r="AA697" i="15"/>
  <c r="Z697" i="15"/>
  <c r="U697" i="15"/>
  <c r="S697" i="15"/>
  <c r="N697" i="15"/>
  <c r="M697" i="15"/>
  <c r="Q697" i="15" s="1"/>
  <c r="X697" i="15" s="1"/>
  <c r="AA696" i="15"/>
  <c r="Z696" i="15"/>
  <c r="AC696" i="15" s="1"/>
  <c r="U696" i="15"/>
  <c r="V696" i="15"/>
  <c r="S696" i="15"/>
  <c r="N696" i="15"/>
  <c r="M696" i="15"/>
  <c r="Q696" i="15"/>
  <c r="AA695" i="15"/>
  <c r="Z695" i="15"/>
  <c r="AC695" i="15" s="1"/>
  <c r="V695" i="15"/>
  <c r="S695" i="15"/>
  <c r="N695" i="15"/>
  <c r="M695" i="15"/>
  <c r="Q695" i="15"/>
  <c r="AA694" i="15"/>
  <c r="S694" i="15" s="1"/>
  <c r="Z694" i="15"/>
  <c r="AC694" i="15" s="1"/>
  <c r="V694" i="15"/>
  <c r="N694" i="15"/>
  <c r="M694" i="15"/>
  <c r="Q694" i="15"/>
  <c r="AA693" i="15"/>
  <c r="Z693" i="15"/>
  <c r="AC693" i="15" s="1"/>
  <c r="U693" i="15"/>
  <c r="S693" i="15"/>
  <c r="N693" i="15"/>
  <c r="M693" i="15"/>
  <c r="Q693" i="15"/>
  <c r="AA692" i="15"/>
  <c r="S692" i="15" s="1"/>
  <c r="Z692" i="15"/>
  <c r="AC692" i="15" s="1"/>
  <c r="U692" i="15"/>
  <c r="N692" i="15"/>
  <c r="M692" i="15"/>
  <c r="Q692" i="15" s="1"/>
  <c r="X692" i="15" s="1"/>
  <c r="AA691" i="15"/>
  <c r="S691" i="15" s="1"/>
  <c r="Z691" i="15"/>
  <c r="AC691" i="15" s="1"/>
  <c r="U691" i="15"/>
  <c r="N691" i="15"/>
  <c r="M691" i="15"/>
  <c r="Q691" i="15"/>
  <c r="AA690" i="15"/>
  <c r="Z690" i="15"/>
  <c r="V690" i="15"/>
  <c r="S690" i="15"/>
  <c r="Q690" i="15"/>
  <c r="AA689" i="15"/>
  <c r="Z689" i="15"/>
  <c r="AC689" i="15" s="1"/>
  <c r="V689" i="15"/>
  <c r="S689" i="15"/>
  <c r="N689" i="15"/>
  <c r="M689" i="15"/>
  <c r="Q689" i="15"/>
  <c r="AA688" i="15"/>
  <c r="S688" i="15" s="1"/>
  <c r="Z688" i="15"/>
  <c r="AC688" i="15" s="1"/>
  <c r="U688" i="15"/>
  <c r="N688" i="15"/>
  <c r="M688" i="15"/>
  <c r="Q688" i="15" s="1"/>
  <c r="AA687" i="15"/>
  <c r="S687" i="15" s="1"/>
  <c r="Z687" i="15"/>
  <c r="AC687" i="15" s="1"/>
  <c r="U687" i="15"/>
  <c r="N687" i="15"/>
  <c r="M687" i="15"/>
  <c r="Q687" i="15" s="1"/>
  <c r="AA686" i="15"/>
  <c r="Z686" i="15"/>
  <c r="AC686" i="15" s="1"/>
  <c r="U686" i="15"/>
  <c r="V686" i="15"/>
  <c r="S686" i="15"/>
  <c r="N686" i="15"/>
  <c r="M686" i="15"/>
  <c r="Q686" i="15" s="1"/>
  <c r="AA685" i="15"/>
  <c r="S685" i="15" s="1"/>
  <c r="Z685" i="15"/>
  <c r="AC685" i="15" s="1"/>
  <c r="U685" i="15"/>
  <c r="N685" i="15"/>
  <c r="M685" i="15"/>
  <c r="Q685" i="15" s="1"/>
  <c r="AA684" i="15"/>
  <c r="Z684" i="15"/>
  <c r="U684" i="15"/>
  <c r="V684" i="15"/>
  <c r="S684" i="15"/>
  <c r="N684" i="15"/>
  <c r="M684" i="15"/>
  <c r="Q684" i="15" s="1"/>
  <c r="AA683" i="15"/>
  <c r="Z683" i="15"/>
  <c r="AC683" i="15" s="1"/>
  <c r="U683" i="15"/>
  <c r="V683" i="15"/>
  <c r="S683" i="15"/>
  <c r="N683" i="15"/>
  <c r="M683" i="15"/>
  <c r="Q683" i="15" s="1"/>
  <c r="AA682" i="15"/>
  <c r="S682" i="15" s="1"/>
  <c r="Z682" i="15"/>
  <c r="AC682" i="15" s="1"/>
  <c r="U682" i="15"/>
  <c r="N682" i="15"/>
  <c r="M682" i="15"/>
  <c r="Q682" i="15" s="1"/>
  <c r="AA681" i="15"/>
  <c r="S681" i="15" s="1"/>
  <c r="Z681" i="15"/>
  <c r="V681" i="15"/>
  <c r="N681" i="15"/>
  <c r="M681" i="15"/>
  <c r="Q681" i="15" s="1"/>
  <c r="AA680" i="15"/>
  <c r="S680" i="15" s="1"/>
  <c r="Z680" i="15"/>
  <c r="U680" i="15"/>
  <c r="N680" i="15"/>
  <c r="M680" i="15"/>
  <c r="Q680" i="15"/>
  <c r="AA679" i="15"/>
  <c r="S679" i="15" s="1"/>
  <c r="Z679" i="15"/>
  <c r="U679" i="15"/>
  <c r="N679" i="15"/>
  <c r="M679" i="15"/>
  <c r="Q679" i="15" s="1"/>
  <c r="AA678" i="15"/>
  <c r="S678" i="15" s="1"/>
  <c r="Z678" i="15"/>
  <c r="AC678" i="15" s="1"/>
  <c r="U678" i="15"/>
  <c r="N678" i="15"/>
  <c r="M678" i="15"/>
  <c r="Q678" i="15" s="1"/>
  <c r="AA677" i="15"/>
  <c r="S677" i="15" s="1"/>
  <c r="Z677" i="15"/>
  <c r="U677" i="15"/>
  <c r="N677" i="15"/>
  <c r="M677" i="15"/>
  <c r="Q677" i="15" s="1"/>
  <c r="AA676" i="15"/>
  <c r="S676" i="15" s="1"/>
  <c r="Z676" i="15"/>
  <c r="U676" i="15"/>
  <c r="N676" i="15"/>
  <c r="M676" i="15"/>
  <c r="Q676" i="15" s="1"/>
  <c r="AA675" i="15"/>
  <c r="S675" i="15" s="1"/>
  <c r="Z675" i="15"/>
  <c r="AC675" i="15" s="1"/>
  <c r="U675" i="15" s="1"/>
  <c r="N675" i="15"/>
  <c r="M675" i="15"/>
  <c r="Q675" i="15" s="1"/>
  <c r="AA674" i="15"/>
  <c r="S674" i="15" s="1"/>
  <c r="Z674" i="15"/>
  <c r="AC674" i="15" s="1"/>
  <c r="V674" i="15"/>
  <c r="N674" i="15"/>
  <c r="M674" i="15"/>
  <c r="Q674" i="15" s="1"/>
  <c r="AA673" i="15"/>
  <c r="S673" i="15" s="1"/>
  <c r="Z673" i="15"/>
  <c r="U673" i="15"/>
  <c r="N673" i="15"/>
  <c r="M673" i="15"/>
  <c r="Q673" i="15" s="1"/>
  <c r="X673" i="15" s="1"/>
  <c r="AA672" i="15"/>
  <c r="S672" i="15" s="1"/>
  <c r="Z672" i="15"/>
  <c r="N672" i="15"/>
  <c r="M672" i="15"/>
  <c r="Q672" i="15" s="1"/>
  <c r="AA671" i="15"/>
  <c r="S671" i="15" s="1"/>
  <c r="Z671" i="15"/>
  <c r="U671" i="15"/>
  <c r="N671" i="15"/>
  <c r="M671" i="15"/>
  <c r="Q671" i="15" s="1"/>
  <c r="AA670" i="15"/>
  <c r="S670" i="15" s="1"/>
  <c r="Z670" i="15"/>
  <c r="U670" i="15"/>
  <c r="N670" i="15"/>
  <c r="M670" i="15"/>
  <c r="Q670" i="15" s="1"/>
  <c r="AA669" i="15"/>
  <c r="S669" i="15" s="1"/>
  <c r="Z669" i="15"/>
  <c r="U669" i="15"/>
  <c r="N669" i="15"/>
  <c r="M669" i="15"/>
  <c r="Q669" i="15" s="1"/>
  <c r="AA668" i="15"/>
  <c r="S668" i="15" s="1"/>
  <c r="Z668" i="15"/>
  <c r="AC668" i="15" s="1"/>
  <c r="U668" i="15"/>
  <c r="N668" i="15"/>
  <c r="M668" i="15"/>
  <c r="Q668" i="15" s="1"/>
  <c r="AA667" i="15"/>
  <c r="S667" i="15" s="1"/>
  <c r="Z667" i="15"/>
  <c r="AC667" i="15" s="1"/>
  <c r="U667" i="15"/>
  <c r="N667" i="15"/>
  <c r="M667" i="15"/>
  <c r="Q667" i="15" s="1"/>
  <c r="AA666" i="15"/>
  <c r="S666" i="15" s="1"/>
  <c r="Z666" i="15"/>
  <c r="AC666" i="15" s="1"/>
  <c r="U666" i="15"/>
  <c r="N666" i="15"/>
  <c r="M666" i="15"/>
  <c r="Q666" i="15" s="1"/>
  <c r="AA665" i="15"/>
  <c r="S665" i="15" s="1"/>
  <c r="Z665" i="15"/>
  <c r="AC665" i="15" s="1"/>
  <c r="U665" i="15"/>
  <c r="N665" i="15"/>
  <c r="M665" i="15"/>
  <c r="Q665" i="15" s="1"/>
  <c r="AA664" i="15"/>
  <c r="S664" i="15" s="1"/>
  <c r="Z664" i="15"/>
  <c r="AC664" i="15" s="1"/>
  <c r="U664" i="15"/>
  <c r="N664" i="15"/>
  <c r="M664" i="15"/>
  <c r="Q664" i="15" s="1"/>
  <c r="AA663" i="15"/>
  <c r="S663" i="15" s="1"/>
  <c r="Z663" i="15"/>
  <c r="AC663" i="15" s="1"/>
  <c r="U663" i="15"/>
  <c r="N663" i="15"/>
  <c r="M663" i="15"/>
  <c r="Q663" i="15" s="1"/>
  <c r="AA662" i="15"/>
  <c r="S662" i="15" s="1"/>
  <c r="Z662" i="15"/>
  <c r="U662" i="15"/>
  <c r="N662" i="15"/>
  <c r="M662" i="15"/>
  <c r="Q662" i="15" s="1"/>
  <c r="AA661" i="15"/>
  <c r="S661" i="15" s="1"/>
  <c r="Z661" i="15"/>
  <c r="N661" i="15"/>
  <c r="M661" i="15"/>
  <c r="Q661" i="15" s="1"/>
  <c r="AA660" i="15"/>
  <c r="S660" i="15" s="1"/>
  <c r="Z660" i="15"/>
  <c r="N660" i="15"/>
  <c r="M660" i="15"/>
  <c r="Q660" i="15" s="1"/>
  <c r="AA659" i="15"/>
  <c r="S659" i="15" s="1"/>
  <c r="Z659" i="15"/>
  <c r="AC659" i="15" s="1"/>
  <c r="U659" i="15" s="1"/>
  <c r="N659" i="15"/>
  <c r="M659" i="15"/>
  <c r="Q659" i="15" s="1"/>
  <c r="AA658" i="15"/>
  <c r="S658" i="15" s="1"/>
  <c r="Z658" i="15"/>
  <c r="N658" i="15"/>
  <c r="M658" i="15"/>
  <c r="Q658" i="15" s="1"/>
  <c r="AA657" i="15"/>
  <c r="S657" i="15" s="1"/>
  <c r="Z657" i="15"/>
  <c r="U657" i="15"/>
  <c r="N657" i="15"/>
  <c r="M657" i="15"/>
  <c r="Q657" i="15" s="1"/>
  <c r="AA656" i="15"/>
  <c r="S656" i="15" s="1"/>
  <c r="Z656" i="15"/>
  <c r="U656" i="15"/>
  <c r="N656" i="15"/>
  <c r="M656" i="15"/>
  <c r="Q656" i="15" s="1"/>
  <c r="AA655" i="15"/>
  <c r="S655" i="15" s="1"/>
  <c r="Z655" i="15"/>
  <c r="AC655" i="15" s="1"/>
  <c r="U655" i="15"/>
  <c r="N655" i="15"/>
  <c r="M655" i="15"/>
  <c r="Q655" i="15" s="1"/>
  <c r="AA654" i="15"/>
  <c r="S654" i="15" s="1"/>
  <c r="Z654" i="15"/>
  <c r="U654" i="15"/>
  <c r="N654" i="15"/>
  <c r="M654" i="15"/>
  <c r="Q654" i="15" s="1"/>
  <c r="AA653" i="15"/>
  <c r="S653" i="15" s="1"/>
  <c r="Z653" i="15"/>
  <c r="U653" i="15"/>
  <c r="N653" i="15"/>
  <c r="M653" i="15"/>
  <c r="Q653" i="15" s="1"/>
  <c r="AA652" i="15"/>
  <c r="S652" i="15" s="1"/>
  <c r="Z652" i="15"/>
  <c r="AC652" i="15" s="1"/>
  <c r="U652" i="15"/>
  <c r="N652" i="15"/>
  <c r="M652" i="15"/>
  <c r="Q652" i="15" s="1"/>
  <c r="AA651" i="15"/>
  <c r="S651" i="15" s="1"/>
  <c r="Z651" i="15"/>
  <c r="AC651" i="15" s="1"/>
  <c r="N651" i="15"/>
  <c r="M651" i="15"/>
  <c r="Q651" i="15" s="1"/>
  <c r="AA650" i="15"/>
  <c r="S650" i="15" s="1"/>
  <c r="Z650" i="15"/>
  <c r="U650" i="15"/>
  <c r="N650" i="15"/>
  <c r="M650" i="15"/>
  <c r="Q650" i="15" s="1"/>
  <c r="AA649" i="15"/>
  <c r="S649" i="15" s="1"/>
  <c r="Z649" i="15"/>
  <c r="U649" i="15"/>
  <c r="N649" i="15"/>
  <c r="M649" i="15"/>
  <c r="Q649" i="15" s="1"/>
  <c r="AA648" i="15"/>
  <c r="S648" i="15" s="1"/>
  <c r="Z648" i="15"/>
  <c r="AC648" i="15" s="1"/>
  <c r="U648" i="15"/>
  <c r="N648" i="15"/>
  <c r="M648" i="15"/>
  <c r="Q648" i="15" s="1"/>
  <c r="AA647" i="15"/>
  <c r="S647" i="15" s="1"/>
  <c r="Z647" i="15"/>
  <c r="U647" i="15"/>
  <c r="N647" i="15"/>
  <c r="M647" i="15"/>
  <c r="Q647" i="15" s="1"/>
  <c r="AA646" i="15"/>
  <c r="S646" i="15" s="1"/>
  <c r="Z646" i="15"/>
  <c r="AC646" i="15" s="1"/>
  <c r="U646" i="15"/>
  <c r="N646" i="15"/>
  <c r="M646" i="15"/>
  <c r="Q646" i="15" s="1"/>
  <c r="AA645" i="15"/>
  <c r="S645" i="15" s="1"/>
  <c r="Z645" i="15"/>
  <c r="AC645" i="15" s="1"/>
  <c r="U645" i="15" s="1"/>
  <c r="V645" i="15"/>
  <c r="N645" i="15"/>
  <c r="M645" i="15"/>
  <c r="Q645" i="15" s="1"/>
  <c r="AA644" i="15"/>
  <c r="S644" i="15" s="1"/>
  <c r="Z644" i="15"/>
  <c r="U644" i="15"/>
  <c r="N644" i="15"/>
  <c r="M644" i="15"/>
  <c r="Q644" i="15" s="1"/>
  <c r="AA643" i="15"/>
  <c r="S643" i="15" s="1"/>
  <c r="Z643" i="15"/>
  <c r="U643" i="15"/>
  <c r="N643" i="15"/>
  <c r="M643" i="15"/>
  <c r="Q643" i="15" s="1"/>
  <c r="AA642" i="15"/>
  <c r="S642" i="15" s="1"/>
  <c r="Z642" i="15"/>
  <c r="AC642" i="15" s="1"/>
  <c r="U642" i="15"/>
  <c r="N642" i="15"/>
  <c r="M642" i="15"/>
  <c r="Q642" i="15" s="1"/>
  <c r="AA641" i="15"/>
  <c r="S641" i="15" s="1"/>
  <c r="X641" i="15" s="1"/>
  <c r="Z641" i="15"/>
  <c r="AA640" i="15"/>
  <c r="S640" i="15" s="1"/>
  <c r="Z640" i="15"/>
  <c r="AC640" i="15" s="1"/>
  <c r="U640" i="15"/>
  <c r="N640" i="15"/>
  <c r="M640" i="15"/>
  <c r="Q640" i="15" s="1"/>
  <c r="AA639" i="15"/>
  <c r="S639" i="15" s="1"/>
  <c r="Z639" i="15"/>
  <c r="V639" i="15"/>
  <c r="N639" i="15"/>
  <c r="M639" i="15"/>
  <c r="Q639" i="15" s="1"/>
  <c r="AA638" i="15"/>
  <c r="S638" i="15" s="1"/>
  <c r="Z638" i="15"/>
  <c r="N638" i="15"/>
  <c r="M638" i="15"/>
  <c r="Q638" i="15" s="1"/>
  <c r="AA637" i="15"/>
  <c r="S637" i="15" s="1"/>
  <c r="Z637" i="15"/>
  <c r="U637" i="15"/>
  <c r="N637" i="15"/>
  <c r="M637" i="15"/>
  <c r="Q637" i="15" s="1"/>
  <c r="AA636" i="15"/>
  <c r="S636" i="15" s="1"/>
  <c r="Z636" i="15"/>
  <c r="AC636" i="15" s="1"/>
  <c r="U636" i="15"/>
  <c r="N636" i="15"/>
  <c r="M636" i="15"/>
  <c r="Q636" i="15" s="1"/>
  <c r="AA635" i="15"/>
  <c r="S635" i="15" s="1"/>
  <c r="Z635" i="15"/>
  <c r="AC635" i="15" s="1"/>
  <c r="U635" i="15"/>
  <c r="N635" i="15"/>
  <c r="M635" i="15"/>
  <c r="Q635" i="15" s="1"/>
  <c r="AA634" i="15"/>
  <c r="S634" i="15" s="1"/>
  <c r="Z634" i="15"/>
  <c r="AC634" i="15" s="1"/>
  <c r="U634" i="15"/>
  <c r="N634" i="15"/>
  <c r="M634" i="15"/>
  <c r="Q634" i="15" s="1"/>
  <c r="AA633" i="15"/>
  <c r="S633" i="15" s="1"/>
  <c r="Z633" i="15"/>
  <c r="U633" i="15"/>
  <c r="N633" i="15"/>
  <c r="M633" i="15"/>
  <c r="Q633" i="15" s="1"/>
  <c r="AA632" i="15"/>
  <c r="S632" i="15" s="1"/>
  <c r="Z632" i="15"/>
  <c r="AC632" i="15" s="1"/>
  <c r="U632" i="15" s="1"/>
  <c r="V632" i="15"/>
  <c r="N632" i="15"/>
  <c r="M632" i="15"/>
  <c r="Q632" i="15" s="1"/>
  <c r="AA631" i="15"/>
  <c r="S631" i="15" s="1"/>
  <c r="Z631" i="15"/>
  <c r="AC631" i="15" s="1"/>
  <c r="U631" i="15"/>
  <c r="N631" i="15"/>
  <c r="M631" i="15"/>
  <c r="Q631" i="15" s="1"/>
  <c r="AA630" i="15"/>
  <c r="S630" i="15" s="1"/>
  <c r="Z630" i="15"/>
  <c r="U630" i="15"/>
  <c r="N630" i="15"/>
  <c r="M630" i="15"/>
  <c r="Q630" i="15" s="1"/>
  <c r="AA629" i="15"/>
  <c r="S629" i="15" s="1"/>
  <c r="Z629" i="15"/>
  <c r="AC629" i="15" s="1"/>
  <c r="U629" i="15"/>
  <c r="N629" i="15"/>
  <c r="M629" i="15"/>
  <c r="Q629" i="15" s="1"/>
  <c r="AA628" i="15"/>
  <c r="S628" i="15" s="1"/>
  <c r="Z628" i="15"/>
  <c r="U628" i="15"/>
  <c r="N628" i="15"/>
  <c r="M628" i="15"/>
  <c r="Q628" i="15" s="1"/>
  <c r="X628" i="15" s="1"/>
  <c r="AA627" i="15"/>
  <c r="Z627" i="15"/>
  <c r="U627" i="15"/>
  <c r="N627" i="15"/>
  <c r="M627" i="15"/>
  <c r="Q627" i="15" s="1"/>
  <c r="AA626" i="15"/>
  <c r="S626" i="15" s="1"/>
  <c r="Z626" i="15"/>
  <c r="U626" i="15"/>
  <c r="N626" i="15"/>
  <c r="M626" i="15"/>
  <c r="Q626" i="15" s="1"/>
  <c r="AA625" i="15"/>
  <c r="S625" i="15" s="1"/>
  <c r="Z625" i="15"/>
  <c r="AC625" i="15" s="1"/>
  <c r="U625" i="15"/>
  <c r="N625" i="15"/>
  <c r="M625" i="15"/>
  <c r="Q625" i="15" s="1"/>
  <c r="AA624" i="15"/>
  <c r="S624" i="15" s="1"/>
  <c r="Z624" i="15"/>
  <c r="U624" i="15"/>
  <c r="N624" i="15"/>
  <c r="M624" i="15"/>
  <c r="Q624" i="15" s="1"/>
  <c r="AA623" i="15"/>
  <c r="S623" i="15" s="1"/>
  <c r="Z623" i="15"/>
  <c r="AC623" i="15" s="1"/>
  <c r="N623" i="15"/>
  <c r="M623" i="15"/>
  <c r="Q623" i="15" s="1"/>
  <c r="AA622" i="15"/>
  <c r="S622" i="15" s="1"/>
  <c r="Z622" i="15"/>
  <c r="U622" i="15"/>
  <c r="N622" i="15"/>
  <c r="M622" i="15"/>
  <c r="AA621" i="15"/>
  <c r="S621" i="15" s="1"/>
  <c r="Z621" i="15"/>
  <c r="U621" i="15"/>
  <c r="N621" i="15"/>
  <c r="M621" i="15"/>
  <c r="Q621" i="15" s="1"/>
  <c r="AA620" i="15"/>
  <c r="S620" i="15" s="1"/>
  <c r="Z620" i="15"/>
  <c r="U620" i="15"/>
  <c r="N620" i="15"/>
  <c r="M620" i="15"/>
  <c r="Q620" i="15" s="1"/>
  <c r="AA619" i="15"/>
  <c r="S619" i="15" s="1"/>
  <c r="Z619" i="15"/>
  <c r="U619" i="15"/>
  <c r="N619" i="15"/>
  <c r="M619" i="15"/>
  <c r="Q619" i="15" s="1"/>
  <c r="AA618" i="15"/>
  <c r="S618" i="15" s="1"/>
  <c r="Z618" i="15"/>
  <c r="AC618" i="15" s="1"/>
  <c r="N618" i="15"/>
  <c r="M618" i="15"/>
  <c r="Q618" i="15" s="1"/>
  <c r="AA617" i="15"/>
  <c r="S617" i="15" s="1"/>
  <c r="Z617" i="15"/>
  <c r="AC617" i="15" s="1"/>
  <c r="N617" i="15"/>
  <c r="M617" i="15"/>
  <c r="Q617" i="15" s="1"/>
  <c r="AA616" i="15"/>
  <c r="S616" i="15" s="1"/>
  <c r="Z616" i="15"/>
  <c r="U616" i="15"/>
  <c r="N616" i="15"/>
  <c r="M616" i="15"/>
  <c r="Q616" i="15" s="1"/>
  <c r="AA615" i="15"/>
  <c r="S615" i="15" s="1"/>
  <c r="Z615" i="15"/>
  <c r="N615" i="15"/>
  <c r="M615" i="15"/>
  <c r="AA614" i="15"/>
  <c r="S614" i="15" s="1"/>
  <c r="Z614" i="15"/>
  <c r="AC614" i="15" s="1"/>
  <c r="U614" i="15"/>
  <c r="N614" i="15"/>
  <c r="M614" i="15"/>
  <c r="Q614" i="15" s="1"/>
  <c r="AA613" i="15"/>
  <c r="S613" i="15" s="1"/>
  <c r="Z613" i="15"/>
  <c r="U613" i="15"/>
  <c r="N613" i="15"/>
  <c r="M613" i="15"/>
  <c r="Q613" i="15" s="1"/>
  <c r="AA612" i="15"/>
  <c r="S612" i="15" s="1"/>
  <c r="Z612" i="15"/>
  <c r="U612" i="15"/>
  <c r="N612" i="15"/>
  <c r="M612" i="15"/>
  <c r="Q612" i="15" s="1"/>
  <c r="AA611" i="15"/>
  <c r="S611" i="15" s="1"/>
  <c r="Z611" i="15"/>
  <c r="AC611" i="15" s="1"/>
  <c r="U611" i="15"/>
  <c r="N611" i="15"/>
  <c r="M611" i="15"/>
  <c r="Q611" i="15" s="1"/>
  <c r="AA610" i="15"/>
  <c r="S610" i="15" s="1"/>
  <c r="Z610" i="15"/>
  <c r="AC610" i="15" s="1"/>
  <c r="U610" i="15"/>
  <c r="N610" i="15"/>
  <c r="M610" i="15"/>
  <c r="Q610" i="15" s="1"/>
  <c r="AA609" i="15"/>
  <c r="S609" i="15" s="1"/>
  <c r="Z609" i="15"/>
  <c r="AC609" i="15" s="1"/>
  <c r="U609" i="15"/>
  <c r="N609" i="15"/>
  <c r="M609" i="15"/>
  <c r="Q609" i="15" s="1"/>
  <c r="AA608" i="15"/>
  <c r="S608" i="15" s="1"/>
  <c r="Z608" i="15"/>
  <c r="U608" i="15"/>
  <c r="N608" i="15"/>
  <c r="M608" i="15"/>
  <c r="Q608" i="15" s="1"/>
  <c r="AA607" i="15"/>
  <c r="Z607" i="15"/>
  <c r="U607" i="15"/>
  <c r="N607" i="15"/>
  <c r="M607" i="15"/>
  <c r="AA606" i="15"/>
  <c r="S606" i="15" s="1"/>
  <c r="Z606" i="15"/>
  <c r="AC606" i="15" s="1"/>
  <c r="U606" i="15"/>
  <c r="N606" i="15"/>
  <c r="M606" i="15"/>
  <c r="Q606" i="15" s="1"/>
  <c r="AA605" i="15"/>
  <c r="S605" i="15" s="1"/>
  <c r="Z605" i="15"/>
  <c r="AC605" i="15" s="1"/>
  <c r="U605" i="15"/>
  <c r="N605" i="15"/>
  <c r="M605" i="15"/>
  <c r="Q605" i="15" s="1"/>
  <c r="AA604" i="15"/>
  <c r="S604" i="15" s="1"/>
  <c r="Z604" i="15"/>
  <c r="AC604" i="15" s="1"/>
  <c r="U604" i="15"/>
  <c r="N604" i="15"/>
  <c r="M604" i="15"/>
  <c r="Q604" i="15" s="1"/>
  <c r="AA603" i="15"/>
  <c r="S603" i="15" s="1"/>
  <c r="Z603" i="15"/>
  <c r="U603" i="15"/>
  <c r="N603" i="15"/>
  <c r="M603" i="15"/>
  <c r="Q603" i="15" s="1"/>
  <c r="AA602" i="15"/>
  <c r="S602" i="15" s="1"/>
  <c r="Z602" i="15"/>
  <c r="AC602" i="15" s="1"/>
  <c r="U602" i="15"/>
  <c r="N602" i="15"/>
  <c r="M602" i="15"/>
  <c r="Q602" i="15" s="1"/>
  <c r="AA601" i="15"/>
  <c r="S601" i="15" s="1"/>
  <c r="Z601" i="15"/>
  <c r="AC601" i="15" s="1"/>
  <c r="U601" i="15"/>
  <c r="N601" i="15"/>
  <c r="M601" i="15"/>
  <c r="Q601" i="15" s="1"/>
  <c r="AA600" i="15"/>
  <c r="S600" i="15" s="1"/>
  <c r="Z600" i="15"/>
  <c r="U600" i="15"/>
  <c r="N600" i="15"/>
  <c r="M600" i="15"/>
  <c r="Q600" i="15" s="1"/>
  <c r="AA599" i="15"/>
  <c r="S599" i="15" s="1"/>
  <c r="Z599" i="15"/>
  <c r="AC599" i="15" s="1"/>
  <c r="U599" i="15"/>
  <c r="N599" i="15"/>
  <c r="M599" i="15"/>
  <c r="Q599" i="15" s="1"/>
  <c r="AA598" i="15"/>
  <c r="S598" i="15" s="1"/>
  <c r="Z598" i="15"/>
  <c r="V598" i="15"/>
  <c r="N598" i="15"/>
  <c r="M598" i="15"/>
  <c r="Q598" i="15" s="1"/>
  <c r="AA597" i="15"/>
  <c r="S597" i="15" s="1"/>
  <c r="Z597" i="15"/>
  <c r="U597" i="15"/>
  <c r="N597" i="15"/>
  <c r="M597" i="15"/>
  <c r="Q597" i="15" s="1"/>
  <c r="AA596" i="15"/>
  <c r="S596" i="15" s="1"/>
  <c r="Z596" i="15"/>
  <c r="AC596" i="15" s="1"/>
  <c r="U596" i="15" s="1"/>
  <c r="V596" i="15"/>
  <c r="N596" i="15"/>
  <c r="M596" i="15"/>
  <c r="Q596" i="15" s="1"/>
  <c r="AA595" i="15"/>
  <c r="S595" i="15" s="1"/>
  <c r="Z595" i="15"/>
  <c r="AC595" i="15" s="1"/>
  <c r="U595" i="15" s="1"/>
  <c r="V595" i="15"/>
  <c r="N595" i="15"/>
  <c r="M595" i="15"/>
  <c r="Q595" i="15" s="1"/>
  <c r="AA594" i="15"/>
  <c r="S594" i="15" s="1"/>
  <c r="Z594" i="15"/>
  <c r="AC594" i="15" s="1"/>
  <c r="U594" i="15"/>
  <c r="N594" i="15"/>
  <c r="M594" i="15"/>
  <c r="Q594" i="15" s="1"/>
  <c r="AA593" i="15"/>
  <c r="S593" i="15" s="1"/>
  <c r="Z593" i="15"/>
  <c r="AC593" i="15" s="1"/>
  <c r="U593" i="15" s="1"/>
  <c r="N593" i="15"/>
  <c r="M593" i="15"/>
  <c r="Q593" i="15" s="1"/>
  <c r="AA592" i="15"/>
  <c r="S592" i="15" s="1"/>
  <c r="Z592" i="15"/>
  <c r="AC592" i="15" s="1"/>
  <c r="N592" i="15"/>
  <c r="M592" i="15"/>
  <c r="Q592" i="15" s="1"/>
  <c r="AA591" i="15"/>
  <c r="S591" i="15" s="1"/>
  <c r="Z591" i="15"/>
  <c r="U591" i="15"/>
  <c r="N591" i="15"/>
  <c r="M591" i="15"/>
  <c r="Q591" i="15" s="1"/>
  <c r="AA590" i="15"/>
  <c r="S590" i="15" s="1"/>
  <c r="Z590" i="15"/>
  <c r="AC590" i="15" s="1"/>
  <c r="U590" i="15" s="1"/>
  <c r="N590" i="15"/>
  <c r="M590" i="15"/>
  <c r="Q590" i="15" s="1"/>
  <c r="AA589" i="15"/>
  <c r="S589" i="15" s="1"/>
  <c r="Z589" i="15"/>
  <c r="N589" i="15"/>
  <c r="M589" i="15"/>
  <c r="Q589" i="15" s="1"/>
  <c r="AA588" i="15"/>
  <c r="S588" i="15" s="1"/>
  <c r="Z588" i="15"/>
  <c r="AC588" i="15" s="1"/>
  <c r="U588" i="15" s="1"/>
  <c r="N588" i="15"/>
  <c r="M588" i="15"/>
  <c r="Q588" i="15" s="1"/>
  <c r="AA587" i="15"/>
  <c r="S587" i="15" s="1"/>
  <c r="Z587" i="15"/>
  <c r="AC587" i="15" s="1"/>
  <c r="U587" i="15"/>
  <c r="N587" i="15"/>
  <c r="M587" i="15"/>
  <c r="AA586" i="15"/>
  <c r="Z586" i="15"/>
  <c r="AC586" i="15" s="1"/>
  <c r="U586" i="15"/>
  <c r="N586" i="15"/>
  <c r="M586" i="15"/>
  <c r="Q586" i="15" s="1"/>
  <c r="AA585" i="15"/>
  <c r="S585" i="15" s="1"/>
  <c r="Z585" i="15"/>
  <c r="AC585" i="15" s="1"/>
  <c r="U585" i="15" s="1"/>
  <c r="N585" i="15"/>
  <c r="M585" i="15"/>
  <c r="Q585" i="15" s="1"/>
  <c r="AA584" i="15"/>
  <c r="S584" i="15" s="1"/>
  <c r="Z584" i="15"/>
  <c r="AC584" i="15" s="1"/>
  <c r="U584" i="15" s="1"/>
  <c r="N584" i="15"/>
  <c r="M584" i="15"/>
  <c r="Q584" i="15" s="1"/>
  <c r="AA583" i="15"/>
  <c r="S583" i="15" s="1"/>
  <c r="Z583" i="15"/>
  <c r="AC583" i="15" s="1"/>
  <c r="U583" i="15"/>
  <c r="N583" i="15"/>
  <c r="M583" i="15"/>
  <c r="Q583" i="15" s="1"/>
  <c r="AA582" i="15"/>
  <c r="S582" i="15" s="1"/>
  <c r="Z582" i="15"/>
  <c r="AC582" i="15" s="1"/>
  <c r="U582" i="15" s="1"/>
  <c r="N582" i="15"/>
  <c r="M582" i="15"/>
  <c r="Q582" i="15" s="1"/>
  <c r="AA581" i="15"/>
  <c r="S581" i="15" s="1"/>
  <c r="Z581" i="15"/>
  <c r="N581" i="15"/>
  <c r="M581" i="15"/>
  <c r="Q581" i="15" s="1"/>
  <c r="AA580" i="15"/>
  <c r="S580" i="15" s="1"/>
  <c r="Z580" i="15"/>
  <c r="N580" i="15"/>
  <c r="M580" i="15"/>
  <c r="Q580" i="15" s="1"/>
  <c r="AA579" i="15"/>
  <c r="S579" i="15" s="1"/>
  <c r="Z579" i="15"/>
  <c r="AC579" i="15" s="1"/>
  <c r="U579" i="15"/>
  <c r="N579" i="15"/>
  <c r="M579" i="15"/>
  <c r="Q579" i="15" s="1"/>
  <c r="AA578" i="15"/>
  <c r="S578" i="15" s="1"/>
  <c r="Z578" i="15"/>
  <c r="U578" i="15"/>
  <c r="N578" i="15"/>
  <c r="M578" i="15"/>
  <c r="Q578" i="15" s="1"/>
  <c r="AA577" i="15"/>
  <c r="S577" i="15" s="1"/>
  <c r="Z577" i="15"/>
  <c r="AC577" i="15" s="1"/>
  <c r="U577" i="15" s="1"/>
  <c r="V577" i="15"/>
  <c r="N577" i="15"/>
  <c r="M577" i="15"/>
  <c r="Q577" i="15" s="1"/>
  <c r="AA576" i="15"/>
  <c r="S576" i="15" s="1"/>
  <c r="Z576" i="15"/>
  <c r="AC576" i="15" s="1"/>
  <c r="U576" i="15" s="1"/>
  <c r="N576" i="15"/>
  <c r="M576" i="15"/>
  <c r="Q576" i="15" s="1"/>
  <c r="AA575" i="15"/>
  <c r="S575" i="15" s="1"/>
  <c r="Z575" i="15"/>
  <c r="V575" i="15"/>
  <c r="N575" i="15"/>
  <c r="M575" i="15"/>
  <c r="Q575" i="15" s="1"/>
  <c r="AA574" i="15"/>
  <c r="S574" i="15" s="1"/>
  <c r="Z574" i="15"/>
  <c r="V574" i="15"/>
  <c r="N574" i="15"/>
  <c r="M574" i="15"/>
  <c r="Q574" i="15" s="1"/>
  <c r="AA573" i="15"/>
  <c r="S573" i="15" s="1"/>
  <c r="Z573" i="15"/>
  <c r="U573" i="15"/>
  <c r="N573" i="15"/>
  <c r="M573" i="15"/>
  <c r="Q573" i="15" s="1"/>
  <c r="AA572" i="15"/>
  <c r="S572" i="15" s="1"/>
  <c r="Z572" i="15"/>
  <c r="U572" i="15"/>
  <c r="N572" i="15"/>
  <c r="M572" i="15"/>
  <c r="Q572" i="15" s="1"/>
  <c r="AA571" i="15"/>
  <c r="S571" i="15" s="1"/>
  <c r="Z571" i="15"/>
  <c r="U571" i="15"/>
  <c r="N571" i="15"/>
  <c r="M571" i="15"/>
  <c r="Q571" i="15" s="1"/>
  <c r="AA570" i="15"/>
  <c r="S570" i="15" s="1"/>
  <c r="Z570" i="15"/>
  <c r="N570" i="15"/>
  <c r="M570" i="15"/>
  <c r="Q570" i="15" s="1"/>
  <c r="AA569" i="15"/>
  <c r="S569" i="15" s="1"/>
  <c r="Z569" i="15"/>
  <c r="U569" i="15"/>
  <c r="N569" i="15"/>
  <c r="M569" i="15"/>
  <c r="Q569" i="15" s="1"/>
  <c r="X569" i="15" s="1"/>
  <c r="AA568" i="15"/>
  <c r="S568" i="15" s="1"/>
  <c r="Z568" i="15"/>
  <c r="U568" i="15"/>
  <c r="N568" i="15"/>
  <c r="M568" i="15"/>
  <c r="Q568" i="15" s="1"/>
  <c r="AA567" i="15"/>
  <c r="S567" i="15" s="1"/>
  <c r="Z567" i="15"/>
  <c r="AC567" i="15" s="1"/>
  <c r="U567" i="15"/>
  <c r="N567" i="15"/>
  <c r="M567" i="15"/>
  <c r="AA566" i="15"/>
  <c r="S566" i="15" s="1"/>
  <c r="Z566" i="15"/>
  <c r="U566" i="15"/>
  <c r="N566" i="15"/>
  <c r="M566" i="15"/>
  <c r="Q566" i="15" s="1"/>
  <c r="X566" i="15" s="1"/>
  <c r="AA565" i="15"/>
  <c r="S565" i="15" s="1"/>
  <c r="Z565" i="15"/>
  <c r="AC565" i="15" s="1"/>
  <c r="U565" i="15" s="1"/>
  <c r="V565" i="15"/>
  <c r="N565" i="15"/>
  <c r="M565" i="15"/>
  <c r="Q565" i="15" s="1"/>
  <c r="AA564" i="15"/>
  <c r="Z564" i="15"/>
  <c r="N564" i="15"/>
  <c r="M564" i="15"/>
  <c r="Q564" i="15" s="1"/>
  <c r="AA563" i="15"/>
  <c r="S563" i="15" s="1"/>
  <c r="Z563" i="15"/>
  <c r="U563" i="15"/>
  <c r="N563" i="15"/>
  <c r="M563" i="15"/>
  <c r="Q563" i="15" s="1"/>
  <c r="AA562" i="15"/>
  <c r="Z562" i="15"/>
  <c r="U562" i="15"/>
  <c r="N562" i="15"/>
  <c r="M562" i="15"/>
  <c r="Q562" i="15" s="1"/>
  <c r="AA561" i="15"/>
  <c r="S561" i="15" s="1"/>
  <c r="Z561" i="15"/>
  <c r="AC561" i="15" s="1"/>
  <c r="U561" i="15"/>
  <c r="N561" i="15"/>
  <c r="M561" i="15"/>
  <c r="Q561" i="15" s="1"/>
  <c r="AA560" i="15"/>
  <c r="S560" i="15" s="1"/>
  <c r="Z560" i="15"/>
  <c r="AC560" i="15" s="1"/>
  <c r="U560" i="15"/>
  <c r="N560" i="15"/>
  <c r="M560" i="15"/>
  <c r="Q560" i="15" s="1"/>
  <c r="AA559" i="15"/>
  <c r="S559" i="15" s="1"/>
  <c r="Z559" i="15"/>
  <c r="U559" i="15"/>
  <c r="N559" i="15"/>
  <c r="M559" i="15"/>
  <c r="Q559" i="15" s="1"/>
  <c r="X559" i="15" s="1"/>
  <c r="AA558" i="15"/>
  <c r="S558" i="15" s="1"/>
  <c r="Z558" i="15"/>
  <c r="N558" i="15"/>
  <c r="M558" i="15"/>
  <c r="Q558" i="15" s="1"/>
  <c r="AA557" i="15"/>
  <c r="S557" i="15" s="1"/>
  <c r="Z557" i="15"/>
  <c r="N557" i="15"/>
  <c r="M557" i="15"/>
  <c r="Q557" i="15" s="1"/>
  <c r="AA556" i="15"/>
  <c r="Z556" i="15"/>
  <c r="AC556" i="15" s="1"/>
  <c r="N556" i="15"/>
  <c r="M556" i="15"/>
  <c r="Q556" i="15" s="1"/>
  <c r="AA555" i="15"/>
  <c r="S555" i="15" s="1"/>
  <c r="Z555" i="15"/>
  <c r="U555" i="15"/>
  <c r="N555" i="15"/>
  <c r="M555" i="15"/>
  <c r="Q555" i="15" s="1"/>
  <c r="AA554" i="15"/>
  <c r="S554" i="15" s="1"/>
  <c r="Z554" i="15"/>
  <c r="N554" i="15"/>
  <c r="M554" i="15"/>
  <c r="AA553" i="15"/>
  <c r="S553" i="15" s="1"/>
  <c r="Z553" i="15"/>
  <c r="N553" i="15"/>
  <c r="M553" i="15"/>
  <c r="AA552" i="15"/>
  <c r="S552" i="15" s="1"/>
  <c r="Z552" i="15"/>
  <c r="AC552" i="15" s="1"/>
  <c r="U552" i="15" s="1"/>
  <c r="N552" i="15"/>
  <c r="M552" i="15"/>
  <c r="Q552" i="15" s="1"/>
  <c r="AA551" i="15"/>
  <c r="S551" i="15" s="1"/>
  <c r="Z551" i="15"/>
  <c r="AC551" i="15" s="1"/>
  <c r="U551" i="15"/>
  <c r="N551" i="15"/>
  <c r="M551" i="15"/>
  <c r="Q551" i="15" s="1"/>
  <c r="AA550" i="15"/>
  <c r="S550" i="15" s="1"/>
  <c r="Z550" i="15"/>
  <c r="AC550" i="15" s="1"/>
  <c r="U550" i="15"/>
  <c r="N550" i="15"/>
  <c r="M550" i="15"/>
  <c r="Q550" i="15" s="1"/>
  <c r="AA549" i="15"/>
  <c r="S549" i="15" s="1"/>
  <c r="Z549" i="15"/>
  <c r="AC549" i="15" s="1"/>
  <c r="U549" i="15"/>
  <c r="N549" i="15"/>
  <c r="M549" i="15"/>
  <c r="Q549" i="15" s="1"/>
  <c r="AA548" i="15"/>
  <c r="S548" i="15" s="1"/>
  <c r="Z548" i="15"/>
  <c r="N548" i="15"/>
  <c r="M548" i="15"/>
  <c r="Q548" i="15" s="1"/>
  <c r="AA547" i="15"/>
  <c r="Z547" i="15"/>
  <c r="N547" i="15"/>
  <c r="M547" i="15"/>
  <c r="Q547" i="15" s="1"/>
  <c r="AA546" i="15"/>
  <c r="S546" i="15" s="1"/>
  <c r="Z546" i="15"/>
  <c r="AC546" i="15" s="1"/>
  <c r="U546" i="15"/>
  <c r="N546" i="15"/>
  <c r="M546" i="15"/>
  <c r="Q546" i="15" s="1"/>
  <c r="AA545" i="15"/>
  <c r="S545" i="15" s="1"/>
  <c r="Z545" i="15"/>
  <c r="AC545" i="15" s="1"/>
  <c r="U545" i="15"/>
  <c r="N545" i="15"/>
  <c r="M545" i="15"/>
  <c r="Q545" i="15" s="1"/>
  <c r="AA544" i="15"/>
  <c r="S544" i="15" s="1"/>
  <c r="Z544" i="15"/>
  <c r="AC544" i="15" s="1"/>
  <c r="U544" i="15" s="1"/>
  <c r="N544" i="15"/>
  <c r="M544" i="15"/>
  <c r="Q544" i="15" s="1"/>
  <c r="AA543" i="15"/>
  <c r="S543" i="15" s="1"/>
  <c r="Z543" i="15"/>
  <c r="AC543" i="15" s="1"/>
  <c r="U543" i="15"/>
  <c r="N543" i="15"/>
  <c r="M543" i="15"/>
  <c r="Q543" i="15" s="1"/>
  <c r="AA542" i="15"/>
  <c r="Z542" i="15"/>
  <c r="AA541" i="15"/>
  <c r="S541" i="15" s="1"/>
  <c r="X541" i="15" s="1"/>
  <c r="Z541" i="15"/>
  <c r="R541" i="15" s="1"/>
  <c r="W541" i="15" s="1"/>
  <c r="AA540" i="15"/>
  <c r="S540" i="15" s="1"/>
  <c r="X540" i="15" s="1"/>
  <c r="Z540" i="15"/>
  <c r="AA538" i="15"/>
  <c r="Z538" i="15"/>
  <c r="AA537" i="15"/>
  <c r="S537" i="15" s="1"/>
  <c r="X537" i="15" s="1"/>
  <c r="Z537" i="15"/>
  <c r="R537" i="15" s="1"/>
  <c r="W537" i="15" s="1"/>
  <c r="AA536" i="15"/>
  <c r="Z536" i="15"/>
  <c r="R536" i="15" s="1"/>
  <c r="W536" i="15" s="1"/>
  <c r="AA535" i="15"/>
  <c r="S535" i="15" s="1"/>
  <c r="X535" i="15" s="1"/>
  <c r="Z535" i="15"/>
  <c r="AA534" i="15"/>
  <c r="S534" i="15" s="1"/>
  <c r="X534" i="15" s="1"/>
  <c r="Z534" i="15"/>
  <c r="R534" i="15" s="1"/>
  <c r="W534" i="15" s="1"/>
  <c r="AA533" i="15"/>
  <c r="S533" i="15" s="1"/>
  <c r="X533" i="15" s="1"/>
  <c r="Z533" i="15"/>
  <c r="AA532" i="15"/>
  <c r="S532" i="15" s="1"/>
  <c r="Z532" i="15"/>
  <c r="AC532" i="15" s="1"/>
  <c r="N532" i="15"/>
  <c r="AA531" i="15"/>
  <c r="S531" i="15" s="1"/>
  <c r="Z531" i="15"/>
  <c r="AC531" i="15" s="1"/>
  <c r="N531" i="15"/>
  <c r="M531" i="15"/>
  <c r="Q531" i="15" s="1"/>
  <c r="AA530" i="15"/>
  <c r="Z530" i="15"/>
  <c r="U530" i="15"/>
  <c r="N530" i="15"/>
  <c r="M530" i="15"/>
  <c r="Q530" i="15" s="1"/>
  <c r="AA529" i="15"/>
  <c r="Z529" i="15"/>
  <c r="AC529" i="15" s="1"/>
  <c r="U529" i="15"/>
  <c r="N529" i="15"/>
  <c r="M529" i="15"/>
  <c r="Q529" i="15" s="1"/>
  <c r="AA528" i="15"/>
  <c r="S528" i="15" s="1"/>
  <c r="Z528" i="15"/>
  <c r="AC528" i="15" s="1"/>
  <c r="U528" i="15"/>
  <c r="N528" i="15"/>
  <c r="M528" i="15"/>
  <c r="AA527" i="15"/>
  <c r="S527" i="15" s="1"/>
  <c r="Z527" i="15"/>
  <c r="U527" i="15"/>
  <c r="N527" i="15"/>
  <c r="M527" i="15"/>
  <c r="Q527" i="15" s="1"/>
  <c r="AA526" i="15"/>
  <c r="S526" i="15" s="1"/>
  <c r="Z526" i="15"/>
  <c r="U526" i="15"/>
  <c r="N526" i="15"/>
  <c r="M526" i="15"/>
  <c r="Q526" i="15" s="1"/>
  <c r="AA525" i="15"/>
  <c r="Z525" i="15"/>
  <c r="U525" i="15"/>
  <c r="N525" i="15"/>
  <c r="M525" i="15"/>
  <c r="Q525" i="15" s="1"/>
  <c r="AA524" i="15"/>
  <c r="S524" i="15" s="1"/>
  <c r="Z524" i="15"/>
  <c r="N524" i="15"/>
  <c r="M524" i="15"/>
  <c r="AA523" i="15"/>
  <c r="S523" i="15" s="1"/>
  <c r="Z523" i="15"/>
  <c r="AC523" i="15" s="1"/>
  <c r="U523" i="15" s="1"/>
  <c r="N523" i="15"/>
  <c r="M523" i="15"/>
  <c r="Q523" i="15" s="1"/>
  <c r="AA522" i="15"/>
  <c r="Z522" i="15"/>
  <c r="N522" i="15"/>
  <c r="M522" i="15"/>
  <c r="Q522" i="15" s="1"/>
  <c r="AA521" i="15"/>
  <c r="S521" i="15" s="1"/>
  <c r="Z521" i="15"/>
  <c r="U521" i="15"/>
  <c r="N521" i="15"/>
  <c r="M521" i="15"/>
  <c r="Q521" i="15" s="1"/>
  <c r="AA520" i="15"/>
  <c r="S520" i="15" s="1"/>
  <c r="Z520" i="15"/>
  <c r="U520" i="15"/>
  <c r="N520" i="15"/>
  <c r="M520" i="15"/>
  <c r="Q520" i="15" s="1"/>
  <c r="AA519" i="15"/>
  <c r="S519" i="15" s="1"/>
  <c r="Z519" i="15"/>
  <c r="AC519" i="15" s="1"/>
  <c r="U519" i="15"/>
  <c r="N519" i="15"/>
  <c r="M519" i="15"/>
  <c r="Q519" i="15" s="1"/>
  <c r="X519" i="15" s="1"/>
  <c r="AA518" i="15"/>
  <c r="Z518" i="15"/>
  <c r="AC518" i="15" s="1"/>
  <c r="U518" i="15"/>
  <c r="N518" i="15"/>
  <c r="M518" i="15"/>
  <c r="Q518" i="15" s="1"/>
  <c r="AA517" i="15"/>
  <c r="S517" i="15" s="1"/>
  <c r="Z517" i="15"/>
  <c r="AC517" i="15" s="1"/>
  <c r="U517" i="15"/>
  <c r="N517" i="15"/>
  <c r="M517" i="15"/>
  <c r="Q517" i="15" s="1"/>
  <c r="AA516" i="15"/>
  <c r="S516" i="15" s="1"/>
  <c r="Z516" i="15"/>
  <c r="AC516" i="15" s="1"/>
  <c r="U516" i="15"/>
  <c r="N516" i="15"/>
  <c r="M516" i="15"/>
  <c r="AA515" i="15"/>
  <c r="S515" i="15" s="1"/>
  <c r="Z515" i="15"/>
  <c r="AC515" i="15" s="1"/>
  <c r="U515" i="15" s="1"/>
  <c r="N515" i="15"/>
  <c r="M515" i="15"/>
  <c r="AA514" i="15"/>
  <c r="S514" i="15" s="1"/>
  <c r="Z514" i="15"/>
  <c r="AC514" i="15" s="1"/>
  <c r="U514" i="15" s="1"/>
  <c r="V514" i="15"/>
  <c r="N514" i="15"/>
  <c r="M514" i="15"/>
  <c r="Q514" i="15" s="1"/>
  <c r="AA513" i="15"/>
  <c r="Z513" i="15"/>
  <c r="AC513" i="15" s="1"/>
  <c r="U513" i="15" s="1"/>
  <c r="V513" i="15"/>
  <c r="N513" i="15"/>
  <c r="M513" i="15"/>
  <c r="Q513" i="15" s="1"/>
  <c r="AA512" i="15"/>
  <c r="S512" i="15" s="1"/>
  <c r="Z512" i="15"/>
  <c r="AC512" i="15" s="1"/>
  <c r="U512" i="15"/>
  <c r="N512" i="15"/>
  <c r="M512" i="15"/>
  <c r="AA511" i="15"/>
  <c r="S511" i="15" s="1"/>
  <c r="Z511" i="15"/>
  <c r="AC511" i="15" s="1"/>
  <c r="U511" i="15"/>
  <c r="N511" i="15"/>
  <c r="M511" i="15"/>
  <c r="Q511" i="15" s="1"/>
  <c r="AA510" i="15"/>
  <c r="S510" i="15" s="1"/>
  <c r="Z510" i="15"/>
  <c r="N510" i="15"/>
  <c r="M510" i="15"/>
  <c r="Q510" i="15" s="1"/>
  <c r="AA509" i="15"/>
  <c r="S509" i="15" s="1"/>
  <c r="Z509" i="15"/>
  <c r="AC509" i="15" s="1"/>
  <c r="U509" i="15"/>
  <c r="N509" i="15"/>
  <c r="M509" i="15"/>
  <c r="Q509" i="15" s="1"/>
  <c r="AA508" i="15"/>
  <c r="Z508" i="15"/>
  <c r="U508" i="15"/>
  <c r="N508" i="15"/>
  <c r="M508" i="15"/>
  <c r="Q508" i="15" s="1"/>
  <c r="AA507" i="15"/>
  <c r="Z507" i="15"/>
  <c r="AC507" i="15" s="1"/>
  <c r="U507" i="15" s="1"/>
  <c r="V507" i="15"/>
  <c r="N507" i="15"/>
  <c r="M507" i="15"/>
  <c r="Q507" i="15" s="1"/>
  <c r="AA506" i="15"/>
  <c r="S506" i="15" s="1"/>
  <c r="Z506" i="15"/>
  <c r="N506" i="15"/>
  <c r="M506" i="15"/>
  <c r="Q506" i="15" s="1"/>
  <c r="AA505" i="15"/>
  <c r="S505" i="15" s="1"/>
  <c r="Z505" i="15"/>
  <c r="AC505" i="15" s="1"/>
  <c r="U505" i="15"/>
  <c r="N505" i="15"/>
  <c r="M505" i="15"/>
  <c r="Q505" i="15" s="1"/>
  <c r="AA504" i="15"/>
  <c r="Z504" i="15"/>
  <c r="U504" i="15"/>
  <c r="N504" i="15"/>
  <c r="M504" i="15"/>
  <c r="Q504" i="15" s="1"/>
  <c r="AA503" i="15"/>
  <c r="Z503" i="15"/>
  <c r="AC503" i="15" s="1"/>
  <c r="U503" i="15"/>
  <c r="N503" i="15"/>
  <c r="M503" i="15"/>
  <c r="Q503" i="15" s="1"/>
  <c r="AA502" i="15"/>
  <c r="Z502" i="15"/>
  <c r="AC502" i="15" s="1"/>
  <c r="U502" i="15" s="1"/>
  <c r="N502" i="15"/>
  <c r="M502" i="15"/>
  <c r="Q502" i="15" s="1"/>
  <c r="AA501" i="15"/>
  <c r="S501" i="15" s="1"/>
  <c r="Z501" i="15"/>
  <c r="AC501" i="15" s="1"/>
  <c r="U501" i="15"/>
  <c r="N501" i="15"/>
  <c r="M501" i="15"/>
  <c r="AA500" i="15"/>
  <c r="S500" i="15" s="1"/>
  <c r="Z500" i="15"/>
  <c r="AC500" i="15" s="1"/>
  <c r="U500" i="15"/>
  <c r="N500" i="15"/>
  <c r="M500" i="15"/>
  <c r="Q500" i="15" s="1"/>
  <c r="AA499" i="15"/>
  <c r="Z499" i="15"/>
  <c r="AC499" i="15" s="1"/>
  <c r="U499" i="15"/>
  <c r="N499" i="15"/>
  <c r="M499" i="15"/>
  <c r="AA498" i="15"/>
  <c r="S498" i="15" s="1"/>
  <c r="Z498" i="15"/>
  <c r="AC498" i="15" s="1"/>
  <c r="U498" i="15"/>
  <c r="N498" i="15"/>
  <c r="M498" i="15"/>
  <c r="Q498" i="15" s="1"/>
  <c r="AA497" i="15"/>
  <c r="S497" i="15" s="1"/>
  <c r="Z497" i="15"/>
  <c r="AC497" i="15" s="1"/>
  <c r="N497" i="15"/>
  <c r="M497" i="15"/>
  <c r="AA496" i="15"/>
  <c r="Z496" i="15"/>
  <c r="AC496" i="15" s="1"/>
  <c r="U496" i="15"/>
  <c r="N496" i="15"/>
  <c r="M496" i="15"/>
  <c r="AA495" i="15"/>
  <c r="S495" i="15" s="1"/>
  <c r="Z495" i="15"/>
  <c r="N495" i="15"/>
  <c r="M495" i="15"/>
  <c r="Q495" i="15" s="1"/>
  <c r="AA494" i="15"/>
  <c r="S494" i="15" s="1"/>
  <c r="Z494" i="15"/>
  <c r="AC494" i="15" s="1"/>
  <c r="U494" i="15" s="1"/>
  <c r="N494" i="15"/>
  <c r="M494" i="15"/>
  <c r="Q494" i="15" s="1"/>
  <c r="AA493" i="15"/>
  <c r="Z493" i="15"/>
  <c r="AC493" i="15" s="1"/>
  <c r="U493" i="15"/>
  <c r="N493" i="15"/>
  <c r="M493" i="15"/>
  <c r="Q493" i="15" s="1"/>
  <c r="AA492" i="15"/>
  <c r="S492" i="15" s="1"/>
  <c r="Z492" i="15"/>
  <c r="AC492" i="15" s="1"/>
  <c r="U492" i="15"/>
  <c r="N492" i="15"/>
  <c r="M492" i="15"/>
  <c r="Q492" i="15" s="1"/>
  <c r="AA491" i="15"/>
  <c r="Z491" i="15"/>
  <c r="AC491" i="15" s="1"/>
  <c r="U491" i="15"/>
  <c r="N491" i="15"/>
  <c r="M491" i="15"/>
  <c r="Q491" i="15" s="1"/>
  <c r="AA490" i="15"/>
  <c r="S490" i="15" s="1"/>
  <c r="Z490" i="15"/>
  <c r="AC490" i="15" s="1"/>
  <c r="U490" i="15"/>
  <c r="N490" i="15"/>
  <c r="M490" i="15"/>
  <c r="Q490" i="15" s="1"/>
  <c r="AA489" i="15"/>
  <c r="S489" i="15" s="1"/>
  <c r="Z489" i="15"/>
  <c r="N489" i="15"/>
  <c r="M489" i="15"/>
  <c r="Q489" i="15" s="1"/>
  <c r="AA488" i="15"/>
  <c r="S488" i="15" s="1"/>
  <c r="Z488" i="15"/>
  <c r="U488" i="15"/>
  <c r="N488" i="15"/>
  <c r="M488" i="15"/>
  <c r="Q488" i="15" s="1"/>
  <c r="AA487" i="15"/>
  <c r="S487" i="15" s="1"/>
  <c r="Z487" i="15"/>
  <c r="U487" i="15"/>
  <c r="N487" i="15"/>
  <c r="M487" i="15"/>
  <c r="Q487" i="15" s="1"/>
  <c r="AA486" i="15"/>
  <c r="Z486" i="15"/>
  <c r="AC486" i="15" s="1"/>
  <c r="U486" i="15"/>
  <c r="N486" i="15"/>
  <c r="M486" i="15"/>
  <c r="Q486" i="15" s="1"/>
  <c r="AA485" i="15"/>
  <c r="S485" i="15" s="1"/>
  <c r="Z485" i="15"/>
  <c r="U485" i="15"/>
  <c r="N485" i="15"/>
  <c r="M485" i="15"/>
  <c r="Q485" i="15" s="1"/>
  <c r="AA484" i="15"/>
  <c r="Z484" i="15"/>
  <c r="AC484" i="15" s="1"/>
  <c r="U484" i="15" s="1"/>
  <c r="N484" i="15"/>
  <c r="M484" i="15"/>
  <c r="Q484" i="15" s="1"/>
  <c r="AA483" i="15"/>
  <c r="S483" i="15" s="1"/>
  <c r="Z483" i="15"/>
  <c r="AC483" i="15" s="1"/>
  <c r="U483" i="15"/>
  <c r="N483" i="15"/>
  <c r="M483" i="15"/>
  <c r="Q483" i="15" s="1"/>
  <c r="AA482" i="15"/>
  <c r="Z482" i="15"/>
  <c r="AC482" i="15" s="1"/>
  <c r="U482" i="15" s="1"/>
  <c r="N482" i="15"/>
  <c r="M482" i="15"/>
  <c r="AA481" i="15"/>
  <c r="Z481" i="15"/>
  <c r="AC481" i="15" s="1"/>
  <c r="U481" i="15"/>
  <c r="N481" i="15"/>
  <c r="M481" i="15"/>
  <c r="Q481" i="15" s="1"/>
  <c r="AA480" i="15"/>
  <c r="S480" i="15" s="1"/>
  <c r="Z480" i="15"/>
  <c r="N480" i="15"/>
  <c r="M480" i="15"/>
  <c r="Q480" i="15" s="1"/>
  <c r="X480" i="15" s="1"/>
  <c r="AA479" i="15"/>
  <c r="S479" i="15" s="1"/>
  <c r="Z479" i="15"/>
  <c r="AC479" i="15" s="1"/>
  <c r="U479" i="15"/>
  <c r="N479" i="15"/>
  <c r="M479" i="15"/>
  <c r="AA478" i="15"/>
  <c r="S478" i="15" s="1"/>
  <c r="Z478" i="15"/>
  <c r="AC478" i="15" s="1"/>
  <c r="U478" i="15" s="1"/>
  <c r="V478" i="15"/>
  <c r="N478" i="15"/>
  <c r="M478" i="15"/>
  <c r="Q478" i="15" s="1"/>
  <c r="AA477" i="15"/>
  <c r="Z477" i="15"/>
  <c r="U477" i="15"/>
  <c r="N477" i="15"/>
  <c r="M477" i="15"/>
  <c r="Q477" i="15" s="1"/>
  <c r="AA476" i="15"/>
  <c r="Z476" i="15"/>
  <c r="U476" i="15"/>
  <c r="N476" i="15"/>
  <c r="M476" i="15"/>
  <c r="Q476" i="15" s="1"/>
  <c r="AA475" i="15"/>
  <c r="S475" i="15" s="1"/>
  <c r="Z475" i="15"/>
  <c r="U475" i="15"/>
  <c r="N475" i="15"/>
  <c r="M475" i="15"/>
  <c r="Q475" i="15" s="1"/>
  <c r="AA474" i="15"/>
  <c r="S474" i="15" s="1"/>
  <c r="Z474" i="15"/>
  <c r="U474" i="15"/>
  <c r="N474" i="15"/>
  <c r="M474" i="15"/>
  <c r="Q474" i="15" s="1"/>
  <c r="AA473" i="15"/>
  <c r="Z473" i="15"/>
  <c r="AC473" i="15" s="1"/>
  <c r="U473" i="15"/>
  <c r="N473" i="15"/>
  <c r="M473" i="15"/>
  <c r="Q473" i="15" s="1"/>
  <c r="AA472" i="15"/>
  <c r="Z472" i="15"/>
  <c r="U472" i="15"/>
  <c r="N472" i="15"/>
  <c r="M472" i="15"/>
  <c r="Q472" i="15" s="1"/>
  <c r="AA471" i="15"/>
  <c r="Z471" i="15"/>
  <c r="AC471" i="15" s="1"/>
  <c r="U471" i="15"/>
  <c r="N471" i="15"/>
  <c r="M471" i="15"/>
  <c r="Q471" i="15" s="1"/>
  <c r="AA470" i="15"/>
  <c r="S470" i="15" s="1"/>
  <c r="Z470" i="15"/>
  <c r="U470" i="15"/>
  <c r="N470" i="15"/>
  <c r="M470" i="15"/>
  <c r="Q470" i="15" s="1"/>
  <c r="AA469" i="15"/>
  <c r="S469" i="15" s="1"/>
  <c r="Z469" i="15"/>
  <c r="U469" i="15"/>
  <c r="N469" i="15"/>
  <c r="M469" i="15"/>
  <c r="Q469" i="15" s="1"/>
  <c r="AA468" i="15"/>
  <c r="S468" i="15" s="1"/>
  <c r="Z468" i="15"/>
  <c r="AC468" i="15" s="1"/>
  <c r="U468" i="15"/>
  <c r="N468" i="15"/>
  <c r="M468" i="15"/>
  <c r="Q468" i="15" s="1"/>
  <c r="X468" i="15" s="1"/>
  <c r="AA467" i="15"/>
  <c r="S467" i="15" s="1"/>
  <c r="Z467" i="15"/>
  <c r="AC467" i="15" s="1"/>
  <c r="U467" i="15"/>
  <c r="N467" i="15"/>
  <c r="M467" i="15"/>
  <c r="Q467" i="15" s="1"/>
  <c r="AA466" i="15"/>
  <c r="Z466" i="15"/>
  <c r="AC466" i="15" s="1"/>
  <c r="U466" i="15"/>
  <c r="N466" i="15"/>
  <c r="M466" i="15"/>
  <c r="Q466" i="15" s="1"/>
  <c r="AA465" i="15"/>
  <c r="Z465" i="15"/>
  <c r="AC465" i="15" s="1"/>
  <c r="U465" i="15"/>
  <c r="N465" i="15"/>
  <c r="M465" i="15"/>
  <c r="Q465" i="15" s="1"/>
  <c r="AA464" i="15"/>
  <c r="S464" i="15" s="1"/>
  <c r="Z464" i="15"/>
  <c r="N464" i="15"/>
  <c r="M464" i="15"/>
  <c r="Q464" i="15" s="1"/>
  <c r="AA463" i="15"/>
  <c r="S463" i="15" s="1"/>
  <c r="Z463" i="15"/>
  <c r="AC463" i="15" s="1"/>
  <c r="U463" i="15" s="1"/>
  <c r="N463" i="15"/>
  <c r="M463" i="15"/>
  <c r="Q463" i="15" s="1"/>
  <c r="AA462" i="15"/>
  <c r="S462" i="15" s="1"/>
  <c r="Z462" i="15"/>
  <c r="AC462" i="15" s="1"/>
  <c r="U462" i="15"/>
  <c r="N462" i="15"/>
  <c r="M462" i="15"/>
  <c r="AA461" i="15"/>
  <c r="S461" i="15" s="1"/>
  <c r="Z461" i="15"/>
  <c r="AC461" i="15" s="1"/>
  <c r="U461" i="15" s="1"/>
  <c r="V461" i="15"/>
  <c r="N461" i="15"/>
  <c r="M461" i="15"/>
  <c r="Q461" i="15" s="1"/>
  <c r="X461" i="15" s="1"/>
  <c r="AA460" i="15"/>
  <c r="Z460" i="15"/>
  <c r="U460" i="15"/>
  <c r="N460" i="15"/>
  <c r="M460" i="15"/>
  <c r="Q460" i="15" s="1"/>
  <c r="AA459" i="15"/>
  <c r="S459" i="15" s="1"/>
  <c r="Z459" i="15"/>
  <c r="AC459" i="15" s="1"/>
  <c r="U459" i="15"/>
  <c r="N459" i="15"/>
  <c r="M459" i="15"/>
  <c r="Q459" i="15" s="1"/>
  <c r="X459" i="15" s="1"/>
  <c r="AA458" i="15"/>
  <c r="Z458" i="15"/>
  <c r="AC458" i="15" s="1"/>
  <c r="U458" i="15"/>
  <c r="N458" i="15"/>
  <c r="M458" i="15"/>
  <c r="Q458" i="15" s="1"/>
  <c r="AA457" i="15"/>
  <c r="S457" i="15" s="1"/>
  <c r="Z457" i="15"/>
  <c r="AC457" i="15" s="1"/>
  <c r="U457" i="15"/>
  <c r="N457" i="15"/>
  <c r="M457" i="15"/>
  <c r="Q457" i="15" s="1"/>
  <c r="AA456" i="15"/>
  <c r="Z456" i="15"/>
  <c r="AC456" i="15" s="1"/>
  <c r="U456" i="15"/>
  <c r="N456" i="15"/>
  <c r="M456" i="15"/>
  <c r="AA455" i="15"/>
  <c r="Z455" i="15"/>
  <c r="AC455" i="15" s="1"/>
  <c r="U455" i="15" s="1"/>
  <c r="V455" i="15"/>
  <c r="N455" i="15"/>
  <c r="M455" i="15"/>
  <c r="Q455" i="15" s="1"/>
  <c r="AA454" i="15"/>
  <c r="S454" i="15" s="1"/>
  <c r="Z454" i="15"/>
  <c r="AC454" i="15" s="1"/>
  <c r="U454" i="15" s="1"/>
  <c r="N454" i="15"/>
  <c r="M454" i="15"/>
  <c r="Q454" i="15" s="1"/>
  <c r="AA453" i="15"/>
  <c r="S453" i="15" s="1"/>
  <c r="Z453" i="15"/>
  <c r="AC453" i="15" s="1"/>
  <c r="U453" i="15"/>
  <c r="N453" i="15"/>
  <c r="M453" i="15"/>
  <c r="AA452" i="15"/>
  <c r="Z452" i="15"/>
  <c r="U452" i="15"/>
  <c r="N452" i="15"/>
  <c r="M452" i="15"/>
  <c r="Q452" i="15" s="1"/>
  <c r="AA451" i="15"/>
  <c r="Z451" i="15"/>
  <c r="AC451" i="15" s="1"/>
  <c r="U451" i="15" s="1"/>
  <c r="N451" i="15"/>
  <c r="M451" i="15"/>
  <c r="AA450" i="15"/>
  <c r="S450" i="15" s="1"/>
  <c r="Z450" i="15"/>
  <c r="U450" i="15"/>
  <c r="N450" i="15"/>
  <c r="M450" i="15"/>
  <c r="Q450" i="15" s="1"/>
  <c r="AA449" i="15"/>
  <c r="S449" i="15" s="1"/>
  <c r="Z449" i="15"/>
  <c r="N449" i="15"/>
  <c r="M449" i="15"/>
  <c r="AA448" i="15"/>
  <c r="S448" i="15" s="1"/>
  <c r="Z448" i="15"/>
  <c r="AC448" i="15" s="1"/>
  <c r="U448" i="15"/>
  <c r="N448" i="15"/>
  <c r="M448" i="15"/>
  <c r="Q448" i="15" s="1"/>
  <c r="X448" i="15" s="1"/>
  <c r="AA447" i="15"/>
  <c r="S447" i="15" s="1"/>
  <c r="Z447" i="15"/>
  <c r="AC447" i="15" s="1"/>
  <c r="U447" i="15"/>
  <c r="N447" i="15"/>
  <c r="M447" i="15"/>
  <c r="Q447" i="15" s="1"/>
  <c r="AA446" i="15"/>
  <c r="S446" i="15" s="1"/>
  <c r="Z446" i="15"/>
  <c r="N446" i="15"/>
  <c r="M446" i="15"/>
  <c r="Q446" i="15" s="1"/>
  <c r="AA445" i="15"/>
  <c r="S445" i="15" s="1"/>
  <c r="Z445" i="15"/>
  <c r="V445" i="15"/>
  <c r="N445" i="15"/>
  <c r="M445" i="15"/>
  <c r="Q445" i="15" s="1"/>
  <c r="AA444" i="15"/>
  <c r="Z444" i="15"/>
  <c r="U444" i="15"/>
  <c r="N444" i="15"/>
  <c r="M444" i="15"/>
  <c r="Q444" i="15" s="1"/>
  <c r="AA443" i="15"/>
  <c r="S443" i="15" s="1"/>
  <c r="Z443" i="15"/>
  <c r="U443" i="15"/>
  <c r="N443" i="15"/>
  <c r="M443" i="15"/>
  <c r="Q443" i="15" s="1"/>
  <c r="AA442" i="15"/>
  <c r="S442" i="15" s="1"/>
  <c r="Z442" i="15"/>
  <c r="AC442" i="15" s="1"/>
  <c r="U442" i="15" s="1"/>
  <c r="V442" i="15"/>
  <c r="N442" i="15"/>
  <c r="M442" i="15"/>
  <c r="AA441" i="15"/>
  <c r="Z441" i="15"/>
  <c r="AC441" i="15" s="1"/>
  <c r="N441" i="15"/>
  <c r="M441" i="15"/>
  <c r="Q441" i="15" s="1"/>
  <c r="AA440" i="15"/>
  <c r="S440" i="15" s="1"/>
  <c r="Z440" i="15"/>
  <c r="AC440" i="15" s="1"/>
  <c r="U440" i="15"/>
  <c r="N440" i="15"/>
  <c r="M440" i="15"/>
  <c r="AA439" i="15"/>
  <c r="S439" i="15" s="1"/>
  <c r="Z439" i="15"/>
  <c r="AC439" i="15" s="1"/>
  <c r="U439" i="15"/>
  <c r="N439" i="15"/>
  <c r="M439" i="15"/>
  <c r="Q439" i="15" s="1"/>
  <c r="X439" i="15" s="1"/>
  <c r="AA438" i="15"/>
  <c r="S438" i="15" s="1"/>
  <c r="Z438" i="15"/>
  <c r="AC438" i="15" s="1"/>
  <c r="U438" i="15"/>
  <c r="N438" i="15"/>
  <c r="M438" i="15"/>
  <c r="Q438" i="15" s="1"/>
  <c r="AA437" i="15"/>
  <c r="S437" i="15" s="1"/>
  <c r="Z437" i="15"/>
  <c r="AC437" i="15" s="1"/>
  <c r="U437" i="15"/>
  <c r="N437" i="15"/>
  <c r="M437" i="15"/>
  <c r="Q437" i="15" s="1"/>
  <c r="AA436" i="15"/>
  <c r="Z436" i="15"/>
  <c r="AC436" i="15" s="1"/>
  <c r="U436" i="15"/>
  <c r="N436" i="15"/>
  <c r="M436" i="15"/>
  <c r="Q436" i="15" s="1"/>
  <c r="AA435" i="15"/>
  <c r="Z435" i="15"/>
  <c r="AC435" i="15" s="1"/>
  <c r="U435" i="15"/>
  <c r="N435" i="15"/>
  <c r="M435" i="15"/>
  <c r="AA434" i="15"/>
  <c r="Z434" i="15"/>
  <c r="U434" i="15"/>
  <c r="N434" i="15"/>
  <c r="M434" i="15"/>
  <c r="Q434" i="15" s="1"/>
  <c r="AA433" i="15"/>
  <c r="S433" i="15" s="1"/>
  <c r="Z433" i="15"/>
  <c r="U433" i="15"/>
  <c r="N433" i="15"/>
  <c r="M433" i="15"/>
  <c r="AA432" i="15"/>
  <c r="Z432" i="15"/>
  <c r="AC432" i="15" s="1"/>
  <c r="U432" i="15" s="1"/>
  <c r="N432" i="15"/>
  <c r="M432" i="15"/>
  <c r="Q432" i="15" s="1"/>
  <c r="AA431" i="15"/>
  <c r="S431" i="15" s="1"/>
  <c r="Z431" i="15"/>
  <c r="U431" i="15"/>
  <c r="N431" i="15"/>
  <c r="M431" i="15"/>
  <c r="Q431" i="15" s="1"/>
  <c r="X431" i="15" s="1"/>
  <c r="AA430" i="15"/>
  <c r="S430" i="15" s="1"/>
  <c r="Z430" i="15"/>
  <c r="AC430" i="15" s="1"/>
  <c r="U430" i="15" s="1"/>
  <c r="V430" i="15"/>
  <c r="N430" i="15"/>
  <c r="M430" i="15"/>
  <c r="Q430" i="15" s="1"/>
  <c r="AA429" i="15"/>
  <c r="S429" i="15" s="1"/>
  <c r="Z429" i="15"/>
  <c r="U429" i="15"/>
  <c r="N429" i="15"/>
  <c r="M429" i="15"/>
  <c r="Q429" i="15" s="1"/>
  <c r="AA428" i="15"/>
  <c r="S428" i="15" s="1"/>
  <c r="Z428" i="15"/>
  <c r="AC428" i="15" s="1"/>
  <c r="U428" i="15" s="1"/>
  <c r="N428" i="15"/>
  <c r="M428" i="15"/>
  <c r="Q428" i="15" s="1"/>
  <c r="AA427" i="15"/>
  <c r="Z427" i="15"/>
  <c r="AC427" i="15" s="1"/>
  <c r="U427" i="15" s="1"/>
  <c r="AA426" i="15"/>
  <c r="Z426" i="15"/>
  <c r="AC426" i="15" s="1"/>
  <c r="U426" i="15" s="1"/>
  <c r="N426" i="15"/>
  <c r="M426" i="15"/>
  <c r="AA425" i="15"/>
  <c r="S425" i="15" s="1"/>
  <c r="Z425" i="15"/>
  <c r="AC425" i="15" s="1"/>
  <c r="U425" i="15"/>
  <c r="N425" i="15"/>
  <c r="M425" i="15"/>
  <c r="Q425" i="15" s="1"/>
  <c r="AA424" i="15"/>
  <c r="S424" i="15" s="1"/>
  <c r="Z424" i="15"/>
  <c r="AC424" i="15" s="1"/>
  <c r="U424" i="15"/>
  <c r="N424" i="15"/>
  <c r="M424" i="15"/>
  <c r="Q424" i="15" s="1"/>
  <c r="AA423" i="15"/>
  <c r="Z423" i="15"/>
  <c r="N423" i="15"/>
  <c r="M423" i="15"/>
  <c r="Q423" i="15" s="1"/>
  <c r="AA422" i="15"/>
  <c r="Z422" i="15"/>
  <c r="U422" i="15"/>
  <c r="N422" i="15"/>
  <c r="M422" i="15"/>
  <c r="Q422" i="15" s="1"/>
  <c r="AA421" i="15"/>
  <c r="S421" i="15" s="1"/>
  <c r="Z421" i="15"/>
  <c r="U421" i="15"/>
  <c r="N421" i="15"/>
  <c r="M421" i="15"/>
  <c r="Q421" i="15" s="1"/>
  <c r="AA420" i="15"/>
  <c r="S420" i="15" s="1"/>
  <c r="Z420" i="15"/>
  <c r="AC420" i="15" s="1"/>
  <c r="U420" i="15" s="1"/>
  <c r="N420" i="15"/>
  <c r="M420" i="15"/>
  <c r="Q420" i="15" s="1"/>
  <c r="AA419" i="15"/>
  <c r="S419" i="15" s="1"/>
  <c r="Z419" i="15"/>
  <c r="AC419" i="15" s="1"/>
  <c r="U419" i="15" s="1"/>
  <c r="N419" i="15"/>
  <c r="M419" i="15"/>
  <c r="AA418" i="15"/>
  <c r="Z418" i="15"/>
  <c r="AC418" i="15" s="1"/>
  <c r="U418" i="15" s="1"/>
  <c r="V418" i="15"/>
  <c r="N418" i="15"/>
  <c r="M418" i="15"/>
  <c r="Q418" i="15" s="1"/>
  <c r="AA417" i="15"/>
  <c r="S417" i="15" s="1"/>
  <c r="Z417" i="15"/>
  <c r="N417" i="15"/>
  <c r="M417" i="15"/>
  <c r="Q417" i="15" s="1"/>
  <c r="AA416" i="15"/>
  <c r="S416" i="15" s="1"/>
  <c r="Z416" i="15"/>
  <c r="AC416" i="15" s="1"/>
  <c r="U416" i="15" s="1"/>
  <c r="N416" i="15"/>
  <c r="M416" i="15"/>
  <c r="Q416" i="15" s="1"/>
  <c r="AA415" i="15"/>
  <c r="S415" i="15" s="1"/>
  <c r="Z415" i="15"/>
  <c r="U415" i="15"/>
  <c r="N415" i="15"/>
  <c r="M415" i="15"/>
  <c r="Q415" i="15" s="1"/>
  <c r="AA414" i="15"/>
  <c r="Z414" i="15"/>
  <c r="U414" i="15"/>
  <c r="N414" i="15"/>
  <c r="M414" i="15"/>
  <c r="Q414" i="15" s="1"/>
  <c r="AA413" i="15"/>
  <c r="Z413" i="15"/>
  <c r="AC413" i="15" s="1"/>
  <c r="U413" i="15"/>
  <c r="N413" i="15"/>
  <c r="M413" i="15"/>
  <c r="Q413" i="15" s="1"/>
  <c r="AA412" i="15"/>
  <c r="S412" i="15" s="1"/>
  <c r="Z412" i="15"/>
  <c r="AC412" i="15" s="1"/>
  <c r="N412" i="15"/>
  <c r="M412" i="15"/>
  <c r="AA411" i="15"/>
  <c r="S411" i="15" s="1"/>
  <c r="Z411" i="15"/>
  <c r="AC411" i="15" s="1"/>
  <c r="U411" i="15"/>
  <c r="N411" i="15"/>
  <c r="M411" i="15"/>
  <c r="Q411" i="15" s="1"/>
  <c r="AA410" i="15"/>
  <c r="S410" i="15" s="1"/>
  <c r="Z410" i="15"/>
  <c r="U410" i="15"/>
  <c r="N410" i="15"/>
  <c r="M410" i="15"/>
  <c r="Q410" i="15" s="1"/>
  <c r="AA409" i="15"/>
  <c r="S409" i="15" s="1"/>
  <c r="Z409" i="15"/>
  <c r="AC409" i="15" s="1"/>
  <c r="U409" i="15"/>
  <c r="N409" i="15"/>
  <c r="M409" i="15"/>
  <c r="AA408" i="15"/>
  <c r="S408" i="15" s="1"/>
  <c r="Z408" i="15"/>
  <c r="AC408" i="15" s="1"/>
  <c r="U408" i="15"/>
  <c r="N408" i="15"/>
  <c r="M408" i="15"/>
  <c r="Q408" i="15" s="1"/>
  <c r="AA407" i="15"/>
  <c r="S407" i="15" s="1"/>
  <c r="Z407" i="15"/>
  <c r="AC407" i="15" s="1"/>
  <c r="U407" i="15"/>
  <c r="N407" i="15"/>
  <c r="M407" i="15"/>
  <c r="AA406" i="15"/>
  <c r="S406" i="15" s="1"/>
  <c r="Z406" i="15"/>
  <c r="AC406" i="15" s="1"/>
  <c r="U406" i="15"/>
  <c r="N406" i="15"/>
  <c r="M406" i="15"/>
  <c r="Q406" i="15" s="1"/>
  <c r="AA405" i="15"/>
  <c r="S405" i="15" s="1"/>
  <c r="Z405" i="15"/>
  <c r="AC405" i="15" s="1"/>
  <c r="U405" i="15" s="1"/>
  <c r="N405" i="15"/>
  <c r="M405" i="15"/>
  <c r="Q405" i="15" s="1"/>
  <c r="AA404" i="15"/>
  <c r="S404" i="15" s="1"/>
  <c r="Z404" i="15"/>
  <c r="V404" i="15"/>
  <c r="N404" i="15"/>
  <c r="M404" i="15"/>
  <c r="Q404" i="15" s="1"/>
  <c r="AA403" i="15"/>
  <c r="S403" i="15" s="1"/>
  <c r="Z403" i="15"/>
  <c r="N403" i="15"/>
  <c r="M403" i="15"/>
  <c r="AA402" i="15"/>
  <c r="S402" i="15" s="1"/>
  <c r="Z402" i="15"/>
  <c r="AC402" i="15" s="1"/>
  <c r="U402" i="15" s="1"/>
  <c r="N402" i="15"/>
  <c r="M402" i="15"/>
  <c r="Q402" i="15" s="1"/>
  <c r="AA401" i="15"/>
  <c r="S401" i="15" s="1"/>
  <c r="Z401" i="15"/>
  <c r="N401" i="15"/>
  <c r="M401" i="15"/>
  <c r="AA400" i="15"/>
  <c r="Z400" i="15"/>
  <c r="AC400" i="15" s="1"/>
  <c r="U400" i="15" s="1"/>
  <c r="N400" i="15"/>
  <c r="M400" i="15"/>
  <c r="Q400" i="15" s="1"/>
  <c r="AA399" i="15"/>
  <c r="S399" i="15" s="1"/>
  <c r="Z399" i="15"/>
  <c r="N399" i="15"/>
  <c r="M399" i="15"/>
  <c r="Q399" i="15" s="1"/>
  <c r="AA398" i="15"/>
  <c r="S398" i="15" s="1"/>
  <c r="Z398" i="15"/>
  <c r="N398" i="15"/>
  <c r="M398" i="15"/>
  <c r="AA397" i="15"/>
  <c r="S397" i="15" s="1"/>
  <c r="Z397" i="15"/>
  <c r="U397" i="15"/>
  <c r="N397" i="15"/>
  <c r="M397" i="15"/>
  <c r="Q397" i="15" s="1"/>
  <c r="AA396" i="15"/>
  <c r="Z396" i="15"/>
  <c r="U396" i="15"/>
  <c r="N396" i="15"/>
  <c r="M396" i="15"/>
  <c r="Q396" i="15" s="1"/>
  <c r="AA395" i="15"/>
  <c r="S395" i="15" s="1"/>
  <c r="Z395" i="15"/>
  <c r="U395" i="15"/>
  <c r="N395" i="15"/>
  <c r="M395" i="15"/>
  <c r="Q395" i="15" s="1"/>
  <c r="AA394" i="15"/>
  <c r="Z394" i="15"/>
  <c r="U394" i="15"/>
  <c r="N394" i="15"/>
  <c r="M394" i="15"/>
  <c r="AA393" i="15"/>
  <c r="Z393" i="15"/>
  <c r="AC393" i="15" s="1"/>
  <c r="U393" i="15" s="1"/>
  <c r="V393" i="15"/>
  <c r="N393" i="15"/>
  <c r="M393" i="15"/>
  <c r="Q393" i="15" s="1"/>
  <c r="AA392" i="15"/>
  <c r="S392" i="15" s="1"/>
  <c r="Z392" i="15"/>
  <c r="AC392" i="15" s="1"/>
  <c r="U392" i="15"/>
  <c r="N392" i="15"/>
  <c r="M392" i="15"/>
  <c r="AA391" i="15"/>
  <c r="S391" i="15" s="1"/>
  <c r="Z391" i="15"/>
  <c r="V391" i="15"/>
  <c r="N391" i="15"/>
  <c r="M391" i="15"/>
  <c r="Q391" i="15" s="1"/>
  <c r="AA390" i="15"/>
  <c r="Z390" i="15"/>
  <c r="U390" i="15"/>
  <c r="N390" i="15"/>
  <c r="M390" i="15"/>
  <c r="Q390" i="15" s="1"/>
  <c r="AA389" i="15"/>
  <c r="S389" i="15" s="1"/>
  <c r="Z389" i="15"/>
  <c r="U389" i="15"/>
  <c r="N389" i="15"/>
  <c r="M389" i="15"/>
  <c r="Q389" i="15" s="1"/>
  <c r="AA388" i="15"/>
  <c r="Z388" i="15"/>
  <c r="AC388" i="15" s="1"/>
  <c r="U388" i="15"/>
  <c r="N388" i="15"/>
  <c r="M388" i="15"/>
  <c r="AA387" i="15"/>
  <c r="Z387" i="15"/>
  <c r="U387" i="15"/>
  <c r="N387" i="15"/>
  <c r="M387" i="15"/>
  <c r="Q387" i="15" s="1"/>
  <c r="AA386" i="15"/>
  <c r="Z386" i="15"/>
  <c r="AC386" i="15" s="1"/>
  <c r="U386" i="15"/>
  <c r="N386" i="15"/>
  <c r="M386" i="15"/>
  <c r="AA385" i="15"/>
  <c r="Z385" i="15"/>
  <c r="U385" i="15"/>
  <c r="N385" i="15"/>
  <c r="M385" i="15"/>
  <c r="Q385" i="15" s="1"/>
  <c r="AA384" i="15"/>
  <c r="S384" i="15" s="1"/>
  <c r="Z384" i="15"/>
  <c r="U384" i="15"/>
  <c r="N384" i="15"/>
  <c r="M384" i="15"/>
  <c r="Q384" i="15" s="1"/>
  <c r="AA383" i="15"/>
  <c r="S383" i="15" s="1"/>
  <c r="Z383" i="15"/>
  <c r="N383" i="15"/>
  <c r="M383" i="15"/>
  <c r="AA382" i="15"/>
  <c r="S382" i="15" s="1"/>
  <c r="Z382" i="15"/>
  <c r="N382" i="15"/>
  <c r="M382" i="15"/>
  <c r="AA381" i="15"/>
  <c r="S381" i="15" s="1"/>
  <c r="Z381" i="15"/>
  <c r="N381" i="15"/>
  <c r="M381" i="15"/>
  <c r="Q381" i="15" s="1"/>
  <c r="AA380" i="15"/>
  <c r="Z380" i="15"/>
  <c r="U380" i="15"/>
  <c r="N380" i="15"/>
  <c r="M380" i="15"/>
  <c r="Q380" i="15" s="1"/>
  <c r="AA379" i="15"/>
  <c r="S379" i="15" s="1"/>
  <c r="Z379" i="15"/>
  <c r="U379" i="15"/>
  <c r="N379" i="15"/>
  <c r="M379" i="15"/>
  <c r="Q379" i="15" s="1"/>
  <c r="AA378" i="15"/>
  <c r="S378" i="15" s="1"/>
  <c r="Z378" i="15"/>
  <c r="AC378" i="15" s="1"/>
  <c r="U378" i="15"/>
  <c r="N378" i="15"/>
  <c r="M378" i="15"/>
  <c r="AA377" i="15"/>
  <c r="S377" i="15" s="1"/>
  <c r="Z377" i="15"/>
  <c r="AC377" i="15" s="1"/>
  <c r="U377" i="15"/>
  <c r="N377" i="15"/>
  <c r="M377" i="15"/>
  <c r="AA376" i="15"/>
  <c r="Z376" i="15"/>
  <c r="AC376" i="15" s="1"/>
  <c r="U376" i="15"/>
  <c r="N376" i="15"/>
  <c r="M376" i="15"/>
  <c r="Q376" i="15" s="1"/>
  <c r="AA375" i="15"/>
  <c r="S375" i="15" s="1"/>
  <c r="Z375" i="15"/>
  <c r="AC375" i="15" s="1"/>
  <c r="U375" i="15" s="1"/>
  <c r="N375" i="15"/>
  <c r="M375" i="15"/>
  <c r="AA374" i="15"/>
  <c r="S374" i="15" s="1"/>
  <c r="Z374" i="15"/>
  <c r="AC374" i="15" s="1"/>
  <c r="U374" i="15"/>
  <c r="N374" i="15"/>
  <c r="M374" i="15"/>
  <c r="Q374" i="15" s="1"/>
  <c r="AA373" i="15"/>
  <c r="S373" i="15" s="1"/>
  <c r="Z373" i="15"/>
  <c r="AC373" i="15" s="1"/>
  <c r="U373" i="15"/>
  <c r="N373" i="15"/>
  <c r="M373" i="15"/>
  <c r="Q373" i="15" s="1"/>
  <c r="AA372" i="15"/>
  <c r="S372" i="15" s="1"/>
  <c r="Z372" i="15"/>
  <c r="U372" i="15"/>
  <c r="N372" i="15"/>
  <c r="M372" i="15"/>
  <c r="Q372" i="15" s="1"/>
  <c r="X372" i="15" s="1"/>
  <c r="AA371" i="15"/>
  <c r="Z371" i="15"/>
  <c r="U371" i="15"/>
  <c r="N371" i="15"/>
  <c r="M371" i="15"/>
  <c r="Q371" i="15" s="1"/>
  <c r="AA370" i="15"/>
  <c r="S370" i="15" s="1"/>
  <c r="Z370" i="15"/>
  <c r="AC370" i="15" s="1"/>
  <c r="U370" i="15"/>
  <c r="N370" i="15"/>
  <c r="M370" i="15"/>
  <c r="Q370" i="15" s="1"/>
  <c r="AA369" i="15"/>
  <c r="S369" i="15" s="1"/>
  <c r="Z369" i="15"/>
  <c r="U369" i="15"/>
  <c r="N369" i="15"/>
  <c r="M369" i="15"/>
  <c r="Q369" i="15" s="1"/>
  <c r="AA368" i="15"/>
  <c r="S368" i="15" s="1"/>
  <c r="Z368" i="15"/>
  <c r="AC368" i="15" s="1"/>
  <c r="U368" i="15"/>
  <c r="N368" i="15"/>
  <c r="M368" i="15"/>
  <c r="AA367" i="15"/>
  <c r="S367" i="15" s="1"/>
  <c r="Z367" i="15"/>
  <c r="AC367" i="15" s="1"/>
  <c r="U367" i="15" s="1"/>
  <c r="N367" i="15"/>
  <c r="M367" i="15"/>
  <c r="AA366" i="15"/>
  <c r="S366" i="15" s="1"/>
  <c r="Z366" i="15"/>
  <c r="U366" i="15"/>
  <c r="N366" i="15"/>
  <c r="M366" i="15"/>
  <c r="AA365" i="15"/>
  <c r="S365" i="15" s="1"/>
  <c r="Z365" i="15"/>
  <c r="N365" i="15"/>
  <c r="M365" i="15"/>
  <c r="Q365" i="15" s="1"/>
  <c r="AA364" i="15"/>
  <c r="S364" i="15" s="1"/>
  <c r="Z364" i="15"/>
  <c r="AC364" i="15" s="1"/>
  <c r="N364" i="15"/>
  <c r="M364" i="15"/>
  <c r="AA363" i="15"/>
  <c r="S363" i="15" s="1"/>
  <c r="Z363" i="15"/>
  <c r="N363" i="15"/>
  <c r="M363" i="15"/>
  <c r="Q363" i="15" s="1"/>
  <c r="AA362" i="15"/>
  <c r="S362" i="15" s="1"/>
  <c r="Z362" i="15"/>
  <c r="AC362" i="15" s="1"/>
  <c r="U362" i="15" s="1"/>
  <c r="V362" i="15"/>
  <c r="N362" i="15"/>
  <c r="M362" i="15"/>
  <c r="AA361" i="15"/>
  <c r="S361" i="15" s="1"/>
  <c r="Z361" i="15"/>
  <c r="U361" i="15"/>
  <c r="N361" i="15"/>
  <c r="M361" i="15"/>
  <c r="Q361" i="15" s="1"/>
  <c r="AA360" i="15"/>
  <c r="S360" i="15" s="1"/>
  <c r="Z360" i="15"/>
  <c r="N360" i="15"/>
  <c r="M360" i="15"/>
  <c r="Q360" i="15" s="1"/>
  <c r="AA359" i="15"/>
  <c r="S359" i="15" s="1"/>
  <c r="Z359" i="15"/>
  <c r="AC359" i="15" s="1"/>
  <c r="U359" i="15" s="1"/>
  <c r="V359" i="15"/>
  <c r="N359" i="15"/>
  <c r="M359" i="15"/>
  <c r="Q359" i="15" s="1"/>
  <c r="AA358" i="15"/>
  <c r="Z358" i="15"/>
  <c r="V358" i="15"/>
  <c r="N358" i="15"/>
  <c r="M358" i="15"/>
  <c r="Q358" i="15" s="1"/>
  <c r="AA357" i="15"/>
  <c r="S357" i="15" s="1"/>
  <c r="Z357" i="15"/>
  <c r="AC357" i="15" s="1"/>
  <c r="U357" i="15"/>
  <c r="N357" i="15"/>
  <c r="M357" i="15"/>
  <c r="AD357" i="15" s="1"/>
  <c r="V357" i="15" s="1"/>
  <c r="AA356" i="15"/>
  <c r="Z356" i="15"/>
  <c r="U356" i="15"/>
  <c r="N356" i="15"/>
  <c r="M356" i="15"/>
  <c r="Q356" i="15" s="1"/>
  <c r="AA355" i="15"/>
  <c r="S355" i="15" s="1"/>
  <c r="Z355" i="15"/>
  <c r="U355" i="15"/>
  <c r="N355" i="15"/>
  <c r="M355" i="15"/>
  <c r="Q355" i="15" s="1"/>
  <c r="AA354" i="15"/>
  <c r="S354" i="15" s="1"/>
  <c r="Z354" i="15"/>
  <c r="AC354" i="15" s="1"/>
  <c r="U354" i="15"/>
  <c r="N354" i="15"/>
  <c r="M354" i="15"/>
  <c r="AA353" i="15"/>
  <c r="Z353" i="15"/>
  <c r="AC353" i="15" s="1"/>
  <c r="U353" i="15"/>
  <c r="N353" i="15"/>
  <c r="M353" i="15"/>
  <c r="AA352" i="15"/>
  <c r="Z352" i="15"/>
  <c r="U352" i="15"/>
  <c r="N352" i="15"/>
  <c r="M352" i="15"/>
  <c r="Q352" i="15" s="1"/>
  <c r="AA351" i="15"/>
  <c r="Z351" i="15"/>
  <c r="AC351" i="15" s="1"/>
  <c r="U351" i="15"/>
  <c r="N351" i="15"/>
  <c r="M351" i="15"/>
  <c r="Q351" i="15" s="1"/>
  <c r="AA350" i="15"/>
  <c r="S350" i="15" s="1"/>
  <c r="Z350" i="15"/>
  <c r="V350" i="15"/>
  <c r="N350" i="15"/>
  <c r="M350" i="15"/>
  <c r="AA349" i="15"/>
  <c r="S349" i="15" s="1"/>
  <c r="Z349" i="15"/>
  <c r="AC349" i="15" s="1"/>
  <c r="U349" i="15"/>
  <c r="N349" i="15"/>
  <c r="M349" i="15"/>
  <c r="AA348" i="15"/>
  <c r="Z348" i="15"/>
  <c r="U348" i="15"/>
  <c r="N348" i="15"/>
  <c r="M348" i="15"/>
  <c r="Q348" i="15" s="1"/>
  <c r="AA347" i="15"/>
  <c r="Z347" i="15"/>
  <c r="AC347" i="15" s="1"/>
  <c r="U347" i="15" s="1"/>
  <c r="N347" i="15"/>
  <c r="M347" i="15"/>
  <c r="Q347" i="15" s="1"/>
  <c r="AA346" i="15"/>
  <c r="S346" i="15" s="1"/>
  <c r="Z346" i="15"/>
  <c r="U346" i="15"/>
  <c r="N346" i="15"/>
  <c r="M346" i="15"/>
  <c r="Q346" i="15" s="1"/>
  <c r="AA345" i="15"/>
  <c r="S345" i="15" s="1"/>
  <c r="Z345" i="15"/>
  <c r="U345" i="15"/>
  <c r="N345" i="15"/>
  <c r="M345" i="15"/>
  <c r="Q345" i="15" s="1"/>
  <c r="AA344" i="15"/>
  <c r="S344" i="15" s="1"/>
  <c r="Z344" i="15"/>
  <c r="AC344" i="15" s="1"/>
  <c r="U344" i="15"/>
  <c r="N344" i="15"/>
  <c r="M344" i="15"/>
  <c r="Q344" i="15" s="1"/>
  <c r="AA343" i="15"/>
  <c r="S343" i="15" s="1"/>
  <c r="Z343" i="15"/>
  <c r="N343" i="15"/>
  <c r="M343" i="15"/>
  <c r="Q343" i="15" s="1"/>
  <c r="AA342" i="15"/>
  <c r="Z342" i="15"/>
  <c r="N342" i="15"/>
  <c r="M342" i="15"/>
  <c r="Q342" i="15" s="1"/>
  <c r="AA341" i="15"/>
  <c r="S341" i="15" s="1"/>
  <c r="Z341" i="15"/>
  <c r="N341" i="15"/>
  <c r="M341" i="15"/>
  <c r="AA340" i="15"/>
  <c r="S340" i="15" s="1"/>
  <c r="Z340" i="15"/>
  <c r="AC340" i="15" s="1"/>
  <c r="U340" i="15" s="1"/>
  <c r="N340" i="15"/>
  <c r="M340" i="15"/>
  <c r="Q340" i="15" s="1"/>
  <c r="AA339" i="15"/>
  <c r="S339" i="15" s="1"/>
  <c r="Z339" i="15"/>
  <c r="V339" i="15"/>
  <c r="N339" i="15"/>
  <c r="M339" i="15"/>
  <c r="AA338" i="15"/>
  <c r="Z338" i="15"/>
  <c r="AC338" i="15" s="1"/>
  <c r="U338" i="15"/>
  <c r="N338" i="15"/>
  <c r="M338" i="15"/>
  <c r="Q338" i="15" s="1"/>
  <c r="AA337" i="15"/>
  <c r="Z337" i="15"/>
  <c r="V337" i="15"/>
  <c r="N337" i="15"/>
  <c r="M337" i="15"/>
  <c r="Q337" i="15" s="1"/>
  <c r="AA336" i="15"/>
  <c r="S336" i="15" s="1"/>
  <c r="Z336" i="15"/>
  <c r="AC336" i="15" s="1"/>
  <c r="U336" i="15" s="1"/>
  <c r="V336" i="15"/>
  <c r="N336" i="15"/>
  <c r="M336" i="15"/>
  <c r="AD336" i="15" s="1"/>
  <c r="AA335" i="15"/>
  <c r="Z335" i="15"/>
  <c r="AC335" i="15" s="1"/>
  <c r="U335" i="15" s="1"/>
  <c r="N335" i="15"/>
  <c r="M335" i="15"/>
  <c r="Q335" i="15" s="1"/>
  <c r="AA334" i="15"/>
  <c r="S334" i="15" s="1"/>
  <c r="Z334" i="15"/>
  <c r="AC334" i="15" s="1"/>
  <c r="U334" i="15"/>
  <c r="N334" i="15"/>
  <c r="M334" i="15"/>
  <c r="AA333" i="15"/>
  <c r="S333" i="15" s="1"/>
  <c r="Z333" i="15"/>
  <c r="AC333" i="15" s="1"/>
  <c r="U333" i="15" s="1"/>
  <c r="V333" i="15"/>
  <c r="N333" i="15"/>
  <c r="M333" i="15"/>
  <c r="AA332" i="15"/>
  <c r="S332" i="15" s="1"/>
  <c r="Z332" i="15"/>
  <c r="U332" i="15"/>
  <c r="N332" i="15"/>
  <c r="M332" i="15"/>
  <c r="Q332" i="15" s="1"/>
  <c r="AA331" i="15"/>
  <c r="Z331" i="15"/>
  <c r="AC331" i="15" s="1"/>
  <c r="U331" i="15"/>
  <c r="N331" i="15"/>
  <c r="M331" i="15"/>
  <c r="AA330" i="15"/>
  <c r="Z330" i="15"/>
  <c r="AC330" i="15" s="1"/>
  <c r="U330" i="15" s="1"/>
  <c r="N330" i="15"/>
  <c r="M330" i="15"/>
  <c r="Q330" i="15" s="1"/>
  <c r="AA329" i="15"/>
  <c r="S329" i="15" s="1"/>
  <c r="Z329" i="15"/>
  <c r="AC329" i="15" s="1"/>
  <c r="U329" i="15" s="1"/>
  <c r="N329" i="15"/>
  <c r="M329" i="15"/>
  <c r="Q329" i="15" s="1"/>
  <c r="AA328" i="15"/>
  <c r="S328" i="15" s="1"/>
  <c r="Z328" i="15"/>
  <c r="AC328" i="15" s="1"/>
  <c r="U328" i="15"/>
  <c r="N328" i="15"/>
  <c r="M328" i="15"/>
  <c r="AA327" i="15"/>
  <c r="S327" i="15" s="1"/>
  <c r="Z327" i="15"/>
  <c r="AC327" i="15" s="1"/>
  <c r="U327" i="15" s="1"/>
  <c r="N327" i="15"/>
  <c r="M327" i="15"/>
  <c r="AA326" i="15"/>
  <c r="Z326" i="15"/>
  <c r="AC326" i="15" s="1"/>
  <c r="U326" i="15"/>
  <c r="N326" i="15"/>
  <c r="M326" i="15"/>
  <c r="AA325" i="15"/>
  <c r="Z325" i="15"/>
  <c r="AC325" i="15" s="1"/>
  <c r="U325" i="15"/>
  <c r="N325" i="15"/>
  <c r="M325" i="15"/>
  <c r="Q325" i="15" s="1"/>
  <c r="AA324" i="15"/>
  <c r="S324" i="15" s="1"/>
  <c r="Z324" i="15"/>
  <c r="U324" i="15"/>
  <c r="N324" i="15"/>
  <c r="M324" i="15"/>
  <c r="Q324" i="15" s="1"/>
  <c r="AA323" i="15"/>
  <c r="Z323" i="15"/>
  <c r="AC323" i="15" s="1"/>
  <c r="U323" i="15" s="1"/>
  <c r="V323" i="15"/>
  <c r="N323" i="15"/>
  <c r="M323" i="15"/>
  <c r="Q323" i="15" s="1"/>
  <c r="AA322" i="15"/>
  <c r="Z322" i="15"/>
  <c r="AC322" i="15" s="1"/>
  <c r="U322" i="15" s="1"/>
  <c r="V322" i="15"/>
  <c r="N322" i="15"/>
  <c r="M322" i="15"/>
  <c r="Q322" i="15" s="1"/>
  <c r="AA321" i="15"/>
  <c r="S321" i="15" s="1"/>
  <c r="Z321" i="15"/>
  <c r="AC321" i="15" s="1"/>
  <c r="U321" i="15"/>
  <c r="N321" i="15"/>
  <c r="M321" i="15"/>
  <c r="Q321" i="15" s="1"/>
  <c r="AA320" i="15"/>
  <c r="Z320" i="15"/>
  <c r="N320" i="15"/>
  <c r="M320" i="15"/>
  <c r="Q320" i="15" s="1"/>
  <c r="AA319" i="15"/>
  <c r="Z319" i="15"/>
  <c r="U319" i="15"/>
  <c r="N319" i="15"/>
  <c r="M319" i="15"/>
  <c r="Q319" i="15" s="1"/>
  <c r="AA318" i="15"/>
  <c r="Z318" i="15"/>
  <c r="AC318" i="15" s="1"/>
  <c r="U318" i="15"/>
  <c r="N318" i="15"/>
  <c r="M318" i="15"/>
  <c r="Q318" i="15" s="1"/>
  <c r="AA317" i="15"/>
  <c r="Z317" i="15"/>
  <c r="AC317" i="15" s="1"/>
  <c r="U317" i="15"/>
  <c r="N317" i="15"/>
  <c r="M317" i="15"/>
  <c r="AA316" i="15"/>
  <c r="S316" i="15" s="1"/>
  <c r="Z316" i="15"/>
  <c r="U316" i="15"/>
  <c r="N316" i="15"/>
  <c r="M316" i="15"/>
  <c r="Q316" i="15" s="1"/>
  <c r="AA315" i="15"/>
  <c r="Z315" i="15"/>
  <c r="AC315" i="15" s="1"/>
  <c r="N315" i="15"/>
  <c r="M315" i="15"/>
  <c r="AA314" i="15"/>
  <c r="S314" i="15" s="1"/>
  <c r="Z314" i="15"/>
  <c r="AC314" i="15" s="1"/>
  <c r="U314" i="15"/>
  <c r="N314" i="15"/>
  <c r="M314" i="15"/>
  <c r="Q314" i="15" s="1"/>
  <c r="X314" i="15" s="1"/>
  <c r="AA313" i="15"/>
  <c r="S313" i="15" s="1"/>
  <c r="Z313" i="15"/>
  <c r="AC313" i="15" s="1"/>
  <c r="N313" i="15"/>
  <c r="M313" i="15"/>
  <c r="AA312" i="15"/>
  <c r="Z312" i="15"/>
  <c r="AC312" i="15" s="1"/>
  <c r="U312" i="15"/>
  <c r="N312" i="15"/>
  <c r="M312" i="15"/>
  <c r="Q312" i="15" s="1"/>
  <c r="AA311" i="15"/>
  <c r="Z311" i="15"/>
  <c r="AC311" i="15" s="1"/>
  <c r="U311" i="15"/>
  <c r="N311" i="15"/>
  <c r="M311" i="15"/>
  <c r="AA310" i="15"/>
  <c r="S310" i="15" s="1"/>
  <c r="Z310" i="15"/>
  <c r="U310" i="15"/>
  <c r="N310" i="15"/>
  <c r="M310" i="15"/>
  <c r="Q310" i="15" s="1"/>
  <c r="AA309" i="15"/>
  <c r="Z309" i="15"/>
  <c r="AC309" i="15" s="1"/>
  <c r="U309" i="15"/>
  <c r="N309" i="15"/>
  <c r="M309" i="15"/>
  <c r="Q309" i="15" s="1"/>
  <c r="AA308" i="15"/>
  <c r="S308" i="15" s="1"/>
  <c r="Z308" i="15"/>
  <c r="AC308" i="15" s="1"/>
  <c r="U308" i="15" s="1"/>
  <c r="N308" i="15"/>
  <c r="M308" i="15"/>
  <c r="AA307" i="15"/>
  <c r="Z307" i="15"/>
  <c r="AC307" i="15" s="1"/>
  <c r="U307" i="15"/>
  <c r="N307" i="15"/>
  <c r="M307" i="15"/>
  <c r="Q307" i="15" s="1"/>
  <c r="AA306" i="15"/>
  <c r="Z306" i="15"/>
  <c r="AC306" i="15" s="1"/>
  <c r="U306" i="15"/>
  <c r="N306" i="15"/>
  <c r="M306" i="15"/>
  <c r="AA305" i="15"/>
  <c r="S305" i="15" s="1"/>
  <c r="Z305" i="15"/>
  <c r="AC305" i="15" s="1"/>
  <c r="U305" i="15"/>
  <c r="N305" i="15"/>
  <c r="M305" i="15"/>
  <c r="Q305" i="15" s="1"/>
  <c r="X305" i="15" s="1"/>
  <c r="AA304" i="15"/>
  <c r="S304" i="15" s="1"/>
  <c r="Z304" i="15"/>
  <c r="AC304" i="15" s="1"/>
  <c r="N304" i="15"/>
  <c r="M304" i="15"/>
  <c r="AA303" i="15"/>
  <c r="Z303" i="15"/>
  <c r="N303" i="15"/>
  <c r="M303" i="15"/>
  <c r="Q303" i="15" s="1"/>
  <c r="AA302" i="15"/>
  <c r="S302" i="15" s="1"/>
  <c r="Z302" i="15"/>
  <c r="AC302" i="15" s="1"/>
  <c r="U302" i="15"/>
  <c r="N302" i="15"/>
  <c r="M302" i="15"/>
  <c r="Q302" i="15" s="1"/>
  <c r="X302" i="15" s="1"/>
  <c r="AA301" i="15"/>
  <c r="S301" i="15" s="1"/>
  <c r="Z301" i="15"/>
  <c r="AC301" i="15" s="1"/>
  <c r="U301" i="15" s="1"/>
  <c r="V301" i="15"/>
  <c r="N301" i="15"/>
  <c r="M301" i="15"/>
  <c r="AA300" i="15"/>
  <c r="Z300" i="15"/>
  <c r="AC300" i="15" s="1"/>
  <c r="U300" i="15"/>
  <c r="N300" i="15"/>
  <c r="M300" i="15"/>
  <c r="AA299" i="15"/>
  <c r="S299" i="15" s="1"/>
  <c r="Z299" i="15"/>
  <c r="AC299" i="15" s="1"/>
  <c r="U299" i="15" s="1"/>
  <c r="N299" i="15"/>
  <c r="M299" i="15"/>
  <c r="AA298" i="15"/>
  <c r="Z298" i="15"/>
  <c r="AC298" i="15" s="1"/>
  <c r="U298" i="15"/>
  <c r="N298" i="15"/>
  <c r="M298" i="15"/>
  <c r="Q298" i="15" s="1"/>
  <c r="AA297" i="15"/>
  <c r="S297" i="15" s="1"/>
  <c r="Z297" i="15"/>
  <c r="AC297" i="15" s="1"/>
  <c r="U297" i="15"/>
  <c r="N297" i="15"/>
  <c r="M297" i="15"/>
  <c r="AA296" i="15"/>
  <c r="Z296" i="15"/>
  <c r="AC296" i="15" s="1"/>
  <c r="U296" i="15"/>
  <c r="N296" i="15"/>
  <c r="M296" i="15"/>
  <c r="AA295" i="15"/>
  <c r="Z295" i="15"/>
  <c r="AC295" i="15" s="1"/>
  <c r="N295" i="15"/>
  <c r="M295" i="15"/>
  <c r="AA294" i="15"/>
  <c r="Z294" i="15"/>
  <c r="AC294" i="15" s="1"/>
  <c r="U294" i="15"/>
  <c r="N294" i="15"/>
  <c r="M294" i="15"/>
  <c r="Q294" i="15" s="1"/>
  <c r="AA293" i="15"/>
  <c r="S293" i="15" s="1"/>
  <c r="Z293" i="15"/>
  <c r="AC293" i="15" s="1"/>
  <c r="U293" i="15"/>
  <c r="N293" i="15"/>
  <c r="M293" i="15"/>
  <c r="Q293" i="15" s="1"/>
  <c r="AA292" i="15"/>
  <c r="S292" i="15" s="1"/>
  <c r="Z292" i="15"/>
  <c r="AC292" i="15" s="1"/>
  <c r="U292" i="15"/>
  <c r="N292" i="15"/>
  <c r="M292" i="15"/>
  <c r="AA291" i="15"/>
  <c r="S291" i="15" s="1"/>
  <c r="Z291" i="15"/>
  <c r="U291" i="15"/>
  <c r="N291" i="15"/>
  <c r="M291" i="15"/>
  <c r="Q291" i="15" s="1"/>
  <c r="AA290" i="15"/>
  <c r="S290" i="15" s="1"/>
  <c r="Z290" i="15"/>
  <c r="AC290" i="15" s="1"/>
  <c r="U290" i="15" s="1"/>
  <c r="N290" i="15"/>
  <c r="M290" i="15"/>
  <c r="AA289" i="15"/>
  <c r="S289" i="15" s="1"/>
  <c r="Z289" i="15"/>
  <c r="AC289" i="15" s="1"/>
  <c r="U289" i="15"/>
  <c r="N289" i="15"/>
  <c r="M289" i="15"/>
  <c r="AA288" i="15"/>
  <c r="S288" i="15" s="1"/>
  <c r="Z288" i="15"/>
  <c r="AC288" i="15" s="1"/>
  <c r="U288" i="15"/>
  <c r="N288" i="15"/>
  <c r="M288" i="15"/>
  <c r="AA287" i="15"/>
  <c r="S287" i="15" s="1"/>
  <c r="Z287" i="15"/>
  <c r="AC287" i="15" s="1"/>
  <c r="N287" i="15"/>
  <c r="M287" i="15"/>
  <c r="AA286" i="15"/>
  <c r="Z286" i="15"/>
  <c r="AC286" i="15" s="1"/>
  <c r="U286" i="15"/>
  <c r="N286" i="15"/>
  <c r="M286" i="15"/>
  <c r="AA285" i="15"/>
  <c r="Z285" i="15"/>
  <c r="AC285" i="15" s="1"/>
  <c r="U285" i="15"/>
  <c r="N285" i="15"/>
  <c r="M285" i="15"/>
  <c r="AA284" i="15"/>
  <c r="S284" i="15" s="1"/>
  <c r="Z284" i="15"/>
  <c r="AC284" i="15" s="1"/>
  <c r="N284" i="15"/>
  <c r="M284" i="15"/>
  <c r="Q284" i="15" s="1"/>
  <c r="AA283" i="15"/>
  <c r="S283" i="15" s="1"/>
  <c r="Z283" i="15"/>
  <c r="AC283" i="15" s="1"/>
  <c r="N283" i="15"/>
  <c r="M283" i="15"/>
  <c r="AA282" i="15"/>
  <c r="S282" i="15" s="1"/>
  <c r="Z282" i="15"/>
  <c r="AC282" i="15" s="1"/>
  <c r="U282" i="15" s="1"/>
  <c r="V282" i="15"/>
  <c r="N282" i="15"/>
  <c r="M282" i="15"/>
  <c r="Q282" i="15" s="1"/>
  <c r="AA281" i="15"/>
  <c r="Z281" i="15"/>
  <c r="AC281" i="15" s="1"/>
  <c r="U281" i="15"/>
  <c r="N281" i="15"/>
  <c r="M281" i="15"/>
  <c r="Q281" i="15" s="1"/>
  <c r="AA280" i="15"/>
  <c r="Z280" i="15"/>
  <c r="U280" i="15"/>
  <c r="N280" i="15"/>
  <c r="M280" i="15"/>
  <c r="AA279" i="15"/>
  <c r="S279" i="15" s="1"/>
  <c r="Z279" i="15"/>
  <c r="AC279" i="15" s="1"/>
  <c r="U279" i="15"/>
  <c r="N279" i="15"/>
  <c r="M279" i="15"/>
  <c r="AA278" i="15"/>
  <c r="Z278" i="15"/>
  <c r="AC278" i="15" s="1"/>
  <c r="U278" i="15"/>
  <c r="N278" i="15"/>
  <c r="M278" i="15"/>
  <c r="Q278" i="15" s="1"/>
  <c r="AA277" i="15"/>
  <c r="S277" i="15" s="1"/>
  <c r="Z277" i="15"/>
  <c r="AC277" i="15" s="1"/>
  <c r="U277" i="15"/>
  <c r="N277" i="15"/>
  <c r="M277" i="15"/>
  <c r="AA276" i="15"/>
  <c r="S276" i="15" s="1"/>
  <c r="Z276" i="15"/>
  <c r="U276" i="15"/>
  <c r="N276" i="15"/>
  <c r="M276" i="15"/>
  <c r="AA275" i="15"/>
  <c r="S275" i="15" s="1"/>
  <c r="Z275" i="15"/>
  <c r="N275" i="15"/>
  <c r="M275" i="15"/>
  <c r="Q275" i="15" s="1"/>
  <c r="AA274" i="15"/>
  <c r="Z274" i="15"/>
  <c r="AC274" i="15" s="1"/>
  <c r="U274" i="15" s="1"/>
  <c r="N274" i="15"/>
  <c r="M274" i="15"/>
  <c r="Q274" i="15" s="1"/>
  <c r="AA273" i="15"/>
  <c r="S273" i="15" s="1"/>
  <c r="Z273" i="15"/>
  <c r="AC273" i="15" s="1"/>
  <c r="U273" i="15"/>
  <c r="N273" i="15"/>
  <c r="M273" i="15"/>
  <c r="AA272" i="15"/>
  <c r="S272" i="15" s="1"/>
  <c r="Z272" i="15"/>
  <c r="V272" i="15"/>
  <c r="N272" i="15"/>
  <c r="M272" i="15"/>
  <c r="AA271" i="15"/>
  <c r="S271" i="15" s="1"/>
  <c r="Z271" i="15"/>
  <c r="AC271" i="15" s="1"/>
  <c r="N271" i="15"/>
  <c r="M271" i="15"/>
  <c r="Q271" i="15" s="1"/>
  <c r="AA270" i="15"/>
  <c r="S270" i="15" s="1"/>
  <c r="Z270" i="15"/>
  <c r="N270" i="15"/>
  <c r="M270" i="15"/>
  <c r="Q270" i="15" s="1"/>
  <c r="AA269" i="15"/>
  <c r="S269" i="15" s="1"/>
  <c r="Z269" i="15"/>
  <c r="AC269" i="15" s="1"/>
  <c r="U269" i="15" s="1"/>
  <c r="N269" i="15"/>
  <c r="M269" i="15"/>
  <c r="Q269" i="15" s="1"/>
  <c r="AA268" i="15"/>
  <c r="Z268" i="15"/>
  <c r="AC268" i="15" s="1"/>
  <c r="U268" i="15" s="1"/>
  <c r="N268" i="15"/>
  <c r="M268" i="15"/>
  <c r="Q268" i="15" s="1"/>
  <c r="AA267" i="15"/>
  <c r="S267" i="15" s="1"/>
  <c r="Z267" i="15"/>
  <c r="AC267" i="15" s="1"/>
  <c r="N267" i="15"/>
  <c r="M267" i="15"/>
  <c r="Q267" i="15" s="1"/>
  <c r="AA266" i="15"/>
  <c r="S266" i="15" s="1"/>
  <c r="Z266" i="15"/>
  <c r="AC266" i="15" s="1"/>
  <c r="U266" i="15" s="1"/>
  <c r="N266" i="15"/>
  <c r="M266" i="15"/>
  <c r="AA265" i="15"/>
  <c r="S265" i="15" s="1"/>
  <c r="Z265" i="15"/>
  <c r="AC265" i="15" s="1"/>
  <c r="U265" i="15"/>
  <c r="N265" i="15"/>
  <c r="M265" i="15"/>
  <c r="AA264" i="15"/>
  <c r="S264" i="15" s="1"/>
  <c r="Z264" i="15"/>
  <c r="AC264" i="15" s="1"/>
  <c r="U264" i="15"/>
  <c r="N264" i="15"/>
  <c r="M264" i="15"/>
  <c r="Q264" i="15" s="1"/>
  <c r="AA263" i="15"/>
  <c r="S263" i="15" s="1"/>
  <c r="Z263" i="15"/>
  <c r="AC263" i="15" s="1"/>
  <c r="U263" i="15"/>
  <c r="N263" i="15"/>
  <c r="M263" i="15"/>
  <c r="Q263" i="15" s="1"/>
  <c r="AA262" i="15"/>
  <c r="Z262" i="15"/>
  <c r="AC262" i="15" s="1"/>
  <c r="U262" i="15"/>
  <c r="N262" i="15"/>
  <c r="M262" i="15"/>
  <c r="AA261" i="15"/>
  <c r="S261" i="15" s="1"/>
  <c r="Z261" i="15"/>
  <c r="AC261" i="15" s="1"/>
  <c r="U261" i="15"/>
  <c r="N261" i="15"/>
  <c r="M261" i="15"/>
  <c r="AD261" i="15" s="1"/>
  <c r="V261" i="15" s="1"/>
  <c r="AA260" i="15"/>
  <c r="Z260" i="15"/>
  <c r="U260" i="15"/>
  <c r="N260" i="15"/>
  <c r="M260" i="15"/>
  <c r="Q260" i="15" s="1"/>
  <c r="AA259" i="15"/>
  <c r="S259" i="15" s="1"/>
  <c r="Z259" i="15"/>
  <c r="AC259" i="15" s="1"/>
  <c r="U259" i="15"/>
  <c r="N259" i="15"/>
  <c r="M259" i="15"/>
  <c r="AA258" i="15"/>
  <c r="Z258" i="15"/>
  <c r="AC258" i="15" s="1"/>
  <c r="U258" i="15"/>
  <c r="N258" i="15"/>
  <c r="M258" i="15"/>
  <c r="AA257" i="15"/>
  <c r="Z257" i="15"/>
  <c r="AC257" i="15" s="1"/>
  <c r="U257" i="15"/>
  <c r="N257" i="15"/>
  <c r="M257" i="15"/>
  <c r="Q257" i="15" s="1"/>
  <c r="AA256" i="15"/>
  <c r="Z256" i="15"/>
  <c r="U256" i="15"/>
  <c r="N256" i="15"/>
  <c r="M256" i="15"/>
  <c r="Q256" i="15" s="1"/>
  <c r="AA255" i="15"/>
  <c r="Z255" i="15"/>
  <c r="AC255" i="15" s="1"/>
  <c r="N255" i="15"/>
  <c r="M255" i="15"/>
  <c r="Q255" i="15" s="1"/>
  <c r="AA254" i="15"/>
  <c r="S254" i="15" s="1"/>
  <c r="Z254" i="15"/>
  <c r="N254" i="15"/>
  <c r="M254" i="15"/>
  <c r="Q254" i="15" s="1"/>
  <c r="AA253" i="15"/>
  <c r="Z253" i="15"/>
  <c r="AC253" i="15" s="1"/>
  <c r="U253" i="15"/>
  <c r="N253" i="15"/>
  <c r="M253" i="15"/>
  <c r="AA252" i="15"/>
  <c r="Z252" i="15"/>
  <c r="AC252" i="15" s="1"/>
  <c r="U252" i="15"/>
  <c r="N252" i="15"/>
  <c r="M252" i="15"/>
  <c r="AA251" i="15"/>
  <c r="S251" i="15" s="1"/>
  <c r="Z251" i="15"/>
  <c r="AC251" i="15" s="1"/>
  <c r="N251" i="15"/>
  <c r="M251" i="15"/>
  <c r="AA250" i="15"/>
  <c r="Z250" i="15"/>
  <c r="AC250" i="15" s="1"/>
  <c r="U250" i="15"/>
  <c r="N250" i="15"/>
  <c r="M250" i="15"/>
  <c r="AA249" i="15"/>
  <c r="Z249" i="15"/>
  <c r="U249" i="15"/>
  <c r="N249" i="15"/>
  <c r="M249" i="15"/>
  <c r="Q249" i="15" s="1"/>
  <c r="AA248" i="15"/>
  <c r="Z248" i="15"/>
  <c r="U248" i="15"/>
  <c r="N248" i="15"/>
  <c r="M248" i="15"/>
  <c r="Q248" i="15" s="1"/>
  <c r="AA247" i="15"/>
  <c r="S247" i="15" s="1"/>
  <c r="Z247" i="15"/>
  <c r="U247" i="15"/>
  <c r="N247" i="15"/>
  <c r="M247" i="15"/>
  <c r="Q247" i="15" s="1"/>
  <c r="AA246" i="15"/>
  <c r="S246" i="15" s="1"/>
  <c r="Z246" i="15"/>
  <c r="AC246" i="15" s="1"/>
  <c r="U246" i="15"/>
  <c r="N246" i="15"/>
  <c r="M246" i="15"/>
  <c r="AA245" i="15"/>
  <c r="Z245" i="15"/>
  <c r="U245" i="15"/>
  <c r="N245" i="15"/>
  <c r="M245" i="15"/>
  <c r="Q245" i="15" s="1"/>
  <c r="AA244" i="15"/>
  <c r="Z244" i="15"/>
  <c r="AC244" i="15" s="1"/>
  <c r="U244" i="15" s="1"/>
  <c r="V244" i="15"/>
  <c r="N244" i="15"/>
  <c r="M244" i="15"/>
  <c r="AA243" i="15"/>
  <c r="Z243" i="15"/>
  <c r="V243" i="15"/>
  <c r="N243" i="15"/>
  <c r="M243" i="15"/>
  <c r="Q243" i="15" s="1"/>
  <c r="AA242" i="15"/>
  <c r="Z242" i="15"/>
  <c r="AC242" i="15" s="1"/>
  <c r="U242" i="15"/>
  <c r="N242" i="15"/>
  <c r="M242" i="15"/>
  <c r="AA241" i="15"/>
  <c r="Z241" i="15"/>
  <c r="AC241" i="15" s="1"/>
  <c r="U241" i="15"/>
  <c r="N241" i="15"/>
  <c r="M241" i="15"/>
  <c r="Q241" i="15" s="1"/>
  <c r="AA240" i="15"/>
  <c r="Z240" i="15"/>
  <c r="AC240" i="15" s="1"/>
  <c r="U240" i="15" s="1"/>
  <c r="N240" i="15"/>
  <c r="M240" i="15"/>
  <c r="AA239" i="15"/>
  <c r="Z239" i="15"/>
  <c r="AC239" i="15" s="1"/>
  <c r="U239" i="15" s="1"/>
  <c r="N239" i="15"/>
  <c r="M239" i="15"/>
  <c r="AD239" i="15" s="1"/>
  <c r="AA238" i="15"/>
  <c r="Z238" i="15"/>
  <c r="AC238" i="15" s="1"/>
  <c r="U238" i="15"/>
  <c r="N238" i="15"/>
  <c r="M238" i="15"/>
  <c r="Q238" i="15" s="1"/>
  <c r="AA237" i="15"/>
  <c r="Z237" i="15"/>
  <c r="AC237" i="15" s="1"/>
  <c r="U237" i="15"/>
  <c r="N237" i="15"/>
  <c r="M237" i="15"/>
  <c r="Q237" i="15" s="1"/>
  <c r="AA236" i="15"/>
  <c r="Z236" i="15"/>
  <c r="AC236" i="15" s="1"/>
  <c r="U236" i="15"/>
  <c r="N236" i="15"/>
  <c r="M236" i="15"/>
  <c r="Q236" i="15" s="1"/>
  <c r="AA235" i="15"/>
  <c r="S235" i="15" s="1"/>
  <c r="Z235" i="15"/>
  <c r="AC235" i="15" s="1"/>
  <c r="U235" i="15" s="1"/>
  <c r="N235" i="15"/>
  <c r="M235" i="15"/>
  <c r="AA234" i="15"/>
  <c r="S234" i="15" s="1"/>
  <c r="Z234" i="15"/>
  <c r="U234" i="15"/>
  <c r="N234" i="15"/>
  <c r="M234" i="15"/>
  <c r="AA233" i="15"/>
  <c r="Z233" i="15"/>
  <c r="AC233" i="15" s="1"/>
  <c r="U233" i="15" s="1"/>
  <c r="N233" i="15"/>
  <c r="M233" i="15"/>
  <c r="Q233" i="15" s="1"/>
  <c r="AA232" i="15"/>
  <c r="Z232" i="15"/>
  <c r="AC232" i="15" s="1"/>
  <c r="U232" i="15" s="1"/>
  <c r="N232" i="15"/>
  <c r="M232" i="15"/>
  <c r="AD232" i="15" s="1"/>
  <c r="AA231" i="15"/>
  <c r="S231" i="15" s="1"/>
  <c r="Z231" i="15"/>
  <c r="AC231" i="15" s="1"/>
  <c r="U231" i="15"/>
  <c r="N231" i="15"/>
  <c r="M231" i="15"/>
  <c r="AA230" i="15"/>
  <c r="S230" i="15" s="1"/>
  <c r="Z230" i="15"/>
  <c r="AC230" i="15" s="1"/>
  <c r="N230" i="15"/>
  <c r="M230" i="15"/>
  <c r="AA229" i="15"/>
  <c r="S229" i="15" s="1"/>
  <c r="Z229" i="15"/>
  <c r="AC229" i="15" s="1"/>
  <c r="U229" i="15" s="1"/>
  <c r="N229" i="15"/>
  <c r="M229" i="15"/>
  <c r="AA228" i="15"/>
  <c r="Z228" i="15"/>
  <c r="U228" i="15"/>
  <c r="N228" i="15"/>
  <c r="M228" i="15"/>
  <c r="Q228" i="15" s="1"/>
  <c r="AA227" i="15"/>
  <c r="Z227" i="15"/>
  <c r="AC227" i="15" s="1"/>
  <c r="U227" i="15"/>
  <c r="N227" i="15"/>
  <c r="M227" i="15"/>
  <c r="AA226" i="15"/>
  <c r="Z226" i="15"/>
  <c r="U226" i="15"/>
  <c r="N226" i="15"/>
  <c r="M226" i="15"/>
  <c r="Q226" i="15" s="1"/>
  <c r="AA225" i="15"/>
  <c r="Z225" i="15"/>
  <c r="AC225" i="15" s="1"/>
  <c r="U225" i="15"/>
  <c r="N225" i="15"/>
  <c r="M225" i="15"/>
  <c r="Q225" i="15" s="1"/>
  <c r="AA224" i="15"/>
  <c r="Z224" i="15"/>
  <c r="AC224" i="15" s="1"/>
  <c r="U224" i="15"/>
  <c r="N224" i="15"/>
  <c r="M224" i="15"/>
  <c r="AA223" i="15"/>
  <c r="Z223" i="15"/>
  <c r="AC223" i="15" s="1"/>
  <c r="N223" i="15"/>
  <c r="M223" i="15"/>
  <c r="AA222" i="15"/>
  <c r="Z222" i="15"/>
  <c r="AC222" i="15" s="1"/>
  <c r="U222" i="15"/>
  <c r="N222" i="15"/>
  <c r="M222" i="15"/>
  <c r="AA221" i="15"/>
  <c r="S221" i="15" s="1"/>
  <c r="Z221" i="15"/>
  <c r="N221" i="15"/>
  <c r="M221" i="15"/>
  <c r="AA220" i="15"/>
  <c r="Z220" i="15"/>
  <c r="AC220" i="15" s="1"/>
  <c r="U220" i="15" s="1"/>
  <c r="V220" i="15"/>
  <c r="N220" i="15"/>
  <c r="M220" i="15"/>
  <c r="AA219" i="15"/>
  <c r="S219" i="15" s="1"/>
  <c r="Z219" i="15"/>
  <c r="N219" i="15"/>
  <c r="M219" i="15"/>
  <c r="Q219" i="15" s="1"/>
  <c r="AA218" i="15"/>
  <c r="Z218" i="15"/>
  <c r="AC218" i="15" s="1"/>
  <c r="U218" i="15" s="1"/>
  <c r="N218" i="15"/>
  <c r="M218" i="15"/>
  <c r="AA217" i="15"/>
  <c r="Z217" i="15"/>
  <c r="AC217" i="15" s="1"/>
  <c r="U217" i="15" s="1"/>
  <c r="N217" i="15"/>
  <c r="M217" i="15"/>
  <c r="AA216" i="15"/>
  <c r="Z216" i="15"/>
  <c r="N216" i="15"/>
  <c r="M216" i="15"/>
  <c r="Q216" i="15" s="1"/>
  <c r="AA215" i="15"/>
  <c r="Z215" i="15"/>
  <c r="N215" i="15"/>
  <c r="M215" i="15"/>
  <c r="Q215" i="15" s="1"/>
  <c r="AA214" i="15"/>
  <c r="Z214" i="15"/>
  <c r="AC214" i="15" s="1"/>
  <c r="U214" i="15" s="1"/>
  <c r="V214" i="15"/>
  <c r="N214" i="15"/>
  <c r="M214" i="15"/>
  <c r="AA213" i="15"/>
  <c r="S213" i="15" s="1"/>
  <c r="Z213" i="15"/>
  <c r="AC213" i="15" s="1"/>
  <c r="N213" i="15"/>
  <c r="M213" i="15"/>
  <c r="AA212" i="15"/>
  <c r="S212" i="15" s="1"/>
  <c r="Z212" i="15"/>
  <c r="AC212" i="15" s="1"/>
  <c r="U212" i="15" s="1"/>
  <c r="N212" i="15"/>
  <c r="M212" i="15"/>
  <c r="AA211" i="15"/>
  <c r="S211" i="15" s="1"/>
  <c r="Z211" i="15"/>
  <c r="U211" i="15"/>
  <c r="N211" i="15"/>
  <c r="M211" i="15"/>
  <c r="Q211" i="15" s="1"/>
  <c r="AA210" i="15"/>
  <c r="Z210" i="15"/>
  <c r="AC210" i="15" s="1"/>
  <c r="U210" i="15"/>
  <c r="N210" i="15"/>
  <c r="M210" i="15"/>
  <c r="AA209" i="15"/>
  <c r="S209" i="15" s="1"/>
  <c r="Z209" i="15"/>
  <c r="N209" i="15"/>
  <c r="M209" i="15"/>
  <c r="Q209" i="15" s="1"/>
  <c r="AA208" i="15"/>
  <c r="S208" i="15" s="1"/>
  <c r="Z208" i="15"/>
  <c r="N208" i="15"/>
  <c r="M208" i="15"/>
  <c r="Q208" i="15" s="1"/>
  <c r="AA207" i="15"/>
  <c r="S207" i="15" s="1"/>
  <c r="Z207" i="15"/>
  <c r="AC207" i="15" s="1"/>
  <c r="U207" i="15" s="1"/>
  <c r="N207" i="15"/>
  <c r="M207" i="15"/>
  <c r="AA206" i="15"/>
  <c r="Z206" i="15"/>
  <c r="AC206" i="15" s="1"/>
  <c r="U206" i="15"/>
  <c r="N206" i="15"/>
  <c r="M206" i="15"/>
  <c r="Q206" i="15" s="1"/>
  <c r="AA205" i="15"/>
  <c r="Z205" i="15"/>
  <c r="N205" i="15"/>
  <c r="M205" i="15"/>
  <c r="Q205" i="15" s="1"/>
  <c r="AA204" i="15"/>
  <c r="Z204" i="15"/>
  <c r="AC204" i="15" s="1"/>
  <c r="U204" i="15" s="1"/>
  <c r="N204" i="15"/>
  <c r="M204" i="15"/>
  <c r="AA203" i="15"/>
  <c r="Z203" i="15"/>
  <c r="AC203" i="15" s="1"/>
  <c r="U203" i="15"/>
  <c r="N203" i="15"/>
  <c r="M203" i="15"/>
  <c r="AA202" i="15"/>
  <c r="S202" i="15" s="1"/>
  <c r="Z202" i="15"/>
  <c r="AC202" i="15" s="1"/>
  <c r="U202" i="15" s="1"/>
  <c r="N202" i="15"/>
  <c r="M202" i="15"/>
  <c r="AA201" i="15"/>
  <c r="Z201" i="15"/>
  <c r="AC201" i="15" s="1"/>
  <c r="U201" i="15" s="1"/>
  <c r="N201" i="15"/>
  <c r="M201" i="15"/>
  <c r="AA200" i="15"/>
  <c r="S200" i="15" s="1"/>
  <c r="Z200" i="15"/>
  <c r="U200" i="15"/>
  <c r="N200" i="15"/>
  <c r="M200" i="15"/>
  <c r="Q200" i="15" s="1"/>
  <c r="AA199" i="15"/>
  <c r="Z199" i="15"/>
  <c r="AC199" i="15" s="1"/>
  <c r="U199" i="15"/>
  <c r="N199" i="15"/>
  <c r="M199" i="15"/>
  <c r="Q199" i="15" s="1"/>
  <c r="AA198" i="15"/>
  <c r="S198" i="15" s="1"/>
  <c r="Z198" i="15"/>
  <c r="AC198" i="15" s="1"/>
  <c r="U198" i="15"/>
  <c r="N198" i="15"/>
  <c r="M198" i="15"/>
  <c r="Q198" i="15" s="1"/>
  <c r="X198" i="15" s="1"/>
  <c r="AA197" i="15"/>
  <c r="Z197" i="15"/>
  <c r="AC197" i="15" s="1"/>
  <c r="U197" i="15"/>
  <c r="N197" i="15"/>
  <c r="M197" i="15"/>
  <c r="AA196" i="15"/>
  <c r="Z196" i="15"/>
  <c r="U196" i="15"/>
  <c r="N196" i="15"/>
  <c r="M196" i="15"/>
  <c r="Q196" i="15" s="1"/>
  <c r="AA195" i="15"/>
  <c r="Z195" i="15"/>
  <c r="AC195" i="15" s="1"/>
  <c r="U195" i="15"/>
  <c r="N195" i="15"/>
  <c r="M195" i="15"/>
  <c r="AA194" i="15"/>
  <c r="S194" i="15" s="1"/>
  <c r="Z194" i="15"/>
  <c r="AC194" i="15" s="1"/>
  <c r="U194" i="15" s="1"/>
  <c r="N194" i="15"/>
  <c r="M194" i="15"/>
  <c r="AA193" i="15"/>
  <c r="S193" i="15" s="1"/>
  <c r="Z193" i="15"/>
  <c r="AC193" i="15" s="1"/>
  <c r="U193" i="15"/>
  <c r="N193" i="15"/>
  <c r="M193" i="15"/>
  <c r="AA192" i="15"/>
  <c r="S192" i="15" s="1"/>
  <c r="Z192" i="15"/>
  <c r="AC192" i="15" s="1"/>
  <c r="U192" i="15"/>
  <c r="N192" i="15"/>
  <c r="M192" i="15"/>
  <c r="AA191" i="15"/>
  <c r="S191" i="15" s="1"/>
  <c r="Z191" i="15"/>
  <c r="N191" i="15"/>
  <c r="M191" i="15"/>
  <c r="AA190" i="15"/>
  <c r="S190" i="15" s="1"/>
  <c r="Z190" i="15"/>
  <c r="AC190" i="15" s="1"/>
  <c r="U190" i="15"/>
  <c r="N190" i="15"/>
  <c r="M190" i="15"/>
  <c r="Q190" i="15" s="1"/>
  <c r="X190" i="15" s="1"/>
  <c r="AA189" i="15"/>
  <c r="Z189" i="15"/>
  <c r="AC189" i="15" s="1"/>
  <c r="U189" i="15"/>
  <c r="N189" i="15"/>
  <c r="M189" i="15"/>
  <c r="AA188" i="15"/>
  <c r="S188" i="15" s="1"/>
  <c r="Z188" i="15"/>
  <c r="AC188" i="15" s="1"/>
  <c r="U188" i="15"/>
  <c r="N188" i="15"/>
  <c r="M188" i="15"/>
  <c r="Q188" i="15" s="1"/>
  <c r="X188" i="15" s="1"/>
  <c r="AA187" i="15"/>
  <c r="Z187" i="15"/>
  <c r="U187" i="15"/>
  <c r="N187" i="15"/>
  <c r="M187" i="15"/>
  <c r="Q187" i="15" s="1"/>
  <c r="AA186" i="15"/>
  <c r="S186" i="15" s="1"/>
  <c r="Z186" i="15"/>
  <c r="U186" i="15"/>
  <c r="N186" i="15"/>
  <c r="M186" i="15"/>
  <c r="Q186" i="15" s="1"/>
  <c r="AA185" i="15"/>
  <c r="Z185" i="15"/>
  <c r="AC185" i="15" s="1"/>
  <c r="U185" i="15"/>
  <c r="N185" i="15"/>
  <c r="M185" i="15"/>
  <c r="AA184" i="15"/>
  <c r="S184" i="15" s="1"/>
  <c r="Z184" i="15"/>
  <c r="AC184" i="15" s="1"/>
  <c r="U184" i="15"/>
  <c r="N184" i="15"/>
  <c r="M184" i="15"/>
  <c r="Q184" i="15" s="1"/>
  <c r="AA183" i="15"/>
  <c r="Z183" i="15"/>
  <c r="AC183" i="15" s="1"/>
  <c r="U183" i="15"/>
  <c r="N183" i="15"/>
  <c r="M183" i="15"/>
  <c r="Q183" i="15" s="1"/>
  <c r="AA182" i="15"/>
  <c r="Z182" i="15"/>
  <c r="U182" i="15"/>
  <c r="N182" i="15"/>
  <c r="M182" i="15"/>
  <c r="Q182" i="15" s="1"/>
  <c r="AA181" i="15"/>
  <c r="Z181" i="15"/>
  <c r="AC181" i="15" s="1"/>
  <c r="U181" i="15"/>
  <c r="N181" i="15"/>
  <c r="M181" i="15"/>
  <c r="AA180" i="15"/>
  <c r="S180" i="15" s="1"/>
  <c r="Z180" i="15"/>
  <c r="U180" i="15"/>
  <c r="N180" i="15"/>
  <c r="M180" i="15"/>
  <c r="Q180" i="15" s="1"/>
  <c r="X180" i="15" s="1"/>
  <c r="AA179" i="15"/>
  <c r="S179" i="15" s="1"/>
  <c r="Z179" i="15"/>
  <c r="AC179" i="15" s="1"/>
  <c r="U179" i="15"/>
  <c r="N179" i="15"/>
  <c r="M179" i="15"/>
  <c r="Q179" i="15" s="1"/>
  <c r="AA178" i="15"/>
  <c r="S178" i="15" s="1"/>
  <c r="Z178" i="15"/>
  <c r="AC178" i="15" s="1"/>
  <c r="U178" i="15" s="1"/>
  <c r="N178" i="15"/>
  <c r="M178" i="15"/>
  <c r="AA177" i="15"/>
  <c r="S177" i="15" s="1"/>
  <c r="Z177" i="15"/>
  <c r="U177" i="15"/>
  <c r="N177" i="15"/>
  <c r="M177" i="15"/>
  <c r="Q177" i="15" s="1"/>
  <c r="X177" i="15" s="1"/>
  <c r="AA176" i="15"/>
  <c r="Z176" i="15"/>
  <c r="AC176" i="15" s="1"/>
  <c r="U176" i="15"/>
  <c r="N176" i="15"/>
  <c r="M176" i="15"/>
  <c r="Q176" i="15" s="1"/>
  <c r="AA175" i="15"/>
  <c r="S175" i="15" s="1"/>
  <c r="Z175" i="15"/>
  <c r="U175" i="15"/>
  <c r="N175" i="15"/>
  <c r="M175" i="15"/>
  <c r="Q175" i="15" s="1"/>
  <c r="X175" i="15" s="1"/>
  <c r="AA174" i="15"/>
  <c r="Z174" i="15"/>
  <c r="AC174" i="15" s="1"/>
  <c r="U174" i="15"/>
  <c r="N174" i="15"/>
  <c r="M174" i="15"/>
  <c r="Q174" i="15" s="1"/>
  <c r="AA173" i="15"/>
  <c r="S173" i="15" s="1"/>
  <c r="Z173" i="15"/>
  <c r="AC173" i="15" s="1"/>
  <c r="U173" i="15"/>
  <c r="N173" i="15"/>
  <c r="M173" i="15"/>
  <c r="Q173" i="15" s="1"/>
  <c r="X173" i="15" s="1"/>
  <c r="AA172" i="15"/>
  <c r="Z172" i="15"/>
  <c r="U172" i="15"/>
  <c r="N172" i="15"/>
  <c r="M172" i="15"/>
  <c r="Q172" i="15" s="1"/>
  <c r="AA171" i="15"/>
  <c r="S171" i="15" s="1"/>
  <c r="Z171" i="15"/>
  <c r="AC171" i="15" s="1"/>
  <c r="U171" i="15" s="1"/>
  <c r="N171" i="15"/>
  <c r="M171" i="15"/>
  <c r="Q171" i="15" s="1"/>
  <c r="AA170" i="15"/>
  <c r="S170" i="15" s="1"/>
  <c r="Z170" i="15"/>
  <c r="N170" i="15"/>
  <c r="M170" i="15"/>
  <c r="Q170" i="15" s="1"/>
  <c r="AA169" i="15"/>
  <c r="Z169" i="15"/>
  <c r="AC169" i="15" s="1"/>
  <c r="U169" i="15"/>
  <c r="N169" i="15"/>
  <c r="M169" i="15"/>
  <c r="Q169" i="15" s="1"/>
  <c r="AA168" i="15"/>
  <c r="Z168" i="15"/>
  <c r="V168" i="15"/>
  <c r="N168" i="15"/>
  <c r="M168" i="15"/>
  <c r="Q168" i="15" s="1"/>
  <c r="AA167" i="15"/>
  <c r="Z167" i="15"/>
  <c r="U167" i="15"/>
  <c r="N167" i="15"/>
  <c r="M167" i="15"/>
  <c r="Q167" i="15" s="1"/>
  <c r="AA166" i="15"/>
  <c r="Z166" i="15"/>
  <c r="AC166" i="15" s="1"/>
  <c r="U166" i="15"/>
  <c r="N166" i="15"/>
  <c r="M166" i="15"/>
  <c r="Q166" i="15" s="1"/>
  <c r="AA165" i="15"/>
  <c r="S165" i="15" s="1"/>
  <c r="Z165" i="15"/>
  <c r="N165" i="15"/>
  <c r="M165" i="15"/>
  <c r="AA164" i="15"/>
  <c r="Z164" i="15"/>
  <c r="AC164" i="15" s="1"/>
  <c r="U164" i="15" s="1"/>
  <c r="V164" i="15"/>
  <c r="N164" i="15"/>
  <c r="M164" i="15"/>
  <c r="Q164" i="15" s="1"/>
  <c r="Z163" i="15"/>
  <c r="AC163" i="15" s="1"/>
  <c r="U163" i="15"/>
  <c r="N163" i="15"/>
  <c r="AA163" i="15"/>
  <c r="S163" i="15" s="1"/>
  <c r="AA162" i="15"/>
  <c r="S162" i="15" s="1"/>
  <c r="Z162" i="15"/>
  <c r="AC162" i="15" s="1"/>
  <c r="U162" i="15"/>
  <c r="N162" i="15"/>
  <c r="M162" i="15"/>
  <c r="AA161" i="15"/>
  <c r="S161" i="15" s="1"/>
  <c r="Z161" i="15"/>
  <c r="AC161" i="15" s="1"/>
  <c r="U161" i="15"/>
  <c r="N161" i="15"/>
  <c r="M161" i="15"/>
  <c r="AA160" i="15"/>
  <c r="Z160" i="15"/>
  <c r="AC160" i="15" s="1"/>
  <c r="U160" i="15"/>
  <c r="N160" i="15"/>
  <c r="M160" i="15"/>
  <c r="AA159" i="15"/>
  <c r="Z159" i="15"/>
  <c r="AC159" i="15" s="1"/>
  <c r="U159" i="15"/>
  <c r="N159" i="15"/>
  <c r="M159" i="15"/>
  <c r="Q159" i="15" s="1"/>
  <c r="AA158" i="15"/>
  <c r="Z158" i="15"/>
  <c r="AC158" i="15" s="1"/>
  <c r="U158" i="15"/>
  <c r="N158" i="15"/>
  <c r="M158" i="15"/>
  <c r="Q158" i="15" s="1"/>
  <c r="AA157" i="15"/>
  <c r="Z157" i="15"/>
  <c r="AC157" i="15" s="1"/>
  <c r="U157" i="15"/>
  <c r="N157" i="15"/>
  <c r="M157" i="15"/>
  <c r="Q157" i="15" s="1"/>
  <c r="AA156" i="15"/>
  <c r="Z156" i="15"/>
  <c r="AC156" i="15" s="1"/>
  <c r="U156" i="15"/>
  <c r="N156" i="15"/>
  <c r="M156" i="15"/>
  <c r="Q156" i="15" s="1"/>
  <c r="AA155" i="15"/>
  <c r="Z155" i="15"/>
  <c r="U155" i="15"/>
  <c r="N155" i="15"/>
  <c r="M155" i="15"/>
  <c r="Q155" i="15" s="1"/>
  <c r="AA154" i="15"/>
  <c r="Z154" i="15"/>
  <c r="N154" i="15"/>
  <c r="M154" i="15"/>
  <c r="Q154" i="15" s="1"/>
  <c r="AA153" i="15"/>
  <c r="Z153" i="15"/>
  <c r="AC153" i="15" s="1"/>
  <c r="U153" i="15"/>
  <c r="N153" i="15"/>
  <c r="M153" i="15"/>
  <c r="AA152" i="15"/>
  <c r="Z152" i="15"/>
  <c r="U152" i="15"/>
  <c r="N152" i="15"/>
  <c r="M152" i="15"/>
  <c r="Q152" i="15" s="1"/>
  <c r="AA151" i="15"/>
  <c r="Z151" i="15"/>
  <c r="AC151" i="15" s="1"/>
  <c r="U151" i="15"/>
  <c r="N151" i="15"/>
  <c r="M151" i="15"/>
  <c r="AA150" i="15"/>
  <c r="S150" i="15" s="1"/>
  <c r="Z150" i="15"/>
  <c r="AC150" i="15" s="1"/>
  <c r="U150" i="15" s="1"/>
  <c r="N150" i="15"/>
  <c r="M150" i="15"/>
  <c r="AA149" i="15"/>
  <c r="S149" i="15" s="1"/>
  <c r="Z149" i="15"/>
  <c r="AC149" i="15" s="1"/>
  <c r="U149" i="15"/>
  <c r="N149" i="15"/>
  <c r="M149" i="15"/>
  <c r="Q149" i="15" s="1"/>
  <c r="AA148" i="15"/>
  <c r="Z148" i="15"/>
  <c r="U148" i="15"/>
  <c r="N148" i="15"/>
  <c r="M148" i="15"/>
  <c r="Q148" i="15" s="1"/>
  <c r="AA147" i="15"/>
  <c r="Z147" i="15"/>
  <c r="AC147" i="15" s="1"/>
  <c r="U147" i="15"/>
  <c r="N147" i="15"/>
  <c r="M147" i="15"/>
  <c r="Q147" i="15" s="1"/>
  <c r="AA146" i="15"/>
  <c r="Z146" i="15"/>
  <c r="AC146" i="15" s="1"/>
  <c r="U146" i="15"/>
  <c r="N146" i="15"/>
  <c r="M146" i="15"/>
  <c r="Q146" i="15" s="1"/>
  <c r="Z145" i="15"/>
  <c r="AC145" i="15" s="1"/>
  <c r="U145" i="15"/>
  <c r="N145" i="15"/>
  <c r="AA144" i="15"/>
  <c r="Z144" i="15"/>
  <c r="AC144" i="15" s="1"/>
  <c r="U144" i="15"/>
  <c r="N144" i="15"/>
  <c r="M144" i="15"/>
  <c r="Q144" i="15" s="1"/>
  <c r="AA143" i="15"/>
  <c r="Z143" i="15"/>
  <c r="U143" i="15"/>
  <c r="N143" i="15"/>
  <c r="M143" i="15"/>
  <c r="Q143" i="15" s="1"/>
  <c r="AA142" i="15"/>
  <c r="Z142" i="15"/>
  <c r="AC142" i="15" s="1"/>
  <c r="U142" i="15" s="1"/>
  <c r="N142" i="15"/>
  <c r="M142" i="15"/>
  <c r="AA141" i="15"/>
  <c r="Z141" i="15"/>
  <c r="U141" i="15"/>
  <c r="N141" i="15"/>
  <c r="M141" i="15"/>
  <c r="Q141" i="15" s="1"/>
  <c r="AA140" i="15"/>
  <c r="Z140" i="15"/>
  <c r="N140" i="15"/>
  <c r="M140" i="15"/>
  <c r="Q140" i="15" s="1"/>
  <c r="AA139" i="15"/>
  <c r="Z139" i="15"/>
  <c r="AC139" i="15" s="1"/>
  <c r="U139" i="15"/>
  <c r="N139" i="15"/>
  <c r="M139" i="15"/>
  <c r="Q139" i="15" s="1"/>
  <c r="AA138" i="15"/>
  <c r="Z138" i="15"/>
  <c r="U138" i="15"/>
  <c r="N138" i="15"/>
  <c r="M138" i="15"/>
  <c r="Q138" i="15" s="1"/>
  <c r="AA137" i="15"/>
  <c r="Z137" i="15"/>
  <c r="U137" i="15"/>
  <c r="N137" i="15"/>
  <c r="M137" i="15"/>
  <c r="Q137" i="15" s="1"/>
  <c r="AA136" i="15"/>
  <c r="Z136" i="15"/>
  <c r="N136" i="15"/>
  <c r="Q136" i="15"/>
  <c r="AA135" i="15"/>
  <c r="S135" i="15" s="1"/>
  <c r="Z135" i="15"/>
  <c r="AC135" i="15" s="1"/>
  <c r="U135" i="15" s="1"/>
  <c r="N135" i="15"/>
  <c r="M135" i="15"/>
  <c r="Q135" i="15" s="1"/>
  <c r="AA134" i="15"/>
  <c r="S134" i="15" s="1"/>
  <c r="Z134" i="15"/>
  <c r="U134" i="15"/>
  <c r="N134" i="15"/>
  <c r="M134" i="15"/>
  <c r="Q134" i="15" s="1"/>
  <c r="AA133" i="15"/>
  <c r="Z133" i="15"/>
  <c r="N133" i="15"/>
  <c r="M133" i="15"/>
  <c r="Q133" i="15" s="1"/>
  <c r="AA132" i="15"/>
  <c r="Z132" i="15"/>
  <c r="U132" i="15"/>
  <c r="N132" i="15"/>
  <c r="M132" i="15"/>
  <c r="Q132" i="15" s="1"/>
  <c r="AA131" i="15"/>
  <c r="Z131" i="15"/>
  <c r="U131" i="15"/>
  <c r="N131" i="15"/>
  <c r="M131" i="15"/>
  <c r="Q131" i="15" s="1"/>
  <c r="AA130" i="15"/>
  <c r="S130" i="15" s="1"/>
  <c r="Z130" i="15"/>
  <c r="U130" i="15"/>
  <c r="N130" i="15"/>
  <c r="M130" i="15"/>
  <c r="AA129" i="15"/>
  <c r="Z129" i="15"/>
  <c r="AC129" i="15" s="1"/>
  <c r="U129" i="15" s="1"/>
  <c r="N129" i="15"/>
  <c r="M129" i="15"/>
  <c r="Q129" i="15" s="1"/>
  <c r="Z128" i="15"/>
  <c r="AC128" i="15" s="1"/>
  <c r="U128" i="15" s="1"/>
  <c r="N128" i="15"/>
  <c r="AA127" i="15"/>
  <c r="Z127" i="15"/>
  <c r="AC127" i="15" s="1"/>
  <c r="U127" i="15"/>
  <c r="N127" i="15"/>
  <c r="M127" i="15"/>
  <c r="AA126" i="15"/>
  <c r="Z126" i="15"/>
  <c r="U126" i="15"/>
  <c r="N126" i="15"/>
  <c r="M126" i="15"/>
  <c r="AA125" i="15"/>
  <c r="S125" i="15" s="1"/>
  <c r="Z125" i="15"/>
  <c r="U125" i="15"/>
  <c r="N125" i="15"/>
  <c r="M125" i="15"/>
  <c r="Q125" i="15" s="1"/>
  <c r="AA124" i="15"/>
  <c r="Z124" i="15"/>
  <c r="AC124" i="15" s="1"/>
  <c r="U124" i="15"/>
  <c r="N124" i="15"/>
  <c r="M124" i="15"/>
  <c r="Q124" i="15" s="1"/>
  <c r="AA123" i="15"/>
  <c r="S123" i="15" s="1"/>
  <c r="Z123" i="15"/>
  <c r="AC123" i="15" s="1"/>
  <c r="U123" i="15" s="1"/>
  <c r="N123" i="15"/>
  <c r="M123" i="15"/>
  <c r="AA122" i="15"/>
  <c r="S122" i="15" s="1"/>
  <c r="Z122" i="15"/>
  <c r="AC122" i="15" s="1"/>
  <c r="U122" i="15" s="1"/>
  <c r="N122" i="15"/>
  <c r="M122" i="15"/>
  <c r="Q122" i="15" s="1"/>
  <c r="X122" i="15" s="1"/>
  <c r="AA121" i="15"/>
  <c r="Z121" i="15"/>
  <c r="U121" i="15"/>
  <c r="N121" i="15"/>
  <c r="M121" i="15"/>
  <c r="Q121" i="15" s="1"/>
  <c r="AA120" i="15"/>
  <c r="S120" i="15" s="1"/>
  <c r="Z120" i="15"/>
  <c r="N120" i="15"/>
  <c r="M120" i="15"/>
  <c r="AA119" i="15"/>
  <c r="S119" i="15" s="1"/>
  <c r="Z119" i="15"/>
  <c r="U119" i="15"/>
  <c r="N119" i="15"/>
  <c r="M119" i="15"/>
  <c r="Q119" i="15" s="1"/>
  <c r="AA118" i="15"/>
  <c r="Z118" i="15"/>
  <c r="AC118" i="15" s="1"/>
  <c r="U118" i="15"/>
  <c r="N118" i="15"/>
  <c r="M118" i="15"/>
  <c r="Q118" i="15" s="1"/>
  <c r="AA117" i="15"/>
  <c r="Z117" i="15"/>
  <c r="U117" i="15"/>
  <c r="N117" i="15"/>
  <c r="M117" i="15"/>
  <c r="Q117" i="15" s="1"/>
  <c r="AA116" i="15"/>
  <c r="Z116" i="15"/>
  <c r="AC116" i="15" s="1"/>
  <c r="U116" i="15"/>
  <c r="N116" i="15"/>
  <c r="M116" i="15"/>
  <c r="AA115" i="15"/>
  <c r="S115" i="15" s="1"/>
  <c r="Z115" i="15"/>
  <c r="U115" i="15"/>
  <c r="N115" i="15"/>
  <c r="M115" i="15"/>
  <c r="AA114" i="15"/>
  <c r="Z114" i="15"/>
  <c r="U114" i="15"/>
  <c r="N114" i="15"/>
  <c r="M114" i="15"/>
  <c r="AA113" i="15"/>
  <c r="Z113" i="15"/>
  <c r="AC113" i="15" s="1"/>
  <c r="U113" i="15"/>
  <c r="N113" i="15"/>
  <c r="M113" i="15"/>
  <c r="Q113" i="15" s="1"/>
  <c r="AA112" i="15"/>
  <c r="Z112" i="15"/>
  <c r="AC112" i="15" s="1"/>
  <c r="U112" i="15"/>
  <c r="N112" i="15"/>
  <c r="M112" i="15"/>
  <c r="Q112" i="15" s="1"/>
  <c r="AA111" i="15"/>
  <c r="Z111" i="15"/>
  <c r="U111" i="15"/>
  <c r="N111" i="15"/>
  <c r="M111" i="15"/>
  <c r="Q111" i="15" s="1"/>
  <c r="AA110" i="15"/>
  <c r="Z110" i="15"/>
  <c r="AC110" i="15" s="1"/>
  <c r="U110" i="15"/>
  <c r="N110" i="15"/>
  <c r="M110" i="15"/>
  <c r="AA109" i="15"/>
  <c r="Z109" i="15"/>
  <c r="AC109" i="15" s="1"/>
  <c r="U109" i="15"/>
  <c r="N109" i="15"/>
  <c r="M109" i="15"/>
  <c r="Q109" i="15" s="1"/>
  <c r="AA108" i="15"/>
  <c r="Z108" i="15"/>
  <c r="AC108" i="15" s="1"/>
  <c r="U108" i="15"/>
  <c r="N108" i="15"/>
  <c r="M108" i="15"/>
  <c r="Q108" i="15" s="1"/>
  <c r="Z107" i="15"/>
  <c r="U107" i="15"/>
  <c r="N107" i="15"/>
  <c r="AA106" i="15"/>
  <c r="S106" i="15" s="1"/>
  <c r="Z106" i="15"/>
  <c r="U106" i="15"/>
  <c r="N106" i="15"/>
  <c r="M106" i="15"/>
  <c r="Q106" i="15" s="1"/>
  <c r="AA105" i="15"/>
  <c r="S105" i="15" s="1"/>
  <c r="Z105" i="15"/>
  <c r="U105" i="15"/>
  <c r="N105" i="15"/>
  <c r="M105" i="15"/>
  <c r="Q105" i="15" s="1"/>
  <c r="AA104" i="15"/>
  <c r="Z104" i="15"/>
  <c r="AC104" i="15" s="1"/>
  <c r="U104" i="15"/>
  <c r="N104" i="15"/>
  <c r="M104" i="15"/>
  <c r="Q104" i="15" s="1"/>
  <c r="AA103" i="15"/>
  <c r="S103" i="15" s="1"/>
  <c r="Z103" i="15"/>
  <c r="AC103" i="15" s="1"/>
  <c r="U103" i="15"/>
  <c r="N103" i="15"/>
  <c r="M103" i="15"/>
  <c r="Q103" i="15" s="1"/>
  <c r="X103" i="15" s="1"/>
  <c r="AA102" i="15"/>
  <c r="Z102" i="15"/>
  <c r="N102" i="15"/>
  <c r="M102" i="15"/>
  <c r="Q102" i="15" s="1"/>
  <c r="AA101" i="15"/>
  <c r="Z101" i="15"/>
  <c r="AC101" i="15" s="1"/>
  <c r="U101" i="15"/>
  <c r="N101" i="15"/>
  <c r="M101" i="15"/>
  <c r="AA100" i="15"/>
  <c r="S100" i="15" s="1"/>
  <c r="Z100" i="15"/>
  <c r="U100" i="15"/>
  <c r="N100" i="15"/>
  <c r="M100" i="15"/>
  <c r="Q100" i="15" s="1"/>
  <c r="AA99" i="15"/>
  <c r="Z99" i="15"/>
  <c r="AC99" i="15" s="1"/>
  <c r="U99" i="15"/>
  <c r="N99" i="15"/>
  <c r="M99" i="15"/>
  <c r="Q99" i="15" s="1"/>
  <c r="AA98" i="15"/>
  <c r="Z98" i="15"/>
  <c r="AC98" i="15" s="1"/>
  <c r="U98" i="15"/>
  <c r="N98" i="15"/>
  <c r="M98" i="15"/>
  <c r="Q98" i="15" s="1"/>
  <c r="AA97" i="15"/>
  <c r="Z97" i="15"/>
  <c r="AC97" i="15" s="1"/>
  <c r="U97" i="15"/>
  <c r="N97" i="15"/>
  <c r="M97" i="15"/>
  <c r="Q97" i="15" s="1"/>
  <c r="AA96" i="15"/>
  <c r="Z96" i="15"/>
  <c r="AC96" i="15" s="1"/>
  <c r="U96" i="15" s="1"/>
  <c r="V96" i="15"/>
  <c r="N96" i="15"/>
  <c r="M96" i="15"/>
  <c r="Q96" i="15" s="1"/>
  <c r="AA95" i="15"/>
  <c r="Z95" i="15"/>
  <c r="AC95" i="15" s="1"/>
  <c r="U95" i="15"/>
  <c r="N95" i="15"/>
  <c r="M95" i="15"/>
  <c r="Q95" i="15" s="1"/>
  <c r="AA94" i="15"/>
  <c r="Z94" i="15"/>
  <c r="AC94" i="15" s="1"/>
  <c r="U94" i="15"/>
  <c r="N94" i="15"/>
  <c r="M94" i="15"/>
  <c r="Q94" i="15" s="1"/>
  <c r="AA93" i="15"/>
  <c r="Z93" i="15"/>
  <c r="AC93" i="15" s="1"/>
  <c r="U93" i="15"/>
  <c r="N93" i="15"/>
  <c r="M93" i="15"/>
  <c r="AA92" i="15"/>
  <c r="S92" i="15" s="1"/>
  <c r="Z92" i="15"/>
  <c r="U92" i="15"/>
  <c r="N92" i="15"/>
  <c r="M92" i="15"/>
  <c r="Q92" i="15" s="1"/>
  <c r="AA91" i="15"/>
  <c r="Z91" i="15"/>
  <c r="AC91" i="15" s="1"/>
  <c r="U91" i="15"/>
  <c r="N91" i="15"/>
  <c r="M91" i="15"/>
  <c r="AA90" i="15"/>
  <c r="S90" i="15" s="1"/>
  <c r="Z90" i="15"/>
  <c r="AC90" i="15" s="1"/>
  <c r="U90" i="15"/>
  <c r="N90" i="15"/>
  <c r="M90" i="15"/>
  <c r="Q90" i="15" s="1"/>
  <c r="AA89" i="15"/>
  <c r="Z89" i="15"/>
  <c r="N89" i="15"/>
  <c r="M89" i="15"/>
  <c r="Q89" i="15" s="1"/>
  <c r="AA88" i="15"/>
  <c r="S88" i="15" s="1"/>
  <c r="Z88" i="15"/>
  <c r="AC88" i="15" s="1"/>
  <c r="U88" i="15" s="1"/>
  <c r="N88" i="15"/>
  <c r="M88" i="15"/>
  <c r="Q88" i="15" s="1"/>
  <c r="AA87" i="15"/>
  <c r="S87" i="15" s="1"/>
  <c r="Z87" i="15"/>
  <c r="N87" i="15"/>
  <c r="M87" i="15"/>
  <c r="Q87" i="15" s="1"/>
  <c r="AA86" i="15"/>
  <c r="Z86" i="15"/>
  <c r="U86" i="15"/>
  <c r="N86" i="15"/>
  <c r="M86" i="15"/>
  <c r="Q86" i="15" s="1"/>
  <c r="AA85" i="15"/>
  <c r="S85" i="15" s="1"/>
  <c r="N85" i="15"/>
  <c r="M85" i="15"/>
  <c r="Q85" i="15" s="1"/>
  <c r="AA84" i="15"/>
  <c r="Z84" i="15"/>
  <c r="AC84" i="15" s="1"/>
  <c r="U84" i="15" s="1"/>
  <c r="N84" i="15"/>
  <c r="M84" i="15"/>
  <c r="Q84" i="15" s="1"/>
  <c r="AA83" i="15"/>
  <c r="Z83" i="15"/>
  <c r="AC83" i="15" s="1"/>
  <c r="U83" i="15"/>
  <c r="N83" i="15"/>
  <c r="M83" i="15"/>
  <c r="Q83" i="15" s="1"/>
  <c r="AA82" i="15"/>
  <c r="Z82" i="15"/>
  <c r="AC82" i="15" s="1"/>
  <c r="U82" i="15" s="1"/>
  <c r="V82" i="15"/>
  <c r="N82" i="15"/>
  <c r="M82" i="15"/>
  <c r="Q82" i="15" s="1"/>
  <c r="AA81" i="15"/>
  <c r="S81" i="15" s="1"/>
  <c r="Z81" i="15"/>
  <c r="U81" i="15"/>
  <c r="N81" i="15"/>
  <c r="M81" i="15"/>
  <c r="Q81" i="15" s="1"/>
  <c r="AA80" i="15"/>
  <c r="Z80" i="15"/>
  <c r="AC80" i="15" s="1"/>
  <c r="U80" i="15"/>
  <c r="N80" i="15"/>
  <c r="M80" i="15"/>
  <c r="Q80" i="15" s="1"/>
  <c r="AA79" i="15"/>
  <c r="Z79" i="15"/>
  <c r="AC79" i="15" s="1"/>
  <c r="U79" i="15"/>
  <c r="N79" i="15"/>
  <c r="M79" i="15"/>
  <c r="AA78" i="15"/>
  <c r="S78" i="15" s="1"/>
  <c r="Z78" i="15"/>
  <c r="U78" i="15"/>
  <c r="N78" i="15"/>
  <c r="M78" i="15"/>
  <c r="AA77" i="15"/>
  <c r="S77" i="15" s="1"/>
  <c r="Z77" i="15"/>
  <c r="AC77" i="15" s="1"/>
  <c r="U77" i="15"/>
  <c r="N77" i="15"/>
  <c r="M77" i="15"/>
  <c r="AA76" i="15"/>
  <c r="S76" i="15" s="1"/>
  <c r="Z76" i="15"/>
  <c r="AC76" i="15" s="1"/>
  <c r="U76" i="15" s="1"/>
  <c r="N76" i="15"/>
  <c r="M76" i="15"/>
  <c r="Q76" i="15" s="1"/>
  <c r="AA75" i="15"/>
  <c r="Z75" i="15"/>
  <c r="AC75" i="15" s="1"/>
  <c r="U75" i="15"/>
  <c r="N75" i="15"/>
  <c r="M75" i="15"/>
  <c r="AA74" i="15"/>
  <c r="S74" i="15" s="1"/>
  <c r="Z74" i="15"/>
  <c r="AC74" i="15" s="1"/>
  <c r="U74" i="15"/>
  <c r="N74" i="15"/>
  <c r="M74" i="15"/>
  <c r="Q74" i="15" s="1"/>
  <c r="AA73" i="15"/>
  <c r="S73" i="15" s="1"/>
  <c r="Z73" i="15"/>
  <c r="AC73" i="15" s="1"/>
  <c r="U73" i="15"/>
  <c r="N73" i="15"/>
  <c r="M73" i="15"/>
  <c r="Q73" i="15" s="1"/>
  <c r="AA72" i="15"/>
  <c r="S72" i="15" s="1"/>
  <c r="Z72" i="15"/>
  <c r="AC72" i="15" s="1"/>
  <c r="U72" i="15"/>
  <c r="N72" i="15"/>
  <c r="M72" i="15"/>
  <c r="AA71" i="15"/>
  <c r="Z71" i="15"/>
  <c r="AC71" i="15" s="1"/>
  <c r="U71" i="15"/>
  <c r="N71" i="15"/>
  <c r="M71" i="15"/>
  <c r="Q71" i="15" s="1"/>
  <c r="AA70" i="15"/>
  <c r="S70" i="15" s="1"/>
  <c r="Z70" i="15"/>
  <c r="AC70" i="15" s="1"/>
  <c r="U70" i="15" s="1"/>
  <c r="N70" i="15"/>
  <c r="M70" i="15"/>
  <c r="Q70" i="15" s="1"/>
  <c r="AA69" i="15"/>
  <c r="Z69" i="15"/>
  <c r="AC69" i="15" s="1"/>
  <c r="U69" i="15" s="1"/>
  <c r="N69" i="15"/>
  <c r="M69" i="15"/>
  <c r="AA68" i="15"/>
  <c r="S68" i="15" s="1"/>
  <c r="Z68" i="15"/>
  <c r="N68" i="15"/>
  <c r="M68" i="15"/>
  <c r="AA67" i="15"/>
  <c r="S67" i="15" s="1"/>
  <c r="Z67" i="15"/>
  <c r="AC67" i="15" s="1"/>
  <c r="U67" i="15"/>
  <c r="N67" i="15"/>
  <c r="M67" i="15"/>
  <c r="AA66" i="15"/>
  <c r="S66" i="15" s="1"/>
  <c r="Z66" i="15"/>
  <c r="U66" i="15"/>
  <c r="N66" i="15"/>
  <c r="M66" i="15"/>
  <c r="Q66" i="15" s="1"/>
  <c r="X66" i="15" s="1"/>
  <c r="AA65" i="15"/>
  <c r="S65" i="15" s="1"/>
  <c r="Z65" i="15"/>
  <c r="AC65" i="15" s="1"/>
  <c r="U65" i="15" s="1"/>
  <c r="N65" i="15"/>
  <c r="M65" i="15"/>
  <c r="Q65" i="15" s="1"/>
  <c r="AA64" i="15"/>
  <c r="S64" i="15" s="1"/>
  <c r="Z64" i="15"/>
  <c r="AC64" i="15" s="1"/>
  <c r="U64" i="15" s="1"/>
  <c r="N64" i="15"/>
  <c r="M64" i="15"/>
  <c r="Q64" i="15" s="1"/>
  <c r="AA63" i="15"/>
  <c r="Z63" i="15"/>
  <c r="AC63" i="15" s="1"/>
  <c r="U63" i="15"/>
  <c r="N63" i="15"/>
  <c r="M63" i="15"/>
  <c r="AA62" i="15"/>
  <c r="S62" i="15" s="1"/>
  <c r="Z62" i="15"/>
  <c r="AC62" i="15" s="1"/>
  <c r="U62" i="15" s="1"/>
  <c r="N62" i="15"/>
  <c r="M62" i="15"/>
  <c r="AA61" i="15"/>
  <c r="S61" i="15" s="1"/>
  <c r="Z61" i="15"/>
  <c r="AC61" i="15" s="1"/>
  <c r="U61" i="15" s="1"/>
  <c r="N61" i="15"/>
  <c r="M61" i="15"/>
  <c r="AA60" i="15"/>
  <c r="S60" i="15" s="1"/>
  <c r="Z60" i="15"/>
  <c r="AC60" i="15" s="1"/>
  <c r="U60" i="15" s="1"/>
  <c r="N60" i="15"/>
  <c r="M60" i="15"/>
  <c r="Q60" i="15" s="1"/>
  <c r="AA59" i="15"/>
  <c r="Z59" i="15"/>
  <c r="U59" i="15"/>
  <c r="N59" i="15"/>
  <c r="M59" i="15"/>
  <c r="Q59" i="15" s="1"/>
  <c r="AA58" i="15"/>
  <c r="Z58" i="15"/>
  <c r="N58" i="15"/>
  <c r="M58" i="15"/>
  <c r="Q58" i="15" s="1"/>
  <c r="AA57" i="15"/>
  <c r="S57" i="15" s="1"/>
  <c r="Z57" i="15"/>
  <c r="AC57" i="15" s="1"/>
  <c r="U57" i="15"/>
  <c r="N57" i="15"/>
  <c r="M57" i="15"/>
  <c r="AA56" i="15"/>
  <c r="Z56" i="15"/>
  <c r="AC56" i="15" s="1"/>
  <c r="U56" i="15"/>
  <c r="N56" i="15"/>
  <c r="M56" i="15"/>
  <c r="Q56" i="15" s="1"/>
  <c r="AA55" i="15"/>
  <c r="Z55" i="15"/>
  <c r="AC55" i="15" s="1"/>
  <c r="U55" i="15"/>
  <c r="N55" i="15"/>
  <c r="M55" i="15"/>
  <c r="Q55" i="15" s="1"/>
  <c r="AA54" i="15"/>
  <c r="Z54" i="15"/>
  <c r="U54" i="15"/>
  <c r="N54" i="15"/>
  <c r="M54" i="15"/>
  <c r="Q54" i="15" s="1"/>
  <c r="AA53" i="15"/>
  <c r="Z53" i="15"/>
  <c r="U53" i="15"/>
  <c r="N53" i="15"/>
  <c r="M53" i="15"/>
  <c r="Q53" i="15" s="1"/>
  <c r="AA52" i="15"/>
  <c r="Z52" i="15"/>
  <c r="AC52" i="15" s="1"/>
  <c r="U52" i="15"/>
  <c r="N52" i="15"/>
  <c r="M52" i="15"/>
  <c r="Q52" i="15" s="1"/>
  <c r="AA51" i="15"/>
  <c r="Z51" i="15"/>
  <c r="AC51" i="15" s="1"/>
  <c r="U51" i="15"/>
  <c r="N51" i="15"/>
  <c r="M51" i="15"/>
  <c r="Q51" i="15" s="1"/>
  <c r="AA50" i="15"/>
  <c r="S50" i="15" s="1"/>
  <c r="Z50" i="15"/>
  <c r="AC50" i="15" s="1"/>
  <c r="U50" i="15" s="1"/>
  <c r="N50" i="15"/>
  <c r="M50" i="15"/>
  <c r="AA49" i="15"/>
  <c r="S49" i="15" s="1"/>
  <c r="Z49" i="15"/>
  <c r="AC49" i="15" s="1"/>
  <c r="U49" i="15" s="1"/>
  <c r="N49" i="15"/>
  <c r="M49" i="15"/>
  <c r="Q49" i="15" s="1"/>
  <c r="AA48" i="15"/>
  <c r="S48" i="15" s="1"/>
  <c r="Z48" i="15"/>
  <c r="AC48" i="15" s="1"/>
  <c r="U48" i="15" s="1"/>
  <c r="N48" i="15"/>
  <c r="M48" i="15"/>
  <c r="AA47" i="15"/>
  <c r="Z47" i="15"/>
  <c r="U47" i="15"/>
  <c r="N47" i="15"/>
  <c r="M47" i="15"/>
  <c r="Q47" i="15" s="1"/>
  <c r="AA46" i="15"/>
  <c r="Z46" i="15"/>
  <c r="AC46" i="15" s="1"/>
  <c r="U46" i="15" s="1"/>
  <c r="N46" i="15"/>
  <c r="M46" i="15"/>
  <c r="Q46" i="15" s="1"/>
  <c r="AA45" i="15"/>
  <c r="Z45" i="15"/>
  <c r="AC45" i="15" s="1"/>
  <c r="U45" i="15" s="1"/>
  <c r="N45" i="15"/>
  <c r="M45" i="15"/>
  <c r="Q45" i="15" s="1"/>
  <c r="AA44" i="15"/>
  <c r="Z44" i="15"/>
  <c r="AC44" i="15" s="1"/>
  <c r="U44" i="15"/>
  <c r="N44" i="15"/>
  <c r="M44" i="15"/>
  <c r="AA43" i="15"/>
  <c r="S43" i="15" s="1"/>
  <c r="Z43" i="15"/>
  <c r="AC43" i="15" s="1"/>
  <c r="U43" i="15" s="1"/>
  <c r="N43" i="15"/>
  <c r="M43" i="15"/>
  <c r="AA42" i="15"/>
  <c r="S42" i="15" s="1"/>
  <c r="Z42" i="15"/>
  <c r="U42" i="15"/>
  <c r="N42" i="15"/>
  <c r="M42" i="15"/>
  <c r="AA41" i="15"/>
  <c r="S41" i="15" s="1"/>
  <c r="Z41" i="15"/>
  <c r="AC41" i="15" s="1"/>
  <c r="U41" i="15"/>
  <c r="N41" i="15"/>
  <c r="M41" i="15"/>
  <c r="Q41" i="15" s="1"/>
  <c r="AA40" i="15"/>
  <c r="S40" i="15" s="1"/>
  <c r="Z40" i="15"/>
  <c r="AC40" i="15" s="1"/>
  <c r="U40" i="15" s="1"/>
  <c r="N40" i="15"/>
  <c r="M40" i="15"/>
  <c r="AA39" i="15"/>
  <c r="Z39" i="15"/>
  <c r="AC39" i="15" s="1"/>
  <c r="U39" i="15"/>
  <c r="N39" i="15"/>
  <c r="M39" i="15"/>
  <c r="AA38" i="15"/>
  <c r="S38" i="15" s="1"/>
  <c r="Z38" i="15"/>
  <c r="AC38" i="15" s="1"/>
  <c r="U38" i="15"/>
  <c r="N38" i="15"/>
  <c r="M38" i="15"/>
  <c r="Q38" i="15" s="1"/>
  <c r="X38" i="15" s="1"/>
  <c r="AA37" i="15"/>
  <c r="S37" i="15" s="1"/>
  <c r="Z37" i="15"/>
  <c r="AC37" i="15" s="1"/>
  <c r="U37" i="15" s="1"/>
  <c r="N37" i="15"/>
  <c r="M37" i="15"/>
  <c r="Q37" i="15" s="1"/>
  <c r="AA36" i="15"/>
  <c r="Z36" i="15"/>
  <c r="N36" i="15"/>
  <c r="M36" i="15"/>
  <c r="Q36" i="15" s="1"/>
  <c r="AA35" i="15"/>
  <c r="S35" i="15" s="1"/>
  <c r="Z35" i="15"/>
  <c r="AC35" i="15" s="1"/>
  <c r="U35" i="15"/>
  <c r="N35" i="15"/>
  <c r="M35" i="15"/>
  <c r="Q35" i="15" s="1"/>
  <c r="X35" i="15" s="1"/>
  <c r="AA34" i="15"/>
  <c r="Z34" i="15"/>
  <c r="U34" i="15"/>
  <c r="N34" i="15"/>
  <c r="M34" i="15"/>
  <c r="Q34" i="15" s="1"/>
  <c r="AA33" i="15"/>
  <c r="S33" i="15" s="1"/>
  <c r="Z33" i="15"/>
  <c r="AC33" i="15" s="1"/>
  <c r="U33" i="15" s="1"/>
  <c r="N33" i="15"/>
  <c r="M33" i="15"/>
  <c r="Q33" i="15" s="1"/>
  <c r="X33" i="15" s="1"/>
  <c r="AA32" i="15"/>
  <c r="Z32" i="15"/>
  <c r="U32" i="15"/>
  <c r="N32" i="15"/>
  <c r="M32" i="15"/>
  <c r="Q32" i="15" s="1"/>
  <c r="AA31" i="15"/>
  <c r="Z31" i="15"/>
  <c r="AC31" i="15" s="1"/>
  <c r="U31" i="15"/>
  <c r="N31" i="15"/>
  <c r="M31" i="15"/>
  <c r="Q31" i="15" s="1"/>
  <c r="AA30" i="15"/>
  <c r="S30" i="15" s="1"/>
  <c r="Z30" i="15"/>
  <c r="U30" i="15"/>
  <c r="N30" i="15"/>
  <c r="M30" i="15"/>
  <c r="Q30" i="15" s="1"/>
  <c r="AA29" i="15"/>
  <c r="S29" i="15" s="1"/>
  <c r="Z29" i="15"/>
  <c r="AC29" i="15" s="1"/>
  <c r="U29" i="15"/>
  <c r="N29" i="15"/>
  <c r="M29" i="15"/>
  <c r="AA28" i="15"/>
  <c r="Z28" i="15"/>
  <c r="AC28" i="15" s="1"/>
  <c r="U28" i="15"/>
  <c r="N28" i="15"/>
  <c r="M28" i="15"/>
  <c r="AA27" i="15"/>
  <c r="S27" i="15" s="1"/>
  <c r="Z27" i="15"/>
  <c r="AC27" i="15" s="1"/>
  <c r="U27" i="15" s="1"/>
  <c r="N27" i="15"/>
  <c r="M27" i="15"/>
  <c r="AA26" i="15"/>
  <c r="S26" i="15" s="1"/>
  <c r="Z26" i="15"/>
  <c r="AC26" i="15" s="1"/>
  <c r="U26" i="15"/>
  <c r="N26" i="15"/>
  <c r="M26" i="15"/>
  <c r="Q26" i="15" s="1"/>
  <c r="AA25" i="15"/>
  <c r="Z25" i="15"/>
  <c r="AC25" i="15" s="1"/>
  <c r="U25" i="15"/>
  <c r="N25" i="15"/>
  <c r="M25" i="15"/>
  <c r="Q25" i="15" s="1"/>
  <c r="AA24" i="15"/>
  <c r="S24" i="15" s="1"/>
  <c r="Z24" i="15"/>
  <c r="AC24" i="15" s="1"/>
  <c r="U24" i="15"/>
  <c r="N24" i="15"/>
  <c r="M24" i="15"/>
  <c r="AA23" i="15"/>
  <c r="Z23" i="15"/>
  <c r="AC23" i="15" s="1"/>
  <c r="U23" i="15"/>
  <c r="N23" i="15"/>
  <c r="M23" i="15"/>
  <c r="AA22" i="15"/>
  <c r="S22" i="15" s="1"/>
  <c r="Z22" i="15"/>
  <c r="AC22" i="15" s="1"/>
  <c r="U22" i="15" s="1"/>
  <c r="N22" i="15"/>
  <c r="M22" i="15"/>
  <c r="Q22" i="15" s="1"/>
  <c r="AA21" i="15"/>
  <c r="Z21" i="15"/>
  <c r="N21" i="15"/>
  <c r="M21" i="15"/>
  <c r="Q21" i="15" s="1"/>
  <c r="AA20" i="15"/>
  <c r="Z20" i="15"/>
  <c r="AC20" i="15" s="1"/>
  <c r="U20" i="15"/>
  <c r="N20" i="15"/>
  <c r="M20" i="15"/>
  <c r="Q20" i="15" s="1"/>
  <c r="AA19" i="15"/>
  <c r="Z19" i="15"/>
  <c r="U19" i="15"/>
  <c r="N19" i="15"/>
  <c r="M19" i="15"/>
  <c r="Q19" i="15" s="1"/>
  <c r="AA18" i="15"/>
  <c r="S18" i="15" s="1"/>
  <c r="Z18" i="15"/>
  <c r="AC18" i="15" s="1"/>
  <c r="U18" i="15"/>
  <c r="N18" i="15"/>
  <c r="M18" i="15"/>
  <c r="Q18" i="15" s="1"/>
  <c r="AA17" i="15"/>
  <c r="S17" i="15" s="1"/>
  <c r="Z17" i="15"/>
  <c r="AC17" i="15" s="1"/>
  <c r="U17" i="15" s="1"/>
  <c r="N17" i="15"/>
  <c r="M17" i="15"/>
  <c r="AA16" i="15"/>
  <c r="Z16" i="15"/>
  <c r="U16" i="15"/>
  <c r="N16" i="15"/>
  <c r="M16" i="15"/>
  <c r="Q16" i="15" s="1"/>
  <c r="AA15" i="15"/>
  <c r="Z15" i="15"/>
  <c r="N15" i="15"/>
  <c r="M15" i="15"/>
  <c r="Q15" i="15" s="1"/>
  <c r="AA14" i="15"/>
  <c r="Z14" i="15"/>
  <c r="AC14" i="15" s="1"/>
  <c r="U14" i="15" s="1"/>
  <c r="N14" i="15"/>
  <c r="M14" i="15"/>
  <c r="Q14" i="15" s="1"/>
  <c r="AA13" i="15"/>
  <c r="S13" i="15" s="1"/>
  <c r="Z13" i="15"/>
  <c r="N13" i="15"/>
  <c r="M13" i="15"/>
  <c r="Q13" i="15" s="1"/>
  <c r="AA12" i="15"/>
  <c r="Z12" i="15"/>
  <c r="AC12" i="15" s="1"/>
  <c r="U12" i="15"/>
  <c r="N12" i="15"/>
  <c r="M12" i="15"/>
  <c r="Q12" i="15" s="1"/>
  <c r="AA11" i="15"/>
  <c r="Z11" i="15"/>
  <c r="AC11" i="15" s="1"/>
  <c r="U11" i="15"/>
  <c r="N11" i="15"/>
  <c r="M11" i="15"/>
  <c r="Q11" i="15" s="1"/>
  <c r="AA10" i="15"/>
  <c r="Z10" i="15"/>
  <c r="AC10" i="15" s="1"/>
  <c r="U10" i="15"/>
  <c r="N10" i="15"/>
  <c r="M10" i="15"/>
  <c r="AA9" i="15"/>
  <c r="S9" i="15" s="1"/>
  <c r="Z9" i="15"/>
  <c r="AC9" i="15" s="1"/>
  <c r="U9" i="15" s="1"/>
  <c r="N9" i="15"/>
  <c r="M9" i="15"/>
  <c r="AA8" i="15"/>
  <c r="S8" i="15" s="1"/>
  <c r="Z8" i="15"/>
  <c r="AC8" i="15" s="1"/>
  <c r="U8" i="15" s="1"/>
  <c r="N8" i="15"/>
  <c r="M8" i="15"/>
  <c r="AA7" i="15"/>
  <c r="Z7" i="15"/>
  <c r="U7" i="15"/>
  <c r="N7" i="15"/>
  <c r="M7" i="15"/>
  <c r="Q7" i="15" s="1"/>
  <c r="AA6" i="15"/>
  <c r="Z6" i="15"/>
  <c r="AC6" i="15" s="1"/>
  <c r="U6" i="15"/>
  <c r="N6" i="15"/>
  <c r="M6" i="15"/>
  <c r="Q6" i="15" s="1"/>
  <c r="AA5" i="15"/>
  <c r="Z5" i="15"/>
  <c r="AC5" i="15" s="1"/>
  <c r="U5" i="15"/>
  <c r="N5" i="15"/>
  <c r="M5" i="15"/>
  <c r="Q5" i="15" s="1"/>
  <c r="AA4" i="15"/>
  <c r="Z4" i="15"/>
  <c r="AC4" i="15" s="1"/>
  <c r="U4" i="15"/>
  <c r="N4" i="15"/>
  <c r="M4" i="15"/>
  <c r="AA3" i="15"/>
  <c r="S3" i="15" s="1"/>
  <c r="Z3" i="15"/>
  <c r="AC3" i="15" s="1"/>
  <c r="U3" i="15"/>
  <c r="N3" i="15"/>
  <c r="M3" i="15"/>
  <c r="Q3" i="15" s="1"/>
  <c r="AA2" i="15"/>
  <c r="S2" i="15" s="1"/>
  <c r="Z2" i="15"/>
  <c r="U2" i="15"/>
  <c r="N2" i="15"/>
  <c r="M2" i="15"/>
  <c r="Q2" i="15" s="1"/>
  <c r="E95" i="17"/>
  <c r="E152" i="17"/>
  <c r="F124" i="17"/>
  <c r="F59" i="17"/>
  <c r="E62" i="17"/>
  <c r="C109" i="17"/>
  <c r="C93" i="17"/>
  <c r="F139" i="17"/>
  <c r="E121" i="17"/>
  <c r="B54" i="17"/>
  <c r="B155" i="14"/>
  <c r="T155" i="14" s="1"/>
  <c r="B117" i="14"/>
  <c r="G117" i="14" s="1"/>
  <c r="V2129" i="15"/>
  <c r="V1907" i="15"/>
  <c r="V2250" i="15"/>
  <c r="V2133" i="15"/>
  <c r="T2256" i="15"/>
  <c r="D323" i="22"/>
  <c r="T2249" i="15"/>
  <c r="T2243" i="15"/>
  <c r="T2250" i="15"/>
  <c r="T2252" i="15"/>
  <c r="T2245" i="15"/>
  <c r="T2242" i="15"/>
  <c r="T2233" i="15"/>
  <c r="T2205" i="15"/>
  <c r="T2232" i="15"/>
  <c r="T2192" i="15"/>
  <c r="T2206" i="15"/>
  <c r="T2211" i="15"/>
  <c r="T2227" i="15"/>
  <c r="T2219" i="15"/>
  <c r="T2202" i="15"/>
  <c r="T2208" i="15"/>
  <c r="T2230" i="15"/>
  <c r="S23" i="21"/>
  <c r="T2194" i="15"/>
  <c r="T2212" i="15"/>
  <c r="T2213" i="15"/>
  <c r="T2189" i="15"/>
  <c r="T2187" i="15"/>
  <c r="T2180" i="15"/>
  <c r="T2184" i="15"/>
  <c r="T2168" i="15"/>
  <c r="T2186" i="15"/>
  <c r="T2157" i="15"/>
  <c r="T2154" i="15"/>
  <c r="T2158" i="15"/>
  <c r="T2142" i="15"/>
  <c r="T2145" i="15"/>
  <c r="T2153" i="15"/>
  <c r="T2143" i="15"/>
  <c r="T2120" i="15"/>
  <c r="T2121" i="15"/>
  <c r="T2136" i="15"/>
  <c r="T2117" i="15"/>
  <c r="T2130" i="15"/>
  <c r="T2133" i="15"/>
  <c r="T2127" i="15"/>
  <c r="T2123" i="15"/>
  <c r="Q2133" i="15"/>
  <c r="X2133" i="15" s="1"/>
  <c r="Q2129" i="15"/>
  <c r="X2129" i="15" s="1"/>
  <c r="T2081" i="15"/>
  <c r="T2078" i="15"/>
  <c r="T2087" i="15"/>
  <c r="T2098" i="15"/>
  <c r="T2111" i="15"/>
  <c r="T2105" i="15"/>
  <c r="T2084" i="15"/>
  <c r="T2103" i="15"/>
  <c r="T2099" i="15"/>
  <c r="T2071" i="15"/>
  <c r="T2101" i="15"/>
  <c r="T2104" i="15"/>
  <c r="T2096" i="15"/>
  <c r="T2095" i="15"/>
  <c r="T2073" i="15"/>
  <c r="T2112" i="15"/>
  <c r="T2108" i="15"/>
  <c r="T2109" i="15"/>
  <c r="T2080" i="15"/>
  <c r="T2069" i="15"/>
  <c r="T2065" i="15"/>
  <c r="T2053" i="15"/>
  <c r="T2057" i="15"/>
  <c r="T2064" i="15"/>
  <c r="T2041" i="15"/>
  <c r="T2049" i="15"/>
  <c r="T2061" i="15"/>
  <c r="T2047" i="15"/>
  <c r="V1914" i="15"/>
  <c r="T1914" i="15"/>
  <c r="V1889" i="15"/>
  <c r="T1889" i="15"/>
  <c r="T2022" i="15"/>
  <c r="T2017" i="15"/>
  <c r="V2028" i="15"/>
  <c r="T2028" i="15"/>
  <c r="Q2028" i="15"/>
  <c r="X2028" i="15" s="1"/>
  <c r="V2013" i="15"/>
  <c r="T2013" i="15"/>
  <c r="Q2013" i="15"/>
  <c r="X2013" i="15" s="1"/>
  <c r="T1980" i="15"/>
  <c r="T1991" i="15"/>
  <c r="T1977" i="15"/>
  <c r="T1973" i="15"/>
  <c r="Y1973" i="15" s="1"/>
  <c r="T1948" i="15"/>
  <c r="V1953" i="15"/>
  <c r="Q1953" i="15"/>
  <c r="T1913" i="15"/>
  <c r="T1906" i="15"/>
  <c r="T1909" i="15"/>
  <c r="T1915" i="15"/>
  <c r="T1897" i="15"/>
  <c r="Q1929" i="15"/>
  <c r="W1929" i="15" s="1"/>
  <c r="T1929" i="15"/>
  <c r="V1922" i="15"/>
  <c r="T1922" i="15"/>
  <c r="Q1922" i="15"/>
  <c r="X1922" i="15" s="1"/>
  <c r="Q1907" i="15"/>
  <c r="W1907" i="15" s="1"/>
  <c r="T1907" i="15"/>
  <c r="T1879" i="15"/>
  <c r="V1881" i="15"/>
  <c r="T1871" i="15"/>
  <c r="V1873" i="15"/>
  <c r="T1873" i="15"/>
  <c r="T1875" i="15"/>
  <c r="Q1881" i="15"/>
  <c r="X1881" i="15" s="1"/>
  <c r="V1866" i="15"/>
  <c r="Q1866" i="15"/>
  <c r="X1866" i="15" s="1"/>
  <c r="T1853" i="15"/>
  <c r="T1855" i="15"/>
  <c r="T1852" i="15"/>
  <c r="V1817" i="15"/>
  <c r="T1827" i="15"/>
  <c r="V1815" i="15"/>
  <c r="Q1817" i="15"/>
  <c r="X1817" i="15" s="1"/>
  <c r="T1835" i="15"/>
  <c r="Q1815" i="15"/>
  <c r="X1815" i="15" s="1"/>
  <c r="T1799" i="15"/>
  <c r="T1793" i="15"/>
  <c r="A84" i="3"/>
  <c r="V1743" i="15"/>
  <c r="Q1743" i="15"/>
  <c r="X1743" i="15" s="1"/>
  <c r="Q1751" i="15"/>
  <c r="X1751" i="15" s="1"/>
  <c r="V1783" i="15"/>
  <c r="Q1783" i="15"/>
  <c r="X1783" i="15" s="1"/>
  <c r="T1754" i="15"/>
  <c r="V1763" i="15"/>
  <c r="Q1763" i="15"/>
  <c r="X1763" i="15" s="1"/>
  <c r="V1757" i="15"/>
  <c r="Q1757" i="15"/>
  <c r="X1757" i="15" s="1"/>
  <c r="T1746" i="15"/>
  <c r="Q1741" i="15"/>
  <c r="X1741" i="15" s="1"/>
  <c r="T1741" i="15"/>
  <c r="V1731" i="15"/>
  <c r="Q1731" i="15"/>
  <c r="X1731" i="15" s="1"/>
  <c r="T1722" i="15"/>
  <c r="T1718" i="15"/>
  <c r="T1709" i="15"/>
  <c r="T1717" i="15"/>
  <c r="T1715" i="15"/>
  <c r="T1713" i="15"/>
  <c r="T1714" i="15"/>
  <c r="T1712" i="15"/>
  <c r="T1705" i="15"/>
  <c r="T1623" i="15"/>
  <c r="V1404" i="15"/>
  <c r="V1360" i="15"/>
  <c r="T1685" i="15"/>
  <c r="T1665" i="15"/>
  <c r="T1681" i="15"/>
  <c r="T1669" i="15"/>
  <c r="T1691" i="15"/>
  <c r="T1684" i="15"/>
  <c r="V1412" i="15"/>
  <c r="V1420" i="15"/>
  <c r="V1589" i="15"/>
  <c r="T1589" i="15"/>
  <c r="V1577" i="15"/>
  <c r="T1577" i="15"/>
  <c r="V1482" i="15"/>
  <c r="V1376" i="15"/>
  <c r="T1653" i="15"/>
  <c r="T1648" i="15"/>
  <c r="T1631" i="15"/>
  <c r="T1635" i="15"/>
  <c r="D265" i="22"/>
  <c r="T1629" i="15"/>
  <c r="T1625" i="15"/>
  <c r="T1624" i="15"/>
  <c r="V1628" i="15"/>
  <c r="Q1628" i="15"/>
  <c r="X1628" i="15" s="1"/>
  <c r="T1609" i="15"/>
  <c r="T1619" i="15"/>
  <c r="T1617" i="15"/>
  <c r="T1621" i="15"/>
  <c r="T1544" i="15"/>
  <c r="T1584" i="15"/>
  <c r="T1605" i="15"/>
  <c r="T1603" i="15"/>
  <c r="T1569" i="15"/>
  <c r="T1601" i="15"/>
  <c r="T1561" i="15"/>
  <c r="T1559" i="15"/>
  <c r="T1560" i="15"/>
  <c r="T1551" i="15"/>
  <c r="T1553" i="15"/>
  <c r="T1513" i="15"/>
  <c r="T1521" i="15"/>
  <c r="T1501" i="15"/>
  <c r="T1491" i="15"/>
  <c r="T1490" i="15"/>
  <c r="T1485" i="15"/>
  <c r="T1495" i="15"/>
  <c r="T1497" i="15"/>
  <c r="T1474" i="15"/>
  <c r="T1451" i="15"/>
  <c r="T1505" i="15"/>
  <c r="T1489" i="15"/>
  <c r="T1496" i="15"/>
  <c r="T1447" i="15"/>
  <c r="T1464" i="15"/>
  <c r="T1479" i="15"/>
  <c r="Q1482" i="15"/>
  <c r="X1482" i="15" s="1"/>
  <c r="T1460" i="15"/>
  <c r="T1467" i="15"/>
  <c r="V1340" i="15"/>
  <c r="V1380" i="15"/>
  <c r="Q1404" i="15"/>
  <c r="X1404" i="15" s="1"/>
  <c r="V1273" i="15"/>
  <c r="V1336" i="15"/>
  <c r="Q1340" i="15"/>
  <c r="X1340" i="15" s="1"/>
  <c r="V1369" i="15"/>
  <c r="Q1360" i="15"/>
  <c r="X1360" i="15" s="1"/>
  <c r="Q1420" i="15"/>
  <c r="X1420" i="15" s="1"/>
  <c r="Q1444" i="15"/>
  <c r="X1444" i="15" s="1"/>
  <c r="V1289" i="15"/>
  <c r="V1332" i="15"/>
  <c r="T1332" i="15"/>
  <c r="Q1336" i="15"/>
  <c r="X1336" i="15" s="1"/>
  <c r="Q1369" i="15"/>
  <c r="V1377" i="15"/>
  <c r="V1385" i="15"/>
  <c r="T1385" i="15"/>
  <c r="V1396" i="15"/>
  <c r="Q1453" i="15"/>
  <c r="X1453" i="15" s="1"/>
  <c r="Q1448" i="15"/>
  <c r="X1448" i="15" s="1"/>
  <c r="T1437" i="15"/>
  <c r="T1434" i="15"/>
  <c r="T1441" i="15"/>
  <c r="T1438" i="15"/>
  <c r="T1442" i="15"/>
  <c r="Q1436" i="15"/>
  <c r="X1436" i="15" s="1"/>
  <c r="T1419" i="15"/>
  <c r="T1422" i="15"/>
  <c r="T1409" i="15"/>
  <c r="T1407" i="15"/>
  <c r="Q1428" i="15"/>
  <c r="X1428" i="15" s="1"/>
  <c r="Q1421" i="15"/>
  <c r="X1421" i="15" s="1"/>
  <c r="T1397" i="15"/>
  <c r="T1398" i="15"/>
  <c r="T1401" i="15"/>
  <c r="Q1412" i="15"/>
  <c r="X1412" i="15" s="1"/>
  <c r="V1408" i="15"/>
  <c r="Q1408" i="15"/>
  <c r="X1408" i="15" s="1"/>
  <c r="T1386" i="15"/>
  <c r="T1378" i="15"/>
  <c r="Q1396" i="15"/>
  <c r="T1362" i="15"/>
  <c r="T1382" i="15"/>
  <c r="V1388" i="15"/>
  <c r="Q1388" i="15"/>
  <c r="X1388" i="15" s="1"/>
  <c r="Q1380" i="15"/>
  <c r="X1380" i="15" s="1"/>
  <c r="V1384" i="15"/>
  <c r="Q1384" i="15"/>
  <c r="W1384" i="15" s="1"/>
  <c r="Q1381" i="15"/>
  <c r="X1381" i="15" s="1"/>
  <c r="Q1377" i="15"/>
  <c r="X1377" i="15" s="1"/>
  <c r="Q1376" i="15"/>
  <c r="X1376" i="15" s="1"/>
  <c r="T1366" i="15"/>
  <c r="V1368" i="15"/>
  <c r="Q1368" i="15"/>
  <c r="X1368" i="15" s="1"/>
  <c r="V1364" i="15"/>
  <c r="Q1364" i="15"/>
  <c r="X1364" i="15" s="1"/>
  <c r="T1353" i="15"/>
  <c r="T1358" i="15"/>
  <c r="T1357" i="15"/>
  <c r="Q1348" i="15"/>
  <c r="X1348" i="15" s="1"/>
  <c r="T1347" i="15"/>
  <c r="V1337" i="15"/>
  <c r="Q1337" i="15"/>
  <c r="X1337" i="15" s="1"/>
  <c r="T1330" i="15"/>
  <c r="T1319" i="15"/>
  <c r="T1322" i="15"/>
  <c r="T1315" i="15"/>
  <c r="Q1312" i="15"/>
  <c r="X1312" i="15" s="1"/>
  <c r="T1303" i="15"/>
  <c r="Q1297" i="15"/>
  <c r="X1297" i="15" s="1"/>
  <c r="T1297" i="15"/>
  <c r="T1293" i="15"/>
  <c r="Q1289" i="15"/>
  <c r="X1289" i="15" s="1"/>
  <c r="T1275" i="15"/>
  <c r="T1265" i="15"/>
  <c r="Q1273" i="15"/>
  <c r="X1273" i="15" s="1"/>
  <c r="T1221" i="15"/>
  <c r="Q1220" i="15"/>
  <c r="X1220" i="15" s="1"/>
  <c r="T1220" i="15"/>
  <c r="T1212" i="15"/>
  <c r="V1207" i="15"/>
  <c r="Q1207" i="15"/>
  <c r="X1207" i="15" s="1"/>
  <c r="T1194" i="15"/>
  <c r="T1193" i="15"/>
  <c r="T1187" i="15"/>
  <c r="T1188" i="15"/>
  <c r="T1164" i="15"/>
  <c r="V1168" i="15"/>
  <c r="T1141" i="15"/>
  <c r="V2241" i="15"/>
  <c r="T2241" i="15"/>
  <c r="Q1168" i="15"/>
  <c r="X1168" i="15" s="1"/>
  <c r="T1183" i="15"/>
  <c r="T1182" i="15"/>
  <c r="T1177" i="15"/>
  <c r="T1173" i="15"/>
  <c r="T1137" i="15"/>
  <c r="T1117" i="15"/>
  <c r="T1118" i="15"/>
  <c r="T1119" i="15"/>
  <c r="T1120" i="15"/>
  <c r="T1127" i="15"/>
  <c r="T1125" i="15"/>
  <c r="T1113" i="15"/>
  <c r="T1101" i="15"/>
  <c r="T1110" i="15"/>
  <c r="T1109" i="15"/>
  <c r="T1089" i="15"/>
  <c r="T1102" i="15"/>
  <c r="T1099" i="15"/>
  <c r="T1093" i="15"/>
  <c r="T1085" i="15"/>
  <c r="T1086" i="15"/>
  <c r="T1087" i="15"/>
  <c r="T1082" i="15"/>
  <c r="I6" i="22"/>
  <c r="B55" i="22"/>
  <c r="D55" i="22" s="1"/>
  <c r="V1393" i="15"/>
  <c r="T1393" i="15"/>
  <c r="Q10" i="21"/>
  <c r="V1576" i="15"/>
  <c r="T1576" i="15"/>
  <c r="V1356" i="15"/>
  <c r="T1356" i="15"/>
  <c r="V1452" i="15"/>
  <c r="T1452" i="15"/>
  <c r="V1644" i="15"/>
  <c r="T1644" i="15"/>
  <c r="V2044" i="15"/>
  <c r="T2044" i="15"/>
  <c r="V1933" i="15"/>
  <c r="T1933" i="15"/>
  <c r="V1416" i="15"/>
  <c r="T1416" i="15"/>
  <c r="V2238" i="15"/>
  <c r="T2238" i="15"/>
  <c r="T1037" i="15"/>
  <c r="T1055" i="15"/>
  <c r="T1073" i="15"/>
  <c r="T1071" i="15"/>
  <c r="V1432" i="15"/>
  <c r="T1432" i="15"/>
  <c r="V1664" i="15"/>
  <c r="T1664" i="15"/>
  <c r="V1365" i="15"/>
  <c r="T1365" i="15"/>
  <c r="V1405" i="15"/>
  <c r="T1405" i="15"/>
  <c r="V1372" i="15"/>
  <c r="T1372" i="15"/>
  <c r="V1918" i="15"/>
  <c r="T1918" i="15"/>
  <c r="V1429" i="15"/>
  <c r="T1429" i="15"/>
  <c r="T1065" i="15"/>
  <c r="V1887" i="15"/>
  <c r="T1887" i="15"/>
  <c r="V2100" i="15"/>
  <c r="T2100" i="15"/>
  <c r="V883" i="15"/>
  <c r="V1723" i="15"/>
  <c r="T1723" i="15"/>
  <c r="V1012" i="15"/>
  <c r="V991" i="15"/>
  <c r="T991" i="15"/>
  <c r="V999" i="15"/>
  <c r="T1059" i="15"/>
  <c r="T1044" i="15"/>
  <c r="T1030" i="15"/>
  <c r="T1041" i="15"/>
  <c r="T1020" i="15"/>
  <c r="T1016" i="15"/>
  <c r="T1024" i="15"/>
  <c r="T1018" i="15"/>
  <c r="Q1028" i="15"/>
  <c r="W1028" i="15" s="1"/>
  <c r="T1028" i="15"/>
  <c r="V818" i="15"/>
  <c r="V969" i="15"/>
  <c r="T969" i="15"/>
  <c r="Q883" i="15"/>
  <c r="W883" i="15" s="1"/>
  <c r="Q999" i="15"/>
  <c r="X999" i="15" s="1"/>
  <c r="Q1012" i="15"/>
  <c r="X1012" i="15" s="1"/>
  <c r="T1007" i="15"/>
  <c r="T1009" i="15"/>
  <c r="T983" i="15"/>
  <c r="T959" i="15"/>
  <c r="T993" i="15"/>
  <c r="V985" i="15"/>
  <c r="Q985" i="15"/>
  <c r="X985" i="15" s="1"/>
  <c r="T971" i="15"/>
  <c r="T973" i="15"/>
  <c r="T967" i="15"/>
  <c r="T957" i="15"/>
  <c r="T950" i="15"/>
  <c r="T953" i="15"/>
  <c r="T946" i="15"/>
  <c r="T947" i="15"/>
  <c r="T913" i="15"/>
  <c r="O30" i="21"/>
  <c r="T941" i="15"/>
  <c r="T938" i="15"/>
  <c r="T939" i="15"/>
  <c r="Q925" i="15"/>
  <c r="W925" i="15" s="1"/>
  <c r="T925" i="15"/>
  <c r="V917" i="15"/>
  <c r="Q917" i="15"/>
  <c r="X917" i="15" s="1"/>
  <c r="T911" i="15"/>
  <c r="T890" i="15"/>
  <c r="V909" i="15"/>
  <c r="T891" i="15"/>
  <c r="Q909" i="15"/>
  <c r="X909" i="15" s="1"/>
  <c r="T892" i="15"/>
  <c r="V903" i="15"/>
  <c r="Q903" i="15"/>
  <c r="X903" i="15" s="1"/>
  <c r="T889" i="15"/>
  <c r="V895" i="15"/>
  <c r="Q895" i="15"/>
  <c r="X895" i="15" s="1"/>
  <c r="T882" i="15"/>
  <c r="T868" i="15"/>
  <c r="T851" i="15"/>
  <c r="T872" i="15"/>
  <c r="T847" i="15"/>
  <c r="T823" i="15"/>
  <c r="T848" i="15"/>
  <c r="T867" i="15"/>
  <c r="T856" i="15"/>
  <c r="T836" i="15"/>
  <c r="T860" i="15"/>
  <c r="T817" i="15"/>
  <c r="Q818" i="15"/>
  <c r="X818" i="15" s="1"/>
  <c r="T807" i="15"/>
  <c r="T800" i="15"/>
  <c r="T811" i="15"/>
  <c r="T805" i="15"/>
  <c r="T804" i="15"/>
  <c r="T790" i="15"/>
  <c r="T779" i="15"/>
  <c r="Y779" i="15" s="1"/>
  <c r="T780" i="15"/>
  <c r="T783" i="15"/>
  <c r="T787" i="15"/>
  <c r="T776" i="15"/>
  <c r="T784" i="15"/>
  <c r="V782" i="15"/>
  <c r="Q782" i="15"/>
  <c r="X782" i="15" s="1"/>
  <c r="T762" i="15"/>
  <c r="D167" i="22"/>
  <c r="V758" i="15"/>
  <c r="T758" i="15"/>
  <c r="T739" i="15"/>
  <c r="T741" i="15"/>
  <c r="T744" i="15"/>
  <c r="T740" i="15"/>
  <c r="T738" i="15"/>
  <c r="T735" i="15"/>
  <c r="T737" i="15"/>
  <c r="T729" i="15"/>
  <c r="D157" i="22"/>
  <c r="T724" i="15"/>
  <c r="T723" i="15"/>
  <c r="Q718" i="15"/>
  <c r="X718" i="15" s="1"/>
  <c r="T712" i="15"/>
  <c r="V710" i="15"/>
  <c r="Q710" i="15"/>
  <c r="W710" i="15" s="1"/>
  <c r="U2175" i="15"/>
  <c r="T2175" i="15"/>
  <c r="V1697" i="15"/>
  <c r="T1697" i="15"/>
  <c r="V1392" i="15"/>
  <c r="T1392" i="15"/>
  <c r="V2174" i="15"/>
  <c r="T2174" i="15"/>
  <c r="V363" i="15"/>
  <c r="V266" i="15"/>
  <c r="V547" i="15"/>
  <c r="V1719" i="15"/>
  <c r="T1719" i="15"/>
  <c r="V678" i="15"/>
  <c r="V881" i="15"/>
  <c r="T881" i="15"/>
  <c r="V711" i="15"/>
  <c r="T711" i="15"/>
  <c r="V515" i="15"/>
  <c r="V1596" i="15"/>
  <c r="T1596" i="15"/>
  <c r="V558" i="15"/>
  <c r="V102" i="15"/>
  <c r="V2038" i="15"/>
  <c r="T2038" i="15"/>
  <c r="V1843" i="15"/>
  <c r="T1843" i="15"/>
  <c r="V1894" i="15"/>
  <c r="T1894" i="15"/>
  <c r="V14" i="15"/>
  <c r="V778" i="15"/>
  <c r="T778" i="15"/>
  <c r="V1471" i="15"/>
  <c r="T1471" i="15"/>
  <c r="V46" i="15"/>
  <c r="V2160" i="15"/>
  <c r="T2160" i="15"/>
  <c r="V1821" i="15"/>
  <c r="T1821" i="15"/>
  <c r="V2011" i="15"/>
  <c r="T2011" i="15"/>
  <c r="V381" i="15"/>
  <c r="V1311" i="15"/>
  <c r="T1311" i="15"/>
  <c r="U2172" i="15"/>
  <c r="T2172" i="15"/>
  <c r="V510" i="15"/>
  <c r="U441" i="15"/>
  <c r="U1136" i="15"/>
  <c r="T1136" i="15"/>
  <c r="U651" i="15"/>
  <c r="V420" i="15"/>
  <c r="V1791" i="15"/>
  <c r="T1791" i="15"/>
  <c r="V726" i="15"/>
  <c r="T726" i="15"/>
  <c r="V2084" i="15"/>
  <c r="V1072" i="15"/>
  <c r="T1072" i="15"/>
  <c r="V1759" i="15"/>
  <c r="T1759" i="15"/>
  <c r="V1854" i="15"/>
  <c r="T1854" i="15"/>
  <c r="V2205" i="15"/>
  <c r="U1728" i="15"/>
  <c r="T1728" i="15"/>
  <c r="V2256" i="15"/>
  <c r="U1088" i="15"/>
  <c r="T1088" i="15"/>
  <c r="V1775" i="15"/>
  <c r="T1775" i="15"/>
  <c r="V1797" i="15"/>
  <c r="T1797" i="15"/>
  <c r="V290" i="15"/>
  <c r="V270" i="15"/>
  <c r="V590" i="15"/>
  <c r="U674" i="15"/>
  <c r="V873" i="15"/>
  <c r="T873" i="15"/>
  <c r="V730" i="15"/>
  <c r="T730" i="15"/>
  <c r="V1733" i="15"/>
  <c r="T1733" i="15"/>
  <c r="V8" i="15"/>
  <c r="U1687" i="15"/>
  <c r="T1687" i="15"/>
  <c r="V2009" i="15"/>
  <c r="V9" i="15"/>
  <c r="U1475" i="15"/>
  <c r="T1475" i="15"/>
  <c r="V33" i="15"/>
  <c r="V2034" i="15"/>
  <c r="T2034" i="15"/>
  <c r="V37" i="15"/>
  <c r="V142" i="15"/>
  <c r="V62" i="15"/>
  <c r="U304" i="15"/>
  <c r="V2074" i="15"/>
  <c r="T2074" i="15"/>
  <c r="U2229" i="15"/>
  <c r="T2229" i="15"/>
  <c r="U2260" i="15"/>
  <c r="T2260" i="15"/>
  <c r="U1486" i="15"/>
  <c r="T1486" i="15"/>
  <c r="V2106" i="15"/>
  <c r="T2106" i="15"/>
  <c r="V768" i="15"/>
  <c r="T768" i="15"/>
  <c r="V870" i="15"/>
  <c r="T870" i="15"/>
  <c r="V1704" i="15"/>
  <c r="T1704" i="15"/>
  <c r="V1820" i="15"/>
  <c r="T1820" i="15"/>
  <c r="V1066" i="15"/>
  <c r="T1066" i="15"/>
  <c r="V1157" i="15"/>
  <c r="T1157" i="15"/>
  <c r="V1199" i="15"/>
  <c r="T1199" i="15"/>
  <c r="V1502" i="15"/>
  <c r="T1502" i="15"/>
  <c r="V1535" i="15"/>
  <c r="T1535" i="15"/>
  <c r="V1700" i="15"/>
  <c r="T1700" i="15"/>
  <c r="V1903" i="15"/>
  <c r="T1903" i="15"/>
  <c r="V1942" i="15"/>
  <c r="T1942" i="15"/>
  <c r="V2259" i="15"/>
  <c r="T2259" i="15"/>
  <c r="V815" i="15"/>
  <c r="T815" i="15"/>
  <c r="V1268" i="15"/>
  <c r="T1268" i="15"/>
  <c r="V1523" i="15"/>
  <c r="T1523" i="15"/>
  <c r="V1898" i="15"/>
  <c r="T1898" i="15"/>
  <c r="V2247" i="15"/>
  <c r="T2247" i="15"/>
  <c r="V1979" i="15"/>
  <c r="T1979" i="15"/>
  <c r="V2190" i="15"/>
  <c r="T2190" i="15"/>
  <c r="V812" i="15"/>
  <c r="T812" i="15"/>
  <c r="V1069" i="15"/>
  <c r="T1069" i="15"/>
  <c r="V1096" i="15"/>
  <c r="T1096" i="15"/>
  <c r="V1179" i="15"/>
  <c r="T1179" i="15"/>
  <c r="V1202" i="15"/>
  <c r="T1202" i="15"/>
  <c r="V1708" i="15"/>
  <c r="T1708" i="15"/>
  <c r="V1939" i="15"/>
  <c r="T1939" i="15"/>
  <c r="V2004" i="15"/>
  <c r="T2004" i="15"/>
  <c r="V2032" i="15"/>
  <c r="T2032" i="15"/>
  <c r="V235" i="15"/>
  <c r="U497" i="15"/>
  <c r="V844" i="15"/>
  <c r="T844" i="15"/>
  <c r="V69" i="15"/>
  <c r="V269" i="15"/>
  <c r="V274" i="15"/>
  <c r="V698" i="15"/>
  <c r="T698" i="15"/>
  <c r="U859" i="15"/>
  <c r="T859" i="15"/>
  <c r="V1084" i="15"/>
  <c r="T1084" i="15"/>
  <c r="U2266" i="15"/>
  <c r="T2266" i="15"/>
  <c r="V22" i="15"/>
  <c r="U617" i="15"/>
  <c r="U1064" i="15"/>
  <c r="T1064" i="15"/>
  <c r="U1167" i="15"/>
  <c r="T1167" i="15"/>
  <c r="V45" i="15"/>
  <c r="V85" i="15"/>
  <c r="V87" i="15"/>
  <c r="V676" i="15"/>
  <c r="V700" i="15"/>
  <c r="T700" i="15"/>
  <c r="V1144" i="15"/>
  <c r="T1144" i="15"/>
  <c r="V1223" i="15"/>
  <c r="T1223" i="15"/>
  <c r="V1869" i="15"/>
  <c r="T1869" i="15"/>
  <c r="V494" i="15"/>
  <c r="V794" i="15"/>
  <c r="T794" i="15"/>
  <c r="V840" i="15"/>
  <c r="T840" i="15"/>
  <c r="V1014" i="15"/>
  <c r="T1014" i="15"/>
  <c r="V1552" i="15"/>
  <c r="T1552" i="15"/>
  <c r="V1839" i="15"/>
  <c r="T1839" i="15"/>
  <c r="U1720" i="15"/>
  <c r="T1720" i="15"/>
  <c r="V419" i="15"/>
  <c r="V756" i="15"/>
  <c r="T756" i="15"/>
  <c r="V802" i="15"/>
  <c r="T802" i="15"/>
  <c r="V871" i="15"/>
  <c r="T871" i="15"/>
  <c r="V416" i="15"/>
  <c r="V688" i="15"/>
  <c r="V877" i="15"/>
  <c r="T877" i="15"/>
  <c r="V1001" i="15"/>
  <c r="T1001" i="15"/>
  <c r="V1053" i="15"/>
  <c r="T1053" i="15"/>
  <c r="V1104" i="15"/>
  <c r="T1104" i="15"/>
  <c r="V1468" i="15"/>
  <c r="T1468" i="15"/>
  <c r="V1588" i="15"/>
  <c r="T1588" i="15"/>
  <c r="V1823" i="15"/>
  <c r="T1823" i="15"/>
  <c r="V1112" i="15"/>
  <c r="T1112" i="15"/>
  <c r="V1156" i="15"/>
  <c r="T1156" i="15"/>
  <c r="U1710" i="15"/>
  <c r="T1710" i="15"/>
  <c r="V1787" i="15"/>
  <c r="T1787" i="15"/>
  <c r="V2052" i="15"/>
  <c r="T2052" i="15"/>
  <c r="V2098" i="15"/>
  <c r="V1962" i="15"/>
  <c r="T1962" i="15"/>
  <c r="V2048" i="15"/>
  <c r="T2048" i="15"/>
  <c r="V1240" i="15"/>
  <c r="T1240" i="15"/>
  <c r="U1276" i="15"/>
  <c r="T1276" i="15"/>
  <c r="V1313" i="15"/>
  <c r="T1313" i="15"/>
  <c r="V1740" i="15"/>
  <c r="T1740" i="15"/>
  <c r="V1932" i="15"/>
  <c r="T1932" i="15"/>
  <c r="V682" i="15"/>
  <c r="V714" i="15"/>
  <c r="T714" i="15"/>
  <c r="V772" i="15"/>
  <c r="T772" i="15"/>
  <c r="V798" i="15"/>
  <c r="T798" i="15"/>
  <c r="V945" i="15"/>
  <c r="T945" i="15"/>
  <c r="V1152" i="15"/>
  <c r="T1152" i="15"/>
  <c r="V1232" i="15"/>
  <c r="T1232" i="15"/>
  <c r="V1844" i="15"/>
  <c r="T1844" i="15"/>
  <c r="V1851" i="15"/>
  <c r="T1851" i="15"/>
  <c r="V716" i="15"/>
  <c r="T716" i="15"/>
  <c r="V1124" i="15"/>
  <c r="T1124" i="15"/>
  <c r="V1148" i="15"/>
  <c r="T1148" i="15"/>
  <c r="V1211" i="15"/>
  <c r="T1211" i="15"/>
  <c r="V1532" i="15"/>
  <c r="T1532" i="15"/>
  <c r="V1070" i="15"/>
  <c r="T1070" i="15"/>
  <c r="V1244" i="15"/>
  <c r="T1244" i="15"/>
  <c r="V1284" i="15"/>
  <c r="T1284" i="15"/>
  <c r="V1291" i="15"/>
  <c r="T1291" i="15"/>
  <c r="V1449" i="15"/>
  <c r="T1449" i="15"/>
  <c r="V1531" i="15"/>
  <c r="T1531" i="15"/>
  <c r="V1688" i="15"/>
  <c r="T1688" i="15"/>
  <c r="V1840" i="15"/>
  <c r="T1840" i="15"/>
  <c r="U1846" i="15"/>
  <c r="T1846" i="15"/>
  <c r="V1981" i="15"/>
  <c r="T1981" i="15"/>
  <c r="V2012" i="15"/>
  <c r="T2012" i="15"/>
  <c r="V2079" i="15"/>
  <c r="T2079" i="15"/>
  <c r="V1781" i="15"/>
  <c r="T1781" i="15"/>
  <c r="V1459" i="15"/>
  <c r="T1459" i="15"/>
  <c r="U1484" i="15"/>
  <c r="T1484" i="15"/>
  <c r="V1540" i="15"/>
  <c r="T1540" i="15"/>
  <c r="V1765" i="15"/>
  <c r="T1765" i="15"/>
  <c r="V1831" i="15"/>
  <c r="T1831" i="15"/>
  <c r="V1921" i="15"/>
  <c r="T1921" i="15"/>
  <c r="V1959" i="15"/>
  <c r="T1959" i="15"/>
  <c r="U2173" i="15"/>
  <c r="T2173" i="15"/>
  <c r="V2176" i="15"/>
  <c r="T2176" i="15"/>
  <c r="V2228" i="15"/>
  <c r="T2228" i="15"/>
  <c r="V2257" i="15"/>
  <c r="T2257" i="15"/>
  <c r="V2064" i="15"/>
  <c r="V1764" i="15"/>
  <c r="T1764" i="15"/>
  <c r="V2141" i="15"/>
  <c r="T2141" i="15"/>
  <c r="V2150" i="15"/>
  <c r="T2150" i="15"/>
  <c r="V1964" i="15"/>
  <c r="T1964" i="15"/>
  <c r="V2183" i="15"/>
  <c r="T2183" i="15"/>
  <c r="V1417" i="15"/>
  <c r="T1417" i="15"/>
  <c r="V1547" i="15"/>
  <c r="T1547" i="15"/>
  <c r="V1612" i="15"/>
  <c r="T1612" i="15"/>
  <c r="V2076" i="15"/>
  <c r="T2076" i="15"/>
  <c r="V2235" i="15"/>
  <c r="T2235" i="15"/>
  <c r="V2269" i="15"/>
  <c r="T2269" i="15"/>
  <c r="V1600" i="15"/>
  <c r="T1600" i="15"/>
  <c r="V1721" i="15"/>
  <c r="T1721" i="15"/>
  <c r="V1739" i="15"/>
  <c r="T1739" i="15"/>
  <c r="V1804" i="15"/>
  <c r="T1804" i="15"/>
  <c r="V2031" i="15"/>
  <c r="T2031" i="15"/>
  <c r="V2115" i="15"/>
  <c r="T2115" i="15"/>
  <c r="V2139" i="15"/>
  <c r="T2139" i="15"/>
  <c r="V2192" i="15"/>
  <c r="V1768" i="15"/>
  <c r="T1768" i="15"/>
  <c r="V1833" i="15"/>
  <c r="T1833" i="15"/>
  <c r="V2167" i="15"/>
  <c r="T2167" i="15"/>
  <c r="V2254" i="15"/>
  <c r="T2254" i="15"/>
  <c r="V27" i="15"/>
  <c r="V43" i="15"/>
  <c r="V50" i="15"/>
  <c r="V70" i="15"/>
  <c r="V171" i="15"/>
  <c r="U771" i="15"/>
  <c r="T771" i="15"/>
  <c r="V17" i="15"/>
  <c r="V48" i="15"/>
  <c r="V49" i="15"/>
  <c r="V88" i="15"/>
  <c r="V150" i="15"/>
  <c r="V239" i="15"/>
  <c r="V405" i="15"/>
  <c r="V907" i="15"/>
  <c r="T907" i="15"/>
  <c r="V64" i="15"/>
  <c r="V375" i="15"/>
  <c r="V40" i="15"/>
  <c r="V423" i="15"/>
  <c r="U401" i="15"/>
  <c r="V489" i="15"/>
  <c r="V58" i="15"/>
  <c r="V417" i="15"/>
  <c r="U449" i="15"/>
  <c r="V221" i="15"/>
  <c r="V693" i="15"/>
  <c r="T693" i="15" s="1"/>
  <c r="V752" i="15"/>
  <c r="T752" i="15"/>
  <c r="V178" i="15"/>
  <c r="V340" i="15"/>
  <c r="V382" i="15"/>
  <c r="U689" i="15"/>
  <c r="V852" i="15"/>
  <c r="T852" i="15"/>
  <c r="U918" i="15"/>
  <c r="T918" i="15"/>
  <c r="V552" i="15"/>
  <c r="V672" i="15"/>
  <c r="V581" i="15"/>
  <c r="V677" i="15"/>
  <c r="V717" i="15"/>
  <c r="T717" i="15"/>
  <c r="V1049" i="15"/>
  <c r="T1049" i="15"/>
  <c r="V1321" i="15"/>
  <c r="T1321" i="15"/>
  <c r="V398" i="15"/>
  <c r="V658" i="15"/>
  <c r="V801" i="15"/>
  <c r="T801" i="15"/>
  <c r="V1074" i="15"/>
  <c r="T1074" i="15"/>
  <c r="V89" i="15"/>
  <c r="V582" i="15"/>
  <c r="V699" i="15"/>
  <c r="T699" i="15"/>
  <c r="V719" i="15"/>
  <c r="T719" i="15"/>
  <c r="V570" i="15"/>
  <c r="V706" i="15"/>
  <c r="T706" i="15"/>
  <c r="V750" i="15"/>
  <c r="T750" i="15"/>
  <c r="V763" i="15"/>
  <c r="T763" i="15"/>
  <c r="U808" i="15"/>
  <c r="T808" i="15"/>
  <c r="U827" i="15"/>
  <c r="T827" i="15"/>
  <c r="V835" i="15"/>
  <c r="T835" i="15"/>
  <c r="V849" i="15"/>
  <c r="T849" i="15"/>
  <c r="V1292" i="15"/>
  <c r="T1292" i="15"/>
  <c r="V367" i="15"/>
  <c r="V502" i="15"/>
  <c r="V522" i="15"/>
  <c r="V554" i="15"/>
  <c r="V584" i="15"/>
  <c r="V593" i="15"/>
  <c r="V675" i="15"/>
  <c r="V687" i="15"/>
  <c r="T687" i="15" s="1"/>
  <c r="V707" i="15"/>
  <c r="T707" i="15"/>
  <c r="V822" i="15"/>
  <c r="T822" i="15"/>
  <c r="U1116" i="15"/>
  <c r="T1116" i="15"/>
  <c r="V1287" i="15"/>
  <c r="T1287" i="15"/>
  <c r="V523" i="15"/>
  <c r="V1134" i="15"/>
  <c r="T1134" i="15"/>
  <c r="V1050" i="15"/>
  <c r="T1050" i="15"/>
  <c r="V1090" i="15"/>
  <c r="T1090" i="15"/>
  <c r="V1130" i="15"/>
  <c r="T1130" i="15"/>
  <c r="V1190" i="15"/>
  <c r="T1190" i="15"/>
  <c r="V795" i="15"/>
  <c r="T795" i="15"/>
  <c r="V816" i="15"/>
  <c r="T816" i="15"/>
  <c r="V838" i="15"/>
  <c r="T838" i="15"/>
  <c r="V935" i="15"/>
  <c r="T935" i="15"/>
  <c r="V951" i="15"/>
  <c r="T951" i="15"/>
  <c r="V1051" i="15"/>
  <c r="T1051" i="15"/>
  <c r="V1138" i="15"/>
  <c r="T1138" i="15"/>
  <c r="V1178" i="15"/>
  <c r="T1178" i="15"/>
  <c r="V1204" i="15"/>
  <c r="T1204" i="15"/>
  <c r="V1427" i="15"/>
  <c r="T1427" i="15"/>
  <c r="V1439" i="15"/>
  <c r="T1439" i="15"/>
  <c r="V1371" i="15"/>
  <c r="T1371" i="15"/>
  <c r="V713" i="15"/>
  <c r="T713" i="15"/>
  <c r="V754" i="15"/>
  <c r="T754" i="15"/>
  <c r="V766" i="15"/>
  <c r="T766" i="15"/>
  <c r="V770" i="15"/>
  <c r="T770" i="15"/>
  <c r="V806" i="15"/>
  <c r="T806" i="15"/>
  <c r="V810" i="15"/>
  <c r="T810" i="15"/>
  <c r="V820" i="15"/>
  <c r="T820" i="15"/>
  <c r="V824" i="15"/>
  <c r="T824" i="15"/>
  <c r="V828" i="15"/>
  <c r="T828" i="15"/>
  <c r="V869" i="15"/>
  <c r="T869" i="15"/>
  <c r="V915" i="15"/>
  <c r="T915" i="15"/>
  <c r="V930" i="15"/>
  <c r="T930" i="15"/>
  <c r="V937" i="15"/>
  <c r="T937" i="15"/>
  <c r="U955" i="15"/>
  <c r="T955" i="15"/>
  <c r="V1067" i="15"/>
  <c r="T1067" i="15"/>
  <c r="V1076" i="15"/>
  <c r="T1076" i="15"/>
  <c r="V1080" i="15"/>
  <c r="T1080" i="15"/>
  <c r="V1098" i="15"/>
  <c r="T1098" i="15"/>
  <c r="V1106" i="15"/>
  <c r="T1106" i="15"/>
  <c r="V709" i="15"/>
  <c r="T709" i="15"/>
  <c r="V803" i="15"/>
  <c r="T803" i="15"/>
  <c r="V825" i="15"/>
  <c r="T825" i="15"/>
  <c r="V887" i="15"/>
  <c r="T887" i="15"/>
  <c r="V912" i="15"/>
  <c r="T912" i="15"/>
  <c r="V919" i="15"/>
  <c r="T919" i="15"/>
  <c r="V1128" i="15"/>
  <c r="T1128" i="15"/>
  <c r="V1140" i="15"/>
  <c r="T1140" i="15"/>
  <c r="V1175" i="15"/>
  <c r="T1175" i="15"/>
  <c r="U1184" i="15"/>
  <c r="T1184" i="15"/>
  <c r="V1528" i="15"/>
  <c r="T1528" i="15"/>
  <c r="V1692" i="15"/>
  <c r="T1692" i="15"/>
  <c r="V1092" i="15"/>
  <c r="T1092" i="15"/>
  <c r="V1180" i="15"/>
  <c r="T1180" i="15"/>
  <c r="V1201" i="15"/>
  <c r="T1201" i="15"/>
  <c r="V1263" i="15"/>
  <c r="T1263" i="15"/>
  <c r="V1307" i="15"/>
  <c r="T1307" i="15"/>
  <c r="V1595" i="15"/>
  <c r="T1595" i="15"/>
  <c r="V720" i="15"/>
  <c r="T720" i="15"/>
  <c r="V732" i="15"/>
  <c r="T732" i="15"/>
  <c r="V759" i="15"/>
  <c r="T759" i="15"/>
  <c r="V888" i="15"/>
  <c r="T888" i="15"/>
  <c r="V896" i="15"/>
  <c r="T896" i="15"/>
  <c r="V921" i="15"/>
  <c r="T921" i="15"/>
  <c r="V975" i="15"/>
  <c r="T975" i="15"/>
  <c r="V989" i="15"/>
  <c r="T989" i="15"/>
  <c r="V1039" i="15"/>
  <c r="T1039" i="15"/>
  <c r="U1100" i="15"/>
  <c r="T1100" i="15"/>
  <c r="V1114" i="15"/>
  <c r="T1114" i="15"/>
  <c r="V1443" i="15"/>
  <c r="T1443" i="15"/>
  <c r="V1508" i="15"/>
  <c r="T1508" i="15"/>
  <c r="V1695" i="15"/>
  <c r="T1695" i="15"/>
  <c r="V1779" i="15"/>
  <c r="T1779" i="15"/>
  <c r="V1411" i="15"/>
  <c r="T1411" i="15"/>
  <c r="V1477" i="15"/>
  <c r="T1477" i="15"/>
  <c r="V1604" i="15"/>
  <c r="T1604" i="15"/>
  <c r="V1824" i="15"/>
  <c r="T1824" i="15"/>
  <c r="U2220" i="15"/>
  <c r="T2220" i="15"/>
  <c r="V1172" i="15"/>
  <c r="T1172" i="15"/>
  <c r="V1176" i="15"/>
  <c r="T1176" i="15"/>
  <c r="V1192" i="15"/>
  <c r="T1192" i="15"/>
  <c r="V1196" i="15"/>
  <c r="T1196" i="15"/>
  <c r="V1379" i="15"/>
  <c r="T1379" i="15"/>
  <c r="V1387" i="15"/>
  <c r="T1387" i="15"/>
  <c r="V1543" i="15"/>
  <c r="T1543" i="15"/>
  <c r="V1652" i="15"/>
  <c r="T1652" i="15"/>
  <c r="V1878" i="15"/>
  <c r="T1878" i="15"/>
  <c r="U1952" i="15"/>
  <c r="T1952" i="15"/>
  <c r="V2086" i="15"/>
  <c r="T2086" i="15"/>
  <c r="V2092" i="15"/>
  <c r="T2092" i="15"/>
  <c r="V1200" i="15"/>
  <c r="T1200" i="15"/>
  <c r="U1304" i="15"/>
  <c r="T1304" i="15"/>
  <c r="U1539" i="15"/>
  <c r="T1539" i="15"/>
  <c r="V2070" i="15"/>
  <c r="T2070" i="15"/>
  <c r="V1247" i="15"/>
  <c r="T1247" i="15"/>
  <c r="U1280" i="15"/>
  <c r="T1280" i="15"/>
  <c r="V1295" i="15"/>
  <c r="T1295" i="15"/>
  <c r="V1395" i="15"/>
  <c r="T1395" i="15"/>
  <c r="V1500" i="15"/>
  <c r="T1500" i="15"/>
  <c r="V1660" i="15"/>
  <c r="T1660" i="15"/>
  <c r="U1726" i="15"/>
  <c r="T1726" i="15"/>
  <c r="V1874" i="15"/>
  <c r="T1874" i="15"/>
  <c r="V1068" i="15"/>
  <c r="T1068" i="15"/>
  <c r="V1108" i="15"/>
  <c r="T1108" i="15"/>
  <c r="V1122" i="15"/>
  <c r="T1122" i="15"/>
  <c r="V1132" i="15"/>
  <c r="T1132" i="15"/>
  <c r="V1146" i="15"/>
  <c r="T1146" i="15"/>
  <c r="V1150" i="15"/>
  <c r="T1150" i="15"/>
  <c r="V1239" i="15"/>
  <c r="T1239" i="15"/>
  <c r="V1251" i="15"/>
  <c r="T1251" i="15"/>
  <c r="V1260" i="15"/>
  <c r="T1260" i="15"/>
  <c r="V1271" i="15"/>
  <c r="T1271" i="15"/>
  <c r="V1281" i="15"/>
  <c r="T1281" i="15"/>
  <c r="V1328" i="15"/>
  <c r="T1328" i="15"/>
  <c r="V1758" i="15"/>
  <c r="T1758" i="15"/>
  <c r="V1767" i="15"/>
  <c r="T1767" i="15"/>
  <c r="U1812" i="15"/>
  <c r="T1812" i="15"/>
  <c r="V1215" i="15"/>
  <c r="T1215" i="15"/>
  <c r="V1219" i="15"/>
  <c r="T1219" i="15"/>
  <c r="V1255" i="15"/>
  <c r="T1255" i="15"/>
  <c r="V1283" i="15"/>
  <c r="T1283" i="15"/>
  <c r="V1299" i="15"/>
  <c r="T1299" i="15"/>
  <c r="V1367" i="15"/>
  <c r="T1367" i="15"/>
  <c r="V1373" i="15"/>
  <c r="T1373" i="15"/>
  <c r="V1383" i="15"/>
  <c r="T1383" i="15"/>
  <c r="V1389" i="15"/>
  <c r="T1389" i="15"/>
  <c r="V1403" i="15"/>
  <c r="T1403" i="15"/>
  <c r="V1413" i="15"/>
  <c r="T1413" i="15"/>
  <c r="V1435" i="15"/>
  <c r="T1435" i="15"/>
  <c r="V1445" i="15"/>
  <c r="T1445" i="15"/>
  <c r="V1462" i="15"/>
  <c r="T1462" i="15"/>
  <c r="V1469" i="15"/>
  <c r="T1469" i="15"/>
  <c r="V1472" i="15"/>
  <c r="T1472" i="15"/>
  <c r="V1478" i="15"/>
  <c r="T1478" i="15"/>
  <c r="V1520" i="15"/>
  <c r="T1520" i="15"/>
  <c r="V1546" i="15"/>
  <c r="T1546" i="15"/>
  <c r="V1608" i="15"/>
  <c r="T1608" i="15"/>
  <c r="V1667" i="15"/>
  <c r="T1667" i="15"/>
  <c r="V1747" i="15"/>
  <c r="T1747" i="15"/>
  <c r="V1801" i="15"/>
  <c r="T1801" i="15"/>
  <c r="V1847" i="15"/>
  <c r="T1847" i="15"/>
  <c r="V1865" i="15"/>
  <c r="T1865" i="15"/>
  <c r="V1934" i="15"/>
  <c r="T1934" i="15"/>
  <c r="V1943" i="15"/>
  <c r="T1943" i="15"/>
  <c r="U2128" i="15"/>
  <c r="T2128" i="15"/>
  <c r="V2134" i="15"/>
  <c r="T2134" i="15"/>
  <c r="V1399" i="15"/>
  <c r="T1399" i="15"/>
  <c r="V1431" i="15"/>
  <c r="T1431" i="15"/>
  <c r="V1463" i="15"/>
  <c r="T1463" i="15"/>
  <c r="V1473" i="15"/>
  <c r="T1473" i="15"/>
  <c r="V1592" i="15"/>
  <c r="T1592" i="15"/>
  <c r="V1656" i="15"/>
  <c r="T1656" i="15"/>
  <c r="V1675" i="15"/>
  <c r="T1675" i="15"/>
  <c r="V1807" i="15"/>
  <c r="T1807" i="15"/>
  <c r="V1893" i="15"/>
  <c r="T1893" i="15"/>
  <c r="V1919" i="15"/>
  <c r="T1919" i="15"/>
  <c r="V1930" i="15"/>
  <c r="T1930" i="15"/>
  <c r="V2088" i="15"/>
  <c r="T2088" i="15"/>
  <c r="V2214" i="15"/>
  <c r="T2214" i="15"/>
  <c r="U1828" i="15"/>
  <c r="T1828" i="15"/>
  <c r="V1849" i="15"/>
  <c r="T1849" i="15"/>
  <c r="V1901" i="15"/>
  <c r="T1901" i="15"/>
  <c r="V1949" i="15"/>
  <c r="T1949" i="15"/>
  <c r="V1992" i="15"/>
  <c r="T1992" i="15"/>
  <c r="V2143" i="15"/>
  <c r="V2191" i="15"/>
  <c r="T2191" i="15"/>
  <c r="V1005" i="15"/>
  <c r="T1005" i="15"/>
  <c r="V1047" i="15"/>
  <c r="T1047" i="15"/>
  <c r="V1063" i="15"/>
  <c r="T1063" i="15"/>
  <c r="V1078" i="15"/>
  <c r="T1078" i="15"/>
  <c r="V1094" i="15"/>
  <c r="T1094" i="15"/>
  <c r="V1126" i="15"/>
  <c r="T1126" i="15"/>
  <c r="V1142" i="15"/>
  <c r="T1142" i="15"/>
  <c r="V1163" i="15"/>
  <c r="T1163" i="15"/>
  <c r="V1195" i="15"/>
  <c r="T1195" i="15"/>
  <c r="V1198" i="15"/>
  <c r="T1198" i="15"/>
  <c r="V1206" i="15"/>
  <c r="T1206" i="15"/>
  <c r="V1231" i="15"/>
  <c r="T1231" i="15"/>
  <c r="V1341" i="15"/>
  <c r="T1341" i="15"/>
  <c r="V1423" i="15"/>
  <c r="T1423" i="15"/>
  <c r="V1433" i="15"/>
  <c r="T1433" i="15"/>
  <c r="V1455" i="15"/>
  <c r="T1455" i="15"/>
  <c r="V1480" i="15"/>
  <c r="T1480" i="15"/>
  <c r="V1487" i="15"/>
  <c r="T1487" i="15"/>
  <c r="V1567" i="15"/>
  <c r="T1567" i="15"/>
  <c r="V1579" i="15"/>
  <c r="T1579" i="15"/>
  <c r="V1672" i="15"/>
  <c r="T1672" i="15"/>
  <c r="V1749" i="15"/>
  <c r="T1749" i="15"/>
  <c r="V1789" i="15"/>
  <c r="T1789" i="15"/>
  <c r="V1845" i="15"/>
  <c r="T1845" i="15"/>
  <c r="V1862" i="15"/>
  <c r="T1862" i="15"/>
  <c r="V1880" i="15"/>
  <c r="T1880" i="15"/>
  <c r="U1940" i="15"/>
  <c r="T1940" i="15"/>
  <c r="V2045" i="15"/>
  <c r="T2045" i="15"/>
  <c r="U2140" i="15"/>
  <c r="T2140" i="15"/>
  <c r="V2171" i="15"/>
  <c r="T2171" i="15"/>
  <c r="V1375" i="15"/>
  <c r="T1375" i="15"/>
  <c r="V1391" i="15"/>
  <c r="T1391" i="15"/>
  <c r="V1587" i="15"/>
  <c r="T1587" i="15"/>
  <c r="V1639" i="15"/>
  <c r="T1639" i="15"/>
  <c r="U1716" i="15"/>
  <c r="T1716" i="15"/>
  <c r="V1729" i="15"/>
  <c r="T1729" i="15"/>
  <c r="V1829" i="15"/>
  <c r="T1829" i="15"/>
  <c r="V1858" i="15"/>
  <c r="T1858" i="15"/>
  <c r="V1966" i="15"/>
  <c r="T1966" i="15"/>
  <c r="U1976" i="15"/>
  <c r="T1976" i="15"/>
  <c r="V2062" i="15"/>
  <c r="T2062" i="15"/>
  <c r="V1203" i="15"/>
  <c r="T1203" i="15"/>
  <c r="V1210" i="15"/>
  <c r="T1210" i="15"/>
  <c r="V1252" i="15"/>
  <c r="T1252" i="15"/>
  <c r="V1300" i="15"/>
  <c r="T1300" i="15"/>
  <c r="V1305" i="15"/>
  <c r="T1305" i="15"/>
  <c r="V1308" i="15"/>
  <c r="T1308" i="15"/>
  <c r="V1415" i="15"/>
  <c r="T1415" i="15"/>
  <c r="V1425" i="15"/>
  <c r="T1425" i="15"/>
  <c r="V1465" i="15"/>
  <c r="T1465" i="15"/>
  <c r="V1476" i="15"/>
  <c r="T1476" i="15"/>
  <c r="V1488" i="15"/>
  <c r="T1488" i="15"/>
  <c r="V1506" i="15"/>
  <c r="T1506" i="15"/>
  <c r="V1511" i="15"/>
  <c r="T1511" i="15"/>
  <c r="V1659" i="15"/>
  <c r="T1659" i="15"/>
  <c r="V1676" i="15"/>
  <c r="T1676" i="15"/>
  <c r="V1699" i="15"/>
  <c r="T1699" i="15"/>
  <c r="V1745" i="15"/>
  <c r="T1745" i="15"/>
  <c r="V1761" i="15"/>
  <c r="T1761" i="15"/>
  <c r="V1771" i="15"/>
  <c r="T1771" i="15"/>
  <c r="V1882" i="15"/>
  <c r="T1882" i="15"/>
  <c r="U1911" i="15"/>
  <c r="T1911" i="15"/>
  <c r="V1967" i="15"/>
  <c r="T1967" i="15"/>
  <c r="U2047" i="15"/>
  <c r="V2091" i="15"/>
  <c r="T2091" i="15"/>
  <c r="V2102" i="15"/>
  <c r="T2102" i="15"/>
  <c r="V1926" i="15"/>
  <c r="T1926" i="15"/>
  <c r="V1968" i="15"/>
  <c r="T1968" i="15"/>
  <c r="V1982" i="15"/>
  <c r="T1982" i="15"/>
  <c r="V2014" i="15"/>
  <c r="T2014" i="15"/>
  <c r="U2015" i="15"/>
  <c r="T2015" i="15"/>
  <c r="U2147" i="15"/>
  <c r="T2147" i="15"/>
  <c r="Y2147" i="15" s="1"/>
  <c r="V2199" i="15"/>
  <c r="T2199" i="15"/>
  <c r="U2223" i="15"/>
  <c r="T2223" i="15"/>
  <c r="V2267" i="15"/>
  <c r="T2267" i="15"/>
  <c r="V1611" i="15"/>
  <c r="T1611" i="15"/>
  <c r="V1680" i="15"/>
  <c r="T1680" i="15"/>
  <c r="V1703" i="15"/>
  <c r="T1703" i="15"/>
  <c r="V1744" i="15"/>
  <c r="T1744" i="15"/>
  <c r="V1748" i="15"/>
  <c r="T1748" i="15"/>
  <c r="V1777" i="15"/>
  <c r="T1777" i="15"/>
  <c r="V1805" i="15"/>
  <c r="T1805" i="15"/>
  <c r="V1811" i="15"/>
  <c r="T1811" i="15"/>
  <c r="V1890" i="15"/>
  <c r="T1890" i="15"/>
  <c r="V1899" i="15"/>
  <c r="T1899" i="15"/>
  <c r="V1945" i="15"/>
  <c r="T1945" i="15"/>
  <c r="V1958" i="15"/>
  <c r="T1958" i="15"/>
  <c r="V1974" i="15"/>
  <c r="T1974" i="15"/>
  <c r="V2002" i="15"/>
  <c r="T2002" i="15"/>
  <c r="V2016" i="15"/>
  <c r="T2016" i="15"/>
  <c r="V2030" i="15"/>
  <c r="T2030" i="15"/>
  <c r="U2067" i="15"/>
  <c r="T2067" i="15"/>
  <c r="V2131" i="15"/>
  <c r="T2131" i="15"/>
  <c r="V2148" i="15"/>
  <c r="T2148" i="15"/>
  <c r="V2153" i="15"/>
  <c r="A6" i="3"/>
  <c r="V1737" i="15"/>
  <c r="T1737" i="15"/>
  <c r="V1885" i="15"/>
  <c r="T1885" i="15"/>
  <c r="V1910" i="15"/>
  <c r="T1910" i="15"/>
  <c r="V1946" i="15"/>
  <c r="T1946" i="15"/>
  <c r="V1965" i="15"/>
  <c r="T1965" i="15"/>
  <c r="V1970" i="15"/>
  <c r="T1970" i="15"/>
  <c r="V2036" i="15"/>
  <c r="T2036" i="15"/>
  <c r="V2125" i="15"/>
  <c r="T2125" i="15"/>
  <c r="V2182" i="15"/>
  <c r="T2182" i="15"/>
  <c r="V2239" i="15"/>
  <c r="T2239" i="15"/>
  <c r="V2090" i="15"/>
  <c r="T2090" i="15"/>
  <c r="V2114" i="15"/>
  <c r="T2114" i="15"/>
  <c r="A12" i="3"/>
  <c r="V1668" i="15"/>
  <c r="T1668" i="15"/>
  <c r="V1735" i="15"/>
  <c r="T1735" i="15"/>
  <c r="V1760" i="15"/>
  <c r="T1760" i="15"/>
  <c r="V1776" i="15"/>
  <c r="T1776" i="15"/>
  <c r="V1785" i="15"/>
  <c r="T1785" i="15"/>
  <c r="V1796" i="15"/>
  <c r="T1796" i="15"/>
  <c r="V1809" i="15"/>
  <c r="T1809" i="15"/>
  <c r="V1832" i="15"/>
  <c r="T1832" i="15"/>
  <c r="V1931" i="15"/>
  <c r="T1931" i="15"/>
  <c r="V1955" i="15"/>
  <c r="T1955" i="15"/>
  <c r="V2018" i="15"/>
  <c r="T2018" i="15"/>
  <c r="V2023" i="15"/>
  <c r="T2023" i="15"/>
  <c r="V2050" i="15"/>
  <c r="T2050" i="15"/>
  <c r="V2066" i="15"/>
  <c r="T2066" i="15"/>
  <c r="V2082" i="15"/>
  <c r="T2082" i="15"/>
  <c r="V2198" i="15"/>
  <c r="T2198" i="15"/>
  <c r="V2236" i="15"/>
  <c r="T2236" i="15"/>
  <c r="V2251" i="15"/>
  <c r="T2251" i="15"/>
  <c r="V2261" i="15"/>
  <c r="T2261" i="15"/>
  <c r="V1928" i="15"/>
  <c r="T1928" i="15"/>
  <c r="V1935" i="15"/>
  <c r="T1935" i="15"/>
  <c r="V1938" i="15"/>
  <c r="T1938" i="15"/>
  <c r="V1941" i="15"/>
  <c r="T1941" i="15"/>
  <c r="V1944" i="15"/>
  <c r="T1944" i="15"/>
  <c r="V1951" i="15"/>
  <c r="T1951" i="15"/>
  <c r="V1956" i="15"/>
  <c r="T1956" i="15"/>
  <c r="V2056" i="15"/>
  <c r="T2056" i="15"/>
  <c r="V2083" i="15"/>
  <c r="T2083" i="15"/>
  <c r="V2209" i="15"/>
  <c r="T2209" i="15"/>
  <c r="V2040" i="15"/>
  <c r="T2040" i="15"/>
  <c r="V2046" i="15"/>
  <c r="T2046" i="15"/>
  <c r="V2122" i="15"/>
  <c r="T2122" i="15"/>
  <c r="V2185" i="15"/>
  <c r="T2185" i="15"/>
  <c r="V2005" i="15"/>
  <c r="T2005" i="15"/>
  <c r="V2010" i="15"/>
  <c r="T2010" i="15"/>
  <c r="V2026" i="15"/>
  <c r="T2026" i="15"/>
  <c r="V2035" i="15"/>
  <c r="T2035" i="15"/>
  <c r="V2054" i="15"/>
  <c r="T2054" i="15"/>
  <c r="V2060" i="15"/>
  <c r="T2060" i="15"/>
  <c r="V2068" i="15"/>
  <c r="T2068" i="15"/>
  <c r="V2170" i="15"/>
  <c r="T2170" i="15"/>
  <c r="V2177" i="15"/>
  <c r="T2177" i="15"/>
  <c r="B10" i="21"/>
  <c r="V1988" i="15"/>
  <c r="T1988" i="15"/>
  <c r="V2021" i="15"/>
  <c r="T2021" i="15"/>
  <c r="V2024" i="15"/>
  <c r="T2024" i="15"/>
  <c r="V2029" i="15"/>
  <c r="T2029" i="15"/>
  <c r="V2033" i="15"/>
  <c r="T2033" i="15"/>
  <c r="V2072" i="15"/>
  <c r="T2072" i="15"/>
  <c r="V2085" i="15"/>
  <c r="T2085" i="15"/>
  <c r="V2136" i="15"/>
  <c r="V2151" i="15"/>
  <c r="T2151" i="15"/>
  <c r="V2197" i="15"/>
  <c r="T2197" i="15"/>
  <c r="V2264" i="15"/>
  <c r="T2264" i="15"/>
  <c r="V218" i="15"/>
  <c r="V217" i="15"/>
  <c r="V216" i="15"/>
  <c r="V212" i="15"/>
  <c r="V208" i="15"/>
  <c r="U743" i="15"/>
  <c r="T743" i="15"/>
  <c r="V809" i="15"/>
  <c r="T809" i="15"/>
  <c r="V170" i="15"/>
  <c r="V215" i="15"/>
  <c r="V15" i="15"/>
  <c r="V61" i="15"/>
  <c r="U876" i="15"/>
  <c r="T876" i="15"/>
  <c r="U213" i="15"/>
  <c r="U284" i="15"/>
  <c r="V65" i="15"/>
  <c r="V402" i="15"/>
  <c r="V36" i="15"/>
  <c r="V120" i="15"/>
  <c r="V122" i="15"/>
  <c r="V135" i="15"/>
  <c r="V140" i="15"/>
  <c r="V233" i="15"/>
  <c r="U313" i="15"/>
  <c r="V13" i="15"/>
  <c r="V21" i="15"/>
  <c r="V123" i="15"/>
  <c r="V133" i="15"/>
  <c r="M163" i="15"/>
  <c r="Q163" i="15" s="1"/>
  <c r="V299" i="15"/>
  <c r="V342" i="15"/>
  <c r="V365" i="15"/>
  <c r="V383" i="15"/>
  <c r="U506" i="15"/>
  <c r="V136" i="15"/>
  <c r="V219" i="15"/>
  <c r="V347" i="15"/>
  <c r="V308" i="15"/>
  <c r="V335" i="15"/>
  <c r="U360" i="15"/>
  <c r="V400" i="15"/>
  <c r="V330" i="15"/>
  <c r="V268" i="15"/>
  <c r="V320" i="15"/>
  <c r="V343" i="15"/>
  <c r="V403" i="15"/>
  <c r="V427" i="15"/>
  <c r="V432" i="15"/>
  <c r="V209" i="15"/>
  <c r="V229" i="15"/>
  <c r="U341" i="15"/>
  <c r="U364" i="15"/>
  <c r="V232" i="15"/>
  <c r="V240" i="15"/>
  <c r="V275" i="15"/>
  <c r="V327" i="15"/>
  <c r="V329" i="15"/>
  <c r="V399" i="15"/>
  <c r="U412" i="15"/>
  <c r="V428" i="15"/>
  <c r="U618" i="15"/>
  <c r="V757" i="15"/>
  <c r="T757" i="15"/>
  <c r="V769" i="15"/>
  <c r="T769" i="15"/>
  <c r="V857" i="15"/>
  <c r="T857" i="15"/>
  <c r="V1170" i="15"/>
  <c r="T1170" i="15"/>
  <c r="V548" i="15"/>
  <c r="V564" i="15"/>
  <c r="V580" i="15"/>
  <c r="V661" i="15"/>
  <c r="U731" i="15"/>
  <c r="T731" i="15"/>
  <c r="V788" i="15"/>
  <c r="T788" i="15"/>
  <c r="V814" i="15"/>
  <c r="T814" i="15"/>
  <c r="V886" i="15"/>
  <c r="T886" i="15"/>
  <c r="U1054" i="15"/>
  <c r="T1054" i="15"/>
  <c r="V557" i="15"/>
  <c r="V589" i="15"/>
  <c r="U755" i="15"/>
  <c r="T755" i="15"/>
  <c r="U767" i="15"/>
  <c r="T767" i="15"/>
  <c r="V781" i="15"/>
  <c r="T781" i="15"/>
  <c r="U826" i="15"/>
  <c r="T826" i="15"/>
  <c r="U843" i="15"/>
  <c r="T843" i="15"/>
  <c r="V482" i="15"/>
  <c r="L35" i="21"/>
  <c r="V544" i="15"/>
  <c r="V576" i="15"/>
  <c r="U623" i="15"/>
  <c r="V697" i="15"/>
  <c r="T697" i="15"/>
  <c r="V774" i="15"/>
  <c r="T774" i="15"/>
  <c r="V454" i="15"/>
  <c r="V464" i="15"/>
  <c r="V484" i="15"/>
  <c r="V553" i="15"/>
  <c r="V585" i="15"/>
  <c r="U592" i="15"/>
  <c r="U615" i="15"/>
  <c r="V659" i="15"/>
  <c r="V701" i="15"/>
  <c r="T701" i="15"/>
  <c r="V736" i="15"/>
  <c r="T736" i="15"/>
  <c r="V745" i="15"/>
  <c r="T745" i="15"/>
  <c r="V968" i="15"/>
  <c r="T968" i="15"/>
  <c r="V480" i="15"/>
  <c r="V524" i="15"/>
  <c r="V588" i="15"/>
  <c r="V685" i="15"/>
  <c r="V692" i="15"/>
  <c r="U695" i="15"/>
  <c r="T695" i="15"/>
  <c r="U702" i="15"/>
  <c r="T702" i="15"/>
  <c r="V733" i="15"/>
  <c r="T733" i="15"/>
  <c r="U746" i="15"/>
  <c r="T746" i="15"/>
  <c r="V786" i="15"/>
  <c r="T786" i="15"/>
  <c r="V426" i="15"/>
  <c r="V495" i="15"/>
  <c r="U556" i="15"/>
  <c r="V638" i="15"/>
  <c r="V660" i="15"/>
  <c r="U715" i="15"/>
  <c r="T715" i="15"/>
  <c r="V722" i="15"/>
  <c r="T722" i="15"/>
  <c r="U734" i="15"/>
  <c r="T734" i="15"/>
  <c r="V874" i="15"/>
  <c r="T874" i="15"/>
  <c r="U944" i="15"/>
  <c r="T944" i="15"/>
  <c r="U965" i="15"/>
  <c r="T965" i="15"/>
  <c r="V998" i="15"/>
  <c r="T998" i="15"/>
  <c r="U1042" i="15"/>
  <c r="T1042" i="15"/>
  <c r="V1363" i="15"/>
  <c r="T1363" i="15"/>
  <c r="V834" i="15"/>
  <c r="T834" i="15"/>
  <c r="V850" i="15"/>
  <c r="T850" i="15"/>
  <c r="V855" i="15"/>
  <c r="T855" i="15"/>
  <c r="V908" i="15"/>
  <c r="T908" i="15"/>
  <c r="V982" i="15"/>
  <c r="T982" i="15"/>
  <c r="V1010" i="15"/>
  <c r="T1010" i="15"/>
  <c r="V1171" i="15"/>
  <c r="T1171" i="15"/>
  <c r="V1242" i="15"/>
  <c r="T1242" i="15"/>
  <c r="V727" i="15"/>
  <c r="T727" i="15"/>
  <c r="V753" i="15"/>
  <c r="T753" i="15"/>
  <c r="V765" i="15"/>
  <c r="T765" i="15"/>
  <c r="V839" i="15"/>
  <c r="T839" i="15"/>
  <c r="U884" i="15"/>
  <c r="T884" i="15"/>
  <c r="V904" i="15"/>
  <c r="T904" i="15"/>
  <c r="V966" i="15"/>
  <c r="T966" i="15"/>
  <c r="U1160" i="15"/>
  <c r="T1160" i="15"/>
  <c r="V704" i="15"/>
  <c r="T704" i="15"/>
  <c r="U718" i="15"/>
  <c r="T718" i="15"/>
  <c r="V725" i="15"/>
  <c r="T725" i="15"/>
  <c r="V751" i="15"/>
  <c r="T751" i="15"/>
  <c r="V777" i="15"/>
  <c r="T777" i="15"/>
  <c r="V791" i="15"/>
  <c r="T791" i="15"/>
  <c r="V901" i="15"/>
  <c r="T901" i="15"/>
  <c r="V922" i="15"/>
  <c r="T922" i="15"/>
  <c r="U929" i="15"/>
  <c r="T929" i="15"/>
  <c r="V933" i="15"/>
  <c r="T933" i="15"/>
  <c r="V994" i="15"/>
  <c r="T994" i="15"/>
  <c r="V1013" i="15"/>
  <c r="T1013" i="15"/>
  <c r="U1040" i="15"/>
  <c r="T1040" i="15"/>
  <c r="V708" i="15"/>
  <c r="T708" i="15"/>
  <c r="V728" i="15"/>
  <c r="T728" i="15"/>
  <c r="V789" i="15"/>
  <c r="T789" i="15"/>
  <c r="V832" i="15"/>
  <c r="T832" i="15"/>
  <c r="V864" i="15"/>
  <c r="T864" i="15"/>
  <c r="V926" i="15"/>
  <c r="T926" i="15"/>
  <c r="V978" i="15"/>
  <c r="T978" i="15"/>
  <c r="U1035" i="15"/>
  <c r="T1035" i="15"/>
  <c r="U1279" i="15"/>
  <c r="T1279" i="15"/>
  <c r="U681" i="15"/>
  <c r="V691" i="15"/>
  <c r="U694" i="15"/>
  <c r="T694" i="15" s="1"/>
  <c r="V705" i="15"/>
  <c r="T705" i="15"/>
  <c r="U742" i="15"/>
  <c r="T742" i="15"/>
  <c r="V761" i="15"/>
  <c r="T761" i="15"/>
  <c r="V775" i="15"/>
  <c r="T775" i="15"/>
  <c r="U821" i="15"/>
  <c r="T821" i="15"/>
  <c r="V829" i="15"/>
  <c r="T829" i="15"/>
  <c r="U898" i="15"/>
  <c r="T898" i="15"/>
  <c r="V916" i="15"/>
  <c r="T916" i="15"/>
  <c r="V934" i="15"/>
  <c r="T934" i="15"/>
  <c r="V962" i="15"/>
  <c r="T962" i="15"/>
  <c r="V1000" i="15"/>
  <c r="T1000" i="15"/>
  <c r="V1056" i="15"/>
  <c r="T1056" i="15"/>
  <c r="V1274" i="15"/>
  <c r="T1274" i="15"/>
  <c r="V703" i="15"/>
  <c r="T703" i="15"/>
  <c r="V721" i="15"/>
  <c r="T721" i="15"/>
  <c r="V747" i="15"/>
  <c r="T747" i="15"/>
  <c r="V773" i="15"/>
  <c r="T773" i="15"/>
  <c r="V799" i="15"/>
  <c r="T799" i="15"/>
  <c r="V831" i="15"/>
  <c r="T831" i="15"/>
  <c r="V862" i="15"/>
  <c r="T862" i="15"/>
  <c r="V879" i="15"/>
  <c r="T879" i="15"/>
  <c r="V906" i="15"/>
  <c r="T906" i="15"/>
  <c r="V920" i="15"/>
  <c r="T920" i="15"/>
  <c r="V923" i="15"/>
  <c r="T923" i="15"/>
  <c r="U997" i="15"/>
  <c r="T997" i="15"/>
  <c r="V1023" i="15"/>
  <c r="T1023" i="15"/>
  <c r="V1267" i="15"/>
  <c r="T1267" i="15"/>
  <c r="V893" i="15"/>
  <c r="T893" i="15"/>
  <c r="V914" i="15"/>
  <c r="T914" i="15"/>
  <c r="V928" i="15"/>
  <c r="T928" i="15"/>
  <c r="V931" i="15"/>
  <c r="T931" i="15"/>
  <c r="V936" i="15"/>
  <c r="T936" i="15"/>
  <c r="V963" i="15"/>
  <c r="T963" i="15"/>
  <c r="V972" i="15"/>
  <c r="T972" i="15"/>
  <c r="V979" i="15"/>
  <c r="T979" i="15"/>
  <c r="V988" i="15"/>
  <c r="T988" i="15"/>
  <c r="V995" i="15"/>
  <c r="T995" i="15"/>
  <c r="V1004" i="15"/>
  <c r="T1004" i="15"/>
  <c r="V1033" i="15"/>
  <c r="T1033" i="15"/>
  <c r="V1038" i="15"/>
  <c r="T1038" i="15"/>
  <c r="V1052" i="15"/>
  <c r="T1052" i="15"/>
  <c r="V1057" i="15"/>
  <c r="T1057" i="15"/>
  <c r="V1165" i="15"/>
  <c r="T1165" i="15"/>
  <c r="V1197" i="15"/>
  <c r="T1197" i="15"/>
  <c r="V1222" i="15"/>
  <c r="T1222" i="15"/>
  <c r="V1259" i="15"/>
  <c r="T1259" i="15"/>
  <c r="V1317" i="15"/>
  <c r="T1317" i="15"/>
  <c r="V1323" i="15"/>
  <c r="T1323" i="15"/>
  <c r="V1011" i="15"/>
  <c r="T1011" i="15"/>
  <c r="V1027" i="15"/>
  <c r="T1027" i="15"/>
  <c r="V1048" i="15"/>
  <c r="T1048" i="15"/>
  <c r="V1075" i="15"/>
  <c r="T1075" i="15"/>
  <c r="V1079" i="15"/>
  <c r="T1079" i="15"/>
  <c r="V1083" i="15"/>
  <c r="T1083" i="15"/>
  <c r="V1091" i="15"/>
  <c r="T1091" i="15"/>
  <c r="V1095" i="15"/>
  <c r="T1095" i="15"/>
  <c r="V1107" i="15"/>
  <c r="T1107" i="15"/>
  <c r="V1111" i="15"/>
  <c r="T1111" i="15"/>
  <c r="V1115" i="15"/>
  <c r="T1115" i="15"/>
  <c r="V1123" i="15"/>
  <c r="T1123" i="15"/>
  <c r="V1131" i="15"/>
  <c r="T1131" i="15"/>
  <c r="V1135" i="15"/>
  <c r="T1135" i="15"/>
  <c r="V1139" i="15"/>
  <c r="T1139" i="15"/>
  <c r="V1143" i="15"/>
  <c r="T1143" i="15"/>
  <c r="V1147" i="15"/>
  <c r="T1147" i="15"/>
  <c r="V1151" i="15"/>
  <c r="T1151" i="15"/>
  <c r="V1186" i="15"/>
  <c r="T1186" i="15"/>
  <c r="V1522" i="15"/>
  <c r="T1522" i="15"/>
  <c r="V942" i="15"/>
  <c r="T942" i="15"/>
  <c r="V960" i="15"/>
  <c r="T960" i="15"/>
  <c r="V976" i="15"/>
  <c r="T976" i="15"/>
  <c r="V992" i="15"/>
  <c r="T992" i="15"/>
  <c r="V1021" i="15"/>
  <c r="T1021" i="15"/>
  <c r="V1036" i="15"/>
  <c r="T1036" i="15"/>
  <c r="V1058" i="15"/>
  <c r="T1058" i="15"/>
  <c r="V1166" i="15"/>
  <c r="T1166" i="15"/>
  <c r="V1181" i="15"/>
  <c r="T1181" i="15"/>
  <c r="V1228" i="15"/>
  <c r="T1228" i="15"/>
  <c r="V1290" i="15"/>
  <c r="T1290" i="15"/>
  <c r="V1564" i="15"/>
  <c r="T1564" i="15"/>
  <c r="V1800" i="15"/>
  <c r="T1800" i="15"/>
  <c r="V863" i="15"/>
  <c r="T863" i="15"/>
  <c r="V905" i="15"/>
  <c r="T905" i="15"/>
  <c r="V910" i="15"/>
  <c r="T910" i="15"/>
  <c r="V927" i="15"/>
  <c r="T927" i="15"/>
  <c r="V943" i="15"/>
  <c r="T943" i="15"/>
  <c r="V954" i="15"/>
  <c r="T954" i="15"/>
  <c r="V961" i="15"/>
  <c r="T961" i="15"/>
  <c r="V970" i="15"/>
  <c r="T970" i="15"/>
  <c r="V977" i="15"/>
  <c r="T977" i="15"/>
  <c r="V986" i="15"/>
  <c r="T986" i="15"/>
  <c r="V1015" i="15"/>
  <c r="T1015" i="15"/>
  <c r="V1022" i="15"/>
  <c r="T1022" i="15"/>
  <c r="V1031" i="15"/>
  <c r="T1031" i="15"/>
  <c r="U1159" i="15"/>
  <c r="T1159" i="15"/>
  <c r="V1174" i="15"/>
  <c r="T1174" i="15"/>
  <c r="V875" i="15"/>
  <c r="T875" i="15"/>
  <c r="V897" i="15"/>
  <c r="T897" i="15"/>
  <c r="V924" i="15"/>
  <c r="T924" i="15"/>
  <c r="V932" i="15"/>
  <c r="T932" i="15"/>
  <c r="V940" i="15"/>
  <c r="T940" i="15"/>
  <c r="V948" i="15"/>
  <c r="T948" i="15"/>
  <c r="V964" i="15"/>
  <c r="T964" i="15"/>
  <c r="V980" i="15"/>
  <c r="T980" i="15"/>
  <c r="V987" i="15"/>
  <c r="T987" i="15"/>
  <c r="V996" i="15"/>
  <c r="T996" i="15"/>
  <c r="V1003" i="15"/>
  <c r="T1003" i="15"/>
  <c r="V1025" i="15"/>
  <c r="T1025" i="15"/>
  <c r="V1032" i="15"/>
  <c r="T1032" i="15"/>
  <c r="V1061" i="15"/>
  <c r="T1061" i="15"/>
  <c r="V1077" i="15"/>
  <c r="T1077" i="15"/>
  <c r="V1081" i="15"/>
  <c r="T1081" i="15"/>
  <c r="V1097" i="15"/>
  <c r="T1097" i="15"/>
  <c r="V1105" i="15"/>
  <c r="T1105" i="15"/>
  <c r="V1121" i="15"/>
  <c r="T1121" i="15"/>
  <c r="V1129" i="15"/>
  <c r="T1129" i="15"/>
  <c r="V1133" i="15"/>
  <c r="T1133" i="15"/>
  <c r="V1145" i="15"/>
  <c r="T1145" i="15"/>
  <c r="V1149" i="15"/>
  <c r="T1149" i="15"/>
  <c r="V1154" i="15"/>
  <c r="T1154" i="15"/>
  <c r="V1161" i="15"/>
  <c r="T1161" i="15"/>
  <c r="V1208" i="15"/>
  <c r="T1208" i="15"/>
  <c r="V1216" i="15"/>
  <c r="T1216" i="15"/>
  <c r="U1224" i="15"/>
  <c r="T1224" i="15"/>
  <c r="V1236" i="15"/>
  <c r="T1236" i="15"/>
  <c r="V1258" i="15"/>
  <c r="T1258" i="15"/>
  <c r="U1352" i="15"/>
  <c r="T1352" i="15"/>
  <c r="U1620" i="15"/>
  <c r="T1620" i="15"/>
  <c r="V1786" i="15"/>
  <c r="T1786" i="15"/>
  <c r="V949" i="15"/>
  <c r="T949" i="15"/>
  <c r="V974" i="15"/>
  <c r="T974" i="15"/>
  <c r="V981" i="15"/>
  <c r="T981" i="15"/>
  <c r="V990" i="15"/>
  <c r="T990" i="15"/>
  <c r="V1019" i="15"/>
  <c r="T1019" i="15"/>
  <c r="V1026" i="15"/>
  <c r="T1026" i="15"/>
  <c r="V1062" i="15"/>
  <c r="T1062" i="15"/>
  <c r="V1162" i="15"/>
  <c r="T1162" i="15"/>
  <c r="V1234" i="15"/>
  <c r="T1234" i="15"/>
  <c r="V1570" i="15"/>
  <c r="T1570" i="15"/>
  <c r="V1230" i="15"/>
  <c r="T1230" i="15"/>
  <c r="V1246" i="15"/>
  <c r="T1246" i="15"/>
  <c r="V1262" i="15"/>
  <c r="T1262" i="15"/>
  <c r="V1294" i="15"/>
  <c r="T1294" i="15"/>
  <c r="V1310" i="15"/>
  <c r="T1310" i="15"/>
  <c r="V1326" i="15"/>
  <c r="T1326" i="15"/>
  <c r="V1350" i="15"/>
  <c r="T1350" i="15"/>
  <c r="V1370" i="15"/>
  <c r="T1370" i="15"/>
  <c r="V1374" i="15"/>
  <c r="T1374" i="15"/>
  <c r="V1390" i="15"/>
  <c r="T1390" i="15"/>
  <c r="V1394" i="15"/>
  <c r="T1394" i="15"/>
  <c r="V1402" i="15"/>
  <c r="T1402" i="15"/>
  <c r="V1406" i="15"/>
  <c r="T1406" i="15"/>
  <c r="V1410" i="15"/>
  <c r="T1410" i="15"/>
  <c r="V1414" i="15"/>
  <c r="T1414" i="15"/>
  <c r="V1418" i="15"/>
  <c r="T1418" i="15"/>
  <c r="V1426" i="15"/>
  <c r="T1426" i="15"/>
  <c r="V1430" i="15"/>
  <c r="T1430" i="15"/>
  <c r="V1446" i="15"/>
  <c r="T1446" i="15"/>
  <c r="V1450" i="15"/>
  <c r="T1450" i="15"/>
  <c r="V1454" i="15"/>
  <c r="T1454" i="15"/>
  <c r="V1470" i="15"/>
  <c r="T1470" i="15"/>
  <c r="V1538" i="15"/>
  <c r="T1538" i="15"/>
  <c r="V1550" i="15"/>
  <c r="T1550" i="15"/>
  <c r="U1580" i="15"/>
  <c r="T1580" i="15"/>
  <c r="V1586" i="15"/>
  <c r="T1586" i="15"/>
  <c r="V1638" i="15"/>
  <c r="T1638" i="15"/>
  <c r="V1671" i="15"/>
  <c r="T1671" i="15"/>
  <c r="V1674" i="15"/>
  <c r="T1674" i="15"/>
  <c r="V1770" i="15"/>
  <c r="T1770" i="15"/>
  <c r="V1774" i="15"/>
  <c r="T1774" i="15"/>
  <c r="V1925" i="15"/>
  <c r="T1925" i="15"/>
  <c r="V1153" i="15"/>
  <c r="T1153" i="15"/>
  <c r="V1158" i="15"/>
  <c r="T1158" i="15"/>
  <c r="V1191" i="15"/>
  <c r="T1191" i="15"/>
  <c r="V1235" i="15"/>
  <c r="T1235" i="15"/>
  <c r="V1248" i="15"/>
  <c r="T1248" i="15"/>
  <c r="V1264" i="15"/>
  <c r="T1264" i="15"/>
  <c r="V1269" i="15"/>
  <c r="T1269" i="15"/>
  <c r="V1285" i="15"/>
  <c r="T1285" i="15"/>
  <c r="V1296" i="15"/>
  <c r="T1296" i="15"/>
  <c r="V1301" i="15"/>
  <c r="T1301" i="15"/>
  <c r="V1320" i="15"/>
  <c r="T1320" i="15"/>
  <c r="V1329" i="15"/>
  <c r="T1329" i="15"/>
  <c r="V1333" i="15"/>
  <c r="T1333" i="15"/>
  <c r="V1456" i="15"/>
  <c r="T1456" i="15"/>
  <c r="V1461" i="15"/>
  <c r="T1461" i="15"/>
  <c r="V1466" i="15"/>
  <c r="T1466" i="15"/>
  <c r="V1504" i="15"/>
  <c r="T1504" i="15"/>
  <c r="V1574" i="15"/>
  <c r="T1574" i="15"/>
  <c r="V1616" i="15"/>
  <c r="T1616" i="15"/>
  <c r="U1643" i="15"/>
  <c r="T1643" i="15"/>
  <c r="V1734" i="15"/>
  <c r="T1734" i="15"/>
  <c r="V1937" i="15"/>
  <c r="T1937" i="15"/>
  <c r="V1457" i="15"/>
  <c r="T1457" i="15"/>
  <c r="V1483" i="15"/>
  <c r="T1483" i="15"/>
  <c r="V1556" i="15"/>
  <c r="T1556" i="15"/>
  <c r="V1590" i="15"/>
  <c r="T1590" i="15"/>
  <c r="V1606" i="15"/>
  <c r="T1606" i="15"/>
  <c r="V1682" i="15"/>
  <c r="T1682" i="15"/>
  <c r="V1738" i="15"/>
  <c r="T1738" i="15"/>
  <c r="V2094" i="15"/>
  <c r="T2094" i="15"/>
  <c r="V1338" i="15"/>
  <c r="T1338" i="15"/>
  <c r="U1568" i="15"/>
  <c r="T1568" i="15"/>
  <c r="V1575" i="15"/>
  <c r="T1575" i="15"/>
  <c r="U1591" i="15"/>
  <c r="T1591" i="15"/>
  <c r="V1654" i="15"/>
  <c r="T1654" i="15"/>
  <c r="V1678" i="15"/>
  <c r="T1678" i="15"/>
  <c r="V1238" i="15"/>
  <c r="T1238" i="15"/>
  <c r="V1254" i="15"/>
  <c r="T1254" i="15"/>
  <c r="V1286" i="15"/>
  <c r="T1286" i="15"/>
  <c r="V1302" i="15"/>
  <c r="T1302" i="15"/>
  <c r="V1324" i="15"/>
  <c r="T1324" i="15"/>
  <c r="V1607" i="15"/>
  <c r="T1607" i="15"/>
  <c r="U1636" i="15"/>
  <c r="T1636" i="15"/>
  <c r="V1651" i="15"/>
  <c r="T1651" i="15"/>
  <c r="V1683" i="15"/>
  <c r="T1683" i="15"/>
  <c r="V1686" i="15"/>
  <c r="T1686" i="15"/>
  <c r="U1795" i="15"/>
  <c r="T1795" i="15"/>
  <c r="U1971" i="15"/>
  <c r="T1971" i="15"/>
  <c r="V1155" i="15"/>
  <c r="T1155" i="15"/>
  <c r="V1185" i="15"/>
  <c r="T1185" i="15"/>
  <c r="V1214" i="15"/>
  <c r="T1214" i="15"/>
  <c r="V1227" i="15"/>
  <c r="T1227" i="15"/>
  <c r="V1243" i="15"/>
  <c r="T1243" i="15"/>
  <c r="V1256" i="15"/>
  <c r="T1256" i="15"/>
  <c r="V1261" i="15"/>
  <c r="T1261" i="15"/>
  <c r="V1272" i="15"/>
  <c r="T1272" i="15"/>
  <c r="V1277" i="15"/>
  <c r="T1277" i="15"/>
  <c r="V1288" i="15"/>
  <c r="T1288" i="15"/>
  <c r="V1309" i="15"/>
  <c r="T1309" i="15"/>
  <c r="V1316" i="15"/>
  <c r="T1316" i="15"/>
  <c r="V1335" i="15"/>
  <c r="T1335" i="15"/>
  <c r="U1344" i="15"/>
  <c r="T1344" i="15"/>
  <c r="V1349" i="15"/>
  <c r="T1349" i="15"/>
  <c r="V1361" i="15"/>
  <c r="T1361" i="15"/>
  <c r="U1498" i="15"/>
  <c r="T1498" i="15"/>
  <c r="V1503" i="15"/>
  <c r="T1503" i="15"/>
  <c r="V1518" i="15"/>
  <c r="T1518" i="15"/>
  <c r="V1536" i="15"/>
  <c r="T1536" i="15"/>
  <c r="V1548" i="15"/>
  <c r="T1548" i="15"/>
  <c r="V1572" i="15"/>
  <c r="T1572" i="15"/>
  <c r="U1632" i="15"/>
  <c r="T1632" i="15"/>
  <c r="V1640" i="15"/>
  <c r="T1640" i="15"/>
  <c r="V1655" i="15"/>
  <c r="T1655" i="15"/>
  <c r="V1701" i="15"/>
  <c r="T1701" i="15"/>
  <c r="V1706" i="15"/>
  <c r="T1706" i="15"/>
  <c r="V1755" i="15"/>
  <c r="T1755" i="15"/>
  <c r="U1792" i="15"/>
  <c r="T1792" i="15"/>
  <c r="U1808" i="15"/>
  <c r="T1808" i="15"/>
  <c r="V1902" i="15"/>
  <c r="T1902" i="15"/>
  <c r="V1250" i="15"/>
  <c r="T1250" i="15"/>
  <c r="V1266" i="15"/>
  <c r="T1266" i="15"/>
  <c r="V1282" i="15"/>
  <c r="T1282" i="15"/>
  <c r="V1298" i="15"/>
  <c r="T1298" i="15"/>
  <c r="V1325" i="15"/>
  <c r="T1325" i="15"/>
  <c r="V1345" i="15"/>
  <c r="T1345" i="15"/>
  <c r="U1381" i="15"/>
  <c r="V1526" i="15"/>
  <c r="T1526" i="15"/>
  <c r="V1558" i="15"/>
  <c r="T1558" i="15"/>
  <c r="V1563" i="15"/>
  <c r="T1563" i="15"/>
  <c r="U1627" i="15"/>
  <c r="T1627" i="15"/>
  <c r="V1670" i="15"/>
  <c r="T1670" i="15"/>
  <c r="U1751" i="15"/>
  <c r="T1751" i="15"/>
  <c r="U1756" i="15"/>
  <c r="T1756" i="15"/>
  <c r="V1886" i="15"/>
  <c r="T1886" i="15"/>
  <c r="V1499" i="15"/>
  <c r="T1499" i="15"/>
  <c r="V1510" i="15"/>
  <c r="T1510" i="15"/>
  <c r="V1524" i="15"/>
  <c r="T1524" i="15"/>
  <c r="V1527" i="15"/>
  <c r="T1527" i="15"/>
  <c r="V1542" i="15"/>
  <c r="T1542" i="15"/>
  <c r="V1555" i="15"/>
  <c r="T1555" i="15"/>
  <c r="V1571" i="15"/>
  <c r="T1571" i="15"/>
  <c r="V1578" i="15"/>
  <c r="T1578" i="15"/>
  <c r="V1594" i="15"/>
  <c r="T1594" i="15"/>
  <c r="V1610" i="15"/>
  <c r="T1610" i="15"/>
  <c r="V1626" i="15"/>
  <c r="T1626" i="15"/>
  <c r="V1642" i="15"/>
  <c r="T1642" i="15"/>
  <c r="V1679" i="15"/>
  <c r="T1679" i="15"/>
  <c r="V1784" i="15"/>
  <c r="T1784" i="15"/>
  <c r="V1790" i="15"/>
  <c r="T1790" i="15"/>
  <c r="U1841" i="15"/>
  <c r="T1841" i="15"/>
  <c r="V1892" i="15"/>
  <c r="T1892" i="15"/>
  <c r="V1492" i="15"/>
  <c r="T1492" i="15"/>
  <c r="V1512" i="15"/>
  <c r="T1512" i="15"/>
  <c r="V1515" i="15"/>
  <c r="T1515" i="15"/>
  <c r="V1530" i="15"/>
  <c r="T1530" i="15"/>
  <c r="V1562" i="15"/>
  <c r="T1562" i="15"/>
  <c r="V1583" i="15"/>
  <c r="T1583" i="15"/>
  <c r="V1599" i="15"/>
  <c r="T1599" i="15"/>
  <c r="V1615" i="15"/>
  <c r="T1615" i="15"/>
  <c r="V1647" i="15"/>
  <c r="T1647" i="15"/>
  <c r="V1663" i="15"/>
  <c r="T1663" i="15"/>
  <c r="V1694" i="15"/>
  <c r="T1694" i="15"/>
  <c r="V1736" i="15"/>
  <c r="T1736" i="15"/>
  <c r="V1766" i="15"/>
  <c r="T1766" i="15"/>
  <c r="V1778" i="15"/>
  <c r="T1778" i="15"/>
  <c r="U1819" i="15"/>
  <c r="T1819" i="15"/>
  <c r="V1861" i="15"/>
  <c r="T1861" i="15"/>
  <c r="V2078" i="15"/>
  <c r="V1838" i="15"/>
  <c r="T1838" i="15"/>
  <c r="V1842" i="15"/>
  <c r="T1842" i="15"/>
  <c r="U2000" i="15"/>
  <c r="T2000" i="15"/>
  <c r="V1772" i="15"/>
  <c r="T1772" i="15"/>
  <c r="V1782" i="15"/>
  <c r="T1782" i="15"/>
  <c r="V1802" i="15"/>
  <c r="T1802" i="15"/>
  <c r="V1850" i="15"/>
  <c r="T1850" i="15"/>
  <c r="V1884" i="15"/>
  <c r="T1884" i="15"/>
  <c r="V1917" i="15"/>
  <c r="T1917" i="15"/>
  <c r="V1924" i="15"/>
  <c r="T1924" i="15"/>
  <c r="V1994" i="15"/>
  <c r="T1994" i="15"/>
  <c r="V1602" i="15"/>
  <c r="T1602" i="15"/>
  <c r="V1618" i="15"/>
  <c r="T1618" i="15"/>
  <c r="V1634" i="15"/>
  <c r="T1634" i="15"/>
  <c r="V1666" i="15"/>
  <c r="T1666" i="15"/>
  <c r="V1690" i="15"/>
  <c r="T1690" i="15"/>
  <c r="V1724" i="15"/>
  <c r="T1724" i="15"/>
  <c r="U1727" i="15"/>
  <c r="T1727" i="15"/>
  <c r="V1732" i="15"/>
  <c r="T1732" i="15"/>
  <c r="V1742" i="15"/>
  <c r="T1742" i="15"/>
  <c r="V1752" i="15"/>
  <c r="T1752" i="15"/>
  <c r="V1762" i="15"/>
  <c r="T1762" i="15"/>
  <c r="U1769" i="15"/>
  <c r="T1769" i="15"/>
  <c r="V1773" i="15"/>
  <c r="T1773" i="15"/>
  <c r="U1803" i="15"/>
  <c r="T1803" i="15"/>
  <c r="V1810" i="15"/>
  <c r="T1810" i="15"/>
  <c r="U1813" i="15"/>
  <c r="T1813" i="15"/>
  <c r="V1826" i="15"/>
  <c r="T1826" i="15"/>
  <c r="V1877" i="15"/>
  <c r="T1877" i="15"/>
  <c r="V1905" i="15"/>
  <c r="T1905" i="15"/>
  <c r="V1978" i="15"/>
  <c r="T1978" i="15"/>
  <c r="V2118" i="15"/>
  <c r="T2118" i="15"/>
  <c r="U2244" i="15"/>
  <c r="T2244" i="15"/>
  <c r="V1494" i="15"/>
  <c r="T1494" i="15"/>
  <c r="V1507" i="15"/>
  <c r="T1507" i="15"/>
  <c r="V1516" i="15"/>
  <c r="T1516" i="15"/>
  <c r="V1519" i="15"/>
  <c r="T1519" i="15"/>
  <c r="V1534" i="15"/>
  <c r="T1534" i="15"/>
  <c r="V1582" i="15"/>
  <c r="T1582" i="15"/>
  <c r="V1598" i="15"/>
  <c r="T1598" i="15"/>
  <c r="V1614" i="15"/>
  <c r="T1614" i="15"/>
  <c r="V1646" i="15"/>
  <c r="T1646" i="15"/>
  <c r="V1662" i="15"/>
  <c r="T1662" i="15"/>
  <c r="V1673" i="15"/>
  <c r="T1673" i="15"/>
  <c r="V1725" i="15"/>
  <c r="T1725" i="15"/>
  <c r="V1730" i="15"/>
  <c r="T1730" i="15"/>
  <c r="V1750" i="15"/>
  <c r="T1750" i="15"/>
  <c r="V1753" i="15"/>
  <c r="T1753" i="15"/>
  <c r="V1814" i="15"/>
  <c r="T1814" i="15"/>
  <c r="U2107" i="15"/>
  <c r="T2107" i="15"/>
  <c r="V1822" i="15"/>
  <c r="T1822" i="15"/>
  <c r="V1825" i="15"/>
  <c r="T1825" i="15"/>
  <c r="V1848" i="15"/>
  <c r="T1848" i="15"/>
  <c r="V1856" i="15"/>
  <c r="T1856" i="15"/>
  <c r="V1859" i="15"/>
  <c r="T1859" i="15"/>
  <c r="V1863" i="15"/>
  <c r="T1863" i="15"/>
  <c r="V1867" i="15"/>
  <c r="T1867" i="15"/>
  <c r="V1900" i="15"/>
  <c r="T1900" i="15"/>
  <c r="V2008" i="15"/>
  <c r="T2008" i="15"/>
  <c r="V2104" i="15"/>
  <c r="U2135" i="15"/>
  <c r="T2135" i="15"/>
  <c r="V1876" i="15"/>
  <c r="T1876" i="15"/>
  <c r="V1895" i="15"/>
  <c r="T1895" i="15"/>
  <c r="V1912" i="15"/>
  <c r="T1912" i="15"/>
  <c r="V1927" i="15"/>
  <c r="T1927" i="15"/>
  <c r="V1990" i="15"/>
  <c r="T1990" i="15"/>
  <c r="V1998" i="15"/>
  <c r="T1998" i="15"/>
  <c r="U2039" i="15"/>
  <c r="T2039" i="15"/>
  <c r="V2058" i="15"/>
  <c r="T2058" i="15"/>
  <c r="U2059" i="15"/>
  <c r="T2059" i="15"/>
  <c r="V1836" i="15"/>
  <c r="T1836" i="15"/>
  <c r="V1857" i="15"/>
  <c r="T1857" i="15"/>
  <c r="V1872" i="15"/>
  <c r="T1872" i="15"/>
  <c r="V1916" i="15"/>
  <c r="T1916" i="15"/>
  <c r="V2020" i="15"/>
  <c r="T2020" i="15"/>
  <c r="V2234" i="15"/>
  <c r="T2234" i="15"/>
  <c r="V1780" i="15"/>
  <c r="T1780" i="15"/>
  <c r="V1788" i="15"/>
  <c r="T1788" i="15"/>
  <c r="V1798" i="15"/>
  <c r="T1798" i="15"/>
  <c r="V1816" i="15"/>
  <c r="T1816" i="15"/>
  <c r="V1834" i="15"/>
  <c r="T1834" i="15"/>
  <c r="V1837" i="15"/>
  <c r="T1837" i="15"/>
  <c r="V1868" i="15"/>
  <c r="T1868" i="15"/>
  <c r="U1870" i="15"/>
  <c r="T1870" i="15"/>
  <c r="V1896" i="15"/>
  <c r="T1896" i="15"/>
  <c r="V1983" i="15"/>
  <c r="T1983" i="15"/>
  <c r="U1995" i="15"/>
  <c r="T1995" i="15"/>
  <c r="U2055" i="15"/>
  <c r="T2055" i="15"/>
  <c r="V1860" i="15"/>
  <c r="T1860" i="15"/>
  <c r="V1864" i="15"/>
  <c r="T1864" i="15"/>
  <c r="V1883" i="15"/>
  <c r="T1883" i="15"/>
  <c r="V1888" i="15"/>
  <c r="T1888" i="15"/>
  <c r="V1891" i="15"/>
  <c r="T1891" i="15"/>
  <c r="V1908" i="15"/>
  <c r="T1908" i="15"/>
  <c r="V1936" i="15"/>
  <c r="T1936" i="15"/>
  <c r="V2161" i="15"/>
  <c r="T2161" i="15"/>
  <c r="V2225" i="15"/>
  <c r="T2225" i="15"/>
  <c r="V1996" i="15"/>
  <c r="T1996" i="15"/>
  <c r="V1999" i="15"/>
  <c r="T1999" i="15"/>
  <c r="V2001" i="15"/>
  <c r="T2001" i="15"/>
  <c r="V2019" i="15"/>
  <c r="T2019" i="15"/>
  <c r="V2113" i="15"/>
  <c r="T2113" i="15"/>
  <c r="V2116" i="15"/>
  <c r="T2116" i="15"/>
  <c r="V1947" i="15"/>
  <c r="T1947" i="15"/>
  <c r="V1960" i="15"/>
  <c r="T1960" i="15"/>
  <c r="V1963" i="15"/>
  <c r="T1963" i="15"/>
  <c r="V1972" i="15"/>
  <c r="T1972" i="15"/>
  <c r="V1975" i="15"/>
  <c r="T1975" i="15"/>
  <c r="V1984" i="15"/>
  <c r="T1984" i="15"/>
  <c r="V1987" i="15"/>
  <c r="T1987" i="15"/>
  <c r="V2003" i="15"/>
  <c r="T2003" i="15"/>
  <c r="V2006" i="15"/>
  <c r="T2006" i="15"/>
  <c r="V2093" i="15"/>
  <c r="T2093" i="15"/>
  <c r="U2218" i="15"/>
  <c r="T2218" i="15"/>
  <c r="V2243" i="15"/>
  <c r="U2146" i="15"/>
  <c r="T2146" i="15"/>
  <c r="U2159" i="15"/>
  <c r="T2159" i="15"/>
  <c r="V2213" i="15"/>
  <c r="V2196" i="15"/>
  <c r="T2196" i="15"/>
  <c r="V2027" i="15"/>
  <c r="T2027" i="15"/>
  <c r="V2043" i="15"/>
  <c r="T2043" i="15"/>
  <c r="V2075" i="15"/>
  <c r="T2075" i="15"/>
  <c r="V2164" i="15"/>
  <c r="T2164" i="15"/>
  <c r="V2262" i="15"/>
  <c r="T2262" i="15"/>
  <c r="V2165" i="15"/>
  <c r="T2165" i="15"/>
  <c r="V2193" i="15"/>
  <c r="T2193" i="15"/>
  <c r="V2051" i="15"/>
  <c r="T2051" i="15"/>
  <c r="V2063" i="15"/>
  <c r="T2063" i="15"/>
  <c r="V2089" i="15"/>
  <c r="T2089" i="15"/>
  <c r="V2097" i="15"/>
  <c r="T2097" i="15"/>
  <c r="V2119" i="15"/>
  <c r="T2119" i="15"/>
  <c r="V2154" i="15"/>
  <c r="V2207" i="15"/>
  <c r="T2207" i="15"/>
  <c r="U2215" i="15"/>
  <c r="T2215" i="15"/>
  <c r="V2217" i="15"/>
  <c r="T2217" i="15"/>
  <c r="V2240" i="15"/>
  <c r="T2240" i="15"/>
  <c r="V2252" i="15"/>
  <c r="V2144" i="15"/>
  <c r="T2144" i="15"/>
  <c r="V2169" i="15"/>
  <c r="T2169" i="15"/>
  <c r="V2200" i="15"/>
  <c r="T2200" i="15"/>
  <c r="V2202" i="15"/>
  <c r="V2248" i="15"/>
  <c r="T2248" i="15"/>
  <c r="V2258" i="15"/>
  <c r="T2258" i="15"/>
  <c r="V2181" i="15"/>
  <c r="T2181" i="15"/>
  <c r="V2203" i="15"/>
  <c r="T2203" i="15"/>
  <c r="V2216" i="15"/>
  <c r="T2216" i="15"/>
  <c r="V2221" i="15"/>
  <c r="T2221" i="15"/>
  <c r="V2246" i="15"/>
  <c r="T2246" i="15"/>
  <c r="V2222" i="15"/>
  <c r="T2222" i="15"/>
  <c r="V2224" i="15"/>
  <c r="T2224" i="15"/>
  <c r="A13" i="3"/>
  <c r="V2201" i="15"/>
  <c r="T2201" i="15"/>
  <c r="V2242" i="15"/>
  <c r="B89" i="14"/>
  <c r="H89" i="14" s="1"/>
  <c r="V2132" i="15"/>
  <c r="T2132" i="15"/>
  <c r="V2195" i="15"/>
  <c r="T2195" i="15"/>
  <c r="V2204" i="15"/>
  <c r="T2204" i="15"/>
  <c r="A20" i="3"/>
  <c r="B6" i="14"/>
  <c r="M6" i="14" s="1"/>
  <c r="V207" i="15"/>
  <c r="V205" i="15"/>
  <c r="V204" i="15"/>
  <c r="V202" i="15"/>
  <c r="V201" i="15"/>
  <c r="AA145" i="15"/>
  <c r="S145" i="15" s="1"/>
  <c r="M145" i="15"/>
  <c r="Q145" i="15" s="1"/>
  <c r="V84" i="15"/>
  <c r="F1" i="21"/>
  <c r="B1" i="21"/>
  <c r="AA107" i="15"/>
  <c r="S107" i="15" s="1"/>
  <c r="M107" i="15"/>
  <c r="Q107" i="15" s="1"/>
  <c r="V165" i="15"/>
  <c r="U287" i="15"/>
  <c r="F4" i="21"/>
  <c r="B2" i="21"/>
  <c r="Z85" i="15"/>
  <c r="AC85" i="15" s="1"/>
  <c r="U85" i="15" s="1"/>
  <c r="V154" i="15"/>
  <c r="V60" i="15"/>
  <c r="V129" i="15"/>
  <c r="V68" i="15"/>
  <c r="V76" i="15"/>
  <c r="U223" i="15"/>
  <c r="U255" i="15"/>
  <c r="U251" i="15"/>
  <c r="U271" i="15"/>
  <c r="U303" i="15"/>
  <c r="U267" i="15"/>
  <c r="U283" i="15"/>
  <c r="U315" i="15"/>
  <c r="M128" i="15"/>
  <c r="Q128" i="15" s="1"/>
  <c r="U295" i="15"/>
  <c r="AA128" i="15"/>
  <c r="S128" i="15" s="1"/>
  <c r="U230" i="15"/>
  <c r="U254" i="15"/>
  <c r="U446" i="15"/>
  <c r="V451" i="15"/>
  <c r="V463" i="15"/>
  <c r="U866" i="15"/>
  <c r="T866" i="15"/>
  <c r="U878" i="15"/>
  <c r="T878" i="15"/>
  <c r="U830" i="15"/>
  <c r="T830" i="15"/>
  <c r="U846" i="15"/>
  <c r="T846" i="15"/>
  <c r="U785" i="15"/>
  <c r="T785" i="15"/>
  <c r="U690" i="15"/>
  <c r="U813" i="15"/>
  <c r="T813" i="15"/>
  <c r="U842" i="15"/>
  <c r="T842" i="15"/>
  <c r="U858" i="15"/>
  <c r="T858" i="15"/>
  <c r="V748" i="15"/>
  <c r="T748" i="15"/>
  <c r="U749" i="15"/>
  <c r="T749" i="15"/>
  <c r="V764" i="15"/>
  <c r="T764" i="15"/>
  <c r="V796" i="15"/>
  <c r="T796" i="15"/>
  <c r="V894" i="15"/>
  <c r="T894" i="15"/>
  <c r="V679" i="15"/>
  <c r="U854" i="15"/>
  <c r="T854" i="15"/>
  <c r="V760" i="15"/>
  <c r="T760" i="15"/>
  <c r="V792" i="15"/>
  <c r="T792" i="15"/>
  <c r="U793" i="15"/>
  <c r="T793" i="15"/>
  <c r="V819" i="15"/>
  <c r="T819" i="15"/>
  <c r="V885" i="15"/>
  <c r="T885" i="15"/>
  <c r="U1045" i="15"/>
  <c r="T1045" i="15"/>
  <c r="U899" i="15"/>
  <c r="T899" i="15"/>
  <c r="U1043" i="15"/>
  <c r="T1043" i="15"/>
  <c r="U833" i="15"/>
  <c r="T833" i="15"/>
  <c r="U837" i="15"/>
  <c r="T837" i="15"/>
  <c r="U841" i="15"/>
  <c r="T841" i="15"/>
  <c r="U845" i="15"/>
  <c r="T845" i="15"/>
  <c r="U853" i="15"/>
  <c r="T853" i="15"/>
  <c r="U861" i="15"/>
  <c r="T861" i="15"/>
  <c r="U865" i="15"/>
  <c r="T865" i="15"/>
  <c r="U880" i="15"/>
  <c r="T880" i="15"/>
  <c r="V900" i="15"/>
  <c r="T900" i="15"/>
  <c r="U1008" i="15"/>
  <c r="T1008" i="15"/>
  <c r="U1046" i="15"/>
  <c r="T1046" i="15"/>
  <c r="U1218" i="15"/>
  <c r="T1218" i="15"/>
  <c r="V1233" i="15"/>
  <c r="T1233" i="15"/>
  <c r="V1249" i="15"/>
  <c r="T1249" i="15"/>
  <c r="U1270" i="15"/>
  <c r="T1270" i="15"/>
  <c r="V902" i="15"/>
  <c r="T902" i="15"/>
  <c r="U1002" i="15"/>
  <c r="T1002" i="15"/>
  <c r="V1060" i="15"/>
  <c r="T1060" i="15"/>
  <c r="U958" i="15"/>
  <c r="T958" i="15"/>
  <c r="U1006" i="15"/>
  <c r="T1006" i="15"/>
  <c r="U952" i="15"/>
  <c r="T952" i="15"/>
  <c r="U984" i="15"/>
  <c r="T984" i="15"/>
  <c r="U1029" i="15"/>
  <c r="T1029" i="15"/>
  <c r="V1225" i="15"/>
  <c r="T1225" i="15"/>
  <c r="V1241" i="15"/>
  <c r="T1241" i="15"/>
  <c r="V1257" i="15"/>
  <c r="T1257" i="15"/>
  <c r="U1278" i="15"/>
  <c r="T1278" i="15"/>
  <c r="U956" i="15"/>
  <c r="T956" i="15"/>
  <c r="U1017" i="15"/>
  <c r="T1017" i="15"/>
  <c r="V1034" i="15"/>
  <c r="T1034" i="15"/>
  <c r="V1205" i="15"/>
  <c r="T1205" i="15"/>
  <c r="V1209" i="15"/>
  <c r="T1209" i="15"/>
  <c r="V1213" i="15"/>
  <c r="T1213" i="15"/>
  <c r="U1458" i="15"/>
  <c r="T1458" i="15"/>
  <c r="V1593" i="15"/>
  <c r="T1593" i="15"/>
  <c r="U1630" i="15"/>
  <c r="T1630" i="15"/>
  <c r="V1641" i="15"/>
  <c r="T1641" i="15"/>
  <c r="V1657" i="15"/>
  <c r="T1657" i="15"/>
  <c r="V1993" i="15"/>
  <c r="T1993" i="15"/>
  <c r="V1169" i="15"/>
  <c r="T1169" i="15"/>
  <c r="V1229" i="15"/>
  <c r="T1229" i="15"/>
  <c r="V1245" i="15"/>
  <c r="T1245" i="15"/>
  <c r="V1189" i="15"/>
  <c r="T1189" i="15"/>
  <c r="V1217" i="15"/>
  <c r="T1217" i="15"/>
  <c r="U1226" i="15"/>
  <c r="T1226" i="15"/>
  <c r="V1237" i="15"/>
  <c r="T1237" i="15"/>
  <c r="V1253" i="15"/>
  <c r="T1253" i="15"/>
  <c r="U1306" i="15"/>
  <c r="T1306" i="15"/>
  <c r="U1314" i="15"/>
  <c r="T1314" i="15"/>
  <c r="U1400" i="15"/>
  <c r="T1400" i="15"/>
  <c r="U1424" i="15"/>
  <c r="T1424" i="15"/>
  <c r="U1428" i="15"/>
  <c r="U1436" i="15"/>
  <c r="U1440" i="15"/>
  <c r="T1440" i="15"/>
  <c r="U1444" i="15"/>
  <c r="U1448" i="15"/>
  <c r="V1481" i="15"/>
  <c r="T1481" i="15"/>
  <c r="V1509" i="15"/>
  <c r="T1509" i="15"/>
  <c r="U1566" i="15"/>
  <c r="T1566" i="15"/>
  <c r="V1318" i="15"/>
  <c r="T1318" i="15"/>
  <c r="V1354" i="15"/>
  <c r="T1354" i="15"/>
  <c r="V1327" i="15"/>
  <c r="T1327" i="15"/>
  <c r="V1331" i="15"/>
  <c r="T1331" i="15"/>
  <c r="V1339" i="15"/>
  <c r="T1339" i="15"/>
  <c r="U1348" i="15"/>
  <c r="T1348" i="15"/>
  <c r="U1351" i="15"/>
  <c r="T1351" i="15"/>
  <c r="V1334" i="15"/>
  <c r="T1334" i="15"/>
  <c r="V1342" i="15"/>
  <c r="T1342" i="15"/>
  <c r="V1355" i="15"/>
  <c r="T1355" i="15"/>
  <c r="V1493" i="15"/>
  <c r="T1493" i="15"/>
  <c r="V1343" i="15"/>
  <c r="T1343" i="15"/>
  <c r="V1346" i="15"/>
  <c r="T1346" i="15"/>
  <c r="V1359" i="15"/>
  <c r="T1359" i="15"/>
  <c r="V1557" i="15"/>
  <c r="T1557" i="15"/>
  <c r="V1677" i="15"/>
  <c r="T1677" i="15"/>
  <c r="V1549" i="15"/>
  <c r="T1549" i="15"/>
  <c r="V1545" i="15"/>
  <c r="T1545" i="15"/>
  <c r="V1573" i="15"/>
  <c r="T1573" i="15"/>
  <c r="Y1573" i="15" s="1"/>
  <c r="V1637" i="15"/>
  <c r="T1637" i="15"/>
  <c r="U1658" i="15"/>
  <c r="T1658" i="15"/>
  <c r="U1554" i="15"/>
  <c r="T1554" i="15"/>
  <c r="V1693" i="15"/>
  <c r="T1693" i="15"/>
  <c r="V1585" i="15"/>
  <c r="T1585" i="15"/>
  <c r="U1622" i="15"/>
  <c r="T1622" i="15"/>
  <c r="V1633" i="15"/>
  <c r="T1633" i="15"/>
  <c r="V1649" i="15"/>
  <c r="T1649" i="15"/>
  <c r="V1517" i="15"/>
  <c r="T1517" i="15"/>
  <c r="V1525" i="15"/>
  <c r="T1525" i="15"/>
  <c r="V1529" i="15"/>
  <c r="T1529" i="15"/>
  <c r="V1533" i="15"/>
  <c r="T1533" i="15"/>
  <c r="V1537" i="15"/>
  <c r="T1537" i="15"/>
  <c r="V1541" i="15"/>
  <c r="T1541" i="15"/>
  <c r="V1565" i="15"/>
  <c r="T1565" i="15"/>
  <c r="U1514" i="15"/>
  <c r="T1514" i="15"/>
  <c r="V1581" i="15"/>
  <c r="T1581" i="15"/>
  <c r="V1597" i="15"/>
  <c r="T1597" i="15"/>
  <c r="V1613" i="15"/>
  <c r="T1613" i="15"/>
  <c r="V1645" i="15"/>
  <c r="T1645" i="15"/>
  <c r="U1650" i="15"/>
  <c r="T1650" i="15"/>
  <c r="V1661" i="15"/>
  <c r="T1661" i="15"/>
  <c r="V1689" i="15"/>
  <c r="T1689" i="15"/>
  <c r="U1711" i="15"/>
  <c r="T1711" i="15"/>
  <c r="V1702" i="15"/>
  <c r="T1702" i="15"/>
  <c r="U1830" i="15"/>
  <c r="T1830" i="15"/>
  <c r="V1696" i="15"/>
  <c r="T1696" i="15"/>
  <c r="U1707" i="15"/>
  <c r="T1707" i="15"/>
  <c r="U1818" i="15"/>
  <c r="T1818" i="15"/>
  <c r="V1698" i="15"/>
  <c r="T1698" i="15"/>
  <c r="U1806" i="15"/>
  <c r="T1806" i="15"/>
  <c r="U1794" i="15"/>
  <c r="T1794" i="15"/>
  <c r="V1923" i="15"/>
  <c r="T1923" i="15"/>
  <c r="U1904" i="15"/>
  <c r="T1904" i="15"/>
  <c r="U1920" i="15"/>
  <c r="T1920" i="15"/>
  <c r="V1961" i="15"/>
  <c r="T1961" i="15"/>
  <c r="U1950" i="15"/>
  <c r="T1950" i="15"/>
  <c r="V1957" i="15"/>
  <c r="T1957" i="15"/>
  <c r="V1989" i="15"/>
  <c r="T1989" i="15"/>
  <c r="U1954" i="15"/>
  <c r="T1954" i="15"/>
  <c r="V1997" i="15"/>
  <c r="T1997" i="15"/>
  <c r="V1969" i="15"/>
  <c r="T1969" i="15"/>
  <c r="V1985" i="15"/>
  <c r="T1985" i="15"/>
  <c r="U1986" i="15"/>
  <c r="T1986" i="15"/>
  <c r="V2007" i="15"/>
  <c r="T2007" i="15"/>
  <c r="U2009" i="15"/>
  <c r="V2077" i="15"/>
  <c r="T2077" i="15"/>
  <c r="U2110" i="15"/>
  <c r="T2110" i="15"/>
  <c r="V2025" i="15"/>
  <c r="T2025" i="15"/>
  <c r="V2124" i="15"/>
  <c r="T2124" i="15"/>
  <c r="U2042" i="15"/>
  <c r="T2042" i="15"/>
  <c r="V2037" i="15"/>
  <c r="T2037" i="15"/>
  <c r="C39" i="21"/>
  <c r="H4" i="3"/>
  <c r="V2152" i="15"/>
  <c r="T2152" i="15"/>
  <c r="V2194" i="15"/>
  <c r="U2210" i="15"/>
  <c r="T2210" i="15"/>
  <c r="V2265" i="15"/>
  <c r="T2265" i="15"/>
  <c r="V2156" i="15"/>
  <c r="T2156" i="15"/>
  <c r="S27" i="21"/>
  <c r="V2162" i="15"/>
  <c r="T2162" i="15"/>
  <c r="U2163" i="15"/>
  <c r="T2163" i="15"/>
  <c r="V2188" i="15"/>
  <c r="T2188" i="15"/>
  <c r="V2138" i="15"/>
  <c r="T2138" i="15"/>
  <c r="W2147" i="15"/>
  <c r="X2147" i="15"/>
  <c r="U2226" i="15"/>
  <c r="T2226" i="15"/>
  <c r="V2149" i="15"/>
  <c r="T2149" i="15"/>
  <c r="V2237" i="15"/>
  <c r="T2237" i="15"/>
  <c r="V2126" i="15"/>
  <c r="T2126" i="15"/>
  <c r="U2137" i="15"/>
  <c r="T2137" i="15"/>
  <c r="U2155" i="15"/>
  <c r="T2155" i="15"/>
  <c r="U2178" i="15"/>
  <c r="T2178" i="15"/>
  <c r="U2166" i="15"/>
  <c r="T2166" i="15"/>
  <c r="U2179" i="15"/>
  <c r="T2179" i="15"/>
  <c r="V2253" i="15"/>
  <c r="T2253" i="15"/>
  <c r="U2231" i="15"/>
  <c r="T2231" i="15"/>
  <c r="U2263" i="15"/>
  <c r="T2263" i="15"/>
  <c r="U2255" i="15"/>
  <c r="T2255" i="15"/>
  <c r="A35" i="3"/>
  <c r="H5" i="17"/>
  <c r="F13" i="17"/>
  <c r="C32" i="17"/>
  <c r="B9" i="17"/>
  <c r="B14" i="17"/>
  <c r="B33" i="17"/>
  <c r="A7" i="3"/>
  <c r="A47" i="3"/>
  <c r="B16" i="14"/>
  <c r="G16" i="14" s="1"/>
  <c r="B78" i="14"/>
  <c r="D78" i="14" s="1"/>
  <c r="E14" i="17"/>
  <c r="F23" i="17"/>
  <c r="A15" i="3"/>
  <c r="A23" i="3"/>
  <c r="B20" i="14"/>
  <c r="F20" i="14" s="1"/>
  <c r="B61" i="14"/>
  <c r="I61" i="14" s="1"/>
  <c r="F9" i="17"/>
  <c r="F14" i="17"/>
  <c r="F30" i="17"/>
  <c r="A51" i="3"/>
  <c r="B25" i="14"/>
  <c r="K25" i="14" s="1"/>
  <c r="H9" i="17"/>
  <c r="E12" i="17"/>
  <c r="C31" i="17"/>
  <c r="B39" i="17"/>
  <c r="F24" i="17"/>
  <c r="E21" i="17"/>
  <c r="E13" i="17"/>
  <c r="H11" i="17"/>
  <c r="B93" i="14"/>
  <c r="N93" i="14" s="1"/>
  <c r="H38" i="17"/>
  <c r="F27" i="17"/>
  <c r="E24" i="17"/>
  <c r="H14" i="17"/>
  <c r="C13" i="17"/>
  <c r="B90" i="14"/>
  <c r="R90" i="14" s="1"/>
  <c r="B42" i="14"/>
  <c r="D42" i="14" s="1"/>
  <c r="B9" i="14"/>
  <c r="K9" i="14" s="1"/>
  <c r="A40" i="3"/>
  <c r="F33" i="17"/>
  <c r="B24" i="17"/>
  <c r="E22" i="17"/>
  <c r="B16" i="17"/>
  <c r="E33" i="17"/>
  <c r="H23" i="17"/>
  <c r="C22" i="17"/>
  <c r="H15" i="17"/>
  <c r="C14" i="17"/>
  <c r="H7" i="17"/>
  <c r="E4" i="17"/>
  <c r="B23" i="14"/>
  <c r="I23" i="14" s="1"/>
  <c r="B5" i="14"/>
  <c r="U5" i="14" s="1"/>
  <c r="B43" i="14"/>
  <c r="O43" i="14" s="1"/>
  <c r="B5" i="17"/>
  <c r="F7" i="17"/>
  <c r="F18" i="17"/>
  <c r="H21" i="17"/>
  <c r="F34" i="17"/>
  <c r="A4" i="3"/>
  <c r="A34" i="3"/>
  <c r="B14" i="14"/>
  <c r="K14" i="14" s="1"/>
  <c r="B17" i="14"/>
  <c r="G17" i="14" s="1"/>
  <c r="B53" i="14"/>
  <c r="K53" i="14" s="1"/>
  <c r="B88" i="14"/>
  <c r="G88" i="14" s="1"/>
  <c r="F5" i="17"/>
  <c r="F15" i="17"/>
  <c r="B22" i="17"/>
  <c r="H34" i="17"/>
  <c r="B38" i="17"/>
  <c r="V194" i="15"/>
  <c r="V191" i="15"/>
  <c r="C15" i="22"/>
  <c r="D15" i="22" s="1"/>
  <c r="H34" i="21"/>
  <c r="H108" i="21"/>
  <c r="S30" i="21"/>
  <c r="T1448" i="15"/>
  <c r="T2129" i="15"/>
  <c r="T1428" i="15"/>
  <c r="S79" i="21"/>
  <c r="D322" i="22"/>
  <c r="D321" i="22"/>
  <c r="D320" i="22"/>
  <c r="D317" i="22"/>
  <c r="D316" i="22"/>
  <c r="S85" i="21"/>
  <c r="D315" i="22"/>
  <c r="D314" i="22"/>
  <c r="D312" i="22"/>
  <c r="D310" i="22"/>
  <c r="D311" i="22"/>
  <c r="D309" i="22"/>
  <c r="D308" i="22"/>
  <c r="T2009" i="15"/>
  <c r="T1881" i="15"/>
  <c r="T1953" i="15"/>
  <c r="S32" i="21"/>
  <c r="D307" i="22"/>
  <c r="D306" i="22"/>
  <c r="E110" i="21"/>
  <c r="S110" i="21"/>
  <c r="S24" i="21"/>
  <c r="D305" i="22"/>
  <c r="S107" i="21"/>
  <c r="D303" i="22"/>
  <c r="S109" i="21"/>
  <c r="D302" i="22"/>
  <c r="D300" i="22"/>
  <c r="S97" i="21"/>
  <c r="D301" i="22"/>
  <c r="S77" i="21"/>
  <c r="S98" i="21"/>
  <c r="S106" i="21"/>
  <c r="S90" i="21"/>
  <c r="S84" i="21"/>
  <c r="S108" i="21"/>
  <c r="S39" i="21"/>
  <c r="S95" i="21"/>
  <c r="S53" i="21"/>
  <c r="D299" i="22"/>
  <c r="S25" i="21"/>
  <c r="S104" i="21"/>
  <c r="S17" i="21"/>
  <c r="D297" i="22"/>
  <c r="S94" i="21"/>
  <c r="S93" i="21"/>
  <c r="S87" i="21"/>
  <c r="S89" i="21"/>
  <c r="S38" i="21"/>
  <c r="D295" i="22"/>
  <c r="S19" i="21"/>
  <c r="D294" i="22"/>
  <c r="D293" i="22"/>
  <c r="R107" i="21"/>
  <c r="T1817" i="15"/>
  <c r="T1866" i="15"/>
  <c r="D290" i="22"/>
  <c r="D289" i="22"/>
  <c r="T1743" i="15"/>
  <c r="T1381" i="15"/>
  <c r="T1815" i="15"/>
  <c r="D288" i="22"/>
  <c r="D283" i="22"/>
  <c r="D280" i="22"/>
  <c r="R77" i="21"/>
  <c r="R84" i="21"/>
  <c r="D282" i="22"/>
  <c r="D281" i="22"/>
  <c r="T1783" i="15"/>
  <c r="R61" i="21"/>
  <c r="T1763" i="15"/>
  <c r="T1444" i="15"/>
  <c r="T1731" i="15"/>
  <c r="T1404" i="15"/>
  <c r="T1757" i="15"/>
  <c r="T1436" i="15"/>
  <c r="Q27" i="21"/>
  <c r="R23" i="21"/>
  <c r="D278" i="22"/>
  <c r="T1628" i="15"/>
  <c r="T1380" i="15"/>
  <c r="R10" i="21"/>
  <c r="R96" i="21"/>
  <c r="D276" i="22"/>
  <c r="R100" i="21"/>
  <c r="D272" i="22"/>
  <c r="T1360" i="15"/>
  <c r="D271" i="22"/>
  <c r="R90" i="21"/>
  <c r="D270" i="22"/>
  <c r="R94" i="21"/>
  <c r="R38" i="21"/>
  <c r="R79" i="21"/>
  <c r="R104" i="21"/>
  <c r="R95" i="21"/>
  <c r="T1420" i="15"/>
  <c r="T1337" i="15"/>
  <c r="T1482" i="15"/>
  <c r="T1376" i="15"/>
  <c r="T1412" i="15"/>
  <c r="R19" i="21"/>
  <c r="T1388" i="15"/>
  <c r="T1453" i="15"/>
  <c r="T1377" i="15"/>
  <c r="T1340" i="15"/>
  <c r="Y1340" i="15" s="1"/>
  <c r="T1408" i="15"/>
  <c r="T1369" i="15"/>
  <c r="R17" i="21"/>
  <c r="R83" i="21"/>
  <c r="T1289" i="15"/>
  <c r="T1336" i="15"/>
  <c r="T1364" i="15"/>
  <c r="T1384" i="15"/>
  <c r="T1312" i="15"/>
  <c r="T1368" i="15"/>
  <c r="R34" i="21"/>
  <c r="R85" i="21"/>
  <c r="R105" i="21"/>
  <c r="R27" i="21"/>
  <c r="R98" i="21"/>
  <c r="R93" i="21"/>
  <c r="D261" i="22"/>
  <c r="Q25" i="21"/>
  <c r="Q32" i="21"/>
  <c r="D259" i="22"/>
  <c r="Q104" i="21"/>
  <c r="Q30" i="21"/>
  <c r="D255" i="22"/>
  <c r="Q95" i="21"/>
  <c r="Q17" i="21"/>
  <c r="Q83" i="21"/>
  <c r="T1396" i="15"/>
  <c r="T1273" i="15"/>
  <c r="Q100" i="21"/>
  <c r="T1421" i="15"/>
  <c r="D246" i="22"/>
  <c r="Q84" i="21"/>
  <c r="Q61" i="21"/>
  <c r="Q50" i="21"/>
  <c r="Q93" i="21"/>
  <c r="Q103" i="21"/>
  <c r="Q102" i="21"/>
  <c r="Q101" i="21"/>
  <c r="Q97" i="21"/>
  <c r="Q12" i="21"/>
  <c r="Q79" i="21"/>
  <c r="D230" i="22"/>
  <c r="D231" i="22"/>
  <c r="T1207" i="15"/>
  <c r="T1168" i="15"/>
  <c r="P100" i="21"/>
  <c r="P66" i="21"/>
  <c r="P83" i="21"/>
  <c r="P97" i="21"/>
  <c r="P12" i="21"/>
  <c r="P35" i="21"/>
  <c r="P27" i="21"/>
  <c r="P96" i="21"/>
  <c r="P24" i="21"/>
  <c r="P95" i="21"/>
  <c r="P94" i="21"/>
  <c r="P23" i="21"/>
  <c r="P93" i="21"/>
  <c r="P82" i="21"/>
  <c r="P91" i="21"/>
  <c r="P61" i="21"/>
  <c r="P34" i="21"/>
  <c r="P90" i="21"/>
  <c r="P76" i="21"/>
  <c r="P25" i="21"/>
  <c r="K27" i="21"/>
  <c r="T883" i="15"/>
  <c r="T999" i="15"/>
  <c r="N96" i="21"/>
  <c r="N104" i="21"/>
  <c r="N112" i="21"/>
  <c r="N120" i="21"/>
  <c r="N128" i="21"/>
  <c r="N136" i="21"/>
  <c r="N144" i="21"/>
  <c r="N91" i="21"/>
  <c r="N99" i="21"/>
  <c r="N107" i="21"/>
  <c r="N115" i="21"/>
  <c r="N123" i="21"/>
  <c r="N131" i="21"/>
  <c r="N139" i="21"/>
  <c r="N147" i="21"/>
  <c r="N155" i="21"/>
  <c r="N158" i="21"/>
  <c r="N152" i="21"/>
  <c r="N94" i="21"/>
  <c r="N102" i="21"/>
  <c r="N110" i="21"/>
  <c r="N118" i="21"/>
  <c r="N126" i="21"/>
  <c r="N134" i="21"/>
  <c r="N142" i="21"/>
  <c r="N150" i="21"/>
  <c r="N97" i="21"/>
  <c r="N105" i="21"/>
  <c r="N113" i="21"/>
  <c r="N121" i="21"/>
  <c r="N129" i="21"/>
  <c r="N137" i="21"/>
  <c r="N145" i="21"/>
  <c r="N153" i="21"/>
  <c r="N92" i="21"/>
  <c r="N100" i="21"/>
  <c r="N108" i="21"/>
  <c r="N116" i="21"/>
  <c r="N124" i="21"/>
  <c r="N132" i="21"/>
  <c r="N140" i="21"/>
  <c r="N148" i="21"/>
  <c r="N156" i="21"/>
  <c r="N95" i="21"/>
  <c r="N103" i="21"/>
  <c r="N111" i="21"/>
  <c r="N119" i="21"/>
  <c r="N127" i="21"/>
  <c r="N135" i="21"/>
  <c r="N143" i="21"/>
  <c r="N151" i="21"/>
  <c r="N159" i="21"/>
  <c r="N10" i="21"/>
  <c r="N149" i="21"/>
  <c r="N157" i="21"/>
  <c r="N98" i="21"/>
  <c r="N106" i="21"/>
  <c r="N114" i="21"/>
  <c r="N122" i="21"/>
  <c r="N130" i="21"/>
  <c r="N138" i="21"/>
  <c r="N146" i="21"/>
  <c r="N154" i="21"/>
  <c r="N133" i="21"/>
  <c r="N141" i="21"/>
  <c r="N93" i="21"/>
  <c r="N101" i="21"/>
  <c r="N109" i="21"/>
  <c r="N117" i="21"/>
  <c r="N125" i="21"/>
  <c r="W782" i="15"/>
  <c r="O12" i="21"/>
  <c r="T1012" i="15"/>
  <c r="T710" i="15"/>
  <c r="N61" i="21"/>
  <c r="T917" i="15"/>
  <c r="Y917" i="15" s="1"/>
  <c r="T985" i="15"/>
  <c r="Y985" i="15" s="1"/>
  <c r="O27" i="21"/>
  <c r="T818" i="15"/>
  <c r="Y818" i="15" s="1"/>
  <c r="T895" i="15"/>
  <c r="Y895" i="15" s="1"/>
  <c r="T909" i="15"/>
  <c r="O83" i="21"/>
  <c r="D201" i="22"/>
  <c r="D198" i="22"/>
  <c r="N41" i="21"/>
  <c r="N19" i="21"/>
  <c r="M34" i="21"/>
  <c r="M41" i="21"/>
  <c r="O87" i="21"/>
  <c r="N38" i="21"/>
  <c r="O31" i="21"/>
  <c r="M27" i="21"/>
  <c r="O24" i="21"/>
  <c r="O41" i="21"/>
  <c r="N24" i="21"/>
  <c r="O50" i="21"/>
  <c r="M17" i="21"/>
  <c r="M38" i="21"/>
  <c r="O39" i="21"/>
  <c r="O15" i="21"/>
  <c r="O82" i="21"/>
  <c r="K21" i="21"/>
  <c r="L71" i="21"/>
  <c r="N13" i="21"/>
  <c r="O19" i="21"/>
  <c r="O17" i="21"/>
  <c r="O38" i="21"/>
  <c r="O34" i="21"/>
  <c r="N39" i="21"/>
  <c r="N25" i="21"/>
  <c r="M12" i="21"/>
  <c r="L66" i="21"/>
  <c r="K10" i="21"/>
  <c r="N27" i="21"/>
  <c r="N34" i="21"/>
  <c r="O78" i="21"/>
  <c r="M61" i="21"/>
  <c r="M19" i="21"/>
  <c r="M24" i="21"/>
  <c r="O73" i="21"/>
  <c r="N17" i="21"/>
  <c r="M13" i="21"/>
  <c r="O66" i="21"/>
  <c r="N35" i="21"/>
  <c r="P17" i="21"/>
  <c r="P79" i="21"/>
  <c r="X171" i="15"/>
  <c r="T782" i="15"/>
  <c r="Y782" i="15" s="1"/>
  <c r="T903" i="15"/>
  <c r="Y903" i="15" s="1"/>
  <c r="E82" i="21"/>
  <c r="D82" i="21"/>
  <c r="F82" i="21" s="1"/>
  <c r="R78" i="14"/>
  <c r="E78" i="21"/>
  <c r="D73" i="21"/>
  <c r="F73" i="21" s="1"/>
  <c r="E73" i="21"/>
  <c r="W818" i="15"/>
  <c r="D168" i="22"/>
  <c r="D165" i="22"/>
  <c r="D164" i="22"/>
  <c r="D159" i="22"/>
  <c r="D158" i="22"/>
  <c r="D154" i="22"/>
  <c r="I49" i="21"/>
  <c r="D152" i="22"/>
  <c r="D150" i="22"/>
  <c r="D147" i="22"/>
  <c r="D145" i="22"/>
  <c r="D144" i="22"/>
  <c r="D143" i="22"/>
  <c r="D142" i="22"/>
  <c r="D123" i="22"/>
  <c r="D83" i="22"/>
  <c r="D34" i="22"/>
  <c r="D105" i="22"/>
  <c r="D139" i="22"/>
  <c r="D107" i="22"/>
  <c r="D117" i="22"/>
  <c r="D84" i="22"/>
  <c r="D97" i="22"/>
  <c r="D104" i="22"/>
  <c r="D127" i="22"/>
  <c r="D93" i="22"/>
  <c r="D100" i="22"/>
  <c r="D108" i="22"/>
  <c r="D101" i="22"/>
  <c r="D103" i="22"/>
  <c r="D109" i="22"/>
  <c r="D88" i="22"/>
  <c r="D54" i="22"/>
  <c r="D110" i="22"/>
  <c r="D113" i="22"/>
  <c r="D130" i="22"/>
  <c r="D133" i="22"/>
  <c r="D79" i="22"/>
  <c r="D131" i="22"/>
  <c r="D13" i="21"/>
  <c r="F13" i="21" s="1"/>
  <c r="L41" i="21"/>
  <c r="L34" i="21"/>
  <c r="L24" i="21"/>
  <c r="L19" i="21"/>
  <c r="E89" i="14"/>
  <c r="AD107" i="15"/>
  <c r="V107" i="15" s="1"/>
  <c r="R128" i="15"/>
  <c r="J49" i="21"/>
  <c r="X170" i="15"/>
  <c r="R163" i="15"/>
  <c r="Q88" i="14"/>
  <c r="V128" i="15"/>
  <c r="J41" i="21"/>
  <c r="I17" i="14"/>
  <c r="H17" i="14"/>
  <c r="M23" i="14"/>
  <c r="N17" i="14"/>
  <c r="AD145" i="15"/>
  <c r="V145" i="15" s="1"/>
  <c r="F17" i="14"/>
  <c r="J53" i="14"/>
  <c r="E11" i="21"/>
  <c r="K66" i="21"/>
  <c r="E13" i="21"/>
  <c r="H12" i="21"/>
  <c r="H13" i="21"/>
  <c r="C153" i="22"/>
  <c r="D153" i="22" s="1"/>
  <c r="C4" i="22"/>
  <c r="D4" i="22" s="1"/>
  <c r="C13" i="22"/>
  <c r="D13" i="22" s="1"/>
  <c r="H113" i="21"/>
  <c r="D115" i="21"/>
  <c r="F115" i="21" s="1"/>
  <c r="E115" i="21"/>
  <c r="H115" i="21"/>
  <c r="H114" i="21"/>
  <c r="E114" i="21"/>
  <c r="D114" i="21"/>
  <c r="F114" i="21" s="1"/>
  <c r="D113" i="21"/>
  <c r="F113" i="21" s="1"/>
  <c r="E113" i="21"/>
  <c r="H24" i="21"/>
  <c r="D112" i="21"/>
  <c r="F112" i="21" s="1"/>
  <c r="E112" i="21"/>
  <c r="H112" i="21"/>
  <c r="H105" i="21"/>
  <c r="H98" i="21"/>
  <c r="H30" i="21"/>
  <c r="J28" i="21"/>
  <c r="H79" i="21"/>
  <c r="H39" i="21"/>
  <c r="H25" i="21"/>
  <c r="H10" i="21"/>
  <c r="H84" i="21"/>
  <c r="H107" i="21"/>
  <c r="H97" i="21"/>
  <c r="H90" i="21"/>
  <c r="H17" i="21"/>
  <c r="H38" i="21"/>
  <c r="H89" i="21"/>
  <c r="H111" i="21"/>
  <c r="H87" i="21"/>
  <c r="H104" i="21"/>
  <c r="H19" i="21"/>
  <c r="H95" i="21"/>
  <c r="H61" i="21"/>
  <c r="E111" i="21"/>
  <c r="D111" i="21"/>
  <c r="F111" i="21" s="1"/>
  <c r="E104" i="21"/>
  <c r="D104" i="21"/>
  <c r="F104" i="21" s="1"/>
  <c r="E95" i="21"/>
  <c r="D95" i="21"/>
  <c r="F95" i="21" s="1"/>
  <c r="R97" i="21"/>
  <c r="J14" i="22"/>
  <c r="K14" i="22" s="1"/>
  <c r="D292" i="22"/>
  <c r="D298" i="22"/>
  <c r="D304" i="22"/>
  <c r="S61" i="21"/>
  <c r="R50" i="21"/>
  <c r="R106" i="21"/>
  <c r="E106" i="21"/>
  <c r="R25" i="21"/>
  <c r="D291" i="22"/>
  <c r="R89" i="21"/>
  <c r="D287" i="22"/>
  <c r="R87" i="21"/>
  <c r="D273" i="22"/>
  <c r="R39" i="21"/>
  <c r="R24" i="21"/>
  <c r="D279" i="22"/>
  <c r="Q41" i="21"/>
  <c r="R53" i="21"/>
  <c r="Q87" i="21"/>
  <c r="J13" i="22"/>
  <c r="K13" i="22" s="1"/>
  <c r="Q89" i="21"/>
  <c r="D254" i="22"/>
  <c r="Q98" i="21"/>
  <c r="D245" i="22"/>
  <c r="P87" i="21"/>
  <c r="Q39" i="21"/>
  <c r="Q53" i="21"/>
  <c r="P19" i="21"/>
  <c r="Q85" i="21"/>
  <c r="Q19" i="21"/>
  <c r="Q90" i="21"/>
  <c r="Q24" i="21"/>
  <c r="Q38" i="21"/>
  <c r="Q94" i="21"/>
  <c r="J12" i="22"/>
  <c r="K12" i="22" s="1"/>
  <c r="E50" i="21"/>
  <c r="P38" i="21"/>
  <c r="P50" i="21"/>
  <c r="E79" i="21"/>
  <c r="D79" i="21"/>
  <c r="F79" i="21" s="1"/>
  <c r="O79" i="21"/>
  <c r="K41" i="21"/>
  <c r="J10" i="21"/>
  <c r="L20" i="21"/>
  <c r="AJ60" i="13"/>
  <c r="AJ4" i="13"/>
  <c r="D128" i="22"/>
  <c r="D187" i="22"/>
  <c r="O25" i="21"/>
  <c r="O21" i="21"/>
  <c r="O61" i="21"/>
  <c r="D141" i="22"/>
  <c r="D76" i="21"/>
  <c r="F76" i="21" s="1"/>
  <c r="K61" i="21"/>
  <c r="J27" i="21"/>
  <c r="E76" i="21"/>
  <c r="K35" i="21"/>
  <c r="K24" i="21"/>
  <c r="K30" i="21"/>
  <c r="D188" i="22"/>
  <c r="K12" i="21"/>
  <c r="J38" i="21"/>
  <c r="J25" i="21"/>
  <c r="I25" i="21"/>
  <c r="M53" i="21"/>
  <c r="K72" i="21"/>
  <c r="J34" i="21"/>
  <c r="K20" i="21"/>
  <c r="J19" i="21"/>
  <c r="J53" i="21"/>
  <c r="L30" i="21"/>
  <c r="K19" i="21"/>
  <c r="K25" i="21"/>
  <c r="J66" i="21"/>
  <c r="L39" i="21"/>
  <c r="I28" i="21"/>
  <c r="J61" i="21"/>
  <c r="J32" i="21"/>
  <c r="K38" i="21"/>
  <c r="L27" i="21"/>
  <c r="K53" i="21"/>
  <c r="L38" i="21"/>
  <c r="M25" i="21"/>
  <c r="I12" i="21"/>
  <c r="L17" i="21"/>
  <c r="N21" i="21"/>
  <c r="J51" i="21"/>
  <c r="L61" i="21"/>
  <c r="K71" i="21"/>
  <c r="J17" i="21"/>
  <c r="K39" i="21"/>
  <c r="J39" i="21"/>
  <c r="L12" i="21"/>
  <c r="I46" i="21"/>
  <c r="K34" i="21"/>
  <c r="O76" i="21"/>
  <c r="L25" i="21"/>
  <c r="E10" i="21"/>
  <c r="D112" i="22"/>
  <c r="D125" i="22"/>
  <c r="D78" i="22"/>
  <c r="D98" i="22"/>
  <c r="D90" i="22"/>
  <c r="D43" i="22"/>
  <c r="D29" i="22"/>
  <c r="D82" i="22"/>
  <c r="D99" i="22"/>
  <c r="D81" i="22"/>
  <c r="D77" i="22"/>
  <c r="D89" i="22"/>
  <c r="D74" i="22"/>
  <c r="D106" i="22"/>
  <c r="D92" i="22"/>
  <c r="D137" i="22"/>
  <c r="D85" i="22"/>
  <c r="D31" i="22"/>
  <c r="D95" i="22"/>
  <c r="D75" i="22"/>
  <c r="D76" i="22"/>
  <c r="D91" i="22"/>
  <c r="E35" i="21"/>
  <c r="E72" i="21"/>
  <c r="D72" i="21"/>
  <c r="F72" i="21" s="1"/>
  <c r="E30" i="21"/>
  <c r="D24" i="21"/>
  <c r="F24" i="21" s="1"/>
  <c r="T43" i="14"/>
  <c r="D38" i="21"/>
  <c r="F38" i="21" s="1"/>
  <c r="E49" i="21"/>
  <c r="E51" i="21"/>
  <c r="D51" i="21"/>
  <c r="F51" i="21" s="1"/>
  <c r="D61" i="21"/>
  <c r="F61" i="21" s="1"/>
  <c r="E61" i="21"/>
  <c r="D49" i="21"/>
  <c r="F49" i="21" s="1"/>
  <c r="E38" i="21"/>
  <c r="E24" i="21"/>
  <c r="D30" i="21"/>
  <c r="F30" i="21" s="1"/>
  <c r="E28" i="21"/>
  <c r="D27" i="21"/>
  <c r="F27" i="21" s="1"/>
  <c r="D66" i="21"/>
  <c r="F66" i="21" s="1"/>
  <c r="E66" i="21"/>
  <c r="D28" i="21"/>
  <c r="F28" i="21" s="1"/>
  <c r="E41" i="21"/>
  <c r="E25" i="21"/>
  <c r="D25" i="21"/>
  <c r="F25" i="21" s="1"/>
  <c r="E27" i="21"/>
  <c r="T6" i="14"/>
  <c r="E12" i="21"/>
  <c r="E19" i="21"/>
  <c r="D35" i="21"/>
  <c r="F35" i="21" s="1"/>
  <c r="K17" i="21"/>
  <c r="H94" i="21"/>
  <c r="D94" i="21"/>
  <c r="F94" i="21" s="1"/>
  <c r="E94" i="21"/>
  <c r="H93" i="21"/>
  <c r="AJ61" i="13"/>
  <c r="AJ5" i="13"/>
  <c r="E17" i="21"/>
  <c r="D17" i="21"/>
  <c r="F17" i="21" s="1"/>
  <c r="AJ62" i="13"/>
  <c r="AJ6" i="13"/>
  <c r="AJ63" i="13"/>
  <c r="AJ7" i="13"/>
  <c r="AJ64" i="13"/>
  <c r="AJ8" i="13"/>
  <c r="AJ65" i="13"/>
  <c r="AJ10" i="13"/>
  <c r="AJ11" i="13"/>
  <c r="AJ12" i="13"/>
  <c r="AJ13" i="13"/>
  <c r="AJ14" i="13"/>
  <c r="AJ15" i="13"/>
  <c r="AJ16" i="13"/>
  <c r="AJ17" i="13"/>
  <c r="AJ18" i="13"/>
  <c r="AJ66" i="13"/>
  <c r="AJ19" i="13"/>
  <c r="AJ20" i="13"/>
  <c r="AJ21" i="13"/>
  <c r="AJ22" i="13"/>
  <c r="AJ23" i="13"/>
  <c r="AJ24" i="13"/>
  <c r="AJ9"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 i="13"/>
  <c r="AB706" i="15"/>
  <c r="AB707" i="15" s="1"/>
  <c r="AB708" i="15" s="1"/>
  <c r="AB709" i="15" s="1"/>
  <c r="AB710" i="15" s="1"/>
  <c r="AB711" i="15" s="1"/>
  <c r="AB712" i="15" s="1"/>
  <c r="AB713" i="15" s="1"/>
  <c r="AB714" i="15"/>
  <c r="AB715" i="15" s="1"/>
  <c r="AB716" i="15" s="1"/>
  <c r="AB717" i="15" s="1"/>
  <c r="AB718" i="15" s="1"/>
  <c r="AB719" i="15" s="1"/>
  <c r="AB720" i="15" s="1"/>
  <c r="AB721" i="15" s="1"/>
  <c r="AB722" i="15" s="1"/>
  <c r="AB723" i="15" s="1"/>
  <c r="AB724" i="15" s="1"/>
  <c r="AB725" i="15" s="1"/>
  <c r="AB726" i="15" s="1"/>
  <c r="AB727" i="15" s="1"/>
  <c r="AB728" i="15" s="1"/>
  <c r="AB729" i="15" s="1"/>
  <c r="AB730" i="15" s="1"/>
  <c r="AB731" i="15" s="1"/>
  <c r="AB732" i="15" s="1"/>
  <c r="AB733" i="15" s="1"/>
  <c r="AB734" i="15" s="1"/>
  <c r="AB735" i="15" s="1"/>
  <c r="AB736" i="15" s="1"/>
  <c r="AB737" i="15" s="1"/>
  <c r="AB738" i="15" s="1"/>
  <c r="AB739" i="15" s="1"/>
  <c r="AB740" i="15" s="1"/>
  <c r="AB741" i="15" s="1"/>
  <c r="AB742" i="15" s="1"/>
  <c r="AB743" i="15" s="1"/>
  <c r="AB744" i="15" s="1"/>
  <c r="AB745" i="15" s="1"/>
  <c r="AB746" i="15" s="1"/>
  <c r="AB747" i="15" s="1"/>
  <c r="AB748" i="15" s="1"/>
  <c r="AB749" i="15" s="1"/>
  <c r="AB750" i="15" s="1"/>
  <c r="AB751" i="15" s="1"/>
  <c r="AB752" i="15" s="1"/>
  <c r="AB753" i="15" s="1"/>
  <c r="AB754" i="15" s="1"/>
  <c r="AB755" i="15" s="1"/>
  <c r="AB756" i="15" s="1"/>
  <c r="AB757" i="15" s="1"/>
  <c r="AB758" i="15" s="1"/>
  <c r="AB759" i="15" s="1"/>
  <c r="AB760" i="15" s="1"/>
  <c r="AB761" i="15" s="1"/>
  <c r="AB762" i="15" s="1"/>
  <c r="AB763" i="15" s="1"/>
  <c r="AB764" i="15" s="1"/>
  <c r="AB765" i="15" s="1"/>
  <c r="AB766" i="15" s="1"/>
  <c r="AB767" i="15" s="1"/>
  <c r="AB768" i="15" s="1"/>
  <c r="AB769" i="15" s="1"/>
  <c r="AB770" i="15" s="1"/>
  <c r="AB771" i="15" s="1"/>
  <c r="AB772" i="15" s="1"/>
  <c r="AB773" i="15" s="1"/>
  <c r="AB774" i="15" s="1"/>
  <c r="AB775" i="15" s="1"/>
  <c r="AB776" i="15" s="1"/>
  <c r="AB777" i="15" s="1"/>
  <c r="AB778" i="15" s="1"/>
  <c r="AB779" i="15" s="1"/>
  <c r="AB780" i="15" s="1"/>
  <c r="AB781" i="15" s="1"/>
  <c r="AB782" i="15" s="1"/>
  <c r="AB783" i="15" s="1"/>
  <c r="AB784" i="15" s="1"/>
  <c r="AB785" i="15" s="1"/>
  <c r="AB786" i="15" s="1"/>
  <c r="AB787" i="15" s="1"/>
  <c r="AB788" i="15" s="1"/>
  <c r="AB789" i="15" s="1"/>
  <c r="AB790" i="15" s="1"/>
  <c r="AB791" i="15" s="1"/>
  <c r="AB792" i="15" s="1"/>
  <c r="AB793" i="15" s="1"/>
  <c r="AB794" i="15" s="1"/>
  <c r="AB795" i="15" s="1"/>
  <c r="AB796" i="15" s="1"/>
  <c r="AB797" i="15" s="1"/>
  <c r="AB798" i="15" s="1"/>
  <c r="AB799" i="15" s="1"/>
  <c r="AB800" i="15" s="1"/>
  <c r="AB801" i="15" s="1"/>
  <c r="AB802" i="15" s="1"/>
  <c r="AB803" i="15" s="1"/>
  <c r="AB804" i="15" s="1"/>
  <c r="AB805" i="15" s="1"/>
  <c r="AB806" i="15" s="1"/>
  <c r="AB807" i="15" s="1"/>
  <c r="AB808" i="15" s="1"/>
  <c r="AB809" i="15" s="1"/>
  <c r="AB810" i="15" s="1"/>
  <c r="AB811" i="15" s="1"/>
  <c r="AB812" i="15" s="1"/>
  <c r="AB813" i="15" s="1"/>
  <c r="AB814" i="15" s="1"/>
  <c r="AB815" i="15" s="1"/>
  <c r="AB816" i="15" s="1"/>
  <c r="AB817" i="15" s="1"/>
  <c r="AB818" i="15" s="1"/>
  <c r="AB819" i="15" s="1"/>
  <c r="AB820" i="15" s="1"/>
  <c r="AB821" i="15" s="1"/>
  <c r="AB822" i="15" s="1"/>
  <c r="AB823" i="15" s="1"/>
  <c r="AB824" i="15" s="1"/>
  <c r="AB825" i="15" s="1"/>
  <c r="AB826" i="15" s="1"/>
  <c r="AB827" i="15" s="1"/>
  <c r="AB828" i="15" s="1"/>
  <c r="AB829" i="15" s="1"/>
  <c r="AB830" i="15"/>
  <c r="AB831" i="15" s="1"/>
  <c r="AB832" i="15" s="1"/>
  <c r="AB833" i="15" s="1"/>
  <c r="AB834" i="15" s="1"/>
  <c r="AB835" i="15" s="1"/>
  <c r="AB836" i="15" s="1"/>
  <c r="AB837" i="15" s="1"/>
  <c r="AB838" i="15" s="1"/>
  <c r="AB839" i="15" s="1"/>
  <c r="AB840" i="15" s="1"/>
  <c r="AB841" i="15" s="1"/>
  <c r="AB842" i="15" s="1"/>
  <c r="AB843" i="15" s="1"/>
  <c r="AB844" i="15" s="1"/>
  <c r="AB845" i="15" s="1"/>
  <c r="AB846" i="15" s="1"/>
  <c r="AB847" i="15" s="1"/>
  <c r="AB848" i="15" s="1"/>
  <c r="AB849" i="15" s="1"/>
  <c r="AB850" i="15" s="1"/>
  <c r="AB851" i="15" s="1"/>
  <c r="AB852" i="15" s="1"/>
  <c r="AB853" i="15" s="1"/>
  <c r="AB854" i="15" s="1"/>
  <c r="AB855" i="15" s="1"/>
  <c r="AB856" i="15" s="1"/>
  <c r="AB857" i="15" s="1"/>
  <c r="AB858" i="15" s="1"/>
  <c r="AB859" i="15" s="1"/>
  <c r="AB860" i="15" s="1"/>
  <c r="AB861" i="15" s="1"/>
  <c r="AB862" i="15" s="1"/>
  <c r="AB863" i="15" s="1"/>
  <c r="AB864" i="15" s="1"/>
  <c r="AB865" i="15" s="1"/>
  <c r="AB866" i="15" s="1"/>
  <c r="AB867" i="15" s="1"/>
  <c r="AB868" i="15" s="1"/>
  <c r="AB869" i="15" s="1"/>
  <c r="AB870" i="15" s="1"/>
  <c r="AB871" i="15" s="1"/>
  <c r="AB872" i="15" s="1"/>
  <c r="AB873" i="15" s="1"/>
  <c r="AB874" i="15" s="1"/>
  <c r="AB875" i="15" s="1"/>
  <c r="AB876" i="15" s="1"/>
  <c r="AB877" i="15" s="1"/>
  <c r="AB878" i="15" s="1"/>
  <c r="AB879" i="15" s="1"/>
  <c r="AB880" i="15"/>
  <c r="AB881" i="15" s="1"/>
  <c r="AB882" i="15" s="1"/>
  <c r="AB883" i="15" s="1"/>
  <c r="AB884" i="15" s="1"/>
  <c r="AB885" i="15" s="1"/>
  <c r="AB886" i="15" s="1"/>
  <c r="AB887" i="15" s="1"/>
  <c r="AB888" i="15" s="1"/>
  <c r="AB889" i="15" s="1"/>
  <c r="AB890" i="15" s="1"/>
  <c r="AB891" i="15" s="1"/>
  <c r="AB892" i="15" s="1"/>
  <c r="AB893" i="15" s="1"/>
  <c r="AB894" i="15" s="1"/>
  <c r="AB895" i="15" s="1"/>
  <c r="AB896" i="15" s="1"/>
  <c r="AB897" i="15" s="1"/>
  <c r="AB898" i="15" s="1"/>
  <c r="AB899" i="15" s="1"/>
  <c r="AB900" i="15" s="1"/>
  <c r="AB901" i="15" s="1"/>
  <c r="AB902" i="15" s="1"/>
  <c r="AB903" i="15" s="1"/>
  <c r="AB904" i="15" s="1"/>
  <c r="AB905" i="15" s="1"/>
  <c r="AB906" i="15" s="1"/>
  <c r="AB907" i="15" s="1"/>
  <c r="AB908" i="15" s="1"/>
  <c r="AB909" i="15" s="1"/>
  <c r="AB910" i="15" s="1"/>
  <c r="AB911" i="15" s="1"/>
  <c r="AB912" i="15" s="1"/>
  <c r="AB913" i="15" s="1"/>
  <c r="AB914" i="15" s="1"/>
  <c r="AB915" i="15" s="1"/>
  <c r="AB916" i="15" s="1"/>
  <c r="AB917" i="15" s="1"/>
  <c r="AB918" i="15" s="1"/>
  <c r="AB919" i="15" s="1"/>
  <c r="AB920" i="15" s="1"/>
  <c r="AB921" i="15" s="1"/>
  <c r="AB922" i="15" s="1"/>
  <c r="AB923" i="15" s="1"/>
  <c r="AB924" i="15" s="1"/>
  <c r="AB925" i="15" s="1"/>
  <c r="AB926" i="15" s="1"/>
  <c r="AB927" i="15" s="1"/>
  <c r="AB928" i="15" s="1"/>
  <c r="AB929" i="15" s="1"/>
  <c r="AB930" i="15" s="1"/>
  <c r="AB931" i="15" s="1"/>
  <c r="AB932" i="15" s="1"/>
  <c r="AB933" i="15" s="1"/>
  <c r="AB934" i="15" s="1"/>
  <c r="AB935" i="15" s="1"/>
  <c r="AB936" i="15" s="1"/>
  <c r="AB937" i="15" s="1"/>
  <c r="AB938" i="15" s="1"/>
  <c r="AB939" i="15" s="1"/>
  <c r="AB940" i="15" s="1"/>
  <c r="AB941" i="15" s="1"/>
  <c r="AB942" i="15" s="1"/>
  <c r="AB943" i="15" s="1"/>
  <c r="AB944" i="15" s="1"/>
  <c r="AB945" i="15" s="1"/>
  <c r="AB946" i="15" s="1"/>
  <c r="AB947" i="15" s="1"/>
  <c r="AB948" i="15" s="1"/>
  <c r="AB949" i="15" s="1"/>
  <c r="AB950" i="15" s="1"/>
  <c r="AB951" i="15" s="1"/>
  <c r="AB952" i="15" s="1"/>
  <c r="AB953" i="15" s="1"/>
  <c r="AB954" i="15" s="1"/>
  <c r="AB955" i="15" s="1"/>
  <c r="AB956" i="15" s="1"/>
  <c r="AB957" i="15" s="1"/>
  <c r="AB958" i="15" s="1"/>
  <c r="AB959" i="15" s="1"/>
  <c r="AB960" i="15" s="1"/>
  <c r="AB961" i="15" s="1"/>
  <c r="AB962" i="15" s="1"/>
  <c r="AB963" i="15" s="1"/>
  <c r="AB964" i="15" s="1"/>
  <c r="AB965" i="15" s="1"/>
  <c r="AB966" i="15" s="1"/>
  <c r="AB967" i="15" s="1"/>
  <c r="AB968" i="15" s="1"/>
  <c r="AB969" i="15" s="1"/>
  <c r="AB970" i="15" s="1"/>
  <c r="AB971" i="15" s="1"/>
  <c r="AB972" i="15" s="1"/>
  <c r="AB973" i="15" s="1"/>
  <c r="AB974" i="15" s="1"/>
  <c r="AB975" i="15" s="1"/>
  <c r="AB976" i="15" s="1"/>
  <c r="AB977" i="15" s="1"/>
  <c r="AB978" i="15" s="1"/>
  <c r="AB979" i="15" s="1"/>
  <c r="AB980" i="15" s="1"/>
  <c r="AB981" i="15" s="1"/>
  <c r="AB982" i="15" s="1"/>
  <c r="AB983" i="15" s="1"/>
  <c r="AB984" i="15" s="1"/>
  <c r="AB985" i="15" s="1"/>
  <c r="AB986" i="15" s="1"/>
  <c r="AB987" i="15" s="1"/>
  <c r="AB988" i="15" s="1"/>
  <c r="AB989" i="15" s="1"/>
  <c r="AB990" i="15" s="1"/>
  <c r="AB991" i="15" s="1"/>
  <c r="AB992" i="15" s="1"/>
  <c r="AB993" i="15" s="1"/>
  <c r="AB994" i="15" s="1"/>
  <c r="AB995" i="15" s="1"/>
  <c r="AB996" i="15" s="1"/>
  <c r="AB997" i="15" s="1"/>
  <c r="AB998" i="15" s="1"/>
  <c r="AB999" i="15" s="1"/>
  <c r="AB1000" i="15" s="1"/>
  <c r="AB1001" i="15" s="1"/>
  <c r="AB1002" i="15" s="1"/>
  <c r="AB1003" i="15" s="1"/>
  <c r="AB1004" i="15" s="1"/>
  <c r="AB1005" i="15" s="1"/>
  <c r="AB1006" i="15" s="1"/>
  <c r="AB1007" i="15" s="1"/>
  <c r="AB1008" i="15" s="1"/>
  <c r="AB1009" i="15" s="1"/>
  <c r="AB1010" i="15" s="1"/>
  <c r="AB1011" i="15"/>
  <c r="AB1012" i="15" s="1"/>
  <c r="AB1013" i="15" s="1"/>
  <c r="AB1014" i="15" s="1"/>
  <c r="AB1015" i="15" s="1"/>
  <c r="AB1016" i="15" s="1"/>
  <c r="AB1017" i="15" s="1"/>
  <c r="AB1018" i="15" s="1"/>
  <c r="AB1019" i="15" s="1"/>
  <c r="AB1020" i="15" s="1"/>
  <c r="AB1021" i="15" s="1"/>
  <c r="AB1022" i="15" s="1"/>
  <c r="AB1023" i="15" s="1"/>
  <c r="AB1024" i="15" s="1"/>
  <c r="AB1025" i="15" s="1"/>
  <c r="AB1026" i="15" s="1"/>
  <c r="AB1027" i="15" s="1"/>
  <c r="AB1028" i="15" s="1"/>
  <c r="AB1029" i="15" s="1"/>
  <c r="AB1030" i="15" s="1"/>
  <c r="AB1031" i="15" s="1"/>
  <c r="AB1032" i="15" s="1"/>
  <c r="AB1033" i="15" s="1"/>
  <c r="AB1034" i="15" s="1"/>
  <c r="AB1035" i="15" s="1"/>
  <c r="AB1036" i="15" s="1"/>
  <c r="AB1037" i="15" s="1"/>
  <c r="AB1038" i="15" s="1"/>
  <c r="AB1039" i="15" s="1"/>
  <c r="AB1040" i="15" s="1"/>
  <c r="AB1041" i="15" s="1"/>
  <c r="AB1042" i="15" s="1"/>
  <c r="AB1043" i="15" s="1"/>
  <c r="AB1044" i="15" s="1"/>
  <c r="AB1045" i="15" s="1"/>
  <c r="AB1046" i="15" s="1"/>
  <c r="AB1047" i="15" s="1"/>
  <c r="AB1048" i="15" s="1"/>
  <c r="AB1049" i="15" s="1"/>
  <c r="AB1050" i="15" s="1"/>
  <c r="AB1051" i="15" s="1"/>
  <c r="AB1052" i="15" s="1"/>
  <c r="AB1053" i="15" s="1"/>
  <c r="AB1054" i="15" s="1"/>
  <c r="AB1055" i="15" s="1"/>
  <c r="AB1056" i="15" s="1"/>
  <c r="AB1057" i="15" s="1"/>
  <c r="AB1058" i="15" s="1"/>
  <c r="AB1059" i="15" s="1"/>
  <c r="AB1060" i="15" s="1"/>
  <c r="AB1061" i="15" s="1"/>
  <c r="AB1062" i="15" s="1"/>
  <c r="AB1063" i="15" s="1"/>
  <c r="AB1064" i="15" s="1"/>
  <c r="AB1065" i="15" s="1"/>
  <c r="AB1066" i="15" s="1"/>
  <c r="AB1067" i="15" s="1"/>
  <c r="AB1068" i="15" s="1"/>
  <c r="AB1069" i="15" s="1"/>
  <c r="AB1070" i="15" s="1"/>
  <c r="AB1071" i="15" s="1"/>
  <c r="AB1072" i="15" s="1"/>
  <c r="AB1073" i="15" s="1"/>
  <c r="AB1074" i="15" s="1"/>
  <c r="AB1075" i="15" s="1"/>
  <c r="AB1076" i="15" s="1"/>
  <c r="AB1077" i="15" s="1"/>
  <c r="AB1078" i="15" s="1"/>
  <c r="AB1079" i="15" s="1"/>
  <c r="AB1080" i="15" s="1"/>
  <c r="AB1081" i="15" s="1"/>
  <c r="AB1082" i="15" s="1"/>
  <c r="AB1083" i="15" s="1"/>
  <c r="AB1084" i="15" s="1"/>
  <c r="AB1085" i="15" s="1"/>
  <c r="AB1086" i="15" s="1"/>
  <c r="AB1087" i="15" s="1"/>
  <c r="AB1088" i="15" s="1"/>
  <c r="AB1089" i="15" s="1"/>
  <c r="AB1090" i="15" s="1"/>
  <c r="AB1091" i="15" s="1"/>
  <c r="AB1092" i="15" s="1"/>
  <c r="AB1093" i="15" s="1"/>
  <c r="AB1094" i="15" s="1"/>
  <c r="AB1095" i="15" s="1"/>
  <c r="AB1096" i="15" s="1"/>
  <c r="AB1097" i="15" s="1"/>
  <c r="AB1098" i="15" s="1"/>
  <c r="AB1099" i="15" s="1"/>
  <c r="AB1100" i="15" s="1"/>
  <c r="AB1101" i="15" s="1"/>
  <c r="AB1102" i="15" s="1"/>
  <c r="AB1103" i="15" s="1"/>
  <c r="AB1104" i="15" s="1"/>
  <c r="AB1105" i="15" s="1"/>
  <c r="AB1106" i="15" s="1"/>
  <c r="AB1107" i="15" s="1"/>
  <c r="AB1108" i="15" s="1"/>
  <c r="AB1109" i="15" s="1"/>
  <c r="AB1110" i="15" s="1"/>
  <c r="AB1111" i="15" s="1"/>
  <c r="AB1112" i="15" s="1"/>
  <c r="AB1113" i="15" s="1"/>
  <c r="AB1114" i="15" s="1"/>
  <c r="AB1115" i="15" s="1"/>
  <c r="AB1116" i="15" s="1"/>
  <c r="AB1117" i="15" s="1"/>
  <c r="AB1118" i="15" s="1"/>
  <c r="AB1119" i="15" s="1"/>
  <c r="AB1120" i="15" s="1"/>
  <c r="AB1121" i="15" s="1"/>
  <c r="AB1122" i="15" s="1"/>
  <c r="AB1123" i="15" s="1"/>
  <c r="AB1124" i="15" s="1"/>
  <c r="AB1125" i="15" s="1"/>
  <c r="AB1126" i="15" s="1"/>
  <c r="AB1127" i="15" s="1"/>
  <c r="AB1128" i="15" s="1"/>
  <c r="AB1129" i="15" s="1"/>
  <c r="AB1130" i="15" s="1"/>
  <c r="AB1131" i="15" s="1"/>
  <c r="AB1132" i="15" s="1"/>
  <c r="AB1133" i="15" s="1"/>
  <c r="AB1134" i="15" s="1"/>
  <c r="AB1135" i="15" s="1"/>
  <c r="AB1136" i="15" s="1"/>
  <c r="AB1137" i="15" s="1"/>
  <c r="AB1138" i="15" s="1"/>
  <c r="AB1139" i="15" s="1"/>
  <c r="AB1140" i="15" s="1"/>
  <c r="AB1141" i="15" s="1"/>
  <c r="AB1142" i="15" s="1"/>
  <c r="AB1143" i="15" s="1"/>
  <c r="AB1144" i="15" s="1"/>
  <c r="AB1145" i="15" s="1"/>
  <c r="AB1146" i="15" s="1"/>
  <c r="AB1147" i="15" s="1"/>
  <c r="AB1148" i="15" s="1"/>
  <c r="AB1149" i="15" s="1"/>
  <c r="AB1150" i="15" s="1"/>
  <c r="AB1151" i="15" s="1"/>
  <c r="AB1152" i="15" s="1"/>
  <c r="AB1153" i="15" s="1"/>
  <c r="AB1154" i="15" s="1"/>
  <c r="AB1155" i="15" s="1"/>
  <c r="AB1156" i="15" s="1"/>
  <c r="AB1157" i="15" s="1"/>
  <c r="AB1158" i="15" s="1"/>
  <c r="AB1159" i="15" s="1"/>
  <c r="AB1160" i="15" s="1"/>
  <c r="AB1161" i="15" s="1"/>
  <c r="AB1162" i="15" s="1"/>
  <c r="AB1163" i="15" s="1"/>
  <c r="AB1164" i="15" s="1"/>
  <c r="AB1165" i="15" s="1"/>
  <c r="AB1166" i="15" s="1"/>
  <c r="AB1167" i="15" s="1"/>
  <c r="AB1168" i="15" s="1"/>
  <c r="AB1169" i="15" s="1"/>
  <c r="AB1170" i="15" s="1"/>
  <c r="AB1171" i="15" s="1"/>
  <c r="AB1172" i="15" s="1"/>
  <c r="AB1173" i="15" s="1"/>
  <c r="AB1174" i="15" s="1"/>
  <c r="AB1175" i="15" s="1"/>
  <c r="AB1176" i="15" s="1"/>
  <c r="AB1177" i="15" s="1"/>
  <c r="AB1178" i="15" s="1"/>
  <c r="AB1179" i="15" s="1"/>
  <c r="AB1180" i="15" s="1"/>
  <c r="AB1181" i="15" s="1"/>
  <c r="AB1182" i="15" s="1"/>
  <c r="AB1183" i="15" s="1"/>
  <c r="AB1184" i="15" s="1"/>
  <c r="AB1185" i="15" s="1"/>
  <c r="AB1186" i="15" s="1"/>
  <c r="AB1187" i="15" s="1"/>
  <c r="AB1188" i="15" s="1"/>
  <c r="AB1189" i="15" s="1"/>
  <c r="AB1190" i="15" s="1"/>
  <c r="AB1191" i="15" s="1"/>
  <c r="AB1192" i="15" s="1"/>
  <c r="AB1193" i="15" s="1"/>
  <c r="AB1194" i="15" s="1"/>
  <c r="AB1195" i="15" s="1"/>
  <c r="AB1196" i="15" s="1"/>
  <c r="AB1197" i="15" s="1"/>
  <c r="AB1198" i="15" s="1"/>
  <c r="AB1199" i="15" s="1"/>
  <c r="AB1200" i="15" s="1"/>
  <c r="AB1201" i="15" s="1"/>
  <c r="AB1202" i="15" s="1"/>
  <c r="AB1203" i="15" s="1"/>
  <c r="AB1204" i="15" s="1"/>
  <c r="AB1205" i="15" s="1"/>
  <c r="AB1206" i="15" s="1"/>
  <c r="AB1207" i="15" s="1"/>
  <c r="AB1208" i="15" s="1"/>
  <c r="AB1209" i="15" s="1"/>
  <c r="AB1210" i="15" s="1"/>
  <c r="AB1211" i="15" s="1"/>
  <c r="AB1212" i="15" s="1"/>
  <c r="AB1213" i="15" s="1"/>
  <c r="AB1214" i="15" s="1"/>
  <c r="AB1215" i="15" s="1"/>
  <c r="AB1216" i="15" s="1"/>
  <c r="AB1217" i="15" s="1"/>
  <c r="AB1218" i="15" s="1"/>
  <c r="AB1219" i="15" s="1"/>
  <c r="AB1220" i="15" s="1"/>
  <c r="AB1221" i="15" s="1"/>
  <c r="AB1222" i="15" s="1"/>
  <c r="AB1223" i="15" s="1"/>
  <c r="AB1224" i="15" s="1"/>
  <c r="AB1225" i="15" s="1"/>
  <c r="AB1226" i="15" s="1"/>
  <c r="AB1227" i="15" s="1"/>
  <c r="AB1228" i="15" s="1"/>
  <c r="AB1229" i="15" s="1"/>
  <c r="AB1230" i="15" s="1"/>
  <c r="AB1231" i="15" s="1"/>
  <c r="AB1232" i="15" s="1"/>
  <c r="AB1233" i="15" s="1"/>
  <c r="AB1234" i="15" s="1"/>
  <c r="AB1235" i="15" s="1"/>
  <c r="AB1236" i="15" s="1"/>
  <c r="AB1237" i="15" s="1"/>
  <c r="AB1238" i="15" s="1"/>
  <c r="AB1239" i="15" s="1"/>
  <c r="AB1240" i="15" s="1"/>
  <c r="AB1241" i="15" s="1"/>
  <c r="AB1242" i="15" s="1"/>
  <c r="AB1243" i="15" s="1"/>
  <c r="AB1244" i="15" s="1"/>
  <c r="AB1245" i="15" s="1"/>
  <c r="AB1246" i="15" s="1"/>
  <c r="AB1247" i="15" s="1"/>
  <c r="AB1248" i="15" s="1"/>
  <c r="AB1249" i="15" s="1"/>
  <c r="AB1250" i="15" s="1"/>
  <c r="AB1251" i="15" s="1"/>
  <c r="AB1252" i="15" s="1"/>
  <c r="AB1253" i="15" s="1"/>
  <c r="AB1254" i="15" s="1"/>
  <c r="AB1255" i="15" s="1"/>
  <c r="AB1256" i="15" s="1"/>
  <c r="AB1257" i="15" s="1"/>
  <c r="AB1258" i="15" s="1"/>
  <c r="AB1259" i="15" s="1"/>
  <c r="AB1260" i="15" s="1"/>
  <c r="AB1261" i="15" s="1"/>
  <c r="AB1262" i="15" s="1"/>
  <c r="AB1263" i="15" s="1"/>
  <c r="AB1264" i="15" s="1"/>
  <c r="AB1265" i="15" s="1"/>
  <c r="AB1266" i="15" s="1"/>
  <c r="AB1267" i="15" s="1"/>
  <c r="AB1268" i="15" s="1"/>
  <c r="AB1269" i="15" s="1"/>
  <c r="AB1270" i="15" s="1"/>
  <c r="AB1271" i="15" s="1"/>
  <c r="AB1272" i="15" s="1"/>
  <c r="AB1273" i="15" s="1"/>
  <c r="AB1274" i="15" s="1"/>
  <c r="AB1275" i="15" s="1"/>
  <c r="AB1276" i="15" s="1"/>
  <c r="AB1277" i="15" s="1"/>
  <c r="AB1278" i="15" s="1"/>
  <c r="AB1279" i="15" s="1"/>
  <c r="AB1280" i="15" s="1"/>
  <c r="AB1281" i="15" s="1"/>
  <c r="AB1282" i="15" s="1"/>
  <c r="AB1283" i="15" s="1"/>
  <c r="AB1284" i="15" s="1"/>
  <c r="AB1285" i="15" s="1"/>
  <c r="AB1286" i="15" s="1"/>
  <c r="AB1287" i="15" s="1"/>
  <c r="AB1288" i="15" s="1"/>
  <c r="AB1289" i="15" s="1"/>
  <c r="AB1290" i="15" s="1"/>
  <c r="AB1291" i="15" s="1"/>
  <c r="AB1292" i="15" s="1"/>
  <c r="AB1293" i="15" s="1"/>
  <c r="AB1294" i="15" s="1"/>
  <c r="AB1295" i="15" s="1"/>
  <c r="AB1296" i="15" s="1"/>
  <c r="AB1297" i="15" s="1"/>
  <c r="AB1298" i="15" s="1"/>
  <c r="AB1299" i="15" s="1"/>
  <c r="AB1300" i="15" s="1"/>
  <c r="AB1301" i="15" s="1"/>
  <c r="AB1302" i="15" s="1"/>
  <c r="AB1303" i="15" s="1"/>
  <c r="AB1304" i="15" s="1"/>
  <c r="AB1305" i="15" s="1"/>
  <c r="AB1306" i="15" s="1"/>
  <c r="AB1307" i="15" s="1"/>
  <c r="AB1308" i="15" s="1"/>
  <c r="AB1309" i="15" s="1"/>
  <c r="AB1310" i="15" s="1"/>
  <c r="AB1311" i="15" s="1"/>
  <c r="AB1312" i="15" s="1"/>
  <c r="AB1313" i="15" s="1"/>
  <c r="AB1314" i="15" s="1"/>
  <c r="AB1315" i="15" s="1"/>
  <c r="AB1316" i="15" s="1"/>
  <c r="AB1317" i="15" s="1"/>
  <c r="AB1318" i="15" s="1"/>
  <c r="AB1319" i="15" s="1"/>
  <c r="AB1320" i="15" s="1"/>
  <c r="AB1321" i="15" s="1"/>
  <c r="AB1322" i="15" s="1"/>
  <c r="AB1323" i="15" s="1"/>
  <c r="AB1324" i="15" s="1"/>
  <c r="AB1325" i="15" s="1"/>
  <c r="AB1326" i="15" s="1"/>
  <c r="AB1327" i="15" s="1"/>
  <c r="AB1328" i="15" s="1"/>
  <c r="AB1329" i="15" s="1"/>
  <c r="AB1330" i="15" s="1"/>
  <c r="AB1331" i="15" s="1"/>
  <c r="AB1332" i="15" s="1"/>
  <c r="AB1333" i="15" s="1"/>
  <c r="AB1334" i="15" s="1"/>
  <c r="AB1335" i="15" s="1"/>
  <c r="AB1336" i="15" s="1"/>
  <c r="AB1337" i="15" s="1"/>
  <c r="AB1338" i="15" s="1"/>
  <c r="AB1339" i="15" s="1"/>
  <c r="AB1340" i="15" s="1"/>
  <c r="AB1341" i="15" s="1"/>
  <c r="AB1342" i="15" s="1"/>
  <c r="AB1343" i="15" s="1"/>
  <c r="AB1344" i="15" s="1"/>
  <c r="AB1345" i="15" s="1"/>
  <c r="AB1346" i="15" s="1"/>
  <c r="AB1347" i="15" s="1"/>
  <c r="AB1348" i="15" s="1"/>
  <c r="AB1349" i="15" s="1"/>
  <c r="AB1350" i="15" s="1"/>
  <c r="AB1351" i="15" s="1"/>
  <c r="AB1352" i="15" s="1"/>
  <c r="AB1353" i="15" s="1"/>
  <c r="AB1354" i="15" s="1"/>
  <c r="AB1355" i="15" s="1"/>
  <c r="AB1356" i="15" s="1"/>
  <c r="AB1357" i="15" s="1"/>
  <c r="AB1358" i="15" s="1"/>
  <c r="AB1359" i="15" s="1"/>
  <c r="AB1360" i="15" s="1"/>
  <c r="AB1361" i="15" s="1"/>
  <c r="AB1362" i="15" s="1"/>
  <c r="AB1363" i="15" s="1"/>
  <c r="AB1364" i="15" s="1"/>
  <c r="AB1365" i="15" s="1"/>
  <c r="AB1366" i="15" s="1"/>
  <c r="AB1367" i="15" s="1"/>
  <c r="AB1368" i="15" s="1"/>
  <c r="AB1369" i="15" s="1"/>
  <c r="AB1370" i="15" s="1"/>
  <c r="AB1371" i="15" s="1"/>
  <c r="AB1372" i="15" s="1"/>
  <c r="AB1373" i="15" s="1"/>
  <c r="AB1374" i="15" s="1"/>
  <c r="AB1375" i="15" s="1"/>
  <c r="AB1376" i="15" s="1"/>
  <c r="AB1377" i="15" s="1"/>
  <c r="AB1378" i="15" s="1"/>
  <c r="AB1379" i="15" s="1"/>
  <c r="AB1380" i="15" s="1"/>
  <c r="AB1381" i="15" s="1"/>
  <c r="AB1382" i="15" s="1"/>
  <c r="AB1383" i="15" s="1"/>
  <c r="AB1384" i="15" s="1"/>
  <c r="AB1385" i="15" s="1"/>
  <c r="AB1386" i="15" s="1"/>
  <c r="AB1387" i="15" s="1"/>
  <c r="AB1388" i="15" s="1"/>
  <c r="AB1389" i="15" s="1"/>
  <c r="AB1390" i="15" s="1"/>
  <c r="AB1391" i="15" s="1"/>
  <c r="AB1392" i="15" s="1"/>
  <c r="AB1393" i="15" s="1"/>
  <c r="AB1394" i="15" s="1"/>
  <c r="AB1395" i="15" s="1"/>
  <c r="AB1396" i="15" s="1"/>
  <c r="AB1397" i="15" s="1"/>
  <c r="AB1398" i="15" s="1"/>
  <c r="AB1399" i="15" s="1"/>
  <c r="AB1400" i="15" s="1"/>
  <c r="AB1401" i="15" s="1"/>
  <c r="AB1402" i="15" s="1"/>
  <c r="AB1403" i="15" s="1"/>
  <c r="AB1404" i="15" s="1"/>
  <c r="AB1405" i="15" s="1"/>
  <c r="AB1406" i="15" s="1"/>
  <c r="AB1407" i="15" s="1"/>
  <c r="AB1408" i="15" s="1"/>
  <c r="AB1409" i="15" s="1"/>
  <c r="AB1410" i="15" s="1"/>
  <c r="AB1411" i="15" s="1"/>
  <c r="AB1412" i="15" s="1"/>
  <c r="AB1413" i="15" s="1"/>
  <c r="AB1414" i="15" s="1"/>
  <c r="AB1415" i="15" s="1"/>
  <c r="AB1416" i="15" s="1"/>
  <c r="AB1417" i="15" s="1"/>
  <c r="AB1418" i="15" s="1"/>
  <c r="AB1419" i="15" s="1"/>
  <c r="AB1420" i="15" s="1"/>
  <c r="AB1421" i="15" s="1"/>
  <c r="AB1422" i="15" s="1"/>
  <c r="AB1423" i="15" s="1"/>
  <c r="AB1424" i="15" s="1"/>
  <c r="AB1425" i="15" s="1"/>
  <c r="AB1426" i="15" s="1"/>
  <c r="AB1427" i="15" s="1"/>
  <c r="AB1428" i="15" s="1"/>
  <c r="AB1429" i="15" s="1"/>
  <c r="AB1430" i="15" s="1"/>
  <c r="AB1431" i="15" s="1"/>
  <c r="AB1432" i="15" s="1"/>
  <c r="AB1433" i="15" s="1"/>
  <c r="AB1434" i="15" s="1"/>
  <c r="AB1435" i="15" s="1"/>
  <c r="AB1436" i="15" s="1"/>
  <c r="AB1437" i="15" s="1"/>
  <c r="AB1438" i="15" s="1"/>
  <c r="AB1439" i="15" s="1"/>
  <c r="AB1440" i="15" s="1"/>
  <c r="AB1441" i="15" s="1"/>
  <c r="AB1442" i="15" s="1"/>
  <c r="AB1443" i="15" s="1"/>
  <c r="AB1444" i="15" s="1"/>
  <c r="AB1445" i="15" s="1"/>
  <c r="AB1446" i="15" s="1"/>
  <c r="AB1447" i="15" s="1"/>
  <c r="AB1448" i="15" s="1"/>
  <c r="AB1449" i="15" s="1"/>
  <c r="AB1450" i="15" s="1"/>
  <c r="AB1451" i="15" s="1"/>
  <c r="AB1452" i="15" s="1"/>
  <c r="AB1453" i="15" s="1"/>
  <c r="AB1454" i="15" s="1"/>
  <c r="AB1455" i="15" s="1"/>
  <c r="AB1456" i="15" s="1"/>
  <c r="AB1457" i="15" s="1"/>
  <c r="AB1458" i="15" s="1"/>
  <c r="AB1459" i="15" s="1"/>
  <c r="AB1460" i="15" s="1"/>
  <c r="AB1461" i="15" s="1"/>
  <c r="AB1462" i="15" s="1"/>
  <c r="AB1463" i="15" s="1"/>
  <c r="AB1464" i="15" s="1"/>
  <c r="AB1465" i="15" s="1"/>
  <c r="AB1466" i="15" s="1"/>
  <c r="AB1467" i="15" s="1"/>
  <c r="AB1468" i="15" s="1"/>
  <c r="AB1469" i="15" s="1"/>
  <c r="AB1470" i="15" s="1"/>
  <c r="AB1471" i="15" s="1"/>
  <c r="AB1472" i="15" s="1"/>
  <c r="AB1473" i="15" s="1"/>
  <c r="AB1474" i="15" s="1"/>
  <c r="AB1475" i="15" s="1"/>
  <c r="AB1476" i="15" s="1"/>
  <c r="AB1477" i="15" s="1"/>
  <c r="AB1478" i="15" s="1"/>
  <c r="AB1479" i="15" s="1"/>
  <c r="AB1480" i="15" s="1"/>
  <c r="AB1481" i="15" s="1"/>
  <c r="AB1482" i="15" s="1"/>
  <c r="AB1483" i="15" s="1"/>
  <c r="AB1484" i="15" s="1"/>
  <c r="AB1485" i="15" s="1"/>
  <c r="AB1486" i="15" s="1"/>
  <c r="AB1487" i="15" s="1"/>
  <c r="AB1488" i="15" s="1"/>
  <c r="AB1489" i="15" s="1"/>
  <c r="AB1490" i="15" s="1"/>
  <c r="AB1491" i="15" s="1"/>
  <c r="AB1492" i="15" s="1"/>
  <c r="AB1493" i="15" s="1"/>
  <c r="AB1494" i="15" s="1"/>
  <c r="AB1495" i="15" s="1"/>
  <c r="AB1496" i="15" s="1"/>
  <c r="AB1497" i="15" s="1"/>
  <c r="AB1498" i="15" s="1"/>
  <c r="AB1499" i="15" s="1"/>
  <c r="AB1500" i="15" s="1"/>
  <c r="AB1501" i="15" s="1"/>
  <c r="AB1502" i="15" s="1"/>
  <c r="AB1503" i="15" s="1"/>
  <c r="AB1504" i="15" s="1"/>
  <c r="AB1505" i="15" s="1"/>
  <c r="AB1506" i="15" s="1"/>
  <c r="AB1507" i="15" s="1"/>
  <c r="AB1508" i="15" s="1"/>
  <c r="AB1509" i="15" s="1"/>
  <c r="AB1510" i="15" s="1"/>
  <c r="AB1511" i="15" s="1"/>
  <c r="AB1512" i="15" s="1"/>
  <c r="AB1513" i="15" s="1"/>
  <c r="AB1514" i="15" s="1"/>
  <c r="AB1515" i="15" s="1"/>
  <c r="AB1516" i="15" s="1"/>
  <c r="AB1517" i="15" s="1"/>
  <c r="AB1518" i="15" s="1"/>
  <c r="AB1519" i="15" s="1"/>
  <c r="AB1520" i="15" s="1"/>
  <c r="AB1521" i="15" s="1"/>
  <c r="AB1522" i="15" s="1"/>
  <c r="AB1523" i="15" s="1"/>
  <c r="AB1524" i="15" s="1"/>
  <c r="AB1525" i="15" s="1"/>
  <c r="AB1526" i="15" s="1"/>
  <c r="AB1527" i="15" s="1"/>
  <c r="AB1528" i="15" s="1"/>
  <c r="AB1529" i="15" s="1"/>
  <c r="AB1530" i="15" s="1"/>
  <c r="AB1531" i="15" s="1"/>
  <c r="AB1532" i="15" s="1"/>
  <c r="AB1533" i="15" s="1"/>
  <c r="AB1534" i="15" s="1"/>
  <c r="AB1535" i="15" s="1"/>
  <c r="AB1536" i="15" s="1"/>
  <c r="AB1537" i="15" s="1"/>
  <c r="AB1538" i="15" s="1"/>
  <c r="AB1539" i="15" s="1"/>
  <c r="AB1540" i="15" s="1"/>
  <c r="AB1541" i="15" s="1"/>
  <c r="AB1542" i="15" s="1"/>
  <c r="AB1543" i="15" s="1"/>
  <c r="AB1544" i="15" s="1"/>
  <c r="AB1545" i="15" s="1"/>
  <c r="AB1546" i="15" s="1"/>
  <c r="AB1547" i="15" s="1"/>
  <c r="AB1548" i="15" s="1"/>
  <c r="AB1549" i="15" s="1"/>
  <c r="AB1550" i="15" s="1"/>
  <c r="AB1551" i="15" s="1"/>
  <c r="AB1552" i="15" s="1"/>
  <c r="AB1553" i="15" s="1"/>
  <c r="AB1554" i="15" s="1"/>
  <c r="AB1555" i="15" s="1"/>
  <c r="AB1556" i="15" s="1"/>
  <c r="AB1557" i="15" s="1"/>
  <c r="AB1558" i="15" s="1"/>
  <c r="AB1559" i="15" s="1"/>
  <c r="AB1560" i="15" s="1"/>
  <c r="AB1561" i="15" s="1"/>
  <c r="AB1562" i="15" s="1"/>
  <c r="AB1563" i="15" s="1"/>
  <c r="AB1564" i="15" s="1"/>
  <c r="AB1565" i="15" s="1"/>
  <c r="AB1566" i="15" s="1"/>
  <c r="AB1567" i="15" s="1"/>
  <c r="AB1568" i="15" s="1"/>
  <c r="AB1569" i="15" s="1"/>
  <c r="AB1570" i="15" s="1"/>
  <c r="AB1571" i="15" s="1"/>
  <c r="AB1572" i="15" s="1"/>
  <c r="AB1573" i="15" s="1"/>
  <c r="AB1574" i="15" s="1"/>
  <c r="AB1575" i="15" s="1"/>
  <c r="AB1576" i="15" s="1"/>
  <c r="AB1577" i="15" s="1"/>
  <c r="AB1578" i="15" s="1"/>
  <c r="AB1579" i="15" s="1"/>
  <c r="AB1580" i="15" s="1"/>
  <c r="AB1581" i="15" s="1"/>
  <c r="AB1582" i="15" s="1"/>
  <c r="AB1583" i="15" s="1"/>
  <c r="AB1584" i="15" s="1"/>
  <c r="AB1585" i="15" s="1"/>
  <c r="AB1586" i="15" s="1"/>
  <c r="AB1587" i="15" s="1"/>
  <c r="AB1588" i="15" s="1"/>
  <c r="AB1589" i="15" s="1"/>
  <c r="AB1590" i="15" s="1"/>
  <c r="AB1591" i="15" s="1"/>
  <c r="AB1592" i="15" s="1"/>
  <c r="AB1593" i="15" s="1"/>
  <c r="AB1594" i="15" s="1"/>
  <c r="AB1595" i="15" s="1"/>
  <c r="AB1596" i="15" s="1"/>
  <c r="AB1597" i="15" s="1"/>
  <c r="AB1598" i="15" s="1"/>
  <c r="AB1599" i="15" s="1"/>
  <c r="AB1600" i="15" s="1"/>
  <c r="AB1601" i="15" s="1"/>
  <c r="AB1602" i="15" s="1"/>
  <c r="AB1603" i="15" s="1"/>
  <c r="AB1604" i="15" s="1"/>
  <c r="AB1605" i="15" s="1"/>
  <c r="AB1606" i="15" s="1"/>
  <c r="AB1607" i="15" s="1"/>
  <c r="AB1608" i="15" s="1"/>
  <c r="AB1609" i="15" s="1"/>
  <c r="AB1610" i="15" s="1"/>
  <c r="AB1611" i="15" s="1"/>
  <c r="AB1612" i="15" s="1"/>
  <c r="AB1613" i="15" s="1"/>
  <c r="AB1614" i="15" s="1"/>
  <c r="AB1615" i="15" s="1"/>
  <c r="AB1616" i="15" s="1"/>
  <c r="AB1617" i="15" s="1"/>
  <c r="AB1618" i="15" s="1"/>
  <c r="AB1619" i="15" s="1"/>
  <c r="AB1620" i="15" s="1"/>
  <c r="AB1621" i="15" s="1"/>
  <c r="AB1622" i="15" s="1"/>
  <c r="AB1623" i="15" s="1"/>
  <c r="AB1624" i="15" s="1"/>
  <c r="AB1625" i="15" s="1"/>
  <c r="AB1626" i="15" s="1"/>
  <c r="AB1627" i="15" s="1"/>
  <c r="AB1628" i="15" s="1"/>
  <c r="AB1629" i="15" s="1"/>
  <c r="AB1630" i="15" s="1"/>
  <c r="AB1631" i="15" s="1"/>
  <c r="AB1632" i="15" s="1"/>
  <c r="AB1633" i="15" s="1"/>
  <c r="AB1634" i="15" s="1"/>
  <c r="AB1635" i="15" s="1"/>
  <c r="AB1636" i="15" s="1"/>
  <c r="AB1637" i="15" s="1"/>
  <c r="AB1638" i="15" s="1"/>
  <c r="AB1639" i="15" s="1"/>
  <c r="AB1640" i="15" s="1"/>
  <c r="AB1641" i="15" s="1"/>
  <c r="AB1642" i="15" s="1"/>
  <c r="AB1643" i="15" s="1"/>
  <c r="AB1644" i="15" s="1"/>
  <c r="AB1645" i="15" s="1"/>
  <c r="AB1646" i="15" s="1"/>
  <c r="AB1647" i="15" s="1"/>
  <c r="AB1648" i="15" s="1"/>
  <c r="AB1649" i="15" s="1"/>
  <c r="AB1650" i="15" s="1"/>
  <c r="AB1651" i="15" s="1"/>
  <c r="AB1652" i="15" s="1"/>
  <c r="AB1653" i="15" s="1"/>
  <c r="AB1654" i="15" s="1"/>
  <c r="AB1655" i="15" s="1"/>
  <c r="AB1656" i="15" s="1"/>
  <c r="AB1657" i="15" s="1"/>
  <c r="AB1658" i="15" s="1"/>
  <c r="AB1659" i="15" s="1"/>
  <c r="AB1660" i="15" s="1"/>
  <c r="AB1661" i="15" s="1"/>
  <c r="AB1662" i="15" s="1"/>
  <c r="AB1663" i="15" s="1"/>
  <c r="AB1664" i="15" s="1"/>
  <c r="AB1665" i="15" s="1"/>
  <c r="AB1666" i="15" s="1"/>
  <c r="AB1667" i="15" s="1"/>
  <c r="AB1668" i="15" s="1"/>
  <c r="AB1669" i="15" s="1"/>
  <c r="AB1670" i="15" s="1"/>
  <c r="AB1671" i="15" s="1"/>
  <c r="AB1672" i="15" s="1"/>
  <c r="AB1673" i="15" s="1"/>
  <c r="AB1674" i="15" s="1"/>
  <c r="AB1675" i="15" s="1"/>
  <c r="AB1676" i="15" s="1"/>
  <c r="AB1677" i="15" s="1"/>
  <c r="AB1678" i="15" s="1"/>
  <c r="AB1679" i="15" s="1"/>
  <c r="AB1680" i="15" s="1"/>
  <c r="AB1681" i="15" s="1"/>
  <c r="AB1682" i="15" s="1"/>
  <c r="AB1683" i="15" s="1"/>
  <c r="AB1684" i="15" s="1"/>
  <c r="AB1685" i="15" s="1"/>
  <c r="AB1686" i="15" s="1"/>
  <c r="AB1687" i="15" s="1"/>
  <c r="AB1688" i="15" s="1"/>
  <c r="AB1689" i="15" s="1"/>
  <c r="AB1690" i="15" s="1"/>
  <c r="AB1691" i="15" s="1"/>
  <c r="AB1692" i="15" s="1"/>
  <c r="AB1693" i="15" s="1"/>
  <c r="AB1694" i="15" s="1"/>
  <c r="AB1695" i="15" s="1"/>
  <c r="AB1696" i="15" s="1"/>
  <c r="AB1697" i="15" s="1"/>
  <c r="AB1698" i="15" s="1"/>
  <c r="AB1699" i="15" s="1"/>
  <c r="AB1700" i="15" s="1"/>
  <c r="AB1701" i="15" s="1"/>
  <c r="AB1702" i="15" s="1"/>
  <c r="AB1703" i="15" s="1"/>
  <c r="AB1704" i="15" s="1"/>
  <c r="AB1705" i="15" s="1"/>
  <c r="AB1706" i="15" s="1"/>
  <c r="AB1707" i="15" s="1"/>
  <c r="AB1708" i="15" s="1"/>
  <c r="AB1709" i="15" s="1"/>
  <c r="AB1710" i="15" s="1"/>
  <c r="AB1711" i="15" s="1"/>
  <c r="AB1712" i="15" s="1"/>
  <c r="AB1713" i="15" s="1"/>
  <c r="AB1714" i="15" s="1"/>
  <c r="AB1715" i="15" s="1"/>
  <c r="AB1716" i="15" s="1"/>
  <c r="AB1717" i="15" s="1"/>
  <c r="AB1718" i="15" s="1"/>
  <c r="AB1719" i="15" s="1"/>
  <c r="AB1720" i="15" s="1"/>
  <c r="AB1721" i="15" s="1"/>
  <c r="AB1722" i="15" s="1"/>
  <c r="AB1723" i="15" s="1"/>
  <c r="AB1724" i="15" s="1"/>
  <c r="AB1725" i="15" s="1"/>
  <c r="AB1726" i="15" s="1"/>
  <c r="AB1727" i="15" s="1"/>
  <c r="AB1728" i="15" s="1"/>
  <c r="AB1729" i="15" s="1"/>
  <c r="AB1730" i="15" s="1"/>
  <c r="AB1731" i="15" s="1"/>
  <c r="AB1732" i="15" s="1"/>
  <c r="AB1733" i="15" s="1"/>
  <c r="AB1734" i="15" s="1"/>
  <c r="AB1735" i="15" s="1"/>
  <c r="AB1736" i="15" s="1"/>
  <c r="AB1737" i="15" s="1"/>
  <c r="AB1738" i="15" s="1"/>
  <c r="AB1739" i="15" s="1"/>
  <c r="AB1740" i="15" s="1"/>
  <c r="AB1741" i="15" s="1"/>
  <c r="AB1742" i="15" s="1"/>
  <c r="AB1743" i="15" s="1"/>
  <c r="AB1744" i="15" s="1"/>
  <c r="AB1745" i="15" s="1"/>
  <c r="AB1746" i="15" s="1"/>
  <c r="AB1747" i="15" s="1"/>
  <c r="AB1748" i="15" s="1"/>
  <c r="AB1749" i="15" s="1"/>
  <c r="AB1750" i="15" s="1"/>
  <c r="AB1751" i="15" s="1"/>
  <c r="AB1752" i="15" s="1"/>
  <c r="AB1753" i="15" s="1"/>
  <c r="AB1754" i="15" s="1"/>
  <c r="AB1755" i="15" s="1"/>
  <c r="AB1756" i="15" s="1"/>
  <c r="AB1757" i="15" s="1"/>
  <c r="AB1758" i="15" s="1"/>
  <c r="AB1759" i="15" s="1"/>
  <c r="AB1760" i="15" s="1"/>
  <c r="AB1761" i="15" s="1"/>
  <c r="AB1762" i="15" s="1"/>
  <c r="AB1763" i="15" s="1"/>
  <c r="AB1764" i="15" s="1"/>
  <c r="AB1765" i="15" s="1"/>
  <c r="AB1766" i="15" s="1"/>
  <c r="AB1767" i="15" s="1"/>
  <c r="AB1768" i="15" s="1"/>
  <c r="AB1769" i="15" s="1"/>
  <c r="AB1770" i="15" s="1"/>
  <c r="AB1771" i="15" s="1"/>
  <c r="AB1772" i="15" s="1"/>
  <c r="AB1773" i="15" s="1"/>
  <c r="AB1774" i="15" s="1"/>
  <c r="AB1775" i="15" s="1"/>
  <c r="AB1776" i="15" s="1"/>
  <c r="AB1777" i="15" s="1"/>
  <c r="AB1778" i="15" s="1"/>
  <c r="AB1779" i="15" s="1"/>
  <c r="AB1780" i="15" s="1"/>
  <c r="AB1781" i="15" s="1"/>
  <c r="AB1782" i="15" s="1"/>
  <c r="AB1783" i="15" s="1"/>
  <c r="AB1784" i="15" s="1"/>
  <c r="AB1785" i="15" s="1"/>
  <c r="AB1786" i="15" s="1"/>
  <c r="AB1787" i="15" s="1"/>
  <c r="AB1788" i="15" s="1"/>
  <c r="AB1789" i="15" s="1"/>
  <c r="AB1790" i="15" s="1"/>
  <c r="AB1791" i="15" s="1"/>
  <c r="AB1792" i="15" s="1"/>
  <c r="AB1793" i="15" s="1"/>
  <c r="AB1794" i="15" s="1"/>
  <c r="AB1795" i="15" s="1"/>
  <c r="AB1796" i="15" s="1"/>
  <c r="AB1797" i="15" s="1"/>
  <c r="AB1798" i="15" s="1"/>
  <c r="AB1799" i="15" s="1"/>
  <c r="AB1800" i="15" s="1"/>
  <c r="AB1801" i="15" s="1"/>
  <c r="AB1802" i="15" s="1"/>
  <c r="AB1803" i="15" s="1"/>
  <c r="AB1804" i="15" s="1"/>
  <c r="AB1805" i="15" s="1"/>
  <c r="AB1806" i="15" s="1"/>
  <c r="AB1807" i="15" s="1"/>
  <c r="AB1808" i="15" s="1"/>
  <c r="AB1809" i="15" s="1"/>
  <c r="AB1810" i="15" s="1"/>
  <c r="AB1811" i="15" s="1"/>
  <c r="AB1812" i="15" s="1"/>
  <c r="AB1813" i="15" s="1"/>
  <c r="AB1814" i="15" s="1"/>
  <c r="AB1815" i="15" s="1"/>
  <c r="AB1816" i="15" s="1"/>
  <c r="AB1817" i="15" s="1"/>
  <c r="AB1818" i="15" s="1"/>
  <c r="AB1819" i="15" s="1"/>
  <c r="AB1820" i="15" s="1"/>
  <c r="AB1821" i="15" s="1"/>
  <c r="AB1822" i="15" s="1"/>
  <c r="AB1823" i="15" s="1"/>
  <c r="AB1824" i="15" s="1"/>
  <c r="AB1825" i="15" s="1"/>
  <c r="AB1826" i="15" s="1"/>
  <c r="AB1827" i="15" s="1"/>
  <c r="AB1828" i="15" s="1"/>
  <c r="AB1829" i="15" s="1"/>
  <c r="AB1830" i="15" s="1"/>
  <c r="AB1831" i="15" s="1"/>
  <c r="AB1832" i="15" s="1"/>
  <c r="AB1833" i="15" s="1"/>
  <c r="AB1834" i="15" s="1"/>
  <c r="AB1835" i="15" s="1"/>
  <c r="AB1836" i="15" s="1"/>
  <c r="AB1837" i="15" s="1"/>
  <c r="AB1838" i="15" s="1"/>
  <c r="AB1839" i="15" s="1"/>
  <c r="AB1840" i="15" s="1"/>
  <c r="AB1841" i="15" s="1"/>
  <c r="AB1842" i="15" s="1"/>
  <c r="AB1843" i="15" s="1"/>
  <c r="AB1844" i="15" s="1"/>
  <c r="AB1845" i="15" s="1"/>
  <c r="AB1846" i="15" s="1"/>
  <c r="AB1847" i="15" s="1"/>
  <c r="AB1848" i="15" s="1"/>
  <c r="AB1849" i="15" s="1"/>
  <c r="AB1850" i="15" s="1"/>
  <c r="AB1851" i="15" s="1"/>
  <c r="AB1852" i="15" s="1"/>
  <c r="AB1853" i="15" s="1"/>
  <c r="AB1854" i="15" s="1"/>
  <c r="AB1855" i="15" s="1"/>
  <c r="AB1856" i="15" s="1"/>
  <c r="AB1857" i="15" s="1"/>
  <c r="AB1858" i="15" s="1"/>
  <c r="AB1859" i="15" s="1"/>
  <c r="AB1860" i="15" s="1"/>
  <c r="AB1861" i="15" s="1"/>
  <c r="AB1862" i="15" s="1"/>
  <c r="AB1863" i="15" s="1"/>
  <c r="AB1864" i="15" s="1"/>
  <c r="AB1865" i="15" s="1"/>
  <c r="AB1866" i="15" s="1"/>
  <c r="AB1867" i="15" s="1"/>
  <c r="AB1868" i="15" s="1"/>
  <c r="AB1869" i="15" s="1"/>
  <c r="AB1870" i="15" s="1"/>
  <c r="AB1871" i="15" s="1"/>
  <c r="AB1872" i="15" s="1"/>
  <c r="AB1873" i="15" s="1"/>
  <c r="AB1874" i="15" s="1"/>
  <c r="AB1875" i="15" s="1"/>
  <c r="AB1876" i="15" s="1"/>
  <c r="AB1877" i="15" s="1"/>
  <c r="AB1878" i="15" s="1"/>
  <c r="AB1879" i="15" s="1"/>
  <c r="AB1880" i="15" s="1"/>
  <c r="AB1881" i="15" s="1"/>
  <c r="AB1882" i="15" s="1"/>
  <c r="AB1883" i="15" s="1"/>
  <c r="AB1884" i="15" s="1"/>
  <c r="AB1885" i="15" s="1"/>
  <c r="AB1886" i="15" s="1"/>
  <c r="AB1887" i="15" s="1"/>
  <c r="AB1888" i="15" s="1"/>
  <c r="AB1889" i="15" s="1"/>
  <c r="AB1890" i="15" s="1"/>
  <c r="AB1891" i="15" s="1"/>
  <c r="AB1892" i="15" s="1"/>
  <c r="AB1893" i="15" s="1"/>
  <c r="AB1894" i="15" s="1"/>
  <c r="AB1895" i="15" s="1"/>
  <c r="AB1896" i="15" s="1"/>
  <c r="AB1897" i="15" s="1"/>
  <c r="AB1898" i="15" s="1"/>
  <c r="AB1899" i="15" s="1"/>
  <c r="AB1900" i="15" s="1"/>
  <c r="AB1901" i="15" s="1"/>
  <c r="AB1902" i="15" s="1"/>
  <c r="AB1903" i="15" s="1"/>
  <c r="AB1904" i="15" s="1"/>
  <c r="AB1905" i="15" s="1"/>
  <c r="AB1906" i="15" s="1"/>
  <c r="AB1907" i="15" s="1"/>
  <c r="AB1908" i="15" s="1"/>
  <c r="AB1909" i="15" s="1"/>
  <c r="AB1910" i="15" s="1"/>
  <c r="AB1911" i="15" s="1"/>
  <c r="AB1912" i="15" s="1"/>
  <c r="AB1913" i="15" s="1"/>
  <c r="AB1914" i="15" s="1"/>
  <c r="AB1915" i="15" s="1"/>
  <c r="AB1916" i="15" s="1"/>
  <c r="AB1917" i="15" s="1"/>
  <c r="AB1918" i="15" s="1"/>
  <c r="AB1919" i="15" s="1"/>
  <c r="AB1920" i="15" s="1"/>
  <c r="AB1921" i="15" s="1"/>
  <c r="AB1922" i="15" s="1"/>
  <c r="AB1923" i="15" s="1"/>
  <c r="AB1924" i="15" s="1"/>
  <c r="AB1925" i="15" s="1"/>
  <c r="AB1926" i="15" s="1"/>
  <c r="AB1927" i="15" s="1"/>
  <c r="AB1928" i="15" s="1"/>
  <c r="AB1929" i="15" s="1"/>
  <c r="AB1930" i="15" s="1"/>
  <c r="AB1931" i="15" s="1"/>
  <c r="AB1932" i="15" s="1"/>
  <c r="AB1933" i="15" s="1"/>
  <c r="AB1934" i="15" s="1"/>
  <c r="AB1935" i="15" s="1"/>
  <c r="AB1936" i="15" s="1"/>
  <c r="AB1937" i="15" s="1"/>
  <c r="AB1938" i="15" s="1"/>
  <c r="AB1939" i="15" s="1"/>
  <c r="AB1940" i="15" s="1"/>
  <c r="AB1941" i="15" s="1"/>
  <c r="AB1942" i="15" s="1"/>
  <c r="AB1943" i="15" s="1"/>
  <c r="AB1944" i="15" s="1"/>
  <c r="AB1945" i="15" s="1"/>
  <c r="AB1946" i="15" s="1"/>
  <c r="AB1947" i="15" s="1"/>
  <c r="AB1948" i="15" s="1"/>
  <c r="AB1949" i="15" s="1"/>
  <c r="AB1950" i="15" s="1"/>
  <c r="AB1951" i="15" s="1"/>
  <c r="AB1952" i="15" s="1"/>
  <c r="AB1953" i="15" s="1"/>
  <c r="AB1954" i="15" s="1"/>
  <c r="AB1955" i="15" s="1"/>
  <c r="AB1956" i="15" s="1"/>
  <c r="AB1957" i="15" s="1"/>
  <c r="AB1958" i="15" s="1"/>
  <c r="AB1959" i="15" s="1"/>
  <c r="AB1960" i="15" s="1"/>
  <c r="AB1961" i="15" s="1"/>
  <c r="AB1962" i="15" s="1"/>
  <c r="AB1963" i="15" s="1"/>
  <c r="AB1964" i="15" s="1"/>
  <c r="AB1965" i="15" s="1"/>
  <c r="AB1966" i="15" s="1"/>
  <c r="AB1967" i="15" s="1"/>
  <c r="AB1968" i="15" s="1"/>
  <c r="AB1969" i="15" s="1"/>
  <c r="AB1970" i="15" s="1"/>
  <c r="AB1971" i="15" s="1"/>
  <c r="AB1972" i="15" s="1"/>
  <c r="AB1973" i="15" s="1"/>
  <c r="AB1974" i="15" s="1"/>
  <c r="AB1975" i="15" s="1"/>
  <c r="AB1976" i="15" s="1"/>
  <c r="AB1977" i="15" s="1"/>
  <c r="AB1978" i="15" s="1"/>
  <c r="AB1979" i="15" s="1"/>
  <c r="AB1980" i="15" s="1"/>
  <c r="AB1981" i="15" s="1"/>
  <c r="AB1982" i="15" s="1"/>
  <c r="AB1983" i="15" s="1"/>
  <c r="AB1984" i="15" s="1"/>
  <c r="AB1985" i="15" s="1"/>
  <c r="AB1986" i="15" s="1"/>
  <c r="AB1987" i="15" s="1"/>
  <c r="AB1988" i="15" s="1"/>
  <c r="AB1989" i="15" s="1"/>
  <c r="AB1990" i="15" s="1"/>
  <c r="AB1991" i="15" s="1"/>
  <c r="AB1992" i="15" s="1"/>
  <c r="AB1993" i="15" s="1"/>
  <c r="AB1994" i="15" s="1"/>
  <c r="AB1995" i="15" s="1"/>
  <c r="AB1996" i="15" s="1"/>
  <c r="AB1997" i="15" s="1"/>
  <c r="AB1998" i="15" s="1"/>
  <c r="AB1999" i="15" s="1"/>
  <c r="AB2000" i="15" s="1"/>
  <c r="AB2001" i="15" s="1"/>
  <c r="AB2002" i="15" s="1"/>
  <c r="AB2003" i="15" s="1"/>
  <c r="AB2004" i="15" s="1"/>
  <c r="AB2005" i="15" s="1"/>
  <c r="AB2006" i="15" s="1"/>
  <c r="AB2007" i="15" s="1"/>
  <c r="AB2008" i="15" s="1"/>
  <c r="AB2009" i="15" s="1"/>
  <c r="AB2010" i="15" s="1"/>
  <c r="AB2011" i="15" s="1"/>
  <c r="AB2012" i="15" s="1"/>
  <c r="AB2013" i="15" s="1"/>
  <c r="AB2014" i="15" s="1"/>
  <c r="AB2015" i="15" s="1"/>
  <c r="AB2016" i="15" s="1"/>
  <c r="AB2017" i="15" s="1"/>
  <c r="AB2018" i="15" s="1"/>
  <c r="AB2019" i="15" s="1"/>
  <c r="AB2020" i="15" s="1"/>
  <c r="AB2021" i="15" s="1"/>
  <c r="AB2022" i="15" s="1"/>
  <c r="AB2023" i="15" s="1"/>
  <c r="AB2024" i="15" s="1"/>
  <c r="AB2025" i="15" s="1"/>
  <c r="AB2026" i="15" s="1"/>
  <c r="AB2027" i="15" s="1"/>
  <c r="AB2028" i="15" s="1"/>
  <c r="AB2029" i="15" s="1"/>
  <c r="AB2030" i="15" s="1"/>
  <c r="AB2031" i="15" s="1"/>
  <c r="AB2032" i="15" s="1"/>
  <c r="AB2033" i="15" s="1"/>
  <c r="AB2034" i="15" s="1"/>
  <c r="AB2035" i="15" s="1"/>
  <c r="AB2036" i="15" s="1"/>
  <c r="AB2037" i="15" s="1"/>
  <c r="AB2038" i="15" s="1"/>
  <c r="AB2039" i="15" s="1"/>
  <c r="AB2040" i="15" s="1"/>
  <c r="AB2041" i="15" s="1"/>
  <c r="AB2042" i="15" s="1"/>
  <c r="AB2043" i="15" s="1"/>
  <c r="AB2044" i="15" s="1"/>
  <c r="AB2045" i="15" s="1"/>
  <c r="AB2046" i="15" s="1"/>
  <c r="AB2047" i="15" s="1"/>
  <c r="AB2048" i="15" s="1"/>
  <c r="AB2049" i="15" s="1"/>
  <c r="AB2050" i="15" s="1"/>
  <c r="AB2051" i="15" s="1"/>
  <c r="AB2052" i="15" s="1"/>
  <c r="AB2053" i="15" s="1"/>
  <c r="AB2054" i="15" s="1"/>
  <c r="AB2055" i="15" s="1"/>
  <c r="AB2056" i="15" s="1"/>
  <c r="AB2057" i="15" s="1"/>
  <c r="AB2058" i="15" s="1"/>
  <c r="AB2059" i="15" s="1"/>
  <c r="AB2060" i="15" s="1"/>
  <c r="AB2061" i="15" s="1"/>
  <c r="AB2062" i="15" s="1"/>
  <c r="AB2063" i="15" s="1"/>
  <c r="AB2064" i="15" s="1"/>
  <c r="AB2065" i="15" s="1"/>
  <c r="AB2066" i="15" s="1"/>
  <c r="AB2067" i="15" s="1"/>
  <c r="AB2068" i="15" s="1"/>
  <c r="AB2069" i="15" s="1"/>
  <c r="AB2070" i="15" s="1"/>
  <c r="AB2071" i="15" s="1"/>
  <c r="AB2072" i="15" s="1"/>
  <c r="AB2073" i="15" s="1"/>
  <c r="AB2074" i="15" s="1"/>
  <c r="AB2075" i="15" s="1"/>
  <c r="AB2076" i="15" s="1"/>
  <c r="AB2077" i="15" s="1"/>
  <c r="AB2078" i="15" s="1"/>
  <c r="AB2079" i="15" s="1"/>
  <c r="AB2080" i="15" s="1"/>
  <c r="AB2081" i="15" s="1"/>
  <c r="AB2082" i="15" s="1"/>
  <c r="AB2083" i="15" s="1"/>
  <c r="AB2084" i="15" s="1"/>
  <c r="AB2085" i="15" s="1"/>
  <c r="AB2086" i="15" s="1"/>
  <c r="AB2087" i="15" s="1"/>
  <c r="AB2088" i="15" s="1"/>
  <c r="AB2089" i="15" s="1"/>
  <c r="AB2090" i="15" s="1"/>
  <c r="AB2091" i="15" s="1"/>
  <c r="AB2092" i="15" s="1"/>
  <c r="AB2093" i="15" s="1"/>
  <c r="AB2094" i="15" s="1"/>
  <c r="AB2095" i="15" s="1"/>
  <c r="AB2096" i="15" s="1"/>
  <c r="AB2097" i="15" s="1"/>
  <c r="AB2098" i="15" s="1"/>
  <c r="AB2099" i="15" s="1"/>
  <c r="AB2100" i="15" s="1"/>
  <c r="AB2101" i="15" s="1"/>
  <c r="AB2102" i="15" s="1"/>
  <c r="AB2103" i="15" s="1"/>
  <c r="AB2104" i="15" s="1"/>
  <c r="AB2105" i="15" s="1"/>
  <c r="AB2106" i="15" s="1"/>
  <c r="AB2107" i="15" s="1"/>
  <c r="AB2108" i="15" s="1"/>
  <c r="AB2109" i="15" s="1"/>
  <c r="AB2110" i="15" s="1"/>
  <c r="AB2111" i="15" s="1"/>
  <c r="AB2112" i="15" s="1"/>
  <c r="AB2113" i="15" s="1"/>
  <c r="AB2114" i="15" s="1"/>
  <c r="AB2115" i="15" s="1"/>
  <c r="AB2116" i="15" s="1"/>
  <c r="AB2117" i="15" s="1"/>
  <c r="AB2118" i="15" s="1"/>
  <c r="AB2119" i="15" s="1"/>
  <c r="AB2120" i="15" s="1"/>
  <c r="AB2121" i="15" s="1"/>
  <c r="AB2122" i="15" s="1"/>
  <c r="AB2123" i="15" s="1"/>
  <c r="AB2124" i="15" s="1"/>
  <c r="AB2125" i="15" s="1"/>
  <c r="AB2126" i="15" s="1"/>
  <c r="AB2127" i="15" s="1"/>
  <c r="AB2128" i="15" s="1"/>
  <c r="AB2129" i="15" s="1"/>
  <c r="AB2130" i="15" s="1"/>
  <c r="AB2131" i="15" s="1"/>
  <c r="AB2132" i="15" s="1"/>
  <c r="AB2133" i="15" s="1"/>
  <c r="AB2134" i="15" s="1"/>
  <c r="AB2135" i="15" s="1"/>
  <c r="AB2136" i="15" s="1"/>
  <c r="AB2137" i="15" s="1"/>
  <c r="AB2138" i="15" s="1"/>
  <c r="AB2139" i="15" s="1"/>
  <c r="AB2140" i="15" s="1"/>
  <c r="AB2141" i="15" s="1"/>
  <c r="AB2142" i="15" s="1"/>
  <c r="AB2143" i="15" s="1"/>
  <c r="AB2144" i="15" s="1"/>
  <c r="AB2145" i="15" s="1"/>
  <c r="AB2146" i="15" s="1"/>
  <c r="AB2147" i="15" s="1"/>
  <c r="AB2148" i="15" s="1"/>
  <c r="AB2149" i="15" s="1"/>
  <c r="AB2150" i="15" s="1"/>
  <c r="AB2151" i="15" s="1"/>
  <c r="AB2152" i="15" s="1"/>
  <c r="AB2153" i="15" s="1"/>
  <c r="AB2154" i="15" s="1"/>
  <c r="AB2155" i="15" s="1"/>
  <c r="AB2156" i="15" s="1"/>
  <c r="AB2157" i="15" s="1"/>
  <c r="AB2158" i="15" s="1"/>
  <c r="AB2159" i="15" s="1"/>
  <c r="AB2160" i="15" s="1"/>
  <c r="AB2161" i="15" s="1"/>
  <c r="AB2162" i="15" s="1"/>
  <c r="AB2163" i="15" s="1"/>
  <c r="AB2164" i="15" s="1"/>
  <c r="AB2165" i="15" s="1"/>
  <c r="AB2166" i="15" s="1"/>
  <c r="AB2167" i="15" s="1"/>
  <c r="AB2168" i="15" s="1"/>
  <c r="AB2169" i="15" s="1"/>
  <c r="AB2170" i="15" s="1"/>
  <c r="AB2171" i="15" s="1"/>
  <c r="AB2172" i="15" s="1"/>
  <c r="AB2173" i="15" s="1"/>
  <c r="AB2174" i="15" s="1"/>
  <c r="AB2175" i="15" s="1"/>
  <c r="AB2176" i="15" s="1"/>
  <c r="AB2177" i="15" s="1"/>
  <c r="AB2178" i="15" s="1"/>
  <c r="AB2179" i="15" s="1"/>
  <c r="AB2180" i="15" s="1"/>
  <c r="AB2181" i="15" s="1"/>
  <c r="AB2182" i="15" s="1"/>
  <c r="AB2183" i="15" s="1"/>
  <c r="AB2184" i="15" s="1"/>
  <c r="AB2185" i="15" s="1"/>
  <c r="AB2186" i="15" s="1"/>
  <c r="AB2187" i="15" s="1"/>
  <c r="AB2188" i="15" s="1"/>
  <c r="AB2189" i="15" s="1"/>
  <c r="AB2190" i="15" s="1"/>
  <c r="AB2191" i="15" s="1"/>
  <c r="AB2192" i="15" s="1"/>
  <c r="AB2193" i="15" s="1"/>
  <c r="AB2194" i="15" s="1"/>
  <c r="AB2195" i="15" s="1"/>
  <c r="AB2196" i="15" s="1"/>
  <c r="AB2197" i="15" s="1"/>
  <c r="AB2198" i="15" s="1"/>
  <c r="AB2199" i="15" s="1"/>
  <c r="AB2200" i="15" s="1"/>
  <c r="AB2201" i="15" s="1"/>
  <c r="AB2202" i="15" s="1"/>
  <c r="AB2203" i="15" s="1"/>
  <c r="AB2204" i="15" s="1"/>
  <c r="AB2205" i="15" s="1"/>
  <c r="AB2206" i="15" s="1"/>
  <c r="AB2207" i="15" s="1"/>
  <c r="AB2208" i="15" s="1"/>
  <c r="AB2209" i="15" s="1"/>
  <c r="AB2210" i="15" s="1"/>
  <c r="AB2211" i="15" s="1"/>
  <c r="AB2212" i="15" s="1"/>
  <c r="AB2213" i="15" s="1"/>
  <c r="AB2214" i="15" s="1"/>
  <c r="AB2215" i="15" s="1"/>
  <c r="AB2216" i="15" s="1"/>
  <c r="AB2217" i="15" s="1"/>
  <c r="AB2218" i="15" s="1"/>
  <c r="AB2219" i="15" s="1"/>
  <c r="AB2220" i="15" s="1"/>
  <c r="AB2221" i="15" s="1"/>
  <c r="AB2222" i="15" s="1"/>
  <c r="AB2223" i="15" s="1"/>
  <c r="AB2224" i="15" s="1"/>
  <c r="AB2225" i="15" s="1"/>
  <c r="AB2226" i="15" s="1"/>
  <c r="AB2227" i="15" s="1"/>
  <c r="AB2228" i="15" s="1"/>
  <c r="AB2229" i="15" s="1"/>
  <c r="AB2230" i="15" s="1"/>
  <c r="AB2231" i="15" s="1"/>
  <c r="AB2232" i="15" s="1"/>
  <c r="AB2233" i="15" s="1"/>
  <c r="AB2234" i="15" s="1"/>
  <c r="AB2235" i="15" s="1"/>
  <c r="AB2236" i="15" s="1"/>
  <c r="AB2237" i="15" s="1"/>
  <c r="AB2238" i="15" s="1"/>
  <c r="AB2239" i="15" s="1"/>
  <c r="AB2240" i="15" s="1"/>
  <c r="AB2241" i="15" s="1"/>
  <c r="AB2242" i="15" s="1"/>
  <c r="AB2243" i="15" s="1"/>
  <c r="AB2244" i="15" s="1"/>
  <c r="AB2245" i="15" s="1"/>
  <c r="AB2246" i="15" s="1"/>
  <c r="AB2247" i="15" s="1"/>
  <c r="AB2248" i="15" s="1"/>
  <c r="AB2249" i="15" s="1"/>
  <c r="AB2250" i="15" s="1"/>
  <c r="AB2251" i="15" s="1"/>
  <c r="AB2252" i="15" s="1"/>
  <c r="AB2253" i="15" s="1"/>
  <c r="AB2254" i="15" s="1"/>
  <c r="AB2255" i="15" s="1"/>
  <c r="AB2256" i="15" s="1"/>
  <c r="AB2257" i="15" s="1"/>
  <c r="AB2258" i="15" s="1"/>
  <c r="AB2259" i="15" s="1"/>
  <c r="AB2260" i="15" s="1"/>
  <c r="AB2261" i="15" s="1"/>
  <c r="AB2262" i="15" s="1"/>
  <c r="AB2263" i="15" s="1"/>
  <c r="AB2264" i="15" s="1"/>
  <c r="AB2265" i="15" s="1"/>
  <c r="AB2266" i="15" s="1"/>
  <c r="AB2267" i="15" s="1"/>
  <c r="AB2268" i="15" s="1"/>
  <c r="AB2269" i="15" s="1"/>
  <c r="AB2270" i="15" s="1"/>
  <c r="AB2271" i="15" s="1"/>
  <c r="AB2272" i="15" s="1"/>
  <c r="AB2273" i="15" s="1"/>
  <c r="AB2274" i="15" s="1"/>
  <c r="AB2275" i="15" s="1"/>
  <c r="X509" i="15"/>
  <c r="X1384" i="15"/>
  <c r="W1731" i="15"/>
  <c r="W1376" i="15"/>
  <c r="W1751" i="15"/>
  <c r="R85" i="15"/>
  <c r="W85" i="15" s="1"/>
  <c r="W1380" i="15"/>
  <c r="X1929" i="15"/>
  <c r="W1404" i="15"/>
  <c r="W1428" i="15"/>
  <c r="X1907" i="15"/>
  <c r="W1377" i="15"/>
  <c r="X498" i="15"/>
  <c r="X520" i="15"/>
  <c r="X467" i="15"/>
  <c r="X421" i="15"/>
  <c r="X425" i="15"/>
  <c r="W1628" i="15"/>
  <c r="W1337" i="15"/>
  <c r="W1360" i="15"/>
  <c r="W1741" i="15"/>
  <c r="X514" i="15"/>
  <c r="R38" i="25"/>
  <c r="R24" i="25"/>
  <c r="R52" i="25"/>
  <c r="R68" i="25"/>
  <c r="R47" i="25"/>
  <c r="R25" i="25"/>
  <c r="R27" i="25"/>
  <c r="R26" i="25"/>
  <c r="R55" i="25"/>
  <c r="R53" i="25"/>
  <c r="R54" i="25"/>
  <c r="R22" i="25"/>
  <c r="R46" i="25"/>
  <c r="R68" i="28"/>
  <c r="R17" i="28"/>
  <c r="R21" i="28"/>
  <c r="R38" i="28"/>
  <c r="R30" i="28"/>
  <c r="R66" i="28"/>
  <c r="R25" i="28"/>
  <c r="R48" i="28"/>
  <c r="R34" i="28"/>
  <c r="R45" i="28"/>
  <c r="X417" i="15"/>
  <c r="X1396" i="15"/>
  <c r="W1396" i="15"/>
  <c r="X470" i="15"/>
  <c r="X361" i="15"/>
  <c r="X494" i="15"/>
  <c r="X373" i="15"/>
  <c r="X447" i="15"/>
  <c r="H85" i="21"/>
  <c r="X381" i="15"/>
  <c r="X391" i="15"/>
  <c r="X402" i="15"/>
  <c r="Y1482" i="15"/>
  <c r="W718" i="15"/>
  <c r="W1408" i="15"/>
  <c r="W1817" i="15"/>
  <c r="W1420" i="15"/>
  <c r="W1289" i="15"/>
  <c r="R374" i="15"/>
  <c r="W374" i="15" s="1"/>
  <c r="AD375" i="15"/>
  <c r="AD379" i="15"/>
  <c r="V379" i="15" s="1"/>
  <c r="AD407" i="15"/>
  <c r="V407" i="15" s="1"/>
  <c r="AD431" i="15"/>
  <c r="V431" i="15" s="1"/>
  <c r="AD459" i="15"/>
  <c r="V459" i="15" s="1"/>
  <c r="AD467" i="15"/>
  <c r="V467" i="15" s="1"/>
  <c r="AD489" i="15"/>
  <c r="AD546" i="15"/>
  <c r="V546" i="15" s="1"/>
  <c r="T546" i="15" s="1"/>
  <c r="Y546" i="15" s="1"/>
  <c r="AD694" i="15"/>
  <c r="AD710" i="15"/>
  <c r="R1109" i="15"/>
  <c r="R1188" i="15"/>
  <c r="AD1396" i="15"/>
  <c r="AD1719" i="15"/>
  <c r="AD1797" i="15"/>
  <c r="AD1820" i="15"/>
  <c r="AD1918" i="15"/>
  <c r="R1973" i="15"/>
  <c r="W1012" i="15"/>
  <c r="W2028" i="15"/>
  <c r="W1368" i="15"/>
  <c r="W1381" i="15"/>
  <c r="AM14" i="27"/>
  <c r="AM18" i="27" s="1"/>
  <c r="AD351" i="15"/>
  <c r="V351" i="15" s="1"/>
  <c r="W1436" i="15"/>
  <c r="W1815" i="15"/>
  <c r="W1207" i="15"/>
  <c r="W1783" i="15"/>
  <c r="W1448" i="15"/>
  <c r="W1312" i="15"/>
  <c r="W1273" i="15"/>
  <c r="W1412" i="15"/>
  <c r="R235" i="15"/>
  <c r="X370" i="15"/>
  <c r="E5" i="14"/>
  <c r="H20" i="14"/>
  <c r="Q20" i="14"/>
  <c r="L53" i="14"/>
  <c r="I53" i="14"/>
  <c r="N23" i="14"/>
  <c r="Q93" i="14"/>
  <c r="G93" i="14"/>
  <c r="I93" i="14"/>
  <c r="F93" i="14"/>
  <c r="L78" i="14"/>
  <c r="E78" i="14"/>
  <c r="U78" i="14"/>
  <c r="O78" i="14"/>
  <c r="O88" i="14"/>
  <c r="T16" i="14"/>
  <c r="J6" i="14"/>
  <c r="N6" i="14"/>
  <c r="N9" i="14"/>
  <c r="R43" i="14"/>
  <c r="H23" i="14"/>
  <c r="Q5" i="14"/>
  <c r="O117" i="14"/>
  <c r="J83" i="21"/>
  <c r="K83" i="21"/>
  <c r="H83" i="21"/>
  <c r="S83" i="21"/>
  <c r="AD368" i="15"/>
  <c r="V368" i="15" s="1"/>
  <c r="Q366" i="15"/>
  <c r="X366" i="15" s="1"/>
  <c r="R304" i="15"/>
  <c r="R331" i="15"/>
  <c r="R97" i="15"/>
  <c r="W97" i="15" s="1"/>
  <c r="AD361" i="15"/>
  <c r="V361" i="15" s="1"/>
  <c r="AD372" i="15"/>
  <c r="V372" i="15" s="1"/>
  <c r="AD373" i="15"/>
  <c r="V373" i="15" s="1"/>
  <c r="T373" i="15" s="1"/>
  <c r="Y373" i="15" s="1"/>
  <c r="AD374" i="15"/>
  <c r="V374" i="15" s="1"/>
  <c r="T374" i="15" s="1"/>
  <c r="Y374" i="15" s="1"/>
  <c r="AD377" i="15"/>
  <c r="V377" i="15" s="1"/>
  <c r="AD378" i="15"/>
  <c r="V378" i="15" s="1"/>
  <c r="AD381" i="15"/>
  <c r="AD384" i="15"/>
  <c r="V384" i="15" s="1"/>
  <c r="AD389" i="15"/>
  <c r="V389" i="15" s="1"/>
  <c r="AD392" i="15"/>
  <c r="V392" i="15" s="1"/>
  <c r="AD395" i="15"/>
  <c r="V395" i="15" s="1"/>
  <c r="T395" i="15" s="1"/>
  <c r="Y395" i="15" s="1"/>
  <c r="AD401" i="15"/>
  <c r="V401" i="15" s="1"/>
  <c r="AD402" i="15"/>
  <c r="AD406" i="15"/>
  <c r="V406" i="15" s="1"/>
  <c r="T406" i="15" s="1"/>
  <c r="Y406" i="15" s="1"/>
  <c r="AD410" i="15"/>
  <c r="V410" i="15" s="1"/>
  <c r="AD411" i="15"/>
  <c r="V411" i="15" s="1"/>
  <c r="AD415" i="15"/>
  <c r="V415" i="15" s="1"/>
  <c r="AD416" i="15"/>
  <c r="AD421" i="15"/>
  <c r="V421" i="15" s="1"/>
  <c r="AD424" i="15"/>
  <c r="V424" i="15" s="1"/>
  <c r="AD425" i="15"/>
  <c r="V425" i="15" s="1"/>
  <c r="AD428" i="15"/>
  <c r="AD429" i="15"/>
  <c r="V429" i="15" s="1"/>
  <c r="AD430" i="15"/>
  <c r="AD433" i="15"/>
  <c r="V433" i="15" s="1"/>
  <c r="AD438" i="15"/>
  <c r="V438" i="15" s="1"/>
  <c r="T438" i="15" s="1"/>
  <c r="Y438" i="15" s="1"/>
  <c r="AD439" i="15"/>
  <c r="V439" i="15" s="1"/>
  <c r="AD440" i="15"/>
  <c r="V440" i="15" s="1"/>
  <c r="AD442" i="15"/>
  <c r="AD446" i="15"/>
  <c r="V446" i="15" s="1"/>
  <c r="AD450" i="15"/>
  <c r="V450" i="15" s="1"/>
  <c r="AD453" i="15"/>
  <c r="V453" i="15" s="1"/>
  <c r="AD454" i="15"/>
  <c r="AD457" i="15"/>
  <c r="V457" i="15" s="1"/>
  <c r="AD461" i="15"/>
  <c r="R461" i="15"/>
  <c r="W461" i="15" s="1"/>
  <c r="AD462" i="15"/>
  <c r="V462" i="15" s="1"/>
  <c r="AD469" i="15"/>
  <c r="V469" i="15" s="1"/>
  <c r="AD470" i="15"/>
  <c r="V470" i="15" s="1"/>
  <c r="AD474" i="15"/>
  <c r="V474" i="15" s="1"/>
  <c r="AD475" i="15"/>
  <c r="V475" i="15" s="1"/>
  <c r="AD478" i="15"/>
  <c r="AD479" i="15"/>
  <c r="V479" i="15" s="1"/>
  <c r="AD483" i="15"/>
  <c r="V483" i="15" s="1"/>
  <c r="T483" i="15" s="1"/>
  <c r="Y483" i="15" s="1"/>
  <c r="AD487" i="15"/>
  <c r="V487" i="15" s="1"/>
  <c r="T487" i="15" s="1"/>
  <c r="Y487" i="15" s="1"/>
  <c r="AD488" i="15"/>
  <c r="V488" i="15" s="1"/>
  <c r="AD492" i="15"/>
  <c r="V492" i="15" s="1"/>
  <c r="AD494" i="15"/>
  <c r="AD500" i="15"/>
  <c r="V500" i="15" s="1"/>
  <c r="T500" i="15" s="1"/>
  <c r="AD501" i="15"/>
  <c r="V501" i="15" s="1"/>
  <c r="AD505" i="15"/>
  <c r="V505" i="15" s="1"/>
  <c r="R509" i="15"/>
  <c r="W509" i="15" s="1"/>
  <c r="AD510" i="15"/>
  <c r="AD511" i="15"/>
  <c r="V511" i="15" s="1"/>
  <c r="AD515" i="15"/>
  <c r="AD519" i="15"/>
  <c r="V519" i="15" s="1"/>
  <c r="AD520" i="15"/>
  <c r="V520" i="15" s="1"/>
  <c r="AD523" i="15"/>
  <c r="AD527" i="15"/>
  <c r="V527" i="15" s="1"/>
  <c r="AD528" i="15"/>
  <c r="V528" i="15" s="1"/>
  <c r="AD531" i="15"/>
  <c r="V531" i="15" s="1"/>
  <c r="T531" i="15" s="1"/>
  <c r="AD532" i="15"/>
  <c r="V532" i="15" s="1"/>
  <c r="AD535" i="15"/>
  <c r="V535" i="15" s="1"/>
  <c r="T535" i="15" s="1"/>
  <c r="Y535" i="15" s="1"/>
  <c r="AD537" i="15"/>
  <c r="V537" i="15" s="1"/>
  <c r="T537" i="15" s="1"/>
  <c r="Y537" i="15" s="1"/>
  <c r="AD541" i="15"/>
  <c r="V541" i="15" s="1"/>
  <c r="T541" i="15" s="1"/>
  <c r="Y541" i="15" s="1"/>
  <c r="AD545" i="15"/>
  <c r="V545" i="15" s="1"/>
  <c r="AD548" i="15"/>
  <c r="AD549" i="15"/>
  <c r="V549" i="15" s="1"/>
  <c r="AD553" i="15"/>
  <c r="AD557" i="15"/>
  <c r="AD558" i="15"/>
  <c r="AD561" i="15"/>
  <c r="V561" i="15" s="1"/>
  <c r="AD565" i="15"/>
  <c r="AD566" i="15"/>
  <c r="V566" i="15" s="1"/>
  <c r="AD567" i="15"/>
  <c r="V567" i="15" s="1"/>
  <c r="AD571" i="15"/>
  <c r="V571" i="15" s="1"/>
  <c r="AD572" i="15"/>
  <c r="V572" i="15" s="1"/>
  <c r="AD587" i="15"/>
  <c r="V587" i="15" s="1"/>
  <c r="AD591" i="15"/>
  <c r="V591" i="15" s="1"/>
  <c r="AD600" i="15"/>
  <c r="V600" i="15" s="1"/>
  <c r="AD620" i="15"/>
  <c r="V620" i="15" s="1"/>
  <c r="AD622" i="15"/>
  <c r="V622" i="15" s="1"/>
  <c r="AD623" i="15"/>
  <c r="V623" i="15" s="1"/>
  <c r="AD629" i="15"/>
  <c r="V629" i="15" s="1"/>
  <c r="T629" i="15" s="1"/>
  <c r="C253" i="22" s="1"/>
  <c r="D253" i="22" s="1"/>
  <c r="AD634" i="15"/>
  <c r="V634" i="15" s="1"/>
  <c r="AD635" i="15"/>
  <c r="V635" i="15" s="1"/>
  <c r="T635" i="15" s="1"/>
  <c r="AD641" i="15"/>
  <c r="V641" i="15" s="1"/>
  <c r="T641" i="15" s="1"/>
  <c r="AD642" i="15"/>
  <c r="V642" i="15" s="1"/>
  <c r="T642" i="15" s="1"/>
  <c r="R646" i="15"/>
  <c r="AD651" i="15"/>
  <c r="V651" i="15" s="1"/>
  <c r="AD657" i="15"/>
  <c r="V657" i="15" s="1"/>
  <c r="AD658" i="15"/>
  <c r="AD661" i="15"/>
  <c r="AD662" i="15"/>
  <c r="V662" i="15" s="1"/>
  <c r="AD668" i="15"/>
  <c r="V668" i="15" s="1"/>
  <c r="AD670" i="15"/>
  <c r="V670" i="15" s="1"/>
  <c r="T670" i="15" s="1"/>
  <c r="AD673" i="15"/>
  <c r="V673" i="15" s="1"/>
  <c r="AD677" i="15"/>
  <c r="AD678" i="15"/>
  <c r="AD682" i="15"/>
  <c r="AD684" i="15"/>
  <c r="AD688" i="15"/>
  <c r="AD689" i="15"/>
  <c r="AD693" i="15"/>
  <c r="AD696" i="15"/>
  <c r="AD698" i="15"/>
  <c r="AD701" i="15"/>
  <c r="AD702" i="15"/>
  <c r="AD705" i="15"/>
  <c r="AD706" i="15"/>
  <c r="AD714" i="15"/>
  <c r="AD720" i="15"/>
  <c r="AD721" i="15"/>
  <c r="AD727" i="15"/>
  <c r="AD731" i="15"/>
  <c r="AD732" i="15"/>
  <c r="AD735" i="15"/>
  <c r="AD736" i="15"/>
  <c r="AD742" i="15"/>
  <c r="AD746" i="15"/>
  <c r="AD747" i="15"/>
  <c r="AD750" i="15"/>
  <c r="AD751" i="15"/>
  <c r="AD754" i="15"/>
  <c r="AD762" i="15"/>
  <c r="AD772" i="15"/>
  <c r="AD775" i="15"/>
  <c r="AD777" i="15"/>
  <c r="AD782" i="15"/>
  <c r="R787" i="15"/>
  <c r="AD789" i="15"/>
  <c r="AD793" i="15"/>
  <c r="AD794" i="15"/>
  <c r="AD799" i="15"/>
  <c r="AD801" i="15"/>
  <c r="AD805" i="15"/>
  <c r="AD806" i="15"/>
  <c r="R811" i="15"/>
  <c r="AD812" i="15"/>
  <c r="AD813" i="15"/>
  <c r="AD816" i="15"/>
  <c r="AD820" i="15"/>
  <c r="AD821" i="15"/>
  <c r="AD825" i="15"/>
  <c r="AD826" i="15"/>
  <c r="AD829" i="15"/>
  <c r="AD830" i="15"/>
  <c r="AD833" i="15"/>
  <c r="AD834" i="15"/>
  <c r="AD838" i="15"/>
  <c r="AD839" i="15"/>
  <c r="AD846" i="15"/>
  <c r="AD849" i="15"/>
  <c r="AD854" i="15"/>
  <c r="AD859" i="15"/>
  <c r="AD860" i="15"/>
  <c r="AD869" i="15"/>
  <c r="AD874" i="15"/>
  <c r="AD878" i="15"/>
  <c r="AD879" i="15"/>
  <c r="AD883" i="15"/>
  <c r="AD886" i="15"/>
  <c r="R889" i="15"/>
  <c r="AD893" i="15"/>
  <c r="AD896" i="15"/>
  <c r="AD899" i="15"/>
  <c r="AD900" i="15"/>
  <c r="AD910" i="15"/>
  <c r="AD915" i="15"/>
  <c r="AD916" i="15"/>
  <c r="AD919" i="15"/>
  <c r="AD922" i="15"/>
  <c r="AD923" i="15"/>
  <c r="AD926" i="15"/>
  <c r="AD931" i="15"/>
  <c r="AD934" i="15"/>
  <c r="AD935" i="15"/>
  <c r="AD939" i="15"/>
  <c r="AD940" i="15"/>
  <c r="AD945" i="15"/>
  <c r="AD948" i="15"/>
  <c r="AD952" i="15"/>
  <c r="AD958" i="15"/>
  <c r="AD964" i="15"/>
  <c r="AD968" i="15"/>
  <c r="AD969" i="15"/>
  <c r="AD973" i="15"/>
  <c r="AD975" i="15"/>
  <c r="AD978" i="15"/>
  <c r="AD982" i="15"/>
  <c r="AD984" i="15"/>
  <c r="AD990" i="15"/>
  <c r="AD991" i="15"/>
  <c r="AD995" i="15"/>
  <c r="AD999" i="15"/>
  <c r="AD1002" i="15"/>
  <c r="AD1006" i="15"/>
  <c r="AD1012" i="15"/>
  <c r="AD1023" i="15"/>
  <c r="AD1032" i="15"/>
  <c r="AD1041" i="15"/>
  <c r="AD1048" i="15"/>
  <c r="AD1051" i="15"/>
  <c r="AD1052" i="15"/>
  <c r="AD1057" i="15"/>
  <c r="AD1066" i="15"/>
  <c r="AD1067" i="15"/>
  <c r="AD1070" i="15"/>
  <c r="AD1072" i="15"/>
  <c r="AD1073" i="15"/>
  <c r="AD1076" i="15"/>
  <c r="AD1080" i="15"/>
  <c r="AD1081" i="15"/>
  <c r="AD1082" i="15"/>
  <c r="R1085" i="15"/>
  <c r="AD1086" i="15"/>
  <c r="AD1090" i="15"/>
  <c r="R1093" i="15"/>
  <c r="AD1094" i="15"/>
  <c r="AD1095" i="15"/>
  <c r="AD1100" i="15"/>
  <c r="AD1102" i="15"/>
  <c r="AD1104" i="15"/>
  <c r="AD1108" i="15"/>
  <c r="AD1115" i="15"/>
  <c r="AD60" i="15"/>
  <c r="R99" i="15"/>
  <c r="R174" i="15"/>
  <c r="R183" i="15"/>
  <c r="R197" i="15"/>
  <c r="R259" i="15"/>
  <c r="S351" i="15"/>
  <c r="X351" i="15" s="1"/>
  <c r="AD613" i="15"/>
  <c r="V613" i="15" s="1"/>
  <c r="AD621" i="15"/>
  <c r="V621" i="15" s="1"/>
  <c r="AD730" i="15"/>
  <c r="AD815" i="15"/>
  <c r="AD1869" i="15"/>
  <c r="AD1887" i="15"/>
  <c r="AD1922" i="15"/>
  <c r="AD1122" i="15"/>
  <c r="AD1123" i="15"/>
  <c r="AD1127" i="15"/>
  <c r="AD1129" i="15"/>
  <c r="AD1135" i="15"/>
  <c r="AD1140" i="15"/>
  <c r="AD1145" i="15"/>
  <c r="AD1146" i="15"/>
  <c r="AD1157" i="15"/>
  <c r="AD1180" i="15"/>
  <c r="AD1187" i="15"/>
  <c r="AD1193" i="15"/>
  <c r="AD1202" i="15"/>
  <c r="AD1208" i="15"/>
  <c r="R1212" i="15"/>
  <c r="AD1213" i="15"/>
  <c r="R1221" i="15"/>
  <c r="AD1227" i="15"/>
  <c r="AD1231" i="15"/>
  <c r="AD1239" i="15"/>
  <c r="AD1242" i="15"/>
  <c r="AD1246" i="15"/>
  <c r="AD1247" i="15"/>
  <c r="AD1250" i="15"/>
  <c r="AD1255" i="15"/>
  <c r="AD1258" i="15"/>
  <c r="AD1263" i="15"/>
  <c r="AD1267" i="15"/>
  <c r="AD1268" i="15"/>
  <c r="AD1272" i="15"/>
  <c r="AD1276" i="15"/>
  <c r="AD1283" i="15"/>
  <c r="AD1284" i="15"/>
  <c r="AD1287" i="15"/>
  <c r="AD1291" i="15"/>
  <c r="AD1299" i="15"/>
  <c r="AD1300" i="15"/>
  <c r="R1303" i="15"/>
  <c r="AD1305" i="15"/>
  <c r="AD1323" i="15"/>
  <c r="AD1324" i="15"/>
  <c r="AD1338" i="15"/>
  <c r="AD1341" i="15"/>
  <c r="AD1342" i="15"/>
  <c r="AD1346" i="15"/>
  <c r="AD1349" i="15"/>
  <c r="R1353" i="15"/>
  <c r="AD1360" i="15"/>
  <c r="AD1368" i="15"/>
  <c r="AD1371" i="15"/>
  <c r="AD1377" i="15"/>
  <c r="AD1384" i="15"/>
  <c r="AD1388" i="15"/>
  <c r="AD1391" i="15"/>
  <c r="AD1392" i="15"/>
  <c r="AD1395" i="15"/>
  <c r="AD1404" i="15"/>
  <c r="AD1405" i="15"/>
  <c r="AD1412" i="15"/>
  <c r="AD1416" i="15"/>
  <c r="AD1417" i="15"/>
  <c r="AD1429" i="15"/>
  <c r="AD1432" i="15"/>
  <c r="AD1433" i="15"/>
  <c r="AD1439" i="15"/>
  <c r="AD1444" i="15"/>
  <c r="AD1448" i="15"/>
  <c r="AD1453" i="15"/>
  <c r="R1460" i="15"/>
  <c r="AD1461" i="15"/>
  <c r="AD1462" i="15"/>
  <c r="AD1466" i="15"/>
  <c r="AD1468" i="15"/>
  <c r="AD1471" i="15"/>
  <c r="AD1472" i="15"/>
  <c r="AD1477" i="15"/>
  <c r="AD1484" i="15"/>
  <c r="AD1486" i="15"/>
  <c r="AD1509" i="15"/>
  <c r="R1513" i="15"/>
  <c r="AD1514" i="15"/>
  <c r="AD1518" i="15"/>
  <c r="AD1523" i="15"/>
  <c r="AD1524" i="15"/>
  <c r="AD1532" i="15"/>
  <c r="AD1535" i="15"/>
  <c r="AD1539" i="15"/>
  <c r="R1539" i="15"/>
  <c r="AD1543" i="15"/>
  <c r="AD1548" i="15"/>
  <c r="R1553" i="15"/>
  <c r="AD1569" i="15"/>
  <c r="AD1570" i="15"/>
  <c r="AD1571" i="15"/>
  <c r="AD1575" i="15"/>
  <c r="AD1579" i="15"/>
  <c r="AD1587" i="15"/>
  <c r="AD1588" i="15"/>
  <c r="AD1592" i="15"/>
  <c r="AD1596" i="15"/>
  <c r="AD1599" i="15"/>
  <c r="AD1600" i="15"/>
  <c r="AD1612" i="15"/>
  <c r="AD1616" i="15"/>
  <c r="AD1617" i="15"/>
  <c r="R1621" i="15"/>
  <c r="AD1622" i="15"/>
  <c r="AD1630" i="15"/>
  <c r="AD1636" i="15"/>
  <c r="AD1639" i="15"/>
  <c r="AD1643" i="15"/>
  <c r="AD1644" i="15"/>
  <c r="AD1649" i="15"/>
  <c r="AD1656" i="15"/>
  <c r="AD1660" i="15"/>
  <c r="AD1661" i="15"/>
  <c r="AD1674" i="15"/>
  <c r="AD1683" i="15"/>
  <c r="AD1689" i="15"/>
  <c r="AD1691" i="15"/>
  <c r="AD1695" i="15"/>
  <c r="AD1699" i="15"/>
  <c r="AD1702" i="15"/>
  <c r="AD1703" i="15"/>
  <c r="AD1707" i="15"/>
  <c r="AD1708" i="15"/>
  <c r="AD1714" i="15"/>
  <c r="AD1716" i="15"/>
  <c r="AD1721" i="15"/>
  <c r="AD1723" i="15"/>
  <c r="R1726" i="15"/>
  <c r="AD1730" i="15"/>
  <c r="AD1733" i="15"/>
  <c r="AD1737" i="15"/>
  <c r="AD1744" i="15"/>
  <c r="AD1749" i="15"/>
  <c r="AD1753" i="15"/>
  <c r="AD1767" i="15"/>
  <c r="AD1768" i="15"/>
  <c r="AD1776" i="15"/>
  <c r="AD1783" i="15"/>
  <c r="AD1787" i="15"/>
  <c r="AD1791" i="15"/>
  <c r="AD1799" i="15"/>
  <c r="AD1801" i="15"/>
  <c r="AD1805" i="15"/>
  <c r="AD1809" i="15"/>
  <c r="AD1813" i="15"/>
  <c r="AD1819" i="15"/>
  <c r="AD1828" i="15"/>
  <c r="AD1831" i="15"/>
  <c r="AD1835" i="15"/>
  <c r="AD1844" i="15"/>
  <c r="AD1845" i="15"/>
  <c r="AD1849" i="15"/>
  <c r="R1852" i="15"/>
  <c r="AD1853" i="15"/>
  <c r="AD1854" i="15"/>
  <c r="AD1863" i="15"/>
  <c r="AD1864" i="15"/>
  <c r="AD1870" i="15"/>
  <c r="AD1876" i="15"/>
  <c r="AD1877" i="15"/>
  <c r="AD1889" i="15"/>
  <c r="AD1898" i="15"/>
  <c r="AD1901" i="15"/>
  <c r="AD1902" i="15"/>
  <c r="AD1910" i="15"/>
  <c r="AD1921" i="15"/>
  <c r="AD1924" i="15"/>
  <c r="AD1928" i="15"/>
  <c r="AD1932" i="15"/>
  <c r="R1939" i="15"/>
  <c r="AD1940" i="15"/>
  <c r="AD1943" i="15"/>
  <c r="AD1947" i="15"/>
  <c r="AD1949" i="15"/>
  <c r="AD1952" i="15"/>
  <c r="R1955" i="15"/>
  <c r="AD1967" i="15"/>
  <c r="AD1968" i="15"/>
  <c r="AD1971" i="15"/>
  <c r="AD1976" i="15"/>
  <c r="AD1982" i="15"/>
  <c r="AD1995" i="15"/>
  <c r="AD1996" i="15"/>
  <c r="AD2004" i="15"/>
  <c r="AD2008" i="15"/>
  <c r="AD2011" i="15"/>
  <c r="AD2013" i="15"/>
  <c r="AD2018" i="15"/>
  <c r="AD2022" i="15"/>
  <c r="AD2023" i="15"/>
  <c r="AD2024" i="15"/>
  <c r="AD2027" i="15"/>
  <c r="AD2034" i="15"/>
  <c r="AD2035" i="15"/>
  <c r="AD2038" i="15"/>
  <c r="R2043" i="15"/>
  <c r="AD2048" i="15"/>
  <c r="AD2054" i="15"/>
  <c r="AD2059" i="15"/>
  <c r="AD2075" i="15"/>
  <c r="AD2076" i="15"/>
  <c r="AD2082" i="15"/>
  <c r="AD2090" i="15"/>
  <c r="R2093" i="15"/>
  <c r="AD2107" i="15"/>
  <c r="R2110" i="15"/>
  <c r="AD2127" i="15"/>
  <c r="R2128" i="15"/>
  <c r="AD2129" i="15"/>
  <c r="AD2130" i="15"/>
  <c r="AD2137" i="15"/>
  <c r="AD2144" i="15"/>
  <c r="AD2145" i="15"/>
  <c r="AD2146" i="15"/>
  <c r="AD2153" i="15"/>
  <c r="AD2157" i="15"/>
  <c r="AD2158" i="15"/>
  <c r="AD2161" i="15"/>
  <c r="AD2165" i="15"/>
  <c r="AD2169" i="15"/>
  <c r="R2172" i="15"/>
  <c r="AD2174" i="15"/>
  <c r="R2182" i="15"/>
  <c r="AD2183" i="15"/>
  <c r="AD2184" i="15"/>
  <c r="R2188" i="15"/>
  <c r="AD2191" i="15"/>
  <c r="AD2209" i="15"/>
  <c r="AD2214" i="15"/>
  <c r="AD2224" i="15"/>
  <c r="R2227" i="15"/>
  <c r="AD2228" i="15"/>
  <c r="AD2232" i="15"/>
  <c r="AD2236" i="15"/>
  <c r="AD2245" i="15"/>
  <c r="R2247" i="15"/>
  <c r="AD2252" i="15"/>
  <c r="AD2254" i="15"/>
  <c r="AD2257" i="15"/>
  <c r="AD2266" i="15"/>
  <c r="R2268" i="15"/>
  <c r="R2270" i="15"/>
  <c r="R359" i="15"/>
  <c r="W359" i="15" s="1"/>
  <c r="X355" i="15"/>
  <c r="AD364" i="15"/>
  <c r="V364" i="15" s="1"/>
  <c r="AD350" i="15"/>
  <c r="AD363" i="15"/>
  <c r="AD370" i="15"/>
  <c r="V370" i="15" s="1"/>
  <c r="X346" i="15"/>
  <c r="Q350" i="15"/>
  <c r="Q354" i="15"/>
  <c r="X354" i="15" s="1"/>
  <c r="AD344" i="15"/>
  <c r="V344" i="15" s="1"/>
  <c r="R344" i="15"/>
  <c r="W344" i="15" s="1"/>
  <c r="R338" i="15"/>
  <c r="W338" i="15" s="1"/>
  <c r="R334" i="15"/>
  <c r="AD334" i="15"/>
  <c r="V334" i="15" s="1"/>
  <c r="Q334" i="15"/>
  <c r="X334" i="15" s="1"/>
  <c r="R330" i="15"/>
  <c r="W330" i="15" s="1"/>
  <c r="R329" i="15"/>
  <c r="W329" i="15" s="1"/>
  <c r="H21" i="27"/>
  <c r="H22" i="27"/>
  <c r="AD219" i="15"/>
  <c r="Q197" i="15"/>
  <c r="S34" i="15"/>
  <c r="AD34" i="15"/>
  <c r="V34" i="15" s="1"/>
  <c r="T34" i="15" s="1"/>
  <c r="Y34" i="15" s="1"/>
  <c r="Q40" i="15"/>
  <c r="X40" i="15" s="1"/>
  <c r="AD40" i="15"/>
  <c r="AC42" i="15"/>
  <c r="S55" i="15"/>
  <c r="X55" i="15" s="1"/>
  <c r="AD55" i="15"/>
  <c r="V55" i="15" s="1"/>
  <c r="Q61" i="15"/>
  <c r="AD61" i="15"/>
  <c r="S63" i="15"/>
  <c r="AD63" i="15"/>
  <c r="V63" i="15" s="1"/>
  <c r="AC78" i="15"/>
  <c r="Q91" i="15"/>
  <c r="R91" i="15"/>
  <c r="S91" i="15"/>
  <c r="AD91" i="15"/>
  <c r="V91" i="15" s="1"/>
  <c r="S95" i="15"/>
  <c r="X95" i="15" s="1"/>
  <c r="AD95" i="15"/>
  <c r="V95" i="15" s="1"/>
  <c r="S99" i="15"/>
  <c r="AD99" i="15"/>
  <c r="V99" i="15" s="1"/>
  <c r="AC100" i="15"/>
  <c r="R100" i="15"/>
  <c r="W100" i="15" s="1"/>
  <c r="S104" i="15"/>
  <c r="X104" i="15" s="1"/>
  <c r="AD104" i="15"/>
  <c r="V104" i="15" s="1"/>
  <c r="T104" i="15" s="1"/>
  <c r="Y104" i="15" s="1"/>
  <c r="AC111" i="15"/>
  <c r="R111" i="15"/>
  <c r="W111" i="15" s="1"/>
  <c r="S114" i="15"/>
  <c r="AD114" i="15"/>
  <c r="AC119" i="15"/>
  <c r="R119" i="15"/>
  <c r="W119" i="15" s="1"/>
  <c r="AC126" i="15"/>
  <c r="S129" i="15"/>
  <c r="AD129" i="15"/>
  <c r="AC130" i="15"/>
  <c r="S136" i="15"/>
  <c r="AD136" i="15"/>
  <c r="S141" i="15"/>
  <c r="AD141" i="15"/>
  <c r="V141" i="15" s="1"/>
  <c r="S142" i="15"/>
  <c r="AD142" i="15"/>
  <c r="S148" i="15"/>
  <c r="AD148" i="15"/>
  <c r="V148" i="15" s="1"/>
  <c r="S153" i="15"/>
  <c r="AD153" i="15"/>
  <c r="V153" i="15" s="1"/>
  <c r="S158" i="15"/>
  <c r="X158" i="15" s="1"/>
  <c r="AD158" i="15"/>
  <c r="V158" i="15" s="1"/>
  <c r="T158" i="15" s="1"/>
  <c r="Y158" i="15" s="1"/>
  <c r="R162" i="15"/>
  <c r="Q162" i="15"/>
  <c r="X162" i="15" s="1"/>
  <c r="AC165" i="15"/>
  <c r="U165" i="15" s="1"/>
  <c r="R165" i="15"/>
  <c r="S168" i="15"/>
  <c r="X168" i="15" s="1"/>
  <c r="AD168" i="15"/>
  <c r="S174" i="15"/>
  <c r="AD174" i="15"/>
  <c r="V174" i="15" s="1"/>
  <c r="Q178" i="15"/>
  <c r="X178" i="15" s="1"/>
  <c r="R178" i="15"/>
  <c r="AD178" i="15"/>
  <c r="S183" i="15"/>
  <c r="AD183" i="15"/>
  <c r="V183" i="15" s="1"/>
  <c r="S187" i="15"/>
  <c r="AD187" i="15"/>
  <c r="V187" i="15" s="1"/>
  <c r="Q191" i="15"/>
  <c r="AD191" i="15"/>
  <c r="Q192" i="15"/>
  <c r="X192" i="15" s="1"/>
  <c r="R192" i="15"/>
  <c r="S197" i="15"/>
  <c r="AD197" i="15"/>
  <c r="V197" i="15" s="1"/>
  <c r="Q201" i="15"/>
  <c r="R201" i="15"/>
  <c r="Q202" i="15"/>
  <c r="X202" i="15" s="1"/>
  <c r="R202" i="15"/>
  <c r="Q203" i="15"/>
  <c r="R203" i="15"/>
  <c r="AC208" i="15"/>
  <c r="U208" i="15" s="1"/>
  <c r="R208" i="15"/>
  <c r="W208" i="15" s="1"/>
  <c r="Q212" i="15"/>
  <c r="AD212" i="15"/>
  <c r="Q213" i="15"/>
  <c r="AD213" i="15"/>
  <c r="V213" i="15" s="1"/>
  <c r="Q214" i="15"/>
  <c r="R214" i="15"/>
  <c r="S214" i="15"/>
  <c r="AD214" i="15"/>
  <c r="S215" i="15"/>
  <c r="AD215" i="15"/>
  <c r="S216" i="15"/>
  <c r="AD216" i="15"/>
  <c r="S217" i="15"/>
  <c r="AD217" i="15"/>
  <c r="S218" i="15"/>
  <c r="AD218" i="15"/>
  <c r="AC221" i="15"/>
  <c r="U221" i="15" s="1"/>
  <c r="R221" i="15"/>
  <c r="AC226" i="15"/>
  <c r="R226" i="15"/>
  <c r="Q229" i="15"/>
  <c r="R229" i="15"/>
  <c r="AD229" i="15"/>
  <c r="Q230" i="15"/>
  <c r="X230" i="15" s="1"/>
  <c r="AD230" i="15"/>
  <c r="V230" i="15" s="1"/>
  <c r="S232" i="15"/>
  <c r="S233" i="15"/>
  <c r="X233" i="15" s="1"/>
  <c r="AD233" i="15"/>
  <c r="AC234" i="15"/>
  <c r="S238" i="15"/>
  <c r="X238" i="15" s="1"/>
  <c r="AD238" i="15"/>
  <c r="V238" i="15" s="1"/>
  <c r="S239" i="15"/>
  <c r="S240" i="15"/>
  <c r="AD240" i="15"/>
  <c r="Q244" i="15"/>
  <c r="T244" i="15" s="1"/>
  <c r="Y244" i="15" s="1"/>
  <c r="R244" i="15"/>
  <c r="AC245" i="15"/>
  <c r="R245" i="15"/>
  <c r="W245" i="15" s="1"/>
  <c r="S248" i="15"/>
  <c r="X248" i="15" s="1"/>
  <c r="AD248" i="15"/>
  <c r="V248" i="15" s="1"/>
  <c r="T248" i="15" s="1"/>
  <c r="Y248" i="15" s="1"/>
  <c r="AC249" i="15"/>
  <c r="R249" i="15"/>
  <c r="W249" i="15" s="1"/>
  <c r="Q253" i="15"/>
  <c r="R253" i="15"/>
  <c r="S255" i="15"/>
  <c r="X255" i="15" s="1"/>
  <c r="AD255" i="15"/>
  <c r="V255" i="15" s="1"/>
  <c r="AC276" i="15"/>
  <c r="Q279" i="15"/>
  <c r="X279" i="15" s="1"/>
  <c r="V279" i="15"/>
  <c r="AC280" i="15"/>
  <c r="Q283" i="15"/>
  <c r="X283" i="15" s="1"/>
  <c r="R283" i="15"/>
  <c r="AD283" i="15"/>
  <c r="V283" i="15" s="1"/>
  <c r="Q285" i="15"/>
  <c r="R285" i="15"/>
  <c r="S285" i="15"/>
  <c r="AD285" i="15"/>
  <c r="V285" i="15" s="1"/>
  <c r="AC291" i="15"/>
  <c r="R291" i="15"/>
  <c r="W291" i="15" s="1"/>
  <c r="S294" i="15"/>
  <c r="AD294" i="15"/>
  <c r="V294" i="15" s="1"/>
  <c r="S295" i="15"/>
  <c r="AD295" i="15"/>
  <c r="V295" i="15" s="1"/>
  <c r="Q299" i="15"/>
  <c r="X299" i="15" s="1"/>
  <c r="AD299" i="15"/>
  <c r="R302" i="15"/>
  <c r="S303" i="15"/>
  <c r="X303" i="15" s="1"/>
  <c r="AD303" i="15"/>
  <c r="V303" i="15" s="1"/>
  <c r="R305" i="15"/>
  <c r="S311" i="15"/>
  <c r="AD311" i="15"/>
  <c r="V311" i="15" s="1"/>
  <c r="S323" i="15"/>
  <c r="X323" i="15" s="1"/>
  <c r="AD323" i="15"/>
  <c r="AC324" i="15"/>
  <c r="R324" i="15"/>
  <c r="W324" i="15" s="1"/>
  <c r="Q326" i="15"/>
  <c r="R326" i="15"/>
  <c r="S326" i="15"/>
  <c r="AD326" i="15"/>
  <c r="V326" i="15" s="1"/>
  <c r="S338" i="15"/>
  <c r="X338" i="15" s="1"/>
  <c r="AD338" i="15"/>
  <c r="V338" i="15" s="1"/>
  <c r="T338" i="15" s="1"/>
  <c r="Y338" i="15" s="1"/>
  <c r="AC339" i="15"/>
  <c r="U339" i="15" s="1"/>
  <c r="R339" i="15"/>
  <c r="S342" i="15"/>
  <c r="AD342" i="15"/>
  <c r="AC343" i="15"/>
  <c r="U343" i="15" s="1"/>
  <c r="R343" i="15"/>
  <c r="W343" i="15" s="1"/>
  <c r="AC346" i="15"/>
  <c r="R346" i="15"/>
  <c r="W346" i="15" s="1"/>
  <c r="AC350" i="15"/>
  <c r="U350" i="15" s="1"/>
  <c r="R350" i="15"/>
  <c r="R354" i="15"/>
  <c r="X359" i="15"/>
  <c r="X360" i="15"/>
  <c r="AD362" i="15"/>
  <c r="AC366" i="15"/>
  <c r="R366" i="15"/>
  <c r="X369" i="15"/>
  <c r="AC372" i="15"/>
  <c r="R372" i="15"/>
  <c r="W372" i="15" s="1"/>
  <c r="AC384" i="15"/>
  <c r="R384" i="15"/>
  <c r="W384" i="15" s="1"/>
  <c r="AC385" i="15"/>
  <c r="R385" i="15"/>
  <c r="W385" i="15" s="1"/>
  <c r="R478" i="15"/>
  <c r="W478" i="15" s="1"/>
  <c r="R405" i="15"/>
  <c r="W405" i="15" s="1"/>
  <c r="R483" i="15"/>
  <c r="W483" i="15" s="1"/>
  <c r="R457" i="15"/>
  <c r="W457" i="15" s="1"/>
  <c r="X704" i="15"/>
  <c r="R805" i="15"/>
  <c r="W815" i="15"/>
  <c r="R893" i="15"/>
  <c r="W836" i="15"/>
  <c r="X774" i="15"/>
  <c r="W898" i="15"/>
  <c r="R767" i="15"/>
  <c r="W872" i="15"/>
  <c r="R930" i="15"/>
  <c r="R492" i="15"/>
  <c r="W492" i="15" s="1"/>
  <c r="R688" i="15"/>
  <c r="R618" i="15"/>
  <c r="R545" i="15"/>
  <c r="R799" i="15"/>
  <c r="W819" i="15"/>
  <c r="R565" i="15"/>
  <c r="R424" i="15"/>
  <c r="W424" i="15" s="1"/>
  <c r="X1369" i="15"/>
  <c r="W1369" i="15"/>
  <c r="AC389" i="15"/>
  <c r="R389" i="15"/>
  <c r="AC391" i="15"/>
  <c r="U391" i="15" s="1"/>
  <c r="R391" i="15"/>
  <c r="W391" i="15" s="1"/>
  <c r="AC396" i="15"/>
  <c r="R396" i="15"/>
  <c r="W396" i="15" s="1"/>
  <c r="AC397" i="15"/>
  <c r="R397" i="15"/>
  <c r="W397" i="15" s="1"/>
  <c r="AC401" i="15"/>
  <c r="AC410" i="15"/>
  <c r="R410" i="15"/>
  <c r="W410" i="15" s="1"/>
  <c r="R420" i="15"/>
  <c r="W420" i="15" s="1"/>
  <c r="R428" i="15"/>
  <c r="W428" i="15" s="1"/>
  <c r="AC433" i="15"/>
  <c r="AC434" i="15"/>
  <c r="R434" i="15"/>
  <c r="W434" i="15" s="1"/>
  <c r="X437" i="15"/>
  <c r="R438" i="15"/>
  <c r="W438" i="15" s="1"/>
  <c r="AC443" i="15"/>
  <c r="R443" i="15"/>
  <c r="W443" i="15" s="1"/>
  <c r="AC444" i="15"/>
  <c r="R444" i="15"/>
  <c r="W444" i="15" s="1"/>
  <c r="AC445" i="15"/>
  <c r="U445" i="15" s="1"/>
  <c r="T445" i="15" s="1"/>
  <c r="AB445" i="15" s="1"/>
  <c r="R445" i="15"/>
  <c r="W445" i="15" s="1"/>
  <c r="R465" i="15"/>
  <c r="AC469" i="15"/>
  <c r="R469" i="15"/>
  <c r="W469" i="15" s="1"/>
  <c r="AC474" i="15"/>
  <c r="R474" i="15"/>
  <c r="W474" i="15" s="1"/>
  <c r="AC487" i="15"/>
  <c r="R487" i="15"/>
  <c r="R493" i="15"/>
  <c r="W493" i="15" s="1"/>
  <c r="AD498" i="15"/>
  <c r="V498" i="15" s="1"/>
  <c r="R498" i="15"/>
  <c r="W498" i="15" s="1"/>
  <c r="R500" i="15"/>
  <c r="W500" i="15" s="1"/>
  <c r="AC504" i="15"/>
  <c r="R504" i="15"/>
  <c r="W504" i="15" s="1"/>
  <c r="AC510" i="15"/>
  <c r="U510" i="15" s="1"/>
  <c r="R510" i="15"/>
  <c r="W510" i="15" s="1"/>
  <c r="AD514" i="15"/>
  <c r="R514" i="15"/>
  <c r="W514" i="15" s="1"/>
  <c r="AC548" i="15"/>
  <c r="U548" i="15" s="1"/>
  <c r="R548" i="15"/>
  <c r="AC553" i="15"/>
  <c r="U553" i="15" s="1"/>
  <c r="R561" i="15"/>
  <c r="X585" i="15"/>
  <c r="AC607" i="15"/>
  <c r="AC619" i="15"/>
  <c r="R619" i="15"/>
  <c r="AC622" i="15"/>
  <c r="AC627" i="15"/>
  <c r="R627" i="15"/>
  <c r="R634" i="15"/>
  <c r="AD645" i="15"/>
  <c r="R645" i="15"/>
  <c r="AC647" i="15"/>
  <c r="R647" i="15"/>
  <c r="AC649" i="15"/>
  <c r="R649" i="15"/>
  <c r="AC650" i="15"/>
  <c r="R650" i="15"/>
  <c r="R657" i="15"/>
  <c r="AC657" i="15"/>
  <c r="AC677" i="15"/>
  <c r="R677" i="15"/>
  <c r="R681" i="15"/>
  <c r="AC681" i="15"/>
  <c r="AC697" i="15"/>
  <c r="R697" i="15"/>
  <c r="X708" i="15"/>
  <c r="W708" i="15"/>
  <c r="AC709" i="15"/>
  <c r="R709" i="15"/>
  <c r="AD712" i="15"/>
  <c r="R712" i="15"/>
  <c r="AC713" i="15"/>
  <c r="R713" i="15"/>
  <c r="X716" i="15"/>
  <c r="W716" i="15"/>
  <c r="AC717" i="15"/>
  <c r="R717" i="15"/>
  <c r="AC720" i="15"/>
  <c r="R720" i="15"/>
  <c r="W724" i="15"/>
  <c r="X724" i="15"/>
  <c r="R726" i="15"/>
  <c r="X730" i="15"/>
  <c r="W730" i="15"/>
  <c r="AC731" i="15"/>
  <c r="R731" i="15"/>
  <c r="X734" i="15"/>
  <c r="W734" i="15"/>
  <c r="AC738" i="15"/>
  <c r="R738" i="15"/>
  <c r="AC741" i="15"/>
  <c r="R741" i="15"/>
  <c r="AC750" i="15"/>
  <c r="R750" i="15"/>
  <c r="W757" i="15"/>
  <c r="X757" i="15"/>
  <c r="R758" i="15"/>
  <c r="X766" i="15"/>
  <c r="W766" i="15"/>
  <c r="R771" i="15"/>
  <c r="AC771" i="15"/>
  <c r="AC776" i="15"/>
  <c r="R776" i="15"/>
  <c r="X779" i="15"/>
  <c r="W779" i="15"/>
  <c r="W780" i="15"/>
  <c r="X780" i="15"/>
  <c r="AC788" i="15"/>
  <c r="R788" i="15"/>
  <c r="W796" i="15"/>
  <c r="X796" i="15"/>
  <c r="AD797" i="15"/>
  <c r="AC800" i="15"/>
  <c r="R800" i="15"/>
  <c r="W810" i="15"/>
  <c r="X810" i="15"/>
  <c r="X824" i="15"/>
  <c r="W824" i="15"/>
  <c r="R825" i="15"/>
  <c r="X828" i="15"/>
  <c r="W828" i="15"/>
  <c r="AC829" i="15"/>
  <c r="R829" i="15"/>
  <c r="X832" i="15"/>
  <c r="W832" i="15"/>
  <c r="R838" i="15"/>
  <c r="R842" i="15"/>
  <c r="AC847" i="15"/>
  <c r="R847" i="15"/>
  <c r="AC848" i="15"/>
  <c r="R848" i="15"/>
  <c r="X852" i="15"/>
  <c r="W852" i="15"/>
  <c r="W856" i="15"/>
  <c r="X856" i="15"/>
  <c r="AD868" i="15"/>
  <c r="R868" i="15"/>
  <c r="R892" i="15"/>
  <c r="R895" i="15"/>
  <c r="W902" i="15"/>
  <c r="X902" i="15"/>
  <c r="AC906" i="15"/>
  <c r="R906" i="15"/>
  <c r="R918" i="15"/>
  <c r="X921" i="15"/>
  <c r="W921" i="15"/>
  <c r="AD938" i="15"/>
  <c r="R938" i="15"/>
  <c r="R945" i="15"/>
  <c r="AC946" i="15"/>
  <c r="R946" i="15"/>
  <c r="AC947" i="15"/>
  <c r="R947" i="15"/>
  <c r="W950" i="15"/>
  <c r="X950" i="15"/>
  <c r="AC959" i="15"/>
  <c r="R959" i="15"/>
  <c r="X1001" i="15"/>
  <c r="W1001" i="15"/>
  <c r="X1014" i="15"/>
  <c r="W1014" i="15"/>
  <c r="R1015" i="15"/>
  <c r="AC1016" i="15"/>
  <c r="R1016" i="15"/>
  <c r="W1026" i="15"/>
  <c r="X1026" i="15"/>
  <c r="X1030" i="15"/>
  <c r="W1030" i="15"/>
  <c r="R1032" i="15"/>
  <c r="AC1032" i="15"/>
  <c r="X1035" i="15"/>
  <c r="W1035" i="15"/>
  <c r="R1042" i="15"/>
  <c r="X1054" i="15"/>
  <c r="W1054" i="15"/>
  <c r="AD1055" i="15"/>
  <c r="R1055" i="15"/>
  <c r="X1064" i="15"/>
  <c r="W1064" i="15"/>
  <c r="AC1066" i="15"/>
  <c r="R1066" i="15"/>
  <c r="AC1070" i="15"/>
  <c r="R1070" i="15"/>
  <c r="AC1071" i="15"/>
  <c r="R1071" i="15"/>
  <c r="X1075" i="15"/>
  <c r="W1075" i="15"/>
  <c r="AC1076" i="15"/>
  <c r="R1076" i="15"/>
  <c r="W1079" i="15"/>
  <c r="X1079" i="15"/>
  <c r="R1080" i="15"/>
  <c r="X1084" i="15"/>
  <c r="W1084" i="15"/>
  <c r="R1087" i="15"/>
  <c r="AD1087" i="15"/>
  <c r="AC1088" i="15"/>
  <c r="R1088" i="15"/>
  <c r="AC1089" i="15"/>
  <c r="R1089" i="15"/>
  <c r="X1092" i="15"/>
  <c r="W1092" i="15"/>
  <c r="AC1099" i="15"/>
  <c r="R1099" i="15"/>
  <c r="AC1103" i="15"/>
  <c r="W1106" i="15"/>
  <c r="X1106" i="15"/>
  <c r="AC1107" i="15"/>
  <c r="R1107" i="15"/>
  <c r="X1112" i="15"/>
  <c r="W1112" i="15"/>
  <c r="AC1114" i="15"/>
  <c r="R1114" i="15"/>
  <c r="W1117" i="15"/>
  <c r="X1117" i="15"/>
  <c r="W1119" i="15"/>
  <c r="X1119" i="15"/>
  <c r="X1120" i="15"/>
  <c r="W1120" i="15"/>
  <c r="X1121" i="15"/>
  <c r="W1121" i="15"/>
  <c r="AC1122" i="15"/>
  <c r="R1122" i="15"/>
  <c r="X1125" i="15"/>
  <c r="W1125" i="15"/>
  <c r="R1128" i="15"/>
  <c r="X1131" i="15"/>
  <c r="W1131" i="15"/>
  <c r="AC1132" i="15"/>
  <c r="R1132" i="15"/>
  <c r="AC1135" i="15"/>
  <c r="R1135" i="15"/>
  <c r="W1139" i="15"/>
  <c r="X1139" i="15"/>
  <c r="R1140" i="15"/>
  <c r="AC1140" i="15"/>
  <c r="AC1141" i="15"/>
  <c r="R1141" i="15"/>
  <c r="X1144" i="15"/>
  <c r="W1144" i="15"/>
  <c r="AC1145" i="15"/>
  <c r="R1145" i="15"/>
  <c r="AC1149" i="15"/>
  <c r="R1149" i="15"/>
  <c r="X1152" i="15"/>
  <c r="W1152" i="15"/>
  <c r="W1156" i="15"/>
  <c r="X1156" i="15"/>
  <c r="AC1161" i="15"/>
  <c r="R1161" i="15"/>
  <c r="AC1169" i="15"/>
  <c r="R1169" i="15"/>
  <c r="W1172" i="15"/>
  <c r="X1172" i="15"/>
  <c r="AD1173" i="15"/>
  <c r="R1173" i="15"/>
  <c r="W1177" i="15"/>
  <c r="X1177" i="15"/>
  <c r="W1183" i="15"/>
  <c r="X1183" i="15"/>
  <c r="X1184" i="15"/>
  <c r="W1184" i="15"/>
  <c r="AC1185" i="15"/>
  <c r="R1185" i="15"/>
  <c r="AC1191" i="15"/>
  <c r="R1191" i="15"/>
  <c r="X1196" i="15"/>
  <c r="W1196" i="15"/>
  <c r="AC1197" i="15"/>
  <c r="R1197" i="15"/>
  <c r="AC1201" i="15"/>
  <c r="R1201" i="15"/>
  <c r="AC1208" i="15"/>
  <c r="R1208" i="15"/>
  <c r="X1211" i="15"/>
  <c r="W1211" i="15"/>
  <c r="X1216" i="15"/>
  <c r="W1216" i="15"/>
  <c r="R1234" i="15"/>
  <c r="R1238" i="15"/>
  <c r="R1250" i="15"/>
  <c r="R1254" i="15"/>
  <c r="W1266" i="15"/>
  <c r="X1266" i="15"/>
  <c r="AC1271" i="15"/>
  <c r="R1271" i="15"/>
  <c r="AC1283" i="15"/>
  <c r="R1283" i="15"/>
  <c r="W1294" i="15"/>
  <c r="X1294" i="15"/>
  <c r="AC1299" i="15"/>
  <c r="R1299" i="15"/>
  <c r="R1308" i="15"/>
  <c r="W1311" i="15"/>
  <c r="X1311" i="15"/>
  <c r="X1315" i="15"/>
  <c r="W1315" i="15"/>
  <c r="W1316" i="15"/>
  <c r="X1316" i="15"/>
  <c r="X1326" i="15"/>
  <c r="W1326" i="15"/>
  <c r="AC1327" i="15"/>
  <c r="R1327" i="15"/>
  <c r="X1335" i="15"/>
  <c r="W1335" i="15"/>
  <c r="AC1338" i="15"/>
  <c r="R1338" i="15"/>
  <c r="X1359" i="15"/>
  <c r="W1359" i="15"/>
  <c r="AC1374" i="15"/>
  <c r="R1374" i="15"/>
  <c r="AC1391" i="15"/>
  <c r="R1391" i="15"/>
  <c r="R1400" i="15"/>
  <c r="AC1726" i="15"/>
  <c r="Y951" i="15"/>
  <c r="R2030" i="15"/>
  <c r="R1959" i="15"/>
  <c r="R1760" i="15"/>
  <c r="W1681" i="15"/>
  <c r="W1668" i="15"/>
  <c r="AC1939" i="15"/>
  <c r="Y1079" i="15"/>
  <c r="Y994" i="15"/>
  <c r="W1736" i="15"/>
  <c r="R1812" i="15"/>
  <c r="R1543" i="15"/>
  <c r="W1740" i="15"/>
  <c r="X1677" i="15"/>
  <c r="R1420" i="15"/>
  <c r="R1428" i="15"/>
  <c r="AC1438" i="15"/>
  <c r="R1438" i="15"/>
  <c r="AD1447" i="15"/>
  <c r="R1447" i="15"/>
  <c r="X1459" i="15"/>
  <c r="W1459" i="15"/>
  <c r="AC1461" i="15"/>
  <c r="R1461" i="15"/>
  <c r="X1475" i="15"/>
  <c r="W1475" i="15"/>
  <c r="X1480" i="15"/>
  <c r="W1480" i="15"/>
  <c r="AC1481" i="15"/>
  <c r="R1481" i="15"/>
  <c r="R1484" i="15"/>
  <c r="W1495" i="15"/>
  <c r="X1495" i="15"/>
  <c r="X1497" i="15"/>
  <c r="W1497" i="15"/>
  <c r="X1517" i="15"/>
  <c r="W1517" i="15"/>
  <c r="R1518" i="15"/>
  <c r="W1521" i="15"/>
  <c r="X1521" i="15"/>
  <c r="AC1535" i="15"/>
  <c r="R1535" i="15"/>
  <c r="X1538" i="15"/>
  <c r="W1538" i="15"/>
  <c r="X1551" i="15"/>
  <c r="W1551" i="15"/>
  <c r="R1554" i="15"/>
  <c r="R1558" i="15"/>
  <c r="X1564" i="15"/>
  <c r="W1564" i="15"/>
  <c r="R1574" i="15"/>
  <c r="X1581" i="15"/>
  <c r="W1581" i="15"/>
  <c r="W1594" i="15"/>
  <c r="X1594" i="15"/>
  <c r="R1599" i="15"/>
  <c r="W1614" i="15"/>
  <c r="X1614" i="15"/>
  <c r="AC1624" i="15"/>
  <c r="R1624" i="15"/>
  <c r="R1634" i="15"/>
  <c r="AC1647" i="15"/>
  <c r="R1647" i="15"/>
  <c r="AC1648" i="15"/>
  <c r="R1648" i="15"/>
  <c r="X1651" i="15"/>
  <c r="W1651" i="15"/>
  <c r="AC1656" i="15"/>
  <c r="R1656" i="15"/>
  <c r="AC1664" i="15"/>
  <c r="R1664" i="15"/>
  <c r="R1670" i="15"/>
  <c r="AC1684" i="15"/>
  <c r="R1684" i="15"/>
  <c r="R1694" i="15"/>
  <c r="AC1702" i="15"/>
  <c r="R1702" i="15"/>
  <c r="X1705" i="15"/>
  <c r="W1705" i="15"/>
  <c r="W1720" i="15"/>
  <c r="X1720" i="15"/>
  <c r="X1732" i="15"/>
  <c r="W1732" i="15"/>
  <c r="R1737" i="15"/>
  <c r="AC1737" i="15"/>
  <c r="R1744" i="15"/>
  <c r="AC1744" i="15"/>
  <c r="R1749" i="15"/>
  <c r="X1759" i="15"/>
  <c r="W1759" i="15"/>
  <c r="R1767" i="15"/>
  <c r="X1785" i="15"/>
  <c r="W1785" i="15"/>
  <c r="R1786" i="15"/>
  <c r="X1789" i="15"/>
  <c r="W1789" i="15"/>
  <c r="R1795" i="15"/>
  <c r="R1804" i="15"/>
  <c r="AC1804" i="15"/>
  <c r="R1815" i="15"/>
  <c r="R1822" i="15"/>
  <c r="AC1827" i="15"/>
  <c r="R1827" i="15"/>
  <c r="X1839" i="15"/>
  <c r="W1839" i="15"/>
  <c r="X1847" i="15"/>
  <c r="W1847" i="15"/>
  <c r="X1851" i="15"/>
  <c r="W1851" i="15"/>
  <c r="AC1854" i="15"/>
  <c r="R1854" i="15"/>
  <c r="X1858" i="15"/>
  <c r="W1858" i="15"/>
  <c r="R1866" i="15"/>
  <c r="AC1871" i="15"/>
  <c r="R1871" i="15"/>
  <c r="X1883" i="15"/>
  <c r="W1883" i="15"/>
  <c r="R1884" i="15"/>
  <c r="X1919" i="15"/>
  <c r="W1919" i="15"/>
  <c r="R1920" i="15"/>
  <c r="X1926" i="15"/>
  <c r="W1926" i="15"/>
  <c r="R1927" i="15"/>
  <c r="AC1947" i="15"/>
  <c r="R1947" i="15"/>
  <c r="X1964" i="15"/>
  <c r="W1964" i="15"/>
  <c r="W1980" i="15"/>
  <c r="X1980" i="15"/>
  <c r="X1985" i="15"/>
  <c r="W1985" i="15"/>
  <c r="AC1991" i="15"/>
  <c r="R1991" i="15"/>
  <c r="R1995" i="15"/>
  <c r="AC2003" i="15"/>
  <c r="R2003" i="15"/>
  <c r="AC2010" i="15"/>
  <c r="R2010" i="15"/>
  <c r="AD2017" i="15"/>
  <c r="R2017" i="15"/>
  <c r="R2018" i="15"/>
  <c r="AC2023" i="15"/>
  <c r="R2023" i="15"/>
  <c r="R2027" i="15"/>
  <c r="R2034" i="15"/>
  <c r="W2041" i="15"/>
  <c r="X2041" i="15"/>
  <c r="R2047" i="15"/>
  <c r="X2051" i="15"/>
  <c r="W2051" i="15"/>
  <c r="AC2052" i="15"/>
  <c r="R2052" i="15"/>
  <c r="AC2053" i="15"/>
  <c r="R2053" i="15"/>
  <c r="AD2062" i="15"/>
  <c r="R2062" i="15"/>
  <c r="AD2078" i="15"/>
  <c r="R2078" i="15"/>
  <c r="X2084" i="15"/>
  <c r="W2084" i="15"/>
  <c r="AC2085" i="15"/>
  <c r="R2085" i="15"/>
  <c r="R2094" i="15"/>
  <c r="AC2095" i="15"/>
  <c r="R2095" i="15"/>
  <c r="AC2096" i="15"/>
  <c r="R2096" i="15"/>
  <c r="AD2099" i="15"/>
  <c r="AD2101" i="15"/>
  <c r="R2101" i="15"/>
  <c r="X2103" i="15"/>
  <c r="W2103" i="15"/>
  <c r="AD2109" i="15"/>
  <c r="R2109" i="15"/>
  <c r="AC2112" i="15"/>
  <c r="R2112" i="15"/>
  <c r="AC2117" i="15"/>
  <c r="R2117" i="15"/>
  <c r="AC2124" i="15"/>
  <c r="R2124" i="15"/>
  <c r="AD2135" i="15"/>
  <c r="R2135" i="15"/>
  <c r="X2141" i="15"/>
  <c r="W2141" i="15"/>
  <c r="R2173" i="15"/>
  <c r="X2187" i="15"/>
  <c r="W2187" i="15"/>
  <c r="R2194" i="15"/>
  <c r="X2197" i="15"/>
  <c r="W2197" i="15"/>
  <c r="AC2207" i="15"/>
  <c r="R2207" i="15"/>
  <c r="R2214" i="15"/>
  <c r="AC2214" i="15"/>
  <c r="R2218" i="15"/>
  <c r="AC2219" i="15"/>
  <c r="R2219" i="15"/>
  <c r="AC2248" i="15"/>
  <c r="R2248" i="15"/>
  <c r="AC2249" i="15"/>
  <c r="R2249" i="15"/>
  <c r="X2250" i="15"/>
  <c r="W2250" i="15"/>
  <c r="AC2253" i="15"/>
  <c r="R2253" i="15"/>
  <c r="AC2261" i="15"/>
  <c r="R2261" i="15"/>
  <c r="X2264" i="15"/>
  <c r="W2264" i="15"/>
  <c r="AD2270" i="15"/>
  <c r="Y1229" i="15"/>
  <c r="Y1798" i="15"/>
  <c r="Y1335" i="15"/>
  <c r="Y977" i="15"/>
  <c r="Y1139" i="15"/>
  <c r="Y2033" i="15"/>
  <c r="Y1373" i="15"/>
  <c r="Y1508" i="15"/>
  <c r="Y1204" i="15"/>
  <c r="Y1178" i="15"/>
  <c r="Y2233" i="15"/>
  <c r="Y1366" i="15"/>
  <c r="Y1521" i="15"/>
  <c r="Y1951" i="15"/>
  <c r="Y716" i="15"/>
  <c r="Y1117" i="15"/>
  <c r="S14" i="15"/>
  <c r="AD14" i="15"/>
  <c r="AC16" i="15"/>
  <c r="R16" i="15"/>
  <c r="W16" i="15" s="1"/>
  <c r="S46" i="15"/>
  <c r="X46" i="15" s="1"/>
  <c r="AD46" i="15"/>
  <c r="AC59" i="15"/>
  <c r="R59" i="15"/>
  <c r="W59" i="15" s="1"/>
  <c r="S69" i="15"/>
  <c r="AD69" i="15"/>
  <c r="S112" i="15"/>
  <c r="X112" i="15" s="1"/>
  <c r="AD112" i="15"/>
  <c r="V112" i="15" s="1"/>
  <c r="T112" i="15" s="1"/>
  <c r="Y112" i="15" s="1"/>
  <c r="Q116" i="15"/>
  <c r="R116" i="15"/>
  <c r="S116" i="15"/>
  <c r="AD116" i="15"/>
  <c r="V116" i="15" s="1"/>
  <c r="S160" i="15"/>
  <c r="AD160" i="15"/>
  <c r="V160" i="15" s="1"/>
  <c r="Q331" i="15"/>
  <c r="Y1459" i="15"/>
  <c r="Y1084" i="15"/>
  <c r="Y1475" i="15"/>
  <c r="Y1030" i="15"/>
  <c r="Y1164" i="15"/>
  <c r="Y1293" i="15"/>
  <c r="Y1464" i="15"/>
  <c r="Y1495" i="15"/>
  <c r="Y2180" i="15"/>
  <c r="Y2213" i="15"/>
  <c r="Y1821" i="15"/>
  <c r="Y872" i="15"/>
  <c r="Y1020" i="15"/>
  <c r="AD355" i="15"/>
  <c r="V355" i="15" s="1"/>
  <c r="AD1018" i="15"/>
  <c r="AD1028" i="15"/>
  <c r="AD2108" i="15"/>
  <c r="AD2247" i="15"/>
  <c r="R323" i="15"/>
  <c r="W323" i="15" s="1"/>
  <c r="R322" i="15"/>
  <c r="W322" i="15" s="1"/>
  <c r="X343" i="15"/>
  <c r="R2" i="15"/>
  <c r="W2" i="15" s="1"/>
  <c r="R65" i="15"/>
  <c r="AD288" i="15"/>
  <c r="V288" i="15" s="1"/>
  <c r="R295" i="15"/>
  <c r="X293" i="15"/>
  <c r="AD333" i="15"/>
  <c r="Q339" i="15"/>
  <c r="X339" i="15" s="1"/>
  <c r="AD577" i="15"/>
  <c r="R584" i="15"/>
  <c r="AD590" i="15"/>
  <c r="AD597" i="15"/>
  <c r="V597" i="15" s="1"/>
  <c r="R605" i="15"/>
  <c r="AD610" i="15"/>
  <c r="V610" i="15" s="1"/>
  <c r="AD614" i="15"/>
  <c r="V614" i="15" s="1"/>
  <c r="AD618" i="15"/>
  <c r="V618" i="15" s="1"/>
  <c r="W2013" i="15"/>
  <c r="X883" i="15"/>
  <c r="AD360" i="15"/>
  <c r="V360" i="15" s="1"/>
  <c r="AD369" i="15"/>
  <c r="V369" i="15" s="1"/>
  <c r="AD404" i="15"/>
  <c r="AD419" i="15"/>
  <c r="AD490" i="15"/>
  <c r="V490" i="15" s="1"/>
  <c r="R699" i="15"/>
  <c r="AD316" i="15"/>
  <c r="V316" i="15" s="1"/>
  <c r="R314" i="15"/>
  <c r="W314" i="15" s="1"/>
  <c r="R312" i="15"/>
  <c r="W312" i="15" s="1"/>
  <c r="AD340" i="15"/>
  <c r="AD304" i="15"/>
  <c r="V304" i="15" s="1"/>
  <c r="R471" i="15"/>
  <c r="R328" i="15"/>
  <c r="Q328" i="15"/>
  <c r="X328" i="15" s="1"/>
  <c r="W1340" i="15"/>
  <c r="R463" i="15"/>
  <c r="W463" i="15" s="1"/>
  <c r="R625" i="15"/>
  <c r="Q289" i="15"/>
  <c r="X289" i="15" s="1"/>
  <c r="R289" i="15"/>
  <c r="R441" i="15"/>
  <c r="W441" i="15" s="1"/>
  <c r="AC521" i="15"/>
  <c r="R521" i="15"/>
  <c r="W521" i="15" s="1"/>
  <c r="AC748" i="15"/>
  <c r="R1058" i="15"/>
  <c r="R1151" i="15"/>
  <c r="AC1181" i="15"/>
  <c r="R1676" i="15"/>
  <c r="AC1680" i="15"/>
  <c r="R1680" i="15"/>
  <c r="R1728" i="15"/>
  <c r="R1890" i="15"/>
  <c r="AC1957" i="15"/>
  <c r="R1957" i="15"/>
  <c r="AC2225" i="15"/>
  <c r="R2225" i="15"/>
  <c r="S19" i="15"/>
  <c r="X19" i="15" s="1"/>
  <c r="AD19" i="15"/>
  <c r="V19" i="15" s="1"/>
  <c r="AC86" i="15"/>
  <c r="R86" i="15"/>
  <c r="W86" i="15" s="1"/>
  <c r="AC121" i="15"/>
  <c r="R121" i="15"/>
  <c r="W121" i="15" s="1"/>
  <c r="AC131" i="15"/>
  <c r="R131" i="15"/>
  <c r="W131" i="15" s="1"/>
  <c r="AC168" i="15"/>
  <c r="U168" i="15" s="1"/>
  <c r="R168" i="15"/>
  <c r="W168" i="15" s="1"/>
  <c r="R287" i="15"/>
  <c r="AD578" i="15"/>
  <c r="V578" i="15" s="1"/>
  <c r="AD599" i="15"/>
  <c r="V599" i="15" s="1"/>
  <c r="AD608" i="15"/>
  <c r="V608" i="15" s="1"/>
  <c r="T608" i="15" s="1"/>
  <c r="AD611" i="15"/>
  <c r="V611" i="15" s="1"/>
  <c r="T611" i="15" s="1"/>
  <c r="AD667" i="15"/>
  <c r="V667" i="15" s="1"/>
  <c r="Y1898" i="15"/>
  <c r="Y768" i="15"/>
  <c r="Y991" i="15"/>
  <c r="Y2157" i="15"/>
  <c r="Y2249" i="15"/>
  <c r="R9" i="15"/>
  <c r="R10" i="15"/>
  <c r="AD17" i="15"/>
  <c r="AD50" i="15"/>
  <c r="R51" i="15"/>
  <c r="W51" i="15" s="1"/>
  <c r="R55" i="15"/>
  <c r="W55" i="15" s="1"/>
  <c r="R60" i="15"/>
  <c r="W60" i="15" s="1"/>
  <c r="R63" i="15"/>
  <c r="R72" i="15"/>
  <c r="R76" i="15"/>
  <c r="W76" i="15" s="1"/>
  <c r="R77" i="15"/>
  <c r="R104" i="15"/>
  <c r="W104" i="15" s="1"/>
  <c r="R176" i="15"/>
  <c r="W176" i="15" s="1"/>
  <c r="R194" i="15"/>
  <c r="R199" i="15"/>
  <c r="W199" i="15" s="1"/>
  <c r="AD209" i="15"/>
  <c r="R213" i="15"/>
  <c r="AD305" i="15"/>
  <c r="V305" i="15" s="1"/>
  <c r="R318" i="15"/>
  <c r="W318" i="15" s="1"/>
  <c r="AD1130" i="15"/>
  <c r="AD1163" i="15"/>
  <c r="AD1210" i="15"/>
  <c r="AD1219" i="15"/>
  <c r="AD1873" i="15"/>
  <c r="AD346" i="15"/>
  <c r="V346" i="15" s="1"/>
  <c r="AD349" i="15"/>
  <c r="V349" i="15" s="1"/>
  <c r="AD359" i="15"/>
  <c r="AD365" i="15"/>
  <c r="AD391" i="15"/>
  <c r="AD420" i="15"/>
  <c r="AD640" i="15"/>
  <c r="V640" i="15" s="1"/>
  <c r="AD646" i="15"/>
  <c r="V646" i="15" s="1"/>
  <c r="AD649" i="15"/>
  <c r="V649" i="15" s="1"/>
  <c r="R655" i="15"/>
  <c r="AD665" i="15"/>
  <c r="V665" i="15" s="1"/>
  <c r="R666" i="15"/>
  <c r="AD669" i="15"/>
  <c r="V669" i="15" s="1"/>
  <c r="AD672" i="15"/>
  <c r="AD686" i="15"/>
  <c r="R687" i="15"/>
  <c r="R695" i="15"/>
  <c r="AD697" i="15"/>
  <c r="AD709" i="15"/>
  <c r="AD713" i="15"/>
  <c r="AD716" i="15"/>
  <c r="AD717" i="15"/>
  <c r="R724" i="15"/>
  <c r="AD726" i="15"/>
  <c r="AD734" i="15"/>
  <c r="AD738" i="15"/>
  <c r="AD745" i="15"/>
  <c r="AD758" i="15"/>
  <c r="AD761" i="15"/>
  <c r="AD763" i="15"/>
  <c r="AD770" i="15"/>
  <c r="R770" i="15"/>
  <c r="AD771" i="15"/>
  <c r="R780" i="15"/>
  <c r="AD781" i="15"/>
  <c r="R786" i="15"/>
  <c r="AD788" i="15"/>
  <c r="R798" i="15"/>
  <c r="AD807" i="15"/>
  <c r="AD823" i="15"/>
  <c r="AD836" i="15"/>
  <c r="AD851" i="15"/>
  <c r="AD853" i="15"/>
  <c r="AD858" i="15"/>
  <c r="R872" i="15"/>
  <c r="AD873" i="15"/>
  <c r="AD877" i="15"/>
  <c r="AD895" i="15"/>
  <c r="AD909" i="15"/>
  <c r="AD917" i="15"/>
  <c r="AD930" i="15"/>
  <c r="AD959" i="15"/>
  <c r="AD983" i="15"/>
  <c r="AD985" i="15"/>
  <c r="AD1007" i="15"/>
  <c r="AD1014" i="15"/>
  <c r="AD1020" i="15"/>
  <c r="AD1030" i="15"/>
  <c r="AD1047" i="15"/>
  <c r="AD1050" i="15"/>
  <c r="R1059" i="15"/>
  <c r="AD1064" i="15"/>
  <c r="R1084" i="15"/>
  <c r="AD1088" i="15"/>
  <c r="AD1092" i="15"/>
  <c r="AD1114" i="15"/>
  <c r="R1117" i="15"/>
  <c r="AD1118" i="15"/>
  <c r="R1119" i="15"/>
  <c r="AD1128" i="15"/>
  <c r="AD1132" i="15"/>
  <c r="AD1134" i="15"/>
  <c r="AD1144" i="15"/>
  <c r="AD1152" i="15"/>
  <c r="AD1156" i="15"/>
  <c r="AD1160" i="15"/>
  <c r="AD1164" i="15"/>
  <c r="AD1168" i="15"/>
  <c r="R1177" i="15"/>
  <c r="AD1179" i="15"/>
  <c r="AD1207" i="15"/>
  <c r="AD1279" i="15"/>
  <c r="AD1289" i="15"/>
  <c r="AD1295" i="15"/>
  <c r="AD1297" i="15"/>
  <c r="AD1321" i="15"/>
  <c r="AD1332" i="15"/>
  <c r="AD1340" i="15"/>
  <c r="AD1348" i="15"/>
  <c r="AD1380" i="15"/>
  <c r="AD1397" i="15"/>
  <c r="AD1400" i="15"/>
  <c r="AD1408" i="15"/>
  <c r="AD1428" i="15"/>
  <c r="AD1436" i="15"/>
  <c r="AD1452" i="15"/>
  <c r="AD1475" i="15"/>
  <c r="R1495" i="15"/>
  <c r="R1496" i="15"/>
  <c r="AD1531" i="15"/>
  <c r="AD1544" i="15"/>
  <c r="AD1595" i="15"/>
  <c r="AD1604" i="15"/>
  <c r="AD1620" i="15"/>
  <c r="AD1628" i="15"/>
  <c r="AD1664" i="15"/>
  <c r="R1681" i="15"/>
  <c r="AD1697" i="15"/>
  <c r="AD1711" i="15"/>
  <c r="AD1740" i="15"/>
  <c r="AD1741" i="15"/>
  <c r="AD1751" i="15"/>
  <c r="AD1759" i="15"/>
  <c r="AD1763" i="15"/>
  <c r="AD1770" i="15"/>
  <c r="AD1771" i="15"/>
  <c r="AD1775" i="15"/>
  <c r="AD1779" i="15"/>
  <c r="AD1789" i="15"/>
  <c r="AD1793" i="15"/>
  <c r="AD1795" i="15"/>
  <c r="AD1800" i="15"/>
  <c r="AD1803" i="15"/>
  <c r="AD1804" i="15"/>
  <c r="AD1811" i="15"/>
  <c r="AD1812" i="15"/>
  <c r="AD1815" i="15"/>
  <c r="AD1817" i="15"/>
  <c r="AD1818" i="15"/>
  <c r="AD1821" i="15"/>
  <c r="AD1825" i="15"/>
  <c r="AD1827" i="15"/>
  <c r="AD1830" i="15"/>
  <c r="AD1840" i="15"/>
  <c r="AD1843" i="15"/>
  <c r="AD1866" i="15"/>
  <c r="AD1897" i="15"/>
  <c r="AD1913" i="15"/>
  <c r="AD1914" i="15"/>
  <c r="AD1929" i="15"/>
  <c r="AD1942" i="15"/>
  <c r="AD1959" i="15"/>
  <c r="AD1980" i="15"/>
  <c r="AD1981" i="15"/>
  <c r="R2041" i="15"/>
  <c r="AD2084" i="15"/>
  <c r="R2087" i="15"/>
  <c r="AD2096" i="15"/>
  <c r="AD2100" i="15"/>
  <c r="AD2139" i="15"/>
  <c r="R2144" i="15"/>
  <c r="AD2160" i="15"/>
  <c r="AD2173" i="15"/>
  <c r="R2176" i="15"/>
  <c r="AD2180" i="15"/>
  <c r="AD2192" i="15"/>
  <c r="R2233" i="15"/>
  <c r="AD2241" i="15"/>
  <c r="R2245" i="15"/>
  <c r="AD343" i="15"/>
  <c r="AD321" i="15"/>
  <c r="V321" i="15" s="1"/>
  <c r="AD329" i="15"/>
  <c r="AD345" i="15"/>
  <c r="V345" i="15" s="1"/>
  <c r="X332" i="15"/>
  <c r="X340" i="15"/>
  <c r="X324" i="15"/>
  <c r="X345" i="15"/>
  <c r="X344" i="15"/>
  <c r="AD314" i="15"/>
  <c r="V314" i="15" s="1"/>
  <c r="AD328" i="15"/>
  <c r="V328" i="15" s="1"/>
  <c r="AD332" i="15"/>
  <c r="V332" i="15" s="1"/>
  <c r="T332" i="15" s="1"/>
  <c r="Y332" i="15" s="1"/>
  <c r="AD310" i="15"/>
  <c r="V310" i="15" s="1"/>
  <c r="R340" i="15"/>
  <c r="W340" i="15" s="1"/>
  <c r="W1297" i="15"/>
  <c r="W1348" i="15"/>
  <c r="W1421" i="15"/>
  <c r="W1866" i="15"/>
  <c r="R708" i="15"/>
  <c r="R696" i="15"/>
  <c r="W814" i="15"/>
  <c r="Y855" i="15"/>
  <c r="Y733" i="15"/>
  <c r="AD655" i="15"/>
  <c r="V655" i="15" s="1"/>
  <c r="Y769" i="15"/>
  <c r="AD125" i="15"/>
  <c r="V125" i="15" s="1"/>
  <c r="T125" i="15" s="1"/>
  <c r="C42" i="22" s="1"/>
  <c r="D42" i="22" s="1"/>
  <c r="R321" i="15"/>
  <c r="AD77" i="15"/>
  <c r="V77" i="15" s="1"/>
  <c r="R166" i="15"/>
  <c r="Q9" i="15"/>
  <c r="X9" i="15" s="1"/>
  <c r="AD135" i="15"/>
  <c r="X783" i="15"/>
  <c r="R159" i="15"/>
  <c r="W159" i="15" s="1"/>
  <c r="AD208" i="15"/>
  <c r="W1143" i="15"/>
  <c r="X1111" i="15"/>
  <c r="R1144" i="15"/>
  <c r="R902" i="15"/>
  <c r="R832" i="15"/>
  <c r="R686" i="15"/>
  <c r="R1079" i="15"/>
  <c r="Y1074" i="15"/>
  <c r="Q77" i="15"/>
  <c r="X77" i="15" s="1"/>
  <c r="R164" i="15"/>
  <c r="W164" i="15" s="1"/>
  <c r="X1556" i="15"/>
  <c r="Y1244" i="15"/>
  <c r="R1113" i="15"/>
  <c r="W1576" i="15"/>
  <c r="W1103" i="15"/>
  <c r="R1127" i="15"/>
  <c r="Y840" i="15"/>
  <c r="Q63" i="15"/>
  <c r="R1307" i="15"/>
  <c r="AD246" i="15"/>
  <c r="V246" i="15" s="1"/>
  <c r="X135" i="15"/>
  <c r="AD24" i="15"/>
  <c r="V24" i="15" s="1"/>
  <c r="AD134" i="15"/>
  <c r="V134" i="15" s="1"/>
  <c r="R1075" i="15"/>
  <c r="W1728" i="15"/>
  <c r="X1109" i="15"/>
  <c r="X1788" i="15"/>
  <c r="R40" i="15"/>
  <c r="R96" i="15"/>
  <c r="R48" i="15"/>
  <c r="AD48" i="15"/>
  <c r="S51" i="15"/>
  <c r="X51" i="15" s="1"/>
  <c r="AD51" i="15"/>
  <c r="V51" i="15" s="1"/>
  <c r="R62" i="15"/>
  <c r="AD62" i="15"/>
  <c r="AC92" i="15"/>
  <c r="R92" i="15"/>
  <c r="W92" i="15" s="1"/>
  <c r="AC105" i="15"/>
  <c r="R105" i="15"/>
  <c r="W105" i="15" s="1"/>
  <c r="AC143" i="15"/>
  <c r="R143" i="15"/>
  <c r="W143" i="15" s="1"/>
  <c r="AC167" i="15"/>
  <c r="R167" i="15"/>
  <c r="AC186" i="15"/>
  <c r="R186" i="15"/>
  <c r="R309" i="15"/>
  <c r="AC638" i="15"/>
  <c r="U638" i="15" s="1"/>
  <c r="R638" i="15"/>
  <c r="AC639" i="15"/>
  <c r="U639" i="15" s="1"/>
  <c r="R639" i="15"/>
  <c r="W728" i="15"/>
  <c r="X728" i="15"/>
  <c r="AC735" i="15"/>
  <c r="R735" i="15"/>
  <c r="AC796" i="15"/>
  <c r="R796" i="15"/>
  <c r="AC815" i="15"/>
  <c r="R815" i="15"/>
  <c r="AC819" i="15"/>
  <c r="R819" i="15"/>
  <c r="AC890" i="15"/>
  <c r="R890" i="15"/>
  <c r="R1064" i="15"/>
  <c r="X1073" i="15"/>
  <c r="W1073" i="15"/>
  <c r="W1083" i="15"/>
  <c r="X1083" i="15"/>
  <c r="AC1097" i="15"/>
  <c r="R1097" i="15"/>
  <c r="AC1121" i="15"/>
  <c r="R1121" i="15"/>
  <c r="AC1131" i="15"/>
  <c r="R1131" i="15"/>
  <c r="R1148" i="15"/>
  <c r="AC1165" i="15"/>
  <c r="R1165" i="15"/>
  <c r="R1172" i="15"/>
  <c r="X1252" i="15"/>
  <c r="W1252" i="15"/>
  <c r="R1344" i="15"/>
  <c r="AC1489" i="15"/>
  <c r="R1489" i="15"/>
  <c r="R1547" i="15"/>
  <c r="R1668" i="15"/>
  <c r="AC1677" i="15"/>
  <c r="R1677" i="15"/>
  <c r="AC1712" i="15"/>
  <c r="R1712" i="15"/>
  <c r="X1718" i="15"/>
  <c r="W1718" i="15"/>
  <c r="R1720" i="15"/>
  <c r="R1869" i="15"/>
  <c r="AC248" i="15"/>
  <c r="R248" i="15"/>
  <c r="W248" i="15" s="1"/>
  <c r="Y699" i="15"/>
  <c r="Y752" i="15"/>
  <c r="Y2150" i="15"/>
  <c r="Y802" i="15"/>
  <c r="Y2190" i="15"/>
  <c r="Y2106" i="15"/>
  <c r="X2207" i="15"/>
  <c r="R2252" i="15"/>
  <c r="R2139" i="15"/>
  <c r="AC2256" i="15"/>
  <c r="R2256" i="15"/>
  <c r="AC47" i="15"/>
  <c r="R47" i="15"/>
  <c r="W47" i="15" s="1"/>
  <c r="R101" i="15"/>
  <c r="R112" i="15"/>
  <c r="W112" i="15" s="1"/>
  <c r="AC140" i="15"/>
  <c r="U140" i="15" s="1"/>
  <c r="R140" i="15"/>
  <c r="W140" i="15" s="1"/>
  <c r="Y1687" i="15"/>
  <c r="Y1894" i="15"/>
  <c r="Y1576" i="15"/>
  <c r="Y2057" i="15"/>
  <c r="R144" i="15"/>
  <c r="W144" i="15" s="1"/>
  <c r="R3" i="15"/>
  <c r="W3" i="15" s="1"/>
  <c r="R33" i="15"/>
  <c r="W33" i="15" s="1"/>
  <c r="R83" i="15"/>
  <c r="W83" i="15" s="1"/>
  <c r="AC141" i="15"/>
  <c r="R141" i="15"/>
  <c r="AC148" i="15"/>
  <c r="R148" i="15"/>
  <c r="AC172" i="15"/>
  <c r="R172" i="15"/>
  <c r="W172" i="15" s="1"/>
  <c r="R241" i="15"/>
  <c r="W241" i="15" s="1"/>
  <c r="AC89" i="15"/>
  <c r="U89" i="15" s="1"/>
  <c r="T89" i="15" s="1"/>
  <c r="Y89" i="15" s="1"/>
  <c r="R89" i="15"/>
  <c r="W89" i="15" s="1"/>
  <c r="R149" i="15"/>
  <c r="W149" i="15" s="1"/>
  <c r="AC187" i="15"/>
  <c r="R187" i="15"/>
  <c r="R577" i="15"/>
  <c r="AD579" i="15"/>
  <c r="V579" i="15" s="1"/>
  <c r="AD583" i="15"/>
  <c r="V583" i="15" s="1"/>
  <c r="AD585" i="15"/>
  <c r="AD594" i="15"/>
  <c r="V594" i="15" s="1"/>
  <c r="AD595" i="15"/>
  <c r="AD601" i="15"/>
  <c r="V601" i="15" s="1"/>
  <c r="AD602" i="15"/>
  <c r="V602" i="15" s="1"/>
  <c r="AD1142" i="15"/>
  <c r="AD1167" i="15"/>
  <c r="R1167" i="15"/>
  <c r="AD1175" i="15"/>
  <c r="AD1182" i="15"/>
  <c r="AD1183" i="15"/>
  <c r="AD1192" i="15"/>
  <c r="AD1198" i="15"/>
  <c r="AD1206" i="15"/>
  <c r="AD1223" i="15"/>
  <c r="R1223" i="15"/>
  <c r="AD1336" i="15"/>
  <c r="AD526" i="15"/>
  <c r="V526" i="15" s="1"/>
  <c r="AD674" i="15"/>
  <c r="AD1757" i="15"/>
  <c r="R2275" i="15"/>
  <c r="Y1024" i="15"/>
  <c r="Y1393" i="15"/>
  <c r="Y1584" i="15"/>
  <c r="AD87" i="15"/>
  <c r="R90" i="15"/>
  <c r="W90" i="15" s="1"/>
  <c r="R94" i="15"/>
  <c r="W94" i="15" s="1"/>
  <c r="R98" i="15"/>
  <c r="W98" i="15" s="1"/>
  <c r="R109" i="15"/>
  <c r="W109" i="15" s="1"/>
  <c r="R113" i="15"/>
  <c r="W113" i="15" s="1"/>
  <c r="R122" i="15"/>
  <c r="W122" i="15" s="1"/>
  <c r="R124" i="15"/>
  <c r="W124" i="15" s="1"/>
  <c r="R139" i="15"/>
  <c r="W139" i="15" s="1"/>
  <c r="R150" i="15"/>
  <c r="R156" i="15"/>
  <c r="W156" i="15" s="1"/>
  <c r="R212" i="15"/>
  <c r="R230" i="15"/>
  <c r="AD301" i="15"/>
  <c r="AD631" i="15"/>
  <c r="V631" i="15" s="1"/>
  <c r="AD632" i="15"/>
  <c r="AD636" i="15"/>
  <c r="V636" i="15" s="1"/>
  <c r="AD637" i="15"/>
  <c r="V637" i="15" s="1"/>
  <c r="AD638" i="15"/>
  <c r="AD639" i="15"/>
  <c r="AD644" i="15"/>
  <c r="V644" i="15" s="1"/>
  <c r="AD652" i="15"/>
  <c r="V652" i="15" s="1"/>
  <c r="AD653" i="15"/>
  <c r="V653" i="15" s="1"/>
  <c r="AD656" i="15"/>
  <c r="V656" i="15" s="1"/>
  <c r="AD660" i="15"/>
  <c r="AD663" i="15"/>
  <c r="V663" i="15" s="1"/>
  <c r="AD1344" i="15"/>
  <c r="AD1385" i="15"/>
  <c r="AD1421" i="15"/>
  <c r="AD1424" i="15"/>
  <c r="AD1482" i="15"/>
  <c r="AD302" i="15"/>
  <c r="V302" i="15" s="1"/>
  <c r="AC30" i="15"/>
  <c r="R30" i="15"/>
  <c r="W30" i="15" s="1"/>
  <c r="R586" i="15"/>
  <c r="R95" i="15"/>
  <c r="W95" i="15" s="1"/>
  <c r="AC13" i="15"/>
  <c r="U13" i="15" s="1"/>
  <c r="T13" i="15" s="1"/>
  <c r="R13" i="15"/>
  <c r="W13" i="15" s="1"/>
  <c r="AC200" i="15"/>
  <c r="R200" i="15"/>
  <c r="W200" i="15" s="1"/>
  <c r="R673" i="15"/>
  <c r="R614" i="15"/>
  <c r="AD605" i="15"/>
  <c r="V605" i="15" s="1"/>
  <c r="AD276" i="15"/>
  <c r="V276" i="15" s="1"/>
  <c r="R52" i="15"/>
  <c r="W52" i="15" s="1"/>
  <c r="R1192" i="15"/>
  <c r="X1127" i="15"/>
  <c r="Y806" i="15"/>
  <c r="X1135" i="15"/>
  <c r="AD584" i="15"/>
  <c r="R1198" i="15"/>
  <c r="AD41" i="15"/>
  <c r="V41" i="15" s="1"/>
  <c r="AD64" i="15"/>
  <c r="R277" i="15"/>
  <c r="Q72" i="15"/>
  <c r="AD49" i="15"/>
  <c r="R1202" i="15"/>
  <c r="Q62" i="15"/>
  <c r="T62" i="15" s="1"/>
  <c r="Y62" i="15" s="1"/>
  <c r="R594" i="15"/>
  <c r="Q50" i="15"/>
  <c r="X50" i="15" s="1"/>
  <c r="Y1127" i="15"/>
  <c r="X1140" i="15"/>
  <c r="R35" i="15"/>
  <c r="W35" i="15" s="1"/>
  <c r="AD266" i="15"/>
  <c r="Q48" i="15"/>
  <c r="AD65" i="15"/>
  <c r="AD81" i="15"/>
  <c r="V81" i="15" s="1"/>
  <c r="Y1128" i="15"/>
  <c r="X1145" i="15"/>
  <c r="AD72" i="15"/>
  <c r="V72" i="15" s="1"/>
  <c r="AC114" i="15"/>
  <c r="R114" i="15"/>
  <c r="AC152" i="15"/>
  <c r="R152" i="15"/>
  <c r="W152" i="15" s="1"/>
  <c r="AC216" i="15"/>
  <c r="U216" i="15" s="1"/>
  <c r="R216" i="15"/>
  <c r="W216" i="15" s="1"/>
  <c r="R157" i="15"/>
  <c r="W157" i="15" s="1"/>
  <c r="R237" i="15"/>
  <c r="W237" i="15" s="1"/>
  <c r="V287" i="15"/>
  <c r="AD307" i="15"/>
  <c r="V307" i="15" s="1"/>
  <c r="T307" i="15" s="1"/>
  <c r="Y307" i="15" s="1"/>
  <c r="AD1364" i="15"/>
  <c r="AD1381" i="15"/>
  <c r="AD1953" i="15"/>
  <c r="AD2080" i="15"/>
  <c r="R14" i="15"/>
  <c r="R198" i="15"/>
  <c r="R207" i="15"/>
  <c r="AD1881" i="15"/>
  <c r="AD298" i="15"/>
  <c r="V298" i="15" s="1"/>
  <c r="R296" i="15"/>
  <c r="S307" i="15"/>
  <c r="X307" i="15" s="1"/>
  <c r="AD308" i="15"/>
  <c r="S298" i="15"/>
  <c r="Q304" i="15"/>
  <c r="X304" i="15" s="1"/>
  <c r="W1453" i="15"/>
  <c r="Q101" i="15"/>
  <c r="AD76" i="15"/>
  <c r="W1829" i="15"/>
  <c r="Y1788" i="15"/>
  <c r="AC673" i="15"/>
  <c r="AD106" i="15"/>
  <c r="V106" i="15" s="1"/>
  <c r="Q17" i="15"/>
  <c r="X17" i="15" s="1"/>
  <c r="W1824" i="15"/>
  <c r="R585" i="15"/>
  <c r="W585" i="15" s="1"/>
  <c r="R590" i="15"/>
  <c r="AD33" i="15"/>
  <c r="AD9" i="15"/>
  <c r="AC2" i="15"/>
  <c r="R11" i="15"/>
  <c r="W11" i="15" s="1"/>
  <c r="R25" i="15"/>
  <c r="W25" i="15" s="1"/>
  <c r="AD115" i="15"/>
  <c r="V115" i="15" s="1"/>
  <c r="Q115" i="15"/>
  <c r="X115" i="15" s="1"/>
  <c r="Q153" i="15"/>
  <c r="R153" i="15"/>
  <c r="AC155" i="15"/>
  <c r="R155" i="15"/>
  <c r="W155" i="15" s="1"/>
  <c r="AD4" i="15"/>
  <c r="V4" i="15" s="1"/>
  <c r="S4" i="15"/>
  <c r="Q8" i="15"/>
  <c r="X8" i="15" s="1"/>
  <c r="R8" i="15"/>
  <c r="S10" i="15"/>
  <c r="AD10" i="15"/>
  <c r="V10" i="15" s="1"/>
  <c r="AC19" i="15"/>
  <c r="R19" i="15"/>
  <c r="W19" i="15" s="1"/>
  <c r="R24" i="15"/>
  <c r="Q24" i="15"/>
  <c r="X24" i="15" s="1"/>
  <c r="AD29" i="15"/>
  <c r="V29" i="15" s="1"/>
  <c r="Q29" i="15"/>
  <c r="X29" i="15" s="1"/>
  <c r="S32" i="15"/>
  <c r="X32" i="15" s="1"/>
  <c r="AD32" i="15"/>
  <c r="V32" i="15" s="1"/>
  <c r="AC34" i="15"/>
  <c r="R34" i="15"/>
  <c r="W34" i="15" s="1"/>
  <c r="R75" i="15"/>
  <c r="Q75" i="15"/>
  <c r="AC81" i="15"/>
  <c r="R81" i="15"/>
  <c r="W81" i="15" s="1"/>
  <c r="S101" i="15"/>
  <c r="AD101" i="15"/>
  <c r="V101" i="15" s="1"/>
  <c r="S102" i="15"/>
  <c r="AD102" i="15"/>
  <c r="S108" i="15"/>
  <c r="X108" i="15" s="1"/>
  <c r="AD108" i="15"/>
  <c r="V108" i="15" s="1"/>
  <c r="AD253" i="15"/>
  <c r="V253" i="15" s="1"/>
  <c r="S253" i="15"/>
  <c r="AC256" i="15"/>
  <c r="R256" i="15"/>
  <c r="W256" i="15" s="1"/>
  <c r="S258" i="15"/>
  <c r="AD258" i="15"/>
  <c r="V258" i="15" s="1"/>
  <c r="S274" i="15"/>
  <c r="X274" i="15" s="1"/>
  <c r="AD274" i="15"/>
  <c r="AC526" i="15"/>
  <c r="R526" i="15"/>
  <c r="R582" i="15"/>
  <c r="R596" i="15"/>
  <c r="AD596" i="15"/>
  <c r="AC597" i="15"/>
  <c r="R597" i="15"/>
  <c r="AC598" i="15"/>
  <c r="U598" i="15" s="1"/>
  <c r="T598" i="15" s="1"/>
  <c r="R598" i="15"/>
  <c r="R606" i="15"/>
  <c r="AD606" i="15"/>
  <c r="V606" i="15" s="1"/>
  <c r="R637" i="15"/>
  <c r="AC643" i="15"/>
  <c r="R643" i="15"/>
  <c r="AC654" i="15"/>
  <c r="R654" i="15"/>
  <c r="W654" i="15" s="1"/>
  <c r="AC669" i="15"/>
  <c r="R669" i="15"/>
  <c r="AC831" i="15"/>
  <c r="R831" i="15"/>
  <c r="X1784" i="15"/>
  <c r="W1784" i="15"/>
  <c r="X1797" i="15"/>
  <c r="W1797" i="15"/>
  <c r="S124" i="15"/>
  <c r="X124" i="15" s="1"/>
  <c r="AD124" i="15"/>
  <c r="V124" i="15" s="1"/>
  <c r="AC125" i="15"/>
  <c r="R125" i="15"/>
  <c r="W125" i="15" s="1"/>
  <c r="S132" i="15"/>
  <c r="AD132" i="15"/>
  <c r="V132" i="15" s="1"/>
  <c r="S133" i="15"/>
  <c r="X133" i="15" s="1"/>
  <c r="AD133" i="15"/>
  <c r="AC134" i="15"/>
  <c r="R134" i="15"/>
  <c r="AC136" i="15"/>
  <c r="U136" i="15" s="1"/>
  <c r="R136" i="15"/>
  <c r="S140" i="15"/>
  <c r="X140" i="15" s="1"/>
  <c r="AD140" i="15"/>
  <c r="S167" i="15"/>
  <c r="AD167" i="15"/>
  <c r="V167" i="15" s="1"/>
  <c r="AC209" i="15"/>
  <c r="U209" i="15" s="1"/>
  <c r="T209" i="15" s="1"/>
  <c r="Y209" i="15" s="1"/>
  <c r="R209" i="15"/>
  <c r="W209" i="15" s="1"/>
  <c r="S244" i="15"/>
  <c r="AD244" i="15"/>
  <c r="S249" i="15"/>
  <c r="X249" i="15" s="1"/>
  <c r="AD249" i="15"/>
  <c r="V249" i="15" s="1"/>
  <c r="AC272" i="15"/>
  <c r="U272" i="15" s="1"/>
  <c r="R272" i="15"/>
  <c r="R610" i="15"/>
  <c r="AC637" i="15"/>
  <c r="AD18" i="15"/>
  <c r="V18" i="15" s="1"/>
  <c r="Q10" i="15"/>
  <c r="R1817" i="15"/>
  <c r="X149" i="15"/>
  <c r="AD254" i="15"/>
  <c r="V254" i="15" s="1"/>
  <c r="T254" i="15" s="1"/>
  <c r="Y254" i="15" s="1"/>
  <c r="X1769" i="15"/>
  <c r="R146" i="15"/>
  <c r="W146" i="15" s="1"/>
  <c r="R115" i="15"/>
  <c r="AC115" i="15"/>
  <c r="AD161" i="15"/>
  <c r="V161" i="15" s="1"/>
  <c r="Q161" i="15"/>
  <c r="X161" i="15" s="1"/>
  <c r="AC32" i="15"/>
  <c r="R32" i="15"/>
  <c r="W32" i="15" s="1"/>
  <c r="R37" i="15"/>
  <c r="W37" i="15" s="1"/>
  <c r="AC106" i="15"/>
  <c r="R106" i="15"/>
  <c r="W106" i="15" s="1"/>
  <c r="AC132" i="15"/>
  <c r="R132" i="15"/>
  <c r="AC133" i="15"/>
  <c r="U133" i="15" s="1"/>
  <c r="R133" i="15"/>
  <c r="W133" i="15" s="1"/>
  <c r="AC215" i="15"/>
  <c r="U215" i="15" s="1"/>
  <c r="R215" i="15"/>
  <c r="Q286" i="15"/>
  <c r="V286" i="15"/>
  <c r="AC175" i="15"/>
  <c r="R175" i="15"/>
  <c r="AC180" i="15"/>
  <c r="R180" i="15"/>
  <c r="AD290" i="15"/>
  <c r="Y1829" i="15"/>
  <c r="R82" i="15"/>
  <c r="W82" i="15" s="1"/>
  <c r="R43" i="15"/>
  <c r="R546" i="15"/>
  <c r="W546" i="15" s="1"/>
  <c r="AC68" i="15"/>
  <c r="U68" i="15" s="1"/>
  <c r="R68" i="15"/>
  <c r="AC87" i="15"/>
  <c r="U87" i="15" s="1"/>
  <c r="R87" i="15"/>
  <c r="W87" i="15" s="1"/>
  <c r="Y1551" i="15"/>
  <c r="Y2136" i="15"/>
  <c r="Y2168" i="15"/>
  <c r="R74" i="15"/>
  <c r="W74" i="15" s="1"/>
  <c r="R103" i="15"/>
  <c r="R273" i="15"/>
  <c r="R294" i="15"/>
  <c r="AD293" i="15"/>
  <c r="V293" i="15" s="1"/>
  <c r="R293" i="15"/>
  <c r="W293" i="15" s="1"/>
  <c r="AD292" i="15"/>
  <c r="V292" i="15" s="1"/>
  <c r="S78" i="14"/>
  <c r="J78" i="14"/>
  <c r="U23" i="14"/>
  <c r="K86" i="21"/>
  <c r="Q23" i="21"/>
  <c r="Q31" i="21"/>
  <c r="S55" i="21"/>
  <c r="L55" i="21"/>
  <c r="I55" i="21"/>
  <c r="L63" i="21"/>
  <c r="S63" i="21"/>
  <c r="N79" i="21"/>
  <c r="M111" i="21"/>
  <c r="J111" i="21"/>
  <c r="K119" i="21"/>
  <c r="I119" i="21"/>
  <c r="E119" i="21"/>
  <c r="S127" i="21"/>
  <c r="Q127" i="21"/>
  <c r="M135" i="21"/>
  <c r="J135" i="21"/>
  <c r="P135" i="21"/>
  <c r="P143" i="21"/>
  <c r="I143" i="21"/>
  <c r="J143" i="21"/>
  <c r="Q151" i="21"/>
  <c r="K151" i="21"/>
  <c r="E151" i="21"/>
  <c r="S159" i="21"/>
  <c r="I159" i="21"/>
  <c r="S119" i="21"/>
  <c r="Q119" i="21"/>
  <c r="M127" i="21"/>
  <c r="J127" i="21"/>
  <c r="P127" i="21"/>
  <c r="L135" i="21"/>
  <c r="R135" i="21"/>
  <c r="O135" i="21"/>
  <c r="O143" i="21"/>
  <c r="R143" i="21"/>
  <c r="E143" i="21"/>
  <c r="P151" i="21"/>
  <c r="M151" i="21"/>
  <c r="Q159" i="21"/>
  <c r="P159" i="21"/>
  <c r="O159" i="21"/>
  <c r="D5" i="14"/>
  <c r="L90" i="14"/>
  <c r="S81" i="21"/>
  <c r="J81" i="21"/>
  <c r="C81" i="21"/>
  <c r="R81" i="21"/>
  <c r="I81" i="21"/>
  <c r="N81" i="21"/>
  <c r="M81" i="21"/>
  <c r="K81" i="21"/>
  <c r="J93" i="14"/>
  <c r="U93" i="14"/>
  <c r="G155" i="14"/>
  <c r="L155" i="14"/>
  <c r="P155" i="14"/>
  <c r="S117" i="14"/>
  <c r="Q117" i="14"/>
  <c r="I117" i="14"/>
  <c r="M117" i="14"/>
  <c r="D117" i="14"/>
  <c r="E117" i="14"/>
  <c r="H117" i="14"/>
  <c r="R117" i="14"/>
  <c r="C155" i="14"/>
  <c r="AD291" i="15"/>
  <c r="V291" i="15" s="1"/>
  <c r="T291" i="15" s="1"/>
  <c r="R290" i="15"/>
  <c r="AD287" i="15"/>
  <c r="R286" i="15"/>
  <c r="R284" i="15"/>
  <c r="W284" i="15" s="1"/>
  <c r="AD284" i="15"/>
  <c r="V284" i="15" s="1"/>
  <c r="T284" i="15" s="1"/>
  <c r="Y284" i="15" s="1"/>
  <c r="X282" i="15"/>
  <c r="AD282" i="15"/>
  <c r="R282" i="15"/>
  <c r="W282" i="15" s="1"/>
  <c r="R279" i="15"/>
  <c r="AD279" i="15"/>
  <c r="R278" i="15"/>
  <c r="W278" i="15" s="1"/>
  <c r="W1881" i="15"/>
  <c r="R102" i="15"/>
  <c r="R61" i="15"/>
  <c r="R41" i="15"/>
  <c r="R73" i="15"/>
  <c r="R171" i="15"/>
  <c r="W171" i="15" s="1"/>
  <c r="R262" i="15"/>
  <c r="Q287" i="15"/>
  <c r="X287" i="15" s="1"/>
  <c r="AC120" i="15"/>
  <c r="U120" i="15" s="1"/>
  <c r="R120" i="15"/>
  <c r="Y1220" i="15"/>
  <c r="AC54" i="15"/>
  <c r="R54" i="15"/>
  <c r="W54" i="15" s="1"/>
  <c r="AC170" i="15"/>
  <c r="U170" i="15" s="1"/>
  <c r="T170" i="15" s="1"/>
  <c r="Y170" i="15" s="1"/>
  <c r="R170" i="15"/>
  <c r="W170" i="15" s="1"/>
  <c r="R135" i="15"/>
  <c r="W135" i="15" s="1"/>
  <c r="AD273" i="15"/>
  <c r="V273" i="15" s="1"/>
  <c r="R50" i="15"/>
  <c r="R80" i="15"/>
  <c r="W80" i="15" s="1"/>
  <c r="R38" i="15"/>
  <c r="W38" i="15" s="1"/>
  <c r="R45" i="15"/>
  <c r="W45" i="15" s="1"/>
  <c r="AD272" i="15"/>
  <c r="X284" i="15"/>
  <c r="AD289" i="15"/>
  <c r="V289" i="15" s="1"/>
  <c r="R288" i="15"/>
  <c r="R281" i="15"/>
  <c r="W281" i="15" s="1"/>
  <c r="Q290" i="15"/>
  <c r="X290" i="15" s="1"/>
  <c r="Q288" i="15"/>
  <c r="Q295" i="15"/>
  <c r="X275" i="15"/>
  <c r="AD275" i="15"/>
  <c r="T49" i="15"/>
  <c r="Y49" i="15" s="1"/>
  <c r="Q273" i="15"/>
  <c r="X273" i="15" s="1"/>
  <c r="Q272" i="15"/>
  <c r="X272" i="15" s="1"/>
  <c r="R22" i="15"/>
  <c r="W22" i="15" s="1"/>
  <c r="R70" i="15"/>
  <c r="W70" i="15" s="1"/>
  <c r="R193" i="15"/>
  <c r="Y1103" i="15"/>
  <c r="X49" i="15"/>
  <c r="AD8" i="15"/>
  <c r="AD149" i="15"/>
  <c r="V149" i="15" s="1"/>
  <c r="Y2133" i="15"/>
  <c r="R64" i="15"/>
  <c r="R27" i="15"/>
  <c r="R49" i="15"/>
  <c r="W49" i="15" s="1"/>
  <c r="R147" i="15"/>
  <c r="W147" i="15" s="1"/>
  <c r="R169" i="15"/>
  <c r="R66" i="15"/>
  <c r="R29" i="15"/>
  <c r="R6" i="15"/>
  <c r="W6" i="15" s="1"/>
  <c r="R17" i="15"/>
  <c r="R158" i="15"/>
  <c r="W158" i="15" s="1"/>
  <c r="Y2273" i="15"/>
  <c r="X270" i="15"/>
  <c r="R271" i="15"/>
  <c r="W271" i="15" s="1"/>
  <c r="T268" i="15"/>
  <c r="Y268" i="15" s="1"/>
  <c r="AD271" i="15"/>
  <c r="V271" i="15" s="1"/>
  <c r="T271" i="15" s="1"/>
  <c r="Y271" i="15" s="1"/>
  <c r="AD270" i="15"/>
  <c r="AD269" i="15"/>
  <c r="X269" i="15"/>
  <c r="R269" i="15"/>
  <c r="W269" i="15" s="1"/>
  <c r="T33" i="15"/>
  <c r="Y33" i="15" s="1"/>
  <c r="R267" i="15"/>
  <c r="W267" i="15" s="1"/>
  <c r="AD267" i="15"/>
  <c r="V267" i="15" s="1"/>
  <c r="R268" i="15"/>
  <c r="W268" i="15" s="1"/>
  <c r="X267" i="15"/>
  <c r="Q266" i="15"/>
  <c r="X266" i="15" s="1"/>
  <c r="R266" i="15"/>
  <c r="R265" i="15"/>
  <c r="AD264" i="15"/>
  <c r="V264" i="15" s="1"/>
  <c r="X145" i="15"/>
  <c r="X125" i="15"/>
  <c r="X90" i="15"/>
  <c r="R46" i="15"/>
  <c r="W46" i="15" s="1"/>
  <c r="R18" i="15"/>
  <c r="W18" i="15" s="1"/>
  <c r="R5" i="15"/>
  <c r="W5" i="15" s="1"/>
  <c r="AC66" i="15"/>
  <c r="AC102" i="15"/>
  <c r="U102" i="15" s="1"/>
  <c r="Y2028" i="15"/>
  <c r="R108" i="15"/>
  <c r="W108" i="15" s="1"/>
  <c r="Y1741" i="15"/>
  <c r="R258" i="15"/>
  <c r="AD2271" i="15"/>
  <c r="Y2274" i="15"/>
  <c r="D331" i="22"/>
  <c r="D327" i="22"/>
  <c r="D365" i="22"/>
  <c r="D361" i="22"/>
  <c r="D357" i="22"/>
  <c r="D353" i="22"/>
  <c r="D349" i="22"/>
  <c r="D345" i="22"/>
  <c r="D341" i="22"/>
  <c r="D337" i="22"/>
  <c r="D333" i="22"/>
  <c r="D329" i="22"/>
  <c r="D364" i="22"/>
  <c r="D360" i="22"/>
  <c r="D356" i="22"/>
  <c r="D352" i="22"/>
  <c r="D348" i="22"/>
  <c r="D344" i="22"/>
  <c r="D340" i="22"/>
  <c r="D336" i="22"/>
  <c r="D332" i="22"/>
  <c r="D328" i="22"/>
  <c r="D324" i="22"/>
  <c r="D296" i="22"/>
  <c r="D284" i="22"/>
  <c r="D268" i="22"/>
  <c r="D156" i="22"/>
  <c r="D119" i="22"/>
  <c r="D115" i="22"/>
  <c r="D111" i="22"/>
  <c r="D367" i="22"/>
  <c r="D363" i="22"/>
  <c r="D359" i="22"/>
  <c r="D355" i="22"/>
  <c r="D351" i="22"/>
  <c r="D347" i="22"/>
  <c r="D343" i="22"/>
  <c r="D339" i="22"/>
  <c r="D335" i="22"/>
  <c r="D319" i="22"/>
  <c r="D126" i="22"/>
  <c r="D122" i="22"/>
  <c r="D118" i="22"/>
  <c r="D114" i="22"/>
  <c r="D102" i="22"/>
  <c r="D86" i="22"/>
  <c r="D366" i="22"/>
  <c r="D362" i="22"/>
  <c r="D358" i="22"/>
  <c r="D354" i="22"/>
  <c r="D350" i="22"/>
  <c r="D346" i="22"/>
  <c r="D342" i="22"/>
  <c r="D338" i="22"/>
  <c r="D334" i="22"/>
  <c r="D330" i="22"/>
  <c r="D326" i="22"/>
  <c r="D318" i="22"/>
  <c r="D286" i="22"/>
  <c r="D121" i="22"/>
  <c r="D325" i="22"/>
  <c r="D313" i="22"/>
  <c r="D285" i="22"/>
  <c r="D124" i="22"/>
  <c r="D120" i="22"/>
  <c r="D116" i="22"/>
  <c r="AD263" i="15"/>
  <c r="V263" i="15" s="1"/>
  <c r="T263" i="15" s="1"/>
  <c r="Y263" i="15" s="1"/>
  <c r="R261" i="15"/>
  <c r="F11" i="17"/>
  <c r="R260" i="15"/>
  <c r="W260" i="15" s="1"/>
  <c r="X263" i="15"/>
  <c r="X264" i="15"/>
  <c r="R264" i="15"/>
  <c r="W264" i="15" s="1"/>
  <c r="AD265" i="15"/>
  <c r="V265" i="15" s="1"/>
  <c r="AC260" i="15"/>
  <c r="Q262" i="15"/>
  <c r="Q265" i="15"/>
  <c r="X265" i="15" s="1"/>
  <c r="Q259" i="15"/>
  <c r="X259" i="15" s="1"/>
  <c r="AD259" i="15"/>
  <c r="V259" i="15" s="1"/>
  <c r="Q258" i="15"/>
  <c r="T233" i="15"/>
  <c r="Y233" i="15" s="1"/>
  <c r="H23" i="27"/>
  <c r="H24" i="27"/>
  <c r="H25" i="27"/>
  <c r="H26" i="27"/>
  <c r="H27" i="27"/>
  <c r="H28" i="27"/>
  <c r="H29" i="27"/>
  <c r="H39" i="27"/>
  <c r="H30" i="27"/>
  <c r="H31" i="27"/>
  <c r="H32" i="27"/>
  <c r="H33" i="27"/>
  <c r="H34" i="27"/>
  <c r="H35" i="27"/>
  <c r="H36" i="27"/>
  <c r="H37" i="27"/>
  <c r="U90" i="14"/>
  <c r="E53" i="14"/>
  <c r="E20" i="14"/>
  <c r="U20" i="14"/>
  <c r="F78" i="14"/>
  <c r="E43" i="14"/>
  <c r="G89" i="14"/>
  <c r="Q17" i="14"/>
  <c r="K17" i="14"/>
  <c r="E17" i="14"/>
  <c r="J17" i="14"/>
  <c r="L93" i="14"/>
  <c r="D93" i="14"/>
  <c r="I78" i="14"/>
  <c r="Q78" i="14"/>
  <c r="G78" i="14"/>
  <c r="O61" i="14"/>
  <c r="G20" i="14"/>
  <c r="J5" i="14"/>
  <c r="O17" i="14"/>
  <c r="E61" i="14"/>
  <c r="I20" i="14"/>
  <c r="M20" i="14"/>
  <c r="N53" i="14"/>
  <c r="O16" i="14"/>
  <c r="R9" i="14"/>
  <c r="D9" i="14"/>
  <c r="S43" i="14"/>
  <c r="U9" i="14"/>
  <c r="K43" i="14"/>
  <c r="J9" i="14"/>
  <c r="N14" i="14"/>
  <c r="L14" i="14"/>
  <c r="R17" i="14"/>
  <c r="F43" i="14"/>
  <c r="D53" i="14"/>
  <c r="H53" i="14"/>
  <c r="L23" i="14"/>
  <c r="G23" i="14"/>
  <c r="F23" i="14"/>
  <c r="S89" i="14"/>
  <c r="D14" i="14"/>
  <c r="U14" i="14"/>
  <c r="E14" i="14"/>
  <c r="O25" i="14"/>
  <c r="H9" i="14"/>
  <c r="D17" i="14"/>
  <c r="U17" i="14"/>
  <c r="E93" i="14"/>
  <c r="L42" i="14"/>
  <c r="S17" i="14"/>
  <c r="L17" i="14"/>
  <c r="Q43" i="14"/>
  <c r="N89" i="14"/>
  <c r="O23" i="14"/>
  <c r="T53" i="14"/>
  <c r="N78" i="14"/>
  <c r="O93" i="14"/>
  <c r="S155" i="14"/>
  <c r="F9" i="14"/>
  <c r="L9" i="14"/>
  <c r="Q9" i="14"/>
  <c r="S9" i="14"/>
  <c r="G9" i="14"/>
  <c r="I9" i="14"/>
  <c r="E9" i="14"/>
  <c r="Q23" i="14"/>
  <c r="G42" i="14"/>
  <c r="O6" i="14"/>
  <c r="H93" i="14"/>
  <c r="K93" i="14"/>
  <c r="S93" i="14"/>
  <c r="P46" i="25"/>
  <c r="M45" i="28"/>
  <c r="R468" i="15"/>
  <c r="W468" i="15" s="1"/>
  <c r="AD85" i="15"/>
  <c r="Y1412" i="15"/>
  <c r="AD324" i="15"/>
  <c r="V324" i="15" s="1"/>
  <c r="AD35" i="15"/>
  <c r="V35" i="15" s="1"/>
  <c r="AD405" i="15"/>
  <c r="AD105" i="15"/>
  <c r="V105" i="15" s="1"/>
  <c r="T105" i="15" s="1"/>
  <c r="AD78" i="15"/>
  <c r="V78" i="15" s="1"/>
  <c r="AD171" i="15"/>
  <c r="AD437" i="15"/>
  <c r="V437" i="15" s="1"/>
  <c r="T437" i="15" s="1"/>
  <c r="AD30" i="15"/>
  <c r="V30" i="15" s="1"/>
  <c r="T30" i="15" s="1"/>
  <c r="R458" i="15"/>
  <c r="W458" i="15" s="1"/>
  <c r="R450" i="15"/>
  <c r="W450" i="15" s="1"/>
  <c r="W1444" i="15"/>
  <c r="AC450" i="15"/>
  <c r="S25" i="25"/>
  <c r="Q25" i="25"/>
  <c r="N22" i="25"/>
  <c r="P22" i="25"/>
  <c r="V22" i="25"/>
  <c r="U22" i="25"/>
  <c r="M25" i="25"/>
  <c r="M22" i="25"/>
  <c r="W22" i="25"/>
  <c r="N25" i="25"/>
  <c r="X925" i="15"/>
  <c r="AD447" i="15"/>
  <c r="V447" i="15" s="1"/>
  <c r="R447" i="15"/>
  <c r="W447" i="15" s="1"/>
  <c r="R439" i="15"/>
  <c r="W439" i="15" s="1"/>
  <c r="X397" i="15"/>
  <c r="X374" i="15"/>
  <c r="X430" i="15"/>
  <c r="AD1376" i="15"/>
  <c r="Y1388" i="15"/>
  <c r="AD903" i="15"/>
  <c r="R1941" i="15"/>
  <c r="W1743" i="15"/>
  <c r="AD366" i="15"/>
  <c r="V366" i="15" s="1"/>
  <c r="R2215" i="15"/>
  <c r="S441" i="15"/>
  <c r="X441" i="15" s="1"/>
  <c r="AD441" i="15"/>
  <c r="V441" i="15" s="1"/>
  <c r="S151" i="15"/>
  <c r="AD151" i="15"/>
  <c r="V151" i="15" s="1"/>
  <c r="AC578" i="15"/>
  <c r="R578" i="15"/>
  <c r="AC658" i="15"/>
  <c r="U658" i="15" s="1"/>
  <c r="R658" i="15"/>
  <c r="R674" i="15"/>
  <c r="W2129" i="15"/>
  <c r="W909" i="15"/>
  <c r="S80" i="15"/>
  <c r="X80" i="15" s="1"/>
  <c r="AD80" i="15"/>
  <c r="V80" i="15" s="1"/>
  <c r="T80" i="15" s="1"/>
  <c r="AC219" i="15"/>
  <c r="U219" i="15" s="1"/>
  <c r="R219" i="15"/>
  <c r="AC1111" i="15"/>
  <c r="R1111" i="15"/>
  <c r="AD1372" i="15"/>
  <c r="AD1389" i="15"/>
  <c r="R1502" i="15"/>
  <c r="AC1072" i="15"/>
  <c r="R1072" i="15"/>
  <c r="AC1081" i="15"/>
  <c r="R1081" i="15"/>
  <c r="X1169" i="15"/>
  <c r="W1169" i="15"/>
  <c r="X1700" i="15"/>
  <c r="W1700" i="15"/>
  <c r="Y1136" i="15"/>
  <c r="Y712" i="15"/>
  <c r="Y804" i="15"/>
  <c r="Y1085" i="15"/>
  <c r="Y1275" i="15"/>
  <c r="Y1447" i="15"/>
  <c r="Y1451" i="15"/>
  <c r="Y1754" i="15"/>
  <c r="Y2158" i="15"/>
  <c r="Y2189" i="15"/>
  <c r="Y2192" i="15"/>
  <c r="AD1500" i="15"/>
  <c r="AD2106" i="15"/>
  <c r="U68" i="28"/>
  <c r="W68" i="28"/>
  <c r="T48" i="28"/>
  <c r="M68" i="28"/>
  <c r="L14" i="3"/>
  <c r="AD1467" i="15"/>
  <c r="X408" i="15"/>
  <c r="X511" i="15"/>
  <c r="Q17" i="28"/>
  <c r="R1631" i="15"/>
  <c r="AD1874" i="15"/>
  <c r="X469" i="15"/>
  <c r="W999" i="15"/>
  <c r="AD1337" i="15"/>
  <c r="Q45" i="28"/>
  <c r="L45" i="28"/>
  <c r="R418" i="15"/>
  <c r="W418" i="15" s="1"/>
  <c r="Y1448" i="15"/>
  <c r="W1922" i="15"/>
  <c r="W1336" i="15"/>
  <c r="AD552" i="15"/>
  <c r="R602" i="15"/>
  <c r="AD643" i="15"/>
  <c r="V643" i="15" s="1"/>
  <c r="AD766" i="15"/>
  <c r="AD803" i="15"/>
  <c r="AD1240" i="15"/>
  <c r="AD2052" i="15"/>
  <c r="V397" i="15"/>
  <c r="T397" i="15" s="1"/>
  <c r="Y397" i="15" s="1"/>
  <c r="AD2086" i="15"/>
  <c r="AD2115" i="15"/>
  <c r="X106" i="15"/>
  <c r="AD38" i="15"/>
  <c r="V38" i="15" s="1"/>
  <c r="T38" i="15" s="1"/>
  <c r="X415" i="15"/>
  <c r="R1964" i="15"/>
  <c r="AD1979" i="15"/>
  <c r="R1979" i="15"/>
  <c r="AD2031" i="15"/>
  <c r="AD2032" i="15"/>
  <c r="R2035" i="15"/>
  <c r="AD2269" i="15"/>
  <c r="X128" i="15"/>
  <c r="W128" i="15"/>
  <c r="W895" i="15"/>
  <c r="Y1376" i="15"/>
  <c r="AD2" i="15"/>
  <c r="V2" i="15" s="1"/>
  <c r="Q67" i="15"/>
  <c r="X67" i="15" s="1"/>
  <c r="R971" i="15"/>
  <c r="Y887" i="15"/>
  <c r="R466" i="15"/>
  <c r="W466" i="15" s="1"/>
  <c r="R1989" i="15"/>
  <c r="Y871" i="15"/>
  <c r="R1980" i="15"/>
  <c r="Y983" i="15"/>
  <c r="R26" i="15"/>
  <c r="W26" i="15" s="1"/>
  <c r="Q378" i="15"/>
  <c r="X378" i="15" s="1"/>
  <c r="R378" i="15"/>
  <c r="AC379" i="15"/>
  <c r="R379" i="15"/>
  <c r="W379" i="15" s="1"/>
  <c r="S380" i="15"/>
  <c r="X380" i="15" s="1"/>
  <c r="AD380" i="15"/>
  <c r="V380" i="15" s="1"/>
  <c r="T380" i="15" s="1"/>
  <c r="AC477" i="15"/>
  <c r="R477" i="15"/>
  <c r="W477" i="15" s="1"/>
  <c r="AC1143" i="15"/>
  <c r="R1143" i="15"/>
  <c r="AC1147" i="15"/>
  <c r="R1147" i="15"/>
  <c r="R2103" i="15"/>
  <c r="AD2103" i="15"/>
  <c r="S169" i="15"/>
  <c r="AD169" i="15"/>
  <c r="V169" i="15" s="1"/>
  <c r="AC1943" i="15"/>
  <c r="R1943" i="15"/>
  <c r="AC1969" i="15"/>
  <c r="R1969" i="15"/>
  <c r="AD59" i="15"/>
  <c r="V59" i="15" s="1"/>
  <c r="S59" i="15"/>
  <c r="X59" i="15" s="1"/>
  <c r="Q123" i="15"/>
  <c r="R123" i="15"/>
  <c r="R1567" i="15"/>
  <c r="R1576" i="15"/>
  <c r="R1608" i="15"/>
  <c r="AC1740" i="15"/>
  <c r="R1740" i="15"/>
  <c r="AC1861" i="15"/>
  <c r="R1861" i="15"/>
  <c r="AD16" i="15"/>
  <c r="V16" i="15" s="1"/>
  <c r="S16" i="15"/>
  <c r="X16" i="15" s="1"/>
  <c r="R58" i="15"/>
  <c r="W58" i="15" s="1"/>
  <c r="AC58" i="15"/>
  <c r="U58" i="15" s="1"/>
  <c r="S196" i="15"/>
  <c r="AD196" i="15"/>
  <c r="V196" i="15" s="1"/>
  <c r="Q251" i="15"/>
  <c r="X251" i="15" s="1"/>
  <c r="AD251" i="15"/>
  <c r="V251" i="15" s="1"/>
  <c r="S309" i="15"/>
  <c r="X309" i="15" s="1"/>
  <c r="AD309" i="15"/>
  <c r="V309" i="15" s="1"/>
  <c r="Q336" i="15"/>
  <c r="X336" i="15" s="1"/>
  <c r="R336" i="15"/>
  <c r="Q341" i="15"/>
  <c r="X341" i="15" s="1"/>
  <c r="AD341" i="15"/>
  <c r="V341" i="15" s="1"/>
  <c r="R497" i="15"/>
  <c r="Q497" i="15"/>
  <c r="X497" i="15" s="1"/>
  <c r="S502" i="15"/>
  <c r="X502" i="15" s="1"/>
  <c r="AD502" i="15"/>
  <c r="X751" i="15"/>
  <c r="W751" i="15"/>
  <c r="W1197" i="15"/>
  <c r="X1197" i="15"/>
  <c r="AC1235" i="15"/>
  <c r="R1235" i="15"/>
  <c r="AC1243" i="15"/>
  <c r="R1243" i="15"/>
  <c r="AC1291" i="15"/>
  <c r="R1291" i="15"/>
  <c r="AC1300" i="15"/>
  <c r="R1300" i="15"/>
  <c r="X2124" i="15"/>
  <c r="W2124" i="15"/>
  <c r="X179" i="15"/>
  <c r="Y1532" i="15"/>
  <c r="Y1717" i="15"/>
  <c r="Y2078" i="15"/>
  <c r="R71" i="15"/>
  <c r="W71" i="15" s="1"/>
  <c r="X74" i="15"/>
  <c r="X438" i="15"/>
  <c r="X247" i="15"/>
  <c r="X443" i="15"/>
  <c r="X445" i="15"/>
  <c r="X521" i="15"/>
  <c r="Q21" i="28"/>
  <c r="N17" i="28"/>
  <c r="M21" i="28"/>
  <c r="T393" i="15"/>
  <c r="Y393" i="15" s="1"/>
  <c r="X429" i="15"/>
  <c r="X26" i="15"/>
  <c r="X710" i="15"/>
  <c r="AD354" i="15"/>
  <c r="V354" i="15" s="1"/>
  <c r="X384" i="15"/>
  <c r="W1763" i="15"/>
  <c r="W1220" i="15"/>
  <c r="W2133" i="15"/>
  <c r="W1168" i="15"/>
  <c r="W1388" i="15"/>
  <c r="AD339" i="15"/>
  <c r="X399" i="15"/>
  <c r="R402" i="15"/>
  <c r="W402" i="15" s="1"/>
  <c r="X500" i="15"/>
  <c r="W1482" i="15"/>
  <c r="W1757" i="15"/>
  <c r="W903" i="15"/>
  <c r="W917" i="15"/>
  <c r="W145" i="15"/>
  <c r="X200" i="15"/>
  <c r="T400" i="15"/>
  <c r="Y400" i="15" s="1"/>
  <c r="T402" i="15"/>
  <c r="Y402" i="15" s="1"/>
  <c r="X13" i="15"/>
  <c r="X30" i="15"/>
  <c r="X420" i="15"/>
  <c r="X485" i="15"/>
  <c r="X450" i="15"/>
  <c r="X492" i="15"/>
  <c r="U38" i="28"/>
  <c r="S38" i="28"/>
  <c r="W17" i="28"/>
  <c r="P25" i="25"/>
  <c r="U25" i="25"/>
  <c r="Q22" i="25"/>
  <c r="S22" i="25"/>
  <c r="W25" i="25"/>
  <c r="O25" i="25"/>
  <c r="T24" i="28"/>
  <c r="N24" i="28"/>
  <c r="R24" i="28"/>
  <c r="S24" i="28"/>
  <c r="P24" i="28"/>
  <c r="W46" i="25"/>
  <c r="S48" i="28"/>
  <c r="L48" i="28"/>
  <c r="U17" i="28"/>
  <c r="O21" i="28"/>
  <c r="N48" i="28"/>
  <c r="T46" i="25"/>
  <c r="Q40" i="25"/>
  <c r="S40" i="25"/>
  <c r="L40" i="25"/>
  <c r="M40" i="25"/>
  <c r="N40" i="25"/>
  <c r="W40" i="25"/>
  <c r="T40" i="25"/>
  <c r="V40" i="25"/>
  <c r="P40" i="25"/>
  <c r="R40" i="25"/>
  <c r="U40" i="25"/>
  <c r="O40" i="25"/>
  <c r="Q46" i="28"/>
  <c r="S46" i="28"/>
  <c r="R46" i="28"/>
  <c r="M46" i="28"/>
  <c r="N46" i="28"/>
  <c r="L46" i="28"/>
  <c r="T46" i="28"/>
  <c r="V46" i="28"/>
  <c r="U46" i="28"/>
  <c r="O46" i="28"/>
  <c r="X406" i="15"/>
  <c r="O24" i="28"/>
  <c r="P17" i="28"/>
  <c r="P23" i="25"/>
  <c r="W23" i="25"/>
  <c r="N23" i="25"/>
  <c r="S23" i="25"/>
  <c r="T23" i="25"/>
  <c r="U23" i="25"/>
  <c r="R23" i="25"/>
  <c r="L23" i="25"/>
  <c r="Q23" i="25"/>
  <c r="V23" i="25"/>
  <c r="M23" i="25"/>
  <c r="P51" i="25"/>
  <c r="Q51" i="25"/>
  <c r="M51" i="25"/>
  <c r="S51" i="25"/>
  <c r="U51" i="25"/>
  <c r="L51" i="25"/>
  <c r="W51" i="25"/>
  <c r="R51" i="25"/>
  <c r="V51" i="25"/>
  <c r="O51" i="25"/>
  <c r="T51" i="25"/>
  <c r="N51" i="25"/>
  <c r="N48" i="25"/>
  <c r="Q48" i="25"/>
  <c r="S48" i="25"/>
  <c r="L48" i="25"/>
  <c r="M48" i="25"/>
  <c r="U48" i="25"/>
  <c r="R48" i="25"/>
  <c r="V48" i="25"/>
  <c r="W48" i="25"/>
  <c r="O48" i="25"/>
  <c r="P48" i="25"/>
  <c r="T48" i="25"/>
  <c r="M17" i="25"/>
  <c r="O17" i="25"/>
  <c r="P17" i="25"/>
  <c r="V17" i="25"/>
  <c r="U17" i="25"/>
  <c r="L17" i="25"/>
  <c r="N17" i="25"/>
  <c r="R17" i="25"/>
  <c r="Q17" i="25"/>
  <c r="W17" i="25"/>
  <c r="M50" i="25"/>
  <c r="U50" i="25"/>
  <c r="V50" i="25"/>
  <c r="L50" i="25"/>
  <c r="S50" i="25"/>
  <c r="N50" i="25"/>
  <c r="Q50" i="25"/>
  <c r="R50" i="25"/>
  <c r="T50" i="25"/>
  <c r="W50" i="25"/>
  <c r="P50" i="25"/>
  <c r="O50" i="25"/>
  <c r="O38" i="28"/>
  <c r="W45" i="28"/>
  <c r="P45" i="28"/>
  <c r="O34" i="28"/>
  <c r="T34" i="25"/>
  <c r="O45" i="28"/>
  <c r="N45" i="28"/>
  <c r="T45" i="28"/>
  <c r="L38" i="28"/>
  <c r="T34" i="28"/>
  <c r="M34" i="28"/>
  <c r="V45" i="28"/>
  <c r="S45" i="28"/>
  <c r="S30" i="28"/>
  <c r="L30" i="28"/>
  <c r="N30" i="28"/>
  <c r="O30" i="28"/>
  <c r="Q30" i="28"/>
  <c r="P30" i="28"/>
  <c r="V30" i="28"/>
  <c r="W30" i="28"/>
  <c r="U30" i="28"/>
  <c r="O59" i="28"/>
  <c r="M59" i="28"/>
  <c r="P59" i="28"/>
  <c r="O62" i="28"/>
  <c r="W62" i="28"/>
  <c r="T31" i="25"/>
  <c r="Q31" i="25"/>
  <c r="S49" i="25"/>
  <c r="T49" i="25"/>
  <c r="N49" i="25"/>
  <c r="U49" i="25"/>
  <c r="P49" i="25"/>
  <c r="Q49" i="25"/>
  <c r="M49" i="25"/>
  <c r="L49" i="25"/>
  <c r="W49" i="25"/>
  <c r="V49" i="25"/>
  <c r="O49" i="25"/>
  <c r="R49" i="25"/>
  <c r="L55" i="25"/>
  <c r="W55" i="25"/>
  <c r="M55" i="25"/>
  <c r="V55" i="25"/>
  <c r="O55" i="25"/>
  <c r="U55" i="25"/>
  <c r="T55" i="25"/>
  <c r="N55" i="25"/>
  <c r="S55" i="25"/>
  <c r="P55" i="25"/>
  <c r="Q55" i="25"/>
  <c r="P16" i="28"/>
  <c r="S16" i="28"/>
  <c r="R16" i="28"/>
  <c r="M60" i="28"/>
  <c r="Q60" i="28"/>
  <c r="N60" i="28"/>
  <c r="O47" i="25"/>
  <c r="P47" i="25"/>
  <c r="V47" i="25"/>
  <c r="N47" i="25"/>
  <c r="L47" i="25"/>
  <c r="Q47" i="25"/>
  <c r="S47" i="25"/>
  <c r="W47" i="25"/>
  <c r="U47" i="25"/>
  <c r="T47" i="25"/>
  <c r="M47" i="25"/>
  <c r="U52" i="25"/>
  <c r="V52" i="25"/>
  <c r="L52" i="25"/>
  <c r="S52" i="25"/>
  <c r="N52" i="25"/>
  <c r="Q52" i="25"/>
  <c r="M52" i="25"/>
  <c r="T52" i="25"/>
  <c r="W52" i="25"/>
  <c r="P52" i="25"/>
  <c r="O52" i="25"/>
  <c r="N36" i="28"/>
  <c r="T37" i="28"/>
  <c r="U37" i="28"/>
  <c r="N37" i="28"/>
  <c r="U64" i="28"/>
  <c r="V64" i="28"/>
  <c r="O64" i="28"/>
  <c r="T26" i="25"/>
  <c r="U26" i="25"/>
  <c r="O26" i="25"/>
  <c r="M26" i="25"/>
  <c r="V26" i="25"/>
  <c r="W26" i="25"/>
  <c r="N26" i="25"/>
  <c r="L26" i="25"/>
  <c r="P26" i="25"/>
  <c r="S26" i="25"/>
  <c r="Q26" i="25"/>
  <c r="T39" i="25"/>
  <c r="P39" i="25"/>
  <c r="W39" i="25"/>
  <c r="V39" i="25"/>
  <c r="S39" i="25"/>
  <c r="Q39" i="25"/>
  <c r="O39" i="25"/>
  <c r="L39" i="25"/>
  <c r="N39" i="25"/>
  <c r="M39" i="25"/>
  <c r="U39" i="25"/>
  <c r="R39" i="25"/>
  <c r="U54" i="25"/>
  <c r="P54" i="25"/>
  <c r="O54" i="25"/>
  <c r="M54" i="25"/>
  <c r="S54" i="25"/>
  <c r="V54" i="25"/>
  <c r="L54" i="25"/>
  <c r="N54" i="25"/>
  <c r="Q54" i="25"/>
  <c r="T54" i="25"/>
  <c r="W54" i="25"/>
  <c r="W61" i="25"/>
  <c r="U61" i="25"/>
  <c r="P61" i="25"/>
  <c r="Q24" i="28"/>
  <c r="U24" i="28"/>
  <c r="Q66" i="28"/>
  <c r="X404" i="15"/>
  <c r="U39" i="28"/>
  <c r="W39" i="28"/>
  <c r="P39" i="28"/>
  <c r="Q39" i="28"/>
  <c r="V39" i="28"/>
  <c r="O39" i="28"/>
  <c r="S39" i="28"/>
  <c r="R39" i="28"/>
  <c r="N39" i="28"/>
  <c r="T26" i="28"/>
  <c r="R26" i="28"/>
  <c r="S26" i="28"/>
  <c r="L26" i="28"/>
  <c r="O26" i="28"/>
  <c r="Q26" i="28"/>
  <c r="P26" i="28"/>
  <c r="M26" i="28"/>
  <c r="V26" i="28"/>
  <c r="N26" i="28"/>
  <c r="Q49" i="28"/>
  <c r="M49" i="28"/>
  <c r="V49" i="28"/>
  <c r="L49" i="28"/>
  <c r="T49" i="28"/>
  <c r="N49" i="28"/>
  <c r="S49" i="28"/>
  <c r="O49" i="28"/>
  <c r="P49" i="28"/>
  <c r="W49" i="28"/>
  <c r="U49" i="28"/>
  <c r="R49" i="28"/>
  <c r="V20" i="28"/>
  <c r="W20" i="28"/>
  <c r="V27" i="28"/>
  <c r="O27" i="28"/>
  <c r="P27" i="28"/>
  <c r="W27" i="28"/>
  <c r="U27" i="28"/>
  <c r="S27" i="28"/>
  <c r="Q27" i="28"/>
  <c r="T27" i="28"/>
  <c r="R27" i="28"/>
  <c r="N38" i="28"/>
  <c r="N34" i="28"/>
  <c r="N21" i="28"/>
  <c r="U21" i="28"/>
  <c r="M17" i="28"/>
  <c r="T52" i="28"/>
  <c r="S34" i="28"/>
  <c r="M24" i="28"/>
  <c r="Q34" i="28"/>
  <c r="U48" i="28"/>
  <c r="L34" i="28"/>
  <c r="P34" i="28"/>
  <c r="W48" i="28"/>
  <c r="T40" i="15"/>
  <c r="Y40" i="15" s="1"/>
  <c r="W1364" i="15"/>
  <c r="X405" i="15"/>
  <c r="X424" i="15"/>
  <c r="X428" i="15"/>
  <c r="X379" i="15"/>
  <c r="X463" i="15"/>
  <c r="X527" i="15"/>
  <c r="X81" i="15"/>
  <c r="X410" i="15"/>
  <c r="X523" i="15"/>
  <c r="X495" i="15"/>
  <c r="X3" i="15"/>
  <c r="V23" i="28"/>
  <c r="L23" i="28"/>
  <c r="S23" i="28"/>
  <c r="M23" i="28"/>
  <c r="N23" i="28"/>
  <c r="W23" i="28"/>
  <c r="Q23" i="28"/>
  <c r="U23" i="28"/>
  <c r="R23" i="28"/>
  <c r="P23" i="28"/>
  <c r="T23" i="28"/>
  <c r="O23" i="28"/>
  <c r="P18" i="28"/>
  <c r="W18" i="28"/>
  <c r="Q18" i="28"/>
  <c r="L18" i="28"/>
  <c r="O18" i="28"/>
  <c r="R18" i="28"/>
  <c r="V18" i="28"/>
  <c r="U18" i="28"/>
  <c r="N18" i="28"/>
  <c r="M18" i="28"/>
  <c r="U10" i="28"/>
  <c r="S10" i="28"/>
  <c r="W10" i="28"/>
  <c r="V10" i="28"/>
  <c r="L10" i="28"/>
  <c r="P10" i="28"/>
  <c r="M10" i="28"/>
  <c r="R10" i="28"/>
  <c r="O10" i="28"/>
  <c r="N10" i="28"/>
  <c r="Q10" i="28"/>
  <c r="L22" i="28"/>
  <c r="V22" i="28"/>
  <c r="M22" i="28"/>
  <c r="T22" i="28"/>
  <c r="O22" i="28"/>
  <c r="P22" i="28"/>
  <c r="N22" i="28"/>
  <c r="W22" i="28"/>
  <c r="U22" i="28"/>
  <c r="R22" i="28"/>
  <c r="S22" i="28"/>
  <c r="Q22" i="28"/>
  <c r="M25" i="28"/>
  <c r="O25" i="28"/>
  <c r="N25" i="28"/>
  <c r="Q25" i="28"/>
  <c r="V25" i="28"/>
  <c r="W25" i="28"/>
  <c r="P25" i="28"/>
  <c r="L25" i="28"/>
  <c r="S25" i="28"/>
  <c r="U25" i="28"/>
  <c r="T25" i="28"/>
  <c r="V16" i="28"/>
  <c r="M16" i="28"/>
  <c r="P21" i="28"/>
  <c r="W21" i="28"/>
  <c r="T30" i="28"/>
  <c r="M30" i="28"/>
  <c r="T38" i="28"/>
  <c r="P38" i="28"/>
  <c r="Q38" i="28"/>
  <c r="W46" i="28"/>
  <c r="P46" i="28"/>
  <c r="W24" i="28"/>
  <c r="L24" i="28"/>
  <c r="V24" i="28"/>
  <c r="W26" i="28"/>
  <c r="U26" i="28"/>
  <c r="W34" i="28"/>
  <c r="U34" i="28"/>
  <c r="L37" i="28"/>
  <c r="T39" i="28"/>
  <c r="M39" i="28"/>
  <c r="L39" i="28"/>
  <c r="N41" i="28"/>
  <c r="W41" i="28"/>
  <c r="Q62" i="28"/>
  <c r="U29" i="25"/>
  <c r="P29" i="25"/>
  <c r="V29" i="25"/>
  <c r="L29" i="25"/>
  <c r="S29" i="25"/>
  <c r="M29" i="25"/>
  <c r="W32" i="25"/>
  <c r="U32" i="25"/>
  <c r="S32" i="25"/>
  <c r="L32" i="25"/>
  <c r="M32" i="25"/>
  <c r="N32" i="25"/>
  <c r="V17" i="28"/>
  <c r="O17" i="28"/>
  <c r="U20" i="28"/>
  <c r="V35" i="28"/>
  <c r="S35" i="28"/>
  <c r="V58" i="28"/>
  <c r="M21" i="25"/>
  <c r="W21" i="25"/>
  <c r="S21" i="25"/>
  <c r="P21" i="25"/>
  <c r="T21" i="25"/>
  <c r="U21" i="25"/>
  <c r="O21" i="25"/>
  <c r="V21" i="25"/>
  <c r="U24" i="25"/>
  <c r="M24" i="25"/>
  <c r="N24" i="25"/>
  <c r="V24" i="25"/>
  <c r="Q24" i="25"/>
  <c r="P24" i="25"/>
  <c r="O24" i="25"/>
  <c r="L24" i="25"/>
  <c r="W24" i="25"/>
  <c r="T24" i="25"/>
  <c r="S24" i="25"/>
  <c r="L21" i="28"/>
  <c r="M27" i="28"/>
  <c r="N27" i="28"/>
  <c r="L27" i="28"/>
  <c r="P36" i="28"/>
  <c r="V36" i="28"/>
  <c r="W38" i="28"/>
  <c r="T27" i="25"/>
  <c r="O27" i="25"/>
  <c r="M27" i="25"/>
  <c r="V27" i="25"/>
  <c r="P27" i="25"/>
  <c r="N27" i="25"/>
  <c r="U27" i="25"/>
  <c r="L27" i="25"/>
  <c r="S27" i="25"/>
  <c r="Q27" i="25"/>
  <c r="W27" i="25"/>
  <c r="N41" i="25"/>
  <c r="V41" i="25"/>
  <c r="U53" i="25"/>
  <c r="S53" i="25"/>
  <c r="O23" i="25"/>
  <c r="Q34" i="25"/>
  <c r="Q42" i="25"/>
  <c r="W42" i="25"/>
  <c r="P28" i="25"/>
  <c r="T17" i="25"/>
  <c r="W30" i="25"/>
  <c r="M30" i="25"/>
  <c r="Q30" i="25"/>
  <c r="L38" i="25"/>
  <c r="S38" i="25"/>
  <c r="U62" i="25"/>
  <c r="U31" i="25"/>
  <c r="P31" i="25"/>
  <c r="O31" i="25"/>
  <c r="X123" i="15"/>
  <c r="X288" i="15"/>
  <c r="X310" i="15"/>
  <c r="W262" i="15"/>
  <c r="X316" i="15"/>
  <c r="V493" i="15"/>
  <c r="T493" i="15" s="1"/>
  <c r="X184" i="15"/>
  <c r="T335" i="15"/>
  <c r="Y335" i="15" s="1"/>
  <c r="W265" i="15"/>
  <c r="X34" i="15"/>
  <c r="X60" i="15"/>
  <c r="W465" i="15"/>
  <c r="X191" i="15"/>
  <c r="X37" i="15"/>
  <c r="X92" i="15"/>
  <c r="X271" i="15"/>
  <c r="W56" i="28"/>
  <c r="R56" i="28"/>
  <c r="P56" i="28"/>
  <c r="N56" i="28"/>
  <c r="S56" i="28"/>
  <c r="L56" i="28"/>
  <c r="Q56" i="28"/>
  <c r="O56" i="28"/>
  <c r="U56" i="28"/>
  <c r="O44" i="28"/>
  <c r="T44" i="28"/>
  <c r="L44" i="28"/>
  <c r="U44" i="28"/>
  <c r="V44" i="28"/>
  <c r="Q44" i="28"/>
  <c r="R44" i="28"/>
  <c r="N44" i="28"/>
  <c r="S44" i="28"/>
  <c r="P44" i="28"/>
  <c r="M44" i="28"/>
  <c r="W44" i="28"/>
  <c r="O67" i="28"/>
  <c r="R67" i="28"/>
  <c r="P67" i="28"/>
  <c r="T67" i="28"/>
  <c r="U67" i="28"/>
  <c r="M67" i="28"/>
  <c r="W67" i="28"/>
  <c r="V67" i="28"/>
  <c r="L67" i="28"/>
  <c r="S67" i="28"/>
  <c r="Q67" i="28"/>
  <c r="N67" i="28"/>
  <c r="U57" i="28"/>
  <c r="M57" i="28"/>
  <c r="R57" i="28"/>
  <c r="V57" i="28"/>
  <c r="P57" i="28"/>
  <c r="N57" i="28"/>
  <c r="T57" i="28"/>
  <c r="Q57" i="28"/>
  <c r="W57" i="28"/>
  <c r="O57" i="28"/>
  <c r="S57" i="28"/>
  <c r="L57" i="28"/>
  <c r="W51" i="28"/>
  <c r="L51" i="28"/>
  <c r="R51" i="28"/>
  <c r="V51" i="28"/>
  <c r="S51" i="28"/>
  <c r="O51" i="28"/>
  <c r="M51" i="28"/>
  <c r="P51" i="28"/>
  <c r="Q51" i="28"/>
  <c r="N51" i="28"/>
  <c r="U51" i="28"/>
  <c r="T51" i="28"/>
  <c r="U38" i="25"/>
  <c r="N30" i="25"/>
  <c r="S66" i="28"/>
  <c r="Q50" i="28"/>
  <c r="S50" i="28"/>
  <c r="P38" i="25"/>
  <c r="O30" i="25"/>
  <c r="O38" i="25"/>
  <c r="V42" i="25"/>
  <c r="M50" i="28"/>
  <c r="M38" i="25"/>
  <c r="V30" i="25"/>
  <c r="T42" i="25"/>
  <c r="T82" i="15"/>
  <c r="T123" i="15"/>
  <c r="T46" i="15"/>
  <c r="T22" i="15"/>
  <c r="Y22" i="15" s="1"/>
  <c r="X163" i="15"/>
  <c r="W163" i="15"/>
  <c r="T76" i="15"/>
  <c r="Y76" i="15" s="1"/>
  <c r="X76" i="15"/>
  <c r="X2" i="15"/>
  <c r="W134" i="15"/>
  <c r="X18" i="15"/>
  <c r="W41" i="15"/>
  <c r="X329" i="15"/>
  <c r="X350" i="15"/>
  <c r="X457" i="15"/>
  <c r="X363" i="15"/>
  <c r="X411" i="15"/>
  <c r="T60" i="15"/>
  <c r="Y60" i="15" s="1"/>
  <c r="P47" i="28"/>
  <c r="U47" i="28"/>
  <c r="V47" i="28"/>
  <c r="W47" i="28"/>
  <c r="R47" i="28"/>
  <c r="Q47" i="28"/>
  <c r="N47" i="28"/>
  <c r="O47" i="28"/>
  <c r="M47" i="28"/>
  <c r="U64" i="25"/>
  <c r="W64" i="25"/>
  <c r="V64" i="25"/>
  <c r="Q64" i="25"/>
  <c r="O64" i="25"/>
  <c r="M64" i="25"/>
  <c r="N64" i="25"/>
  <c r="P64" i="25"/>
  <c r="L64" i="25"/>
  <c r="R64" i="25"/>
  <c r="T64" i="25"/>
  <c r="S64" i="25"/>
  <c r="X321" i="15"/>
  <c r="W321" i="15"/>
  <c r="X464" i="15"/>
  <c r="X389" i="15"/>
  <c r="W389" i="15"/>
  <c r="W132" i="15"/>
  <c r="X72" i="15"/>
  <c r="W309" i="15"/>
  <c r="W471" i="15"/>
  <c r="X41" i="15"/>
  <c r="X105" i="15"/>
  <c r="X291" i="15"/>
  <c r="W226" i="15"/>
  <c r="X132" i="15"/>
  <c r="W305" i="15"/>
  <c r="X100" i="15"/>
  <c r="AD486" i="15"/>
  <c r="V486" i="15" s="1"/>
  <c r="X510" i="15"/>
  <c r="X490" i="15"/>
  <c r="T478" i="15"/>
  <c r="Y478" i="15" s="1"/>
  <c r="M28" i="28"/>
  <c r="L28" i="28"/>
  <c r="Q28" i="28"/>
  <c r="U28" i="28"/>
  <c r="N28" i="28"/>
  <c r="W28" i="28"/>
  <c r="V28" i="28"/>
  <c r="O28" i="28"/>
  <c r="R28" i="28"/>
  <c r="W44" i="25"/>
  <c r="O44" i="25"/>
  <c r="R44" i="25"/>
  <c r="L44" i="25"/>
  <c r="U44" i="25"/>
  <c r="V44" i="25"/>
  <c r="N44" i="25"/>
  <c r="Q44" i="25"/>
  <c r="T44" i="25"/>
  <c r="T56" i="25"/>
  <c r="O56" i="25"/>
  <c r="R56" i="25"/>
  <c r="P56" i="25"/>
  <c r="M56" i="25"/>
  <c r="L56" i="25"/>
  <c r="V56" i="25"/>
  <c r="W56" i="25"/>
  <c r="S56" i="25"/>
  <c r="P7" i="28"/>
  <c r="R7" i="28"/>
  <c r="N7" i="28"/>
  <c r="V7" i="28"/>
  <c r="W7" i="28"/>
  <c r="O7" i="28"/>
  <c r="M7" i="28"/>
  <c r="U7" i="28"/>
  <c r="T7" i="28"/>
  <c r="Q7" i="28"/>
  <c r="L7" i="28"/>
  <c r="M45" i="25"/>
  <c r="S45" i="25"/>
  <c r="Q45" i="25"/>
  <c r="O45" i="25"/>
  <c r="U45" i="25"/>
  <c r="T45" i="25"/>
  <c r="R45" i="25"/>
  <c r="V45" i="25"/>
  <c r="U57" i="25"/>
  <c r="V57" i="25"/>
  <c r="S57" i="25"/>
  <c r="N57" i="25"/>
  <c r="M57" i="25"/>
  <c r="T57" i="25"/>
  <c r="Q57" i="25"/>
  <c r="P57" i="25"/>
  <c r="O57" i="25"/>
  <c r="R57" i="25"/>
  <c r="X488" i="15"/>
  <c r="R21" i="25"/>
  <c r="Q21" i="25"/>
  <c r="N21" i="25"/>
  <c r="L21" i="25"/>
  <c r="O28" i="25"/>
  <c r="M28" i="25"/>
  <c r="V28" i="25"/>
  <c r="R28" i="25"/>
  <c r="N28" i="25"/>
  <c r="L28" i="25"/>
  <c r="W28" i="25"/>
  <c r="T28" i="25"/>
  <c r="L36" i="25"/>
  <c r="P36" i="25"/>
  <c r="U36" i="25"/>
  <c r="T36" i="25"/>
  <c r="R36" i="25"/>
  <c r="M36" i="25"/>
  <c r="O36" i="25"/>
  <c r="N63" i="25"/>
  <c r="S63" i="25"/>
  <c r="T63" i="25"/>
  <c r="W63" i="25"/>
  <c r="R63" i="25"/>
  <c r="L63" i="25"/>
  <c r="O63" i="25"/>
  <c r="U63" i="25"/>
  <c r="V63" i="25"/>
  <c r="R19" i="28"/>
  <c r="W19" i="28"/>
  <c r="P19" i="28"/>
  <c r="U19" i="28"/>
  <c r="Q19" i="28"/>
  <c r="N19" i="28"/>
  <c r="M19" i="28"/>
  <c r="V19" i="28"/>
  <c r="O19" i="28"/>
  <c r="L19" i="28"/>
  <c r="Q35" i="28"/>
  <c r="R35" i="28"/>
  <c r="P35" i="28"/>
  <c r="N35" i="28"/>
  <c r="T35" i="28"/>
  <c r="W35" i="28"/>
  <c r="U35" i="28"/>
  <c r="O35" i="28"/>
  <c r="L35" i="28"/>
  <c r="T29" i="25"/>
  <c r="Q29" i="25"/>
  <c r="R29" i="25"/>
  <c r="O29" i="25"/>
  <c r="N29" i="25"/>
  <c r="W29" i="25"/>
  <c r="U37" i="25"/>
  <c r="N37" i="25"/>
  <c r="V37" i="25"/>
  <c r="T37" i="25"/>
  <c r="L37" i="25"/>
  <c r="R37" i="25"/>
  <c r="O37" i="25"/>
  <c r="W37" i="25"/>
  <c r="M37" i="25"/>
  <c r="O41" i="25"/>
  <c r="P41" i="25"/>
  <c r="L41" i="25"/>
  <c r="R41" i="25"/>
  <c r="S41" i="25"/>
  <c r="U16" i="28"/>
  <c r="O16" i="28"/>
  <c r="N16" i="28"/>
  <c r="L16" i="28"/>
  <c r="W16" i="28"/>
  <c r="Q16" i="28"/>
  <c r="M20" i="28"/>
  <c r="L20" i="28"/>
  <c r="P20" i="28"/>
  <c r="N20" i="28"/>
  <c r="O20" i="28"/>
  <c r="R20" i="28"/>
  <c r="Q20" i="28"/>
  <c r="O36" i="28"/>
  <c r="S36" i="28"/>
  <c r="Q36" i="28"/>
  <c r="U36" i="28"/>
  <c r="M36" i="28"/>
  <c r="T36" i="28"/>
  <c r="R36" i="28"/>
  <c r="W36" i="28"/>
  <c r="L36" i="28"/>
  <c r="T40" i="28"/>
  <c r="Q40" i="28"/>
  <c r="P40" i="28"/>
  <c r="R40" i="28"/>
  <c r="S40" i="28"/>
  <c r="W40" i="28"/>
  <c r="L40" i="28"/>
  <c r="O40" i="28"/>
  <c r="M40" i="28"/>
  <c r="M53" i="28"/>
  <c r="S53" i="28"/>
  <c r="R53" i="28"/>
  <c r="Q53" i="28"/>
  <c r="L53" i="28"/>
  <c r="O53" i="28"/>
  <c r="W53" i="28"/>
  <c r="V53" i="28"/>
  <c r="P53" i="28"/>
  <c r="N53" i="28"/>
  <c r="Q19" i="25"/>
  <c r="R19" i="25"/>
  <c r="N19" i="25"/>
  <c r="O19" i="25"/>
  <c r="W19" i="25"/>
  <c r="P19" i="25"/>
  <c r="M19" i="25"/>
  <c r="U19" i="25"/>
  <c r="V19" i="25"/>
  <c r="L19" i="25"/>
  <c r="L67" i="25"/>
  <c r="R67" i="25"/>
  <c r="N67" i="25"/>
  <c r="W67" i="25"/>
  <c r="V67" i="25"/>
  <c r="M67" i="25"/>
  <c r="P67" i="25"/>
  <c r="S67" i="25"/>
  <c r="O67" i="25"/>
  <c r="Q67" i="25"/>
  <c r="U67" i="25"/>
  <c r="T67" i="25"/>
  <c r="P37" i="28"/>
  <c r="W37" i="28"/>
  <c r="Q37" i="28"/>
  <c r="O37" i="28"/>
  <c r="M37" i="28"/>
  <c r="R37" i="28"/>
  <c r="V37" i="28"/>
  <c r="S37" i="28"/>
  <c r="L41" i="28"/>
  <c r="U41" i="28"/>
  <c r="O41" i="28"/>
  <c r="S41" i="28"/>
  <c r="P41" i="28"/>
  <c r="Q41" i="28"/>
  <c r="V41" i="28"/>
  <c r="M41" i="28"/>
  <c r="R41" i="28"/>
  <c r="T41" i="28"/>
  <c r="W54" i="28"/>
  <c r="N54" i="28"/>
  <c r="U54" i="28"/>
  <c r="P54" i="28"/>
  <c r="O54" i="28"/>
  <c r="V54" i="28"/>
  <c r="R54" i="28"/>
  <c r="Q54" i="28"/>
  <c r="M54" i="28"/>
  <c r="L54" i="28"/>
  <c r="T62" i="25"/>
  <c r="W62" i="25"/>
  <c r="M62" i="25"/>
  <c r="P62" i="25"/>
  <c r="O62" i="25"/>
  <c r="L62" i="25"/>
  <c r="R62" i="25"/>
  <c r="N62" i="25"/>
  <c r="Q62" i="25"/>
  <c r="V65" i="25"/>
  <c r="T65" i="25"/>
  <c r="U65" i="25"/>
  <c r="O65" i="25"/>
  <c r="N65" i="25"/>
  <c r="L65" i="25"/>
  <c r="R65" i="25"/>
  <c r="P65" i="25"/>
  <c r="W65" i="25"/>
  <c r="S65" i="25"/>
  <c r="M65" i="25"/>
  <c r="Q65" i="25"/>
  <c r="V56" i="28"/>
  <c r="S47" i="28"/>
  <c r="S28" i="28"/>
  <c r="P50" i="28"/>
  <c r="P45" i="25"/>
  <c r="O22" i="25"/>
  <c r="L22" i="25"/>
  <c r="S42" i="25"/>
  <c r="X487" i="15"/>
  <c r="W487" i="15"/>
  <c r="S486" i="15"/>
  <c r="X486" i="15" s="1"/>
  <c r="T455" i="15"/>
  <c r="AB455" i="15" s="1"/>
  <c r="S508" i="15"/>
  <c r="X508" i="15" s="1"/>
  <c r="AD508" i="15"/>
  <c r="V508" i="15" s="1"/>
  <c r="S503" i="15"/>
  <c r="X503" i="15" s="1"/>
  <c r="AD503" i="15"/>
  <c r="V503" i="15" s="1"/>
  <c r="S513" i="15"/>
  <c r="X513" i="15" s="1"/>
  <c r="AD513" i="15"/>
  <c r="X489" i="15"/>
  <c r="W273" i="15"/>
  <c r="X454" i="15"/>
  <c r="AD67" i="15"/>
  <c r="V67" i="15" s="1"/>
  <c r="T67" i="15" s="1"/>
  <c r="U52" i="28"/>
  <c r="V52" i="28"/>
  <c r="V21" i="28"/>
  <c r="S21" i="28"/>
  <c r="M38" i="28"/>
  <c r="V38" i="28"/>
  <c r="L55" i="28"/>
  <c r="N55" i="28"/>
  <c r="U55" i="28"/>
  <c r="T55" i="28"/>
  <c r="Q55" i="28"/>
  <c r="O55" i="28"/>
  <c r="V55" i="28"/>
  <c r="M55" i="28"/>
  <c r="P55" i="28"/>
  <c r="V48" i="28"/>
  <c r="M48" i="28"/>
  <c r="O48" i="28"/>
  <c r="P48" i="28"/>
  <c r="Q48" i="28"/>
  <c r="N58" i="28"/>
  <c r="P58" i="28"/>
  <c r="W58" i="28"/>
  <c r="U58" i="28"/>
  <c r="S58" i="28"/>
  <c r="Q58" i="28"/>
  <c r="M58" i="28"/>
  <c r="O58" i="28"/>
  <c r="S68" i="28"/>
  <c r="Q68" i="28"/>
  <c r="T68" i="28"/>
  <c r="O68" i="28"/>
  <c r="V68" i="28"/>
  <c r="P68" i="28"/>
  <c r="N68" i="28"/>
  <c r="L68" i="28"/>
  <c r="W45" i="25"/>
  <c r="N45" i="25"/>
  <c r="L45" i="25"/>
  <c r="P63" i="25"/>
  <c r="Q63" i="25"/>
  <c r="M63" i="25"/>
  <c r="U66" i="28"/>
  <c r="W66" i="28"/>
  <c r="U40" i="28"/>
  <c r="M56" i="28"/>
  <c r="N40" i="28"/>
  <c r="T56" i="28"/>
  <c r="L47" i="28"/>
  <c r="O50" i="28"/>
  <c r="T47" i="28"/>
  <c r="P28" i="28"/>
  <c r="T53" i="28"/>
  <c r="U53" i="28"/>
  <c r="T50" i="28"/>
  <c r="N66" i="28"/>
  <c r="V40" i="28"/>
  <c r="T28" i="28"/>
  <c r="S36" i="25"/>
  <c r="Q36" i="25"/>
  <c r="V36" i="25"/>
  <c r="T41" i="25"/>
  <c r="W41" i="25"/>
  <c r="U41" i="25"/>
  <c r="N56" i="25"/>
  <c r="Q56" i="25"/>
  <c r="U56" i="25"/>
  <c r="N36" i="25"/>
  <c r="W36" i="25"/>
  <c r="L25" i="25"/>
  <c r="M41" i="25"/>
  <c r="Q41" i="25"/>
  <c r="V25" i="25"/>
  <c r="S28" i="25"/>
  <c r="Q28" i="25"/>
  <c r="U28" i="25"/>
  <c r="W38" i="25"/>
  <c r="N38" i="25"/>
  <c r="Q38" i="25"/>
  <c r="S44" i="25"/>
  <c r="M44" i="25"/>
  <c r="P44" i="25"/>
  <c r="M53" i="25"/>
  <c r="V53" i="25"/>
  <c r="O53" i="25"/>
  <c r="N58" i="25"/>
  <c r="Q58" i="25"/>
  <c r="S62" i="25"/>
  <c r="V62" i="25"/>
  <c r="M35" i="28"/>
  <c r="O46" i="25"/>
  <c r="V46" i="25"/>
  <c r="M46" i="25"/>
  <c r="L57" i="25"/>
  <c r="W57" i="25"/>
  <c r="P59" i="25"/>
  <c r="Q59" i="25"/>
  <c r="P68" i="25"/>
  <c r="O68" i="25"/>
  <c r="M68" i="25"/>
  <c r="X209" i="15" l="1"/>
  <c r="X365" i="15"/>
  <c r="W279" i="15"/>
  <c r="R145" i="15"/>
  <c r="X691" i="15"/>
  <c r="AD700" i="15"/>
  <c r="AD711" i="15"/>
  <c r="AD718" i="15"/>
  <c r="AD719" i="15"/>
  <c r="R748" i="15"/>
  <c r="AD774" i="15"/>
  <c r="AD783" i="15"/>
  <c r="AD784" i="15"/>
  <c r="AD787" i="15"/>
  <c r="AD790" i="15"/>
  <c r="C277" i="22"/>
  <c r="D277" i="22" s="1"/>
  <c r="T696" i="15"/>
  <c r="C275" i="22" s="1"/>
  <c r="D275" i="22" s="1"/>
  <c r="T674" i="15"/>
  <c r="T677" i="15"/>
  <c r="T686" i="15"/>
  <c r="Y686" i="15" s="1"/>
  <c r="Q64" i="21"/>
  <c r="T692" i="15"/>
  <c r="P64" i="21"/>
  <c r="AB694" i="15"/>
  <c r="AB695" i="15" s="1"/>
  <c r="AB696" i="15" s="1"/>
  <c r="AB697" i="15" s="1"/>
  <c r="AB698" i="15" s="1"/>
  <c r="AB699" i="15" s="1"/>
  <c r="AB700" i="15" s="1"/>
  <c r="AB701" i="15" s="1"/>
  <c r="AB702" i="15" s="1"/>
  <c r="AB703" i="15" s="1"/>
  <c r="AB704" i="15" s="1"/>
  <c r="AB705" i="15" s="1"/>
  <c r="P101" i="21"/>
  <c r="T16" i="28"/>
  <c r="T681" i="15"/>
  <c r="T685" i="15"/>
  <c r="C274" i="22"/>
  <c r="D274" i="22" s="1"/>
  <c r="T683" i="15"/>
  <c r="T689" i="15"/>
  <c r="T690" i="15"/>
  <c r="T676" i="15"/>
  <c r="Y676" i="15" s="1"/>
  <c r="E64" i="21"/>
  <c r="T684" i="15"/>
  <c r="T691" i="15"/>
  <c r="D64" i="21"/>
  <c r="F64" i="21" s="1"/>
  <c r="T678" i="15"/>
  <c r="T679" i="15"/>
  <c r="T682" i="15"/>
  <c r="T688" i="15"/>
  <c r="C269" i="22" s="1"/>
  <c r="D269" i="22" s="1"/>
  <c r="E101" i="21"/>
  <c r="Y847" i="15"/>
  <c r="B4" i="21"/>
  <c r="AC797" i="15"/>
  <c r="R797" i="15"/>
  <c r="AC2099" i="15"/>
  <c r="R2099" i="15"/>
  <c r="AC2186" i="15"/>
  <c r="R2186" i="15"/>
  <c r="X1953" i="15"/>
  <c r="W1953" i="15"/>
  <c r="Q42" i="15"/>
  <c r="X42" i="15" s="1"/>
  <c r="R42" i="15"/>
  <c r="Q78" i="15"/>
  <c r="X78" i="15" s="1"/>
  <c r="R78" i="15"/>
  <c r="AC107" i="15"/>
  <c r="R107" i="15"/>
  <c r="W107" i="15" s="1"/>
  <c r="Q126" i="15"/>
  <c r="R126" i="15"/>
  <c r="Q130" i="15"/>
  <c r="X130" i="15" s="1"/>
  <c r="R130" i="15"/>
  <c r="Q142" i="15"/>
  <c r="R142" i="15"/>
  <c r="Q220" i="15"/>
  <c r="T220" i="15" s="1"/>
  <c r="Y220" i="15" s="1"/>
  <c r="R220" i="15"/>
  <c r="Q234" i="15"/>
  <c r="R234" i="15"/>
  <c r="Q276" i="15"/>
  <c r="X276" i="15" s="1"/>
  <c r="R276" i="15"/>
  <c r="Q280" i="15"/>
  <c r="R280" i="15"/>
  <c r="S331" i="15"/>
  <c r="X331" i="15" s="1"/>
  <c r="AD331" i="15"/>
  <c r="V331" i="15" s="1"/>
  <c r="AC332" i="15"/>
  <c r="R332" i="15"/>
  <c r="W332" i="15" s="1"/>
  <c r="AC337" i="15"/>
  <c r="U337" i="15" s="1"/>
  <c r="R337" i="15"/>
  <c r="W337" i="15" s="1"/>
  <c r="Q362" i="15"/>
  <c r="R362" i="15"/>
  <c r="S386" i="15"/>
  <c r="AD386" i="15"/>
  <c r="V386" i="15" s="1"/>
  <c r="AC387" i="15"/>
  <c r="R387" i="15"/>
  <c r="W387" i="15" s="1"/>
  <c r="S394" i="15"/>
  <c r="AD394" i="15"/>
  <c r="Q398" i="15"/>
  <c r="X398" i="15" s="1"/>
  <c r="AD398" i="15"/>
  <c r="Q401" i="15"/>
  <c r="X401" i="15" s="1"/>
  <c r="R401" i="15"/>
  <c r="AC415" i="15"/>
  <c r="R415" i="15"/>
  <c r="W415" i="15" s="1"/>
  <c r="Q433" i="15"/>
  <c r="R433" i="15"/>
  <c r="X458" i="15"/>
  <c r="S458" i="15"/>
  <c r="AD458" i="15"/>
  <c r="V458" i="15" s="1"/>
  <c r="S499" i="15"/>
  <c r="AD499" i="15"/>
  <c r="V499" i="15" s="1"/>
  <c r="S530" i="15"/>
  <c r="X530" i="15" s="1"/>
  <c r="AD530" i="15"/>
  <c r="V530" i="15" s="1"/>
  <c r="R540" i="15"/>
  <c r="W540" i="15" s="1"/>
  <c r="AC540" i="15"/>
  <c r="Q553" i="15"/>
  <c r="R553" i="15"/>
  <c r="Q554" i="15"/>
  <c r="AD554" i="15"/>
  <c r="S562" i="15"/>
  <c r="AD562" i="15"/>
  <c r="V562" i="15" s="1"/>
  <c r="S586" i="15"/>
  <c r="AD586" i="15"/>
  <c r="V586" i="15" s="1"/>
  <c r="Q607" i="15"/>
  <c r="R607" i="15"/>
  <c r="S607" i="15"/>
  <c r="AD607" i="15"/>
  <c r="V607" i="15" s="1"/>
  <c r="Q622" i="15"/>
  <c r="R622" i="15"/>
  <c r="AC624" i="15"/>
  <c r="R624" i="15"/>
  <c r="S627" i="15"/>
  <c r="AD627" i="15"/>
  <c r="V627" i="15" s="1"/>
  <c r="X62" i="15"/>
  <c r="W48" i="15"/>
  <c r="Y737" i="15"/>
  <c r="X142" i="15"/>
  <c r="T622" i="15"/>
  <c r="AD163" i="15"/>
  <c r="V163" i="15" s="1"/>
  <c r="M93" i="14"/>
  <c r="X342" i="15"/>
  <c r="X216" i="15"/>
  <c r="Y1396" i="15"/>
  <c r="X654" i="15"/>
  <c r="X686" i="15"/>
  <c r="W686" i="15"/>
  <c r="X295" i="15"/>
  <c r="W687" i="15"/>
  <c r="X687" i="15"/>
  <c r="W288" i="15"/>
  <c r="Y883" i="15"/>
  <c r="X685" i="15"/>
  <c r="Y1421" i="15"/>
  <c r="D101" i="21"/>
  <c r="F101" i="21" s="1"/>
  <c r="T675" i="15"/>
  <c r="X680" i="15"/>
  <c r="W674" i="15"/>
  <c r="X682" i="15"/>
  <c r="Y2141" i="15"/>
  <c r="X679" i="15"/>
  <c r="X676" i="15"/>
  <c r="X658" i="15"/>
  <c r="W666" i="15"/>
  <c r="X666" i="15"/>
  <c r="X655" i="15"/>
  <c r="W655" i="15"/>
  <c r="X1766" i="15"/>
  <c r="Y1336" i="15"/>
  <c r="W1323" i="15"/>
  <c r="W1290" i="15"/>
  <c r="X70" i="15"/>
  <c r="X87" i="15"/>
  <c r="W295" i="15"/>
  <c r="Y1362" i="15"/>
  <c r="Y1398" i="15"/>
  <c r="T673" i="15"/>
  <c r="W658" i="15"/>
  <c r="X668" i="15"/>
  <c r="T652" i="15"/>
  <c r="P89" i="21" s="1"/>
  <c r="T655" i="15"/>
  <c r="T662" i="15"/>
  <c r="Y662" i="15" s="1"/>
  <c r="T668" i="15"/>
  <c r="T659" i="15"/>
  <c r="T665" i="15"/>
  <c r="T669" i="15"/>
  <c r="T644" i="15"/>
  <c r="Y644" i="15" s="1"/>
  <c r="T649" i="15"/>
  <c r="T663" i="15"/>
  <c r="X670" i="15"/>
  <c r="T658" i="15"/>
  <c r="Y658" i="15" s="1"/>
  <c r="T667" i="15"/>
  <c r="X667" i="15"/>
  <c r="T656" i="15"/>
  <c r="T657" i="15"/>
  <c r="AB657" i="15" s="1"/>
  <c r="AB658" i="15" s="1"/>
  <c r="X665" i="15"/>
  <c r="X1028" i="15"/>
  <c r="X660" i="15"/>
  <c r="X2038" i="15"/>
  <c r="T651" i="15"/>
  <c r="P39" i="21" s="1"/>
  <c r="Y909" i="15"/>
  <c r="W1349" i="15"/>
  <c r="T653" i="15"/>
  <c r="R6" i="14"/>
  <c r="J88" i="14"/>
  <c r="U89" i="14"/>
  <c r="S88" i="14"/>
  <c r="G61" i="14"/>
  <c r="R53" i="14"/>
  <c r="J90" i="14"/>
  <c r="N61" i="14"/>
  <c r="F5" i="14"/>
  <c r="K155" i="14"/>
  <c r="J155" i="14"/>
  <c r="N155" i="14"/>
  <c r="I155" i="14"/>
  <c r="O20" i="14"/>
  <c r="D90" i="14"/>
  <c r="R5" i="14"/>
  <c r="T5" i="14"/>
  <c r="P5" i="14" s="1"/>
  <c r="D3" i="3" s="1"/>
  <c r="F6" i="14"/>
  <c r="K23" i="14"/>
  <c r="E90" i="14"/>
  <c r="N20" i="14"/>
  <c r="N90" i="14"/>
  <c r="Q61" i="14"/>
  <c r="E23" i="14"/>
  <c r="K20" i="14"/>
  <c r="R109" i="21"/>
  <c r="M109" i="21"/>
  <c r="C109" i="21"/>
  <c r="D109" i="21" s="1"/>
  <c r="F109" i="21" s="1"/>
  <c r="H6" i="14"/>
  <c r="S53" i="14"/>
  <c r="D23" i="14"/>
  <c r="T23" i="14"/>
  <c r="M53" i="14"/>
  <c r="U88" i="14"/>
  <c r="F88" i="14"/>
  <c r="R89" i="14"/>
  <c r="G53" i="14"/>
  <c r="D6" i="14"/>
  <c r="I90" i="14"/>
  <c r="I5" i="14"/>
  <c r="D20" i="14"/>
  <c r="T20" i="14"/>
  <c r="R61" i="14"/>
  <c r="K61" i="14"/>
  <c r="Q155" i="14"/>
  <c r="U155" i="14"/>
  <c r="M155" i="14"/>
  <c r="F155" i="14"/>
  <c r="R20" i="14"/>
  <c r="G90" i="14"/>
  <c r="O5" i="14"/>
  <c r="S5" i="14"/>
  <c r="R23" i="14"/>
  <c r="L6" i="14"/>
  <c r="R88" i="14"/>
  <c r="J23" i="14"/>
  <c r="K5" i="14"/>
  <c r="S20" i="14"/>
  <c r="K78" i="14"/>
  <c r="E88" i="14"/>
  <c r="H61" i="14"/>
  <c r="N88" i="14"/>
  <c r="I89" i="14"/>
  <c r="I109" i="21"/>
  <c r="L109" i="21"/>
  <c r="K6" i="14"/>
  <c r="K89" i="14"/>
  <c r="F61" i="14"/>
  <c r="M5" i="14"/>
  <c r="F89" i="14"/>
  <c r="D61" i="14"/>
  <c r="M90" i="14"/>
  <c r="M61" i="14"/>
  <c r="H155" i="14"/>
  <c r="R155" i="14"/>
  <c r="E155" i="14"/>
  <c r="O155" i="14"/>
  <c r="D155" i="14"/>
  <c r="O90" i="14"/>
  <c r="G5" i="14"/>
  <c r="U6" i="14"/>
  <c r="S6" i="14"/>
  <c r="N5" i="14"/>
  <c r="L61" i="14"/>
  <c r="U61" i="14"/>
  <c r="E109" i="21"/>
  <c r="D98" i="21"/>
  <c r="F98" i="21" s="1"/>
  <c r="T21" i="28"/>
  <c r="X656" i="15"/>
  <c r="T643" i="15"/>
  <c r="Y643" i="15" s="1"/>
  <c r="T645" i="15"/>
  <c r="P109" i="21"/>
  <c r="P98" i="21"/>
  <c r="X1686" i="15"/>
  <c r="W1061" i="15"/>
  <c r="Y1485" i="15"/>
  <c r="Y1560" i="15"/>
  <c r="Y1544" i="15"/>
  <c r="Y1625" i="15"/>
  <c r="Y2104" i="15"/>
  <c r="X650" i="15"/>
  <c r="Y2007" i="15"/>
  <c r="W1391" i="15"/>
  <c r="Y1759" i="15"/>
  <c r="T646" i="15"/>
  <c r="Y646" i="15" s="1"/>
  <c r="H11" i="3"/>
  <c r="M13" i="3"/>
  <c r="M12" i="3"/>
  <c r="W649" i="15"/>
  <c r="X649" i="15"/>
  <c r="X632" i="15"/>
  <c r="T632" i="15"/>
  <c r="Y632" i="15" s="1"/>
  <c r="X48" i="15"/>
  <c r="Y1770" i="15"/>
  <c r="Y1097" i="15"/>
  <c r="Y761" i="15"/>
  <c r="Y708" i="15"/>
  <c r="Y791" i="15"/>
  <c r="Y944" i="15"/>
  <c r="Y715" i="15"/>
  <c r="Y1138" i="15"/>
  <c r="Y1497" i="15"/>
  <c r="Y2095" i="15"/>
  <c r="X640" i="15"/>
  <c r="Y1156" i="15"/>
  <c r="Y877" i="15"/>
  <c r="Y778" i="15"/>
  <c r="T636" i="15"/>
  <c r="Y636" i="15" s="1"/>
  <c r="X647" i="15"/>
  <c r="T638" i="15"/>
  <c r="Y638" i="15" s="1"/>
  <c r="T634" i="15"/>
  <c r="Y634" i="15" s="1"/>
  <c r="T639" i="15"/>
  <c r="T637" i="15"/>
  <c r="Y637" i="15" s="1"/>
  <c r="T640" i="15"/>
  <c r="X638" i="15"/>
  <c r="W638" i="15"/>
  <c r="AC641" i="15"/>
  <c r="R641" i="15"/>
  <c r="W641" i="15" s="1"/>
  <c r="T631" i="15"/>
  <c r="P99" i="21" s="1"/>
  <c r="T621" i="15"/>
  <c r="Y621" i="15" s="1"/>
  <c r="AD128" i="15"/>
  <c r="Y1012" i="15"/>
  <c r="Y1312" i="15"/>
  <c r="Y1408" i="15"/>
  <c r="Y1757" i="15"/>
  <c r="Y1763" i="15"/>
  <c r="Y1743" i="15"/>
  <c r="Y1989" i="15"/>
  <c r="W1597" i="15"/>
  <c r="Y1348" i="15"/>
  <c r="Y1736" i="15"/>
  <c r="Y743" i="15"/>
  <c r="Y1190" i="15"/>
  <c r="Y665" i="15"/>
  <c r="Y1887" i="15"/>
  <c r="Y1037" i="15"/>
  <c r="Y1141" i="15"/>
  <c r="Y1385" i="15"/>
  <c r="Y718" i="15"/>
  <c r="X153" i="15"/>
  <c r="Y1364" i="15"/>
  <c r="Y1881" i="15"/>
  <c r="AD192" i="15"/>
  <c r="V192" i="15" s="1"/>
  <c r="T192" i="15" s="1"/>
  <c r="X1699" i="15"/>
  <c r="R490" i="15"/>
  <c r="W490" i="15" s="1"/>
  <c r="R1747" i="15"/>
  <c r="Y695" i="15"/>
  <c r="Y1811" i="15"/>
  <c r="Y1443" i="15"/>
  <c r="Y921" i="15"/>
  <c r="Y1144" i="15"/>
  <c r="Y836" i="15"/>
  <c r="Y1118" i="15"/>
  <c r="Y635" i="15"/>
  <c r="X635" i="15"/>
  <c r="X634" i="15"/>
  <c r="W634" i="15"/>
  <c r="X633" i="15"/>
  <c r="R1384" i="15"/>
  <c r="T610" i="15"/>
  <c r="Y610" i="15" s="1"/>
  <c r="Y1360" i="15"/>
  <c r="X2189" i="15"/>
  <c r="X2173" i="15"/>
  <c r="R1805" i="15"/>
  <c r="W1606" i="15"/>
  <c r="X1678" i="15"/>
  <c r="AC1384" i="15"/>
  <c r="R1630" i="15"/>
  <c r="R693" i="15"/>
  <c r="X1304" i="15"/>
  <c r="Y1460" i="15"/>
  <c r="W497" i="15"/>
  <c r="W378" i="15"/>
  <c r="W610" i="15"/>
  <c r="X2243" i="15"/>
  <c r="R2044" i="15"/>
  <c r="X2102" i="15"/>
  <c r="X1986" i="15"/>
  <c r="W1884" i="15"/>
  <c r="W1782" i="15"/>
  <c r="R1661" i="15"/>
  <c r="W1790" i="15"/>
  <c r="X1674" i="15"/>
  <c r="W1234" i="15"/>
  <c r="Y956" i="15"/>
  <c r="Y2164" i="15"/>
  <c r="Y2191" i="15"/>
  <c r="Y1952" i="15"/>
  <c r="R2220" i="15"/>
  <c r="Y641" i="15"/>
  <c r="Y730" i="15"/>
  <c r="Y1028" i="15"/>
  <c r="Y2238" i="15"/>
  <c r="Y1119" i="15"/>
  <c r="Y1397" i="15"/>
  <c r="Y1577" i="15"/>
  <c r="X85" i="15"/>
  <c r="AD615" i="15"/>
  <c r="V615" i="15" s="1"/>
  <c r="R2209" i="15"/>
  <c r="W2010" i="15"/>
  <c r="X1912" i="15"/>
  <c r="W1713" i="15"/>
  <c r="W1322" i="15"/>
  <c r="X1254" i="15"/>
  <c r="W1174" i="15"/>
  <c r="Y1912" i="15"/>
  <c r="Y1876" i="15"/>
  <c r="X2108" i="15"/>
  <c r="W1901" i="15"/>
  <c r="R1536" i="15"/>
  <c r="X631" i="15"/>
  <c r="T627" i="15"/>
  <c r="Q6" i="14"/>
  <c r="D89" i="14"/>
  <c r="J25" i="14"/>
  <c r="D88" i="14"/>
  <c r="O89" i="14"/>
  <c r="K88" i="14"/>
  <c r="U43" i="14"/>
  <c r="P43" i="14" s="1"/>
  <c r="D41" i="3" s="1"/>
  <c r="M43" i="14"/>
  <c r="L16" i="14"/>
  <c r="L89" i="14"/>
  <c r="Q25" i="14"/>
  <c r="Q53" i="14"/>
  <c r="I43" i="14"/>
  <c r="J61" i="14"/>
  <c r="F90" i="14"/>
  <c r="H5" i="14"/>
  <c r="S90" i="14"/>
  <c r="H90" i="14"/>
  <c r="L5" i="14"/>
  <c r="K90" i="14"/>
  <c r="I6" i="14"/>
  <c r="E16" i="14"/>
  <c r="N25" i="14"/>
  <c r="U53" i="14"/>
  <c r="Q90" i="14"/>
  <c r="I88" i="14"/>
  <c r="S61" i="14"/>
  <c r="L88" i="14"/>
  <c r="Q89" i="14"/>
  <c r="F53" i="14"/>
  <c r="I14" i="17"/>
  <c r="I13" i="17"/>
  <c r="H16" i="14"/>
  <c r="I16" i="14"/>
  <c r="O42" i="14"/>
  <c r="I14" i="14"/>
  <c r="H88" i="14"/>
  <c r="J89" i="14"/>
  <c r="E6" i="14"/>
  <c r="G6" i="14"/>
  <c r="F42" i="14"/>
  <c r="W290" i="15"/>
  <c r="W175" i="15"/>
  <c r="W174" i="15"/>
  <c r="X1742" i="15"/>
  <c r="X1218" i="15"/>
  <c r="Y800" i="15"/>
  <c r="Y941" i="15"/>
  <c r="Y946" i="15"/>
  <c r="Y1405" i="15"/>
  <c r="Y1644" i="15"/>
  <c r="Y1409" i="15"/>
  <c r="Y1629" i="15"/>
  <c r="W627" i="15"/>
  <c r="AD1997" i="15"/>
  <c r="T290" i="15"/>
  <c r="K31" i="21" s="1"/>
  <c r="T174" i="15"/>
  <c r="Y174" i="15" s="1"/>
  <c r="W985" i="15"/>
  <c r="Y710" i="15"/>
  <c r="Y1273" i="15"/>
  <c r="Y1337" i="15"/>
  <c r="Y1731" i="15"/>
  <c r="Y1783" i="15"/>
  <c r="Y1815" i="15"/>
  <c r="Y1428" i="15"/>
  <c r="R2104" i="15"/>
  <c r="R2106" i="15"/>
  <c r="W2034" i="15"/>
  <c r="W1848" i="15"/>
  <c r="W1738" i="15"/>
  <c r="R1773" i="15"/>
  <c r="W1578" i="15"/>
  <c r="R1346" i="15"/>
  <c r="R1355" i="15"/>
  <c r="W1338" i="15"/>
  <c r="W1230" i="15"/>
  <c r="W952" i="15"/>
  <c r="R849" i="15"/>
  <c r="R834" i="15"/>
  <c r="AD247" i="15"/>
  <c r="V247" i="15" s="1"/>
  <c r="T247" i="15" s="1"/>
  <c r="Y247" i="15" s="1"/>
  <c r="W2055" i="15"/>
  <c r="X2230" i="15"/>
  <c r="W1831" i="15"/>
  <c r="X1652" i="15"/>
  <c r="Y1053" i="15"/>
  <c r="W1684" i="15"/>
  <c r="Y669" i="15"/>
  <c r="Y807" i="15"/>
  <c r="Y911" i="15"/>
  <c r="Y1007" i="15"/>
  <c r="Y1378" i="15"/>
  <c r="X589" i="15"/>
  <c r="X590" i="15"/>
  <c r="X174" i="15"/>
  <c r="R2174" i="15"/>
  <c r="Y2231" i="15"/>
  <c r="X2214" i="15"/>
  <c r="R2155" i="15"/>
  <c r="R2048" i="15"/>
  <c r="Y2138" i="15"/>
  <c r="R2195" i="15"/>
  <c r="R1978" i="15"/>
  <c r="X1727" i="15"/>
  <c r="X1822" i="15"/>
  <c r="X1750" i="15"/>
  <c r="R1430" i="15"/>
  <c r="W1569" i="15"/>
  <c r="X1574" i="15"/>
  <c r="X1242" i="15"/>
  <c r="X1262" i="15"/>
  <c r="W2227" i="15"/>
  <c r="R1996" i="15"/>
  <c r="W1800" i="15"/>
  <c r="X1611" i="15"/>
  <c r="W1643" i="15"/>
  <c r="Y1600" i="15"/>
  <c r="Y1072" i="15"/>
  <c r="Y1401" i="15"/>
  <c r="Y1906" i="15"/>
  <c r="Y2271" i="15"/>
  <c r="X626" i="15"/>
  <c r="T623" i="15"/>
  <c r="Y623" i="15" s="1"/>
  <c r="T613" i="15"/>
  <c r="Y613" i="15" s="1"/>
  <c r="T620" i="15"/>
  <c r="Y620" i="15" s="1"/>
  <c r="X625" i="15"/>
  <c r="W625" i="15"/>
  <c r="X621" i="15"/>
  <c r="T208" i="15"/>
  <c r="Y208" i="15" s="1"/>
  <c r="T322" i="15"/>
  <c r="Y322" i="15" s="1"/>
  <c r="T418" i="15"/>
  <c r="Y418" i="15" s="1"/>
  <c r="T606" i="15"/>
  <c r="Y606" i="15" s="1"/>
  <c r="T84" i="15"/>
  <c r="Y84" i="15" s="1"/>
  <c r="T494" i="15"/>
  <c r="Y494" i="15" s="1"/>
  <c r="T614" i="15"/>
  <c r="X619" i="15"/>
  <c r="T45" i="15"/>
  <c r="Y45" i="15" s="1"/>
  <c r="T70" i="15"/>
  <c r="Y70" i="15" s="1"/>
  <c r="T618" i="15"/>
  <c r="Y618" i="15" s="1"/>
  <c r="T22" i="25"/>
  <c r="T25" i="25"/>
  <c r="T607" i="15"/>
  <c r="P86" i="21" s="1"/>
  <c r="X617" i="15"/>
  <c r="T331" i="15"/>
  <c r="Y331" i="15" s="1"/>
  <c r="Y1168" i="15"/>
  <c r="Y1453" i="15"/>
  <c r="Y1444" i="15"/>
  <c r="Y1381" i="15"/>
  <c r="W2065" i="15"/>
  <c r="W1920" i="15"/>
  <c r="W1863" i="15"/>
  <c r="X1818" i="15"/>
  <c r="Y1818" i="15"/>
  <c r="Y1830" i="15"/>
  <c r="R1666" i="15"/>
  <c r="X1634" i="15"/>
  <c r="R1333" i="15"/>
  <c r="W1217" i="15"/>
  <c r="R1154" i="15"/>
  <c r="W1582" i="15"/>
  <c r="X1246" i="15"/>
  <c r="Y1249" i="15"/>
  <c r="R824" i="15"/>
  <c r="W793" i="15"/>
  <c r="X2171" i="15"/>
  <c r="W2146" i="15"/>
  <c r="Y2218" i="15"/>
  <c r="X1967" i="15"/>
  <c r="Y1836" i="15"/>
  <c r="R2019" i="15"/>
  <c r="Y1618" i="15"/>
  <c r="X2057" i="15"/>
  <c r="Y774" i="15"/>
  <c r="Y1465" i="15"/>
  <c r="Y1415" i="15"/>
  <c r="Y1122" i="15"/>
  <c r="Y1287" i="15"/>
  <c r="Y1981" i="15"/>
  <c r="X1213" i="15"/>
  <c r="Y744" i="15"/>
  <c r="Y993" i="15"/>
  <c r="Y1059" i="15"/>
  <c r="Y1125" i="15"/>
  <c r="Y1297" i="15"/>
  <c r="Y1330" i="15"/>
  <c r="Y1709" i="15"/>
  <c r="Y2053" i="15"/>
  <c r="Y2242" i="15"/>
  <c r="Y2272" i="15"/>
  <c r="Y1817" i="15"/>
  <c r="R184" i="15"/>
  <c r="W184" i="15" s="1"/>
  <c r="R958" i="15"/>
  <c r="AD92" i="15"/>
  <c r="V92" i="15" s="1"/>
  <c r="T92" i="15" s="1"/>
  <c r="Y92" i="15" s="1"/>
  <c r="Y824" i="15"/>
  <c r="Y810" i="15"/>
  <c r="Y1547" i="15"/>
  <c r="Y1710" i="15"/>
  <c r="Y913" i="15"/>
  <c r="R1318" i="15"/>
  <c r="R2165" i="15"/>
  <c r="Y1137" i="15"/>
  <c r="Y1187" i="15"/>
  <c r="Y1873" i="15"/>
  <c r="Q615" i="15"/>
  <c r="X615" i="15" s="1"/>
  <c r="W180" i="15"/>
  <c r="T579" i="15"/>
  <c r="Y579" i="15" s="1"/>
  <c r="T578" i="15"/>
  <c r="Y578" i="15" s="1"/>
  <c r="T355" i="15"/>
  <c r="AB355" i="15" s="1"/>
  <c r="T441" i="15"/>
  <c r="Y441" i="15" s="1"/>
  <c r="T132" i="15"/>
  <c r="Y132" i="15" s="1"/>
  <c r="T124" i="15"/>
  <c r="Y124" i="15" s="1"/>
  <c r="T450" i="15"/>
  <c r="Y450" i="15" s="1"/>
  <c r="T439" i="15"/>
  <c r="Y439" i="15" s="1"/>
  <c r="T142" i="15"/>
  <c r="Y142" i="15" s="1"/>
  <c r="T346" i="15"/>
  <c r="Y346" i="15" s="1"/>
  <c r="T599" i="15"/>
  <c r="Y599" i="15" s="1"/>
  <c r="T597" i="15"/>
  <c r="C247" i="22" s="1"/>
  <c r="D247" i="22" s="1"/>
  <c r="T591" i="15"/>
  <c r="Y591" i="15" s="1"/>
  <c r="T475" i="15"/>
  <c r="Y475" i="15" s="1"/>
  <c r="T457" i="15"/>
  <c r="Y457" i="15" s="1"/>
  <c r="T446" i="15"/>
  <c r="Y446" i="15" s="1"/>
  <c r="T384" i="15"/>
  <c r="T605" i="15"/>
  <c r="Y605" i="15" s="1"/>
  <c r="X613" i="15"/>
  <c r="T447" i="15"/>
  <c r="Y447" i="15" s="1"/>
  <c r="T81" i="15"/>
  <c r="C27" i="22" s="1"/>
  <c r="D27" i="22" s="1"/>
  <c r="T321" i="15"/>
  <c r="Y321" i="15" s="1"/>
  <c r="T305" i="15"/>
  <c r="Y305" i="15" s="1"/>
  <c r="T369" i="15"/>
  <c r="AB369" i="15" s="1"/>
  <c r="T389" i="15"/>
  <c r="Y389" i="15" s="1"/>
  <c r="X610" i="15"/>
  <c r="C96" i="22"/>
  <c r="D96" i="22" s="1"/>
  <c r="AH14" i="27"/>
  <c r="X605" i="15"/>
  <c r="X88" i="15"/>
  <c r="T88" i="15"/>
  <c r="Y88" i="15" s="1"/>
  <c r="AC628" i="15"/>
  <c r="R628" i="15"/>
  <c r="W628" i="15" s="1"/>
  <c r="W657" i="15"/>
  <c r="X657" i="15"/>
  <c r="AC662" i="15"/>
  <c r="R662" i="15"/>
  <c r="W662" i="15" s="1"/>
  <c r="X677" i="15"/>
  <c r="W677" i="15"/>
  <c r="X705" i="15"/>
  <c r="W705" i="15"/>
  <c r="W731" i="15"/>
  <c r="X731" i="15"/>
  <c r="AC732" i="15"/>
  <c r="R732" i="15"/>
  <c r="AC777" i="15"/>
  <c r="R777" i="15"/>
  <c r="R789" i="15"/>
  <c r="X797" i="15"/>
  <c r="W797" i="15"/>
  <c r="W805" i="15"/>
  <c r="X805" i="15"/>
  <c r="X812" i="15"/>
  <c r="W812" i="15"/>
  <c r="X816" i="15"/>
  <c r="W816" i="15"/>
  <c r="W825" i="15"/>
  <c r="X825" i="15"/>
  <c r="W829" i="15"/>
  <c r="X829" i="15"/>
  <c r="AC830" i="15"/>
  <c r="R830" i="15"/>
  <c r="X833" i="15"/>
  <c r="W833" i="15"/>
  <c r="X838" i="15"/>
  <c r="W838" i="15"/>
  <c r="X842" i="15"/>
  <c r="W842" i="15"/>
  <c r="AC854" i="15"/>
  <c r="R854" i="15"/>
  <c r="AC870" i="15"/>
  <c r="R870" i="15"/>
  <c r="W906" i="15"/>
  <c r="X906" i="15"/>
  <c r="X963" i="15"/>
  <c r="W963" i="15"/>
  <c r="X974" i="15"/>
  <c r="W974" i="15"/>
  <c r="W982" i="15"/>
  <c r="X982" i="15"/>
  <c r="X995" i="15"/>
  <c r="W995" i="15"/>
  <c r="AC1008" i="15"/>
  <c r="R1008" i="15"/>
  <c r="X1036" i="15"/>
  <c r="W1036" i="15"/>
  <c r="W1094" i="15"/>
  <c r="X1094" i="15"/>
  <c r="AC1158" i="15"/>
  <c r="R1158" i="15"/>
  <c r="AC1162" i="15"/>
  <c r="R1162" i="15"/>
  <c r="W1166" i="15"/>
  <c r="X1166" i="15"/>
  <c r="AC1186" i="15"/>
  <c r="R1186" i="15"/>
  <c r="W1201" i="15"/>
  <c r="X1201" i="15"/>
  <c r="AC1209" i="15"/>
  <c r="R1209" i="15"/>
  <c r="X1222" i="15"/>
  <c r="W1222" i="15"/>
  <c r="X1238" i="15"/>
  <c r="W1238" i="15"/>
  <c r="X1250" i="15"/>
  <c r="W1250" i="15"/>
  <c r="AC1251" i="15"/>
  <c r="R1251" i="15"/>
  <c r="AC1255" i="15"/>
  <c r="R1255" i="15"/>
  <c r="X1283" i="15"/>
  <c r="W1283" i="15"/>
  <c r="AC1284" i="15"/>
  <c r="R1284" i="15"/>
  <c r="X1308" i="15"/>
  <c r="W1308" i="15"/>
  <c r="AC1309" i="15"/>
  <c r="R1309" i="15"/>
  <c r="X1317" i="15"/>
  <c r="W1317" i="15"/>
  <c r="R1339" i="15"/>
  <c r="AC1368" i="15"/>
  <c r="R1368" i="15"/>
  <c r="AC1371" i="15"/>
  <c r="R1371" i="15"/>
  <c r="AC1448" i="15"/>
  <c r="R1448" i="15"/>
  <c r="X1460" i="15"/>
  <c r="W1460" i="15"/>
  <c r="W1523" i="15"/>
  <c r="X1523" i="15"/>
  <c r="AC1524" i="15"/>
  <c r="R1524" i="15"/>
  <c r="X1531" i="15"/>
  <c r="W1531" i="15"/>
  <c r="W1570" i="15"/>
  <c r="X1570" i="15"/>
  <c r="W1595" i="15"/>
  <c r="X1595" i="15"/>
  <c r="AC1596" i="15"/>
  <c r="R1596" i="15"/>
  <c r="W1599" i="15"/>
  <c r="X1599" i="15"/>
  <c r="AC1600" i="15"/>
  <c r="R1600" i="15"/>
  <c r="AC1644" i="15"/>
  <c r="R1644" i="15"/>
  <c r="AC1649" i="15"/>
  <c r="R1649" i="15"/>
  <c r="X1660" i="15"/>
  <c r="W1660" i="15"/>
  <c r="AC1679" i="15"/>
  <c r="R1679" i="15"/>
  <c r="X1683" i="15"/>
  <c r="W1683" i="15"/>
  <c r="AC1801" i="15"/>
  <c r="R1801" i="15"/>
  <c r="X1808" i="15"/>
  <c r="W1808" i="15"/>
  <c r="AC1813" i="15"/>
  <c r="R1813" i="15"/>
  <c r="W1826" i="15"/>
  <c r="X1826" i="15"/>
  <c r="AC1828" i="15"/>
  <c r="R1828" i="15"/>
  <c r="X1835" i="15"/>
  <c r="W1835" i="15"/>
  <c r="X1836" i="15"/>
  <c r="W1836" i="15"/>
  <c r="X1840" i="15"/>
  <c r="W1840" i="15"/>
  <c r="X1852" i="15"/>
  <c r="W1852" i="15"/>
  <c r="W1853" i="15"/>
  <c r="X1853" i="15"/>
  <c r="X1859" i="15"/>
  <c r="W1859" i="15"/>
  <c r="X1875" i="15"/>
  <c r="W1875" i="15"/>
  <c r="AC1877" i="15"/>
  <c r="R1877" i="15"/>
  <c r="R1885" i="15"/>
  <c r="R1902" i="15"/>
  <c r="X1905" i="15"/>
  <c r="W1905" i="15"/>
  <c r="R1911" i="15"/>
  <c r="AC1911" i="15"/>
  <c r="R1917" i="15"/>
  <c r="AC1921" i="15"/>
  <c r="R1921" i="15"/>
  <c r="X1927" i="15"/>
  <c r="W1927" i="15"/>
  <c r="W1943" i="15"/>
  <c r="X1943" i="15"/>
  <c r="AC1944" i="15"/>
  <c r="R1944" i="15"/>
  <c r="W1959" i="15"/>
  <c r="X1959" i="15"/>
  <c r="W1971" i="15"/>
  <c r="X1971" i="15"/>
  <c r="AC1992" i="15"/>
  <c r="R1992" i="15"/>
  <c r="W1993" i="15"/>
  <c r="X1993" i="15"/>
  <c r="W2007" i="15"/>
  <c r="X2007" i="15"/>
  <c r="R2008" i="15"/>
  <c r="R2011" i="15"/>
  <c r="AC2011" i="15"/>
  <c r="R2014" i="15"/>
  <c r="R2024" i="15"/>
  <c r="W2030" i="15"/>
  <c r="X2030" i="15"/>
  <c r="R2039" i="15"/>
  <c r="AC2039" i="15"/>
  <c r="R2054" i="15"/>
  <c r="X2072" i="15"/>
  <c r="W2072" i="15"/>
  <c r="R2129" i="15"/>
  <c r="AC2137" i="15"/>
  <c r="R2137" i="15"/>
  <c r="X2140" i="15"/>
  <c r="W2140" i="15"/>
  <c r="AC2161" i="15"/>
  <c r="R2161" i="15"/>
  <c r="X2177" i="15"/>
  <c r="W2177" i="15"/>
  <c r="W2184" i="15"/>
  <c r="X2184" i="15"/>
  <c r="X2206" i="15"/>
  <c r="W2206" i="15"/>
  <c r="X2218" i="15"/>
  <c r="W2218" i="15"/>
  <c r="W2228" i="15"/>
  <c r="X2228" i="15"/>
  <c r="X2241" i="15"/>
  <c r="W2241" i="15"/>
  <c r="W2255" i="15"/>
  <c r="X2255" i="15"/>
  <c r="W253" i="15"/>
  <c r="W192" i="15"/>
  <c r="Y1628" i="15"/>
  <c r="AD186" i="15"/>
  <c r="V186" i="15" s="1"/>
  <c r="T186" i="15" s="1"/>
  <c r="Y186" i="15" s="1"/>
  <c r="AC2129" i="15"/>
  <c r="R2076" i="15"/>
  <c r="R2113" i="15"/>
  <c r="Y2210" i="15"/>
  <c r="X2090" i="15"/>
  <c r="X2022" i="15"/>
  <c r="AC2054" i="15"/>
  <c r="AC2014" i="15"/>
  <c r="W1888" i="15"/>
  <c r="X1734" i="15"/>
  <c r="W1565" i="15"/>
  <c r="W1374" i="15"/>
  <c r="W1670" i="15"/>
  <c r="R1439" i="15"/>
  <c r="R1626" i="15"/>
  <c r="X1558" i="15"/>
  <c r="W1353" i="15"/>
  <c r="X1400" i="15"/>
  <c r="W1354" i="15"/>
  <c r="R1392" i="15"/>
  <c r="R1364" i="15"/>
  <c r="W1258" i="15"/>
  <c r="X1226" i="15"/>
  <c r="Y1993" i="15"/>
  <c r="Y1213" i="15"/>
  <c r="Y1205" i="15"/>
  <c r="R942" i="15"/>
  <c r="X878" i="15"/>
  <c r="W820" i="15"/>
  <c r="W701" i="15"/>
  <c r="Y846" i="15"/>
  <c r="X717" i="15"/>
  <c r="X2018" i="15"/>
  <c r="AC1902" i="15"/>
  <c r="Y1870" i="15"/>
  <c r="R1823" i="15"/>
  <c r="X1799" i="15"/>
  <c r="R1819" i="15"/>
  <c r="Y1591" i="15"/>
  <c r="Y1370" i="15"/>
  <c r="W1303" i="15"/>
  <c r="Y1208" i="15"/>
  <c r="Y1290" i="15"/>
  <c r="R1360" i="15"/>
  <c r="R801" i="15"/>
  <c r="Y705" i="15"/>
  <c r="W1279" i="15"/>
  <c r="Y1776" i="15"/>
  <c r="Y820" i="15"/>
  <c r="R1272" i="15"/>
  <c r="R611" i="15"/>
  <c r="Y1289" i="15"/>
  <c r="AD177" i="15"/>
  <c r="V177" i="15" s="1"/>
  <c r="T177" i="15" s="1"/>
  <c r="Y177" i="15" s="1"/>
  <c r="R2203" i="15"/>
  <c r="W2052" i="15"/>
  <c r="W2109" i="15"/>
  <c r="R2070" i="15"/>
  <c r="R2133" i="15"/>
  <c r="Y1986" i="15"/>
  <c r="X1931" i="15"/>
  <c r="X1892" i="15"/>
  <c r="X1896" i="15"/>
  <c r="R1856" i="15"/>
  <c r="R1762" i="15"/>
  <c r="R1696" i="15"/>
  <c r="W1370" i="15"/>
  <c r="W1395" i="15"/>
  <c r="W1605" i="15"/>
  <c r="W1553" i="15"/>
  <c r="Y1354" i="15"/>
  <c r="R1388" i="15"/>
  <c r="W1221" i="15"/>
  <c r="W1065" i="15"/>
  <c r="Y1169" i="15"/>
  <c r="X938" i="15"/>
  <c r="W926" i="15"/>
  <c r="X1027" i="15"/>
  <c r="W697" i="15"/>
  <c r="Y842" i="15"/>
  <c r="W2231" i="15"/>
  <c r="X2166" i="15"/>
  <c r="X2131" i="15"/>
  <c r="X1995" i="15"/>
  <c r="X2145" i="15"/>
  <c r="W2075" i="15"/>
  <c r="Y1995" i="15"/>
  <c r="R1972" i="15"/>
  <c r="Y1753" i="15"/>
  <c r="Y1690" i="15"/>
  <c r="Y1578" i="15"/>
  <c r="Y1309" i="15"/>
  <c r="R1945" i="15"/>
  <c r="X1703" i="15"/>
  <c r="Y1191" i="15"/>
  <c r="Y1153" i="15"/>
  <c r="Y1674" i="15"/>
  <c r="X1639" i="15"/>
  <c r="Y1174" i="15"/>
  <c r="W1153" i="15"/>
  <c r="Y1107" i="15"/>
  <c r="W1173" i="15"/>
  <c r="W806" i="15"/>
  <c r="W1844" i="15"/>
  <c r="W1963" i="15"/>
  <c r="R1259" i="15"/>
  <c r="X1812" i="15"/>
  <c r="Y2243" i="15"/>
  <c r="Q587" i="15"/>
  <c r="T587" i="15" s="1"/>
  <c r="R587" i="15"/>
  <c r="X604" i="15"/>
  <c r="X1037" i="15"/>
  <c r="W1037" i="15"/>
  <c r="X1685" i="15"/>
  <c r="W1685" i="15"/>
  <c r="X1690" i="15"/>
  <c r="W1690" i="15"/>
  <c r="R1719" i="15"/>
  <c r="X1722" i="15"/>
  <c r="W1722" i="15"/>
  <c r="R1731" i="15"/>
  <c r="AC1739" i="15"/>
  <c r="R1739" i="15"/>
  <c r="X1745" i="15"/>
  <c r="W1745" i="15"/>
  <c r="X1772" i="15"/>
  <c r="W1772" i="15"/>
  <c r="W1776" i="15"/>
  <c r="X1776" i="15"/>
  <c r="AD2057" i="15"/>
  <c r="W2112" i="15"/>
  <c r="X2112" i="15"/>
  <c r="X2113" i="15"/>
  <c r="W2113" i="15"/>
  <c r="Y793" i="15"/>
  <c r="Y2055" i="15"/>
  <c r="Y1750" i="15"/>
  <c r="Y1905" i="15"/>
  <c r="Y1772" i="15"/>
  <c r="Y1615" i="15"/>
  <c r="Y1790" i="15"/>
  <c r="Y1345" i="15"/>
  <c r="Y1683" i="15"/>
  <c r="Y1254" i="15"/>
  <c r="Y1161" i="15"/>
  <c r="Y1149" i="15"/>
  <c r="Y1967" i="15"/>
  <c r="Y1639" i="15"/>
  <c r="Y1391" i="15"/>
  <c r="Y2171" i="15"/>
  <c r="Y1812" i="15"/>
  <c r="Y1708" i="15"/>
  <c r="AD1712" i="15"/>
  <c r="AD1718" i="15"/>
  <c r="Y2166" i="15"/>
  <c r="W1366" i="15"/>
  <c r="Y1327" i="15"/>
  <c r="Y1217" i="15"/>
  <c r="Y2200" i="15"/>
  <c r="Y2003" i="15"/>
  <c r="Y1888" i="15"/>
  <c r="Y1859" i="15"/>
  <c r="Y1848" i="15"/>
  <c r="Y1822" i="15"/>
  <c r="R1771" i="15"/>
  <c r="Y1725" i="15"/>
  <c r="Y1826" i="15"/>
  <c r="Y1742" i="15"/>
  <c r="Y1727" i="15"/>
  <c r="Y1230" i="15"/>
  <c r="Y1197" i="15"/>
  <c r="Y1982" i="15"/>
  <c r="Y1745" i="15"/>
  <c r="Y1392" i="15"/>
  <c r="T600" i="15"/>
  <c r="Y600" i="15" s="1"/>
  <c r="T601" i="15"/>
  <c r="Y601" i="15" s="1"/>
  <c r="T602" i="15"/>
  <c r="Y602" i="15" s="1"/>
  <c r="Y2244" i="15"/>
  <c r="Y1884" i="15"/>
  <c r="Y1892" i="15"/>
  <c r="Y1238" i="15"/>
  <c r="Y1643" i="15"/>
  <c r="Y1267" i="15"/>
  <c r="Y2010" i="15"/>
  <c r="Y2056" i="15"/>
  <c r="Y1941" i="15"/>
  <c r="Y2131" i="15"/>
  <c r="Y1716" i="15"/>
  <c r="Y1901" i="15"/>
  <c r="Y754" i="15"/>
  <c r="Y687" i="15"/>
  <c r="Y918" i="15"/>
  <c r="Y649" i="15"/>
  <c r="AD654" i="15"/>
  <c r="V654" i="15" s="1"/>
  <c r="T654" i="15" s="1"/>
  <c r="AD740" i="15"/>
  <c r="AD744" i="15"/>
  <c r="AD776" i="15"/>
  <c r="AD779" i="15"/>
  <c r="AD780" i="15"/>
  <c r="AD800" i="15"/>
  <c r="AD1217" i="15"/>
  <c r="AD1609" i="15"/>
  <c r="AD1623" i="15"/>
  <c r="AD1629" i="15"/>
  <c r="AD1635" i="15"/>
  <c r="AD1653" i="15"/>
  <c r="AD1665" i="15"/>
  <c r="AD1681" i="15"/>
  <c r="AD1879" i="15"/>
  <c r="AD1912" i="15"/>
  <c r="AD2041" i="15"/>
  <c r="AD2043" i="15"/>
  <c r="AD2055" i="15"/>
  <c r="AD2058" i="15"/>
  <c r="AD2061" i="15"/>
  <c r="AD2063" i="15"/>
  <c r="R2065" i="15"/>
  <c r="AD2110" i="15"/>
  <c r="AD2117" i="15"/>
  <c r="AD2120" i="15"/>
  <c r="AD2121" i="15"/>
  <c r="AD2124" i="15"/>
  <c r="AD2154" i="15"/>
  <c r="AD2156" i="15"/>
  <c r="AD2187" i="15"/>
  <c r="AD2233" i="15"/>
  <c r="W214" i="15"/>
  <c r="AC591" i="15"/>
  <c r="R591" i="15"/>
  <c r="W591" i="15" s="1"/>
  <c r="X2179" i="15"/>
  <c r="W2179" i="15"/>
  <c r="R583" i="15"/>
  <c r="W583" i="15" s="1"/>
  <c r="W606" i="15"/>
  <c r="X606" i="15"/>
  <c r="AC608" i="15"/>
  <c r="R608" i="15"/>
  <c r="W614" i="15"/>
  <c r="X614" i="15"/>
  <c r="X618" i="15"/>
  <c r="W618" i="15"/>
  <c r="AC620" i="15"/>
  <c r="R620" i="15"/>
  <c r="W620" i="15" s="1"/>
  <c r="W645" i="15"/>
  <c r="X645" i="15"/>
  <c r="W646" i="15"/>
  <c r="X646" i="15"/>
  <c r="X661" i="15"/>
  <c r="AC670" i="15"/>
  <c r="R670" i="15"/>
  <c r="W670" i="15" s="1"/>
  <c r="R678" i="15"/>
  <c r="W681" i="15"/>
  <c r="X681" i="15"/>
  <c r="R682" i="15"/>
  <c r="W682" i="15" s="1"/>
  <c r="X713" i="15"/>
  <c r="W713" i="15"/>
  <c r="AC721" i="15"/>
  <c r="R721" i="15"/>
  <c r="X726" i="15"/>
  <c r="W726" i="15"/>
  <c r="X736" i="15"/>
  <c r="W736" i="15"/>
  <c r="AC755" i="15"/>
  <c r="R755" i="15"/>
  <c r="AC759" i="15"/>
  <c r="R759" i="15"/>
  <c r="X763" i="15"/>
  <c r="W763" i="15"/>
  <c r="AC768" i="15"/>
  <c r="R768" i="15"/>
  <c r="X771" i="15"/>
  <c r="W771" i="15"/>
  <c r="R782" i="15"/>
  <c r="X787" i="15"/>
  <c r="W787" i="15"/>
  <c r="R813" i="15"/>
  <c r="R821" i="15"/>
  <c r="AC821" i="15"/>
  <c r="AC839" i="15"/>
  <c r="R839" i="15"/>
  <c r="X846" i="15"/>
  <c r="W846" i="15"/>
  <c r="X853" i="15"/>
  <c r="W853" i="15"/>
  <c r="W922" i="15"/>
  <c r="X922" i="15"/>
  <c r="AC964" i="15"/>
  <c r="R964" i="15"/>
  <c r="AC984" i="15"/>
  <c r="R984" i="15"/>
  <c r="AC1170" i="15"/>
  <c r="R1170" i="15"/>
  <c r="X1179" i="15"/>
  <c r="W1179" i="15"/>
  <c r="X1205" i="15"/>
  <c r="W1205" i="15"/>
  <c r="R1214" i="15"/>
  <c r="R1218" i="15"/>
  <c r="AC1239" i="15"/>
  <c r="R1239" i="15"/>
  <c r="AC1247" i="15"/>
  <c r="R1247" i="15"/>
  <c r="AC1263" i="15"/>
  <c r="R1263" i="15"/>
  <c r="X1267" i="15"/>
  <c r="W1267" i="15"/>
  <c r="W1271" i="15"/>
  <c r="X1271" i="15"/>
  <c r="X1274" i="15"/>
  <c r="W1274" i="15"/>
  <c r="X1287" i="15"/>
  <c r="W1287" i="15"/>
  <c r="X1295" i="15"/>
  <c r="W1295" i="15"/>
  <c r="AC1305" i="15"/>
  <c r="R1305" i="15"/>
  <c r="X1332" i="15"/>
  <c r="W1332" i="15"/>
  <c r="R1336" i="15"/>
  <c r="AC1336" i="15"/>
  <c r="X1341" i="15"/>
  <c r="W1341" i="15"/>
  <c r="R1342" i="15"/>
  <c r="X1345" i="15"/>
  <c r="W1345" i="15"/>
  <c r="R1350" i="15"/>
  <c r="AC1375" i="15"/>
  <c r="R1375" i="15"/>
  <c r="R1377" i="15"/>
  <c r="R44" i="15"/>
  <c r="Q44" i="15"/>
  <c r="S484" i="15"/>
  <c r="X484" i="15" s="1"/>
  <c r="AD484" i="15"/>
  <c r="AC485" i="15"/>
  <c r="R485" i="15"/>
  <c r="W485" i="15" s="1"/>
  <c r="AD198" i="15"/>
  <c r="V198" i="15" s="1"/>
  <c r="W2221" i="15"/>
  <c r="W2068" i="15"/>
  <c r="W2101" i="15"/>
  <c r="Y2156" i="15"/>
  <c r="W2210" i="15"/>
  <c r="W2194" i="15"/>
  <c r="X1982" i="15"/>
  <c r="W1870" i="15"/>
  <c r="Y1920" i="15"/>
  <c r="X1876" i="15"/>
  <c r="R1867" i="15"/>
  <c r="R1845" i="15"/>
  <c r="Y1923" i="15"/>
  <c r="R1872" i="15"/>
  <c r="R1809" i="15"/>
  <c r="Y1565" i="15"/>
  <c r="R1402" i="15"/>
  <c r="Y1622" i="15"/>
  <c r="W1447" i="15"/>
  <c r="W1621" i="15"/>
  <c r="Y1226" i="15"/>
  <c r="R1657" i="15"/>
  <c r="Y1002" i="15"/>
  <c r="Y833" i="15"/>
  <c r="Y2221" i="15"/>
  <c r="Y2169" i="15"/>
  <c r="Y2027" i="15"/>
  <c r="Y2146" i="15"/>
  <c r="Y1963" i="15"/>
  <c r="Y1947" i="15"/>
  <c r="Y1999" i="15"/>
  <c r="R1928" i="15"/>
  <c r="Y1896" i="15"/>
  <c r="R1791" i="15"/>
  <c r="W2027" i="15"/>
  <c r="Y1927" i="15"/>
  <c r="W1910" i="15"/>
  <c r="Y1863" i="15"/>
  <c r="R1816" i="15"/>
  <c r="R1671" i="15"/>
  <c r="R1607" i="15"/>
  <c r="Y1634" i="15"/>
  <c r="R2000" i="15"/>
  <c r="X1952" i="15"/>
  <c r="X1795" i="15"/>
  <c r="R1612" i="15"/>
  <c r="W1923" i="15"/>
  <c r="W1664" i="15"/>
  <c r="R1616" i="15"/>
  <c r="Y1800" i="15"/>
  <c r="Y1274" i="15"/>
  <c r="Y775" i="15"/>
  <c r="Y1279" i="15"/>
  <c r="Y692" i="15"/>
  <c r="X2156" i="15"/>
  <c r="Y1668" i="15"/>
  <c r="R1889" i="15"/>
  <c r="R1960" i="15"/>
  <c r="Y1539" i="15"/>
  <c r="Y1379" i="15"/>
  <c r="Y838" i="15"/>
  <c r="R1540" i="15"/>
  <c r="Y1152" i="15"/>
  <c r="Y798" i="15"/>
  <c r="X1615" i="15"/>
  <c r="R1532" i="15"/>
  <c r="R1841" i="15"/>
  <c r="R1849" i="15"/>
  <c r="R1860" i="15"/>
  <c r="AC1864" i="15"/>
  <c r="R1864" i="15"/>
  <c r="AC1893" i="15"/>
  <c r="R1893" i="15"/>
  <c r="X1947" i="15"/>
  <c r="W1947" i="15"/>
  <c r="AC1968" i="15"/>
  <c r="R1968" i="15"/>
  <c r="X1999" i="15"/>
  <c r="W1999" i="15"/>
  <c r="AC2266" i="15"/>
  <c r="R2266" i="15"/>
  <c r="Y926" i="15"/>
  <c r="X1656" i="15"/>
  <c r="AC1532" i="15"/>
  <c r="Y1395" i="15"/>
  <c r="Y1304" i="15"/>
  <c r="Y1652" i="15"/>
  <c r="Y677" i="15"/>
  <c r="Y1179" i="15"/>
  <c r="Y1523" i="15"/>
  <c r="Y1852" i="15"/>
  <c r="Y2013" i="15"/>
  <c r="AD628" i="15"/>
  <c r="V628" i="15" s="1"/>
  <c r="T628" i="15" s="1"/>
  <c r="Y628" i="15" s="1"/>
  <c r="AD755" i="15"/>
  <c r="AD759" i="15"/>
  <c r="AD764" i="15"/>
  <c r="AD808" i="15"/>
  <c r="AD864" i="15"/>
  <c r="AD1209" i="15"/>
  <c r="AD1214" i="15"/>
  <c r="AD1235" i="15"/>
  <c r="AD1251" i="15"/>
  <c r="AD1288" i="15"/>
  <c r="AD1309" i="15"/>
  <c r="AD1318" i="15"/>
  <c r="AD1333" i="15"/>
  <c r="AD1339" i="15"/>
  <c r="AD1350" i="15"/>
  <c r="AD1355" i="15"/>
  <c r="AD1536" i="15"/>
  <c r="AD1540" i="15"/>
  <c r="AD1549" i="15"/>
  <c r="AD1583" i="15"/>
  <c r="AD1607" i="15"/>
  <c r="AD1626" i="15"/>
  <c r="AD1640" i="15"/>
  <c r="AD1657" i="15"/>
  <c r="AD1816" i="15"/>
  <c r="AD1823" i="15"/>
  <c r="AD1832" i="15"/>
  <c r="AD1837" i="15"/>
  <c r="AD1841" i="15"/>
  <c r="AD1856" i="15"/>
  <c r="AD1860" i="15"/>
  <c r="AD1867" i="15"/>
  <c r="AD1872" i="15"/>
  <c r="AD1911" i="15"/>
  <c r="AD1917" i="15"/>
  <c r="AD1936" i="15"/>
  <c r="AD1960" i="15"/>
  <c r="AD1972" i="15"/>
  <c r="AD1983" i="15"/>
  <c r="AD1987" i="15"/>
  <c r="R1990" i="15"/>
  <c r="AD2000" i="15"/>
  <c r="AD2019" i="15"/>
  <c r="AD2097" i="15"/>
  <c r="R2160" i="15"/>
  <c r="AD2203" i="15"/>
  <c r="AD2220" i="15"/>
  <c r="R2239" i="15"/>
  <c r="Y1647" i="15"/>
  <c r="Y1599" i="15"/>
  <c r="Y1784" i="15"/>
  <c r="Y1670" i="15"/>
  <c r="Y1250" i="15"/>
  <c r="Y1808" i="15"/>
  <c r="Y1349" i="15"/>
  <c r="Y1338" i="15"/>
  <c r="Y1606" i="15"/>
  <c r="Y1222" i="15"/>
  <c r="Y829" i="15"/>
  <c r="Y681" i="15"/>
  <c r="Y2023" i="15"/>
  <c r="Y1910" i="15"/>
  <c r="Y1308" i="15"/>
  <c r="Y1094" i="15"/>
  <c r="Y1943" i="15"/>
  <c r="Y1132" i="15"/>
  <c r="Y1595" i="15"/>
  <c r="Y1844" i="15"/>
  <c r="Y758" i="15"/>
  <c r="Y1173" i="15"/>
  <c r="Y1442" i="15"/>
  <c r="Y1496" i="15"/>
  <c r="Y1746" i="15"/>
  <c r="Y1875" i="15"/>
  <c r="X599" i="15"/>
  <c r="T596" i="15"/>
  <c r="Y596" i="15" s="1"/>
  <c r="T590" i="15"/>
  <c r="Y590" i="15" s="1"/>
  <c r="T595" i="15"/>
  <c r="T594" i="15"/>
  <c r="Y594" i="15" s="1"/>
  <c r="T588" i="15"/>
  <c r="Y588" i="15" s="1"/>
  <c r="T582" i="15"/>
  <c r="Y582" i="15" s="1"/>
  <c r="T593" i="15"/>
  <c r="Y593" i="15" s="1"/>
  <c r="X595" i="15"/>
  <c r="X596" i="15"/>
  <c r="W596" i="15"/>
  <c r="T585" i="15"/>
  <c r="T584" i="15"/>
  <c r="O107" i="21" s="1"/>
  <c r="T586" i="15"/>
  <c r="Y586" i="15" s="1"/>
  <c r="X594" i="15"/>
  <c r="W594" i="15"/>
  <c r="X593" i="15"/>
  <c r="W590" i="15"/>
  <c r="T572" i="15"/>
  <c r="Y572" i="15" s="1"/>
  <c r="T576" i="15"/>
  <c r="Y576" i="15" s="1"/>
  <c r="T249" i="15"/>
  <c r="Y249" i="15" s="1"/>
  <c r="T583" i="15"/>
  <c r="Y583" i="15" s="1"/>
  <c r="T577" i="15"/>
  <c r="Y577" i="15" s="1"/>
  <c r="W339" i="15"/>
  <c r="W259" i="15"/>
  <c r="T302" i="15"/>
  <c r="Y302" i="15" s="1"/>
  <c r="R303" i="15"/>
  <c r="W303" i="15" s="1"/>
  <c r="AD724" i="15"/>
  <c r="W272" i="15"/>
  <c r="W709" i="15"/>
  <c r="R727" i="15"/>
  <c r="Y697" i="15"/>
  <c r="W767" i="15"/>
  <c r="X750" i="15"/>
  <c r="Y673" i="15"/>
  <c r="R623" i="15"/>
  <c r="W623" i="15" s="1"/>
  <c r="W673" i="15"/>
  <c r="X627" i="15"/>
  <c r="Y2199" i="15"/>
  <c r="Y1200" i="15"/>
  <c r="Y720" i="15"/>
  <c r="W605" i="15"/>
  <c r="Y1292" i="15"/>
  <c r="R808" i="15"/>
  <c r="R689" i="15"/>
  <c r="X746" i="15"/>
  <c r="Y2254" i="15"/>
  <c r="X758" i="15"/>
  <c r="R599" i="15"/>
  <c r="W599" i="15" s="1"/>
  <c r="Y663" i="15"/>
  <c r="Y735" i="15"/>
  <c r="Y882" i="15"/>
  <c r="Y1372" i="15"/>
  <c r="Y1357" i="15"/>
  <c r="Y1419" i="15"/>
  <c r="Y1441" i="15"/>
  <c r="Y1601" i="15"/>
  <c r="Y1589" i="15"/>
  <c r="Y2073" i="15"/>
  <c r="X219" i="15"/>
  <c r="Y753" i="15"/>
  <c r="Y745" i="15"/>
  <c r="W735" i="15"/>
  <c r="X735" i="15"/>
  <c r="AC1276" i="15"/>
  <c r="R1276" i="15"/>
  <c r="Y696" i="15"/>
  <c r="Y2241" i="15"/>
  <c r="Y1605" i="15"/>
  <c r="Y2184" i="15"/>
  <c r="Y2230" i="15"/>
  <c r="Y2227" i="15"/>
  <c r="Y2245" i="15"/>
  <c r="AD588" i="15"/>
  <c r="R601" i="15"/>
  <c r="W601" i="15" s="1"/>
  <c r="AD624" i="15"/>
  <c r="V624" i="15" s="1"/>
  <c r="T624" i="15" s="1"/>
  <c r="Y624" i="15" s="1"/>
  <c r="AD630" i="15"/>
  <c r="V630" i="15" s="1"/>
  <c r="T630" i="15" s="1"/>
  <c r="R652" i="15"/>
  <c r="AD659" i="15"/>
  <c r="R663" i="15"/>
  <c r="W663" i="15" s="1"/>
  <c r="AD664" i="15"/>
  <c r="V664" i="15" s="1"/>
  <c r="T664" i="15" s="1"/>
  <c r="Y664" i="15" s="1"/>
  <c r="AD671" i="15"/>
  <c r="V671" i="15" s="1"/>
  <c r="T671" i="15" s="1"/>
  <c r="AD675" i="15"/>
  <c r="AD679" i="15"/>
  <c r="R683" i="15"/>
  <c r="AD685" i="15"/>
  <c r="AD822" i="15"/>
  <c r="R911" i="15"/>
  <c r="AD943" i="15"/>
  <c r="R1018" i="15"/>
  <c r="R1044" i="15"/>
  <c r="AD1269" i="15"/>
  <c r="AD1277" i="15"/>
  <c r="AD1281" i="15"/>
  <c r="AD1285" i="15"/>
  <c r="AD1301" i="15"/>
  <c r="AD1329" i="15"/>
  <c r="AD1334" i="15"/>
  <c r="AD1343" i="15"/>
  <c r="R1347" i="15"/>
  <c r="AD1351" i="15"/>
  <c r="AD1361" i="15"/>
  <c r="R1378" i="15"/>
  <c r="R1422" i="15"/>
  <c r="AD1525" i="15"/>
  <c r="AD1529" i="15"/>
  <c r="AD1533" i="15"/>
  <c r="AD1537" i="15"/>
  <c r="AD1563" i="15"/>
  <c r="AD1909" i="15"/>
  <c r="AD1915" i="15"/>
  <c r="AD1937" i="15"/>
  <c r="AD1957" i="15"/>
  <c r="AD1961" i="15"/>
  <c r="AD1969" i="15"/>
  <c r="AD1984" i="15"/>
  <c r="AD2001" i="15"/>
  <c r="AD2005" i="15"/>
  <c r="AD2020" i="15"/>
  <c r="AD2025" i="15"/>
  <c r="AD2040" i="15"/>
  <c r="R2059" i="15"/>
  <c r="R2064" i="15"/>
  <c r="AD2077" i="15"/>
  <c r="R2082" i="15"/>
  <c r="R2105" i="15"/>
  <c r="R2118" i="15"/>
  <c r="AD2119" i="15"/>
  <c r="R2125" i="15"/>
  <c r="AD2126" i="15"/>
  <c r="R2170" i="15"/>
  <c r="R2178" i="15"/>
  <c r="AD2179" i="15"/>
  <c r="R2191" i="15"/>
  <c r="AD2196" i="15"/>
  <c r="R2199" i="15"/>
  <c r="AD2204" i="15"/>
  <c r="AD2216" i="15"/>
  <c r="AD2225" i="15"/>
  <c r="AD2237" i="15"/>
  <c r="R2240" i="15"/>
  <c r="R2244" i="15"/>
  <c r="T359" i="15"/>
  <c r="Y359" i="15" s="1"/>
  <c r="T135" i="15"/>
  <c r="Y135" i="15" s="1"/>
  <c r="T164" i="15"/>
  <c r="Y164" i="15" s="1"/>
  <c r="T427" i="15"/>
  <c r="Y427" i="15" s="1"/>
  <c r="T428" i="15"/>
  <c r="Y428" i="15" s="1"/>
  <c r="T463" i="15"/>
  <c r="Y463" i="15" s="1"/>
  <c r="X582" i="15"/>
  <c r="W582" i="15"/>
  <c r="T293" i="15"/>
  <c r="Y293" i="15" s="1"/>
  <c r="T87" i="15"/>
  <c r="Y87" i="15" s="1"/>
  <c r="T18" i="15"/>
  <c r="Y18" i="15" s="1"/>
  <c r="AD582" i="15"/>
  <c r="T41" i="15"/>
  <c r="Y41" i="15" s="1"/>
  <c r="T51" i="15"/>
  <c r="Y51" i="15" s="1"/>
  <c r="T498" i="15"/>
  <c r="Y498" i="15" s="1"/>
  <c r="T391" i="15"/>
  <c r="Y391" i="15" s="1"/>
  <c r="T571" i="15"/>
  <c r="Y571" i="15" s="1"/>
  <c r="T488" i="15"/>
  <c r="C217" i="22" s="1"/>
  <c r="D217" i="22" s="1"/>
  <c r="T469" i="15"/>
  <c r="T429" i="15"/>
  <c r="Y429" i="15" s="1"/>
  <c r="T421" i="15"/>
  <c r="Y421" i="15" s="1"/>
  <c r="T410" i="15"/>
  <c r="Y410" i="15" s="1"/>
  <c r="T361" i="15"/>
  <c r="AB361" i="15" s="1"/>
  <c r="T431" i="15"/>
  <c r="Y431" i="15" s="1"/>
  <c r="T107" i="15"/>
  <c r="Y107" i="15" s="1"/>
  <c r="X581" i="15"/>
  <c r="T96" i="15"/>
  <c r="Y96" i="15" s="1"/>
  <c r="T2" i="15"/>
  <c r="Y2" i="15" s="1"/>
  <c r="W577" i="15"/>
  <c r="T136" i="15"/>
  <c r="Y136" i="15" s="1"/>
  <c r="T169" i="15"/>
  <c r="X183" i="15"/>
  <c r="Y1368" i="15"/>
  <c r="Y1369" i="15"/>
  <c r="Y1436" i="15"/>
  <c r="Y1954" i="15"/>
  <c r="W1950" i="15"/>
  <c r="W1946" i="15"/>
  <c r="X1711" i="15"/>
  <c r="X1778" i="15"/>
  <c r="X1642" i="15"/>
  <c r="X1706" i="15"/>
  <c r="R503" i="15"/>
  <c r="W503" i="15" s="1"/>
  <c r="V119" i="15"/>
  <c r="T119" i="15" s="1"/>
  <c r="Y119" i="15" s="1"/>
  <c r="AC303" i="15"/>
  <c r="R1775" i="15"/>
  <c r="X577" i="15"/>
  <c r="AD26" i="15"/>
  <c r="V26" i="15" s="1"/>
  <c r="T26" i="15" s="1"/>
  <c r="Y26" i="15" s="1"/>
  <c r="Y1116" i="15"/>
  <c r="R251" i="15"/>
  <c r="W251" i="15" s="1"/>
  <c r="X570" i="15"/>
  <c r="T266" i="15"/>
  <c r="Y266" i="15" s="1"/>
  <c r="X169" i="15"/>
  <c r="T50" i="15"/>
  <c r="Y50" i="15" s="1"/>
  <c r="W169" i="15"/>
  <c r="T115" i="15"/>
  <c r="W198" i="15"/>
  <c r="W96" i="15"/>
  <c r="AD119" i="15"/>
  <c r="R552" i="15"/>
  <c r="W552" i="15" s="1"/>
  <c r="X254" i="15"/>
  <c r="W187" i="15"/>
  <c r="X187" i="15"/>
  <c r="X572" i="15"/>
  <c r="W336" i="15"/>
  <c r="W136" i="15"/>
  <c r="W202" i="15"/>
  <c r="T197" i="15"/>
  <c r="Y197" i="15" s="1"/>
  <c r="X136" i="15"/>
  <c r="X129" i="15"/>
  <c r="W183" i="15"/>
  <c r="Y999" i="15"/>
  <c r="Y1207" i="15"/>
  <c r="Y1377" i="15"/>
  <c r="AD175" i="15"/>
  <c r="V175" i="15" s="1"/>
  <c r="T175" i="15" s="1"/>
  <c r="Y175" i="15" s="1"/>
  <c r="X1834" i="15"/>
  <c r="X765" i="15"/>
  <c r="AD130" i="15"/>
  <c r="V130" i="15" s="1"/>
  <c r="T130" i="15" s="1"/>
  <c r="Y130" i="15" s="1"/>
  <c r="AD445" i="15"/>
  <c r="Y2074" i="15"/>
  <c r="R1724" i="15"/>
  <c r="X574" i="15"/>
  <c r="T14" i="15"/>
  <c r="Y14" i="15" s="1"/>
  <c r="X186" i="15"/>
  <c r="X294" i="15"/>
  <c r="W294" i="15"/>
  <c r="T196" i="15"/>
  <c r="W230" i="15"/>
  <c r="W186" i="15"/>
  <c r="X215" i="15"/>
  <c r="X196" i="15"/>
  <c r="W219" i="15"/>
  <c r="W103" i="15"/>
  <c r="X298" i="15"/>
  <c r="T298" i="15"/>
  <c r="Y298" i="15" s="1"/>
  <c r="W14" i="15"/>
  <c r="X14" i="15"/>
  <c r="X63" i="15"/>
  <c r="Y2129" i="15"/>
  <c r="AD173" i="15"/>
  <c r="V173" i="15" s="1"/>
  <c r="T173" i="15" s="1"/>
  <c r="Y173" i="15" s="1"/>
  <c r="R84" i="15"/>
  <c r="W84" i="15" s="1"/>
  <c r="AD200" i="15"/>
  <c r="V200" i="15" s="1"/>
  <c r="R427" i="15"/>
  <c r="W427" i="15" s="1"/>
  <c r="AD211" i="15"/>
  <c r="V211" i="15" s="1"/>
  <c r="T211" i="15" s="1"/>
  <c r="Y211" i="15" s="1"/>
  <c r="X73" i="15"/>
  <c r="T565" i="15"/>
  <c r="AD1354" i="15"/>
  <c r="AD1557" i="15"/>
  <c r="AD1693" i="15"/>
  <c r="AD1859" i="15"/>
  <c r="R2072" i="15"/>
  <c r="R2088" i="15"/>
  <c r="R2264" i="15"/>
  <c r="T219" i="15"/>
  <c r="Y219" i="15" s="1"/>
  <c r="T366" i="15"/>
  <c r="Y366" i="15" s="1"/>
  <c r="T78" i="15"/>
  <c r="T167" i="15"/>
  <c r="Y167" i="15" s="1"/>
  <c r="W167" i="15"/>
  <c r="W78" i="15"/>
  <c r="W287" i="15"/>
  <c r="W9" i="15"/>
  <c r="T9" i="15"/>
  <c r="Y9" i="15" s="1"/>
  <c r="W215" i="15"/>
  <c r="X167" i="15"/>
  <c r="W526" i="15"/>
  <c r="T294" i="15"/>
  <c r="Y294" i="15" s="1"/>
  <c r="Y1420" i="15"/>
  <c r="AD180" i="15"/>
  <c r="V180" i="15" s="1"/>
  <c r="AD188" i="15"/>
  <c r="V188" i="15" s="1"/>
  <c r="T188" i="15" s="1"/>
  <c r="Y188" i="15" s="1"/>
  <c r="R1721" i="15"/>
  <c r="X1770" i="15"/>
  <c r="Y1331" i="15"/>
  <c r="R1285" i="15"/>
  <c r="W1214" i="15"/>
  <c r="Y841" i="15"/>
  <c r="X1013" i="15"/>
  <c r="R507" i="15"/>
  <c r="W507" i="15" s="1"/>
  <c r="R473" i="15"/>
  <c r="W473" i="15" s="1"/>
  <c r="R467" i="15"/>
  <c r="W467" i="15" s="1"/>
  <c r="AD443" i="15"/>
  <c r="V443" i="15" s="1"/>
  <c r="T443" i="15" s="1"/>
  <c r="N88" i="21" s="1"/>
  <c r="R233" i="15"/>
  <c r="W233" i="15" s="1"/>
  <c r="AD184" i="15"/>
  <c r="V184" i="15" s="1"/>
  <c r="T184" i="15" s="1"/>
  <c r="Y184" i="15" s="1"/>
  <c r="AD100" i="15"/>
  <c r="V100" i="15" s="1"/>
  <c r="T100" i="15" s="1"/>
  <c r="C36" i="22" s="1"/>
  <c r="D36" i="22" s="1"/>
  <c r="X1723" i="15"/>
  <c r="Y1282" i="15"/>
  <c r="Y1706" i="15"/>
  <c r="W1695" i="15"/>
  <c r="Y1686" i="15"/>
  <c r="Y1738" i="15"/>
  <c r="Y1734" i="15"/>
  <c r="R1504" i="15"/>
  <c r="Y1134" i="15"/>
  <c r="Y2252" i="15"/>
  <c r="X571" i="15"/>
  <c r="T566" i="15"/>
  <c r="Y566" i="15" s="1"/>
  <c r="W326" i="15"/>
  <c r="T91" i="15"/>
  <c r="Y91" i="15" s="1"/>
  <c r="W1814" i="15"/>
  <c r="W1777" i="15"/>
  <c r="W1265" i="15"/>
  <c r="R1509" i="15"/>
  <c r="X980" i="15"/>
  <c r="W1046" i="15"/>
  <c r="X924" i="15"/>
  <c r="AC2264" i="15"/>
  <c r="Y1286" i="15"/>
  <c r="X588" i="15"/>
  <c r="AC15" i="15"/>
  <c r="U15" i="15" s="1"/>
  <c r="T15" i="15" s="1"/>
  <c r="Y15" i="15" s="1"/>
  <c r="R15" i="15"/>
  <c r="W15" i="15" s="1"/>
  <c r="AC36" i="15"/>
  <c r="U36" i="15" s="1"/>
  <c r="T36" i="15" s="1"/>
  <c r="Y36" i="15" s="1"/>
  <c r="R36" i="15"/>
  <c r="W36" i="15" s="1"/>
  <c r="S75" i="15"/>
  <c r="X75" i="15" s="1"/>
  <c r="AD75" i="15"/>
  <c r="V75" i="15" s="1"/>
  <c r="T75" i="15" s="1"/>
  <c r="Y75" i="15" s="1"/>
  <c r="S109" i="15"/>
  <c r="X109" i="15" s="1"/>
  <c r="AD109" i="15"/>
  <c r="V109" i="15" s="1"/>
  <c r="T109" i="15" s="1"/>
  <c r="Y109" i="15" s="1"/>
  <c r="AC154" i="15"/>
  <c r="U154" i="15" s="1"/>
  <c r="T154" i="15" s="1"/>
  <c r="Y154" i="15" s="1"/>
  <c r="R154" i="15"/>
  <c r="W154" i="15" s="1"/>
  <c r="S182" i="15"/>
  <c r="X182" i="15" s="1"/>
  <c r="AD182" i="15"/>
  <c r="V182" i="15" s="1"/>
  <c r="T182" i="15" s="1"/>
  <c r="Y182" i="15" s="1"/>
  <c r="Q223" i="15"/>
  <c r="R223" i="15"/>
  <c r="S237" i="15"/>
  <c r="X237" i="15" s="1"/>
  <c r="AD237" i="15"/>
  <c r="V237" i="15" s="1"/>
  <c r="T237" i="15" s="1"/>
  <c r="Y237" i="15" s="1"/>
  <c r="R254" i="15"/>
  <c r="W254" i="15" s="1"/>
  <c r="AC254" i="15"/>
  <c r="S257" i="15"/>
  <c r="X257" i="15" s="1"/>
  <c r="AD257" i="15"/>
  <c r="V257" i="15" s="1"/>
  <c r="T257" i="15" s="1"/>
  <c r="Y257" i="15" s="1"/>
  <c r="AC319" i="15"/>
  <c r="R319" i="15"/>
  <c r="W319" i="15" s="1"/>
  <c r="S352" i="15"/>
  <c r="X352" i="15" s="1"/>
  <c r="AD352" i="15"/>
  <c r="V352" i="15" s="1"/>
  <c r="S356" i="15"/>
  <c r="X356" i="15" s="1"/>
  <c r="AD356" i="15"/>
  <c r="V356" i="15" s="1"/>
  <c r="T356" i="15" s="1"/>
  <c r="AC365" i="15"/>
  <c r="U365" i="15" s="1"/>
  <c r="R365" i="15"/>
  <c r="W365" i="15" s="1"/>
  <c r="S471" i="15"/>
  <c r="X471" i="15" s="1"/>
  <c r="AD471" i="15"/>
  <c r="V471" i="15" s="1"/>
  <c r="T471" i="15" s="1"/>
  <c r="Y471" i="15" s="1"/>
  <c r="Q479" i="15"/>
  <c r="X479" i="15" s="1"/>
  <c r="R479" i="15"/>
  <c r="W40" i="15"/>
  <c r="T102" i="15"/>
  <c r="Y102" i="15" s="1"/>
  <c r="W102" i="15"/>
  <c r="X91" i="15"/>
  <c r="W331" i="15"/>
  <c r="Y2178" i="15"/>
  <c r="W2114" i="15"/>
  <c r="R1698" i="15"/>
  <c r="Y1693" i="15"/>
  <c r="Y1245" i="15"/>
  <c r="R1598" i="15"/>
  <c r="W1458" i="15"/>
  <c r="R1294" i="15"/>
  <c r="R1257" i="15"/>
  <c r="R1241" i="15"/>
  <c r="R1225" i="15"/>
  <c r="X1058" i="15"/>
  <c r="W1233" i="15"/>
  <c r="W1693" i="15"/>
  <c r="R1707" i="15"/>
  <c r="Y1224" i="15"/>
  <c r="Y1105" i="15"/>
  <c r="Y1025" i="15"/>
  <c r="Y980" i="15"/>
  <c r="Y1160" i="15"/>
  <c r="Y1797" i="15"/>
  <c r="W8" i="15"/>
  <c r="R1915" i="15"/>
  <c r="W1806" i="15"/>
  <c r="W1838" i="15"/>
  <c r="R1542" i="15"/>
  <c r="W1418" i="15"/>
  <c r="R1638" i="15"/>
  <c r="X1138" i="15"/>
  <c r="R1031" i="15"/>
  <c r="R877" i="15"/>
  <c r="X1029" i="15"/>
  <c r="R567" i="15"/>
  <c r="Q567" i="15"/>
  <c r="T567" i="15" s="1"/>
  <c r="Y567" i="15" s="1"/>
  <c r="X1367" i="15"/>
  <c r="W1367" i="15"/>
  <c r="X1419" i="15"/>
  <c r="W1419" i="15"/>
  <c r="AC1578" i="15"/>
  <c r="R1578" i="15"/>
  <c r="X1688" i="15"/>
  <c r="W1688" i="15"/>
  <c r="X1697" i="15"/>
  <c r="W1697" i="15"/>
  <c r="AC1715" i="15"/>
  <c r="R1715" i="15"/>
  <c r="W1729" i="15"/>
  <c r="X1729" i="15"/>
  <c r="AC1730" i="15"/>
  <c r="R1730" i="15"/>
  <c r="X1774" i="15"/>
  <c r="W1774" i="15"/>
  <c r="X1830" i="15"/>
  <c r="W1830" i="15"/>
  <c r="AC1976" i="15"/>
  <c r="R1976" i="15"/>
  <c r="AC1977" i="15"/>
  <c r="R1977" i="15"/>
  <c r="W2029" i="15"/>
  <c r="X2029" i="15"/>
  <c r="W2139" i="15"/>
  <c r="X2139" i="15"/>
  <c r="W2217" i="15"/>
  <c r="X2217" i="15"/>
  <c r="X102" i="15"/>
  <c r="R753" i="15"/>
  <c r="R857" i="15"/>
  <c r="AC857" i="15"/>
  <c r="AC873" i="15"/>
  <c r="R873" i="15"/>
  <c r="X880" i="15"/>
  <c r="W880" i="15"/>
  <c r="X901" i="15"/>
  <c r="W901" i="15"/>
  <c r="W928" i="15"/>
  <c r="X928" i="15"/>
  <c r="W988" i="15"/>
  <c r="X988" i="15"/>
  <c r="X1039" i="15"/>
  <c r="W1039" i="15"/>
  <c r="X1049" i="15"/>
  <c r="W1049" i="15"/>
  <c r="AC1050" i="15"/>
  <c r="R1050" i="15"/>
  <c r="AC1237" i="15"/>
  <c r="R1237" i="15"/>
  <c r="AC1253" i="15"/>
  <c r="R1253" i="15"/>
  <c r="X1347" i="15"/>
  <c r="W1347" i="15"/>
  <c r="AC1465" i="15"/>
  <c r="R1465" i="15"/>
  <c r="AC1470" i="15"/>
  <c r="R1470" i="15"/>
  <c r="AC1488" i="15"/>
  <c r="R1488" i="15"/>
  <c r="R1498" i="15"/>
  <c r="AC1498" i="15"/>
  <c r="X1511" i="15"/>
  <c r="W1511" i="15"/>
  <c r="X1520" i="15"/>
  <c r="W1520" i="15"/>
  <c r="R1586" i="15"/>
  <c r="R1594" i="15"/>
  <c r="X1613" i="15"/>
  <c r="W1613" i="15"/>
  <c r="X1637" i="15"/>
  <c r="W1637" i="15"/>
  <c r="AC1663" i="15"/>
  <c r="R1663" i="15"/>
  <c r="W1878" i="15"/>
  <c r="X1878" i="15"/>
  <c r="AC1883" i="15"/>
  <c r="R1883" i="15"/>
  <c r="AC1887" i="15"/>
  <c r="R1887" i="15"/>
  <c r="AC1908" i="15"/>
  <c r="R1908" i="15"/>
  <c r="X2009" i="15"/>
  <c r="W2009" i="15"/>
  <c r="X2063" i="15"/>
  <c r="W2063" i="15"/>
  <c r="R2074" i="15"/>
  <c r="AC2074" i="15"/>
  <c r="AC2084" i="15"/>
  <c r="R2084" i="15"/>
  <c r="W2123" i="15"/>
  <c r="X2123" i="15"/>
  <c r="W2134" i="15"/>
  <c r="X2134" i="15"/>
  <c r="X2154" i="15"/>
  <c r="W2154" i="15"/>
  <c r="R2163" i="15"/>
  <c r="X2182" i="15"/>
  <c r="W2182" i="15"/>
  <c r="Y2162" i="15"/>
  <c r="Y1641" i="15"/>
  <c r="Y1732" i="15"/>
  <c r="Y2148" i="15"/>
  <c r="Y1777" i="15"/>
  <c r="Y1688" i="15"/>
  <c r="Y2152" i="15"/>
  <c r="Y1645" i="15"/>
  <c r="Y792" i="15"/>
  <c r="Y1778" i="15"/>
  <c r="Y1454" i="15"/>
  <c r="Y1011" i="15"/>
  <c r="Y862" i="15"/>
  <c r="Y803" i="15"/>
  <c r="Y937" i="15"/>
  <c r="Y770" i="15"/>
  <c r="Y1130" i="15"/>
  <c r="Y1843" i="15"/>
  <c r="Y860" i="15"/>
  <c r="Y851" i="15"/>
  <c r="Y1009" i="15"/>
  <c r="Y1918" i="15"/>
  <c r="Y1347" i="15"/>
  <c r="Y1434" i="15"/>
  <c r="Y1631" i="15"/>
  <c r="Y1691" i="15"/>
  <c r="Y1705" i="15"/>
  <c r="Y2061" i="15"/>
  <c r="Y2080" i="15"/>
  <c r="Y2121" i="15"/>
  <c r="AD564" i="15"/>
  <c r="S564" i="15"/>
  <c r="X564" i="15" s="1"/>
  <c r="R129" i="15"/>
  <c r="W129" i="15" s="1"/>
  <c r="R327" i="15"/>
  <c r="AD576" i="15"/>
  <c r="AD1755" i="15"/>
  <c r="AD1762" i="15"/>
  <c r="Y1785" i="15"/>
  <c r="Y1219" i="15"/>
  <c r="Y1833" i="15"/>
  <c r="Y1765" i="15"/>
  <c r="Y1740" i="15"/>
  <c r="Y1962" i="15"/>
  <c r="Y1869" i="15"/>
  <c r="Y971" i="15"/>
  <c r="Y1182" i="15"/>
  <c r="Y1793" i="15"/>
  <c r="Y2143" i="15"/>
  <c r="R110" i="15"/>
  <c r="R179" i="15"/>
  <c r="W179" i="15" s="1"/>
  <c r="AD202" i="15"/>
  <c r="AD589" i="15"/>
  <c r="AD593" i="15"/>
  <c r="AD617" i="15"/>
  <c r="V617" i="15" s="1"/>
  <c r="T617" i="15" s="1"/>
  <c r="AD680" i="15"/>
  <c r="V680" i="15" s="1"/>
  <c r="T680" i="15" s="1"/>
  <c r="C267" i="22" s="1"/>
  <c r="D267" i="22" s="1"/>
  <c r="AD687" i="15"/>
  <c r="AD691" i="15"/>
  <c r="AD695" i="15"/>
  <c r="AD704" i="15"/>
  <c r="AD708" i="15"/>
  <c r="AD725" i="15"/>
  <c r="AD753" i="15"/>
  <c r="AD757" i="15"/>
  <c r="AD792" i="15"/>
  <c r="AD796" i="15"/>
  <c r="AD819" i="15"/>
  <c r="AD832" i="15"/>
  <c r="AD837" i="15"/>
  <c r="AD890" i="15"/>
  <c r="AD902" i="15"/>
  <c r="AD914" i="15"/>
  <c r="AD1060" i="15"/>
  <c r="AD1106" i="15"/>
  <c r="AD1165" i="15"/>
  <c r="AD1172" i="15"/>
  <c r="AD1178" i="15"/>
  <c r="AD1184" i="15"/>
  <c r="AD1200" i="15"/>
  <c r="AD1204" i="15"/>
  <c r="AD1225" i="15"/>
  <c r="AD1229" i="15"/>
  <c r="AD1233" i="15"/>
  <c r="AD1237" i="15"/>
  <c r="AD1241" i="15"/>
  <c r="AD1245" i="15"/>
  <c r="AD1249" i="15"/>
  <c r="AD1253" i="15"/>
  <c r="AD1257" i="15"/>
  <c r="AD1261" i="15"/>
  <c r="R1306" i="15"/>
  <c r="AD1415" i="15"/>
  <c r="AD1450" i="15"/>
  <c r="AD1483" i="15"/>
  <c r="AD1498" i="15"/>
  <c r="AD1503" i="15"/>
  <c r="AD1512" i="15"/>
  <c r="AD1517" i="15"/>
  <c r="AD1522" i="15"/>
  <c r="AD1526" i="15"/>
  <c r="AD1534" i="15"/>
  <c r="AD1542" i="15"/>
  <c r="AD1564" i="15"/>
  <c r="AD1568" i="15"/>
  <c r="AD1989" i="15"/>
  <c r="AD2033" i="15"/>
  <c r="AD2037" i="15"/>
  <c r="AD2051" i="15"/>
  <c r="AD2089" i="15"/>
  <c r="AD2132" i="15"/>
  <c r="AD2149" i="15"/>
  <c r="AD2242" i="15"/>
  <c r="R2255" i="15"/>
  <c r="R2272" i="15"/>
  <c r="M88" i="14"/>
  <c r="T128" i="15"/>
  <c r="Y128" i="15" s="1"/>
  <c r="T145" i="15"/>
  <c r="Y145" i="15" s="1"/>
  <c r="R579" i="15"/>
  <c r="W579" i="15" s="1"/>
  <c r="U25" i="14"/>
  <c r="R14" i="14"/>
  <c r="E42" i="14"/>
  <c r="D43" i="14"/>
  <c r="Q42" i="14"/>
  <c r="J14" i="14"/>
  <c r="G43" i="14"/>
  <c r="J42" i="14"/>
  <c r="H43" i="14"/>
  <c r="R16" i="14"/>
  <c r="J16" i="14"/>
  <c r="R25" i="14"/>
  <c r="N117" i="14"/>
  <c r="L117" i="14"/>
  <c r="U117" i="14"/>
  <c r="K117" i="14"/>
  <c r="K42" i="14"/>
  <c r="K16" i="14"/>
  <c r="E25" i="14"/>
  <c r="S23" i="14"/>
  <c r="O53" i="14"/>
  <c r="L20" i="14"/>
  <c r="D25" i="14"/>
  <c r="O9" i="14"/>
  <c r="R93" i="14"/>
  <c r="R42" i="14"/>
  <c r="D16" i="14"/>
  <c r="Q16" i="14"/>
  <c r="J20" i="14"/>
  <c r="M16" i="14"/>
  <c r="U16" i="14"/>
  <c r="H78" i="14"/>
  <c r="S42" i="14"/>
  <c r="T42" i="14"/>
  <c r="G25" i="14"/>
  <c r="U42" i="14"/>
  <c r="S14" i="14"/>
  <c r="L43" i="14"/>
  <c r="J43" i="14"/>
  <c r="F16" i="14"/>
  <c r="S25" i="14"/>
  <c r="F117" i="14"/>
  <c r="J117" i="14"/>
  <c r="T117" i="14"/>
  <c r="I42" i="14"/>
  <c r="N43" i="14"/>
  <c r="N16" i="14"/>
  <c r="I25" i="14"/>
  <c r="H25" i="14"/>
  <c r="H42" i="14"/>
  <c r="O14" i="14"/>
  <c r="S16" i="14"/>
  <c r="H14" i="14"/>
  <c r="N42" i="14"/>
  <c r="F25" i="14"/>
  <c r="G14" i="14"/>
  <c r="M42" i="14"/>
  <c r="F14" i="14"/>
  <c r="Q14" i="14"/>
  <c r="L25" i="14"/>
  <c r="T561" i="15"/>
  <c r="Y561" i="15" s="1"/>
  <c r="O23" i="21"/>
  <c r="T562" i="15"/>
  <c r="Y562" i="15" s="1"/>
  <c r="T274" i="15"/>
  <c r="Y274" i="15" s="1"/>
  <c r="X563" i="15"/>
  <c r="T405" i="15"/>
  <c r="Y405" i="15" s="1"/>
  <c r="T309" i="15"/>
  <c r="T324" i="15"/>
  <c r="Y324" i="15" s="1"/>
  <c r="T215" i="15"/>
  <c r="Y215" i="15" s="1"/>
  <c r="T370" i="15"/>
  <c r="Y370" i="15" s="1"/>
  <c r="T549" i="15"/>
  <c r="Y549" i="15" s="1"/>
  <c r="T474" i="15"/>
  <c r="Y474" i="15" s="1"/>
  <c r="T133" i="15"/>
  <c r="Y133" i="15" s="1"/>
  <c r="T183" i="15"/>
  <c r="M9" i="3"/>
  <c r="X561" i="15"/>
  <c r="W561" i="15"/>
  <c r="T548" i="15"/>
  <c r="Y548" i="15" s="1"/>
  <c r="X560" i="15"/>
  <c r="AC679" i="15"/>
  <c r="R679" i="15"/>
  <c r="W679" i="15" s="1"/>
  <c r="W693" i="15"/>
  <c r="X693" i="15"/>
  <c r="W826" i="15"/>
  <c r="X826" i="15"/>
  <c r="X834" i="15"/>
  <c r="W834" i="15"/>
  <c r="X854" i="15"/>
  <c r="W854" i="15"/>
  <c r="W864" i="15"/>
  <c r="X864" i="15"/>
  <c r="X870" i="15"/>
  <c r="W870" i="15"/>
  <c r="X886" i="15"/>
  <c r="W886" i="15"/>
  <c r="AC887" i="15"/>
  <c r="R887" i="15"/>
  <c r="AC894" i="15"/>
  <c r="R894" i="15"/>
  <c r="AC901" i="15"/>
  <c r="R901" i="15"/>
  <c r="AC904" i="15"/>
  <c r="R904" i="15"/>
  <c r="AC908" i="15"/>
  <c r="R908" i="15"/>
  <c r="W910" i="15"/>
  <c r="X910" i="15"/>
  <c r="W916" i="15"/>
  <c r="X916" i="15"/>
  <c r="AC924" i="15"/>
  <c r="R924" i="15"/>
  <c r="AC936" i="15"/>
  <c r="R936" i="15"/>
  <c r="AC943" i="15"/>
  <c r="R943" i="15"/>
  <c r="W946" i="15"/>
  <c r="X946" i="15"/>
  <c r="X947" i="15"/>
  <c r="W947" i="15"/>
  <c r="AC950" i="15"/>
  <c r="R950" i="15"/>
  <c r="AC961" i="15"/>
  <c r="R961" i="15"/>
  <c r="X984" i="15"/>
  <c r="W984" i="15"/>
  <c r="AC992" i="15"/>
  <c r="R992" i="15"/>
  <c r="W996" i="15"/>
  <c r="X996" i="15"/>
  <c r="AC1000" i="15"/>
  <c r="R1000" i="15"/>
  <c r="X1003" i="15"/>
  <c r="W1003" i="15"/>
  <c r="X1007" i="15"/>
  <c r="W1007" i="15"/>
  <c r="R1013" i="15"/>
  <c r="AC1013" i="15"/>
  <c r="AC1019" i="15"/>
  <c r="R1019" i="15"/>
  <c r="AC1020" i="15"/>
  <c r="R1020" i="15"/>
  <c r="AC1029" i="15"/>
  <c r="R1029" i="15"/>
  <c r="X1033" i="15"/>
  <c r="W1033" i="15"/>
  <c r="AC1034" i="15"/>
  <c r="R1034" i="15"/>
  <c r="W1043" i="15"/>
  <c r="X1043" i="15"/>
  <c r="AC1063" i="15"/>
  <c r="R1063" i="15"/>
  <c r="X1067" i="15"/>
  <c r="W1067" i="15"/>
  <c r="W1090" i="15"/>
  <c r="X1090" i="15"/>
  <c r="X1095" i="15"/>
  <c r="W1095" i="15"/>
  <c r="X1104" i="15"/>
  <c r="W1104" i="15"/>
  <c r="AC1116" i="15"/>
  <c r="R1116" i="15"/>
  <c r="AC1265" i="15"/>
  <c r="R1265" i="15"/>
  <c r="X1268" i="15"/>
  <c r="W1268" i="15"/>
  <c r="AC1269" i="15"/>
  <c r="R1269" i="15"/>
  <c r="AC1277" i="15"/>
  <c r="R1277" i="15"/>
  <c r="AC1281" i="15"/>
  <c r="R1281" i="15"/>
  <c r="AC1301" i="15"/>
  <c r="R1301" i="15"/>
  <c r="X1309" i="15"/>
  <c r="W1309" i="15"/>
  <c r="AC1310" i="15"/>
  <c r="R1310" i="15"/>
  <c r="W1313" i="15"/>
  <c r="X1313" i="15"/>
  <c r="X1318" i="15"/>
  <c r="W1318" i="15"/>
  <c r="AC1320" i="15"/>
  <c r="R1320" i="15"/>
  <c r="R1325" i="15"/>
  <c r="R1329" i="15"/>
  <c r="X1333" i="15"/>
  <c r="W1333" i="15"/>
  <c r="X1339" i="15"/>
  <c r="W1339" i="15"/>
  <c r="X1342" i="15"/>
  <c r="W1342" i="15"/>
  <c r="AC1343" i="15"/>
  <c r="R1343" i="15"/>
  <c r="X1346" i="15"/>
  <c r="W1346" i="15"/>
  <c r="R1351" i="15"/>
  <c r="AC1358" i="15"/>
  <c r="R1358" i="15"/>
  <c r="X1371" i="15"/>
  <c r="W1371" i="15"/>
  <c r="AC1372" i="15"/>
  <c r="R1372" i="15"/>
  <c r="X1375" i="15"/>
  <c r="W1375" i="15"/>
  <c r="AC1379" i="15"/>
  <c r="R1379" i="15"/>
  <c r="R1385" i="15"/>
  <c r="X1392" i="15"/>
  <c r="W1392" i="15"/>
  <c r="AC1393" i="15"/>
  <c r="R1393" i="15"/>
  <c r="AC1398" i="15"/>
  <c r="R1398" i="15"/>
  <c r="AC1403" i="15"/>
  <c r="R1403" i="15"/>
  <c r="AC1406" i="15"/>
  <c r="R1406" i="15"/>
  <c r="AC1411" i="15"/>
  <c r="R1411" i="15"/>
  <c r="X1413" i="15"/>
  <c r="W1413" i="15"/>
  <c r="AC1414" i="15"/>
  <c r="R1414" i="15"/>
  <c r="AC1418" i="15"/>
  <c r="R1418" i="15"/>
  <c r="AC1419" i="15"/>
  <c r="R1419" i="15"/>
  <c r="X1426" i="15"/>
  <c r="W1426" i="15"/>
  <c r="AC1427" i="15"/>
  <c r="R1427" i="15"/>
  <c r="AC1435" i="15"/>
  <c r="R1435" i="15"/>
  <c r="X1438" i="15"/>
  <c r="W1438" i="15"/>
  <c r="X1439" i="15"/>
  <c r="W1439" i="15"/>
  <c r="R1440" i="15"/>
  <c r="AC1440" i="15"/>
  <c r="AC1442" i="15"/>
  <c r="R1442" i="15"/>
  <c r="AC1445" i="15"/>
  <c r="R1445" i="15"/>
  <c r="AC1449" i="15"/>
  <c r="R1449" i="15"/>
  <c r="X1457" i="15"/>
  <c r="W1457" i="15"/>
  <c r="R1458" i="15"/>
  <c r="X1462" i="15"/>
  <c r="W1462" i="15"/>
  <c r="AC1464" i="15"/>
  <c r="R1464" i="15"/>
  <c r="AC1474" i="15"/>
  <c r="R1474" i="15"/>
  <c r="AC1494" i="15"/>
  <c r="R1494" i="15"/>
  <c r="X1506" i="15"/>
  <c r="W1506" i="15"/>
  <c r="X1510" i="15"/>
  <c r="W1510" i="15"/>
  <c r="AC1521" i="15"/>
  <c r="R1521" i="15"/>
  <c r="X1545" i="15"/>
  <c r="W1545" i="15"/>
  <c r="R1546" i="15"/>
  <c r="X1549" i="15"/>
  <c r="W1549" i="15"/>
  <c r="W1555" i="15"/>
  <c r="X1555" i="15"/>
  <c r="AC1556" i="15"/>
  <c r="R1556" i="15"/>
  <c r="X1560" i="15"/>
  <c r="W1560" i="15"/>
  <c r="X1561" i="15"/>
  <c r="W1561" i="15"/>
  <c r="AC1645" i="15"/>
  <c r="R1645" i="15"/>
  <c r="W1654" i="15"/>
  <c r="X1654" i="15"/>
  <c r="X1657" i="15"/>
  <c r="W1657" i="15"/>
  <c r="X1665" i="15"/>
  <c r="W1665" i="15"/>
  <c r="X1666" i="15"/>
  <c r="W1666" i="15"/>
  <c r="W1671" i="15"/>
  <c r="X1671" i="15"/>
  <c r="X1780" i="15"/>
  <c r="W1780" i="15"/>
  <c r="AC1784" i="15"/>
  <c r="R1784" i="15"/>
  <c r="AC1810" i="15"/>
  <c r="R1810" i="15"/>
  <c r="W1827" i="15"/>
  <c r="X1827" i="15"/>
  <c r="AC1842" i="15"/>
  <c r="R1842" i="15"/>
  <c r="X1856" i="15"/>
  <c r="W1856" i="15"/>
  <c r="X1906" i="15"/>
  <c r="W1906" i="15"/>
  <c r="X1917" i="15"/>
  <c r="W1917" i="15"/>
  <c r="AC1918" i="15"/>
  <c r="R1918" i="15"/>
  <c r="X1921" i="15"/>
  <c r="W1921" i="15"/>
  <c r="X1924" i="15"/>
  <c r="W1924" i="15"/>
  <c r="AC1925" i="15"/>
  <c r="R1925" i="15"/>
  <c r="X1928" i="15"/>
  <c r="W1928" i="15"/>
  <c r="X1930" i="15"/>
  <c r="W1930" i="15"/>
  <c r="AC1933" i="15"/>
  <c r="R1933" i="15"/>
  <c r="AC1937" i="15"/>
  <c r="R1937" i="15"/>
  <c r="X1940" i="15"/>
  <c r="W1940" i="15"/>
  <c r="X1948" i="15"/>
  <c r="W1948" i="15"/>
  <c r="R1950" i="15"/>
  <c r="W1960" i="15"/>
  <c r="X1960" i="15"/>
  <c r="AC1961" i="15"/>
  <c r="R1961" i="15"/>
  <c r="X1972" i="15"/>
  <c r="W1972" i="15"/>
  <c r="R1974" i="15"/>
  <c r="X1977" i="15"/>
  <c r="W1977" i="15"/>
  <c r="W1978" i="15"/>
  <c r="X1978" i="15"/>
  <c r="W1991" i="15"/>
  <c r="X1991" i="15"/>
  <c r="AC1993" i="15"/>
  <c r="R1993" i="15"/>
  <c r="W1994" i="15"/>
  <c r="X1994" i="15"/>
  <c r="X1996" i="15"/>
  <c r="W1996" i="15"/>
  <c r="AC1997" i="15"/>
  <c r="R1997" i="15"/>
  <c r="AC2001" i="15"/>
  <c r="R2001" i="15"/>
  <c r="R2005" i="15"/>
  <c r="AC2005" i="15"/>
  <c r="X2011" i="15"/>
  <c r="W2011" i="15"/>
  <c r="X2014" i="15"/>
  <c r="W2014" i="15"/>
  <c r="AC2015" i="15"/>
  <c r="R2015" i="15"/>
  <c r="R2020" i="15"/>
  <c r="AC2020" i="15"/>
  <c r="X2024" i="15"/>
  <c r="W2024" i="15"/>
  <c r="AC2032" i="15"/>
  <c r="R2032" i="15"/>
  <c r="AC2036" i="15"/>
  <c r="R2036" i="15"/>
  <c r="W2039" i="15"/>
  <c r="X2039" i="15"/>
  <c r="AC2040" i="15"/>
  <c r="R2040" i="15"/>
  <c r="X2044" i="15"/>
  <c r="W2044" i="15"/>
  <c r="X2048" i="15"/>
  <c r="W2048" i="15"/>
  <c r="R2050" i="15"/>
  <c r="X2054" i="15"/>
  <c r="W2054" i="15"/>
  <c r="R2055" i="15"/>
  <c r="AC2055" i="15"/>
  <c r="X2056" i="15"/>
  <c r="W2056" i="15"/>
  <c r="AC2060" i="15"/>
  <c r="R2060" i="15"/>
  <c r="X2062" i="15"/>
  <c r="W2062" i="15"/>
  <c r="AC2066" i="15"/>
  <c r="R2066" i="15"/>
  <c r="X2069" i="15"/>
  <c r="W2069" i="15"/>
  <c r="W2070" i="15"/>
  <c r="X2070" i="15"/>
  <c r="AC2073" i="15"/>
  <c r="R2073" i="15"/>
  <c r="X2076" i="15"/>
  <c r="W2076" i="15"/>
  <c r="AC2077" i="15"/>
  <c r="R2077" i="15"/>
  <c r="W2078" i="15"/>
  <c r="X2078" i="15"/>
  <c r="AC2092" i="15"/>
  <c r="R2092" i="15"/>
  <c r="X2093" i="15"/>
  <c r="W2093" i="15"/>
  <c r="X2096" i="15"/>
  <c r="W2096" i="15"/>
  <c r="X2097" i="15"/>
  <c r="W2097" i="15"/>
  <c r="X2104" i="15"/>
  <c r="W2104" i="15"/>
  <c r="X2107" i="15"/>
  <c r="W2107" i="15"/>
  <c r="AC2114" i="15"/>
  <c r="R2114" i="15"/>
  <c r="X2115" i="15"/>
  <c r="W2115" i="15"/>
  <c r="X2117" i="15"/>
  <c r="W2117" i="15"/>
  <c r="AC2121" i="15"/>
  <c r="R2121" i="15"/>
  <c r="X2122" i="15"/>
  <c r="W2122" i="15"/>
  <c r="AC2126" i="15"/>
  <c r="R2126" i="15"/>
  <c r="X2127" i="15"/>
  <c r="W2127" i="15"/>
  <c r="X2128" i="15"/>
  <c r="W2128" i="15"/>
  <c r="X2137" i="15"/>
  <c r="W2137" i="15"/>
  <c r="AC2138" i="15"/>
  <c r="R2138" i="15"/>
  <c r="W2165" i="15"/>
  <c r="X2165" i="15"/>
  <c r="X2186" i="15"/>
  <c r="W2186" i="15"/>
  <c r="X2188" i="15"/>
  <c r="W2188" i="15"/>
  <c r="W2195" i="15"/>
  <c r="X2195" i="15"/>
  <c r="X2203" i="15"/>
  <c r="W2203" i="15"/>
  <c r="R2241" i="15"/>
  <c r="AC2241" i="15"/>
  <c r="X244" i="15"/>
  <c r="W63" i="15"/>
  <c r="Y1953" i="15"/>
  <c r="R2120" i="15"/>
  <c r="R2028" i="15"/>
  <c r="W2008" i="15"/>
  <c r="W1938" i="15"/>
  <c r="W1867" i="15"/>
  <c r="AC1546" i="15"/>
  <c r="R1585" i="15"/>
  <c r="R1637" i="15"/>
  <c r="R1396" i="15"/>
  <c r="W1350" i="15"/>
  <c r="R1049" i="15"/>
  <c r="AC1325" i="15"/>
  <c r="W1023" i="15"/>
  <c r="W964" i="15"/>
  <c r="R785" i="15"/>
  <c r="W1787" i="15"/>
  <c r="R1781" i="15"/>
  <c r="Y1607" i="15"/>
  <c r="R2061" i="15"/>
  <c r="R1953" i="15"/>
  <c r="AC1950" i="15"/>
  <c r="R1550" i="15"/>
  <c r="R1423" i="15"/>
  <c r="W1355" i="15"/>
  <c r="AC1351" i="15"/>
  <c r="R1334" i="15"/>
  <c r="W1305" i="15"/>
  <c r="W991" i="15"/>
  <c r="W931" i="15"/>
  <c r="X1949" i="15"/>
  <c r="X2019" i="15"/>
  <c r="R604" i="15"/>
  <c r="W604" i="15" s="1"/>
  <c r="W283" i="15"/>
  <c r="W178" i="15"/>
  <c r="W162" i="15"/>
  <c r="W91" i="15"/>
  <c r="AC2050" i="15"/>
  <c r="AC1974" i="15"/>
  <c r="R1650" i="15"/>
  <c r="R1454" i="15"/>
  <c r="W1649" i="15"/>
  <c r="W1493" i="15"/>
  <c r="AC1329" i="15"/>
  <c r="R1473" i="15"/>
  <c r="AC1458" i="15"/>
  <c r="W1017" i="15"/>
  <c r="W959" i="15"/>
  <c r="X954" i="15"/>
  <c r="X948" i="15"/>
  <c r="R920" i="15"/>
  <c r="R632" i="15"/>
  <c r="W632" i="15" s="1"/>
  <c r="Y2039" i="15"/>
  <c r="X1932" i="15"/>
  <c r="Y1924" i="15"/>
  <c r="Y2000" i="15"/>
  <c r="X568" i="15"/>
  <c r="AC570" i="15"/>
  <c r="U570" i="15" s="1"/>
  <c r="R570" i="15"/>
  <c r="W570" i="15" s="1"/>
  <c r="X573" i="15"/>
  <c r="X579" i="15"/>
  <c r="X600" i="15"/>
  <c r="X603" i="15"/>
  <c r="AC613" i="15"/>
  <c r="R613" i="15"/>
  <c r="W613" i="15" s="1"/>
  <c r="AC621" i="15"/>
  <c r="R621" i="15"/>
  <c r="W621" i="15" s="1"/>
  <c r="X624" i="15"/>
  <c r="W624" i="15"/>
  <c r="X630" i="15"/>
  <c r="AC633" i="15"/>
  <c r="R633" i="15"/>
  <c r="W633" i="15" s="1"/>
  <c r="X636" i="15"/>
  <c r="W643" i="15"/>
  <c r="X643" i="15"/>
  <c r="AC644" i="15"/>
  <c r="R644" i="15"/>
  <c r="W644" i="15" s="1"/>
  <c r="AC656" i="15"/>
  <c r="R656" i="15"/>
  <c r="W656" i="15" s="1"/>
  <c r="X663" i="15"/>
  <c r="X664" i="15"/>
  <c r="X671" i="15"/>
  <c r="AC672" i="15"/>
  <c r="U672" i="15" s="1"/>
  <c r="T672" i="15" s="1"/>
  <c r="Y672" i="15" s="1"/>
  <c r="R672" i="15"/>
  <c r="W672" i="15" s="1"/>
  <c r="X675" i="15"/>
  <c r="AC676" i="15"/>
  <c r="R676" i="15"/>
  <c r="W676" i="15" s="1"/>
  <c r="AC680" i="15"/>
  <c r="R680" i="15"/>
  <c r="W680" i="15" s="1"/>
  <c r="X683" i="15"/>
  <c r="W683" i="15"/>
  <c r="X684" i="15"/>
  <c r="X690" i="15"/>
  <c r="X694" i="15"/>
  <c r="AC704" i="15"/>
  <c r="R704" i="15"/>
  <c r="X715" i="15"/>
  <c r="W715" i="15"/>
  <c r="AD2081" i="15"/>
  <c r="AD2095" i="15"/>
  <c r="R2132" i="15"/>
  <c r="W2077" i="15"/>
  <c r="X2106" i="15"/>
  <c r="W2066" i="15"/>
  <c r="Y1957" i="15"/>
  <c r="R1713" i="15"/>
  <c r="R1934" i="15"/>
  <c r="R1834" i="15"/>
  <c r="Y1806" i="15"/>
  <c r="Y1650" i="15"/>
  <c r="R1526" i="15"/>
  <c r="Y1525" i="15"/>
  <c r="R1450" i="15"/>
  <c r="W1435" i="15"/>
  <c r="W1411" i="15"/>
  <c r="Y1339" i="15"/>
  <c r="R1261" i="15"/>
  <c r="W1440" i="15"/>
  <c r="Y1034" i="15"/>
  <c r="R962" i="15"/>
  <c r="X976" i="15"/>
  <c r="X1082" i="15"/>
  <c r="W908" i="15"/>
  <c r="R1021" i="15"/>
  <c r="W943" i="15"/>
  <c r="W1025" i="15"/>
  <c r="X936" i="15"/>
  <c r="Y854" i="15"/>
  <c r="X785" i="15"/>
  <c r="X2160" i="15"/>
  <c r="W1850" i="15"/>
  <c r="Y2058" i="15"/>
  <c r="Y1516" i="15"/>
  <c r="W1501" i="15"/>
  <c r="Y1083" i="15"/>
  <c r="Y1865" i="15"/>
  <c r="W1256" i="15"/>
  <c r="Y783" i="15"/>
  <c r="Y1073" i="15"/>
  <c r="Y1109" i="15"/>
  <c r="R2123" i="15"/>
  <c r="W1961" i="15"/>
  <c r="R1904" i="15"/>
  <c r="W1810" i="15"/>
  <c r="W1618" i="15"/>
  <c r="W1602" i="15"/>
  <c r="W1546" i="15"/>
  <c r="W1434" i="15"/>
  <c r="W1601" i="15"/>
  <c r="X1550" i="15"/>
  <c r="R1573" i="15"/>
  <c r="W1343" i="15"/>
  <c r="Y1440" i="15"/>
  <c r="X970" i="15"/>
  <c r="W1009" i="15"/>
  <c r="R921" i="15"/>
  <c r="X1045" i="15"/>
  <c r="W773" i="15"/>
  <c r="Y2063" i="15"/>
  <c r="Y2113" i="15"/>
  <c r="W2001" i="15"/>
  <c r="Y1868" i="15"/>
  <c r="Y1814" i="15"/>
  <c r="W1873" i="15"/>
  <c r="Y1062" i="15"/>
  <c r="Y949" i="15"/>
  <c r="W1074" i="15"/>
  <c r="Y1171" i="15"/>
  <c r="X790" i="15"/>
  <c r="Y1203" i="15"/>
  <c r="Y1672" i="15"/>
  <c r="X2119" i="15"/>
  <c r="X1232" i="15"/>
  <c r="Y795" i="15"/>
  <c r="W1116" i="15"/>
  <c r="Y2079" i="15"/>
  <c r="X1171" i="15"/>
  <c r="AC725" i="15"/>
  <c r="R725" i="15"/>
  <c r="X733" i="15"/>
  <c r="W733" i="15"/>
  <c r="W752" i="15"/>
  <c r="X752" i="15"/>
  <c r="R757" i="15"/>
  <c r="AC757" i="15"/>
  <c r="AC761" i="15"/>
  <c r="R761" i="15"/>
  <c r="AC766" i="15"/>
  <c r="R766" i="15"/>
  <c r="W769" i="15"/>
  <c r="X769" i="15"/>
  <c r="X778" i="15"/>
  <c r="W778" i="15"/>
  <c r="AC781" i="15"/>
  <c r="R781" i="15"/>
  <c r="AC792" i="15"/>
  <c r="R792" i="15"/>
  <c r="X802" i="15"/>
  <c r="W802" i="15"/>
  <c r="AC803" i="15"/>
  <c r="R803" i="15"/>
  <c r="X809" i="15"/>
  <c r="W809" i="15"/>
  <c r="X822" i="15"/>
  <c r="W822" i="15"/>
  <c r="AC828" i="15"/>
  <c r="R828" i="15"/>
  <c r="R837" i="15"/>
  <c r="AC837" i="15"/>
  <c r="X840" i="15"/>
  <c r="W840" i="15"/>
  <c r="R841" i="15"/>
  <c r="R845" i="15"/>
  <c r="X850" i="15"/>
  <c r="W850" i="15"/>
  <c r="AC862" i="15"/>
  <c r="R862" i="15"/>
  <c r="AC866" i="15"/>
  <c r="R866" i="15"/>
  <c r="AC881" i="15"/>
  <c r="R881" i="15"/>
  <c r="X887" i="15"/>
  <c r="W887" i="15"/>
  <c r="X904" i="15"/>
  <c r="W904" i="15"/>
  <c r="AC905" i="15"/>
  <c r="R905" i="15"/>
  <c r="X911" i="15"/>
  <c r="W911" i="15"/>
  <c r="W912" i="15"/>
  <c r="X912" i="15"/>
  <c r="AC917" i="15"/>
  <c r="R917" i="15"/>
  <c r="W920" i="15"/>
  <c r="X920" i="15"/>
  <c r="X932" i="15"/>
  <c r="W932" i="15"/>
  <c r="AC937" i="15"/>
  <c r="R937" i="15"/>
  <c r="AC951" i="15"/>
  <c r="R951" i="15"/>
  <c r="R956" i="15"/>
  <c r="AC956" i="15"/>
  <c r="X961" i="15"/>
  <c r="W961" i="15"/>
  <c r="R966" i="15"/>
  <c r="AC972" i="15"/>
  <c r="R972" i="15"/>
  <c r="AC977" i="15"/>
  <c r="R977" i="15"/>
  <c r="AC981" i="15"/>
  <c r="R981" i="15"/>
  <c r="AC985" i="15"/>
  <c r="R985" i="15"/>
  <c r="AC989" i="15"/>
  <c r="R989" i="15"/>
  <c r="X1000" i="15"/>
  <c r="W1000" i="15"/>
  <c r="AC1005" i="15"/>
  <c r="R1005" i="15"/>
  <c r="X1010" i="15"/>
  <c r="W1010" i="15"/>
  <c r="W1019" i="15"/>
  <c r="X1019" i="15"/>
  <c r="X1024" i="15"/>
  <c r="W1024" i="15"/>
  <c r="W1034" i="15"/>
  <c r="X1034" i="15"/>
  <c r="X1044" i="15"/>
  <c r="W1044" i="15"/>
  <c r="R1046" i="15"/>
  <c r="X1053" i="15"/>
  <c r="W1053" i="15"/>
  <c r="AC1060" i="15"/>
  <c r="R1060" i="15"/>
  <c r="X1063" i="15"/>
  <c r="W1063" i="15"/>
  <c r="AC1069" i="15"/>
  <c r="R1069" i="15"/>
  <c r="W1078" i="15"/>
  <c r="X1078" i="15"/>
  <c r="W1091" i="15"/>
  <c r="X1091" i="15"/>
  <c r="W1102" i="15"/>
  <c r="X1102" i="15"/>
  <c r="W1105" i="15"/>
  <c r="X1105" i="15"/>
  <c r="W1110" i="15"/>
  <c r="X1110" i="15"/>
  <c r="W1130" i="15"/>
  <c r="X1130" i="15"/>
  <c r="W1151" i="15"/>
  <c r="X1151" i="15"/>
  <c r="X1155" i="15"/>
  <c r="W1155" i="15"/>
  <c r="X1159" i="15"/>
  <c r="W1159" i="15"/>
  <c r="X1163" i="15"/>
  <c r="W1163" i="15"/>
  <c r="X1176" i="15"/>
  <c r="W1176" i="15"/>
  <c r="AC1178" i="15"/>
  <c r="R1178" i="15"/>
  <c r="R1190" i="15"/>
  <c r="W1199" i="15"/>
  <c r="X1199" i="15"/>
  <c r="AC1200" i="15"/>
  <c r="R1200" i="15"/>
  <c r="R1207" i="15"/>
  <c r="AC1207" i="15"/>
  <c r="W1210" i="15"/>
  <c r="X1210" i="15"/>
  <c r="X1215" i="15"/>
  <c r="W1215" i="15"/>
  <c r="AC1216" i="15"/>
  <c r="R1216" i="15"/>
  <c r="X1224" i="15"/>
  <c r="W1224" i="15"/>
  <c r="AC1229" i="15"/>
  <c r="R1229" i="15"/>
  <c r="AC1233" i="15"/>
  <c r="R1233" i="15"/>
  <c r="W1236" i="15"/>
  <c r="X1236" i="15"/>
  <c r="X1240" i="15"/>
  <c r="W1240" i="15"/>
  <c r="W1244" i="15"/>
  <c r="X1244" i="15"/>
  <c r="AC1245" i="15"/>
  <c r="R1245" i="15"/>
  <c r="AC1249" i="15"/>
  <c r="R1249" i="15"/>
  <c r="X1260" i="15"/>
  <c r="W1260" i="15"/>
  <c r="X1301" i="15"/>
  <c r="W1301" i="15"/>
  <c r="AC1302" i="15"/>
  <c r="R1302" i="15"/>
  <c r="X1320" i="15"/>
  <c r="W1320" i="15"/>
  <c r="AC1376" i="15"/>
  <c r="R1376" i="15"/>
  <c r="AC1383" i="15"/>
  <c r="R1383" i="15"/>
  <c r="AC1390" i="15"/>
  <c r="R1390" i="15"/>
  <c r="AC1399" i="15"/>
  <c r="R1399" i="15"/>
  <c r="X1403" i="15"/>
  <c r="W1403" i="15"/>
  <c r="X1406" i="15"/>
  <c r="W1406" i="15"/>
  <c r="X1414" i="15"/>
  <c r="W1414" i="15"/>
  <c r="AC1415" i="15"/>
  <c r="R1415" i="15"/>
  <c r="X1422" i="15"/>
  <c r="W1422" i="15"/>
  <c r="X1423" i="15"/>
  <c r="W1423" i="15"/>
  <c r="R1424" i="15"/>
  <c r="X1427" i="15"/>
  <c r="W1427" i="15"/>
  <c r="X1430" i="15"/>
  <c r="W1430" i="15"/>
  <c r="AC1431" i="15"/>
  <c r="R1431" i="15"/>
  <c r="AC1443" i="15"/>
  <c r="R1443" i="15"/>
  <c r="X1445" i="15"/>
  <c r="W1445" i="15"/>
  <c r="AC1446" i="15"/>
  <c r="R1446" i="15"/>
  <c r="X1449" i="15"/>
  <c r="W1449" i="15"/>
  <c r="X1454" i="15"/>
  <c r="W1454" i="15"/>
  <c r="AC1455" i="15"/>
  <c r="R1455" i="15"/>
  <c r="AC1459" i="15"/>
  <c r="R1459" i="15"/>
  <c r="X1463" i="15"/>
  <c r="W1463" i="15"/>
  <c r="W1469" i="15"/>
  <c r="X1469" i="15"/>
  <c r="X1473" i="15"/>
  <c r="W1473" i="15"/>
  <c r="AC1480" i="15"/>
  <c r="R1480" i="15"/>
  <c r="X1494" i="15"/>
  <c r="W1494" i="15"/>
  <c r="W1502" i="15"/>
  <c r="X1502" i="15"/>
  <c r="AC1503" i="15"/>
  <c r="R1503" i="15"/>
  <c r="AC1508" i="15"/>
  <c r="R1508" i="15"/>
  <c r="AC1512" i="15"/>
  <c r="R1512" i="15"/>
  <c r="X1516" i="15"/>
  <c r="W1516" i="15"/>
  <c r="R1522" i="15"/>
  <c r="AC1522" i="15"/>
  <c r="X1525" i="15"/>
  <c r="W1525" i="15"/>
  <c r="AC1538" i="15"/>
  <c r="R1538" i="15"/>
  <c r="X1541" i="15"/>
  <c r="W1541" i="15"/>
  <c r="AC1552" i="15"/>
  <c r="R1552" i="15"/>
  <c r="AC1557" i="15"/>
  <c r="R1557" i="15"/>
  <c r="AC1564" i="15"/>
  <c r="R1564" i="15"/>
  <c r="W1567" i="15"/>
  <c r="X1567" i="15"/>
  <c r="W1572" i="15"/>
  <c r="X1572" i="15"/>
  <c r="AC1577" i="15"/>
  <c r="R1577" i="15"/>
  <c r="X1580" i="15"/>
  <c r="W1580" i="15"/>
  <c r="AC1581" i="15"/>
  <c r="R1581" i="15"/>
  <c r="X1584" i="15"/>
  <c r="W1584" i="15"/>
  <c r="X1585" i="15"/>
  <c r="W1585" i="15"/>
  <c r="X1589" i="15"/>
  <c r="W1589" i="15"/>
  <c r="R1590" i="15"/>
  <c r="AC1590" i="15"/>
  <c r="X1593" i="15"/>
  <c r="W1593" i="15"/>
  <c r="X1608" i="15"/>
  <c r="W1608" i="15"/>
  <c r="AC1610" i="15"/>
  <c r="R1610" i="15"/>
  <c r="AC1614" i="15"/>
  <c r="R1614" i="15"/>
  <c r="X1617" i="15"/>
  <c r="W1617" i="15"/>
  <c r="AC1620" i="15"/>
  <c r="R1620" i="15"/>
  <c r="X1627" i="15"/>
  <c r="W1627" i="15"/>
  <c r="X1632" i="15"/>
  <c r="W1632" i="15"/>
  <c r="AC1633" i="15"/>
  <c r="R1633" i="15"/>
  <c r="X1641" i="15"/>
  <c r="W1641" i="15"/>
  <c r="AC1642" i="15"/>
  <c r="R1642" i="15"/>
  <c r="X1645" i="15"/>
  <c r="W1645" i="15"/>
  <c r="R1646" i="15"/>
  <c r="W1650" i="15"/>
  <c r="X1650" i="15"/>
  <c r="W1667" i="15"/>
  <c r="X1667" i="15"/>
  <c r="X1672" i="15"/>
  <c r="W1672" i="15"/>
  <c r="AC1673" i="15"/>
  <c r="R1673" i="15"/>
  <c r="R1682" i="15"/>
  <c r="W1719" i="15"/>
  <c r="X1719" i="15"/>
  <c r="AC1729" i="15"/>
  <c r="R1729" i="15"/>
  <c r="W1746" i="15"/>
  <c r="X1746" i="15"/>
  <c r="AC1751" i="15"/>
  <c r="R1751" i="15"/>
  <c r="R1789" i="15"/>
  <c r="AC1789" i="15"/>
  <c r="X1792" i="15"/>
  <c r="W1792" i="15"/>
  <c r="R1794" i="15"/>
  <c r="R1798" i="15"/>
  <c r="W1802" i="15"/>
  <c r="X1802" i="15"/>
  <c r="AC1803" i="15"/>
  <c r="R1803" i="15"/>
  <c r="AC1811" i="15"/>
  <c r="R1811" i="15"/>
  <c r="X1820" i="15"/>
  <c r="W1820" i="15"/>
  <c r="AC1821" i="15"/>
  <c r="R1821" i="15"/>
  <c r="AC1825" i="15"/>
  <c r="R1825" i="15"/>
  <c r="R1830" i="15"/>
  <c r="X1833" i="15"/>
  <c r="W1833" i="15"/>
  <c r="AC1835" i="15"/>
  <c r="R1835" i="15"/>
  <c r="X1842" i="15"/>
  <c r="W1842" i="15"/>
  <c r="AC1843" i="15"/>
  <c r="R1843" i="15"/>
  <c r="AC1847" i="15"/>
  <c r="R1847" i="15"/>
  <c r="AC1851" i="15"/>
  <c r="R1851" i="15"/>
  <c r="X1857" i="15"/>
  <c r="W1857" i="15"/>
  <c r="W1861" i="15"/>
  <c r="X1861" i="15"/>
  <c r="AC1862" i="15"/>
  <c r="R1862" i="15"/>
  <c r="W1865" i="15"/>
  <c r="X1865" i="15"/>
  <c r="W1868" i="15"/>
  <c r="X1868" i="15"/>
  <c r="AC1874" i="15"/>
  <c r="R1874" i="15"/>
  <c r="X1886" i="15"/>
  <c r="W1886" i="15"/>
  <c r="X1890" i="15"/>
  <c r="W1890" i="15"/>
  <c r="AC1891" i="15"/>
  <c r="R1891" i="15"/>
  <c r="X1894" i="15"/>
  <c r="W1894" i="15"/>
  <c r="X1899" i="15"/>
  <c r="W1899" i="15"/>
  <c r="AC1900" i="15"/>
  <c r="R1900" i="15"/>
  <c r="X1903" i="15"/>
  <c r="W1903" i="15"/>
  <c r="X1909" i="15"/>
  <c r="W1909" i="15"/>
  <c r="AC1909" i="15"/>
  <c r="R1909" i="15"/>
  <c r="X1916" i="15"/>
  <c r="W1916" i="15"/>
  <c r="X1933" i="15"/>
  <c r="W1933" i="15"/>
  <c r="AC1942" i="15"/>
  <c r="R1942" i="15"/>
  <c r="AC1970" i="15"/>
  <c r="R1970" i="15"/>
  <c r="X2032" i="15"/>
  <c r="W2032" i="15"/>
  <c r="AC2033" i="15"/>
  <c r="R2033" i="15"/>
  <c r="X2036" i="15"/>
  <c r="W2036" i="15"/>
  <c r="X2040" i="15"/>
  <c r="W2040" i="15"/>
  <c r="AC2042" i="15"/>
  <c r="R2042" i="15"/>
  <c r="X2043" i="15"/>
  <c r="W2043" i="15"/>
  <c r="W2045" i="15"/>
  <c r="X2045" i="15"/>
  <c r="R2046" i="15"/>
  <c r="X2049" i="15"/>
  <c r="W2049" i="15"/>
  <c r="W2050" i="15"/>
  <c r="X2050" i="15"/>
  <c r="AC2051" i="15"/>
  <c r="R2051" i="15"/>
  <c r="AD2053" i="15"/>
  <c r="AC2057" i="15"/>
  <c r="R2057" i="15"/>
  <c r="X2058" i="15"/>
  <c r="W2058" i="15"/>
  <c r="X2060" i="15"/>
  <c r="W2060" i="15"/>
  <c r="X2079" i="15"/>
  <c r="W2079" i="15"/>
  <c r="AC2089" i="15"/>
  <c r="R2089" i="15"/>
  <c r="W2098" i="15"/>
  <c r="X2098" i="15"/>
  <c r="X2105" i="15"/>
  <c r="W2105" i="15"/>
  <c r="X2110" i="15"/>
  <c r="W2110" i="15"/>
  <c r="X2116" i="15"/>
  <c r="W2116" i="15"/>
  <c r="X2126" i="15"/>
  <c r="W2126" i="15"/>
  <c r="X2130" i="15"/>
  <c r="W2130" i="15"/>
  <c r="X2136" i="15"/>
  <c r="W2136" i="15"/>
  <c r="X2142" i="15"/>
  <c r="W2142" i="15"/>
  <c r="X2143" i="15"/>
  <c r="W2143" i="15"/>
  <c r="AC2145" i="15"/>
  <c r="R2145" i="15"/>
  <c r="W2148" i="15"/>
  <c r="X2148" i="15"/>
  <c r="R2149" i="15"/>
  <c r="W2150" i="15"/>
  <c r="X2150" i="15"/>
  <c r="W2152" i="15"/>
  <c r="X2152" i="15"/>
  <c r="X2162" i="15"/>
  <c r="W2162" i="15"/>
  <c r="AC2238" i="15"/>
  <c r="R2238" i="15"/>
  <c r="X2239" i="15"/>
  <c r="W2239" i="15"/>
  <c r="R2242" i="15"/>
  <c r="Y2137" i="15"/>
  <c r="Y2237" i="15"/>
  <c r="Y2124" i="15"/>
  <c r="Y1541" i="15"/>
  <c r="Y1529" i="15"/>
  <c r="Y1637" i="15"/>
  <c r="Y1346" i="15"/>
  <c r="Y1342" i="15"/>
  <c r="Y1318" i="15"/>
  <c r="Y1029" i="15"/>
  <c r="Y861" i="15"/>
  <c r="Y679" i="15"/>
  <c r="Y785" i="15"/>
  <c r="R225" i="15"/>
  <c r="W225" i="15" s="1"/>
  <c r="Y2222" i="15"/>
  <c r="Y2119" i="15"/>
  <c r="Y1972" i="15"/>
  <c r="Y1960" i="15"/>
  <c r="Y1983" i="15"/>
  <c r="Y1994" i="15"/>
  <c r="Y1838" i="15"/>
  <c r="Y1555" i="15"/>
  <c r="Y1563" i="15"/>
  <c r="Y1572" i="15"/>
  <c r="Y1550" i="15"/>
  <c r="Y728" i="15"/>
  <c r="Y653" i="15"/>
  <c r="AD468" i="15"/>
  <c r="V468" i="15" s="1"/>
  <c r="T468" i="15" s="1"/>
  <c r="AB468" i="15" s="1"/>
  <c r="Y2054" i="15"/>
  <c r="Y2114" i="15"/>
  <c r="Y1567" i="15"/>
  <c r="Y1063" i="15"/>
  <c r="Y1473" i="15"/>
  <c r="Y2134" i="15"/>
  <c r="Y1018" i="15"/>
  <c r="Y2126" i="15"/>
  <c r="Y2110" i="15"/>
  <c r="Y2077" i="15"/>
  <c r="Y1355" i="15"/>
  <c r="Y1593" i="15"/>
  <c r="Y1458" i="15"/>
  <c r="Y865" i="15"/>
  <c r="Y760" i="15"/>
  <c r="Y2204" i="15"/>
  <c r="Y2248" i="15"/>
  <c r="Y2135" i="15"/>
  <c r="Y1769" i="15"/>
  <c r="Y1627" i="15"/>
  <c r="Y1792" i="15"/>
  <c r="Y1181" i="15"/>
  <c r="Y850" i="15"/>
  <c r="Y965" i="15"/>
  <c r="Y1511" i="15"/>
  <c r="Y1608" i="15"/>
  <c r="Y1878" i="15"/>
  <c r="Y955" i="15"/>
  <c r="Y1104" i="15"/>
  <c r="Y1728" i="15"/>
  <c r="Y2099" i="15"/>
  <c r="Y2117" i="15"/>
  <c r="V114" i="15"/>
  <c r="Q114" i="15"/>
  <c r="W114" i="15" s="1"/>
  <c r="Q386" i="15"/>
  <c r="X386" i="15" s="1"/>
  <c r="R386" i="15"/>
  <c r="S476" i="15"/>
  <c r="X476" i="15" s="1"/>
  <c r="AD476" i="15"/>
  <c r="V476" i="15" s="1"/>
  <c r="T476" i="15" s="1"/>
  <c r="Y476" i="15" s="1"/>
  <c r="AC489" i="15"/>
  <c r="U489" i="15" s="1"/>
  <c r="T489" i="15" s="1"/>
  <c r="R489" i="15"/>
  <c r="W489" i="15" s="1"/>
  <c r="AC527" i="15"/>
  <c r="R527" i="15"/>
  <c r="W527" i="15" s="1"/>
  <c r="R667" i="15"/>
  <c r="W667" i="15" s="1"/>
  <c r="AD885" i="15"/>
  <c r="R891" i="15"/>
  <c r="AD911" i="15"/>
  <c r="AD918" i="15"/>
  <c r="R925" i="15"/>
  <c r="AC952" i="15"/>
  <c r="R952" i="15"/>
  <c r="AC1689" i="15"/>
  <c r="R1689" i="15"/>
  <c r="X1701" i="15"/>
  <c r="W1701" i="15"/>
  <c r="X1725" i="15"/>
  <c r="W1725" i="15"/>
  <c r="AC1733" i="15"/>
  <c r="R1733" i="15"/>
  <c r="X1756" i="15"/>
  <c r="W1756" i="15"/>
  <c r="Y2009" i="15"/>
  <c r="Y2188" i="15"/>
  <c r="Y1711" i="15"/>
  <c r="Y1613" i="15"/>
  <c r="Y1597" i="15"/>
  <c r="Y1537" i="15"/>
  <c r="Y1585" i="15"/>
  <c r="Y1545" i="15"/>
  <c r="Y1549" i="15"/>
  <c r="Y1493" i="15"/>
  <c r="Y1189" i="15"/>
  <c r="W1577" i="15"/>
  <c r="Y1270" i="15"/>
  <c r="Y880" i="15"/>
  <c r="Y2195" i="15"/>
  <c r="Y1780" i="15"/>
  <c r="Y1857" i="15"/>
  <c r="Y1494" i="15"/>
  <c r="Y1766" i="15"/>
  <c r="Y1642" i="15"/>
  <c r="Y1756" i="15"/>
  <c r="Y831" i="15"/>
  <c r="Y2060" i="15"/>
  <c r="Y1890" i="15"/>
  <c r="Y1659" i="15"/>
  <c r="Y1215" i="15"/>
  <c r="Y1824" i="15"/>
  <c r="Y707" i="15"/>
  <c r="Y907" i="15"/>
  <c r="Y1787" i="15"/>
  <c r="Y2112" i="15"/>
  <c r="Y2103" i="15"/>
  <c r="Y2098" i="15"/>
  <c r="Y2154" i="15"/>
  <c r="S111" i="15"/>
  <c r="X111" i="15" s="1"/>
  <c r="AD111" i="15"/>
  <c r="V111" i="15" s="1"/>
  <c r="T111" i="15" s="1"/>
  <c r="S126" i="15"/>
  <c r="X126" i="15" s="1"/>
  <c r="AD126" i="15"/>
  <c r="V126" i="15" s="1"/>
  <c r="T126" i="15" s="1"/>
  <c r="Y126" i="15" s="1"/>
  <c r="S155" i="15"/>
  <c r="X155" i="15" s="1"/>
  <c r="AD155" i="15"/>
  <c r="V155" i="15" s="1"/>
  <c r="T155" i="15" s="1"/>
  <c r="Y155" i="15" s="1"/>
  <c r="S159" i="15"/>
  <c r="X159" i="15" s="1"/>
  <c r="AD159" i="15"/>
  <c r="V159" i="15" s="1"/>
  <c r="T159" i="15" s="1"/>
  <c r="Y159" i="15" s="1"/>
  <c r="S206" i="15"/>
  <c r="X206" i="15" s="1"/>
  <c r="AD206" i="15"/>
  <c r="V206" i="15" s="1"/>
  <c r="T206" i="15" s="1"/>
  <c r="Y206" i="15" s="1"/>
  <c r="Q218" i="15"/>
  <c r="R218" i="15"/>
  <c r="Q315" i="15"/>
  <c r="R315" i="15"/>
  <c r="S371" i="15"/>
  <c r="X371" i="15" s="1"/>
  <c r="AD371" i="15"/>
  <c r="V371" i="15" s="1"/>
  <c r="T371" i="15" s="1"/>
  <c r="S376" i="15"/>
  <c r="X376" i="15" s="1"/>
  <c r="AD376" i="15"/>
  <c r="V376" i="15" s="1"/>
  <c r="T376" i="15" s="1"/>
  <c r="Y376" i="15" s="1"/>
  <c r="S387" i="15"/>
  <c r="X387" i="15" s="1"/>
  <c r="AD387" i="15"/>
  <c r="V387" i="15" s="1"/>
  <c r="T387" i="15" s="1"/>
  <c r="Y387" i="15" s="1"/>
  <c r="S465" i="15"/>
  <c r="X465" i="15" s="1"/>
  <c r="AD465" i="15"/>
  <c r="V465" i="15" s="1"/>
  <c r="T465" i="15" s="1"/>
  <c r="AB465" i="15" s="1"/>
  <c r="Q515" i="15"/>
  <c r="T515" i="15" s="1"/>
  <c r="Y515" i="15" s="1"/>
  <c r="R515" i="15"/>
  <c r="R957" i="15"/>
  <c r="AD963" i="15"/>
  <c r="R973" i="15"/>
  <c r="AD986" i="15"/>
  <c r="AD1009" i="15"/>
  <c r="AD1022" i="15"/>
  <c r="AD1024" i="15"/>
  <c r="R1041" i="15"/>
  <c r="AD1044" i="15"/>
  <c r="R1086" i="15"/>
  <c r="AD1101" i="15"/>
  <c r="AD1109" i="15"/>
  <c r="AD1149" i="15"/>
  <c r="AD1169" i="15"/>
  <c r="AD1197" i="15"/>
  <c r="AD1201" i="15"/>
  <c r="AD1205" i="15"/>
  <c r="AD1222" i="15"/>
  <c r="AD1226" i="15"/>
  <c r="AD1234" i="15"/>
  <c r="AD1238" i="15"/>
  <c r="AD1254" i="15"/>
  <c r="AD1322" i="15"/>
  <c r="R1451" i="15"/>
  <c r="AD1456" i="15"/>
  <c r="AD1481" i="15"/>
  <c r="AD1489" i="15"/>
  <c r="AD1492" i="15"/>
  <c r="AD1499" i="15"/>
  <c r="AD1501" i="15"/>
  <c r="AD1504" i="15"/>
  <c r="AD1513" i="15"/>
  <c r="AD1527" i="15"/>
  <c r="AD1553" i="15"/>
  <c r="AD1558" i="15"/>
  <c r="AD1565" i="15"/>
  <c r="R1569" i="15"/>
  <c r="AD1574" i="15"/>
  <c r="AD1591" i="15"/>
  <c r="R1605" i="15"/>
  <c r="AD1615" i="15"/>
  <c r="AD1647" i="15"/>
  <c r="AD1670" i="15"/>
  <c r="AD1678" i="15"/>
  <c r="R1683" i="15"/>
  <c r="R1685" i="15"/>
  <c r="AD1686" i="15"/>
  <c r="AD1690" i="15"/>
  <c r="R1722" i="15"/>
  <c r="R1741" i="15"/>
  <c r="AD1742" i="15"/>
  <c r="AD1750" i="15"/>
  <c r="AD1764" i="15"/>
  <c r="R1776" i="15"/>
  <c r="R1777" i="15"/>
  <c r="AD1778" i="15"/>
  <c r="AD1782" i="15"/>
  <c r="AD1785" i="15"/>
  <c r="AD1790" i="15"/>
  <c r="R1799" i="15"/>
  <c r="AD1822" i="15"/>
  <c r="AD1826" i="15"/>
  <c r="AD1836" i="15"/>
  <c r="AD1848" i="15"/>
  <c r="R1875" i="15"/>
  <c r="AD1884" i="15"/>
  <c r="AD1888" i="15"/>
  <c r="AD1892" i="15"/>
  <c r="AD1896" i="15"/>
  <c r="R1905" i="15"/>
  <c r="AD1923" i="15"/>
  <c r="AC1935" i="15"/>
  <c r="R1935" i="15"/>
  <c r="AD1973" i="15"/>
  <c r="AD1994" i="15"/>
  <c r="AD2093" i="15"/>
  <c r="AD2094" i="15"/>
  <c r="R2153" i="15"/>
  <c r="R2159" i="15"/>
  <c r="AD2164" i="15"/>
  <c r="AD2243" i="15"/>
  <c r="AD2253" i="15"/>
  <c r="AD2265" i="15"/>
  <c r="Y1045" i="15"/>
  <c r="Y690" i="15"/>
  <c r="Y2043" i="15"/>
  <c r="Y1987" i="15"/>
  <c r="Y2116" i="15"/>
  <c r="Y2019" i="15"/>
  <c r="Y1996" i="15"/>
  <c r="Y1936" i="15"/>
  <c r="Y2107" i="15"/>
  <c r="Y1519" i="15"/>
  <c r="Y1507" i="15"/>
  <c r="Y1978" i="15"/>
  <c r="Y1602" i="15"/>
  <c r="Y1886" i="15"/>
  <c r="Y1701" i="15"/>
  <c r="Y1556" i="15"/>
  <c r="Y1248" i="15"/>
  <c r="Y1774" i="15"/>
  <c r="Y1580" i="15"/>
  <c r="Y1430" i="15"/>
  <c r="Y1418" i="15"/>
  <c r="Y1236" i="15"/>
  <c r="Y988" i="15"/>
  <c r="Y1023" i="15"/>
  <c r="Y694" i="15"/>
  <c r="Y904" i="15"/>
  <c r="Y722" i="15"/>
  <c r="Y685" i="15"/>
  <c r="Y886" i="15"/>
  <c r="Y2040" i="15"/>
  <c r="Y1423" i="15"/>
  <c r="Y1163" i="15"/>
  <c r="Y1667" i="15"/>
  <c r="Y1068" i="15"/>
  <c r="Y1427" i="15"/>
  <c r="Y1199" i="15"/>
  <c r="Y881" i="15"/>
  <c r="Y2175" i="15"/>
  <c r="Y683" i="15"/>
  <c r="Y776" i="15"/>
  <c r="Y947" i="15"/>
  <c r="Y1183" i="15"/>
  <c r="Y1422" i="15"/>
  <c r="Y1909" i="15"/>
  <c r="Y2105" i="15"/>
  <c r="Y2123" i="15"/>
  <c r="S281" i="15"/>
  <c r="X281" i="15" s="1"/>
  <c r="AD281" i="15"/>
  <c r="V281" i="15" s="1"/>
  <c r="T281" i="15" s="1"/>
  <c r="Y281" i="15" s="1"/>
  <c r="Q524" i="15"/>
  <c r="AD524" i="15"/>
  <c r="AD556" i="15"/>
  <c r="V556" i="15" s="1"/>
  <c r="T556" i="15" s="1"/>
  <c r="Y556" i="15" s="1"/>
  <c r="Y809" i="15"/>
  <c r="Y2066" i="15"/>
  <c r="Y2036" i="15"/>
  <c r="Y1300" i="15"/>
  <c r="Y1210" i="15"/>
  <c r="Y2062" i="15"/>
  <c r="Y2045" i="15"/>
  <c r="Y1478" i="15"/>
  <c r="Y1469" i="15"/>
  <c r="Y1260" i="15"/>
  <c r="Y1039" i="15"/>
  <c r="Y1067" i="15"/>
  <c r="Y1090" i="15"/>
  <c r="Y1049" i="15"/>
  <c r="Y1232" i="15"/>
  <c r="Y1720" i="15"/>
  <c r="Y1697" i="15"/>
  <c r="Y790" i="15"/>
  <c r="Y1933" i="15"/>
  <c r="Y1356" i="15"/>
  <c r="Y1193" i="15"/>
  <c r="Y2084" i="15"/>
  <c r="AD367" i="15"/>
  <c r="AD1713" i="15"/>
  <c r="T552" i="15"/>
  <c r="Y552" i="15" s="1"/>
  <c r="X557" i="15"/>
  <c r="X555" i="15"/>
  <c r="M25" i="14"/>
  <c r="T19" i="15"/>
  <c r="Y19" i="15" s="1"/>
  <c r="T343" i="15"/>
  <c r="Y343" i="15" s="1"/>
  <c r="T55" i="15"/>
  <c r="Y55" i="15" s="1"/>
  <c r="F4" i="17"/>
  <c r="T163" i="15"/>
  <c r="Y163" i="15" s="1"/>
  <c r="S556" i="15"/>
  <c r="X556" i="15" s="1"/>
  <c r="T553" i="15"/>
  <c r="Y553" i="15" s="1"/>
  <c r="X552" i="15"/>
  <c r="X553" i="15"/>
  <c r="T544" i="15"/>
  <c r="Y544" i="15" s="1"/>
  <c r="W553" i="15"/>
  <c r="T461" i="15"/>
  <c r="AB461" i="15" s="1"/>
  <c r="T258" i="15"/>
  <c r="R190" i="15"/>
  <c r="W190" i="15" s="1"/>
  <c r="R307" i="15"/>
  <c r="W307" i="15" s="1"/>
  <c r="W123" i="15"/>
  <c r="W258" i="15"/>
  <c r="W266" i="15"/>
  <c r="W304" i="15"/>
  <c r="Q4" i="15"/>
  <c r="X4" i="15" s="1"/>
  <c r="R4" i="15"/>
  <c r="Q23" i="15"/>
  <c r="R23" i="15"/>
  <c r="R28" i="15"/>
  <c r="Q28" i="15"/>
  <c r="R39" i="15"/>
  <c r="Q39" i="15"/>
  <c r="AD68" i="15"/>
  <c r="Q68" i="15"/>
  <c r="W68" i="15" s="1"/>
  <c r="S71" i="15"/>
  <c r="X71" i="15" s="1"/>
  <c r="AD71" i="15"/>
  <c r="V71" i="15" s="1"/>
  <c r="T71" i="15" s="1"/>
  <c r="Y71" i="15" s="1"/>
  <c r="S83" i="15"/>
  <c r="X83" i="15" s="1"/>
  <c r="AD83" i="15"/>
  <c r="V83" i="15" s="1"/>
  <c r="T83" i="15" s="1"/>
  <c r="Y83" i="15" s="1"/>
  <c r="S84" i="15"/>
  <c r="X84" i="15" s="1"/>
  <c r="AD84" i="15"/>
  <c r="Q93" i="15"/>
  <c r="R93" i="15"/>
  <c r="S93" i="15"/>
  <c r="AD93" i="15"/>
  <c r="V93" i="15" s="1"/>
  <c r="AD120" i="15"/>
  <c r="Q120" i="15"/>
  <c r="X120" i="15" s="1"/>
  <c r="S121" i="15"/>
  <c r="X121" i="15" s="1"/>
  <c r="AD121" i="15"/>
  <c r="V121" i="15" s="1"/>
  <c r="T121" i="15" s="1"/>
  <c r="Y121" i="15" s="1"/>
  <c r="S127" i="15"/>
  <c r="AD127" i="15"/>
  <c r="V127" i="15" s="1"/>
  <c r="S138" i="15"/>
  <c r="X138" i="15" s="1"/>
  <c r="AD138" i="15"/>
  <c r="V138" i="15" s="1"/>
  <c r="T138" i="15" s="1"/>
  <c r="Y138" i="15" s="1"/>
  <c r="S144" i="15"/>
  <c r="X144" i="15" s="1"/>
  <c r="AD144" i="15"/>
  <c r="V144" i="15" s="1"/>
  <c r="T144" i="15" s="1"/>
  <c r="Y144" i="15" s="1"/>
  <c r="AD150" i="15"/>
  <c r="Q150" i="15"/>
  <c r="W150" i="15" s="1"/>
  <c r="Q151" i="15"/>
  <c r="T151" i="15" s="1"/>
  <c r="R151" i="15"/>
  <c r="AD165" i="15"/>
  <c r="Q165" i="15"/>
  <c r="X165" i="15" s="1"/>
  <c r="S166" i="15"/>
  <c r="X166" i="15" s="1"/>
  <c r="AD166" i="15"/>
  <c r="V166" i="15" s="1"/>
  <c r="T166" i="15" s="1"/>
  <c r="S176" i="15"/>
  <c r="X176" i="15" s="1"/>
  <c r="AD176" i="15"/>
  <c r="V176" i="15" s="1"/>
  <c r="T176" i="15" s="1"/>
  <c r="Y176" i="15" s="1"/>
  <c r="AC177" i="15"/>
  <c r="R177" i="15"/>
  <c r="W177" i="15" s="1"/>
  <c r="R181" i="15"/>
  <c r="Q181" i="15"/>
  <c r="S181" i="15"/>
  <c r="AD181" i="15"/>
  <c r="V181" i="15" s="1"/>
  <c r="AC182" i="15"/>
  <c r="R182" i="15"/>
  <c r="W182" i="15" s="1"/>
  <c r="Q185" i="15"/>
  <c r="R185" i="15"/>
  <c r="S185" i="15"/>
  <c r="AD185" i="15"/>
  <c r="V185" i="15" s="1"/>
  <c r="R189" i="15"/>
  <c r="Q189" i="15"/>
  <c r="S189" i="15"/>
  <c r="AD189" i="15"/>
  <c r="V189" i="15" s="1"/>
  <c r="AC191" i="15"/>
  <c r="U191" i="15" s="1"/>
  <c r="T191" i="15" s="1"/>
  <c r="Y191" i="15" s="1"/>
  <c r="R191" i="15"/>
  <c r="W191" i="15" s="1"/>
  <c r="AD194" i="15"/>
  <c r="Q194" i="15"/>
  <c r="R195" i="15"/>
  <c r="Q195" i="15"/>
  <c r="AC196" i="15"/>
  <c r="R196" i="15"/>
  <c r="W196" i="15" s="1"/>
  <c r="S199" i="15"/>
  <c r="X199" i="15" s="1"/>
  <c r="AD199" i="15"/>
  <c r="V199" i="15" s="1"/>
  <c r="T199" i="15" s="1"/>
  <c r="Y199" i="15" s="1"/>
  <c r="Q207" i="15"/>
  <c r="AD207" i="15"/>
  <c r="Q210" i="15"/>
  <c r="R210" i="15"/>
  <c r="Q222" i="15"/>
  <c r="R222" i="15"/>
  <c r="S223" i="15"/>
  <c r="AD223" i="15"/>
  <c r="V223" i="15" s="1"/>
  <c r="Q227" i="15"/>
  <c r="R227" i="15"/>
  <c r="S227" i="15"/>
  <c r="AD227" i="15"/>
  <c r="V227" i="15" s="1"/>
  <c r="AC228" i="15"/>
  <c r="R228" i="15"/>
  <c r="W228" i="15" s="1"/>
  <c r="Q235" i="15"/>
  <c r="W235" i="15" s="1"/>
  <c r="AD235" i="15"/>
  <c r="Q242" i="15"/>
  <c r="R242" i="15"/>
  <c r="S242" i="15"/>
  <c r="AD242" i="15"/>
  <c r="V242" i="15" s="1"/>
  <c r="R243" i="15"/>
  <c r="W243" i="15" s="1"/>
  <c r="AC243" i="15"/>
  <c r="U243" i="15" s="1"/>
  <c r="T243" i="15" s="1"/>
  <c r="Y243" i="15" s="1"/>
  <c r="Q246" i="15"/>
  <c r="X246" i="15" s="1"/>
  <c r="R246" i="15"/>
  <c r="AC247" i="15"/>
  <c r="R247" i="15"/>
  <c r="W247" i="15" s="1"/>
  <c r="Q250" i="15"/>
  <c r="R250" i="15"/>
  <c r="S250" i="15"/>
  <c r="AD250" i="15"/>
  <c r="V250" i="15" s="1"/>
  <c r="S256" i="15"/>
  <c r="X256" i="15" s="1"/>
  <c r="AD256" i="15"/>
  <c r="V256" i="15" s="1"/>
  <c r="T256" i="15" s="1"/>
  <c r="Y256" i="15" s="1"/>
  <c r="S260" i="15"/>
  <c r="X260" i="15" s="1"/>
  <c r="AD260" i="15"/>
  <c r="V260" i="15" s="1"/>
  <c r="T260" i="15" s="1"/>
  <c r="Y260" i="15" s="1"/>
  <c r="AC270" i="15"/>
  <c r="U270" i="15" s="1"/>
  <c r="T270" i="15" s="1"/>
  <c r="R270" i="15"/>
  <c r="W270" i="15" s="1"/>
  <c r="S280" i="15"/>
  <c r="X280" i="15" s="1"/>
  <c r="AD280" i="15"/>
  <c r="V280" i="15" s="1"/>
  <c r="T280" i="15" s="1"/>
  <c r="Y280" i="15" s="1"/>
  <c r="S286" i="15"/>
  <c r="X286" i="15" s="1"/>
  <c r="AD286" i="15"/>
  <c r="Q292" i="15"/>
  <c r="R292" i="15"/>
  <c r="Q300" i="15"/>
  <c r="R300" i="15"/>
  <c r="Q306" i="15"/>
  <c r="R306" i="15"/>
  <c r="Q311" i="15"/>
  <c r="X311" i="15" s="1"/>
  <c r="R311" i="15"/>
  <c r="Q317" i="15"/>
  <c r="R317" i="15"/>
  <c r="S317" i="15"/>
  <c r="AD317" i="15"/>
  <c r="V317" i="15" s="1"/>
  <c r="Q333" i="15"/>
  <c r="R333" i="15"/>
  <c r="AC342" i="15"/>
  <c r="U342" i="15" s="1"/>
  <c r="T342" i="15" s="1"/>
  <c r="R342" i="15"/>
  <c r="W342" i="15" s="1"/>
  <c r="S347" i="15"/>
  <c r="X347" i="15" s="1"/>
  <c r="AD347" i="15"/>
  <c r="AC348" i="15"/>
  <c r="R348" i="15"/>
  <c r="W348" i="15" s="1"/>
  <c r="AC356" i="15"/>
  <c r="R356" i="15"/>
  <c r="W356" i="15" s="1"/>
  <c r="AC361" i="15"/>
  <c r="R361" i="15"/>
  <c r="W361" i="15" s="1"/>
  <c r="Q368" i="15"/>
  <c r="T368" i="15" s="1"/>
  <c r="Y368" i="15" s="1"/>
  <c r="R368" i="15"/>
  <c r="Q377" i="15"/>
  <c r="T377" i="15" s="1"/>
  <c r="R377" i="15"/>
  <c r="S388" i="15"/>
  <c r="AD388" i="15"/>
  <c r="V388" i="15" s="1"/>
  <c r="Q392" i="15"/>
  <c r="T392" i="15" s="1"/>
  <c r="Y392" i="15" s="1"/>
  <c r="R392" i="15"/>
  <c r="AC398" i="15"/>
  <c r="U398" i="15" s="1"/>
  <c r="T398" i="15" s="1"/>
  <c r="Y398" i="15" s="1"/>
  <c r="R398" i="15"/>
  <c r="W398" i="15" s="1"/>
  <c r="AC399" i="15"/>
  <c r="U399" i="15" s="1"/>
  <c r="T399" i="15" s="1"/>
  <c r="Y399" i="15" s="1"/>
  <c r="R399" i="15"/>
  <c r="W399" i="15" s="1"/>
  <c r="AC403" i="15"/>
  <c r="U403" i="15" s="1"/>
  <c r="R403" i="15"/>
  <c r="Q407" i="15"/>
  <c r="T407" i="15" s="1"/>
  <c r="Y407" i="15" s="1"/>
  <c r="R407" i="15"/>
  <c r="Q435" i="15"/>
  <c r="R435" i="15"/>
  <c r="S444" i="15"/>
  <c r="X444" i="15" s="1"/>
  <c r="AD444" i="15"/>
  <c r="V444" i="15" s="1"/>
  <c r="T444" i="15" s="1"/>
  <c r="Y444" i="15" s="1"/>
  <c r="AC446" i="15"/>
  <c r="R446" i="15"/>
  <c r="W446" i="15" s="1"/>
  <c r="S451" i="15"/>
  <c r="AD451" i="15"/>
  <c r="AC452" i="15"/>
  <c r="R452" i="15"/>
  <c r="W452" i="15" s="1"/>
  <c r="S456" i="15"/>
  <c r="AD456" i="15"/>
  <c r="V456" i="15" s="1"/>
  <c r="S460" i="15"/>
  <c r="X460" i="15" s="1"/>
  <c r="AD460" i="15"/>
  <c r="V460" i="15" s="1"/>
  <c r="T460" i="15" s="1"/>
  <c r="Y460" i="15" s="1"/>
  <c r="AC547" i="15"/>
  <c r="U547" i="15" s="1"/>
  <c r="T547" i="15" s="1"/>
  <c r="Y547" i="15" s="1"/>
  <c r="R547" i="15"/>
  <c r="W547" i="15" s="1"/>
  <c r="AC571" i="15"/>
  <c r="R571" i="15"/>
  <c r="W571" i="15" s="1"/>
  <c r="X644" i="15"/>
  <c r="AC701" i="15"/>
  <c r="R701" i="15"/>
  <c r="W729" i="15"/>
  <c r="X729" i="15"/>
  <c r="AC737" i="15"/>
  <c r="R737" i="15"/>
  <c r="W745" i="15"/>
  <c r="X745" i="15"/>
  <c r="W749" i="15"/>
  <c r="X749" i="15"/>
  <c r="W753" i="15"/>
  <c r="X753" i="15"/>
  <c r="W761" i="15"/>
  <c r="X761" i="15"/>
  <c r="AC775" i="15"/>
  <c r="R775" i="15"/>
  <c r="W792" i="15"/>
  <c r="X792" i="15"/>
  <c r="AC793" i="15"/>
  <c r="R793" i="15"/>
  <c r="X798" i="15"/>
  <c r="W798" i="15"/>
  <c r="W803" i="15"/>
  <c r="X803" i="15"/>
  <c r="R804" i="15"/>
  <c r="AD804" i="15"/>
  <c r="AC807" i="15"/>
  <c r="R807" i="15"/>
  <c r="AC812" i="15"/>
  <c r="R812" i="15"/>
  <c r="AC816" i="15"/>
  <c r="R816" i="15"/>
  <c r="X845" i="15"/>
  <c r="W845" i="15"/>
  <c r="AC846" i="15"/>
  <c r="R846" i="15"/>
  <c r="X214" i="15"/>
  <c r="X197" i="15"/>
  <c r="W29" i="15"/>
  <c r="W72" i="15"/>
  <c r="W366" i="15"/>
  <c r="W302" i="15"/>
  <c r="W285" i="15"/>
  <c r="W2205" i="15"/>
  <c r="X2211" i="15"/>
  <c r="R2080" i="15"/>
  <c r="Y2163" i="15"/>
  <c r="W2082" i="15"/>
  <c r="X2006" i="15"/>
  <c r="W1962" i="15"/>
  <c r="AC1990" i="15"/>
  <c r="R1896" i="15"/>
  <c r="Y1904" i="15"/>
  <c r="R1859" i="15"/>
  <c r="R1888" i="15"/>
  <c r="W1714" i="15"/>
  <c r="R1565" i="15"/>
  <c r="X1794" i="15"/>
  <c r="R1665" i="15"/>
  <c r="R1622" i="15"/>
  <c r="Y1359" i="15"/>
  <c r="X1344" i="15"/>
  <c r="Y1253" i="15"/>
  <c r="W1245" i="15"/>
  <c r="W1609" i="15"/>
  <c r="R1222" i="15"/>
  <c r="W1069" i="15"/>
  <c r="R915" i="15"/>
  <c r="W994" i="15"/>
  <c r="R1022" i="15"/>
  <c r="R1006" i="15"/>
  <c r="W937" i="15"/>
  <c r="W873" i="15"/>
  <c r="R1027" i="15"/>
  <c r="W998" i="15"/>
  <c r="AC1905" i="15"/>
  <c r="R1910" i="15"/>
  <c r="Y1040" i="15"/>
  <c r="R853" i="15"/>
  <c r="AC853" i="15"/>
  <c r="X857" i="15"/>
  <c r="W857" i="15"/>
  <c r="R858" i="15"/>
  <c r="AC863" i="15"/>
  <c r="R863" i="15"/>
  <c r="R869" i="15"/>
  <c r="AC869" i="15"/>
  <c r="X877" i="15"/>
  <c r="W877" i="15"/>
  <c r="X881" i="15"/>
  <c r="W881" i="15"/>
  <c r="X888" i="15"/>
  <c r="W888" i="15"/>
  <c r="R899" i="15"/>
  <c r="X905" i="15"/>
  <c r="W905" i="15"/>
  <c r="AC909" i="15"/>
  <c r="R909" i="15"/>
  <c r="X913" i="15"/>
  <c r="W913" i="15"/>
  <c r="W914" i="15"/>
  <c r="X914" i="15"/>
  <c r="AC922" i="15"/>
  <c r="R922" i="15"/>
  <c r="AC926" i="15"/>
  <c r="R926" i="15"/>
  <c r="X933" i="15"/>
  <c r="W933" i="15"/>
  <c r="AC940" i="15"/>
  <c r="R940" i="15"/>
  <c r="W944" i="15"/>
  <c r="X944" i="15"/>
  <c r="X951" i="15"/>
  <c r="W951" i="15"/>
  <c r="X956" i="15"/>
  <c r="W956" i="15"/>
  <c r="X962" i="15"/>
  <c r="W962" i="15"/>
  <c r="AC963" i="15"/>
  <c r="R963" i="15"/>
  <c r="X966" i="15"/>
  <c r="W966" i="15"/>
  <c r="AC968" i="15"/>
  <c r="R968" i="15"/>
  <c r="AC974" i="15"/>
  <c r="R974" i="15"/>
  <c r="X977" i="15"/>
  <c r="W977" i="15"/>
  <c r="W981" i="15"/>
  <c r="X981" i="15"/>
  <c r="R982" i="15"/>
  <c r="AC982" i="15"/>
  <c r="R986" i="15"/>
  <c r="AC986" i="15"/>
  <c r="X993" i="15"/>
  <c r="W993" i="15"/>
  <c r="AC995" i="15"/>
  <c r="R995" i="15"/>
  <c r="AC1002" i="15"/>
  <c r="R1002" i="15"/>
  <c r="X1005" i="15"/>
  <c r="W1005" i="15"/>
  <c r="AC1007" i="15"/>
  <c r="R1007" i="15"/>
  <c r="X1011" i="15"/>
  <c r="W1011" i="15"/>
  <c r="X1020" i="15"/>
  <c r="W1020" i="15"/>
  <c r="W1021" i="15"/>
  <c r="X1021" i="15"/>
  <c r="X1040" i="15"/>
  <c r="W1040" i="15"/>
  <c r="AC1051" i="15"/>
  <c r="R1051" i="15"/>
  <c r="AC1061" i="15"/>
  <c r="R1061" i="15"/>
  <c r="W1126" i="15"/>
  <c r="X1126" i="15"/>
  <c r="X1134" i="15"/>
  <c r="W1134" i="15"/>
  <c r="X1148" i="15"/>
  <c r="W1148" i="15"/>
  <c r="AC1153" i="15"/>
  <c r="R1153" i="15"/>
  <c r="AC1179" i="15"/>
  <c r="R1179" i="15"/>
  <c r="X1190" i="15"/>
  <c r="W1190" i="15"/>
  <c r="X1225" i="15"/>
  <c r="W1225" i="15"/>
  <c r="X1229" i="15"/>
  <c r="W1229" i="15"/>
  <c r="R1230" i="15"/>
  <c r="X1237" i="15"/>
  <c r="W1237" i="15"/>
  <c r="X1249" i="15"/>
  <c r="W1249" i="15"/>
  <c r="X1257" i="15"/>
  <c r="W1257" i="15"/>
  <c r="AC1258" i="15"/>
  <c r="R1258" i="15"/>
  <c r="W1261" i="15"/>
  <c r="X1261" i="15"/>
  <c r="W1270" i="15"/>
  <c r="X1270" i="15"/>
  <c r="R1274" i="15"/>
  <c r="AC1274" i="15"/>
  <c r="W1282" i="15"/>
  <c r="X1282" i="15"/>
  <c r="AC1287" i="15"/>
  <c r="R1287" i="15"/>
  <c r="AC1290" i="15"/>
  <c r="R1290" i="15"/>
  <c r="AC1317" i="15"/>
  <c r="R1317" i="15"/>
  <c r="AC1323" i="15"/>
  <c r="R1323" i="15"/>
  <c r="X1330" i="15"/>
  <c r="W1330" i="15"/>
  <c r="X1331" i="15"/>
  <c r="W1331" i="15"/>
  <c r="AC1332" i="15"/>
  <c r="R1332" i="15"/>
  <c r="R1341" i="15"/>
  <c r="AC1341" i="15"/>
  <c r="AC1345" i="15"/>
  <c r="R1345" i="15"/>
  <c r="X1362" i="15"/>
  <c r="W1362" i="15"/>
  <c r="X1363" i="15"/>
  <c r="W1363" i="15"/>
  <c r="AC1370" i="15"/>
  <c r="R1370" i="15"/>
  <c r="X1373" i="15"/>
  <c r="W1373" i="15"/>
  <c r="X1382" i="15"/>
  <c r="W1382" i="15"/>
  <c r="X1383" i="15"/>
  <c r="W1383" i="15"/>
  <c r="W1386" i="15"/>
  <c r="X1386" i="15"/>
  <c r="X1390" i="15"/>
  <c r="W1390" i="15"/>
  <c r="X1397" i="15"/>
  <c r="W1397" i="15"/>
  <c r="X1398" i="15"/>
  <c r="W1398" i="15"/>
  <c r="X1399" i="15"/>
  <c r="W1399" i="15"/>
  <c r="R1404" i="15"/>
  <c r="X1407" i="15"/>
  <c r="W1407" i="15"/>
  <c r="AC1408" i="15"/>
  <c r="R1408" i="15"/>
  <c r="R1412" i="15"/>
  <c r="X1415" i="15"/>
  <c r="W1415" i="15"/>
  <c r="X1424" i="15"/>
  <c r="W1424" i="15"/>
  <c r="X1431" i="15"/>
  <c r="W1431" i="15"/>
  <c r="R1432" i="15"/>
  <c r="AC1436" i="15"/>
  <c r="R1436" i="15"/>
  <c r="X1442" i="15"/>
  <c r="W1442" i="15"/>
  <c r="X1443" i="15"/>
  <c r="W1443" i="15"/>
  <c r="X1446" i="15"/>
  <c r="W1446" i="15"/>
  <c r="X1450" i="15"/>
  <c r="W1450" i="15"/>
  <c r="R1452" i="15"/>
  <c r="X1455" i="15"/>
  <c r="W1455" i="15"/>
  <c r="AC1456" i="15"/>
  <c r="R1456" i="15"/>
  <c r="X1464" i="15"/>
  <c r="W1464" i="15"/>
  <c r="AC1466" i="15"/>
  <c r="R1466" i="15"/>
  <c r="W1470" i="15"/>
  <c r="X1470" i="15"/>
  <c r="AC1476" i="15"/>
  <c r="R1476" i="15"/>
  <c r="X1479" i="15"/>
  <c r="W1479" i="15"/>
  <c r="X1488" i="15"/>
  <c r="W1488" i="15"/>
  <c r="AD1490" i="15"/>
  <c r="R1490" i="15"/>
  <c r="AD1491" i="15"/>
  <c r="R1491" i="15"/>
  <c r="AC1492" i="15"/>
  <c r="R1492" i="15"/>
  <c r="W1496" i="15"/>
  <c r="X1496" i="15"/>
  <c r="X1503" i="15"/>
  <c r="W1503" i="15"/>
  <c r="W1508" i="15"/>
  <c r="X1508" i="15"/>
  <c r="AC1514" i="15"/>
  <c r="R1514" i="15"/>
  <c r="X1526" i="15"/>
  <c r="W1526" i="15"/>
  <c r="AC1527" i="15"/>
  <c r="R1527" i="15"/>
  <c r="AC1531" i="15"/>
  <c r="R1531" i="15"/>
  <c r="W1542" i="15"/>
  <c r="X1542" i="15"/>
  <c r="R1548" i="15"/>
  <c r="AC1548" i="15"/>
  <c r="X1557" i="15"/>
  <c r="W1557" i="15"/>
  <c r="X1568" i="15"/>
  <c r="W1568" i="15"/>
  <c r="AC1570" i="15"/>
  <c r="R1570" i="15"/>
  <c r="X1573" i="15"/>
  <c r="W1573" i="15"/>
  <c r="AC1582" i="15"/>
  <c r="R1582" i="15"/>
  <c r="X1586" i="15"/>
  <c r="W1586" i="15"/>
  <c r="AC1587" i="15"/>
  <c r="R1587" i="15"/>
  <c r="X1590" i="15"/>
  <c r="W1590" i="15"/>
  <c r="R1591" i="15"/>
  <c r="AC1591" i="15"/>
  <c r="W1603" i="15"/>
  <c r="X1603" i="15"/>
  <c r="W1604" i="15"/>
  <c r="X1604" i="15"/>
  <c r="AC1606" i="15"/>
  <c r="R1606" i="15"/>
  <c r="W1610" i="15"/>
  <c r="X1610" i="15"/>
  <c r="R1611" i="15"/>
  <c r="AC1611" i="15"/>
  <c r="AC1615" i="15"/>
  <c r="R1615" i="15"/>
  <c r="W1619" i="15"/>
  <c r="X1619" i="15"/>
  <c r="X1620" i="15"/>
  <c r="W1620" i="15"/>
  <c r="AC1623" i="15"/>
  <c r="R1623" i="15"/>
  <c r="AC1628" i="15"/>
  <c r="R1628" i="15"/>
  <c r="AC1629" i="15"/>
  <c r="R1629" i="15"/>
  <c r="W1633" i="15"/>
  <c r="X1633" i="15"/>
  <c r="AC1635" i="15"/>
  <c r="R1635" i="15"/>
  <c r="AC1639" i="15"/>
  <c r="R1639" i="15"/>
  <c r="AC1643" i="15"/>
  <c r="R1643" i="15"/>
  <c r="AC1652" i="15"/>
  <c r="R1652" i="15"/>
  <c r="AC1653" i="15"/>
  <c r="R1653" i="15"/>
  <c r="X1655" i="15"/>
  <c r="W1655" i="15"/>
  <c r="W1659" i="15"/>
  <c r="X1659" i="15"/>
  <c r="R1660" i="15"/>
  <c r="AC1660" i="15"/>
  <c r="AC1686" i="15"/>
  <c r="R1686" i="15"/>
  <c r="R1690" i="15"/>
  <c r="AC1690" i="15"/>
  <c r="X1694" i="15"/>
  <c r="W1694" i="15"/>
  <c r="X1698" i="15"/>
  <c r="W1698" i="15"/>
  <c r="AC1703" i="15"/>
  <c r="R1703" i="15"/>
  <c r="X1707" i="15"/>
  <c r="W1707" i="15"/>
  <c r="AC1717" i="15"/>
  <c r="R1717" i="15"/>
  <c r="X1721" i="15"/>
  <c r="W1721" i="15"/>
  <c r="X1733" i="15"/>
  <c r="W1733" i="15"/>
  <c r="AC1734" i="15"/>
  <c r="R1734" i="15"/>
  <c r="X1737" i="15"/>
  <c r="W1737" i="15"/>
  <c r="AC1738" i="15"/>
  <c r="R1738" i="15"/>
  <c r="AC1757" i="15"/>
  <c r="R1757" i="15"/>
  <c r="AC1761" i="15"/>
  <c r="R1761" i="15"/>
  <c r="W1767" i="15"/>
  <c r="X1767" i="15"/>
  <c r="AC1785" i="15"/>
  <c r="R1785" i="15"/>
  <c r="AC1790" i="15"/>
  <c r="R1790" i="15"/>
  <c r="X1798" i="15"/>
  <c r="W1798" i="15"/>
  <c r="R1800" i="15"/>
  <c r="W1807" i="15"/>
  <c r="X1807" i="15"/>
  <c r="AC1808" i="15"/>
  <c r="R1808" i="15"/>
  <c r="X1811" i="15"/>
  <c r="W1811" i="15"/>
  <c r="R1818" i="15"/>
  <c r="X1821" i="15"/>
  <c r="W1821" i="15"/>
  <c r="X1825" i="15"/>
  <c r="W1825" i="15"/>
  <c r="R1826" i="15"/>
  <c r="AC1831" i="15"/>
  <c r="R1831" i="15"/>
  <c r="X1843" i="15"/>
  <c r="W1843" i="15"/>
  <c r="AC1844" i="15"/>
  <c r="R1844" i="15"/>
  <c r="AC1863" i="15"/>
  <c r="R1863" i="15"/>
  <c r="W1869" i="15"/>
  <c r="X1869" i="15"/>
  <c r="X1874" i="15"/>
  <c r="W1874" i="15"/>
  <c r="AC1876" i="15"/>
  <c r="R1876" i="15"/>
  <c r="X1879" i="15"/>
  <c r="W1879" i="15"/>
  <c r="X1887" i="15"/>
  <c r="W1887" i="15"/>
  <c r="X1891" i="15"/>
  <c r="W1891" i="15"/>
  <c r="X1895" i="15"/>
  <c r="W1895" i="15"/>
  <c r="AC1897" i="15"/>
  <c r="R1897" i="15"/>
  <c r="W1900" i="15"/>
  <c r="X1900" i="15"/>
  <c r="AC1901" i="15"/>
  <c r="R1901" i="15"/>
  <c r="AC1906" i="15"/>
  <c r="R1906" i="15"/>
  <c r="X1913" i="15"/>
  <c r="W1913" i="15"/>
  <c r="X1914" i="15"/>
  <c r="W1914" i="15"/>
  <c r="AC1916" i="15"/>
  <c r="R1916" i="15"/>
  <c r="AC1931" i="15"/>
  <c r="R1931" i="15"/>
  <c r="AC1948" i="15"/>
  <c r="R1948" i="15"/>
  <c r="X1951" i="15"/>
  <c r="W1951" i="15"/>
  <c r="AC1952" i="15"/>
  <c r="R1952" i="15"/>
  <c r="X1954" i="15"/>
  <c r="W1954" i="15"/>
  <c r="X1958" i="15"/>
  <c r="W1958" i="15"/>
  <c r="AC1971" i="15"/>
  <c r="R1971" i="15"/>
  <c r="W1975" i="15"/>
  <c r="X1975" i="15"/>
  <c r="X1981" i="15"/>
  <c r="W1981" i="15"/>
  <c r="R1982" i="15"/>
  <c r="R1986" i="15"/>
  <c r="X1989" i="15"/>
  <c r="W1989" i="15"/>
  <c r="X1998" i="15"/>
  <c r="W1998" i="15"/>
  <c r="X2002" i="15"/>
  <c r="W2002" i="15"/>
  <c r="AC2013" i="15"/>
  <c r="R2013" i="15"/>
  <c r="W2016" i="15"/>
  <c r="X2016" i="15"/>
  <c r="W2021" i="15"/>
  <c r="X2021" i="15"/>
  <c r="W2026" i="15"/>
  <c r="X2026" i="15"/>
  <c r="X2042" i="15"/>
  <c r="W2042" i="15"/>
  <c r="X2080" i="15"/>
  <c r="W2080" i="15"/>
  <c r="AC2081" i="15"/>
  <c r="R2081" i="15"/>
  <c r="X2089" i="15"/>
  <c r="W2089" i="15"/>
  <c r="AC2090" i="15"/>
  <c r="R2090" i="15"/>
  <c r="W2091" i="15"/>
  <c r="X2091" i="15"/>
  <c r="X2095" i="15"/>
  <c r="W2095" i="15"/>
  <c r="X2125" i="15"/>
  <c r="W2125" i="15"/>
  <c r="X2149" i="15"/>
  <c r="W2149" i="15"/>
  <c r="X2151" i="15"/>
  <c r="W2151" i="15"/>
  <c r="AC2154" i="15"/>
  <c r="R2154" i="15"/>
  <c r="AC2164" i="15"/>
  <c r="R2164" i="15"/>
  <c r="X2167" i="15"/>
  <c r="W2167" i="15"/>
  <c r="X2170" i="15"/>
  <c r="W2170" i="15"/>
  <c r="W2176" i="15"/>
  <c r="X2176" i="15"/>
  <c r="X2178" i="15"/>
  <c r="W2178" i="15"/>
  <c r="AC2190" i="15"/>
  <c r="R2190" i="15"/>
  <c r="X2191" i="15"/>
  <c r="W2191" i="15"/>
  <c r="X2193" i="15"/>
  <c r="W2193" i="15"/>
  <c r="X2199" i="15"/>
  <c r="W2199" i="15"/>
  <c r="AC2208" i="15"/>
  <c r="R2208" i="15"/>
  <c r="W2212" i="15"/>
  <c r="X2212" i="15"/>
  <c r="X2213" i="15"/>
  <c r="W2213" i="15"/>
  <c r="W2215" i="15"/>
  <c r="X2215" i="15"/>
  <c r="X2233" i="15"/>
  <c r="W2233" i="15"/>
  <c r="X2234" i="15"/>
  <c r="W2234" i="15"/>
  <c r="AC2235" i="15"/>
  <c r="R2235" i="15"/>
  <c r="X2242" i="15"/>
  <c r="W2242" i="15"/>
  <c r="Y1380" i="15"/>
  <c r="R2069" i="15"/>
  <c r="W2163" i="15"/>
  <c r="R2007" i="15"/>
  <c r="W1904" i="15"/>
  <c r="AC1982" i="15"/>
  <c r="R1848" i="15"/>
  <c r="W1934" i="15"/>
  <c r="X1880" i="15"/>
  <c r="W1793" i="15"/>
  <c r="W1474" i="15"/>
  <c r="W1358" i="15"/>
  <c r="W1682" i="15"/>
  <c r="W1638" i="15"/>
  <c r="Y1633" i="15"/>
  <c r="X1646" i="15"/>
  <c r="R1674" i="15"/>
  <c r="X1522" i="15"/>
  <c r="R1349" i="15"/>
  <c r="R1354" i="15"/>
  <c r="AC1432" i="15"/>
  <c r="AC1404" i="15"/>
  <c r="W1253" i="15"/>
  <c r="X1321" i="15"/>
  <c r="W1598" i="15"/>
  <c r="R1213" i="15"/>
  <c r="R978" i="15"/>
  <c r="W1278" i="15"/>
  <c r="R1262" i="15"/>
  <c r="X1118" i="15"/>
  <c r="W1060" i="15"/>
  <c r="X972" i="15"/>
  <c r="AC858" i="15"/>
  <c r="R874" i="15"/>
  <c r="W2229" i="15"/>
  <c r="AC2160" i="15"/>
  <c r="Y1298" i="15"/>
  <c r="Y1266" i="15"/>
  <c r="W1352" i="15"/>
  <c r="X1357" i="15"/>
  <c r="W2100" i="15"/>
  <c r="W2226" i="15"/>
  <c r="W2086" i="15"/>
  <c r="W1942" i="15"/>
  <c r="X1970" i="15"/>
  <c r="W1966" i="15"/>
  <c r="R1892" i="15"/>
  <c r="R1709" i="15"/>
  <c r="W1908" i="15"/>
  <c r="Y1517" i="15"/>
  <c r="W1465" i="15"/>
  <c r="X1530" i="15"/>
  <c r="R1226" i="15"/>
  <c r="X1286" i="15"/>
  <c r="X1498" i="15"/>
  <c r="R1246" i="15"/>
  <c r="X1031" i="15"/>
  <c r="R990" i="15"/>
  <c r="W989" i="15"/>
  <c r="Y1233" i="15"/>
  <c r="Y1046" i="15"/>
  <c r="R1036" i="15"/>
  <c r="AC899" i="15"/>
  <c r="W862" i="15"/>
  <c r="Y1908" i="15"/>
  <c r="R1855" i="15"/>
  <c r="Y1026" i="15"/>
  <c r="R1499" i="15"/>
  <c r="AD811" i="15"/>
  <c r="AD179" i="15"/>
  <c r="V179" i="15" s="1"/>
  <c r="T179" i="15" s="1"/>
  <c r="Y179" i="15" s="1"/>
  <c r="R188" i="15"/>
  <c r="W188" i="15" s="1"/>
  <c r="Y1794" i="15"/>
  <c r="Y1698" i="15"/>
  <c r="Y1241" i="15"/>
  <c r="Y902" i="15"/>
  <c r="Y813" i="15"/>
  <c r="Y830" i="15"/>
  <c r="W789" i="15"/>
  <c r="Y866" i="15"/>
  <c r="Y2201" i="15"/>
  <c r="Y2217" i="15"/>
  <c r="Y2089" i="15"/>
  <c r="Y2006" i="15"/>
  <c r="Y1614" i="15"/>
  <c r="Y1803" i="15"/>
  <c r="Y1651" i="15"/>
  <c r="Y927" i="15"/>
  <c r="W923" i="15"/>
  <c r="Y691" i="15"/>
  <c r="Y864" i="15"/>
  <c r="Y1363" i="15"/>
  <c r="Y828" i="15"/>
  <c r="X620" i="15"/>
  <c r="Y674" i="15"/>
  <c r="Y1120" i="15"/>
  <c r="Y2149" i="15"/>
  <c r="Y2226" i="15"/>
  <c r="Y1985" i="15"/>
  <c r="Y1581" i="15"/>
  <c r="Y1557" i="15"/>
  <c r="Y1257" i="15"/>
  <c r="X813" i="15"/>
  <c r="R659" i="15"/>
  <c r="R551" i="15"/>
  <c r="W551" i="15" s="1"/>
  <c r="W830" i="15"/>
  <c r="R357" i="15"/>
  <c r="R298" i="15"/>
  <c r="W298" i="15" s="1"/>
  <c r="R206" i="15"/>
  <c r="W206" i="15" s="1"/>
  <c r="R238" i="15"/>
  <c r="W238" i="15" s="1"/>
  <c r="AD162" i="15"/>
  <c r="V162" i="15" s="1"/>
  <c r="T162" i="15" s="1"/>
  <c r="Y162" i="15" s="1"/>
  <c r="R118" i="15"/>
  <c r="W118" i="15" s="1"/>
  <c r="Y2215" i="15"/>
  <c r="Y1998" i="15"/>
  <c r="Y1655" i="15"/>
  <c r="Y725" i="15"/>
  <c r="Y704" i="15"/>
  <c r="AD297" i="15"/>
  <c r="V297" i="15" s="1"/>
  <c r="Y1050" i="15"/>
  <c r="Y1001" i="15"/>
  <c r="Y873" i="15"/>
  <c r="Y1526" i="15"/>
  <c r="Y1316" i="15"/>
  <c r="Y1590" i="15"/>
  <c r="Y1352" i="15"/>
  <c r="Y781" i="15"/>
  <c r="Y2041" i="15"/>
  <c r="Y2081" i="15"/>
  <c r="AC7" i="15"/>
  <c r="R7" i="15"/>
  <c r="W7" i="15" s="1"/>
  <c r="S52" i="15"/>
  <c r="X52" i="15" s="1"/>
  <c r="AD52" i="15"/>
  <c r="V52" i="15" s="1"/>
  <c r="T52" i="15" s="1"/>
  <c r="AC53" i="15"/>
  <c r="R53" i="15"/>
  <c r="W53" i="15" s="1"/>
  <c r="S56" i="15"/>
  <c r="X56" i="15" s="1"/>
  <c r="AD56" i="15"/>
  <c r="V56" i="15" s="1"/>
  <c r="T56" i="15" s="1"/>
  <c r="Y56" i="15" s="1"/>
  <c r="S118" i="15"/>
  <c r="X118" i="15" s="1"/>
  <c r="AD118" i="15"/>
  <c r="V118" i="15" s="1"/>
  <c r="T118" i="15" s="1"/>
  <c r="Y118" i="15" s="1"/>
  <c r="AC137" i="15"/>
  <c r="R137" i="15"/>
  <c r="W137" i="15" s="1"/>
  <c r="S154" i="15"/>
  <c r="X154" i="15" s="1"/>
  <c r="AD154" i="15"/>
  <c r="S203" i="15"/>
  <c r="X203" i="15" s="1"/>
  <c r="AD203" i="15"/>
  <c r="V203" i="15" s="1"/>
  <c r="T203" i="15" s="1"/>
  <c r="Y203" i="15" s="1"/>
  <c r="S204" i="15"/>
  <c r="AD204" i="15"/>
  <c r="S205" i="15"/>
  <c r="X205" i="15" s="1"/>
  <c r="AD205" i="15"/>
  <c r="Q231" i="15"/>
  <c r="R231" i="15"/>
  <c r="R255" i="15"/>
  <c r="W255" i="15" s="1"/>
  <c r="AC275" i="15"/>
  <c r="U275" i="15" s="1"/>
  <c r="T275" i="15" s="1"/>
  <c r="Y275" i="15" s="1"/>
  <c r="R275" i="15"/>
  <c r="W275" i="15" s="1"/>
  <c r="R299" i="15"/>
  <c r="W299" i="15" s="1"/>
  <c r="R313" i="15"/>
  <c r="S315" i="15"/>
  <c r="AD315" i="15"/>
  <c r="V315" i="15" s="1"/>
  <c r="AC345" i="15"/>
  <c r="R345" i="15"/>
  <c r="W345" i="15" s="1"/>
  <c r="Q349" i="15"/>
  <c r="T349" i="15" s="1"/>
  <c r="Y349" i="15" s="1"/>
  <c r="R349" i="15"/>
  <c r="AC371" i="15"/>
  <c r="R371" i="15"/>
  <c r="W371" i="15" s="1"/>
  <c r="AC380" i="15"/>
  <c r="R380" i="15"/>
  <c r="W380" i="15" s="1"/>
  <c r="AC382" i="15"/>
  <c r="U382" i="15" s="1"/>
  <c r="R382" i="15"/>
  <c r="AC383" i="15"/>
  <c r="U383" i="15" s="1"/>
  <c r="R383" i="15"/>
  <c r="AC395" i="15"/>
  <c r="R395" i="15"/>
  <c r="W395" i="15" s="1"/>
  <c r="Q403" i="15"/>
  <c r="AD403" i="15"/>
  <c r="S427" i="15"/>
  <c r="X427" i="15" s="1"/>
  <c r="AD427" i="15"/>
  <c r="Q442" i="15"/>
  <c r="R442" i="15"/>
  <c r="Q453" i="15"/>
  <c r="T453" i="15" s="1"/>
  <c r="Y453" i="15" s="1"/>
  <c r="R453" i="15"/>
  <c r="AC555" i="15"/>
  <c r="R555" i="15"/>
  <c r="W555" i="15" s="1"/>
  <c r="AC559" i="15"/>
  <c r="R559" i="15"/>
  <c r="W559" i="15" s="1"/>
  <c r="AC563" i="15"/>
  <c r="R563" i="15"/>
  <c r="W563" i="15" s="1"/>
  <c r="AC568" i="15"/>
  <c r="R568" i="15"/>
  <c r="W568" i="15" s="1"/>
  <c r="AC575" i="15"/>
  <c r="U575" i="15" s="1"/>
  <c r="T575" i="15" s="1"/>
  <c r="Y575" i="15" s="1"/>
  <c r="R575" i="15"/>
  <c r="W575" i="15" s="1"/>
  <c r="X583" i="15"/>
  <c r="X591" i="15"/>
  <c r="AC612" i="15"/>
  <c r="R612" i="15"/>
  <c r="W612" i="15" s="1"/>
  <c r="X648" i="15"/>
  <c r="AC671" i="15"/>
  <c r="R671" i="15"/>
  <c r="W671" i="15" s="1"/>
  <c r="R690" i="15"/>
  <c r="W690" i="15" s="1"/>
  <c r="AC690" i="15"/>
  <c r="W706" i="15"/>
  <c r="X706" i="15"/>
  <c r="X794" i="15"/>
  <c r="W794" i="15"/>
  <c r="AC809" i="15"/>
  <c r="R809" i="15"/>
  <c r="W821" i="15"/>
  <c r="X821" i="15"/>
  <c r="X849" i="15"/>
  <c r="W849" i="15"/>
  <c r="AC855" i="15"/>
  <c r="R855" i="15"/>
  <c r="W859" i="15"/>
  <c r="X859" i="15"/>
  <c r="R861" i="15"/>
  <c r="R865" i="15"/>
  <c r="W875" i="15"/>
  <c r="X875" i="15"/>
  <c r="X879" i="15"/>
  <c r="W879" i="15"/>
  <c r="R880" i="15"/>
  <c r="AD889" i="15"/>
  <c r="X894" i="15"/>
  <c r="W894" i="15"/>
  <c r="W896" i="15"/>
  <c r="X896" i="15"/>
  <c r="X900" i="15"/>
  <c r="W900" i="15"/>
  <c r="AC912" i="15"/>
  <c r="R912" i="15"/>
  <c r="X927" i="15"/>
  <c r="W927" i="15"/>
  <c r="R932" i="15"/>
  <c r="W941" i="15"/>
  <c r="X941" i="15"/>
  <c r="X942" i="15"/>
  <c r="W942" i="15"/>
  <c r="W953" i="15"/>
  <c r="X953" i="15"/>
  <c r="AC955" i="15"/>
  <c r="R955" i="15"/>
  <c r="AC988" i="15"/>
  <c r="R988" i="15"/>
  <c r="R997" i="15"/>
  <c r="R1004" i="15"/>
  <c r="X1008" i="15"/>
  <c r="W1008" i="15"/>
  <c r="R1010" i="15"/>
  <c r="X1016" i="15"/>
  <c r="W1016" i="15"/>
  <c r="R1025" i="15"/>
  <c r="X1038" i="15"/>
  <c r="W1038" i="15"/>
  <c r="R1045" i="15"/>
  <c r="X1048" i="15"/>
  <c r="W1048" i="15"/>
  <c r="X1052" i="15"/>
  <c r="W1052" i="15"/>
  <c r="AC1053" i="15"/>
  <c r="R1053" i="15"/>
  <c r="X1057" i="15"/>
  <c r="W1057" i="15"/>
  <c r="W1062" i="15"/>
  <c r="X1062" i="15"/>
  <c r="R1068" i="15"/>
  <c r="W1071" i="15"/>
  <c r="X1071" i="15"/>
  <c r="X1072" i="15"/>
  <c r="W1072" i="15"/>
  <c r="AC1074" i="15"/>
  <c r="R1074" i="15"/>
  <c r="X1077" i="15"/>
  <c r="W1077" i="15"/>
  <c r="AC1078" i="15"/>
  <c r="R1078" i="15"/>
  <c r="W1081" i="15"/>
  <c r="X1081" i="15"/>
  <c r="AC1083" i="15"/>
  <c r="R1083" i="15"/>
  <c r="W1089" i="15"/>
  <c r="X1089" i="15"/>
  <c r="AD1093" i="15"/>
  <c r="AC1096" i="15"/>
  <c r="R1096" i="15"/>
  <c r="W1100" i="15"/>
  <c r="X1100" i="15"/>
  <c r="AC1105" i="15"/>
  <c r="R1105" i="15"/>
  <c r="W1108" i="15"/>
  <c r="X1108" i="15"/>
  <c r="AD1113" i="15"/>
  <c r="W1115" i="15"/>
  <c r="X1115" i="15"/>
  <c r="W1123" i="15"/>
  <c r="X1123" i="15"/>
  <c r="AC1125" i="15"/>
  <c r="R1125" i="15"/>
  <c r="X1129" i="15"/>
  <c r="W1129" i="15"/>
  <c r="AC1133" i="15"/>
  <c r="R1133" i="15"/>
  <c r="W1141" i="15"/>
  <c r="X1141" i="15"/>
  <c r="AD1460" i="15"/>
  <c r="Y796" i="15"/>
  <c r="Y1891" i="15"/>
  <c r="Y1834" i="15"/>
  <c r="Y2234" i="15"/>
  <c r="Y1825" i="15"/>
  <c r="Y1594" i="15"/>
  <c r="R1482" i="15"/>
  <c r="R1520" i="15"/>
  <c r="Y1498" i="15"/>
  <c r="W1401" i="15"/>
  <c r="R1365" i="15"/>
  <c r="Y1568" i="15"/>
  <c r="Y1121" i="15"/>
  <c r="Y1081" i="15"/>
  <c r="Y996" i="15"/>
  <c r="Y948" i="15"/>
  <c r="Y979" i="15"/>
  <c r="Y1944" i="15"/>
  <c r="Y1938" i="15"/>
  <c r="Y1455" i="15"/>
  <c r="Y1992" i="15"/>
  <c r="Y1949" i="15"/>
  <c r="Y1413" i="15"/>
  <c r="Y1500" i="15"/>
  <c r="W1280" i="15"/>
  <c r="Y1307" i="15"/>
  <c r="Y1321" i="15"/>
  <c r="Y852" i="15"/>
  <c r="Y651" i="15"/>
  <c r="Y724" i="15"/>
  <c r="Y823" i="15"/>
  <c r="Y953" i="15"/>
  <c r="Y2100" i="15"/>
  <c r="Y1677" i="15"/>
  <c r="Y1237" i="15"/>
  <c r="Y1017" i="15"/>
  <c r="Y1278" i="15"/>
  <c r="Y1225" i="15"/>
  <c r="Y1218" i="15"/>
  <c r="Y1008" i="15"/>
  <c r="Y900" i="15"/>
  <c r="Y1043" i="15"/>
  <c r="Y819" i="15"/>
  <c r="Y894" i="15"/>
  <c r="Y749" i="15"/>
  <c r="Y2051" i="15"/>
  <c r="Y2193" i="15"/>
  <c r="Y1975" i="15"/>
  <c r="Y1883" i="15"/>
  <c r="R1913" i="15"/>
  <c r="Y1900" i="15"/>
  <c r="Y1646" i="15"/>
  <c r="Y1598" i="15"/>
  <c r="W1505" i="15"/>
  <c r="Y1663" i="15"/>
  <c r="Y1610" i="15"/>
  <c r="X1956" i="15"/>
  <c r="AC1385" i="15"/>
  <c r="W1477" i="15"/>
  <c r="W1429" i="15"/>
  <c r="Y1457" i="15"/>
  <c r="Y1296" i="15"/>
  <c r="Y1638" i="15"/>
  <c r="Y1470" i="15"/>
  <c r="Y1129" i="15"/>
  <c r="Y1077" i="15"/>
  <c r="Y1003" i="15"/>
  <c r="Y964" i="15"/>
  <c r="Y1031" i="15"/>
  <c r="Y972" i="15"/>
  <c r="Y2170" i="15"/>
  <c r="Y2091" i="15"/>
  <c r="Y1480" i="15"/>
  <c r="Y1383" i="15"/>
  <c r="Y1367" i="15"/>
  <c r="W1296" i="15"/>
  <c r="Y1092" i="15"/>
  <c r="Y919" i="15"/>
  <c r="Y1964" i="15"/>
  <c r="X1983" i="15"/>
  <c r="Y1284" i="15"/>
  <c r="Y1148" i="15"/>
  <c r="Y2004" i="15"/>
  <c r="Y815" i="15"/>
  <c r="W1515" i="15"/>
  <c r="W1284" i="15"/>
  <c r="Y729" i="15"/>
  <c r="W1276" i="15"/>
  <c r="X1276" i="15"/>
  <c r="AD1353" i="15"/>
  <c r="AC1361" i="15"/>
  <c r="R1361" i="15"/>
  <c r="R1381" i="15"/>
  <c r="AC1389" i="15"/>
  <c r="R1389" i="15"/>
  <c r="X1409" i="15"/>
  <c r="W1409" i="15"/>
  <c r="X1417" i="15"/>
  <c r="W1417" i="15"/>
  <c r="X1433" i="15"/>
  <c r="W1433" i="15"/>
  <c r="AC1469" i="15"/>
  <c r="R1469" i="15"/>
  <c r="AC1478" i="15"/>
  <c r="R1478" i="15"/>
  <c r="AC1479" i="15"/>
  <c r="R1479" i="15"/>
  <c r="AC1511" i="15"/>
  <c r="R1511" i="15"/>
  <c r="X1519" i="15"/>
  <c r="W1519" i="15"/>
  <c r="X1536" i="15"/>
  <c r="W1536" i="15"/>
  <c r="AC1537" i="15"/>
  <c r="R1537" i="15"/>
  <c r="W1540" i="15"/>
  <c r="X1540" i="15"/>
  <c r="X1544" i="15"/>
  <c r="W1544" i="15"/>
  <c r="AC1551" i="15"/>
  <c r="R1551" i="15"/>
  <c r="X1559" i="15"/>
  <c r="W1559" i="15"/>
  <c r="X1936" i="15"/>
  <c r="W1936" i="15"/>
  <c r="W1944" i="15"/>
  <c r="X1944" i="15"/>
  <c r="W1968" i="15"/>
  <c r="X1968" i="15"/>
  <c r="AC1984" i="15"/>
  <c r="R1984" i="15"/>
  <c r="AC1988" i="15"/>
  <c r="R1988" i="15"/>
  <c r="W1992" i="15"/>
  <c r="X1992" i="15"/>
  <c r="X2000" i="15"/>
  <c r="W2000" i="15"/>
  <c r="R2012" i="15"/>
  <c r="X2031" i="15"/>
  <c r="W2031" i="15"/>
  <c r="AC2083" i="15"/>
  <c r="R2083" i="15"/>
  <c r="X2099" i="15"/>
  <c r="W2099" i="15"/>
  <c r="R2119" i="15"/>
  <c r="AC2131" i="15"/>
  <c r="R2131" i="15"/>
  <c r="AC2175" i="15"/>
  <c r="R2175" i="15"/>
  <c r="R2179" i="15"/>
  <c r="AD2188" i="15"/>
  <c r="AD2222" i="15"/>
  <c r="X2249" i="15"/>
  <c r="W2249" i="15"/>
  <c r="Y1536" i="15"/>
  <c r="Y1503" i="15"/>
  <c r="Y1272" i="15"/>
  <c r="Y1483" i="15"/>
  <c r="Y1333" i="15"/>
  <c r="Y1426" i="15"/>
  <c r="Y875" i="15"/>
  <c r="Y954" i="15"/>
  <c r="Y910" i="15"/>
  <c r="Y1564" i="15"/>
  <c r="Y1048" i="15"/>
  <c r="Y1038" i="15"/>
  <c r="Y923" i="15"/>
  <c r="Y898" i="15"/>
  <c r="Y966" i="15"/>
  <c r="Y839" i="15"/>
  <c r="Y2021" i="15"/>
  <c r="Y1940" i="15"/>
  <c r="Y1126" i="15"/>
  <c r="Y1930" i="15"/>
  <c r="Y1807" i="15"/>
  <c r="Y1108" i="15"/>
  <c r="Y1874" i="15"/>
  <c r="Y2086" i="15"/>
  <c r="Y1387" i="15"/>
  <c r="Y1604" i="15"/>
  <c r="Y1371" i="15"/>
  <c r="Y2115" i="15"/>
  <c r="Y1276" i="15"/>
  <c r="Y1552" i="15"/>
  <c r="Y1014" i="15"/>
  <c r="Y700" i="15"/>
  <c r="Y1064" i="15"/>
  <c r="Y740" i="15"/>
  <c r="Y925" i="15"/>
  <c r="Y1016" i="15"/>
  <c r="Y1071" i="15"/>
  <c r="Y1177" i="15"/>
  <c r="Y1315" i="15"/>
  <c r="Y1386" i="15"/>
  <c r="Y1681" i="15"/>
  <c r="Y2064" i="15"/>
  <c r="Y2069" i="15"/>
  <c r="Q516" i="15"/>
  <c r="X516" i="15" s="1"/>
  <c r="V516" i="15"/>
  <c r="AD542" i="15"/>
  <c r="S542" i="15"/>
  <c r="X542" i="15" s="1"/>
  <c r="Y1895" i="15"/>
  <c r="Y2008" i="15"/>
  <c r="Y1673" i="15"/>
  <c r="Y1917" i="15"/>
  <c r="Y1515" i="15"/>
  <c r="Y1542" i="15"/>
  <c r="Y1510" i="15"/>
  <c r="Y1288" i="15"/>
  <c r="Y1261" i="15"/>
  <c r="Y1324" i="15"/>
  <c r="Y1410" i="15"/>
  <c r="Y1620" i="15"/>
  <c r="Y905" i="15"/>
  <c r="Y1021" i="15"/>
  <c r="Y942" i="15"/>
  <c r="Y1522" i="15"/>
  <c r="Y1123" i="15"/>
  <c r="Y1095" i="15"/>
  <c r="Y1052" i="15"/>
  <c r="Y1033" i="15"/>
  <c r="Y914" i="15"/>
  <c r="Y879" i="15"/>
  <c r="Y962" i="15"/>
  <c r="Y916" i="15"/>
  <c r="Y1035" i="15"/>
  <c r="Y933" i="15"/>
  <c r="Y2024" i="15"/>
  <c r="Y1956" i="15"/>
  <c r="Y2125" i="15"/>
  <c r="Y2002" i="15"/>
  <c r="Y1968" i="15"/>
  <c r="Y1488" i="15"/>
  <c r="Y1966" i="15"/>
  <c r="Y1375" i="15"/>
  <c r="Y1862" i="15"/>
  <c r="Y1399" i="15"/>
  <c r="Y1847" i="15"/>
  <c r="Y1462" i="15"/>
  <c r="Y1172" i="15"/>
  <c r="Y1477" i="15"/>
  <c r="Y896" i="15"/>
  <c r="Y1106" i="15"/>
  <c r="Y2031" i="15"/>
  <c r="Y1921" i="15"/>
  <c r="Y1311" i="15"/>
  <c r="Y2011" i="15"/>
  <c r="Y655" i="15"/>
  <c r="Y723" i="15"/>
  <c r="Y780" i="15"/>
  <c r="Y856" i="15"/>
  <c r="Y950" i="15"/>
  <c r="Y959" i="15"/>
  <c r="Y1429" i="15"/>
  <c r="Y1265" i="15"/>
  <c r="Y1407" i="15"/>
  <c r="Y1609" i="15"/>
  <c r="Y2209" i="15"/>
  <c r="Y2082" i="15"/>
  <c r="Y1946" i="15"/>
  <c r="Y1737" i="15"/>
  <c r="Y2016" i="15"/>
  <c r="Y2014" i="15"/>
  <c r="Y1305" i="15"/>
  <c r="Y1142" i="15"/>
  <c r="Y1005" i="15"/>
  <c r="Y1934" i="15"/>
  <c r="Y1328" i="15"/>
  <c r="Y1280" i="15"/>
  <c r="Y989" i="15"/>
  <c r="Y888" i="15"/>
  <c r="Y766" i="15"/>
  <c r="Y719" i="15"/>
  <c r="Y2167" i="15"/>
  <c r="Y2183" i="15"/>
  <c r="Y2176" i="15"/>
  <c r="Y1851" i="15"/>
  <c r="Y1112" i="15"/>
  <c r="Y1167" i="15"/>
  <c r="Y1069" i="15"/>
  <c r="Y711" i="15"/>
  <c r="Y1099" i="15"/>
  <c r="Y1474" i="15"/>
  <c r="Y1559" i="15"/>
  <c r="Y1603" i="15"/>
  <c r="Y1879" i="15"/>
  <c r="Y1913" i="15"/>
  <c r="Y1980" i="15"/>
  <c r="Y1914" i="15"/>
  <c r="Y2120" i="15"/>
  <c r="Y2187" i="15"/>
  <c r="Y2250" i="15"/>
  <c r="AD1956" i="15"/>
  <c r="AD1974" i="15"/>
  <c r="AC542" i="15"/>
  <c r="R542" i="15"/>
  <c r="W542" i="15" s="1"/>
  <c r="AD625" i="15"/>
  <c r="V625" i="15" s="1"/>
  <c r="T625" i="15" s="1"/>
  <c r="Y625" i="15" s="1"/>
  <c r="AD647" i="15"/>
  <c r="V647" i="15" s="1"/>
  <c r="T647" i="15" s="1"/>
  <c r="Y647" i="15" s="1"/>
  <c r="AD648" i="15"/>
  <c r="V648" i="15" s="1"/>
  <c r="T648" i="15" s="1"/>
  <c r="Y648" i="15" s="1"/>
  <c r="AD650" i="15"/>
  <c r="V650" i="15" s="1"/>
  <c r="T650" i="15" s="1"/>
  <c r="AD817" i="15"/>
  <c r="AD847" i="15"/>
  <c r="AD1572" i="15"/>
  <c r="AD1573" i="15"/>
  <c r="AD1577" i="15"/>
  <c r="AD1581" i="15"/>
  <c r="AD1586" i="15"/>
  <c r="AD1589" i="15"/>
  <c r="AD1590" i="15"/>
  <c r="AD1593" i="15"/>
  <c r="AD1594" i="15"/>
  <c r="AD1597" i="15"/>
  <c r="AD1598" i="15"/>
  <c r="AD1602" i="15"/>
  <c r="AD1608" i="15"/>
  <c r="AD1610" i="15"/>
  <c r="AD1613" i="15"/>
  <c r="AD1614" i="15"/>
  <c r="R1617" i="15"/>
  <c r="AD1633" i="15"/>
  <c r="AD1637" i="15"/>
  <c r="AD1638" i="15"/>
  <c r="AD1641" i="15"/>
  <c r="AD1642" i="15"/>
  <c r="AD1645" i="15"/>
  <c r="AD1646" i="15"/>
  <c r="AD1650" i="15"/>
  <c r="AD1651" i="15"/>
  <c r="AD1655" i="15"/>
  <c r="AD1658" i="15"/>
  <c r="AD1662" i="15"/>
  <c r="AD1663" i="15"/>
  <c r="AD1672" i="15"/>
  <c r="AD1673" i="15"/>
  <c r="AD1677" i="15"/>
  <c r="AD1680" i="15"/>
  <c r="AD1682" i="15"/>
  <c r="AD1694" i="15"/>
  <c r="AD1698" i="15"/>
  <c r="AD1701" i="15"/>
  <c r="R1705" i="15"/>
  <c r="AD1725" i="15"/>
  <c r="AD1729" i="15"/>
  <c r="AD1732" i="15"/>
  <c r="AD1743" i="15"/>
  <c r="AD1748" i="15"/>
  <c r="AD1756" i="15"/>
  <c r="AD1780" i="15"/>
  <c r="AD1781" i="15"/>
  <c r="AD1784" i="15"/>
  <c r="AD1792" i="15"/>
  <c r="AD1794" i="15"/>
  <c r="AD1798" i="15"/>
  <c r="AD1802" i="15"/>
  <c r="AD1806" i="15"/>
  <c r="AD1807" i="15"/>
  <c r="AD1810" i="15"/>
  <c r="AD1814" i="15"/>
  <c r="AD1824" i="15"/>
  <c r="AD1834" i="15"/>
  <c r="AD1838" i="15"/>
  <c r="AD1839" i="15"/>
  <c r="AD1842" i="15"/>
  <c r="AD1847" i="15"/>
  <c r="AD1850" i="15"/>
  <c r="AD1857" i="15"/>
  <c r="AD1858" i="15"/>
  <c r="AD1861" i="15"/>
  <c r="AD1868" i="15"/>
  <c r="AD1882" i="15"/>
  <c r="AD1883" i="15"/>
  <c r="AD1886" i="15"/>
  <c r="AD1890" i="15"/>
  <c r="AD1891" i="15"/>
  <c r="AD1895" i="15"/>
  <c r="AD1899" i="15"/>
  <c r="AD1900" i="15"/>
  <c r="AD1904" i="15"/>
  <c r="AD1907" i="15"/>
  <c r="AD1908" i="15"/>
  <c r="AD1919" i="15"/>
  <c r="AD1920" i="15"/>
  <c r="AD1926" i="15"/>
  <c r="AD1927" i="15"/>
  <c r="R1929" i="15"/>
  <c r="AD1931" i="15"/>
  <c r="M2" i="3"/>
  <c r="M5" i="3"/>
  <c r="M3" i="3"/>
  <c r="M6" i="3"/>
  <c r="M4" i="3"/>
  <c r="X550" i="15"/>
  <c r="T458" i="15"/>
  <c r="Y458" i="15" s="1"/>
  <c r="T467" i="15"/>
  <c r="Y467" i="15" s="1"/>
  <c r="W116" i="15"/>
  <c r="W229" i="15"/>
  <c r="Y1866" i="15"/>
  <c r="X2247" i="15"/>
  <c r="W2209" i="15"/>
  <c r="AC2255" i="15"/>
  <c r="W2219" i="15"/>
  <c r="AD2178" i="15"/>
  <c r="R459" i="15"/>
  <c r="W459" i="15" s="1"/>
  <c r="AD448" i="15"/>
  <c r="V448" i="15" s="1"/>
  <c r="T448" i="15" s="1"/>
  <c r="Y448" i="15" s="1"/>
  <c r="R455" i="15"/>
  <c r="W455" i="15" s="1"/>
  <c r="Y2181" i="15"/>
  <c r="R2259" i="15"/>
  <c r="R2251" i="15"/>
  <c r="X2222" i="15"/>
  <c r="Y1751" i="15"/>
  <c r="Y1922" i="15"/>
  <c r="AD547" i="15"/>
  <c r="S547" i="15"/>
  <c r="X547" i="15" s="1"/>
  <c r="AD1110" i="15"/>
  <c r="AD1137" i="15"/>
  <c r="AD2166" i="15"/>
  <c r="T8" i="15"/>
  <c r="Y8" i="15" s="1"/>
  <c r="X116" i="15"/>
  <c r="W10" i="15"/>
  <c r="W62" i="15"/>
  <c r="T295" i="15"/>
  <c r="C134" i="22" s="1"/>
  <c r="D134" i="22" s="1"/>
  <c r="W334" i="15"/>
  <c r="W350" i="15"/>
  <c r="R2246" i="15"/>
  <c r="W2181" i="15"/>
  <c r="R494" i="15"/>
  <c r="W494" i="15" s="1"/>
  <c r="R481" i="15"/>
  <c r="W481" i="15" s="1"/>
  <c r="Y2224" i="15"/>
  <c r="R2232" i="15"/>
  <c r="Y2203" i="15"/>
  <c r="R2185" i="15"/>
  <c r="AD464" i="15"/>
  <c r="Y1907" i="15"/>
  <c r="R454" i="15"/>
  <c r="W454" i="15" s="1"/>
  <c r="X545" i="15"/>
  <c r="AD2240" i="15"/>
  <c r="AD2244" i="15"/>
  <c r="Y2270" i="15"/>
  <c r="T354" i="15"/>
  <c r="W197" i="15"/>
  <c r="W328" i="15"/>
  <c r="T265" i="15"/>
  <c r="Y265" i="15" s="1"/>
  <c r="W17" i="15"/>
  <c r="T289" i="15"/>
  <c r="C87" i="22" s="1"/>
  <c r="D87" i="22" s="1"/>
  <c r="W61" i="15"/>
  <c r="W286" i="15"/>
  <c r="Y1384" i="15"/>
  <c r="Y1404" i="15"/>
  <c r="W2174" i="15"/>
  <c r="W2274" i="15"/>
  <c r="W2258" i="15"/>
  <c r="R511" i="15"/>
  <c r="W511" i="15" s="1"/>
  <c r="X2236" i="15"/>
  <c r="AD509" i="15"/>
  <c r="V509" i="15" s="1"/>
  <c r="T509" i="15" s="1"/>
  <c r="X2232" i="15"/>
  <c r="Y2172" i="15"/>
  <c r="R484" i="15"/>
  <c r="W484" i="15" s="1"/>
  <c r="Y1929" i="15"/>
  <c r="Y2232" i="15"/>
  <c r="X2266" i="15"/>
  <c r="X362" i="15"/>
  <c r="AD536" i="15"/>
  <c r="V536" i="15" s="1"/>
  <c r="T536" i="15" s="1"/>
  <c r="Y536" i="15" s="1"/>
  <c r="S536" i="15"/>
  <c r="X536" i="15" s="1"/>
  <c r="AD1319" i="15"/>
  <c r="AD1605" i="15"/>
  <c r="AD1621" i="15"/>
  <c r="AD1631" i="15"/>
  <c r="AD1685" i="15"/>
  <c r="AD1722" i="15"/>
  <c r="AD1916" i="15"/>
  <c r="T545" i="15"/>
  <c r="Y545" i="15" s="1"/>
  <c r="Y2256" i="15"/>
  <c r="AD122" i="15"/>
  <c r="AD123" i="15"/>
  <c r="R173" i="15"/>
  <c r="W173" i="15" s="1"/>
  <c r="R370" i="15"/>
  <c r="W370" i="15" s="1"/>
  <c r="AC533" i="15"/>
  <c r="R533" i="15"/>
  <c r="W533" i="15" s="1"/>
  <c r="AC535" i="15"/>
  <c r="R535" i="15"/>
  <c r="W535" i="15" s="1"/>
  <c r="X546" i="15"/>
  <c r="AD699" i="15"/>
  <c r="AD723" i="15"/>
  <c r="Y797" i="15"/>
  <c r="AD861" i="15"/>
  <c r="AD865" i="15"/>
  <c r="AD880" i="15"/>
  <c r="AD897" i="15"/>
  <c r="AD901" i="15"/>
  <c r="AD920" i="15"/>
  <c r="AD924" i="15"/>
  <c r="AD932" i="15"/>
  <c r="AD949" i="15"/>
  <c r="AD976" i="15"/>
  <c r="AD992" i="15"/>
  <c r="AD997" i="15"/>
  <c r="AD1000" i="15"/>
  <c r="AD1004" i="15"/>
  <c r="AD1010" i="15"/>
  <c r="AD1013" i="15"/>
  <c r="AD1019" i="15"/>
  <c r="AD1025" i="15"/>
  <c r="AD1029" i="15"/>
  <c r="AD1034" i="15"/>
  <c r="AD1039" i="15"/>
  <c r="AD1045" i="15"/>
  <c r="AD1049" i="15"/>
  <c r="AD1053" i="15"/>
  <c r="AD1058" i="15"/>
  <c r="AD1063" i="15"/>
  <c r="AD1068" i="15"/>
  <c r="AD1074" i="15"/>
  <c r="AD1078" i="15"/>
  <c r="AD1083" i="15"/>
  <c r="AD1091" i="15"/>
  <c r="AD1096" i="15"/>
  <c r="AD1105" i="15"/>
  <c r="AD1111" i="15"/>
  <c r="AD1116" i="15"/>
  <c r="AD1218" i="15"/>
  <c r="AD1292" i="15"/>
  <c r="AD1403" i="15"/>
  <c r="AD1414" i="15"/>
  <c r="AD1418" i="15"/>
  <c r="AD1423" i="15"/>
  <c r="AD1427" i="15"/>
  <c r="AD1430" i="15"/>
  <c r="AD1435" i="15"/>
  <c r="AD1445" i="15"/>
  <c r="AD1449" i="15"/>
  <c r="AD1454" i="15"/>
  <c r="AD1457" i="15"/>
  <c r="AD1458" i="15"/>
  <c r="AD1469" i="15"/>
  <c r="AD1478" i="15"/>
  <c r="R1485" i="15"/>
  <c r="AD1493" i="15"/>
  <c r="AD1494" i="15"/>
  <c r="AD1502" i="15"/>
  <c r="AD1506" i="15"/>
  <c r="AD1507" i="15"/>
  <c r="AD1510" i="15"/>
  <c r="AD1511" i="15"/>
  <c r="AD1516" i="15"/>
  <c r="AD1519" i="15"/>
  <c r="AD1520" i="15"/>
  <c r="AD1541" i="15"/>
  <c r="AD1546" i="15"/>
  <c r="AD1550" i="15"/>
  <c r="AD1556" i="15"/>
  <c r="AD2074" i="15"/>
  <c r="AD2140" i="15"/>
  <c r="AD2175" i="15"/>
  <c r="R2198" i="15"/>
  <c r="R360" i="15"/>
  <c r="W360" i="15" s="1"/>
  <c r="AD497" i="15"/>
  <c r="V497" i="15" s="1"/>
  <c r="T497" i="15" s="1"/>
  <c r="Y497" i="15" s="1"/>
  <c r="AD905" i="15"/>
  <c r="AD933" i="15"/>
  <c r="AD937" i="15"/>
  <c r="AD944" i="15"/>
  <c r="AD951" i="15"/>
  <c r="AD974" i="15"/>
  <c r="AD1021" i="15"/>
  <c r="AD1026" i="15"/>
  <c r="AD1027" i="15"/>
  <c r="R1030" i="15"/>
  <c r="AD1031" i="15"/>
  <c r="AD1035" i="15"/>
  <c r="R1035" i="15"/>
  <c r="AD1040" i="15"/>
  <c r="R1040" i="15"/>
  <c r="AD1046" i="15"/>
  <c r="AD1054" i="15"/>
  <c r="R1054" i="15"/>
  <c r="AD1075" i="15"/>
  <c r="AD1084" i="15"/>
  <c r="AD1097" i="15"/>
  <c r="AD1103" i="15"/>
  <c r="AD1107" i="15"/>
  <c r="AD1121" i="15"/>
  <c r="AD1271" i="15"/>
  <c r="AD1274" i="15"/>
  <c r="AD1290" i="15"/>
  <c r="AD1304" i="15"/>
  <c r="AD1317" i="15"/>
  <c r="AD1327" i="15"/>
  <c r="AD1345" i="15"/>
  <c r="AD1431" i="15"/>
  <c r="AD1443" i="15"/>
  <c r="AD1476" i="15"/>
  <c r="R1497" i="15"/>
  <c r="AD1530" i="15"/>
  <c r="AD1552" i="15"/>
  <c r="AD1934" i="15"/>
  <c r="R1938" i="15"/>
  <c r="AD1941" i="15"/>
  <c r="AD1946" i="15"/>
  <c r="AD1948" i="15"/>
  <c r="AD1951" i="15"/>
  <c r="AD1954" i="15"/>
  <c r="AD1958" i="15"/>
  <c r="AD1962" i="15"/>
  <c r="AD1963" i="15"/>
  <c r="R1965" i="15"/>
  <c r="AD1966" i="15"/>
  <c r="AD1970" i="15"/>
  <c r="AD1975" i="15"/>
  <c r="AD1977" i="15"/>
  <c r="AD1985" i="15"/>
  <c r="AD1986" i="15"/>
  <c r="AD1990" i="15"/>
  <c r="AD1993" i="15"/>
  <c r="AD1998" i="15"/>
  <c r="AD1999" i="15"/>
  <c r="AD2003" i="15"/>
  <c r="AD2006" i="15"/>
  <c r="AD2007" i="15"/>
  <c r="R2009" i="15"/>
  <c r="AD2016" i="15"/>
  <c r="AD2021" i="15"/>
  <c r="AD2026" i="15"/>
  <c r="AD2029" i="15"/>
  <c r="AD2030" i="15"/>
  <c r="AD2039" i="15"/>
  <c r="AD2047" i="15"/>
  <c r="AD2049" i="15"/>
  <c r="R2056" i="15"/>
  <c r="R2063" i="15"/>
  <c r="AD2065" i="15"/>
  <c r="R2067" i="15"/>
  <c r="AD2068" i="15"/>
  <c r="AD2071" i="15"/>
  <c r="AD2088" i="15"/>
  <c r="R2097" i="15"/>
  <c r="AD2098" i="15"/>
  <c r="R2100" i="15"/>
  <c r="AD2102" i="15"/>
  <c r="AD2105" i="15"/>
  <c r="R2107" i="15"/>
  <c r="R2108" i="15"/>
  <c r="AD2113" i="15"/>
  <c r="R2115" i="15"/>
  <c r="R2122" i="15"/>
  <c r="AD2125" i="15"/>
  <c r="R2127" i="15"/>
  <c r="AD2128" i="15"/>
  <c r="AD2138" i="15"/>
  <c r="R2141" i="15"/>
  <c r="R2142" i="15"/>
  <c r="AD2152" i="15"/>
  <c r="AD2162" i="15"/>
  <c r="AD2163" i="15"/>
  <c r="R2166" i="15"/>
  <c r="R2171" i="15"/>
  <c r="R2184" i="15"/>
  <c r="R2187" i="15"/>
  <c r="AD2194" i="15"/>
  <c r="AD2202" i="15"/>
  <c r="AD2207" i="15"/>
  <c r="AD2208" i="15"/>
  <c r="AD2210" i="15"/>
  <c r="AD2211" i="15"/>
  <c r="AD2213" i="15"/>
  <c r="AD2217" i="15"/>
  <c r="AD2218" i="15"/>
  <c r="AD2221" i="15"/>
  <c r="AD2226" i="15"/>
  <c r="R2230" i="15"/>
  <c r="R2231" i="15"/>
  <c r="AD2234" i="15"/>
  <c r="AD2239" i="15"/>
  <c r="Y2268" i="15"/>
  <c r="Y2275" i="15"/>
  <c r="W545" i="15"/>
  <c r="R544" i="15"/>
  <c r="W544" i="15" s="1"/>
  <c r="T526" i="15"/>
  <c r="Y526" i="15" s="1"/>
  <c r="X543" i="15"/>
  <c r="X544" i="15"/>
  <c r="AC538" i="15"/>
  <c r="U538" i="15" s="1"/>
  <c r="T538" i="15" s="1"/>
  <c r="Y538" i="15" s="1"/>
  <c r="R538" i="15"/>
  <c r="W538" i="15" s="1"/>
  <c r="AD538" i="15"/>
  <c r="S538" i="15"/>
  <c r="X538" i="15" s="1"/>
  <c r="O96" i="21"/>
  <c r="T329" i="15"/>
  <c r="Y329" i="15" s="1"/>
  <c r="E96" i="21"/>
  <c r="T37" i="15"/>
  <c r="Y37" i="15" s="1"/>
  <c r="D96" i="21"/>
  <c r="F96" i="21" s="1"/>
  <c r="T216" i="15"/>
  <c r="Y216" i="15" s="1"/>
  <c r="T48" i="15"/>
  <c r="Y48" i="15" s="1"/>
  <c r="AC537" i="15"/>
  <c r="T134" i="15"/>
  <c r="Y134" i="15" s="1"/>
  <c r="T344" i="15"/>
  <c r="Y344" i="15" s="1"/>
  <c r="T178" i="15"/>
  <c r="Y178" i="15" s="1"/>
  <c r="T330" i="15"/>
  <c r="AB330" i="15" s="1"/>
  <c r="T432" i="15"/>
  <c r="AB432" i="15" s="1"/>
  <c r="T122" i="15"/>
  <c r="Y122" i="15" s="1"/>
  <c r="T420" i="15"/>
  <c r="Y420" i="15" s="1"/>
  <c r="T430" i="15"/>
  <c r="Y430" i="15" s="1"/>
  <c r="T202" i="15"/>
  <c r="Y202" i="15" s="1"/>
  <c r="T269" i="15"/>
  <c r="Y269" i="15" s="1"/>
  <c r="T340" i="15"/>
  <c r="Y340" i="15" s="1"/>
  <c r="T129" i="15"/>
  <c r="Y129" i="15" s="1"/>
  <c r="T282" i="15"/>
  <c r="Y282" i="15" s="1"/>
  <c r="T362" i="15"/>
  <c r="Y362" i="15" s="1"/>
  <c r="T323" i="15"/>
  <c r="Y323" i="15" s="1"/>
  <c r="T171" i="15"/>
  <c r="Y171" i="15" s="1"/>
  <c r="T337" i="15"/>
  <c r="Y337" i="15" s="1"/>
  <c r="T486" i="15"/>
  <c r="T35" i="15"/>
  <c r="T264" i="15"/>
  <c r="Y264" i="15" s="1"/>
  <c r="T267" i="15"/>
  <c r="Y267" i="15" s="1"/>
  <c r="T149" i="15"/>
  <c r="Y149" i="15" s="1"/>
  <c r="T108" i="15"/>
  <c r="Y108" i="15" s="1"/>
  <c r="T101" i="15"/>
  <c r="Y101" i="15" s="1"/>
  <c r="T32" i="15"/>
  <c r="Y32" i="15" s="1"/>
  <c r="T106" i="15"/>
  <c r="Y106" i="15" s="1"/>
  <c r="T276" i="15"/>
  <c r="Y276" i="15" s="1"/>
  <c r="T140" i="15"/>
  <c r="Y140" i="15" s="1"/>
  <c r="T314" i="15"/>
  <c r="C161" i="22" s="1"/>
  <c r="D161" i="22" s="1"/>
  <c r="T345" i="15"/>
  <c r="Y345" i="15" s="1"/>
  <c r="T168" i="15"/>
  <c r="Y168" i="15" s="1"/>
  <c r="T316" i="15"/>
  <c r="Y316" i="15" s="1"/>
  <c r="T360" i="15"/>
  <c r="Y360" i="15" s="1"/>
  <c r="T303" i="15"/>
  <c r="T187" i="15"/>
  <c r="Y187" i="15" s="1"/>
  <c r="T433" i="15"/>
  <c r="T425" i="15"/>
  <c r="Y425" i="15" s="1"/>
  <c r="T415" i="15"/>
  <c r="Y415" i="15" s="1"/>
  <c r="T310" i="15"/>
  <c r="Y310" i="15" s="1"/>
  <c r="T490" i="15"/>
  <c r="AB490" i="15" s="1"/>
  <c r="T255" i="15"/>
  <c r="Y255" i="15" s="1"/>
  <c r="T238" i="15"/>
  <c r="Y238" i="15" s="1"/>
  <c r="T214" i="15"/>
  <c r="Y214" i="15" s="1"/>
  <c r="T201" i="15"/>
  <c r="Y201" i="15" s="1"/>
  <c r="T95" i="15"/>
  <c r="Y95" i="15" s="1"/>
  <c r="T492" i="15"/>
  <c r="T479" i="15"/>
  <c r="Y479" i="15" s="1"/>
  <c r="T470" i="15"/>
  <c r="T424" i="15"/>
  <c r="Y424" i="15" s="1"/>
  <c r="T411" i="15"/>
  <c r="Y411" i="15" s="1"/>
  <c r="T401" i="15"/>
  <c r="Y401" i="15" s="1"/>
  <c r="T372" i="15"/>
  <c r="T351" i="15"/>
  <c r="T459" i="15"/>
  <c r="Y459" i="15" s="1"/>
  <c r="T379" i="15"/>
  <c r="Y379" i="15" s="1"/>
  <c r="T527" i="15"/>
  <c r="Y527" i="15" s="1"/>
  <c r="T336" i="15"/>
  <c r="Y336" i="15" s="1"/>
  <c r="T347" i="15"/>
  <c r="Y347" i="15" s="1"/>
  <c r="X64" i="15"/>
  <c r="T64" i="15"/>
  <c r="Y64" i="15" s="1"/>
  <c r="X65" i="15"/>
  <c r="T65" i="15"/>
  <c r="Y65" i="15" s="1"/>
  <c r="X416" i="15"/>
  <c r="T416" i="15"/>
  <c r="Y416" i="15" s="1"/>
  <c r="W64" i="15"/>
  <c r="W166" i="15"/>
  <c r="S320" i="15"/>
  <c r="X320" i="15" s="1"/>
  <c r="AD320" i="15"/>
  <c r="X531" i="15"/>
  <c r="Y531" i="15"/>
  <c r="X554" i="15"/>
  <c r="X598" i="15"/>
  <c r="W598" i="15"/>
  <c r="AC603" i="15"/>
  <c r="R603" i="15"/>
  <c r="W603" i="15" s="1"/>
  <c r="X623" i="15"/>
  <c r="X698" i="15"/>
  <c r="AC739" i="15"/>
  <c r="R739" i="15"/>
  <c r="R746" i="15"/>
  <c r="X770" i="15"/>
  <c r="W770" i="15"/>
  <c r="W799" i="15"/>
  <c r="X799" i="15"/>
  <c r="W807" i="15"/>
  <c r="X807" i="15"/>
  <c r="R822" i="15"/>
  <c r="X897" i="15"/>
  <c r="W897" i="15"/>
  <c r="AC939" i="15"/>
  <c r="R939" i="15"/>
  <c r="R944" i="15"/>
  <c r="W955" i="15"/>
  <c r="X955" i="15"/>
  <c r="R1026" i="15"/>
  <c r="X1137" i="15"/>
  <c r="W1137" i="15"/>
  <c r="W1478" i="15"/>
  <c r="X1478" i="15"/>
  <c r="X1487" i="15"/>
  <c r="W1487" i="15"/>
  <c r="X1507" i="15"/>
  <c r="W1507" i="15"/>
  <c r="W148" i="15"/>
  <c r="W65" i="15"/>
  <c r="R694" i="15"/>
  <c r="W694" i="15" s="1"/>
  <c r="X711" i="15"/>
  <c r="X674" i="15"/>
  <c r="AC822" i="15"/>
  <c r="R592" i="15"/>
  <c r="W592" i="15" s="1"/>
  <c r="X719" i="15"/>
  <c r="R448" i="15"/>
  <c r="W448" i="15" s="1"/>
  <c r="R425" i="15"/>
  <c r="W425" i="15" s="1"/>
  <c r="W647" i="15"/>
  <c r="Y808" i="15"/>
  <c r="AD417" i="15"/>
  <c r="S7" i="15"/>
  <c r="X7" i="15" s="1"/>
  <c r="AD7" i="15"/>
  <c r="V7" i="15" s="1"/>
  <c r="T7" i="15" s="1"/>
  <c r="Y7" i="15" s="1"/>
  <c r="AD22" i="15"/>
  <c r="X258" i="15"/>
  <c r="T17" i="15"/>
  <c r="Y17" i="15" s="1"/>
  <c r="W73" i="15"/>
  <c r="W75" i="15"/>
  <c r="W153" i="15"/>
  <c r="X326" i="15"/>
  <c r="X285" i="15"/>
  <c r="W244" i="15"/>
  <c r="T148" i="15"/>
  <c r="Y148" i="15" s="1"/>
  <c r="T141" i="15"/>
  <c r="Y141" i="15" s="1"/>
  <c r="T99" i="15"/>
  <c r="W42" i="15"/>
  <c r="W99" i="15"/>
  <c r="R705" i="15"/>
  <c r="R685" i="15"/>
  <c r="W685" i="15" s="1"/>
  <c r="R675" i="15"/>
  <c r="W675" i="15" s="1"/>
  <c r="R543" i="15"/>
  <c r="W543" i="15" s="1"/>
  <c r="W781" i="15"/>
  <c r="W725" i="15"/>
  <c r="R664" i="15"/>
  <c r="W664" i="15" s="1"/>
  <c r="R413" i="15"/>
  <c r="W413" i="15" s="1"/>
  <c r="R373" i="15"/>
  <c r="W373" i="15" s="1"/>
  <c r="R263" i="15"/>
  <c r="W263" i="15" s="1"/>
  <c r="R20" i="15"/>
  <c r="W20" i="15" s="1"/>
  <c r="AD73" i="15"/>
  <c r="V73" i="15" s="1"/>
  <c r="T73" i="15" s="1"/>
  <c r="Y73" i="15" s="1"/>
  <c r="Q110" i="15"/>
  <c r="R67" i="15"/>
  <c r="W67" i="15" s="1"/>
  <c r="Y924" i="15"/>
  <c r="Y1058" i="15"/>
  <c r="R1106" i="15"/>
  <c r="W801" i="15"/>
  <c r="R818" i="15"/>
  <c r="R631" i="15"/>
  <c r="W631" i="15" s="1"/>
  <c r="R588" i="15"/>
  <c r="W588" i="15" s="1"/>
  <c r="W619" i="15"/>
  <c r="R550" i="15"/>
  <c r="W550" i="15" s="1"/>
  <c r="R491" i="15"/>
  <c r="W491" i="15" s="1"/>
  <c r="R513" i="15"/>
  <c r="W513" i="15" s="1"/>
  <c r="R347" i="15"/>
  <c r="W347" i="15" s="1"/>
  <c r="Y1463" i="15"/>
  <c r="R1483" i="15"/>
  <c r="Y1435" i="15"/>
  <c r="AD103" i="15"/>
  <c r="V103" i="15" s="1"/>
  <c r="T103" i="15" s="1"/>
  <c r="Y103" i="15" s="1"/>
  <c r="R408" i="15"/>
  <c r="W408" i="15" s="1"/>
  <c r="Y1082" i="15"/>
  <c r="Q127" i="15"/>
  <c r="R127" i="15"/>
  <c r="S131" i="15"/>
  <c r="X131" i="15" s="1"/>
  <c r="AD131" i="15"/>
  <c r="V131" i="15" s="1"/>
  <c r="T131" i="15" s="1"/>
  <c r="Y131" i="15" s="1"/>
  <c r="S146" i="15"/>
  <c r="X146" i="15" s="1"/>
  <c r="AD146" i="15"/>
  <c r="V146" i="15" s="1"/>
  <c r="T146" i="15" s="1"/>
  <c r="Y146" i="15" s="1"/>
  <c r="S210" i="15"/>
  <c r="AD210" i="15"/>
  <c r="V210" i="15" s="1"/>
  <c r="S222" i="15"/>
  <c r="AD222" i="15"/>
  <c r="V222" i="15" s="1"/>
  <c r="R595" i="15"/>
  <c r="W595" i="15" s="1"/>
  <c r="AD683" i="15"/>
  <c r="AD703" i="15"/>
  <c r="AD707" i="15"/>
  <c r="AD715" i="15"/>
  <c r="AD722" i="15"/>
  <c r="AD733" i="15"/>
  <c r="AD743" i="15"/>
  <c r="AD748" i="15"/>
  <c r="AD752" i="15"/>
  <c r="AD756" i="15"/>
  <c r="AD760" i="15"/>
  <c r="AD765" i="15"/>
  <c r="AD769" i="15"/>
  <c r="AD773" i="15"/>
  <c r="R778" i="15"/>
  <c r="X795" i="15"/>
  <c r="W795" i="15"/>
  <c r="W851" i="15"/>
  <c r="AD875" i="15"/>
  <c r="R941" i="15"/>
  <c r="AD942" i="15"/>
  <c r="AC1146" i="15"/>
  <c r="R1146" i="15"/>
  <c r="X1157" i="15"/>
  <c r="W1157" i="15"/>
  <c r="AC1180" i="15"/>
  <c r="R1180" i="15"/>
  <c r="W1185" i="15"/>
  <c r="X1185" i="15"/>
  <c r="W1208" i="15"/>
  <c r="X1208" i="15"/>
  <c r="R1231" i="15"/>
  <c r="AC1280" i="15"/>
  <c r="R1280" i="15"/>
  <c r="R1288" i="15"/>
  <c r="AC1288" i="15"/>
  <c r="W1299" i="15"/>
  <c r="X1299" i="15"/>
  <c r="W66" i="15"/>
  <c r="T286" i="15"/>
  <c r="Y286" i="15" s="1"/>
  <c r="W141" i="15"/>
  <c r="W354" i="15"/>
  <c r="X148" i="15"/>
  <c r="X141" i="15"/>
  <c r="X99" i="15"/>
  <c r="R351" i="15"/>
  <c r="W351" i="15" s="1"/>
  <c r="AD231" i="15"/>
  <c r="V231" i="15" s="1"/>
  <c r="R274" i="15"/>
  <c r="W274" i="15" s="1"/>
  <c r="R12" i="15"/>
  <c r="W12" i="15" s="1"/>
  <c r="R31" i="15"/>
  <c r="W31" i="15" s="1"/>
  <c r="AD66" i="15"/>
  <c r="V66" i="15" s="1"/>
  <c r="T66" i="15" s="1"/>
  <c r="Y66" i="15" s="1"/>
  <c r="R56" i="15"/>
  <c r="W56" i="15" s="1"/>
  <c r="W744" i="15"/>
  <c r="R814" i="15"/>
  <c r="R502" i="15"/>
  <c r="W502" i="15" s="1"/>
  <c r="Y912" i="15"/>
  <c r="W871" i="15"/>
  <c r="X1096" i="15"/>
  <c r="S139" i="15"/>
  <c r="X139" i="15" s="1"/>
  <c r="AD139" i="15"/>
  <c r="V139" i="15" s="1"/>
  <c r="T139" i="15" s="1"/>
  <c r="Y139" i="15" s="1"/>
  <c r="Q327" i="15"/>
  <c r="AD327" i="15"/>
  <c r="Q383" i="15"/>
  <c r="AD383" i="15"/>
  <c r="AC429" i="15"/>
  <c r="R429" i="15"/>
  <c r="W429" i="15" s="1"/>
  <c r="S452" i="15"/>
  <c r="X452" i="15" s="1"/>
  <c r="AD452" i="15"/>
  <c r="V452" i="15" s="1"/>
  <c r="T452" i="15" s="1"/>
  <c r="Y452" i="15" s="1"/>
  <c r="Q496" i="15"/>
  <c r="R496" i="15"/>
  <c r="AD570" i="15"/>
  <c r="X580" i="15"/>
  <c r="AC581" i="15"/>
  <c r="U581" i="15" s="1"/>
  <c r="T581" i="15" s="1"/>
  <c r="Y581" i="15" s="1"/>
  <c r="R581" i="15"/>
  <c r="W581" i="15" s="1"/>
  <c r="W584" i="15"/>
  <c r="X584" i="15"/>
  <c r="X592" i="15"/>
  <c r="X601" i="15"/>
  <c r="X612" i="15"/>
  <c r="AC626" i="15"/>
  <c r="R626" i="15"/>
  <c r="W626" i="15" s="1"/>
  <c r="X629" i="15"/>
  <c r="X637" i="15"/>
  <c r="W637" i="15"/>
  <c r="X699" i="15"/>
  <c r="X700" i="15"/>
  <c r="X712" i="15"/>
  <c r="W712" i="15"/>
  <c r="R742" i="15"/>
  <c r="X754" i="15"/>
  <c r="W754" i="15"/>
  <c r="W762" i="15"/>
  <c r="X762" i="15"/>
  <c r="AC764" i="15"/>
  <c r="R764" i="15"/>
  <c r="X775" i="15"/>
  <c r="W775" i="15"/>
  <c r="AC784" i="15"/>
  <c r="R784" i="15"/>
  <c r="R794" i="15"/>
  <c r="X800" i="15"/>
  <c r="W800" i="15"/>
  <c r="W831" i="15"/>
  <c r="X831" i="15"/>
  <c r="W866" i="15"/>
  <c r="X866" i="15"/>
  <c r="AC885" i="15"/>
  <c r="R885" i="15"/>
  <c r="AC934" i="15"/>
  <c r="R934" i="15"/>
  <c r="X971" i="15"/>
  <c r="W971" i="15"/>
  <c r="AD1036" i="15"/>
  <c r="AD1042" i="15"/>
  <c r="AC1047" i="15"/>
  <c r="R1047" i="15"/>
  <c r="AC1056" i="15"/>
  <c r="R1056" i="15"/>
  <c r="AD1098" i="15"/>
  <c r="AC1098" i="15"/>
  <c r="R1098" i="15"/>
  <c r="AD1150" i="15"/>
  <c r="X1200" i="15"/>
  <c r="W1200" i="15"/>
  <c r="AD1259" i="15"/>
  <c r="R1658" i="15"/>
  <c r="R1806" i="15"/>
  <c r="R1814" i="15"/>
  <c r="R1946" i="15"/>
  <c r="R1954" i="15"/>
  <c r="R2038" i="15"/>
  <c r="R2098" i="15"/>
  <c r="R2226" i="15"/>
  <c r="AD946" i="15"/>
  <c r="AD947" i="15"/>
  <c r="R954" i="15"/>
  <c r="AD960" i="15"/>
  <c r="R960" i="15"/>
  <c r="R983" i="15"/>
  <c r="AD996" i="15"/>
  <c r="AD1003" i="15"/>
  <c r="R1017" i="15"/>
  <c r="AD1037" i="15"/>
  <c r="AD1059" i="15"/>
  <c r="AD1071" i="15"/>
  <c r="AD1089" i="15"/>
  <c r="AD1099" i="15"/>
  <c r="AD1117" i="15"/>
  <c r="AD1119" i="15"/>
  <c r="AD1120" i="15"/>
  <c r="AD1125" i="15"/>
  <c r="AD1141" i="15"/>
  <c r="R1142" i="15"/>
  <c r="AD1143" i="15"/>
  <c r="AD1147" i="15"/>
  <c r="AD1151" i="15"/>
  <c r="AD1155" i="15"/>
  <c r="AD1159" i="15"/>
  <c r="AD1171" i="15"/>
  <c r="AD1176" i="15"/>
  <c r="AD1181" i="15"/>
  <c r="AD1189" i="15"/>
  <c r="R1193" i="15"/>
  <c r="AD1203" i="15"/>
  <c r="AD1212" i="15"/>
  <c r="AD1228" i="15"/>
  <c r="AD1236" i="15"/>
  <c r="AD1248" i="15"/>
  <c r="AD1252" i="15"/>
  <c r="AD1256" i="15"/>
  <c r="AD1260" i="15"/>
  <c r="AD1264" i="15"/>
  <c r="AD1266" i="15"/>
  <c r="AD1270" i="15"/>
  <c r="AD1275" i="15"/>
  <c r="AD1278" i="15"/>
  <c r="AD1282" i="15"/>
  <c r="AD1286" i="15"/>
  <c r="R1297" i="15"/>
  <c r="AD1298" i="15"/>
  <c r="AD1302" i="15"/>
  <c r="AD1307" i="15"/>
  <c r="AD1316" i="15"/>
  <c r="AD1326" i="15"/>
  <c r="AD1330" i="15"/>
  <c r="AD1335" i="15"/>
  <c r="AD1357" i="15"/>
  <c r="AD1359" i="15"/>
  <c r="R1366" i="15"/>
  <c r="AD1373" i="15"/>
  <c r="AD1382" i="15"/>
  <c r="AD1383" i="15"/>
  <c r="AD1387" i="15"/>
  <c r="AD1390" i="15"/>
  <c r="AD1398" i="15"/>
  <c r="R1401" i="15"/>
  <c r="AD1402" i="15"/>
  <c r="AD1407" i="15"/>
  <c r="R1409" i="15"/>
  <c r="AD1410" i="15"/>
  <c r="AD1419" i="15"/>
  <c r="AD1426" i="15"/>
  <c r="AD1438" i="15"/>
  <c r="AD1442" i="15"/>
  <c r="AD1464" i="15"/>
  <c r="AD1474" i="15"/>
  <c r="AD1495" i="15"/>
  <c r="AD1496" i="15"/>
  <c r="AD1497" i="15"/>
  <c r="AD1521" i="15"/>
  <c r="AD1551" i="15"/>
  <c r="AD1559" i="15"/>
  <c r="AD1560" i="15"/>
  <c r="R1561" i="15"/>
  <c r="X2252" i="15"/>
  <c r="W2252" i="15"/>
  <c r="W1272" i="15"/>
  <c r="X1272" i="15"/>
  <c r="W1275" i="15"/>
  <c r="X1275" i="15"/>
  <c r="W1291" i="15"/>
  <c r="X1291" i="15"/>
  <c r="R1292" i="15"/>
  <c r="AD1306" i="15"/>
  <c r="X1328" i="15"/>
  <c r="W1328" i="15"/>
  <c r="R1356" i="15"/>
  <c r="AD1420" i="15"/>
  <c r="AD1425" i="15"/>
  <c r="R1870" i="15"/>
  <c r="W2003" i="15"/>
  <c r="X2003" i="15"/>
  <c r="X2200" i="15"/>
  <c r="W2200" i="15"/>
  <c r="R1533" i="15"/>
  <c r="AD1538" i="15"/>
  <c r="AD1554" i="15"/>
  <c r="AD1562" i="15"/>
  <c r="AD1566" i="15"/>
  <c r="AC1592" i="15"/>
  <c r="R1592" i="15"/>
  <c r="R1636" i="15"/>
  <c r="AC1640" i="15"/>
  <c r="R1640" i="15"/>
  <c r="X1987" i="15"/>
  <c r="W1987" i="15"/>
  <c r="AC2025" i="15"/>
  <c r="R2025" i="15"/>
  <c r="AD2185" i="15"/>
  <c r="AD2238" i="15"/>
  <c r="Y1586" i="15"/>
  <c r="Y1446" i="15"/>
  <c r="Y1406" i="15"/>
  <c r="Y1374" i="15"/>
  <c r="Y1350" i="15"/>
  <c r="Y1246" i="15"/>
  <c r="Y1258" i="15"/>
  <c r="Y1145" i="15"/>
  <c r="Y897" i="15"/>
  <c r="Y970" i="15"/>
  <c r="Y1166" i="15"/>
  <c r="Y1111" i="15"/>
  <c r="Y920" i="15"/>
  <c r="Y799" i="15"/>
  <c r="Y701" i="15"/>
  <c r="Y826" i="15"/>
  <c r="Y767" i="15"/>
  <c r="Y788" i="15"/>
  <c r="Y731" i="15"/>
  <c r="Y2177" i="15"/>
  <c r="Y1611" i="15"/>
  <c r="Y1487" i="15"/>
  <c r="R1471" i="15"/>
  <c r="Y675" i="15"/>
  <c r="Y801" i="15"/>
  <c r="Y693" i="15"/>
  <c r="Y1540" i="15"/>
  <c r="Y1840" i="15"/>
  <c r="W1647" i="15"/>
  <c r="W1708" i="15"/>
  <c r="Y1854" i="15"/>
  <c r="Y1044" i="15"/>
  <c r="Y1835" i="15"/>
  <c r="X1804" i="15"/>
  <c r="X2004" i="15"/>
  <c r="S418" i="15"/>
  <c r="X418" i="15" s="1"/>
  <c r="AD418" i="15"/>
  <c r="S504" i="15"/>
  <c r="X504" i="15" s="1"/>
  <c r="AD504" i="15"/>
  <c r="V504" i="15" s="1"/>
  <c r="T504" i="15" s="1"/>
  <c r="Y504" i="15" s="1"/>
  <c r="Y1546" i="15"/>
  <c r="Y1520" i="15"/>
  <c r="Y1445" i="15"/>
  <c r="Y1299" i="15"/>
  <c r="Y1411" i="15"/>
  <c r="Y794" i="15"/>
  <c r="Y844" i="15"/>
  <c r="Y2032" i="15"/>
  <c r="Y629" i="15"/>
  <c r="Y1303" i="15"/>
  <c r="Y1501" i="15"/>
  <c r="Y1977" i="15"/>
  <c r="Y2049" i="15"/>
  <c r="Y2130" i="15"/>
  <c r="R416" i="15"/>
  <c r="AB332" i="15"/>
  <c r="X10" i="15"/>
  <c r="W24" i="15"/>
  <c r="T10" i="15"/>
  <c r="Y10" i="15" s="1"/>
  <c r="X101" i="15"/>
  <c r="T299" i="15"/>
  <c r="Y299" i="15" s="1"/>
  <c r="X229" i="15"/>
  <c r="T229" i="15"/>
  <c r="Y229" i="15" s="1"/>
  <c r="X212" i="15"/>
  <c r="T212" i="15"/>
  <c r="Y212" i="15" s="1"/>
  <c r="W201" i="15"/>
  <c r="W115" i="15"/>
  <c r="T350" i="15"/>
  <c r="Y350" i="15" s="1"/>
  <c r="X213" i="15"/>
  <c r="W213" i="15"/>
  <c r="W101" i="15"/>
  <c r="W203" i="15"/>
  <c r="W212" i="15"/>
  <c r="W289" i="15"/>
  <c r="T285" i="15"/>
  <c r="Y285" i="15" s="1"/>
  <c r="X253" i="15"/>
  <c r="X61" i="15"/>
  <c r="T61" i="15"/>
  <c r="Y61" i="15" s="1"/>
  <c r="Q528" i="15"/>
  <c r="T528" i="15" s="1"/>
  <c r="R528" i="15"/>
  <c r="T530" i="15"/>
  <c r="Q532" i="15"/>
  <c r="T532" i="15" s="1"/>
  <c r="R532" i="15"/>
  <c r="X551" i="15"/>
  <c r="X575" i="15"/>
  <c r="AC661" i="15"/>
  <c r="U661" i="15" s="1"/>
  <c r="T661" i="15" s="1"/>
  <c r="Y661" i="15" s="1"/>
  <c r="R661" i="15"/>
  <c r="W661" i="15" s="1"/>
  <c r="X672" i="15"/>
  <c r="X695" i="15"/>
  <c r="W695" i="15"/>
  <c r="AC707" i="15"/>
  <c r="R707" i="15"/>
  <c r="R718" i="15"/>
  <c r="AC718" i="15"/>
  <c r="AC723" i="15"/>
  <c r="R723" i="15"/>
  <c r="X727" i="15"/>
  <c r="W727" i="15"/>
  <c r="AC728" i="15"/>
  <c r="R728" i="15"/>
  <c r="X738" i="15"/>
  <c r="W738" i="15"/>
  <c r="W739" i="15"/>
  <c r="X739" i="15"/>
  <c r="W742" i="15"/>
  <c r="X742" i="15"/>
  <c r="AC743" i="15"/>
  <c r="R743" i="15"/>
  <c r="W747" i="15"/>
  <c r="X747" i="15"/>
  <c r="X755" i="15"/>
  <c r="W755" i="15"/>
  <c r="AC756" i="15"/>
  <c r="R756" i="15"/>
  <c r="AC760" i="15"/>
  <c r="R760" i="15"/>
  <c r="X768" i="15"/>
  <c r="W768" i="15"/>
  <c r="X776" i="15"/>
  <c r="W776" i="15"/>
  <c r="X823" i="15"/>
  <c r="W823" i="15"/>
  <c r="X837" i="15"/>
  <c r="W837" i="15"/>
  <c r="R859" i="15"/>
  <c r="AC859" i="15"/>
  <c r="W863" i="15"/>
  <c r="X863" i="15"/>
  <c r="AC864" i="15"/>
  <c r="R864" i="15"/>
  <c r="W867" i="15"/>
  <c r="X867" i="15"/>
  <c r="X868" i="15"/>
  <c r="W868" i="15"/>
  <c r="X869" i="15"/>
  <c r="W869" i="15"/>
  <c r="AC875" i="15"/>
  <c r="R875" i="15"/>
  <c r="AC879" i="15"/>
  <c r="R879" i="15"/>
  <c r="W882" i="15"/>
  <c r="X882" i="15"/>
  <c r="X885" i="15"/>
  <c r="W885" i="15"/>
  <c r="X889" i="15"/>
  <c r="W889" i="15"/>
  <c r="X890" i="15"/>
  <c r="W890" i="15"/>
  <c r="X892" i="15"/>
  <c r="W892" i="15"/>
  <c r="X893" i="15"/>
  <c r="W893" i="15"/>
  <c r="R903" i="15"/>
  <c r="AC907" i="15"/>
  <c r="R907" i="15"/>
  <c r="R919" i="15"/>
  <c r="AC919" i="15"/>
  <c r="AC923" i="15"/>
  <c r="R923" i="15"/>
  <c r="X945" i="15"/>
  <c r="W945" i="15"/>
  <c r="X967" i="15"/>
  <c r="W967" i="15"/>
  <c r="AC969" i="15"/>
  <c r="R969" i="15"/>
  <c r="AC987" i="15"/>
  <c r="R987" i="15"/>
  <c r="AC999" i="15"/>
  <c r="R999" i="15"/>
  <c r="AC1028" i="15"/>
  <c r="R1028" i="15"/>
  <c r="W1032" i="15"/>
  <c r="X1032" i="15"/>
  <c r="W1042" i="15"/>
  <c r="X1042" i="15"/>
  <c r="R1043" i="15"/>
  <c r="W1066" i="15"/>
  <c r="X1066" i="15"/>
  <c r="W1093" i="15"/>
  <c r="X1093" i="15"/>
  <c r="AC1095" i="15"/>
  <c r="R1095" i="15"/>
  <c r="R1100" i="15"/>
  <c r="AC1100" i="15"/>
  <c r="AC1102" i="15"/>
  <c r="R1102" i="15"/>
  <c r="AC1110" i="15"/>
  <c r="R1110" i="15"/>
  <c r="AC1123" i="15"/>
  <c r="R1123" i="15"/>
  <c r="X1132" i="15"/>
  <c r="W1132" i="15"/>
  <c r="AC1203" i="15"/>
  <c r="R1203" i="15"/>
  <c r="AC1210" i="15"/>
  <c r="R1210" i="15"/>
  <c r="R1215" i="15"/>
  <c r="AC1215" i="15"/>
  <c r="AC1219" i="15"/>
  <c r="R1219" i="15"/>
  <c r="W1223" i="15"/>
  <c r="X1223" i="15"/>
  <c r="W1227" i="15"/>
  <c r="X1227" i="15"/>
  <c r="AC1228" i="15"/>
  <c r="R1228" i="15"/>
  <c r="W1231" i="15"/>
  <c r="X1231" i="15"/>
  <c r="AC1236" i="15"/>
  <c r="R1236" i="15"/>
  <c r="W1239" i="15"/>
  <c r="X1239" i="15"/>
  <c r="AC1240" i="15"/>
  <c r="R1240" i="15"/>
  <c r="W1361" i="15"/>
  <c r="X1361" i="15"/>
  <c r="AC1373" i="15"/>
  <c r="R1373" i="15"/>
  <c r="X1385" i="15"/>
  <c r="W1385" i="15"/>
  <c r="X1393" i="15"/>
  <c r="W1393" i="15"/>
  <c r="AC1405" i="15"/>
  <c r="R1405" i="15"/>
  <c r="AC1433" i="15"/>
  <c r="R1433" i="15"/>
  <c r="X1492" i="15"/>
  <c r="W1492" i="15"/>
  <c r="W1499" i="15"/>
  <c r="X1499" i="15"/>
  <c r="AC1500" i="15"/>
  <c r="R1500" i="15"/>
  <c r="AC1515" i="15"/>
  <c r="R1515" i="15"/>
  <c r="W1524" i="15"/>
  <c r="X1524" i="15"/>
  <c r="X1543" i="15"/>
  <c r="W1543" i="15"/>
  <c r="X1571" i="15"/>
  <c r="W1571" i="15"/>
  <c r="AC1580" i="15"/>
  <c r="R1580" i="15"/>
  <c r="R1584" i="15"/>
  <c r="AD1584" i="15"/>
  <c r="W1596" i="15"/>
  <c r="X1596" i="15"/>
  <c r="X1607" i="15"/>
  <c r="W1607" i="15"/>
  <c r="X1612" i="15"/>
  <c r="W1612" i="15"/>
  <c r="AC1619" i="15"/>
  <c r="R1619" i="15"/>
  <c r="AC1672" i="15"/>
  <c r="R1672" i="15"/>
  <c r="W1675" i="15"/>
  <c r="X1675" i="15"/>
  <c r="W1679" i="15"/>
  <c r="X1679" i="15"/>
  <c r="W1687" i="15"/>
  <c r="X1687" i="15"/>
  <c r="AC1688" i="15"/>
  <c r="R1688" i="15"/>
  <c r="W1691" i="15"/>
  <c r="X1691" i="15"/>
  <c r="W1692" i="15"/>
  <c r="X1692" i="15"/>
  <c r="AC1693" i="15"/>
  <c r="R1693" i="15"/>
  <c r="X1704" i="15"/>
  <c r="W1704" i="15"/>
  <c r="X1724" i="15"/>
  <c r="W1724" i="15"/>
  <c r="R1732" i="15"/>
  <c r="X1735" i="15"/>
  <c r="W1735" i="15"/>
  <c r="R1736" i="15"/>
  <c r="AC1736" i="15"/>
  <c r="X1739" i="15"/>
  <c r="W1739" i="15"/>
  <c r="AC1748" i="15"/>
  <c r="R1748" i="15"/>
  <c r="W1755" i="15"/>
  <c r="X1755" i="15"/>
  <c r="AC1759" i="15"/>
  <c r="R1759" i="15"/>
  <c r="X1816" i="15"/>
  <c r="W1816" i="15"/>
  <c r="X1823" i="15"/>
  <c r="W1823" i="15"/>
  <c r="AC1824" i="15"/>
  <c r="R1824" i="15"/>
  <c r="X1828" i="15"/>
  <c r="W1828" i="15"/>
  <c r="AC1829" i="15"/>
  <c r="R1829" i="15"/>
  <c r="X1832" i="15"/>
  <c r="W1832" i="15"/>
  <c r="X1837" i="15"/>
  <c r="W1837" i="15"/>
  <c r="X1841" i="15"/>
  <c r="W1841" i="15"/>
  <c r="AC1846" i="15"/>
  <c r="R1846" i="15"/>
  <c r="R1850" i="15"/>
  <c r="X1855" i="15"/>
  <c r="W1855" i="15"/>
  <c r="AC1857" i="15"/>
  <c r="R1857" i="15"/>
  <c r="X1860" i="15"/>
  <c r="W1860" i="15"/>
  <c r="W1864" i="15"/>
  <c r="X1864" i="15"/>
  <c r="AC1865" i="15"/>
  <c r="R1865" i="15"/>
  <c r="AC1868" i="15"/>
  <c r="R1868" i="15"/>
  <c r="R1873" i="15"/>
  <c r="X1877" i="15"/>
  <c r="W1877" i="15"/>
  <c r="AC1882" i="15"/>
  <c r="R1882" i="15"/>
  <c r="X1885" i="15"/>
  <c r="W1885" i="15"/>
  <c r="AC1886" i="15"/>
  <c r="R1886" i="15"/>
  <c r="X1889" i="15"/>
  <c r="W1889" i="15"/>
  <c r="X1893" i="15"/>
  <c r="W1893" i="15"/>
  <c r="X1897" i="15"/>
  <c r="W1897" i="15"/>
  <c r="AC1907" i="15"/>
  <c r="R1907" i="15"/>
  <c r="X1911" i="15"/>
  <c r="W1911" i="15"/>
  <c r="R1914" i="15"/>
  <c r="AC1914" i="15"/>
  <c r="AC1919" i="15"/>
  <c r="R1919" i="15"/>
  <c r="AC1922" i="15"/>
  <c r="R1922" i="15"/>
  <c r="AC1926" i="15"/>
  <c r="R1926" i="15"/>
  <c r="AC1930" i="15"/>
  <c r="R1930" i="15"/>
  <c r="X1937" i="15"/>
  <c r="W1937" i="15"/>
  <c r="AC1951" i="15"/>
  <c r="R1951" i="15"/>
  <c r="X1955" i="15"/>
  <c r="W1955" i="15"/>
  <c r="W1957" i="15"/>
  <c r="X1957" i="15"/>
  <c r="W1969" i="15"/>
  <c r="X1969" i="15"/>
  <c r="X1973" i="15"/>
  <c r="W1973" i="15"/>
  <c r="W1979" i="15"/>
  <c r="X1979" i="15"/>
  <c r="X1984" i="15"/>
  <c r="W1984" i="15"/>
  <c r="X1988" i="15"/>
  <c r="W1988" i="15"/>
  <c r="AC2002" i="15"/>
  <c r="R2002" i="15"/>
  <c r="X2012" i="15"/>
  <c r="W2012" i="15"/>
  <c r="X2025" i="15"/>
  <c r="W2025" i="15"/>
  <c r="R2026" i="15"/>
  <c r="AC2029" i="15"/>
  <c r="R2029" i="15"/>
  <c r="X2033" i="15"/>
  <c r="W2033" i="15"/>
  <c r="W2035" i="15"/>
  <c r="X2035" i="15"/>
  <c r="X2037" i="15"/>
  <c r="W2037" i="15"/>
  <c r="X2053" i="15"/>
  <c r="W2053" i="15"/>
  <c r="W2059" i="15"/>
  <c r="X2059" i="15"/>
  <c r="R2075" i="15"/>
  <c r="AC2075" i="15"/>
  <c r="X2083" i="15"/>
  <c r="W2083" i="15"/>
  <c r="X2088" i="15"/>
  <c r="W2088" i="15"/>
  <c r="R2091" i="15"/>
  <c r="AC2091" i="15"/>
  <c r="X2121" i="15"/>
  <c r="W2121" i="15"/>
  <c r="X2132" i="15"/>
  <c r="W2132" i="15"/>
  <c r="X2144" i="15"/>
  <c r="W2144" i="15"/>
  <c r="AC2148" i="15"/>
  <c r="R2148" i="15"/>
  <c r="AC2156" i="15"/>
  <c r="R2156" i="15"/>
  <c r="X2159" i="15"/>
  <c r="W2159" i="15"/>
  <c r="X2161" i="15"/>
  <c r="W2161" i="15"/>
  <c r="AC2162" i="15"/>
  <c r="R2162" i="15"/>
  <c r="R2167" i="15"/>
  <c r="AC2167" i="15"/>
  <c r="X2175" i="15"/>
  <c r="W2175" i="15"/>
  <c r="W2185" i="15"/>
  <c r="X2185" i="15"/>
  <c r="AC2189" i="15"/>
  <c r="R2189" i="15"/>
  <c r="AC2193" i="15"/>
  <c r="R2193" i="15"/>
  <c r="W2196" i="15"/>
  <c r="X2196" i="15"/>
  <c r="W2204" i="15"/>
  <c r="X2204" i="15"/>
  <c r="W2216" i="15"/>
  <c r="X2216" i="15"/>
  <c r="AC2217" i="15"/>
  <c r="R2217" i="15"/>
  <c r="W2225" i="15"/>
  <c r="X2225" i="15"/>
  <c r="AC2234" i="15"/>
  <c r="R2234" i="15"/>
  <c r="W2240" i="15"/>
  <c r="X2240" i="15"/>
  <c r="X2244" i="15"/>
  <c r="W2244" i="15"/>
  <c r="X2254" i="15"/>
  <c r="W2254" i="15"/>
  <c r="W2256" i="15"/>
  <c r="X2256" i="15"/>
  <c r="X2260" i="15"/>
  <c r="W2260" i="15"/>
  <c r="X2262" i="15"/>
  <c r="W2262" i="15"/>
  <c r="AC2265" i="15"/>
  <c r="R2265" i="15"/>
  <c r="AD2268" i="15"/>
  <c r="X2272" i="15"/>
  <c r="W2272" i="15"/>
  <c r="AD2274" i="15"/>
  <c r="W50" i="15"/>
  <c r="T253" i="15"/>
  <c r="Y253" i="15" s="1"/>
  <c r="T29" i="15"/>
  <c r="Y29" i="15" s="1"/>
  <c r="T24" i="15"/>
  <c r="Y24" i="15" s="1"/>
  <c r="R2222" i="15"/>
  <c r="R2206" i="15"/>
  <c r="W2190" i="15"/>
  <c r="R2181" i="15"/>
  <c r="R2211" i="15"/>
  <c r="W2157" i="15"/>
  <c r="AD2142" i="15"/>
  <c r="X2223" i="15"/>
  <c r="W2155" i="15"/>
  <c r="AC2226" i="15"/>
  <c r="R2136" i="15"/>
  <c r="Y2025" i="15"/>
  <c r="X2094" i="15"/>
  <c r="W2020" i="15"/>
  <c r="R2102" i="15"/>
  <c r="R2086" i="15"/>
  <c r="R1998" i="15"/>
  <c r="W1997" i="15"/>
  <c r="AC1954" i="15"/>
  <c r="W1974" i="15"/>
  <c r="R1962" i="15"/>
  <c r="W1902" i="15"/>
  <c r="X1990" i="15"/>
  <c r="Y1961" i="15"/>
  <c r="R1966" i="15"/>
  <c r="W1717" i="15"/>
  <c r="W1709" i="15"/>
  <c r="R1701" i="15"/>
  <c r="W1872" i="15"/>
  <c r="W1809" i="15"/>
  <c r="AC1806" i="15"/>
  <c r="R1766" i="15"/>
  <c r="W1710" i="15"/>
  <c r="R1770" i="15"/>
  <c r="X1758" i="15"/>
  <c r="Y1661" i="15"/>
  <c r="AD1561" i="15"/>
  <c r="R1530" i="15"/>
  <c r="X1626" i="15"/>
  <c r="R1410" i="15"/>
  <c r="R1395" i="15"/>
  <c r="R1363" i="15"/>
  <c r="R1335" i="15"/>
  <c r="Y1334" i="15"/>
  <c r="R1331" i="15"/>
  <c r="W1170" i="15"/>
  <c r="R1037" i="15"/>
  <c r="R1357" i="15"/>
  <c r="R1266" i="15"/>
  <c r="R1033" i="15"/>
  <c r="X1006" i="15"/>
  <c r="R991" i="15"/>
  <c r="R975" i="15"/>
  <c r="W915" i="15"/>
  <c r="R883" i="15"/>
  <c r="R1023" i="15"/>
  <c r="W978" i="15"/>
  <c r="W968" i="15"/>
  <c r="W1022" i="15"/>
  <c r="W958" i="15"/>
  <c r="W973" i="15"/>
  <c r="W957" i="15"/>
  <c r="R979" i="15"/>
  <c r="X940" i="15"/>
  <c r="R886" i="15"/>
  <c r="X874" i="15"/>
  <c r="W841" i="15"/>
  <c r="R820" i="15"/>
  <c r="W777" i="15"/>
  <c r="R769" i="15"/>
  <c r="W741" i="15"/>
  <c r="AD2230" i="15"/>
  <c r="Y2262" i="15"/>
  <c r="Y1837" i="15"/>
  <c r="W2005" i="15"/>
  <c r="X1939" i="15"/>
  <c r="W1935" i="15"/>
  <c r="X2061" i="15"/>
  <c r="X1945" i="15"/>
  <c r="Y1841" i="15"/>
  <c r="X1791" i="15"/>
  <c r="R1756" i="15"/>
  <c r="AC1732" i="15"/>
  <c r="R1224" i="15"/>
  <c r="Y986" i="15"/>
  <c r="W764" i="15"/>
  <c r="W740" i="15"/>
  <c r="Y1974" i="15"/>
  <c r="W1128" i="15"/>
  <c r="X1235" i="15"/>
  <c r="AC2239" i="15"/>
  <c r="W2158" i="15"/>
  <c r="R2213" i="15"/>
  <c r="Y2179" i="15"/>
  <c r="R2116" i="15"/>
  <c r="R2068" i="15"/>
  <c r="W2085" i="15"/>
  <c r="R2210" i="15"/>
  <c r="Y2042" i="15"/>
  <c r="R2022" i="15"/>
  <c r="W2046" i="15"/>
  <c r="X2118" i="15"/>
  <c r="X2074" i="15"/>
  <c r="R2143" i="15"/>
  <c r="AC2009" i="15"/>
  <c r="Y1969" i="15"/>
  <c r="R1958" i="15"/>
  <c r="Y1950" i="15"/>
  <c r="R1994" i="15"/>
  <c r="AC1850" i="15"/>
  <c r="R1725" i="15"/>
  <c r="R1912" i="15"/>
  <c r="R1903" i="15"/>
  <c r="R1697" i="15"/>
  <c r="W1801" i="15"/>
  <c r="R1774" i="15"/>
  <c r="W1696" i="15"/>
  <c r="R1838" i="15"/>
  <c r="W1754" i="15"/>
  <c r="W1805" i="15"/>
  <c r="R1802" i="15"/>
  <c r="Y1514" i="15"/>
  <c r="R1506" i="15"/>
  <c r="R1382" i="15"/>
  <c r="X1630" i="15"/>
  <c r="AC1658" i="15"/>
  <c r="R1289" i="15"/>
  <c r="X1452" i="15"/>
  <c r="W1351" i="15"/>
  <c r="W1041" i="15"/>
  <c r="R1662" i="15"/>
  <c r="Y1657" i="15"/>
  <c r="AC1017" i="15"/>
  <c r="X990" i="15"/>
  <c r="X1015" i="15"/>
  <c r="X1002" i="15"/>
  <c r="X986" i="15"/>
  <c r="Y952" i="15"/>
  <c r="X934" i="15"/>
  <c r="X918" i="15"/>
  <c r="X1146" i="15"/>
  <c r="R948" i="15"/>
  <c r="R910" i="15"/>
  <c r="W891" i="15"/>
  <c r="R996" i="15"/>
  <c r="R900" i="15"/>
  <c r="R916" i="15"/>
  <c r="W899" i="15"/>
  <c r="R765" i="15"/>
  <c r="R692" i="15"/>
  <c r="W692" i="15" s="1"/>
  <c r="W858" i="15"/>
  <c r="W721" i="15"/>
  <c r="R668" i="15"/>
  <c r="W668" i="15" s="1"/>
  <c r="X737" i="15"/>
  <c r="Y2240" i="15"/>
  <c r="W1918" i="15"/>
  <c r="R1894" i="15"/>
  <c r="R1878" i="15"/>
  <c r="W1813" i="15"/>
  <c r="W1747" i="15"/>
  <c r="Y1819" i="15"/>
  <c r="X1779" i="15"/>
  <c r="Y990" i="15"/>
  <c r="Y974" i="15"/>
  <c r="Y1032" i="15"/>
  <c r="Y967" i="15"/>
  <c r="X772" i="15"/>
  <c r="X1661" i="15"/>
  <c r="R2158" i="15"/>
  <c r="R2197" i="15"/>
  <c r="W2153" i="15"/>
  <c r="X2198" i="15"/>
  <c r="Y2155" i="15"/>
  <c r="W2120" i="15"/>
  <c r="W2092" i="15"/>
  <c r="W2064" i="15"/>
  <c r="Y2037" i="15"/>
  <c r="R2058" i="15"/>
  <c r="Y1997" i="15"/>
  <c r="W1925" i="15"/>
  <c r="W1915" i="15"/>
  <c r="W1845" i="15"/>
  <c r="W1871" i="15"/>
  <c r="R1899" i="15"/>
  <c r="X1786" i="15"/>
  <c r="W1762" i="15"/>
  <c r="R1714" i="15"/>
  <c r="R1833" i="15"/>
  <c r="Y1696" i="15"/>
  <c r="W1773" i="15"/>
  <c r="R1706" i="15"/>
  <c r="W1518" i="15"/>
  <c r="W1378" i="15"/>
  <c r="AC1654" i="15"/>
  <c r="R1367" i="15"/>
  <c r="R1589" i="15"/>
  <c r="R1510" i="15"/>
  <c r="AD1485" i="15"/>
  <c r="R1462" i="15"/>
  <c r="R1330" i="15"/>
  <c r="W1566" i="15"/>
  <c r="W1306" i="15"/>
  <c r="R1298" i="15"/>
  <c r="X1198" i="15"/>
  <c r="R1593" i="15"/>
  <c r="W1209" i="15"/>
  <c r="R931" i="15"/>
  <c r="X930" i="15"/>
  <c r="R1009" i="15"/>
  <c r="Y1006" i="15"/>
  <c r="Y958" i="15"/>
  <c r="X1122" i="15"/>
  <c r="X1098" i="15"/>
  <c r="R1024" i="15"/>
  <c r="R927" i="15"/>
  <c r="Y837" i="15"/>
  <c r="R833" i="15"/>
  <c r="AC1043" i="15"/>
  <c r="Y899" i="15"/>
  <c r="R648" i="15"/>
  <c r="W648" i="15" s="1"/>
  <c r="R640" i="15"/>
  <c r="W640" i="15" s="1"/>
  <c r="R733" i="15"/>
  <c r="Y858" i="15"/>
  <c r="Y878" i="15"/>
  <c r="R773" i="15"/>
  <c r="R2221" i="15"/>
  <c r="AC2063" i="15"/>
  <c r="Y1816" i="15"/>
  <c r="AC2026" i="15"/>
  <c r="Y1925" i="15"/>
  <c r="W939" i="15"/>
  <c r="R1232" i="15"/>
  <c r="R1743" i="15"/>
  <c r="Y2090" i="15"/>
  <c r="X1819" i="15"/>
  <c r="Y1823" i="15"/>
  <c r="Y853" i="15"/>
  <c r="Y845" i="15"/>
  <c r="Y885" i="15"/>
  <c r="Y764" i="15"/>
  <c r="Y2216" i="15"/>
  <c r="Y2165" i="15"/>
  <c r="Y1864" i="15"/>
  <c r="Y1877" i="15"/>
  <c r="Y1813" i="15"/>
  <c r="Y1724" i="15"/>
  <c r="Y1671" i="15"/>
  <c r="Y1015" i="15"/>
  <c r="Y893" i="15"/>
  <c r="Y978" i="15"/>
  <c r="Y832" i="15"/>
  <c r="Y2083" i="15"/>
  <c r="Y1231" i="15"/>
  <c r="Y1747" i="15"/>
  <c r="Y2132" i="15"/>
  <c r="Y2144" i="15"/>
  <c r="Y1872" i="15"/>
  <c r="Y2118" i="15"/>
  <c r="Y1583" i="15"/>
  <c r="Y1902" i="15"/>
  <c r="Y1616" i="15"/>
  <c r="Y906" i="15"/>
  <c r="Y2085" i="15"/>
  <c r="Y1893" i="15"/>
  <c r="Y869" i="15"/>
  <c r="Q252" i="15"/>
  <c r="R252" i="15"/>
  <c r="S252" i="15"/>
  <c r="AD252" i="15"/>
  <c r="V252" i="15" s="1"/>
  <c r="S268" i="15"/>
  <c r="AD268" i="15"/>
  <c r="Q296" i="15"/>
  <c r="W296" i="15" s="1"/>
  <c r="V296" i="15"/>
  <c r="Q301" i="15"/>
  <c r="R301" i="15"/>
  <c r="AC320" i="15"/>
  <c r="U320" i="15" s="1"/>
  <c r="T320" i="15" s="1"/>
  <c r="Y320" i="15" s="1"/>
  <c r="R320" i="15"/>
  <c r="W320" i="15" s="1"/>
  <c r="S330" i="15"/>
  <c r="X330" i="15" s="1"/>
  <c r="AD330" i="15"/>
  <c r="AC341" i="15"/>
  <c r="R341" i="15"/>
  <c r="W341" i="15" s="1"/>
  <c r="Q353" i="15"/>
  <c r="R353" i="15"/>
  <c r="S353" i="15"/>
  <c r="AD353" i="15"/>
  <c r="V353" i="15" s="1"/>
  <c r="AC363" i="15"/>
  <c r="U363" i="15" s="1"/>
  <c r="T363" i="15" s="1"/>
  <c r="Y363" i="15" s="1"/>
  <c r="R363" i="15"/>
  <c r="W363" i="15" s="1"/>
  <c r="AC369" i="15"/>
  <c r="R369" i="15"/>
  <c r="W369" i="15" s="1"/>
  <c r="Q382" i="15"/>
  <c r="AD382" i="15"/>
  <c r="Q388" i="15"/>
  <c r="R388" i="15"/>
  <c r="S396" i="15"/>
  <c r="X396" i="15" s="1"/>
  <c r="AD396" i="15"/>
  <c r="V396" i="15" s="1"/>
  <c r="T396" i="15" s="1"/>
  <c r="AC417" i="15"/>
  <c r="U417" i="15" s="1"/>
  <c r="T417" i="15" s="1"/>
  <c r="AB417" i="15" s="1"/>
  <c r="R417" i="15"/>
  <c r="W417" i="15" s="1"/>
  <c r="S422" i="15"/>
  <c r="X422" i="15" s="1"/>
  <c r="AD422" i="15"/>
  <c r="V422" i="15" s="1"/>
  <c r="T422" i="15" s="1"/>
  <c r="Y422" i="15" s="1"/>
  <c r="Y2159" i="15"/>
  <c r="Y2001" i="15"/>
  <c r="Y2161" i="15"/>
  <c r="Y2059" i="15"/>
  <c r="Y1990" i="15"/>
  <c r="Y1214" i="15"/>
  <c r="Y1937" i="15"/>
  <c r="Y1162" i="15"/>
  <c r="Y1027" i="15"/>
  <c r="Y922" i="15"/>
  <c r="Y982" i="15"/>
  <c r="Y1832" i="15"/>
  <c r="Y1692" i="15"/>
  <c r="Y1223" i="15"/>
  <c r="Y1915" i="15"/>
  <c r="Y2153" i="15"/>
  <c r="S20" i="15"/>
  <c r="X20" i="15" s="1"/>
  <c r="AD20" i="15"/>
  <c r="V20" i="15" s="1"/>
  <c r="T20" i="15" s="1"/>
  <c r="S82" i="15"/>
  <c r="X82" i="15" s="1"/>
  <c r="AD82" i="15"/>
  <c r="S110" i="15"/>
  <c r="AD110" i="15"/>
  <c r="V110" i="15" s="1"/>
  <c r="S113" i="15"/>
  <c r="X113" i="15" s="1"/>
  <c r="AD113" i="15"/>
  <c r="V113" i="15" s="1"/>
  <c r="T113" i="15" s="1"/>
  <c r="Y113" i="15" s="1"/>
  <c r="S147" i="15"/>
  <c r="X147" i="15" s="1"/>
  <c r="AD147" i="15"/>
  <c r="V147" i="15" s="1"/>
  <c r="AC310" i="15"/>
  <c r="R310" i="15"/>
  <c r="W310" i="15" s="1"/>
  <c r="S385" i="15"/>
  <c r="X385" i="15" s="1"/>
  <c r="AD385" i="15"/>
  <c r="V385" i="15" s="1"/>
  <c r="T385" i="15" s="1"/>
  <c r="Y385" i="15" s="1"/>
  <c r="Q462" i="15"/>
  <c r="X462" i="15" s="1"/>
  <c r="R462" i="15"/>
  <c r="AC472" i="15"/>
  <c r="R472" i="15"/>
  <c r="W472" i="15" s="1"/>
  <c r="R556" i="15"/>
  <c r="W556" i="15" s="1"/>
  <c r="R560" i="15"/>
  <c r="W560" i="15" s="1"/>
  <c r="AC564" i="15"/>
  <c r="U564" i="15" s="1"/>
  <c r="T564" i="15" s="1"/>
  <c r="Y564" i="15" s="1"/>
  <c r="R564" i="15"/>
  <c r="W564" i="15" s="1"/>
  <c r="AC589" i="15"/>
  <c r="U589" i="15" s="1"/>
  <c r="T589" i="15" s="1"/>
  <c r="R589" i="15"/>
  <c r="W589" i="15" s="1"/>
  <c r="R593" i="15"/>
  <c r="W593" i="15" s="1"/>
  <c r="X602" i="15"/>
  <c r="W602" i="15"/>
  <c r="X609" i="15"/>
  <c r="X616" i="15"/>
  <c r="X642" i="15"/>
  <c r="R691" i="15"/>
  <c r="W691" i="15" s="1"/>
  <c r="R702" i="15"/>
  <c r="AC706" i="15"/>
  <c r="R706" i="15"/>
  <c r="R714" i="15"/>
  <c r="AD728" i="15"/>
  <c r="AC751" i="15"/>
  <c r="R751" i="15"/>
  <c r="AC772" i="15"/>
  <c r="R772" i="15"/>
  <c r="AC790" i="15"/>
  <c r="R790" i="15"/>
  <c r="AD842" i="15"/>
  <c r="X844" i="15"/>
  <c r="W844" i="15"/>
  <c r="AD927" i="15"/>
  <c r="X929" i="15"/>
  <c r="W929" i="15"/>
  <c r="AD954" i="15"/>
  <c r="AD987" i="15"/>
  <c r="AD1017" i="15"/>
  <c r="AD1215" i="15"/>
  <c r="AD1294" i="15"/>
  <c r="Y995" i="15"/>
  <c r="Y747" i="15"/>
  <c r="Y727" i="15"/>
  <c r="Y702" i="15"/>
  <c r="Y1805" i="15"/>
  <c r="Y1979" i="15"/>
  <c r="Y1700" i="15"/>
  <c r="Y1791" i="15"/>
  <c r="Y868" i="15"/>
  <c r="Y1093" i="15"/>
  <c r="S53" i="15"/>
  <c r="X53" i="15" s="1"/>
  <c r="AD53" i="15"/>
  <c r="V53" i="15" s="1"/>
  <c r="T53" i="15" s="1"/>
  <c r="Y53" i="15" s="1"/>
  <c r="Q57" i="15"/>
  <c r="R57" i="15"/>
  <c r="S79" i="15"/>
  <c r="AD79" i="15"/>
  <c r="V79" i="15" s="1"/>
  <c r="S86" i="15"/>
  <c r="X86" i="15" s="1"/>
  <c r="AD86" i="15"/>
  <c r="V86" i="15" s="1"/>
  <c r="T86" i="15" s="1"/>
  <c r="AB86" i="15" s="1"/>
  <c r="S152" i="15"/>
  <c r="X152" i="15" s="1"/>
  <c r="AD152" i="15"/>
  <c r="V152" i="15" s="1"/>
  <c r="T152" i="15" s="1"/>
  <c r="Y152" i="15" s="1"/>
  <c r="S201" i="15"/>
  <c r="X201" i="15" s="1"/>
  <c r="AD201" i="15"/>
  <c r="AC205" i="15"/>
  <c r="U205" i="15" s="1"/>
  <c r="T205" i="15" s="1"/>
  <c r="Y205" i="15" s="1"/>
  <c r="R205" i="15"/>
  <c r="W205" i="15" s="1"/>
  <c r="Q240" i="15"/>
  <c r="T240" i="15" s="1"/>
  <c r="Y240" i="15" s="1"/>
  <c r="R240" i="15"/>
  <c r="S245" i="15"/>
  <c r="X245" i="15" s="1"/>
  <c r="AD245" i="15"/>
  <c r="V245" i="15" s="1"/>
  <c r="T245" i="15" s="1"/>
  <c r="Y245" i="15" s="1"/>
  <c r="S435" i="15"/>
  <c r="AD435" i="15"/>
  <c r="V435" i="15" s="1"/>
  <c r="S455" i="15"/>
  <c r="X455" i="15" s="1"/>
  <c r="AD455" i="15"/>
  <c r="AC460" i="15"/>
  <c r="R460" i="15"/>
  <c r="W460" i="15" s="1"/>
  <c r="AC488" i="15"/>
  <c r="R488" i="15"/>
  <c r="W488" i="15" s="1"/>
  <c r="AC506" i="15"/>
  <c r="R506" i="15"/>
  <c r="X549" i="15"/>
  <c r="AD560" i="15"/>
  <c r="V560" i="15" s="1"/>
  <c r="T560" i="15" s="1"/>
  <c r="Y560" i="15" s="1"/>
  <c r="AC574" i="15"/>
  <c r="U574" i="15" s="1"/>
  <c r="T574" i="15" s="1"/>
  <c r="Y574" i="15" s="1"/>
  <c r="R574" i="15"/>
  <c r="W574" i="15" s="1"/>
  <c r="W611" i="15"/>
  <c r="X611" i="15"/>
  <c r="AC616" i="15"/>
  <c r="R616" i="15"/>
  <c r="W616" i="15" s="1"/>
  <c r="AD626" i="15"/>
  <c r="V626" i="15" s="1"/>
  <c r="T626" i="15" s="1"/>
  <c r="AB626" i="15" s="1"/>
  <c r="AC630" i="15"/>
  <c r="R630" i="15"/>
  <c r="W630" i="15" s="1"/>
  <c r="AD633" i="15"/>
  <c r="V633" i="15" s="1"/>
  <c r="T633" i="15" s="1"/>
  <c r="AC653" i="15"/>
  <c r="R653" i="15"/>
  <c r="X662" i="15"/>
  <c r="AD666" i="15"/>
  <c r="V666" i="15" s="1"/>
  <c r="T666" i="15" s="1"/>
  <c r="Y666" i="15" s="1"/>
  <c r="AD676" i="15"/>
  <c r="X689" i="15"/>
  <c r="W689" i="15"/>
  <c r="AD906" i="15"/>
  <c r="Y1860" i="15"/>
  <c r="Y2020" i="15"/>
  <c r="Y1916" i="15"/>
  <c r="Y1762" i="15"/>
  <c r="Y1679" i="15"/>
  <c r="Y1227" i="15"/>
  <c r="Y2094" i="15"/>
  <c r="R325" i="15"/>
  <c r="W325" i="15" s="1"/>
  <c r="AD408" i="15"/>
  <c r="V408" i="15" s="1"/>
  <c r="T408" i="15" s="1"/>
  <c r="Y408" i="15" s="1"/>
  <c r="AC360" i="15"/>
  <c r="R161" i="15"/>
  <c r="W161" i="15" s="1"/>
  <c r="Y1809" i="15"/>
  <c r="Y1885" i="15"/>
  <c r="Y1845" i="15"/>
  <c r="Y1758" i="15"/>
  <c r="Y1098" i="15"/>
  <c r="R335" i="15"/>
  <c r="W335" i="15" s="1"/>
  <c r="AD37" i="15"/>
  <c r="Y1718" i="15"/>
  <c r="AD70" i="15"/>
  <c r="AC138" i="15"/>
  <c r="R138" i="15"/>
  <c r="W138" i="15" s="1"/>
  <c r="AD979" i="15"/>
  <c r="AD1008" i="15"/>
  <c r="AD1033" i="15"/>
  <c r="AD1038" i="15"/>
  <c r="AD1043" i="15"/>
  <c r="W1149" i="15"/>
  <c r="X1149" i="15"/>
  <c r="W1161" i="15"/>
  <c r="X1161" i="15"/>
  <c r="AD1224" i="15"/>
  <c r="AD1232" i="15"/>
  <c r="AC1579" i="15"/>
  <c r="R1579" i="15"/>
  <c r="AD1676" i="15"/>
  <c r="AD1688" i="15"/>
  <c r="AD1706" i="15"/>
  <c r="AD1736" i="15"/>
  <c r="AD1766" i="15"/>
  <c r="R1769" i="15"/>
  <c r="AC1832" i="15"/>
  <c r="R1832" i="15"/>
  <c r="R1898" i="15"/>
  <c r="AD2009" i="15"/>
  <c r="X2081" i="15"/>
  <c r="W2081" i="15"/>
  <c r="AD2176" i="15"/>
  <c r="AD768" i="15"/>
  <c r="AD795" i="15"/>
  <c r="W808" i="15"/>
  <c r="X808" i="15"/>
  <c r="AD824" i="15"/>
  <c r="AD828" i="15"/>
  <c r="AD841" i="15"/>
  <c r="AD845" i="15"/>
  <c r="AD863" i="15"/>
  <c r="AD872" i="15"/>
  <c r="AD913" i="15"/>
  <c r="AD941" i="15"/>
  <c r="AD950" i="15"/>
  <c r="AD953" i="15"/>
  <c r="AD971" i="15"/>
  <c r="W1101" i="15"/>
  <c r="X1101" i="15"/>
  <c r="AC1112" i="15"/>
  <c r="R1112" i="15"/>
  <c r="AD1220" i="15"/>
  <c r="AD1221" i="15"/>
  <c r="R1268" i="15"/>
  <c r="AD1356" i="15"/>
  <c r="AD1365" i="15"/>
  <c r="AD1379" i="15"/>
  <c r="AD1393" i="15"/>
  <c r="AC1523" i="15"/>
  <c r="R1523" i="15"/>
  <c r="AD1666" i="15"/>
  <c r="AD1669" i="15"/>
  <c r="AD1671" i="15"/>
  <c r="AD1675" i="15"/>
  <c r="AD1679" i="15"/>
  <c r="AD1684" i="15"/>
  <c r="AD1687" i="15"/>
  <c r="AD1696" i="15"/>
  <c r="AD1704" i="15"/>
  <c r="AD1705" i="15"/>
  <c r="AD1710" i="15"/>
  <c r="AD1724" i="15"/>
  <c r="AD1728" i="15"/>
  <c r="AD1735" i="15"/>
  <c r="AD1747" i="15"/>
  <c r="AD1765" i="15"/>
  <c r="AD1769" i="15"/>
  <c r="W1781" i="15"/>
  <c r="X1781" i="15"/>
  <c r="AD1786" i="15"/>
  <c r="AD1885" i="15"/>
  <c r="AD1893" i="15"/>
  <c r="AD1925" i="15"/>
  <c r="AD1933" i="15"/>
  <c r="AD1935" i="15"/>
  <c r="AD1939" i="15"/>
  <c r="AD1945" i="15"/>
  <c r="AD1950" i="15"/>
  <c r="AD1988" i="15"/>
  <c r="AD1991" i="15"/>
  <c r="AD2012" i="15"/>
  <c r="AD2015" i="15"/>
  <c r="AD2028" i="15"/>
  <c r="AD2042" i="15"/>
  <c r="AD2046" i="15"/>
  <c r="AD2085" i="15"/>
  <c r="AD2087" i="15"/>
  <c r="AD2118" i="15"/>
  <c r="AD2122" i="15"/>
  <c r="AD2141" i="15"/>
  <c r="AD2155" i="15"/>
  <c r="AD2159" i="15"/>
  <c r="AD2212" i="15"/>
  <c r="AD2231" i="15"/>
  <c r="Y2196" i="15"/>
  <c r="Y1984" i="15"/>
  <c r="Y1867" i="15"/>
  <c r="Y1856" i="15"/>
  <c r="Y1534" i="15"/>
  <c r="Y1773" i="15"/>
  <c r="Y1666" i="15"/>
  <c r="Y1626" i="15"/>
  <c r="Y1755" i="15"/>
  <c r="Y1361" i="15"/>
  <c r="Y1185" i="15"/>
  <c r="Y1329" i="15"/>
  <c r="Y1235" i="15"/>
  <c r="Y1262" i="15"/>
  <c r="Y1234" i="15"/>
  <c r="Y981" i="15"/>
  <c r="Y940" i="15"/>
  <c r="Y1022" i="15"/>
  <c r="Y961" i="15"/>
  <c r="Y863" i="15"/>
  <c r="Y1036" i="15"/>
  <c r="Y1131" i="15"/>
  <c r="Y1091" i="15"/>
  <c r="Y1075" i="15"/>
  <c r="R1150" i="15"/>
  <c r="R1094" i="15"/>
  <c r="Y936" i="15"/>
  <c r="Y928" i="15"/>
  <c r="X786" i="15"/>
  <c r="R740" i="15"/>
  <c r="Y934" i="15"/>
  <c r="R763" i="15"/>
  <c r="Y742" i="15"/>
  <c r="Y901" i="15"/>
  <c r="R802" i="15"/>
  <c r="Y777" i="15"/>
  <c r="Y751" i="15"/>
  <c r="Y884" i="15"/>
  <c r="Y1242" i="15"/>
  <c r="Y908" i="15"/>
  <c r="Y834" i="15"/>
  <c r="Y734" i="15"/>
  <c r="Y746" i="15"/>
  <c r="Y736" i="15"/>
  <c r="Y608" i="15"/>
  <c r="X876" i="15"/>
  <c r="Y814" i="15"/>
  <c r="Y757" i="15"/>
  <c r="Y1988" i="15"/>
  <c r="Y1955" i="15"/>
  <c r="Y1735" i="15"/>
  <c r="Y1945" i="15"/>
  <c r="Y1911" i="15"/>
  <c r="Y1078" i="15"/>
  <c r="Y2088" i="15"/>
  <c r="W1483" i="15"/>
  <c r="Y1283" i="15"/>
  <c r="R1588" i="15"/>
  <c r="W1300" i="15"/>
  <c r="Y1271" i="15"/>
  <c r="Y1239" i="15"/>
  <c r="Y1295" i="15"/>
  <c r="R1296" i="15"/>
  <c r="Y709" i="15"/>
  <c r="W1288" i="15"/>
  <c r="R1227" i="15"/>
  <c r="Y930" i="15"/>
  <c r="Y713" i="15"/>
  <c r="Y750" i="15"/>
  <c r="Y611" i="15"/>
  <c r="R1328" i="15"/>
  <c r="Y771" i="15"/>
  <c r="Y1449" i="15"/>
  <c r="W1324" i="15"/>
  <c r="Y698" i="15"/>
  <c r="X1191" i="15"/>
  <c r="Y1268" i="15"/>
  <c r="W1068" i="15"/>
  <c r="Y1502" i="15"/>
  <c r="Y1157" i="15"/>
  <c r="R888" i="15"/>
  <c r="R1475" i="15"/>
  <c r="R1139" i="15"/>
  <c r="Y1102" i="15"/>
  <c r="Y1101" i="15"/>
  <c r="Y1619" i="15"/>
  <c r="X1854" i="15"/>
  <c r="AD170" i="15"/>
  <c r="S322" i="15"/>
  <c r="X322" i="15" s="1"/>
  <c r="AD322" i="15"/>
  <c r="S473" i="15"/>
  <c r="X473" i="15" s="1"/>
  <c r="AD473" i="15"/>
  <c r="V473" i="15" s="1"/>
  <c r="T473" i="15" s="1"/>
  <c r="Y473" i="15" s="1"/>
  <c r="S493" i="15"/>
  <c r="X493" i="15" s="1"/>
  <c r="AD493" i="15"/>
  <c r="Y835" i="15"/>
  <c r="Y763" i="15"/>
  <c r="Y717" i="15"/>
  <c r="Y689" i="15"/>
  <c r="Y2139" i="15"/>
  <c r="Y1739" i="15"/>
  <c r="Y1831" i="15"/>
  <c r="Y1531" i="15"/>
  <c r="Y1291" i="15"/>
  <c r="Y1211" i="15"/>
  <c r="Y1932" i="15"/>
  <c r="Y2174" i="15"/>
  <c r="Y598" i="15"/>
  <c r="Y684" i="15"/>
  <c r="Y762" i="15"/>
  <c r="Y817" i="15"/>
  <c r="Y891" i="15"/>
  <c r="Y1110" i="15"/>
  <c r="Y1479" i="15"/>
  <c r="Y1714" i="15"/>
  <c r="Y1897" i="15"/>
  <c r="Y1948" i="15"/>
  <c r="Y1991" i="15"/>
  <c r="Y2017" i="15"/>
  <c r="Y1889" i="15"/>
  <c r="R486" i="15"/>
  <c r="W486" i="15" s="1"/>
  <c r="AD550" i="15"/>
  <c r="V550" i="15" s="1"/>
  <c r="T550" i="15" s="1"/>
  <c r="Y550" i="15" s="1"/>
  <c r="AD555" i="15"/>
  <c r="V555" i="15" s="1"/>
  <c r="T555" i="15" s="1"/>
  <c r="AD568" i="15"/>
  <c r="V568" i="15" s="1"/>
  <c r="T568" i="15" s="1"/>
  <c r="AD569" i="15"/>
  <c r="V569" i="15" s="1"/>
  <c r="T569" i="15" s="1"/>
  <c r="AD575" i="15"/>
  <c r="AD580" i="15"/>
  <c r="AD598" i="15"/>
  <c r="AD609" i="15"/>
  <c r="V609" i="15" s="1"/>
  <c r="T609" i="15" s="1"/>
  <c r="AD612" i="15"/>
  <c r="V612" i="15" s="1"/>
  <c r="T612" i="15" s="1"/>
  <c r="AD619" i="15"/>
  <c r="V619" i="15" s="1"/>
  <c r="T619" i="15" s="1"/>
  <c r="AD690" i="15"/>
  <c r="AD737" i="15"/>
  <c r="AD739" i="15"/>
  <c r="AD741" i="15"/>
  <c r="AD767" i="15"/>
  <c r="AD802" i="15"/>
  <c r="AD809" i="15"/>
  <c r="AD818" i="15"/>
  <c r="AD778" i="15"/>
  <c r="R783" i="15"/>
  <c r="AD785" i="15"/>
  <c r="AD786" i="15"/>
  <c r="AD791" i="15"/>
  <c r="AD798" i="15"/>
  <c r="AD827" i="15"/>
  <c r="AD831" i="15"/>
  <c r="AD835" i="15"/>
  <c r="AD843" i="15"/>
  <c r="AD848" i="15"/>
  <c r="AD855" i="15"/>
  <c r="R860" i="15"/>
  <c r="AD871" i="15"/>
  <c r="AD876" i="15"/>
  <c r="AD881" i="15"/>
  <c r="AD898" i="15"/>
  <c r="AD904" i="15"/>
  <c r="AD908" i="15"/>
  <c r="AD921" i="15"/>
  <c r="AD928" i="15"/>
  <c r="AD929" i="15"/>
  <c r="AD936" i="15"/>
  <c r="AD1079" i="15"/>
  <c r="AD1112" i="15"/>
  <c r="AD1124" i="15"/>
  <c r="AD1126" i="15"/>
  <c r="AD1131" i="15"/>
  <c r="AD1177" i="15"/>
  <c r="AD1216" i="15"/>
  <c r="AD1230" i="15"/>
  <c r="AD1262" i="15"/>
  <c r="AD1265" i="15"/>
  <c r="AD1280" i="15"/>
  <c r="AD1296" i="15"/>
  <c r="AD1303" i="15"/>
  <c r="AD1328" i="15"/>
  <c r="AD1370" i="15"/>
  <c r="AD1375" i="15"/>
  <c r="AD1446" i="15"/>
  <c r="AD1459" i="15"/>
  <c r="AD1465" i="15"/>
  <c r="AD1470" i="15"/>
  <c r="AD1480" i="15"/>
  <c r="AD1508" i="15"/>
  <c r="AD1547" i="15"/>
  <c r="AD1578" i="15"/>
  <c r="AD1582" i="15"/>
  <c r="AD1603" i="15"/>
  <c r="AD1606" i="15"/>
  <c r="AD1611" i="15"/>
  <c r="AD1634" i="15"/>
  <c r="AD1648" i="15"/>
  <c r="AD1652" i="15"/>
  <c r="AD1659" i="15"/>
  <c r="AD1752" i="15"/>
  <c r="AD1760" i="15"/>
  <c r="AD1851" i="15"/>
  <c r="AD1855" i="15"/>
  <c r="AD1871" i="15"/>
  <c r="R1879" i="15"/>
  <c r="AD1880" i="15"/>
  <c r="AD1906" i="15"/>
  <c r="AD1930" i="15"/>
  <c r="AD2010" i="15"/>
  <c r="AD2036" i="15"/>
  <c r="AD2045" i="15"/>
  <c r="AD2050" i="15"/>
  <c r="AD2060" i="15"/>
  <c r="AD2066" i="15"/>
  <c r="AD2069" i="15"/>
  <c r="AD2072" i="15"/>
  <c r="AD2073" i="15"/>
  <c r="AD2079" i="15"/>
  <c r="AD2091" i="15"/>
  <c r="AD2104" i="15"/>
  <c r="AD2111" i="15"/>
  <c r="AD2112" i="15"/>
  <c r="AD2116" i="15"/>
  <c r="AD2131" i="15"/>
  <c r="AD2246" i="15"/>
  <c r="AD2248" i="15"/>
  <c r="AD2249" i="15"/>
  <c r="AD2258" i="15"/>
  <c r="AM16" i="27"/>
  <c r="AB13" i="27" s="1"/>
  <c r="R531" i="15"/>
  <c r="W531" i="15" s="1"/>
  <c r="B68" i="14"/>
  <c r="A43" i="3"/>
  <c r="B50" i="14"/>
  <c r="B76" i="14"/>
  <c r="C30" i="17"/>
  <c r="I30" i="17" s="1"/>
  <c r="H39" i="17"/>
  <c r="E30" i="17"/>
  <c r="B40" i="17"/>
  <c r="B27" i="14"/>
  <c r="B66" i="14"/>
  <c r="C37" i="17"/>
  <c r="B29" i="14"/>
  <c r="B71" i="14"/>
  <c r="F32" i="17"/>
  <c r="I32" i="17" s="1"/>
  <c r="F37" i="17"/>
  <c r="C40" i="17"/>
  <c r="B82" i="14"/>
  <c r="F38" i="17"/>
  <c r="A44" i="3"/>
  <c r="A76" i="3"/>
  <c r="B100" i="14"/>
  <c r="A105" i="3"/>
  <c r="B172" i="14"/>
  <c r="B178" i="14"/>
  <c r="B103" i="17"/>
  <c r="B62" i="17"/>
  <c r="B95" i="17"/>
  <c r="C149" i="17"/>
  <c r="E150" i="17"/>
  <c r="B129" i="17"/>
  <c r="B116" i="17"/>
  <c r="F90" i="17"/>
  <c r="F93" i="17"/>
  <c r="I93" i="17" s="1"/>
  <c r="H41" i="17"/>
  <c r="E151" i="17"/>
  <c r="E92" i="17"/>
  <c r="H140" i="17"/>
  <c r="C103" i="17"/>
  <c r="F147" i="17"/>
  <c r="H96" i="17"/>
  <c r="F41" i="17"/>
  <c r="E97" i="17"/>
  <c r="H155" i="17"/>
  <c r="C53" i="17"/>
  <c r="B41" i="17"/>
  <c r="C150" i="17"/>
  <c r="B134" i="14"/>
  <c r="B160" i="14"/>
  <c r="B125" i="14"/>
  <c r="A102" i="3"/>
  <c r="A81" i="3"/>
  <c r="H16" i="17"/>
  <c r="A21" i="3"/>
  <c r="C23" i="17"/>
  <c r="I23" i="17" s="1"/>
  <c r="H8" i="17"/>
  <c r="A2" i="3"/>
  <c r="B12" i="14"/>
  <c r="B34" i="14"/>
  <c r="C8" i="17"/>
  <c r="H25" i="17"/>
  <c r="B92" i="14"/>
  <c r="B17" i="17"/>
  <c r="E39" i="17"/>
  <c r="A38" i="3"/>
  <c r="B30" i="14"/>
  <c r="B4" i="17"/>
  <c r="E20" i="17"/>
  <c r="F39" i="17"/>
  <c r="A60" i="3"/>
  <c r="B39" i="14"/>
  <c r="B67" i="14"/>
  <c r="C7" i="17"/>
  <c r="I7" i="17" s="1"/>
  <c r="B21" i="17"/>
  <c r="A9" i="3"/>
  <c r="B13" i="14"/>
  <c r="E7" i="17"/>
  <c r="F21" i="17"/>
  <c r="A25" i="3"/>
  <c r="E37" i="17"/>
  <c r="C26" i="17"/>
  <c r="C18" i="17"/>
  <c r="I18" i="17" s="1"/>
  <c r="F8" i="17"/>
  <c r="B83" i="14"/>
  <c r="B37" i="14"/>
  <c r="A57" i="3"/>
  <c r="B34" i="17"/>
  <c r="B26" i="17"/>
  <c r="B18" i="17"/>
  <c r="H6" i="17"/>
  <c r="E28" i="17"/>
  <c r="B13" i="17"/>
  <c r="B77" i="14"/>
  <c r="B48" i="14"/>
  <c r="B11" i="14"/>
  <c r="A18" i="3"/>
  <c r="E31" i="17"/>
  <c r="E15" i="17"/>
  <c r="B64" i="14"/>
  <c r="B80" i="14"/>
  <c r="E9" i="17"/>
  <c r="E17" i="17"/>
  <c r="B27" i="17"/>
  <c r="B35" i="17"/>
  <c r="F17" i="17"/>
  <c r="C27" i="17"/>
  <c r="I27" i="17" s="1"/>
  <c r="C35" i="17"/>
  <c r="A48" i="3"/>
  <c r="B15" i="14"/>
  <c r="B49" i="14"/>
  <c r="C5" i="17"/>
  <c r="I5" i="17" s="1"/>
  <c r="F19" i="17"/>
  <c r="H30" i="17"/>
  <c r="E40" i="17"/>
  <c r="B59" i="14"/>
  <c r="E5" i="17"/>
  <c r="B15" i="17"/>
  <c r="H27" i="17"/>
  <c r="F40" i="17"/>
  <c r="H24" i="17"/>
  <c r="A41" i="3"/>
  <c r="E27" i="17"/>
  <c r="C4" i="17"/>
  <c r="B44" i="14"/>
  <c r="B10" i="14"/>
  <c r="C33" i="17"/>
  <c r="I33" i="17" s="1"/>
  <c r="B12" i="17"/>
  <c r="B35" i="14"/>
  <c r="A30" i="3"/>
  <c r="F26" i="17"/>
  <c r="E6" i="17"/>
  <c r="E19" i="17"/>
  <c r="B84" i="14"/>
  <c r="A11" i="3"/>
  <c r="B36" i="17"/>
  <c r="B8" i="14"/>
  <c r="M8" i="14" s="1"/>
  <c r="B6" i="17"/>
  <c r="A90" i="3"/>
  <c r="B127" i="14"/>
  <c r="B179" i="14"/>
  <c r="C80" i="17"/>
  <c r="C50" i="17"/>
  <c r="C82" i="17"/>
  <c r="B87" i="17"/>
  <c r="B130" i="17"/>
  <c r="B72" i="17"/>
  <c r="E69" i="17"/>
  <c r="E138" i="17"/>
  <c r="H146" i="17"/>
  <c r="H153" i="17"/>
  <c r="C25" i="17"/>
  <c r="F10" i="17"/>
  <c r="B22" i="14"/>
  <c r="A53" i="3"/>
  <c r="A10" i="3"/>
  <c r="C28" i="17"/>
  <c r="E10" i="17"/>
  <c r="B57" i="14"/>
  <c r="B7" i="14"/>
  <c r="B73" i="14"/>
  <c r="B94" i="14"/>
  <c r="B11" i="17"/>
  <c r="F20" i="17"/>
  <c r="F28" i="17"/>
  <c r="F36" i="17"/>
  <c r="H20" i="17"/>
  <c r="H28" i="17"/>
  <c r="H36" i="17"/>
  <c r="A64" i="3"/>
  <c r="B18" i="14"/>
  <c r="B62" i="14"/>
  <c r="B10" i="17"/>
  <c r="C21" i="17"/>
  <c r="E32" i="17"/>
  <c r="B4" i="14"/>
  <c r="B60" i="14"/>
  <c r="B7" i="17"/>
  <c r="H19" i="17"/>
  <c r="B31" i="17"/>
  <c r="A33" i="3"/>
  <c r="E18" i="17"/>
  <c r="B58" i="14"/>
  <c r="A16" i="3"/>
  <c r="H17" i="17"/>
  <c r="B87" i="14"/>
  <c r="M87" i="14" s="1"/>
  <c r="B41" i="14"/>
  <c r="A50" i="3"/>
  <c r="H26" i="17"/>
  <c r="C9" i="17"/>
  <c r="I9" i="17" s="1"/>
  <c r="B24" i="14"/>
  <c r="A14" i="3"/>
  <c r="C20" i="17"/>
  <c r="B52" i="14"/>
  <c r="C16" i="17"/>
  <c r="B65" i="14"/>
  <c r="A5" i="3"/>
  <c r="E26" i="17"/>
  <c r="A3" i="3"/>
  <c r="A96" i="3"/>
  <c r="B143" i="14"/>
  <c r="B141" i="14"/>
  <c r="B86" i="17"/>
  <c r="C63" i="17"/>
  <c r="B73" i="17"/>
  <c r="B155" i="17"/>
  <c r="F116" i="17"/>
  <c r="C120" i="17"/>
  <c r="H63" i="17"/>
  <c r="F150" i="17"/>
  <c r="H94" i="17"/>
  <c r="H93" i="17"/>
  <c r="N47" i="21"/>
  <c r="R47" i="21"/>
  <c r="P47" i="21"/>
  <c r="R55" i="21"/>
  <c r="O63" i="21"/>
  <c r="I63" i="21"/>
  <c r="R71" i="21"/>
  <c r="I87" i="21"/>
  <c r="K111" i="21"/>
  <c r="O111" i="21"/>
  <c r="L127" i="21"/>
  <c r="I151" i="21"/>
  <c r="H63" i="21"/>
  <c r="H47" i="21"/>
  <c r="M47" i="21"/>
  <c r="Q47" i="21"/>
  <c r="P55" i="21"/>
  <c r="K63" i="21"/>
  <c r="J87" i="21"/>
  <c r="R111" i="21"/>
  <c r="H55" i="21"/>
  <c r="P111" i="21"/>
  <c r="R529" i="15"/>
  <c r="W529" i="15" s="1"/>
  <c r="T508" i="15"/>
  <c r="Y508" i="15" s="1"/>
  <c r="T505" i="15"/>
  <c r="Y505" i="15" s="1"/>
  <c r="T514" i="15"/>
  <c r="Y514" i="15" s="1"/>
  <c r="T523" i="15"/>
  <c r="Y523" i="15" s="1"/>
  <c r="T77" i="15"/>
  <c r="Y77" i="15" s="1"/>
  <c r="AC1655" i="15"/>
  <c r="R1655" i="15"/>
  <c r="R1659" i="15"/>
  <c r="W1662" i="15"/>
  <c r="X1662" i="15"/>
  <c r="X2253" i="15"/>
  <c r="W2253" i="15"/>
  <c r="X2257" i="15"/>
  <c r="W2257" i="15"/>
  <c r="W2259" i="15"/>
  <c r="X2259" i="15"/>
  <c r="AC2262" i="15"/>
  <c r="R2262" i="15"/>
  <c r="W2263" i="15"/>
  <c r="X2263" i="15"/>
  <c r="X2265" i="15"/>
  <c r="W2265" i="15"/>
  <c r="X2267" i="15"/>
  <c r="W2267" i="15"/>
  <c r="W2271" i="15"/>
  <c r="X2271" i="15"/>
  <c r="AD2273" i="15"/>
  <c r="AC2274" i="15"/>
  <c r="R2274" i="15"/>
  <c r="T259" i="15"/>
  <c r="Y259" i="15" s="1"/>
  <c r="T326" i="15"/>
  <c r="Y326" i="15" s="1"/>
  <c r="T283" i="15"/>
  <c r="R2254" i="15"/>
  <c r="X2251" i="15"/>
  <c r="W2261" i="15"/>
  <c r="X1047" i="15"/>
  <c r="W1047" i="15"/>
  <c r="AC1048" i="15"/>
  <c r="R1048" i="15"/>
  <c r="X1051" i="15"/>
  <c r="W1051" i="15"/>
  <c r="W1055" i="15"/>
  <c r="X1055" i="15"/>
  <c r="X1056" i="15"/>
  <c r="W1056" i="15"/>
  <c r="AC1057" i="15"/>
  <c r="R1057" i="15"/>
  <c r="AC1062" i="15"/>
  <c r="R1062" i="15"/>
  <c r="AC1067" i="15"/>
  <c r="R1067" i="15"/>
  <c r="W1070" i="15"/>
  <c r="X1070" i="15"/>
  <c r="X1076" i="15"/>
  <c r="W1076" i="15"/>
  <c r="W1080" i="15"/>
  <c r="X1080" i="15"/>
  <c r="W1086" i="15"/>
  <c r="X1086" i="15"/>
  <c r="W1087" i="15"/>
  <c r="X1087" i="15"/>
  <c r="X1088" i="15"/>
  <c r="W1088" i="15"/>
  <c r="AC1090" i="15"/>
  <c r="R1090" i="15"/>
  <c r="X1113" i="15"/>
  <c r="W1113" i="15"/>
  <c r="W1114" i="15"/>
  <c r="X1114" i="15"/>
  <c r="AC1115" i="15"/>
  <c r="R1115" i="15"/>
  <c r="AC1136" i="15"/>
  <c r="R1136" i="15"/>
  <c r="W1150" i="15"/>
  <c r="X1150" i="15"/>
  <c r="X1154" i="15"/>
  <c r="W1154" i="15"/>
  <c r="R1155" i="15"/>
  <c r="AC1155" i="15"/>
  <c r="X1158" i="15"/>
  <c r="W1158" i="15"/>
  <c r="R1159" i="15"/>
  <c r="AC1159" i="15"/>
  <c r="W1162" i="15"/>
  <c r="X1162" i="15"/>
  <c r="R1163" i="15"/>
  <c r="AC1163" i="15"/>
  <c r="AC1164" i="15"/>
  <c r="R1164" i="15"/>
  <c r="W1167" i="15"/>
  <c r="X1167" i="15"/>
  <c r="AC1171" i="15"/>
  <c r="R1171" i="15"/>
  <c r="X1175" i="15"/>
  <c r="W1175" i="15"/>
  <c r="AC1176" i="15"/>
  <c r="R1176" i="15"/>
  <c r="AC1183" i="15"/>
  <c r="R1183" i="15"/>
  <c r="X1186" i="15"/>
  <c r="W1186" i="15"/>
  <c r="AC1189" i="15"/>
  <c r="R1189" i="15"/>
  <c r="X1192" i="15"/>
  <c r="W1192" i="15"/>
  <c r="R1195" i="15"/>
  <c r="AC1195" i="15"/>
  <c r="AC1199" i="15"/>
  <c r="R1199" i="15"/>
  <c r="W1202" i="15"/>
  <c r="X1202" i="15"/>
  <c r="W1206" i="15"/>
  <c r="X1206" i="15"/>
  <c r="W1243" i="15"/>
  <c r="X1243" i="15"/>
  <c r="R1244" i="15"/>
  <c r="AC1244" i="15"/>
  <c r="X1247" i="15"/>
  <c r="W1247" i="15"/>
  <c r="AC1248" i="15"/>
  <c r="R1248" i="15"/>
  <c r="X1251" i="15"/>
  <c r="W1251" i="15"/>
  <c r="AC1256" i="15"/>
  <c r="R1256" i="15"/>
  <c r="X1269" i="15"/>
  <c r="W1269" i="15"/>
  <c r="AC1273" i="15"/>
  <c r="R1273" i="15"/>
  <c r="W1277" i="15"/>
  <c r="X1277" i="15"/>
  <c r="AC1278" i="15"/>
  <c r="R1278" i="15"/>
  <c r="X1281" i="15"/>
  <c r="W1281" i="15"/>
  <c r="W1285" i="15"/>
  <c r="X1285" i="15"/>
  <c r="X1292" i="15"/>
  <c r="W1292" i="15"/>
  <c r="AD1293" i="15"/>
  <c r="R1293" i="15"/>
  <c r="W1310" i="15"/>
  <c r="X1310" i="15"/>
  <c r="R1311" i="15"/>
  <c r="AC1311" i="15"/>
  <c r="X1314" i="15"/>
  <c r="W1314" i="15"/>
  <c r="R1315" i="15"/>
  <c r="AD1315" i="15"/>
  <c r="AC1316" i="15"/>
  <c r="R1316" i="15"/>
  <c r="X1319" i="15"/>
  <c r="W1319" i="15"/>
  <c r="AC1321" i="15"/>
  <c r="R1321" i="15"/>
  <c r="AC1322" i="15"/>
  <c r="R1322" i="15"/>
  <c r="X1325" i="15"/>
  <c r="W1325" i="15"/>
  <c r="R1326" i="15"/>
  <c r="AC1326" i="15"/>
  <c r="X1329" i="15"/>
  <c r="W1329" i="15"/>
  <c r="X1379" i="15"/>
  <c r="W1379" i="15"/>
  <c r="AD1386" i="15"/>
  <c r="R1386" i="15"/>
  <c r="AC1387" i="15"/>
  <c r="R1387" i="15"/>
  <c r="X1389" i="15"/>
  <c r="W1389" i="15"/>
  <c r="AD1394" i="15"/>
  <c r="R1394" i="15"/>
  <c r="AC1413" i="15"/>
  <c r="R1413" i="15"/>
  <c r="W1416" i="15"/>
  <c r="X1416" i="15"/>
  <c r="AC1417" i="15"/>
  <c r="R1417" i="15"/>
  <c r="AC1421" i="15"/>
  <c r="R1421" i="15"/>
  <c r="X1425" i="15"/>
  <c r="W1425" i="15"/>
  <c r="AC1426" i="15"/>
  <c r="R1426" i="15"/>
  <c r="AC1429" i="15"/>
  <c r="R1429" i="15"/>
  <c r="X1432" i="15"/>
  <c r="W1432" i="15"/>
  <c r="AC1434" i="15"/>
  <c r="R1434" i="15"/>
  <c r="AD1437" i="15"/>
  <c r="R1437" i="15"/>
  <c r="R1444" i="15"/>
  <c r="AC1444" i="15"/>
  <c r="X1451" i="15"/>
  <c r="W1451" i="15"/>
  <c r="AC1457" i="15"/>
  <c r="R1457" i="15"/>
  <c r="X1466" i="15"/>
  <c r="W1466" i="15"/>
  <c r="AC1468" i="15"/>
  <c r="R1468" i="15"/>
  <c r="AC1472" i="15"/>
  <c r="R1472" i="15"/>
  <c r="X1476" i="15"/>
  <c r="W1476" i="15"/>
  <c r="AC1477" i="15"/>
  <c r="R1477" i="15"/>
  <c r="X1481" i="15"/>
  <c r="W1481" i="15"/>
  <c r="W1484" i="15"/>
  <c r="X1484" i="15"/>
  <c r="X1490" i="15"/>
  <c r="W1490" i="15"/>
  <c r="X1491" i="15"/>
  <c r="W1491" i="15"/>
  <c r="AC1493" i="15"/>
  <c r="R1493" i="15"/>
  <c r="AC1501" i="15"/>
  <c r="R1501" i="15"/>
  <c r="X1504" i="15"/>
  <c r="W1504" i="15"/>
  <c r="R1505" i="15"/>
  <c r="AD1505" i="15"/>
  <c r="X1509" i="15"/>
  <c r="W1509" i="15"/>
  <c r="X1513" i="15"/>
  <c r="W1513" i="15"/>
  <c r="X1514" i="15"/>
  <c r="W1514" i="15"/>
  <c r="R1519" i="15"/>
  <c r="AC1519" i="15"/>
  <c r="AC1525" i="15"/>
  <c r="R1525" i="15"/>
  <c r="X1528" i="15"/>
  <c r="W1528" i="15"/>
  <c r="X1529" i="15"/>
  <c r="W1529" i="15"/>
  <c r="X1533" i="15"/>
  <c r="W1533" i="15"/>
  <c r="X1534" i="15"/>
  <c r="W1534" i="15"/>
  <c r="AC1545" i="15"/>
  <c r="R1545" i="15"/>
  <c r="X1548" i="15"/>
  <c r="W1548" i="15"/>
  <c r="AC1549" i="15"/>
  <c r="R1549" i="15"/>
  <c r="X1554" i="15"/>
  <c r="W1554" i="15"/>
  <c r="R1555" i="15"/>
  <c r="X1562" i="15"/>
  <c r="W1562" i="15"/>
  <c r="AC1563" i="15"/>
  <c r="R1563" i="15"/>
  <c r="AC1572" i="15"/>
  <c r="R1572" i="15"/>
  <c r="X1575" i="15"/>
  <c r="W1575" i="15"/>
  <c r="W1579" i="15"/>
  <c r="X1579" i="15"/>
  <c r="X1588" i="15"/>
  <c r="W1588" i="15"/>
  <c r="W1592" i="15"/>
  <c r="X1592" i="15"/>
  <c r="AC1597" i="15"/>
  <c r="R1597" i="15"/>
  <c r="X1600" i="15"/>
  <c r="W1600" i="15"/>
  <c r="AD1601" i="15"/>
  <c r="R1601" i="15"/>
  <c r="R1602" i="15"/>
  <c r="AC1603" i="15"/>
  <c r="R1603" i="15"/>
  <c r="AC1609" i="15"/>
  <c r="R1609" i="15"/>
  <c r="AC1613" i="15"/>
  <c r="R1613" i="15"/>
  <c r="X1616" i="15"/>
  <c r="W1616" i="15"/>
  <c r="R1618" i="15"/>
  <c r="X1623" i="15"/>
  <c r="W1623" i="15"/>
  <c r="W1624" i="15"/>
  <c r="X1624" i="15"/>
  <c r="X1625" i="15"/>
  <c r="W1625" i="15"/>
  <c r="R1627" i="15"/>
  <c r="AC1627" i="15"/>
  <c r="X1629" i="15"/>
  <c r="W1629" i="15"/>
  <c r="R1632" i="15"/>
  <c r="AC1632" i="15"/>
  <c r="X1635" i="15"/>
  <c r="W1635" i="15"/>
  <c r="W1636" i="15"/>
  <c r="X1636" i="15"/>
  <c r="AC1641" i="15"/>
  <c r="R1641" i="15"/>
  <c r="X1644" i="15"/>
  <c r="W1644" i="15"/>
  <c r="X1648" i="15"/>
  <c r="W1648" i="15"/>
  <c r="X1653" i="15"/>
  <c r="W1653" i="15"/>
  <c r="AC1793" i="15"/>
  <c r="R1793" i="15"/>
  <c r="X1796" i="15"/>
  <c r="W1796" i="15"/>
  <c r="AC1797" i="15"/>
  <c r="R1797" i="15"/>
  <c r="W77" i="15"/>
  <c r="T273" i="15"/>
  <c r="Y273" i="15" s="1"/>
  <c r="T328" i="15"/>
  <c r="AB328" i="15" s="1"/>
  <c r="T339" i="15"/>
  <c r="Y339" i="15" s="1"/>
  <c r="T279" i="15"/>
  <c r="Y279" i="15" s="1"/>
  <c r="T230" i="15"/>
  <c r="Y230" i="15" s="1"/>
  <c r="W2246" i="15"/>
  <c r="Y2255" i="15"/>
  <c r="X2275" i="15"/>
  <c r="Y2265" i="15"/>
  <c r="W1658" i="15"/>
  <c r="R2250" i="15"/>
  <c r="AC1659" i="15"/>
  <c r="R1182" i="15"/>
  <c r="Y1070" i="15"/>
  <c r="R2258" i="15"/>
  <c r="R1082" i="15"/>
  <c r="X1180" i="15"/>
  <c r="X1663" i="15"/>
  <c r="W1663" i="15"/>
  <c r="X1673" i="15"/>
  <c r="W1673" i="15"/>
  <c r="AC1678" i="15"/>
  <c r="R1678" i="15"/>
  <c r="X1689" i="15"/>
  <c r="W1689" i="15"/>
  <c r="AC1695" i="15"/>
  <c r="R1695" i="15"/>
  <c r="R1699" i="15"/>
  <c r="AC1699" i="15"/>
  <c r="W1702" i="15"/>
  <c r="X1702" i="15"/>
  <c r="AC1708" i="15"/>
  <c r="R1708" i="15"/>
  <c r="X1712" i="15"/>
  <c r="W1712" i="15"/>
  <c r="W1715" i="15"/>
  <c r="X1715" i="15"/>
  <c r="R1716" i="15"/>
  <c r="AC1718" i="15"/>
  <c r="R1718" i="15"/>
  <c r="AC1723" i="15"/>
  <c r="R1723" i="15"/>
  <c r="W1726" i="15"/>
  <c r="X1726" i="15"/>
  <c r="R1727" i="15"/>
  <c r="X1730" i="15"/>
  <c r="W1730" i="15"/>
  <c r="AC1742" i="15"/>
  <c r="R1742" i="15"/>
  <c r="X1744" i="15"/>
  <c r="W1744" i="15"/>
  <c r="R1745" i="15"/>
  <c r="AC1745" i="15"/>
  <c r="AC1746" i="15"/>
  <c r="R1746" i="15"/>
  <c r="W1749" i="15"/>
  <c r="X1749" i="15"/>
  <c r="AC1750" i="15"/>
  <c r="R1750" i="15"/>
  <c r="R1753" i="15"/>
  <c r="AC1753" i="15"/>
  <c r="AC1754" i="15"/>
  <c r="R1754" i="15"/>
  <c r="W1760" i="15"/>
  <c r="X1760" i="15"/>
  <c r="AC1768" i="15"/>
  <c r="R1768" i="15"/>
  <c r="W1771" i="15"/>
  <c r="X1771" i="15"/>
  <c r="X1775" i="15"/>
  <c r="W1775" i="15"/>
  <c r="R1778" i="15"/>
  <c r="R1782" i="15"/>
  <c r="Y2253" i="15"/>
  <c r="Y1707" i="15"/>
  <c r="Y1689" i="15"/>
  <c r="Y1533" i="15"/>
  <c r="Y1566" i="15"/>
  <c r="Y1509" i="15"/>
  <c r="Y1662" i="15"/>
  <c r="Y1752" i="15"/>
  <c r="Y1492" i="15"/>
  <c r="Y1571" i="15"/>
  <c r="Y1640" i="15"/>
  <c r="Y1548" i="15"/>
  <c r="Y1575" i="15"/>
  <c r="Y1466" i="15"/>
  <c r="Y1456" i="15"/>
  <c r="Y1538" i="15"/>
  <c r="Y1154" i="15"/>
  <c r="Y1186" i="15"/>
  <c r="R376" i="15"/>
  <c r="W376" i="15" s="1"/>
  <c r="Y1760" i="15"/>
  <c r="Y1767" i="15"/>
  <c r="Y1175" i="15"/>
  <c r="AD485" i="15"/>
  <c r="V485" i="15" s="1"/>
  <c r="T485" i="15" s="1"/>
  <c r="Y1588" i="15"/>
  <c r="Y1065" i="15"/>
  <c r="Y1713" i="15"/>
  <c r="AC953" i="15"/>
  <c r="R953" i="15"/>
  <c r="W1097" i="15"/>
  <c r="X1097" i="15"/>
  <c r="AC2257" i="15"/>
  <c r="R2257" i="15"/>
  <c r="Y2263" i="15"/>
  <c r="Y1702" i="15"/>
  <c r="Y1649" i="15"/>
  <c r="Y1554" i="15"/>
  <c r="Y1658" i="15"/>
  <c r="Y1481" i="15"/>
  <c r="Y1400" i="15"/>
  <c r="Y1306" i="15"/>
  <c r="Y1730" i="15"/>
  <c r="Y1325" i="15"/>
  <c r="Y1243" i="15"/>
  <c r="Y1682" i="15"/>
  <c r="Y1504" i="15"/>
  <c r="AD399" i="15"/>
  <c r="AD234" i="15"/>
  <c r="V234" i="15" s="1"/>
  <c r="T234" i="15" s="1"/>
  <c r="Y234" i="15" s="1"/>
  <c r="AD90" i="15"/>
  <c r="V90" i="15" s="1"/>
  <c r="T90" i="15" s="1"/>
  <c r="Y90" i="15" s="1"/>
  <c r="AD13" i="15"/>
  <c r="AD190" i="15"/>
  <c r="V190" i="15" s="1"/>
  <c r="T190" i="15" s="1"/>
  <c r="Y190" i="15" s="1"/>
  <c r="Y1796" i="15"/>
  <c r="Y2267" i="15"/>
  <c r="Y1476" i="15"/>
  <c r="Y1146" i="15"/>
  <c r="Y1528" i="15"/>
  <c r="AD397" i="15"/>
  <c r="Y1088" i="15"/>
  <c r="Y1471" i="15"/>
  <c r="Y1624" i="15"/>
  <c r="S11" i="15"/>
  <c r="X11" i="15" s="1"/>
  <c r="AD11" i="15"/>
  <c r="V11" i="15" s="1"/>
  <c r="T11" i="15" s="1"/>
  <c r="S47" i="15"/>
  <c r="X47" i="15" s="1"/>
  <c r="AD47" i="15"/>
  <c r="V47" i="15" s="1"/>
  <c r="T47" i="15" s="1"/>
  <c r="Y47" i="15" s="1"/>
  <c r="S54" i="15"/>
  <c r="X54" i="15" s="1"/>
  <c r="AD54" i="15"/>
  <c r="V54" i="15" s="1"/>
  <c r="T54" i="15" s="1"/>
  <c r="Y54" i="15" s="1"/>
  <c r="Q69" i="15"/>
  <c r="R69" i="15"/>
  <c r="S278" i="15"/>
  <c r="X278" i="15" s="1"/>
  <c r="AD278" i="15"/>
  <c r="V278" i="15" s="1"/>
  <c r="T278" i="15" s="1"/>
  <c r="Y278" i="15" s="1"/>
  <c r="Q297" i="15"/>
  <c r="R297" i="15"/>
  <c r="Q313" i="15"/>
  <c r="AD313" i="15"/>
  <c r="V313" i="15" s="1"/>
  <c r="S319" i="15"/>
  <c r="X319" i="15" s="1"/>
  <c r="AD319" i="15"/>
  <c r="V319" i="15" s="1"/>
  <c r="T319" i="15" s="1"/>
  <c r="C166" i="22" s="1"/>
  <c r="D166" i="22" s="1"/>
  <c r="AC390" i="15"/>
  <c r="R390" i="15"/>
  <c r="W390" i="15" s="1"/>
  <c r="S393" i="15"/>
  <c r="X393" i="15" s="1"/>
  <c r="AD393" i="15"/>
  <c r="AC394" i="15"/>
  <c r="R394" i="15"/>
  <c r="Q412" i="15"/>
  <c r="X412" i="15" s="1"/>
  <c r="AD412" i="15"/>
  <c r="V412" i="15" s="1"/>
  <c r="R412" i="15"/>
  <c r="Q419" i="15"/>
  <c r="R419" i="15"/>
  <c r="Q451" i="15"/>
  <c r="R451" i="15"/>
  <c r="S466" i="15"/>
  <c r="X466" i="15" s="1"/>
  <c r="AD466" i="15"/>
  <c r="V466" i="15" s="1"/>
  <c r="T466" i="15" s="1"/>
  <c r="AC475" i="15"/>
  <c r="R475" i="15"/>
  <c r="W475" i="15" s="1"/>
  <c r="X478" i="15"/>
  <c r="S518" i="15"/>
  <c r="X518" i="15" s="1"/>
  <c r="AD518" i="15"/>
  <c r="V518" i="15" s="1"/>
  <c r="T518" i="15" s="1"/>
  <c r="Y518" i="15" s="1"/>
  <c r="T520" i="15"/>
  <c r="Y520" i="15" s="1"/>
  <c r="S522" i="15"/>
  <c r="X522" i="15" s="1"/>
  <c r="AD522" i="15"/>
  <c r="S525" i="15"/>
  <c r="X525" i="15" s="1"/>
  <c r="AD525" i="15"/>
  <c r="V525" i="15" s="1"/>
  <c r="T525" i="15" s="1"/>
  <c r="S529" i="15"/>
  <c r="X529" i="15" s="1"/>
  <c r="AD529" i="15"/>
  <c r="V529" i="15" s="1"/>
  <c r="T529" i="15" s="1"/>
  <c r="AC530" i="15"/>
  <c r="R530" i="15"/>
  <c r="W530" i="15" s="1"/>
  <c r="AD533" i="15"/>
  <c r="V533" i="15" s="1"/>
  <c r="T533" i="15" s="1"/>
  <c r="AC541" i="15"/>
  <c r="W548" i="15"/>
  <c r="X548" i="15"/>
  <c r="AC554" i="15"/>
  <c r="U554" i="15" s="1"/>
  <c r="T554" i="15" s="1"/>
  <c r="Y554" i="15" s="1"/>
  <c r="R554" i="15"/>
  <c r="W554" i="15" s="1"/>
  <c r="W565" i="15"/>
  <c r="X565" i="15"/>
  <c r="AC566" i="15"/>
  <c r="R566" i="15"/>
  <c r="W566" i="15" s="1"/>
  <c r="X586" i="15"/>
  <c r="W586" i="15"/>
  <c r="W597" i="15"/>
  <c r="X597" i="15"/>
  <c r="AC600" i="15"/>
  <c r="R600" i="15"/>
  <c r="W600" i="15" s="1"/>
  <c r="X607" i="15"/>
  <c r="W607" i="15"/>
  <c r="AC615" i="15"/>
  <c r="R615" i="15"/>
  <c r="W615" i="15" s="1"/>
  <c r="W622" i="15"/>
  <c r="X622" i="15"/>
  <c r="W639" i="15"/>
  <c r="X639" i="15"/>
  <c r="AC684" i="15"/>
  <c r="R684" i="15"/>
  <c r="W684" i="15" s="1"/>
  <c r="X688" i="15"/>
  <c r="W688" i="15"/>
  <c r="X696" i="15"/>
  <c r="W696" i="15"/>
  <c r="R698" i="15"/>
  <c r="W698" i="15" s="1"/>
  <c r="AC698" i="15"/>
  <c r="AC700" i="15"/>
  <c r="R700" i="15"/>
  <c r="X703" i="15"/>
  <c r="W703" i="15"/>
  <c r="W707" i="15"/>
  <c r="X707" i="15"/>
  <c r="W722" i="15"/>
  <c r="X722" i="15"/>
  <c r="R729" i="15"/>
  <c r="R744" i="15"/>
  <c r="AD749" i="15"/>
  <c r="W756" i="15"/>
  <c r="X756" i="15"/>
  <c r="AC762" i="15"/>
  <c r="R762" i="15"/>
  <c r="W784" i="15"/>
  <c r="X784" i="15"/>
  <c r="W791" i="15"/>
  <c r="X791" i="15"/>
  <c r="X804" i="15"/>
  <c r="W804" i="15"/>
  <c r="X811" i="15"/>
  <c r="W811" i="15"/>
  <c r="AC823" i="15"/>
  <c r="R823" i="15"/>
  <c r="R827" i="15"/>
  <c r="AC827" i="15"/>
  <c r="AC835" i="15"/>
  <c r="R835" i="15"/>
  <c r="X839" i="15"/>
  <c r="W839" i="15"/>
  <c r="AD844" i="15"/>
  <c r="AC844" i="15"/>
  <c r="R844" i="15"/>
  <c r="AD850" i="15"/>
  <c r="R851" i="15"/>
  <c r="AD852" i="15"/>
  <c r="R856" i="15"/>
  <c r="AD856" i="15"/>
  <c r="AD862" i="15"/>
  <c r="X884" i="15"/>
  <c r="W884" i="15"/>
  <c r="AC884" i="15"/>
  <c r="R884" i="15"/>
  <c r="R898" i="15"/>
  <c r="AC914" i="15"/>
  <c r="R914" i="15"/>
  <c r="R929" i="15"/>
  <c r="AC929" i="15"/>
  <c r="R933" i="15"/>
  <c r="W949" i="15"/>
  <c r="X949" i="15"/>
  <c r="W965" i="15"/>
  <c r="X965" i="15"/>
  <c r="AC967" i="15"/>
  <c r="R967" i="15"/>
  <c r="X1803" i="15"/>
  <c r="W1803" i="15"/>
  <c r="AC1836" i="15"/>
  <c r="R1836" i="15"/>
  <c r="AC1840" i="15"/>
  <c r="R1840" i="15"/>
  <c r="W1862" i="15"/>
  <c r="X1862" i="15"/>
  <c r="AC1932" i="15"/>
  <c r="R1932" i="15"/>
  <c r="AC1936" i="15"/>
  <c r="R1936" i="15"/>
  <c r="AC1940" i="15"/>
  <c r="R1940" i="15"/>
  <c r="W1941" i="15"/>
  <c r="X1941" i="15"/>
  <c r="AC1949" i="15"/>
  <c r="R1949" i="15"/>
  <c r="R1956" i="15"/>
  <c r="W1976" i="15"/>
  <c r="X1976" i="15"/>
  <c r="R1983" i="15"/>
  <c r="AC1987" i="15"/>
  <c r="R1987" i="15"/>
  <c r="AC2004" i="15"/>
  <c r="R2004" i="15"/>
  <c r="X2017" i="15"/>
  <c r="W2017" i="15"/>
  <c r="X2023" i="15"/>
  <c r="W2023" i="15"/>
  <c r="R2031" i="15"/>
  <c r="AC2045" i="15"/>
  <c r="R2045" i="15"/>
  <c r="W2067" i="15"/>
  <c r="X2067" i="15"/>
  <c r="W2111" i="15"/>
  <c r="X2111" i="15"/>
  <c r="W2164" i="15"/>
  <c r="X2164" i="15"/>
  <c r="AD2168" i="15"/>
  <c r="W2172" i="15"/>
  <c r="X2172" i="15"/>
  <c r="AC2180" i="15"/>
  <c r="R2180" i="15"/>
  <c r="R2204" i="15"/>
  <c r="W2224" i="15"/>
  <c r="X2224" i="15"/>
  <c r="Y1314" i="15"/>
  <c r="Y1630" i="15"/>
  <c r="Y2246" i="15"/>
  <c r="Y1524" i="15"/>
  <c r="Y1558" i="15"/>
  <c r="Y1320" i="15"/>
  <c r="Y2251" i="15"/>
  <c r="Y1047" i="15"/>
  <c r="Y1726" i="15"/>
  <c r="Y1114" i="15"/>
  <c r="Y1263" i="15"/>
  <c r="Y1080" i="15"/>
  <c r="Y1513" i="15"/>
  <c r="S15" i="15"/>
  <c r="X15" i="15" s="1"/>
  <c r="AD15" i="15"/>
  <c r="S21" i="15"/>
  <c r="X21" i="15" s="1"/>
  <c r="AD21" i="15"/>
  <c r="R88" i="15"/>
  <c r="W88" i="15" s="1"/>
  <c r="AD88" i="15"/>
  <c r="S97" i="15"/>
  <c r="X97" i="15" s="1"/>
  <c r="AD97" i="15"/>
  <c r="V97" i="15" s="1"/>
  <c r="T97" i="15" s="1"/>
  <c r="Y97" i="15" s="1"/>
  <c r="S156" i="15"/>
  <c r="X156" i="15" s="1"/>
  <c r="AD156" i="15"/>
  <c r="V156" i="15" s="1"/>
  <c r="T156" i="15" s="1"/>
  <c r="Y156" i="15" s="1"/>
  <c r="R160" i="15"/>
  <c r="Q160" i="15"/>
  <c r="S228" i="15"/>
  <c r="X228" i="15" s="1"/>
  <c r="AD228" i="15"/>
  <c r="V228" i="15" s="1"/>
  <c r="T228" i="15" s="1"/>
  <c r="Y228" i="15" s="1"/>
  <c r="Q239" i="15"/>
  <c r="R239" i="15"/>
  <c r="S262" i="15"/>
  <c r="X262" i="15" s="1"/>
  <c r="AD262" i="15"/>
  <c r="V262" i="15" s="1"/>
  <c r="T262" i="15" s="1"/>
  <c r="Y262" i="15" s="1"/>
  <c r="S390" i="15"/>
  <c r="X390" i="15" s="1"/>
  <c r="AD390" i="15"/>
  <c r="V390" i="15" s="1"/>
  <c r="T390" i="15" s="1"/>
  <c r="D87" i="21" s="1"/>
  <c r="F87" i="21" s="1"/>
  <c r="Q394" i="15"/>
  <c r="V394" i="15"/>
  <c r="S414" i="15"/>
  <c r="X414" i="15" s="1"/>
  <c r="AD414" i="15"/>
  <c r="V414" i="15" s="1"/>
  <c r="T414" i="15" s="1"/>
  <c r="Y414" i="15" s="1"/>
  <c r="R431" i="15"/>
  <c r="W431" i="15" s="1"/>
  <c r="AC431" i="15"/>
  <c r="S434" i="15"/>
  <c r="X434" i="15" s="1"/>
  <c r="AD434" i="15"/>
  <c r="V434" i="15" s="1"/>
  <c r="T434" i="15" s="1"/>
  <c r="AB434" i="15" s="1"/>
  <c r="R449" i="15"/>
  <c r="AC449" i="15"/>
  <c r="AC464" i="15"/>
  <c r="U464" i="15" s="1"/>
  <c r="R464" i="15"/>
  <c r="W464" i="15" s="1"/>
  <c r="AC476" i="15"/>
  <c r="R476" i="15"/>
  <c r="W476" i="15" s="1"/>
  <c r="S496" i="15"/>
  <c r="AD496" i="15"/>
  <c r="V496" i="15" s="1"/>
  <c r="AD507" i="15"/>
  <c r="AD534" i="15"/>
  <c r="V534" i="15" s="1"/>
  <c r="T534" i="15" s="1"/>
  <c r="S12" i="28" s="1"/>
  <c r="W702" i="15"/>
  <c r="X702" i="15"/>
  <c r="AC703" i="15"/>
  <c r="R703" i="15"/>
  <c r="W732" i="15"/>
  <c r="X732" i="15"/>
  <c r="AC752" i="15"/>
  <c r="R752" i="15"/>
  <c r="W759" i="15"/>
  <c r="X759" i="15"/>
  <c r="AC791" i="15"/>
  <c r="R791" i="15"/>
  <c r="AC806" i="15"/>
  <c r="R806" i="15"/>
  <c r="AC817" i="15"/>
  <c r="R817" i="15"/>
  <c r="R826" i="15"/>
  <c r="AC826" i="15"/>
  <c r="AC843" i="15"/>
  <c r="R843" i="15"/>
  <c r="AC871" i="15"/>
  <c r="R871" i="15"/>
  <c r="R876" i="15"/>
  <c r="R897" i="15"/>
  <c r="AC897" i="15"/>
  <c r="X907" i="15"/>
  <c r="W907" i="15"/>
  <c r="AC913" i="15"/>
  <c r="R913" i="15"/>
  <c r="W919" i="15"/>
  <c r="X919" i="15"/>
  <c r="W935" i="15"/>
  <c r="X935" i="15"/>
  <c r="AC1118" i="15"/>
  <c r="R1118" i="15"/>
  <c r="AC1120" i="15"/>
  <c r="R1120" i="15"/>
  <c r="R1124" i="15"/>
  <c r="AC1124" i="15"/>
  <c r="AC1130" i="15"/>
  <c r="R1130" i="15"/>
  <c r="W1133" i="15"/>
  <c r="X1133" i="15"/>
  <c r="AC1156" i="15"/>
  <c r="R1156" i="15"/>
  <c r="R1160" i="15"/>
  <c r="R1168" i="15"/>
  <c r="W1181" i="15"/>
  <c r="X1181" i="15"/>
  <c r="AC1184" i="15"/>
  <c r="R1184" i="15"/>
  <c r="W1187" i="15"/>
  <c r="X1187" i="15"/>
  <c r="X1188" i="15"/>
  <c r="W1188" i="15"/>
  <c r="W1189" i="15"/>
  <c r="X1189" i="15"/>
  <c r="X1193" i="15"/>
  <c r="W1193" i="15"/>
  <c r="W1194" i="15"/>
  <c r="X1194" i="15"/>
  <c r="X1195" i="15"/>
  <c r="W1195" i="15"/>
  <c r="AC1196" i="15"/>
  <c r="R1196" i="15"/>
  <c r="X1203" i="15"/>
  <c r="W1203" i="15"/>
  <c r="R1204" i="15"/>
  <c r="AC1211" i="15"/>
  <c r="R1211" i="15"/>
  <c r="X1219" i="15"/>
  <c r="W1219" i="15"/>
  <c r="AC1220" i="15"/>
  <c r="R1220" i="15"/>
  <c r="X1248" i="15"/>
  <c r="W1248" i="15"/>
  <c r="W1264" i="15"/>
  <c r="X1264" i="15"/>
  <c r="AC1279" i="15"/>
  <c r="R1279" i="15"/>
  <c r="X1307" i="15"/>
  <c r="W1307" i="15"/>
  <c r="AD1308" i="15"/>
  <c r="X1467" i="15"/>
  <c r="W1467" i="15"/>
  <c r="W1468" i="15"/>
  <c r="X1468" i="15"/>
  <c r="X1472" i="15"/>
  <c r="W1472" i="15"/>
  <c r="X1485" i="15"/>
  <c r="W1485" i="15"/>
  <c r="X1486" i="15"/>
  <c r="W1486" i="15"/>
  <c r="R1487" i="15"/>
  <c r="X1500" i="15"/>
  <c r="W1500" i="15"/>
  <c r="R1507" i="15"/>
  <c r="R1516" i="15"/>
  <c r="W1535" i="15"/>
  <c r="X1535" i="15"/>
  <c r="W1539" i="15"/>
  <c r="X1539" i="15"/>
  <c r="AC1541" i="15"/>
  <c r="R1541" i="15"/>
  <c r="X1563" i="15"/>
  <c r="W1563" i="15"/>
  <c r="R1568" i="15"/>
  <c r="AC1604" i="15"/>
  <c r="R1604" i="15"/>
  <c r="W1631" i="15"/>
  <c r="X1631" i="15"/>
  <c r="W1669" i="15"/>
  <c r="X1669" i="15"/>
  <c r="AC1675" i="15"/>
  <c r="R1675" i="15"/>
  <c r="AC1692" i="15"/>
  <c r="R1692" i="15"/>
  <c r="R1704" i="15"/>
  <c r="R1710" i="15"/>
  <c r="AC1710" i="15"/>
  <c r="X1716" i="15"/>
  <c r="W1716" i="15"/>
  <c r="R1735" i="15"/>
  <c r="AD1739" i="15"/>
  <c r="AC1758" i="15"/>
  <c r="R1758" i="15"/>
  <c r="W1764" i="15"/>
  <c r="X1764" i="15"/>
  <c r="AC1779" i="15"/>
  <c r="R1779" i="15"/>
  <c r="R1792" i="15"/>
  <c r="R1807" i="15"/>
  <c r="AD1808" i="15"/>
  <c r="R1839" i="15"/>
  <c r="R1880" i="15"/>
  <c r="X1882" i="15"/>
  <c r="W1882" i="15"/>
  <c r="AD1905" i="15"/>
  <c r="R1923" i="15"/>
  <c r="AD1944" i="15"/>
  <c r="AC1963" i="15"/>
  <c r="R1963" i="15"/>
  <c r="R1967" i="15"/>
  <c r="AD1978" i="15"/>
  <c r="AD1992" i="15"/>
  <c r="R1999" i="15"/>
  <c r="AD2014" i="15"/>
  <c r="W2047" i="15"/>
  <c r="X2047" i="15"/>
  <c r="AC2049" i="15"/>
  <c r="R2049" i="15"/>
  <c r="AD2114" i="15"/>
  <c r="AD2123" i="15"/>
  <c r="X2138" i="15"/>
  <c r="W2138" i="15"/>
  <c r="X2169" i="15"/>
  <c r="W2169" i="15"/>
  <c r="R2183" i="15"/>
  <c r="X2192" i="15"/>
  <c r="W2192" i="15"/>
  <c r="AC2224" i="15"/>
  <c r="R2224" i="15"/>
  <c r="AC2236" i="15"/>
  <c r="R2236" i="15"/>
  <c r="R2237" i="15"/>
  <c r="Y1810" i="15"/>
  <c r="Y1850" i="15"/>
  <c r="Y1802" i="15"/>
  <c r="Y1782" i="15"/>
  <c r="Y1842" i="15"/>
  <c r="Y1861" i="15"/>
  <c r="Y1694" i="15"/>
  <c r="Y1562" i="15"/>
  <c r="Y1530" i="15"/>
  <c r="Y1499" i="15"/>
  <c r="Y1632" i="15"/>
  <c r="Y1518" i="15"/>
  <c r="Y1344" i="15"/>
  <c r="Y1256" i="15"/>
  <c r="Y1155" i="15"/>
  <c r="Y1971" i="15"/>
  <c r="Y1678" i="15"/>
  <c r="Y1654" i="15"/>
  <c r="Y1301" i="15"/>
  <c r="Y1264" i="15"/>
  <c r="Y1158" i="15"/>
  <c r="Y1326" i="15"/>
  <c r="Y1310" i="15"/>
  <c r="Y1133" i="15"/>
  <c r="Y1061" i="15"/>
  <c r="Y932" i="15"/>
  <c r="Y1159" i="15"/>
  <c r="Y1228" i="15"/>
  <c r="Y773" i="15"/>
  <c r="Y721" i="15"/>
  <c r="Y1056" i="15"/>
  <c r="Y821" i="15"/>
  <c r="Y755" i="15"/>
  <c r="Y1170" i="15"/>
  <c r="X22" i="15"/>
  <c r="Y2261" i="15"/>
  <c r="Y2018" i="15"/>
  <c r="Y1970" i="15"/>
  <c r="Y2030" i="15"/>
  <c r="Y1744" i="15"/>
  <c r="Y1761" i="15"/>
  <c r="Y1976" i="15"/>
  <c r="Y1858" i="15"/>
  <c r="Y1880" i="15"/>
  <c r="Y1206" i="15"/>
  <c r="Y1195" i="15"/>
  <c r="Y1389" i="15"/>
  <c r="Y1150" i="15"/>
  <c r="Y732" i="15"/>
  <c r="Y816" i="15"/>
  <c r="Y1721" i="15"/>
  <c r="Y1612" i="15"/>
  <c r="Y2228" i="15"/>
  <c r="Y1240" i="15"/>
  <c r="Y688" i="15"/>
  <c r="Y859" i="15"/>
  <c r="Y1202" i="15"/>
  <c r="Y1096" i="15"/>
  <c r="Y1535" i="15"/>
  <c r="Y1820" i="15"/>
  <c r="Y870" i="15"/>
  <c r="Y2260" i="15"/>
  <c r="W650" i="15"/>
  <c r="Y645" i="15"/>
  <c r="Y811" i="15"/>
  <c r="Y1041" i="15"/>
  <c r="Y1086" i="15"/>
  <c r="Y1319" i="15"/>
  <c r="Y1353" i="15"/>
  <c r="Y1489" i="15"/>
  <c r="Y1491" i="15"/>
  <c r="Y1553" i="15"/>
  <c r="Y1648" i="15"/>
  <c r="Y1669" i="15"/>
  <c r="Y2142" i="15"/>
  <c r="Y2186" i="15"/>
  <c r="Y2194" i="15"/>
  <c r="Y2206" i="15"/>
  <c r="S36" i="15"/>
  <c r="X36" i="15" s="1"/>
  <c r="AD36" i="15"/>
  <c r="S94" i="15"/>
  <c r="X94" i="15" s="1"/>
  <c r="AD94" i="15"/>
  <c r="V94" i="15" s="1"/>
  <c r="T94" i="15" s="1"/>
  <c r="Y94" i="15" s="1"/>
  <c r="Q217" i="15"/>
  <c r="R217" i="15"/>
  <c r="S236" i="15"/>
  <c r="X236" i="15" s="1"/>
  <c r="AD236" i="15"/>
  <c r="V236" i="15" s="1"/>
  <c r="T236" i="15" s="1"/>
  <c r="Y236" i="15" s="1"/>
  <c r="Y614" i="15"/>
  <c r="Y2173" i="15"/>
  <c r="Y1066" i="15"/>
  <c r="Y1775" i="15"/>
  <c r="Y1188" i="15"/>
  <c r="Y2065" i="15"/>
  <c r="Y2111" i="15"/>
  <c r="S5" i="15"/>
  <c r="X5" i="15" s="1"/>
  <c r="AD5" i="15"/>
  <c r="V5" i="15" s="1"/>
  <c r="T5" i="15" s="1"/>
  <c r="Y5" i="15" s="1"/>
  <c r="AC358" i="15"/>
  <c r="U358" i="15" s="1"/>
  <c r="R358" i="15"/>
  <c r="W358" i="15" s="1"/>
  <c r="Q367" i="15"/>
  <c r="R367" i="15"/>
  <c r="X651" i="15"/>
  <c r="AC1012" i="15"/>
  <c r="R1012" i="15"/>
  <c r="R1091" i="15"/>
  <c r="R1092" i="15"/>
  <c r="AC1104" i="15"/>
  <c r="R1104" i="15"/>
  <c r="X1107" i="15"/>
  <c r="W1107" i="15"/>
  <c r="AC1126" i="15"/>
  <c r="R1126" i="15"/>
  <c r="AC1134" i="15"/>
  <c r="R1134" i="15"/>
  <c r="AD1401" i="15"/>
  <c r="AD1409" i="15"/>
  <c r="AC1837" i="15"/>
  <c r="R1837" i="15"/>
  <c r="R1881" i="15"/>
  <c r="AD2171" i="15"/>
  <c r="AD2182" i="15"/>
  <c r="AD2190" i="15"/>
  <c r="AD2193" i="15"/>
  <c r="AD2197" i="15"/>
  <c r="AD2198" i="15"/>
  <c r="AD2201" i="15"/>
  <c r="AD2205" i="15"/>
  <c r="AD2223" i="15"/>
  <c r="AD2262" i="15"/>
  <c r="Y943" i="15"/>
  <c r="Y976" i="15"/>
  <c r="Y1115" i="15"/>
  <c r="Y1057" i="15"/>
  <c r="Y963" i="15"/>
  <c r="Y931" i="15"/>
  <c r="Y703" i="15"/>
  <c r="Y789" i="15"/>
  <c r="Y929" i="15"/>
  <c r="Y765" i="15"/>
  <c r="Y968" i="15"/>
  <c r="Y680" i="15"/>
  <c r="Y2264" i="15"/>
  <c r="Y2026" i="15"/>
  <c r="Y2122" i="15"/>
  <c r="Y2236" i="15"/>
  <c r="Y1931" i="15"/>
  <c r="Y2239" i="15"/>
  <c r="Y2067" i="15"/>
  <c r="Y1958" i="15"/>
  <c r="Y1899" i="15"/>
  <c r="Y1703" i="15"/>
  <c r="Y1882" i="15"/>
  <c r="Y1506" i="15"/>
  <c r="Y1252" i="15"/>
  <c r="Y1789" i="15"/>
  <c r="Y1433" i="15"/>
  <c r="Y1198" i="15"/>
  <c r="Y1919" i="15"/>
  <c r="Y1472" i="15"/>
  <c r="Y1660" i="15"/>
  <c r="Y2070" i="15"/>
  <c r="Y1543" i="15"/>
  <c r="Y1176" i="15"/>
  <c r="Y2220" i="15"/>
  <c r="Y759" i="15"/>
  <c r="Y1180" i="15"/>
  <c r="Y1140" i="15"/>
  <c r="Y825" i="15"/>
  <c r="Y935" i="15"/>
  <c r="Y565" i="15"/>
  <c r="Y1804" i="15"/>
  <c r="Y1959" i="15"/>
  <c r="Y682" i="15"/>
  <c r="Y1468" i="15"/>
  <c r="Y812" i="15"/>
  <c r="Y1942" i="15"/>
  <c r="Y1733" i="15"/>
  <c r="Y1596" i="15"/>
  <c r="Y938" i="15"/>
  <c r="Y957" i="15"/>
  <c r="Y2044" i="15"/>
  <c r="Y1452" i="15"/>
  <c r="Y1089" i="15"/>
  <c r="Y1113" i="15"/>
  <c r="Y1561" i="15"/>
  <c r="Y1617" i="15"/>
  <c r="Y1653" i="15"/>
  <c r="Y1853" i="15"/>
  <c r="S12" i="15"/>
  <c r="X12" i="15" s="1"/>
  <c r="AD12" i="15"/>
  <c r="V12" i="15" s="1"/>
  <c r="T12" i="15" s="1"/>
  <c r="Y12" i="15" s="1"/>
  <c r="S348" i="15"/>
  <c r="X348" i="15" s="1"/>
  <c r="AD348" i="15"/>
  <c r="V348" i="15" s="1"/>
  <c r="T348" i="15" s="1"/>
  <c r="Y348" i="15" s="1"/>
  <c r="Q456" i="15"/>
  <c r="R456" i="15"/>
  <c r="X505" i="15"/>
  <c r="AD543" i="15"/>
  <c r="V543" i="15" s="1"/>
  <c r="T543" i="15" s="1"/>
  <c r="R617" i="15"/>
  <c r="W617" i="15" s="1"/>
  <c r="Y627" i="15"/>
  <c r="Y2076" i="15"/>
  <c r="Y1417" i="15"/>
  <c r="Y1781" i="15"/>
  <c r="Y597" i="15"/>
  <c r="Y2048" i="15"/>
  <c r="Y2052" i="15"/>
  <c r="Y1839" i="15"/>
  <c r="Y622" i="15"/>
  <c r="Y1486" i="15"/>
  <c r="Y642" i="15"/>
  <c r="Y805" i="15"/>
  <c r="Y939" i="15"/>
  <c r="Y973" i="15"/>
  <c r="Y1194" i="15"/>
  <c r="Y1332" i="15"/>
  <c r="Y1467" i="15"/>
  <c r="Y1505" i="15"/>
  <c r="Y1712" i="15"/>
  <c r="Y1715" i="15"/>
  <c r="Y1722" i="15"/>
  <c r="Y2022" i="15"/>
  <c r="R522" i="15"/>
  <c r="W522" i="15" s="1"/>
  <c r="R635" i="15"/>
  <c r="W635" i="15" s="1"/>
  <c r="R636" i="15"/>
  <c r="W636" i="15" s="1"/>
  <c r="R642" i="15"/>
  <c r="W642" i="15" s="1"/>
  <c r="R665" i="15"/>
  <c r="W665" i="15" s="1"/>
  <c r="AD887" i="15"/>
  <c r="AD74" i="15"/>
  <c r="V74" i="15" s="1"/>
  <c r="T74" i="15" s="1"/>
  <c r="Y74" i="15" s="1"/>
  <c r="AD481" i="15"/>
  <c r="V481" i="15" s="1"/>
  <c r="T481" i="15" s="1"/>
  <c r="R524" i="15"/>
  <c r="AD581" i="15"/>
  <c r="AD604" i="15"/>
  <c r="V604" i="15" s="1"/>
  <c r="T604" i="15" s="1"/>
  <c r="AD616" i="15"/>
  <c r="V616" i="15" s="1"/>
  <c r="T616" i="15" s="1"/>
  <c r="R629" i="15"/>
  <c r="W629" i="15" s="1"/>
  <c r="AD814" i="15"/>
  <c r="R836" i="15"/>
  <c r="AD870" i="15"/>
  <c r="R882" i="15"/>
  <c r="AD955" i="15"/>
  <c r="AD956" i="15"/>
  <c r="AD961" i="15"/>
  <c r="AD962" i="15"/>
  <c r="AD965" i="15"/>
  <c r="AD966" i="15"/>
  <c r="AD970" i="15"/>
  <c r="AD1195" i="15"/>
  <c r="AD1243" i="15"/>
  <c r="AD1244" i="15"/>
  <c r="AD1311" i="15"/>
  <c r="AD1413" i="15"/>
  <c r="AD1422" i="15"/>
  <c r="AD1434" i="15"/>
  <c r="AD1515" i="15"/>
  <c r="AD1545" i="15"/>
  <c r="AD1555" i="15"/>
  <c r="AD1567" i="15"/>
  <c r="AD1585" i="15"/>
  <c r="AD1618" i="15"/>
  <c r="AD1619" i="15"/>
  <c r="AD1624" i="15"/>
  <c r="AD1627" i="15"/>
  <c r="AD1632" i="15"/>
  <c r="AD1727" i="15"/>
  <c r="AD1734" i="15"/>
  <c r="AD1738" i="15"/>
  <c r="AD1745" i="15"/>
  <c r="AD1754" i="15"/>
  <c r="AD1761" i="15"/>
  <c r="AD1955" i="15"/>
  <c r="AD2044" i="15"/>
  <c r="AD2056" i="15"/>
  <c r="AD2064" i="15"/>
  <c r="AD2083" i="15"/>
  <c r="AD2092" i="15"/>
  <c r="AD2133" i="15"/>
  <c r="AD972" i="15"/>
  <c r="AD977" i="15"/>
  <c r="AD980" i="15"/>
  <c r="AD981" i="15"/>
  <c r="AD988" i="15"/>
  <c r="AD989" i="15"/>
  <c r="AD994" i="15"/>
  <c r="AD998" i="15"/>
  <c r="AD1001" i="15"/>
  <c r="AD1005" i="15"/>
  <c r="AD1011" i="15"/>
  <c r="AD1015" i="15"/>
  <c r="AD1016" i="15"/>
  <c r="AD1056" i="15"/>
  <c r="AD1061" i="15"/>
  <c r="AD1062" i="15"/>
  <c r="R1065" i="15"/>
  <c r="AD1077" i="15"/>
  <c r="AD1085" i="15"/>
  <c r="AD1136" i="15"/>
  <c r="R1137" i="15"/>
  <c r="AD1139" i="15"/>
  <c r="R1152" i="15"/>
  <c r="AD1153" i="15"/>
  <c r="AD1154" i="15"/>
  <c r="AD1158" i="15"/>
  <c r="AD1161" i="15"/>
  <c r="AD1162" i="15"/>
  <c r="AD1166" i="15"/>
  <c r="AD1170" i="15"/>
  <c r="AD1174" i="15"/>
  <c r="AD1185" i="15"/>
  <c r="AD1186" i="15"/>
  <c r="AD1188" i="15"/>
  <c r="AD1191" i="15"/>
  <c r="R1205" i="15"/>
  <c r="R1206" i="15"/>
  <c r="AD1211" i="15"/>
  <c r="AD1310" i="15"/>
  <c r="AD1313" i="15"/>
  <c r="AD1314" i="15"/>
  <c r="AD1320" i="15"/>
  <c r="AD1325" i="15"/>
  <c r="AD1331" i="15"/>
  <c r="AD1358" i="15"/>
  <c r="AD1363" i="15"/>
  <c r="AD1366" i="15"/>
  <c r="AD1367" i="15"/>
  <c r="AD1374" i="15"/>
  <c r="AD1378" i="15"/>
  <c r="AD1399" i="15"/>
  <c r="AD1406" i="15"/>
  <c r="AD1833" i="15"/>
  <c r="AD1846" i="15"/>
  <c r="AD1852" i="15"/>
  <c r="AD1865" i="15"/>
  <c r="AD1878" i="15"/>
  <c r="AD2143" i="15"/>
  <c r="AD2148" i="15"/>
  <c r="AD2186" i="15"/>
  <c r="AD2195" i="15"/>
  <c r="AD2227" i="15"/>
  <c r="AD2229" i="15"/>
  <c r="AD2261" i="15"/>
  <c r="R2271" i="15"/>
  <c r="AC524" i="15"/>
  <c r="U524" i="15" s="1"/>
  <c r="T524" i="15" s="1"/>
  <c r="Y524" i="15" s="1"/>
  <c r="AC522" i="15"/>
  <c r="U522" i="15" s="1"/>
  <c r="T522" i="15" s="1"/>
  <c r="Y522" i="15" s="1"/>
  <c r="T519" i="15"/>
  <c r="Y519" i="15" s="1"/>
  <c r="AD521" i="15"/>
  <c r="V521" i="15" s="1"/>
  <c r="T521" i="15" s="1"/>
  <c r="Y521" i="15" s="1"/>
  <c r="T513" i="15"/>
  <c r="R519" i="15"/>
  <c r="W519" i="15" s="1"/>
  <c r="R518" i="15"/>
  <c r="W518" i="15" s="1"/>
  <c r="X517" i="15"/>
  <c r="AD517" i="15"/>
  <c r="V517" i="15" s="1"/>
  <c r="T517" i="15" s="1"/>
  <c r="R517" i="15"/>
  <c r="W517" i="15" s="1"/>
  <c r="T510" i="15"/>
  <c r="Y510" i="15" s="1"/>
  <c r="P14" i="28"/>
  <c r="N14" i="28"/>
  <c r="V14" i="28"/>
  <c r="O14" i="28"/>
  <c r="W14" i="28"/>
  <c r="L14" i="28"/>
  <c r="T14" i="28"/>
  <c r="M14" i="28"/>
  <c r="R14" i="28"/>
  <c r="Q14" i="28"/>
  <c r="U14" i="28"/>
  <c r="T507" i="15"/>
  <c r="Y507" i="15" s="1"/>
  <c r="R516" i="15"/>
  <c r="W516" i="15" s="1"/>
  <c r="T511" i="15"/>
  <c r="Y511" i="15" s="1"/>
  <c r="N31" i="21"/>
  <c r="AB384" i="15"/>
  <c r="Y384" i="15"/>
  <c r="T85" i="15"/>
  <c r="Y85" i="15" s="1"/>
  <c r="T20" i="25"/>
  <c r="W20" i="25"/>
  <c r="Q20" i="25"/>
  <c r="L20" i="25"/>
  <c r="N20" i="25"/>
  <c r="V20" i="25"/>
  <c r="R20" i="25"/>
  <c r="M20" i="25"/>
  <c r="S20" i="25"/>
  <c r="O20" i="25"/>
  <c r="U20" i="25"/>
  <c r="P20" i="25"/>
  <c r="Y361" i="15"/>
  <c r="T272" i="15"/>
  <c r="Y272" i="15" s="1"/>
  <c r="T304" i="15"/>
  <c r="Y304" i="15" s="1"/>
  <c r="T153" i="15"/>
  <c r="Y153" i="15" s="1"/>
  <c r="T378" i="15"/>
  <c r="Y378" i="15" s="1"/>
  <c r="X969" i="15"/>
  <c r="AC1416" i="15"/>
  <c r="R1416" i="15"/>
  <c r="AC1425" i="15"/>
  <c r="R1425" i="15"/>
  <c r="X1441" i="15"/>
  <c r="W1441" i="15"/>
  <c r="X1512" i="15"/>
  <c r="W1512" i="15"/>
  <c r="X1527" i="15"/>
  <c r="W1527" i="15"/>
  <c r="AD1528" i="15"/>
  <c r="R1528" i="15"/>
  <c r="AC1529" i="15"/>
  <c r="R1529" i="15"/>
  <c r="X1532" i="15"/>
  <c r="W1532" i="15"/>
  <c r="R1534" i="15"/>
  <c r="X1537" i="15"/>
  <c r="W1537" i="15"/>
  <c r="AC1544" i="15"/>
  <c r="R1544" i="15"/>
  <c r="W1547" i="15"/>
  <c r="X1547" i="15"/>
  <c r="X1552" i="15"/>
  <c r="W1552" i="15"/>
  <c r="AC1559" i="15"/>
  <c r="R1559" i="15"/>
  <c r="AC1560" i="15"/>
  <c r="R1560" i="15"/>
  <c r="AC1562" i="15"/>
  <c r="R1562" i="15"/>
  <c r="R1566" i="15"/>
  <c r="R1571" i="15"/>
  <c r="AC1575" i="15"/>
  <c r="R1575" i="15"/>
  <c r="AC1583" i="15"/>
  <c r="R1583" i="15"/>
  <c r="X1587" i="15"/>
  <c r="W1587" i="15"/>
  <c r="X1591" i="15"/>
  <c r="W1591" i="15"/>
  <c r="X1622" i="15"/>
  <c r="W1622" i="15"/>
  <c r="AD1625" i="15"/>
  <c r="R1625" i="15"/>
  <c r="X1640" i="15"/>
  <c r="W1640" i="15"/>
  <c r="W1680" i="15"/>
  <c r="X1680" i="15"/>
  <c r="X1748" i="15"/>
  <c r="W1748" i="15"/>
  <c r="R1752" i="15"/>
  <c r="R1763" i="15"/>
  <c r="AC1763" i="15"/>
  <c r="J6" i="22"/>
  <c r="K6" i="22" s="1"/>
  <c r="T341" i="15"/>
  <c r="M37" i="21" s="1"/>
  <c r="R79" i="15"/>
  <c r="Q79" i="15"/>
  <c r="R878" i="15"/>
  <c r="W960" i="15"/>
  <c r="X960" i="15"/>
  <c r="R965" i="15"/>
  <c r="AC965" i="15"/>
  <c r="AC970" i="15"/>
  <c r="R970" i="15"/>
  <c r="X975" i="15"/>
  <c r="W975" i="15"/>
  <c r="AC976" i="15"/>
  <c r="R976" i="15"/>
  <c r="X979" i="15"/>
  <c r="W979" i="15"/>
  <c r="R980" i="15"/>
  <c r="X983" i="15"/>
  <c r="W983" i="15"/>
  <c r="W987" i="15"/>
  <c r="X987" i="15"/>
  <c r="W992" i="15"/>
  <c r="X992" i="15"/>
  <c r="AD993" i="15"/>
  <c r="R993" i="15"/>
  <c r="AC994" i="15"/>
  <c r="R994" i="15"/>
  <c r="X997" i="15"/>
  <c r="W997" i="15"/>
  <c r="R998" i="15"/>
  <c r="AC1001" i="15"/>
  <c r="R1001" i="15"/>
  <c r="X1004" i="15"/>
  <c r="W1004" i="15"/>
  <c r="R1011" i="15"/>
  <c r="AC1014" i="15"/>
  <c r="R1014" i="15"/>
  <c r="X1018" i="15"/>
  <c r="W1018" i="15"/>
  <c r="X1050" i="15"/>
  <c r="W1050" i="15"/>
  <c r="W1059" i="15"/>
  <c r="X1059" i="15"/>
  <c r="AC1129" i="15"/>
  <c r="R1129" i="15"/>
  <c r="AC1138" i="15"/>
  <c r="R1138" i="15"/>
  <c r="X1142" i="15"/>
  <c r="W1142" i="15"/>
  <c r="X1147" i="15"/>
  <c r="W1147" i="15"/>
  <c r="AC1157" i="15"/>
  <c r="R1157" i="15"/>
  <c r="W1160" i="15"/>
  <c r="X1160" i="15"/>
  <c r="X1164" i="15"/>
  <c r="W1164" i="15"/>
  <c r="X1165" i="15"/>
  <c r="W1165" i="15"/>
  <c r="AC1166" i="15"/>
  <c r="R1166" i="15"/>
  <c r="AC1174" i="15"/>
  <c r="R1174" i="15"/>
  <c r="X1178" i="15"/>
  <c r="W1178" i="15"/>
  <c r="W1182" i="15"/>
  <c r="X1182" i="15"/>
  <c r="X1204" i="15"/>
  <c r="W1204" i="15"/>
  <c r="AD1312" i="15"/>
  <c r="R1312" i="15"/>
  <c r="AC1313" i="15"/>
  <c r="R1313" i="15"/>
  <c r="AC1319" i="15"/>
  <c r="R1319" i="15"/>
  <c r="R1324" i="15"/>
  <c r="AC1324" i="15"/>
  <c r="X1327" i="15"/>
  <c r="W1327" i="15"/>
  <c r="X1334" i="15"/>
  <c r="W1334" i="15"/>
  <c r="AC1337" i="15"/>
  <c r="R1337" i="15"/>
  <c r="AC1340" i="15"/>
  <c r="R1340" i="15"/>
  <c r="R1348" i="15"/>
  <c r="AC1348" i="15"/>
  <c r="R1352" i="15"/>
  <c r="AC1352" i="15"/>
  <c r="W1356" i="15"/>
  <c r="X1356" i="15"/>
  <c r="R1359" i="15"/>
  <c r="AD1362" i="15"/>
  <c r="R1362" i="15"/>
  <c r="X1365" i="15"/>
  <c r="W1365" i="15"/>
  <c r="R1369" i="15"/>
  <c r="W1372" i="15"/>
  <c r="X1372" i="15"/>
  <c r="AC1380" i="15"/>
  <c r="R1380" i="15"/>
  <c r="X1387" i="15"/>
  <c r="W1387" i="15"/>
  <c r="X1394" i="15"/>
  <c r="W1394" i="15"/>
  <c r="AC1397" i="15"/>
  <c r="R1397" i="15"/>
  <c r="X1402" i="15"/>
  <c r="W1402" i="15"/>
  <c r="X1405" i="15"/>
  <c r="W1405" i="15"/>
  <c r="AC1407" i="15"/>
  <c r="R1407" i="15"/>
  <c r="X1410" i="15"/>
  <c r="W1410" i="15"/>
  <c r="T72" i="15"/>
  <c r="Y72" i="15" s="1"/>
  <c r="AC716" i="15"/>
  <c r="R716" i="15"/>
  <c r="R719" i="15"/>
  <c r="AC719" i="15"/>
  <c r="AC730" i="15"/>
  <c r="R730" i="15"/>
  <c r="R734" i="15"/>
  <c r="X743" i="15"/>
  <c r="W743" i="15"/>
  <c r="AC745" i="15"/>
  <c r="R745" i="15"/>
  <c r="X748" i="15"/>
  <c r="W748" i="15"/>
  <c r="R749" i="15"/>
  <c r="AC840" i="15"/>
  <c r="R840" i="15"/>
  <c r="W843" i="15"/>
  <c r="X843" i="15"/>
  <c r="W847" i="15"/>
  <c r="X847" i="15"/>
  <c r="R850" i="15"/>
  <c r="AC852" i="15"/>
  <c r="R852" i="15"/>
  <c r="X861" i="15"/>
  <c r="W861" i="15"/>
  <c r="X865" i="15"/>
  <c r="W865" i="15"/>
  <c r="AC867" i="15"/>
  <c r="R867" i="15"/>
  <c r="X1293" i="15"/>
  <c r="W1293" i="15"/>
  <c r="R1295" i="15"/>
  <c r="W1298" i="15"/>
  <c r="X1298" i="15"/>
  <c r="W1302" i="15"/>
  <c r="X1302" i="15"/>
  <c r="R1304" i="15"/>
  <c r="W2135" i="15"/>
  <c r="X2135" i="15"/>
  <c r="R2140" i="15"/>
  <c r="AC2140" i="15"/>
  <c r="R2146" i="15"/>
  <c r="AC2146" i="15"/>
  <c r="AC2151" i="15"/>
  <c r="R2151" i="15"/>
  <c r="X2168" i="15"/>
  <c r="W2168" i="15"/>
  <c r="AC2168" i="15"/>
  <c r="R2168" i="15"/>
  <c r="R2200" i="15"/>
  <c r="AD2200" i="15"/>
  <c r="AC2205" i="15"/>
  <c r="R2205" i="15"/>
  <c r="X2245" i="15"/>
  <c r="W2245" i="15"/>
  <c r="AC2267" i="15"/>
  <c r="R2267" i="15"/>
  <c r="W2268" i="15"/>
  <c r="X2268" i="15"/>
  <c r="AC2269" i="15"/>
  <c r="R2269" i="15"/>
  <c r="X2270" i="15"/>
  <c r="W2270" i="15"/>
  <c r="AD2272" i="15"/>
  <c r="AC2273" i="15"/>
  <c r="R2273" i="15"/>
  <c r="Q224" i="15"/>
  <c r="R224" i="15"/>
  <c r="Q277" i="15"/>
  <c r="AD277" i="15"/>
  <c r="V277" i="15" s="1"/>
  <c r="S413" i="15"/>
  <c r="X413" i="15" s="1"/>
  <c r="AD413" i="15"/>
  <c r="V413" i="15" s="1"/>
  <c r="T413" i="15" s="1"/>
  <c r="AC414" i="15"/>
  <c r="R414" i="15"/>
  <c r="W414" i="15" s="1"/>
  <c r="AC422" i="15"/>
  <c r="R422" i="15"/>
  <c r="W422" i="15" s="1"/>
  <c r="AC423" i="15"/>
  <c r="U423" i="15" s="1"/>
  <c r="R423" i="15"/>
  <c r="W423" i="15" s="1"/>
  <c r="Q426" i="15"/>
  <c r="R426" i="15"/>
  <c r="S426" i="15"/>
  <c r="AD426" i="15"/>
  <c r="AC470" i="15"/>
  <c r="R470" i="15"/>
  <c r="W470" i="15" s="1"/>
  <c r="Q482" i="15"/>
  <c r="R482" i="15"/>
  <c r="AC495" i="15"/>
  <c r="U495" i="15" s="1"/>
  <c r="R495" i="15"/>
  <c r="W495" i="15" s="1"/>
  <c r="Q499" i="15"/>
  <c r="R499" i="15"/>
  <c r="X576" i="15"/>
  <c r="X652" i="15"/>
  <c r="W652" i="15"/>
  <c r="X653" i="15"/>
  <c r="W653" i="15"/>
  <c r="X659" i="15"/>
  <c r="W659" i="15"/>
  <c r="AC660" i="15"/>
  <c r="U660" i="15" s="1"/>
  <c r="T660" i="15" s="1"/>
  <c r="Y660" i="15" s="1"/>
  <c r="R660" i="15"/>
  <c r="W660" i="15" s="1"/>
  <c r="AC710" i="15"/>
  <c r="R710" i="15"/>
  <c r="X714" i="15"/>
  <c r="W714" i="15"/>
  <c r="R715" i="15"/>
  <c r="AC1217" i="15"/>
  <c r="R1217" i="15"/>
  <c r="X1241" i="15"/>
  <c r="W1241" i="15"/>
  <c r="AC1242" i="15"/>
  <c r="R1242" i="15"/>
  <c r="AC1252" i="15"/>
  <c r="R1252" i="15"/>
  <c r="X1255" i="15"/>
  <c r="W1255" i="15"/>
  <c r="W1259" i="15"/>
  <c r="X1259" i="15"/>
  <c r="AC1260" i="15"/>
  <c r="R1260" i="15"/>
  <c r="X1263" i="15"/>
  <c r="W1263" i="15"/>
  <c r="AC1264" i="15"/>
  <c r="R1264" i="15"/>
  <c r="R1270" i="15"/>
  <c r="R1282" i="15"/>
  <c r="R1286" i="15"/>
  <c r="R1764" i="15"/>
  <c r="AC1764" i="15"/>
  <c r="Y1343" i="15"/>
  <c r="Y1351" i="15"/>
  <c r="Y1424" i="15"/>
  <c r="Y1209" i="15"/>
  <c r="Y984" i="15"/>
  <c r="Y1060" i="15"/>
  <c r="Y748" i="15"/>
  <c r="Y2258" i="15"/>
  <c r="Y1582" i="15"/>
  <c r="Y1277" i="15"/>
  <c r="Y1402" i="15"/>
  <c r="Y1394" i="15"/>
  <c r="Y1570" i="15"/>
  <c r="Y1019" i="15"/>
  <c r="Y1147" i="15"/>
  <c r="Y1323" i="15"/>
  <c r="Y1165" i="15"/>
  <c r="Y1004" i="15"/>
  <c r="Y2223" i="15"/>
  <c r="Y1281" i="15"/>
  <c r="Y1184" i="15"/>
  <c r="Y915" i="15"/>
  <c r="Y969" i="15"/>
  <c r="Y1635" i="15"/>
  <c r="S89" i="15"/>
  <c r="X89" i="15" s="1"/>
  <c r="AD89" i="15"/>
  <c r="S96" i="15"/>
  <c r="X96" i="15" s="1"/>
  <c r="AD96" i="15"/>
  <c r="S164" i="15"/>
  <c r="X164" i="15" s="1"/>
  <c r="AD164" i="15"/>
  <c r="AD193" i="15"/>
  <c r="V193" i="15" s="1"/>
  <c r="Q193" i="15"/>
  <c r="X193" i="15" s="1"/>
  <c r="S226" i="15"/>
  <c r="X226" i="15" s="1"/>
  <c r="AD226" i="15"/>
  <c r="V226" i="15" s="1"/>
  <c r="T226" i="15" s="1"/>
  <c r="Y226" i="15" s="1"/>
  <c r="S243" i="15"/>
  <c r="X243" i="15" s="1"/>
  <c r="AD243" i="15"/>
  <c r="AC1820" i="15"/>
  <c r="R1820" i="15"/>
  <c r="X1849" i="15"/>
  <c r="W1849" i="15"/>
  <c r="X1898" i="15"/>
  <c r="W1898" i="15"/>
  <c r="Y2207" i="15"/>
  <c r="Y2225" i="15"/>
  <c r="Y1512" i="15"/>
  <c r="Y1527" i="15"/>
  <c r="Y1636" i="15"/>
  <c r="Y1302" i="15"/>
  <c r="Y1574" i="15"/>
  <c r="Y1285" i="15"/>
  <c r="Y1269" i="15"/>
  <c r="Y1294" i="15"/>
  <c r="Y1216" i="15"/>
  <c r="Y992" i="15"/>
  <c r="Y1151" i="15"/>
  <c r="Y1135" i="15"/>
  <c r="Y997" i="15"/>
  <c r="Y1010" i="15"/>
  <c r="Y2185" i="15"/>
  <c r="Y1587" i="15"/>
  <c r="Y1247" i="15"/>
  <c r="Y1196" i="15"/>
  <c r="Y975" i="15"/>
  <c r="Y714" i="15"/>
  <c r="S137" i="15"/>
  <c r="X137" i="15" s="1"/>
  <c r="AD137" i="15"/>
  <c r="V137" i="15" s="1"/>
  <c r="T137" i="15" s="1"/>
  <c r="Y137" i="15" s="1"/>
  <c r="S143" i="15"/>
  <c r="X143" i="15" s="1"/>
  <c r="AD143" i="15"/>
  <c r="V143" i="15" s="1"/>
  <c r="T143" i="15" s="1"/>
  <c r="Y143" i="15" s="1"/>
  <c r="AC355" i="15"/>
  <c r="R355" i="15"/>
  <c r="W355" i="15" s="1"/>
  <c r="AC381" i="15"/>
  <c r="U381" i="15" s="1"/>
  <c r="R381" i="15"/>
  <c r="W381" i="15" s="1"/>
  <c r="AC421" i="15"/>
  <c r="R421" i="15"/>
  <c r="W421" i="15" s="1"/>
  <c r="Q440" i="15"/>
  <c r="R440" i="15"/>
  <c r="R480" i="15"/>
  <c r="W480" i="15" s="1"/>
  <c r="AC480" i="15"/>
  <c r="U480" i="15" s="1"/>
  <c r="S482" i="15"/>
  <c r="AD482" i="15"/>
  <c r="AC711" i="15"/>
  <c r="R711" i="15"/>
  <c r="X723" i="15"/>
  <c r="W723" i="15"/>
  <c r="AC754" i="15"/>
  <c r="R754" i="15"/>
  <c r="X817" i="15"/>
  <c r="W817" i="15"/>
  <c r="W827" i="15"/>
  <c r="X827" i="15"/>
  <c r="X835" i="15"/>
  <c r="W835" i="15"/>
  <c r="AC1267" i="15"/>
  <c r="R1267" i="15"/>
  <c r="AC1275" i="15"/>
  <c r="R1275" i="15"/>
  <c r="R1314" i="15"/>
  <c r="X1471" i="15"/>
  <c r="W1471" i="15"/>
  <c r="R1486" i="15"/>
  <c r="AC1486" i="15"/>
  <c r="AC1651" i="15"/>
  <c r="R1651" i="15"/>
  <c r="X1752" i="15"/>
  <c r="W1752" i="15"/>
  <c r="R1765" i="15"/>
  <c r="X1768" i="15"/>
  <c r="W1768" i="15"/>
  <c r="R2228" i="15"/>
  <c r="AC2228" i="15"/>
  <c r="Y1414" i="15"/>
  <c r="Y1390" i="15"/>
  <c r="Y987" i="15"/>
  <c r="Y960" i="15"/>
  <c r="Y1143" i="15"/>
  <c r="Y1259" i="15"/>
  <c r="Y1000" i="15"/>
  <c r="Y1013" i="15"/>
  <c r="Y2182" i="15"/>
  <c r="Y1680" i="15"/>
  <c r="Y1255" i="15"/>
  <c r="Y2247" i="15"/>
  <c r="Q27" i="15"/>
  <c r="AD27" i="15"/>
  <c r="S28" i="15"/>
  <c r="X28" i="15" s="1"/>
  <c r="AD28" i="15"/>
  <c r="V28" i="15" s="1"/>
  <c r="T28" i="15" s="1"/>
  <c r="Y28" i="15" s="1"/>
  <c r="AD220" i="15"/>
  <c r="S220" i="15"/>
  <c r="X220" i="15" s="1"/>
  <c r="S296" i="15"/>
  <c r="AD296" i="15"/>
  <c r="AD318" i="15"/>
  <c r="V318" i="15" s="1"/>
  <c r="T318" i="15" s="1"/>
  <c r="Y318" i="15" s="1"/>
  <c r="X1846" i="15"/>
  <c r="W1846" i="15"/>
  <c r="AC1858" i="15"/>
  <c r="R1858" i="15"/>
  <c r="AD1862" i="15"/>
  <c r="AC1880" i="15"/>
  <c r="R1895" i="15"/>
  <c r="Y1317" i="15"/>
  <c r="Y874" i="15"/>
  <c r="Y659" i="15"/>
  <c r="Y843" i="15"/>
  <c r="Y1054" i="15"/>
  <c r="Y857" i="15"/>
  <c r="Y2151" i="15"/>
  <c r="Y2029" i="15"/>
  <c r="R2021" i="15"/>
  <c r="Y2035" i="15"/>
  <c r="Y2005" i="15"/>
  <c r="Y2046" i="15"/>
  <c r="R2192" i="15"/>
  <c r="R1981" i="15"/>
  <c r="Y1935" i="15"/>
  <c r="Y2198" i="15"/>
  <c r="AD1965" i="15"/>
  <c r="Y1748" i="15"/>
  <c r="Y2015" i="15"/>
  <c r="Y1926" i="15"/>
  <c r="Y1425" i="15"/>
  <c r="Y1849" i="15"/>
  <c r="Y1828" i="15"/>
  <c r="Y1592" i="15"/>
  <c r="Y1431" i="15"/>
  <c r="R2016" i="15"/>
  <c r="Y1801" i="15"/>
  <c r="Y1403" i="15"/>
  <c r="Y1251" i="15"/>
  <c r="X2073" i="15"/>
  <c r="Y2092" i="15"/>
  <c r="Y822" i="15"/>
  <c r="R400" i="15"/>
  <c r="W400" i="15" s="1"/>
  <c r="Y827" i="15"/>
  <c r="R236" i="15"/>
  <c r="W236" i="15" s="1"/>
  <c r="AD42" i="15"/>
  <c r="V42" i="15" s="1"/>
  <c r="T42" i="15" s="1"/>
  <c r="Y42" i="15" s="1"/>
  <c r="Y2266" i="15"/>
  <c r="R1985" i="15"/>
  <c r="R2196" i="15"/>
  <c r="Y2229" i="15"/>
  <c r="Y2160" i="15"/>
  <c r="Y2038" i="15"/>
  <c r="X526" i="15"/>
  <c r="Y1569" i="15"/>
  <c r="Y1827" i="15"/>
  <c r="Y2047" i="15"/>
  <c r="Y2212" i="15"/>
  <c r="Y2208" i="15"/>
  <c r="Y2211" i="15"/>
  <c r="AC1669" i="15"/>
  <c r="R1669" i="15"/>
  <c r="Y2034" i="15"/>
  <c r="Y1221" i="15"/>
  <c r="Y1322" i="15"/>
  <c r="Y1358" i="15"/>
  <c r="Y1621" i="15"/>
  <c r="Y1799" i="15"/>
  <c r="S306" i="15"/>
  <c r="X306" i="15" s="1"/>
  <c r="AD306" i="15"/>
  <c r="V306" i="15" s="1"/>
  <c r="T306" i="15" s="1"/>
  <c r="X558" i="15"/>
  <c r="X562" i="15"/>
  <c r="AC569" i="15"/>
  <c r="R569" i="15"/>
  <c r="W569" i="15" s="1"/>
  <c r="AD967" i="15"/>
  <c r="AC1101" i="15"/>
  <c r="R1101" i="15"/>
  <c r="R1108" i="15"/>
  <c r="R2130" i="15"/>
  <c r="AD2134" i="15"/>
  <c r="AD2136" i="15"/>
  <c r="AD2150" i="15"/>
  <c r="R2157" i="15"/>
  <c r="AD2167" i="15"/>
  <c r="AD2170" i="15"/>
  <c r="AD2172" i="15"/>
  <c r="AD2177" i="15"/>
  <c r="AD2181" i="15"/>
  <c r="AD2189" i="15"/>
  <c r="AD2199" i="15"/>
  <c r="AD2206" i="15"/>
  <c r="AD2215" i="15"/>
  <c r="AD2219" i="15"/>
  <c r="AD2235" i="15"/>
  <c r="R2243" i="15"/>
  <c r="AD2251" i="15"/>
  <c r="AD2255" i="15"/>
  <c r="AD2256" i="15"/>
  <c r="AD2259" i="15"/>
  <c r="AD2260" i="15"/>
  <c r="R2263" i="15"/>
  <c r="AD2264" i="15"/>
  <c r="AD2267" i="15"/>
  <c r="R1975" i="15"/>
  <c r="W2087" i="15"/>
  <c r="X2087" i="15"/>
  <c r="X2208" i="15"/>
  <c r="W2208" i="15"/>
  <c r="Y1768" i="15"/>
  <c r="Y2257" i="15"/>
  <c r="Y1484" i="15"/>
  <c r="Y1846" i="15"/>
  <c r="Y1124" i="15"/>
  <c r="Y945" i="15"/>
  <c r="Y772" i="15"/>
  <c r="Y1313" i="15"/>
  <c r="Y1939" i="15"/>
  <c r="Y2259" i="15"/>
  <c r="Y652" i="15"/>
  <c r="Y738" i="15"/>
  <c r="Y739" i="15"/>
  <c r="Y848" i="15"/>
  <c r="Y889" i="15"/>
  <c r="Y1723" i="15"/>
  <c r="Y1365" i="15"/>
  <c r="Y1664" i="15"/>
  <c r="Y1416" i="15"/>
  <c r="Y1382" i="15"/>
  <c r="Y1623" i="15"/>
  <c r="Y1855" i="15"/>
  <c r="Y1871" i="15"/>
  <c r="AD31" i="15"/>
  <c r="V31" i="15" s="1"/>
  <c r="T31" i="15" s="1"/>
  <c r="Y31" i="15" s="1"/>
  <c r="X474" i="15"/>
  <c r="AD544" i="15"/>
  <c r="AD592" i="15"/>
  <c r="V592" i="15" s="1"/>
  <c r="T592" i="15" s="1"/>
  <c r="Y592" i="15" s="1"/>
  <c r="AD603" i="15"/>
  <c r="V603" i="15" s="1"/>
  <c r="T603" i="15" s="1"/>
  <c r="AD1347" i="15"/>
  <c r="AD1352" i="15"/>
  <c r="R1467" i="15"/>
  <c r="AD1580" i="15"/>
  <c r="AD1668" i="15"/>
  <c r="R1691" i="15"/>
  <c r="AD1692" i="15"/>
  <c r="AD1700" i="15"/>
  <c r="AD1720" i="15"/>
  <c r="X119" i="15"/>
  <c r="X208" i="15"/>
  <c r="R257" i="15"/>
  <c r="W257" i="15" s="1"/>
  <c r="R393" i="15"/>
  <c r="W393" i="15" s="1"/>
  <c r="X395" i="15"/>
  <c r="R409" i="15"/>
  <c r="AD692" i="15"/>
  <c r="R736" i="15"/>
  <c r="R779" i="15"/>
  <c r="AD1411" i="15"/>
  <c r="AD1440" i="15"/>
  <c r="AD1463" i="15"/>
  <c r="R1463" i="15"/>
  <c r="AD1473" i="15"/>
  <c r="AD1726" i="15"/>
  <c r="AD1746" i="15"/>
  <c r="AD1758" i="15"/>
  <c r="AD1772" i="15"/>
  <c r="AD1773" i="15"/>
  <c r="AD1774" i="15"/>
  <c r="AD1777" i="15"/>
  <c r="R1783" i="15"/>
  <c r="R1788" i="15"/>
  <c r="AD1796" i="15"/>
  <c r="AD2002" i="15"/>
  <c r="X483" i="15"/>
  <c r="R508" i="15"/>
  <c r="W508" i="15" s="1"/>
  <c r="AD551" i="15"/>
  <c r="V551" i="15" s="1"/>
  <c r="T551" i="15" s="1"/>
  <c r="AD559" i="15"/>
  <c r="V559" i="15" s="1"/>
  <c r="T559" i="15" s="1"/>
  <c r="Y559" i="15" s="1"/>
  <c r="AD563" i="15"/>
  <c r="V563" i="15" s="1"/>
  <c r="T563" i="15" s="1"/>
  <c r="AD573" i="15"/>
  <c r="V573" i="15" s="1"/>
  <c r="T573" i="15" s="1"/>
  <c r="Y573" i="15" s="1"/>
  <c r="AD574" i="15"/>
  <c r="AD681" i="15"/>
  <c r="AD729" i="15"/>
  <c r="AD810" i="15"/>
  <c r="AD840" i="15"/>
  <c r="AD857" i="15"/>
  <c r="AD907" i="15"/>
  <c r="AD912" i="15"/>
  <c r="R1187" i="15"/>
  <c r="AD1190" i="15"/>
  <c r="AD1441" i="15"/>
  <c r="AD1455" i="15"/>
  <c r="AD1479" i="15"/>
  <c r="AD1487" i="15"/>
  <c r="AD1488" i="15"/>
  <c r="AD1829" i="15"/>
  <c r="Y455" i="15"/>
  <c r="Y465" i="15"/>
  <c r="Y13" i="15"/>
  <c r="Y123" i="15"/>
  <c r="C93" i="14"/>
  <c r="B91" i="3" s="1"/>
  <c r="AH13" i="27"/>
  <c r="P8" i="28"/>
  <c r="W8" i="28"/>
  <c r="O8" i="28"/>
  <c r="V8" i="28"/>
  <c r="M8" i="28"/>
  <c r="R8" i="28"/>
  <c r="U8" i="28"/>
  <c r="N8" i="28"/>
  <c r="L8" i="28"/>
  <c r="Q8" i="28"/>
  <c r="Y183" i="15"/>
  <c r="AD463" i="15"/>
  <c r="R432" i="15"/>
  <c r="W432" i="15" s="1"/>
  <c r="Y2075" i="15"/>
  <c r="AD1788" i="15"/>
  <c r="R1787" i="15"/>
  <c r="AC1783" i="15"/>
  <c r="W1761" i="15"/>
  <c r="W1437" i="15"/>
  <c r="Y1461" i="15"/>
  <c r="AC1463" i="15"/>
  <c r="AD516" i="15"/>
  <c r="R2079" i="15"/>
  <c r="W1765" i="15"/>
  <c r="AD2263" i="15"/>
  <c r="Y2128" i="15"/>
  <c r="W1461" i="15"/>
  <c r="AD57" i="15"/>
  <c r="V57" i="15" s="1"/>
  <c r="R2111" i="15"/>
  <c r="X1753" i="15"/>
  <c r="W416" i="15"/>
  <c r="W578" i="15"/>
  <c r="X578" i="15"/>
  <c r="AC580" i="15"/>
  <c r="U580" i="15" s="1"/>
  <c r="T580" i="15" s="1"/>
  <c r="R580" i="15"/>
  <c r="W580" i="15" s="1"/>
  <c r="T198" i="15"/>
  <c r="Y198" i="15" s="1"/>
  <c r="R523" i="15"/>
  <c r="W523" i="15" s="1"/>
  <c r="R430" i="15"/>
  <c r="W430" i="15" s="1"/>
  <c r="W2235" i="15"/>
  <c r="R2177" i="15"/>
  <c r="Y2097" i="15"/>
  <c r="R2134" i="15"/>
  <c r="Y2093" i="15"/>
  <c r="W2183" i="15"/>
  <c r="Y1795" i="15"/>
  <c r="R1453" i="15"/>
  <c r="W1456" i="15"/>
  <c r="Y1450" i="15"/>
  <c r="R2150" i="15"/>
  <c r="Y1749" i="15"/>
  <c r="R406" i="15"/>
  <c r="W406" i="15" s="1"/>
  <c r="W2071" i="15"/>
  <c r="W2237" i="15"/>
  <c r="R1780" i="15"/>
  <c r="AD43" i="15"/>
  <c r="Q43" i="15"/>
  <c r="W43" i="15" s="1"/>
  <c r="S44" i="15"/>
  <c r="X44" i="15" s="1"/>
  <c r="AD44" i="15"/>
  <c r="V44" i="15" s="1"/>
  <c r="T44" i="15" s="1"/>
  <c r="Y44" i="15" s="1"/>
  <c r="S45" i="15"/>
  <c r="X45" i="15" s="1"/>
  <c r="AD45" i="15"/>
  <c r="S117" i="15"/>
  <c r="X117" i="15" s="1"/>
  <c r="AD117" i="15"/>
  <c r="V117" i="15" s="1"/>
  <c r="T117" i="15" s="1"/>
  <c r="Y117" i="15" s="1"/>
  <c r="AC211" i="15"/>
  <c r="R211" i="15"/>
  <c r="W211" i="15" s="1"/>
  <c r="S225" i="15"/>
  <c r="X225" i="15" s="1"/>
  <c r="AD225" i="15"/>
  <c r="V225" i="15" s="1"/>
  <c r="T225" i="15" s="1"/>
  <c r="Y225" i="15" s="1"/>
  <c r="AC534" i="15"/>
  <c r="AC536" i="15"/>
  <c r="R549" i="15"/>
  <c r="W549" i="15" s="1"/>
  <c r="AC558" i="15"/>
  <c r="U558" i="15" s="1"/>
  <c r="T558" i="15" s="1"/>
  <c r="Y558" i="15" s="1"/>
  <c r="R558" i="15"/>
  <c r="W558" i="15" s="1"/>
  <c r="AC562" i="15"/>
  <c r="R562" i="15"/>
  <c r="W562" i="15" s="1"/>
  <c r="R572" i="15"/>
  <c r="W572" i="15" s="1"/>
  <c r="AC572" i="15"/>
  <c r="T116" i="15"/>
  <c r="Y116" i="15" s="1"/>
  <c r="T334" i="15"/>
  <c r="Y334" i="15" s="1"/>
  <c r="S58" i="15"/>
  <c r="X58" i="15" s="1"/>
  <c r="AD58" i="15"/>
  <c r="S400" i="15"/>
  <c r="X400" i="15" s="1"/>
  <c r="AD400" i="15"/>
  <c r="AC404" i="15"/>
  <c r="U404" i="15" s="1"/>
  <c r="T404" i="15" s="1"/>
  <c r="R404" i="15"/>
  <c r="W404" i="15" s="1"/>
  <c r="Q409" i="15"/>
  <c r="AD409" i="15"/>
  <c r="V409" i="15" s="1"/>
  <c r="S423" i="15"/>
  <c r="X423" i="15" s="1"/>
  <c r="AD423" i="15"/>
  <c r="S436" i="15"/>
  <c r="X436" i="15" s="1"/>
  <c r="AD436" i="15"/>
  <c r="V436" i="15" s="1"/>
  <c r="T436" i="15" s="1"/>
  <c r="Y436" i="15" s="1"/>
  <c r="AC520" i="15"/>
  <c r="R520" i="15"/>
  <c r="W520" i="15" s="1"/>
  <c r="R1755" i="15"/>
  <c r="AC1772" i="15"/>
  <c r="R1772" i="15"/>
  <c r="R1796" i="15"/>
  <c r="AC1796" i="15"/>
  <c r="AC2071" i="15"/>
  <c r="R2071" i="15"/>
  <c r="R2147" i="15"/>
  <c r="AC2147" i="15"/>
  <c r="AC2152" i="15"/>
  <c r="R2152" i="15"/>
  <c r="AC2169" i="15"/>
  <c r="R2169" i="15"/>
  <c r="W2180" i="15"/>
  <c r="X2180" i="15"/>
  <c r="W2201" i="15"/>
  <c r="X2201" i="15"/>
  <c r="AC2202" i="15"/>
  <c r="R2202" i="15"/>
  <c r="AC2212" i="15"/>
  <c r="R2212" i="15"/>
  <c r="R2223" i="15"/>
  <c r="AC2223" i="15"/>
  <c r="AC2229" i="15"/>
  <c r="R2229" i="15"/>
  <c r="W2238" i="15"/>
  <c r="X2238" i="15"/>
  <c r="X2248" i="15"/>
  <c r="W2248" i="15"/>
  <c r="R2260" i="15"/>
  <c r="X2273" i="15"/>
  <c r="W2273" i="15"/>
  <c r="AD2275" i="15"/>
  <c r="T251" i="15"/>
  <c r="R1441" i="15"/>
  <c r="Y1786" i="15"/>
  <c r="R411" i="15"/>
  <c r="W411" i="15" s="1"/>
  <c r="R437" i="15"/>
  <c r="W437" i="15" s="1"/>
  <c r="R436" i="15"/>
  <c r="W436" i="15" s="1"/>
  <c r="X2269" i="15"/>
  <c r="Y2108" i="15"/>
  <c r="Y2096" i="15"/>
  <c r="S157" i="15"/>
  <c r="X157" i="15" s="1"/>
  <c r="AD157" i="15"/>
  <c r="V157" i="15" s="1"/>
  <c r="T157" i="15" s="1"/>
  <c r="Y157" i="15" s="1"/>
  <c r="S172" i="15"/>
  <c r="X172" i="15" s="1"/>
  <c r="AD172" i="15"/>
  <c r="V172" i="15" s="1"/>
  <c r="T172" i="15" s="1"/>
  <c r="Y172" i="15" s="1"/>
  <c r="S335" i="15"/>
  <c r="X335" i="15" s="1"/>
  <c r="AD335" i="15"/>
  <c r="W1583" i="15"/>
  <c r="X1583" i="15"/>
  <c r="AD1667" i="15"/>
  <c r="R1667" i="15"/>
  <c r="X1676" i="15"/>
  <c r="W1676" i="15"/>
  <c r="R1687" i="15"/>
  <c r="R1700" i="15"/>
  <c r="AC1700" i="15"/>
  <c r="R1711" i="15"/>
  <c r="AC21" i="15"/>
  <c r="U21" i="15" s="1"/>
  <c r="T21" i="15" s="1"/>
  <c r="Y21" i="15" s="1"/>
  <c r="R21" i="15"/>
  <c r="W21" i="15" s="1"/>
  <c r="S23" i="15"/>
  <c r="X23" i="15" s="1"/>
  <c r="AD23" i="15"/>
  <c r="V23" i="15" s="1"/>
  <c r="T23" i="15" s="1"/>
  <c r="Y23" i="15" s="1"/>
  <c r="S25" i="15"/>
  <c r="X25" i="15" s="1"/>
  <c r="AD25" i="15"/>
  <c r="V25" i="15" s="1"/>
  <c r="T25" i="15" s="1"/>
  <c r="Y25" i="15" s="1"/>
  <c r="Q204" i="15"/>
  <c r="R204" i="15"/>
  <c r="S241" i="15"/>
  <c r="X241" i="15" s="1"/>
  <c r="AD241" i="15"/>
  <c r="V241" i="15" s="1"/>
  <c r="T241" i="15" s="1"/>
  <c r="Q261" i="15"/>
  <c r="W261" i="15" s="1"/>
  <c r="S300" i="15"/>
  <c r="AD300" i="15"/>
  <c r="V300" i="15" s="1"/>
  <c r="T300" i="15" s="1"/>
  <c r="Q308" i="15"/>
  <c r="R308" i="15"/>
  <c r="AC316" i="15"/>
  <c r="R316" i="15"/>
  <c r="W316" i="15" s="1"/>
  <c r="AC352" i="15"/>
  <c r="R352" i="15"/>
  <c r="W352" i="15" s="1"/>
  <c r="Q357" i="15"/>
  <c r="Q364" i="15"/>
  <c r="R364" i="15"/>
  <c r="Q375" i="15"/>
  <c r="R375" i="15"/>
  <c r="Q449" i="15"/>
  <c r="AD449" i="15"/>
  <c r="V449" i="15" s="1"/>
  <c r="S472" i="15"/>
  <c r="X472" i="15" s="1"/>
  <c r="AD472" i="15"/>
  <c r="V472" i="15" s="1"/>
  <c r="T472" i="15" s="1"/>
  <c r="Y472" i="15" s="1"/>
  <c r="X475" i="15"/>
  <c r="S477" i="15"/>
  <c r="X477" i="15" s="1"/>
  <c r="AD477" i="15"/>
  <c r="V477" i="15" s="1"/>
  <c r="T477" i="15" s="1"/>
  <c r="AB477" i="15" s="1"/>
  <c r="AB478" i="15" s="1"/>
  <c r="S481" i="15"/>
  <c r="X481" i="15" s="1"/>
  <c r="S491" i="15"/>
  <c r="X491" i="15" s="1"/>
  <c r="AD491" i="15"/>
  <c r="V491" i="15" s="1"/>
  <c r="T491" i="15" s="1"/>
  <c r="R512" i="15"/>
  <c r="AC525" i="15"/>
  <c r="R525" i="15"/>
  <c r="W525" i="15" s="1"/>
  <c r="X608" i="15"/>
  <c r="W608" i="15"/>
  <c r="R609" i="15"/>
  <c r="W609" i="15" s="1"/>
  <c r="R651" i="15"/>
  <c r="W651" i="15" s="1"/>
  <c r="W669" i="15"/>
  <c r="X669" i="15"/>
  <c r="AC734" i="15"/>
  <c r="AC736" i="15"/>
  <c r="W788" i="15"/>
  <c r="X788" i="15"/>
  <c r="R795" i="15"/>
  <c r="W848" i="15"/>
  <c r="X848" i="15"/>
  <c r="X855" i="15"/>
  <c r="W855" i="15"/>
  <c r="R896" i="15"/>
  <c r="AC928" i="15"/>
  <c r="R928" i="15"/>
  <c r="R935" i="15"/>
  <c r="R949" i="15"/>
  <c r="R1003" i="15"/>
  <c r="W1099" i="15"/>
  <c r="X1099" i="15"/>
  <c r="X1136" i="15"/>
  <c r="W1136" i="15"/>
  <c r="R1175" i="15"/>
  <c r="AC1194" i="15"/>
  <c r="R1194" i="15"/>
  <c r="X1228" i="15"/>
  <c r="W1228" i="15"/>
  <c r="AC1467" i="15"/>
  <c r="X1965" i="15"/>
  <c r="W1965" i="15"/>
  <c r="Y2197" i="15"/>
  <c r="Y2068" i="15"/>
  <c r="Y2102" i="15"/>
  <c r="Y1676" i="15"/>
  <c r="Y1656" i="15"/>
  <c r="Y2269" i="15"/>
  <c r="Y1437" i="15"/>
  <c r="Y2145" i="15"/>
  <c r="Y2205" i="15"/>
  <c r="AC117" i="15"/>
  <c r="R117" i="15"/>
  <c r="W117" i="15" s="1"/>
  <c r="W127" i="15"/>
  <c r="S195" i="15"/>
  <c r="X195" i="15" s="1"/>
  <c r="AD195" i="15"/>
  <c r="V195" i="15" s="1"/>
  <c r="T195" i="15" s="1"/>
  <c r="Y195" i="15" s="1"/>
  <c r="Q221" i="15"/>
  <c r="AD221" i="15"/>
  <c r="S224" i="15"/>
  <c r="AD224" i="15"/>
  <c r="V224" i="15" s="1"/>
  <c r="Q232" i="15"/>
  <c r="R232" i="15"/>
  <c r="S337" i="15"/>
  <c r="X337" i="15" s="1"/>
  <c r="AD337" i="15"/>
  <c r="S432" i="15"/>
  <c r="X432" i="15" s="1"/>
  <c r="AD432" i="15"/>
  <c r="AD480" i="15"/>
  <c r="AD495" i="15"/>
  <c r="Q501" i="15"/>
  <c r="X501" i="15" s="1"/>
  <c r="R501" i="15"/>
  <c r="Q512" i="15"/>
  <c r="AD512" i="15"/>
  <c r="V512" i="15" s="1"/>
  <c r="AC573" i="15"/>
  <c r="R573" i="15"/>
  <c r="W573" i="15" s="1"/>
  <c r="R576" i="15"/>
  <c r="W576" i="15" s="1"/>
  <c r="X678" i="15"/>
  <c r="W678" i="15"/>
  <c r="X720" i="15"/>
  <c r="W720" i="15"/>
  <c r="R722" i="15"/>
  <c r="R747" i="15"/>
  <c r="X760" i="15"/>
  <c r="W760" i="15"/>
  <c r="R774" i="15"/>
  <c r="AC810" i="15"/>
  <c r="R810" i="15"/>
  <c r="W860" i="15"/>
  <c r="X860" i="15"/>
  <c r="R1038" i="15"/>
  <c r="R1052" i="15"/>
  <c r="AC1077" i="15"/>
  <c r="R1077" i="15"/>
  <c r="W1085" i="15"/>
  <c r="X1085" i="15"/>
  <c r="X1124" i="15"/>
  <c r="W1124" i="15"/>
  <c r="W1489" i="15"/>
  <c r="X1489" i="15"/>
  <c r="AC1595" i="15"/>
  <c r="R1595" i="15"/>
  <c r="Y1695" i="15"/>
  <c r="Y2235" i="15"/>
  <c r="AD3" i="15"/>
  <c r="V3" i="15" s="1"/>
  <c r="T3" i="15" s="1"/>
  <c r="Y3" i="15" s="1"/>
  <c r="Y1684" i="15"/>
  <c r="Y1665" i="15"/>
  <c r="Y2109" i="15"/>
  <c r="Y2071" i="15"/>
  <c r="S6" i="15"/>
  <c r="X6" i="15" s="1"/>
  <c r="AD6" i="15"/>
  <c r="V6" i="15" s="1"/>
  <c r="T6" i="15" s="1"/>
  <c r="Y6" i="15" s="1"/>
  <c r="S31" i="15"/>
  <c r="X31" i="15" s="1"/>
  <c r="S39" i="15"/>
  <c r="AD39" i="15"/>
  <c r="V39" i="15" s="1"/>
  <c r="T39" i="15" s="1"/>
  <c r="Y39" i="15" s="1"/>
  <c r="S98" i="15"/>
  <c r="X98" i="15" s="1"/>
  <c r="AD98" i="15"/>
  <c r="V98" i="15" s="1"/>
  <c r="T98" i="15" s="1"/>
  <c r="X211" i="15"/>
  <c r="S312" i="15"/>
  <c r="X312" i="15" s="1"/>
  <c r="AD312" i="15"/>
  <c r="V312" i="15" s="1"/>
  <c r="T312" i="15" s="1"/>
  <c r="S318" i="15"/>
  <c r="X318" i="15" s="1"/>
  <c r="S325" i="15"/>
  <c r="X325" i="15" s="1"/>
  <c r="AD325" i="15"/>
  <c r="V325" i="15" s="1"/>
  <c r="T325" i="15" s="1"/>
  <c r="Y325" i="15" s="1"/>
  <c r="S358" i="15"/>
  <c r="X358" i="15" s="1"/>
  <c r="AD358" i="15"/>
  <c r="AD540" i="15"/>
  <c r="V540" i="15" s="1"/>
  <c r="T540" i="15" s="1"/>
  <c r="Y540" i="15" s="1"/>
  <c r="AC557" i="15"/>
  <c r="U557" i="15" s="1"/>
  <c r="T557" i="15" s="1"/>
  <c r="Y557" i="15" s="1"/>
  <c r="R557" i="15"/>
  <c r="W557" i="15" s="1"/>
  <c r="X1212" i="15"/>
  <c r="W1212" i="15"/>
  <c r="AC1517" i="15"/>
  <c r="R1517" i="15"/>
  <c r="AC2006" i="15"/>
  <c r="R2006" i="15"/>
  <c r="W2015" i="15"/>
  <c r="X2015" i="15"/>
  <c r="AD2070" i="15"/>
  <c r="R2216" i="15"/>
  <c r="Y1042" i="15"/>
  <c r="Y998" i="15"/>
  <c r="Y786" i="15"/>
  <c r="Y607" i="15"/>
  <c r="Y876" i="15"/>
  <c r="Y2072" i="15"/>
  <c r="R2201" i="15"/>
  <c r="Y1928" i="15"/>
  <c r="Y2050" i="15"/>
  <c r="Y1965" i="15"/>
  <c r="Y1771" i="15"/>
  <c r="Y1699" i="15"/>
  <c r="Y1729" i="15"/>
  <c r="Y2140" i="15"/>
  <c r="Y1579" i="15"/>
  <c r="Y1341" i="15"/>
  <c r="Y2214" i="15"/>
  <c r="Y1675" i="15"/>
  <c r="Y1192" i="15"/>
  <c r="W2220" i="15"/>
  <c r="Y1779" i="15"/>
  <c r="Y1100" i="15"/>
  <c r="Y668" i="15"/>
  <c r="Y1201" i="15"/>
  <c r="Y1076" i="15"/>
  <c r="Y1439" i="15"/>
  <c r="Y1051" i="15"/>
  <c r="Y670" i="15"/>
  <c r="Y849" i="15"/>
  <c r="Y706" i="15"/>
  <c r="Y640" i="15"/>
  <c r="R1924" i="15"/>
  <c r="R2037" i="15"/>
  <c r="R1853" i="15"/>
  <c r="Y1764" i="15"/>
  <c r="Y2012" i="15"/>
  <c r="Y756" i="15"/>
  <c r="Y656" i="15"/>
  <c r="Y1903" i="15"/>
  <c r="Y1704" i="15"/>
  <c r="W2202" i="15"/>
  <c r="Y726" i="15"/>
  <c r="Y678" i="15"/>
  <c r="Y1719" i="15"/>
  <c r="Y595" i="15"/>
  <c r="Y639" i="15"/>
  <c r="Y741" i="15"/>
  <c r="Y784" i="15"/>
  <c r="Y787" i="15"/>
  <c r="Y867" i="15"/>
  <c r="Y892" i="15"/>
  <c r="Y890" i="15"/>
  <c r="Y1432" i="15"/>
  <c r="Y1055" i="15"/>
  <c r="Y1087" i="15"/>
  <c r="Y1212" i="15"/>
  <c r="Y1438" i="15"/>
  <c r="Y1490" i="15"/>
  <c r="Y1685" i="15"/>
  <c r="Y2101" i="15"/>
  <c r="Y2087" i="15"/>
  <c r="Y2127" i="15"/>
  <c r="Y2202" i="15"/>
  <c r="X134" i="15"/>
  <c r="X515" i="15"/>
  <c r="Y2219" i="15"/>
  <c r="T288" i="15"/>
  <c r="Y288" i="15" s="1"/>
  <c r="W506" i="15"/>
  <c r="X506" i="15"/>
  <c r="AC508" i="15"/>
  <c r="AD506" i="15"/>
  <c r="V506" i="15" s="1"/>
  <c r="T506" i="15" s="1"/>
  <c r="S507" i="15"/>
  <c r="X507" i="15" s="1"/>
  <c r="T484" i="15"/>
  <c r="Y484" i="15" s="1"/>
  <c r="V12" i="28"/>
  <c r="N12" i="28"/>
  <c r="O12" i="28"/>
  <c r="P12" i="28"/>
  <c r="R12" i="28"/>
  <c r="M12" i="28"/>
  <c r="W12" i="28"/>
  <c r="Q12" i="28"/>
  <c r="T12" i="28"/>
  <c r="L12" i="28"/>
  <c r="U12" i="28"/>
  <c r="N18" i="25"/>
  <c r="U18" i="25"/>
  <c r="M18" i="25"/>
  <c r="O18" i="25"/>
  <c r="P18" i="25"/>
  <c r="L18" i="25"/>
  <c r="W18" i="25"/>
  <c r="Q18" i="25"/>
  <c r="V18" i="25"/>
  <c r="R18" i="25"/>
  <c r="N16" i="25"/>
  <c r="O16" i="25"/>
  <c r="V16" i="25"/>
  <c r="Q16" i="25"/>
  <c r="R16" i="25"/>
  <c r="M16" i="25"/>
  <c r="U16" i="25"/>
  <c r="L16" i="25"/>
  <c r="W16" i="25"/>
  <c r="P16" i="25"/>
  <c r="T352" i="15"/>
  <c r="Y81" i="15"/>
  <c r="C23" i="14"/>
  <c r="B21" i="3" s="1"/>
  <c r="C88" i="14"/>
  <c r="B86" i="3" s="1"/>
  <c r="T180" i="15"/>
  <c r="C17" i="22"/>
  <c r="D17" i="22" s="1"/>
  <c r="C48" i="22"/>
  <c r="D48" i="22" s="1"/>
  <c r="Y125" i="15"/>
  <c r="T287" i="15"/>
  <c r="T503" i="15"/>
  <c r="Y503" i="15" s="1"/>
  <c r="R505" i="15"/>
  <c r="W505" i="15" s="1"/>
  <c r="M7" i="3"/>
  <c r="M8" i="3"/>
  <c r="Q15" i="27"/>
  <c r="Y105" i="15"/>
  <c r="Y445" i="15"/>
  <c r="M11" i="3"/>
  <c r="M10" i="3"/>
  <c r="C30" i="22"/>
  <c r="D30" i="22" s="1"/>
  <c r="T502" i="15"/>
  <c r="P20" i="14"/>
  <c r="D18" i="3" s="1"/>
  <c r="T454" i="15"/>
  <c r="M32" i="28"/>
  <c r="V32" i="28"/>
  <c r="S32" i="28"/>
  <c r="P32" i="28"/>
  <c r="W32" i="28"/>
  <c r="Q32" i="28"/>
  <c r="O32" i="28"/>
  <c r="N32" i="28"/>
  <c r="U32" i="28"/>
  <c r="L32" i="28"/>
  <c r="R32" i="28"/>
  <c r="T32" i="28"/>
  <c r="W42" i="28"/>
  <c r="M42" i="28"/>
  <c r="Q42" i="28"/>
  <c r="O42" i="28"/>
  <c r="V42" i="28"/>
  <c r="N42" i="28"/>
  <c r="S42" i="28"/>
  <c r="P42" i="28"/>
  <c r="R42" i="28"/>
  <c r="L42" i="28"/>
  <c r="T42" i="28"/>
  <c r="U42" i="28"/>
  <c r="C90" i="14"/>
  <c r="B88" i="3" s="1"/>
  <c r="Q35" i="14"/>
  <c r="K35" i="14"/>
  <c r="C34" i="17"/>
  <c r="I34" i="17" s="1"/>
  <c r="A42" i="3"/>
  <c r="E34" i="17"/>
  <c r="B81" i="14"/>
  <c r="A32" i="3"/>
  <c r="H33" i="17"/>
  <c r="A31" i="3"/>
  <c r="E36" i="17"/>
  <c r="H29" i="17"/>
  <c r="B69" i="14"/>
  <c r="B29" i="17"/>
  <c r="B46" i="14"/>
  <c r="A27" i="3"/>
  <c r="B75" i="14"/>
  <c r="B54" i="14"/>
  <c r="B38" i="14"/>
  <c r="B70" i="14"/>
  <c r="A37" i="3"/>
  <c r="A71" i="3"/>
  <c r="A69" i="3"/>
  <c r="A79" i="3"/>
  <c r="A86" i="3"/>
  <c r="A89" i="3"/>
  <c r="A94" i="3"/>
  <c r="B106" i="14"/>
  <c r="B102" i="14"/>
  <c r="B99" i="14"/>
  <c r="A104" i="3"/>
  <c r="B110" i="14"/>
  <c r="B121" i="14"/>
  <c r="B177" i="14"/>
  <c r="B148" i="14"/>
  <c r="B181" i="14"/>
  <c r="B145" i="14"/>
  <c r="B162" i="14"/>
  <c r="B146" i="14"/>
  <c r="B130" i="14"/>
  <c r="B50" i="17"/>
  <c r="C72" i="17"/>
  <c r="B81" i="17"/>
  <c r="C118" i="17"/>
  <c r="E89" i="17"/>
  <c r="C46" i="17"/>
  <c r="C83" i="17"/>
  <c r="B94" i="17"/>
  <c r="C114" i="17"/>
  <c r="E145" i="17"/>
  <c r="B52" i="17"/>
  <c r="C66" i="17"/>
  <c r="C142" i="17"/>
  <c r="F112" i="17"/>
  <c r="C52" i="17"/>
  <c r="C77" i="17"/>
  <c r="B66" i="17"/>
  <c r="E44" i="17"/>
  <c r="H83" i="17"/>
  <c r="C133" i="17"/>
  <c r="B158" i="17"/>
  <c r="B114" i="17"/>
  <c r="F148" i="17"/>
  <c r="F92" i="17"/>
  <c r="E118" i="17"/>
  <c r="H144" i="17"/>
  <c r="H64" i="17"/>
  <c r="C156" i="17"/>
  <c r="C96" i="17"/>
  <c r="B109" i="17"/>
  <c r="E133" i="17"/>
  <c r="H135" i="17"/>
  <c r="C143" i="17"/>
  <c r="B148" i="17"/>
  <c r="B96" i="17"/>
  <c r="F96" i="17"/>
  <c r="E90" i="17"/>
  <c r="H100" i="17"/>
  <c r="F126" i="17"/>
  <c r="F70" i="17"/>
  <c r="E128" i="17"/>
  <c r="E72" i="17"/>
  <c r="H126" i="17"/>
  <c r="H74" i="17"/>
  <c r="F73" i="17"/>
  <c r="E127" i="17"/>
  <c r="E75" i="17"/>
  <c r="H129" i="17"/>
  <c r="H73" i="17"/>
  <c r="B55" i="14"/>
  <c r="L12" i="14"/>
  <c r="H32" i="17"/>
  <c r="B47" i="14"/>
  <c r="A62" i="3"/>
  <c r="A58" i="3"/>
  <c r="A70" i="3"/>
  <c r="A67" i="3"/>
  <c r="A78" i="3"/>
  <c r="A85" i="3"/>
  <c r="A91" i="3"/>
  <c r="A95" i="3"/>
  <c r="B103" i="14"/>
  <c r="B101" i="14"/>
  <c r="A100" i="3"/>
  <c r="B109" i="14"/>
  <c r="B128" i="14"/>
  <c r="B120" i="14"/>
  <c r="B119" i="14"/>
  <c r="B151" i="14"/>
  <c r="B169" i="14"/>
  <c r="B139" i="14"/>
  <c r="B173" i="14"/>
  <c r="B131" i="14"/>
  <c r="C55" i="17"/>
  <c r="C92" i="17"/>
  <c r="C64" i="17"/>
  <c r="B75" i="17"/>
  <c r="B151" i="17"/>
  <c r="F123" i="17"/>
  <c r="H139" i="17"/>
  <c r="B49" i="17"/>
  <c r="C79" i="17"/>
  <c r="B90" i="17"/>
  <c r="B147" i="17"/>
  <c r="E113" i="17"/>
  <c r="B48" i="17"/>
  <c r="C58" i="17"/>
  <c r="C126" i="17"/>
  <c r="F87" i="17"/>
  <c r="C44" i="17"/>
  <c r="C73" i="17"/>
  <c r="B58" i="17"/>
  <c r="F128" i="17"/>
  <c r="H51" i="17"/>
  <c r="C129" i="17"/>
  <c r="B150" i="17"/>
  <c r="B110" i="17"/>
  <c r="F143" i="17"/>
  <c r="F76" i="17"/>
  <c r="E110" i="17"/>
  <c r="H136" i="17"/>
  <c r="H48" i="17"/>
  <c r="C152" i="17"/>
  <c r="B157" i="17"/>
  <c r="B97" i="17"/>
  <c r="F115" i="17"/>
  <c r="E117" i="17"/>
  <c r="H119" i="17"/>
  <c r="C135" i="17"/>
  <c r="B144" i="17"/>
  <c r="F159" i="17"/>
  <c r="F88" i="17"/>
  <c r="E82" i="17"/>
  <c r="H76" i="17"/>
  <c r="F122" i="17"/>
  <c r="F62" i="17"/>
  <c r="E120" i="17"/>
  <c r="E64" i="17"/>
  <c r="H122" i="17"/>
  <c r="H62" i="17"/>
  <c r="F69" i="17"/>
  <c r="E123" i="17"/>
  <c r="E63" i="17"/>
  <c r="H125" i="17"/>
  <c r="H65" i="17"/>
  <c r="B40" i="14"/>
  <c r="C39" i="17"/>
  <c r="A36" i="3"/>
  <c r="A72" i="3"/>
  <c r="A82" i="3"/>
  <c r="A77" i="3"/>
  <c r="A87" i="3"/>
  <c r="A97" i="3"/>
  <c r="A101" i="3"/>
  <c r="B107" i="14"/>
  <c r="B124" i="14"/>
  <c r="B122" i="14"/>
  <c r="B114" i="14"/>
  <c r="B135" i="14"/>
  <c r="B161" i="14"/>
  <c r="B133" i="14"/>
  <c r="B167" i="14"/>
  <c r="B163" i="14"/>
  <c r="B154" i="14"/>
  <c r="B138" i="14"/>
  <c r="C43" i="17"/>
  <c r="C88" i="17"/>
  <c r="C60" i="17"/>
  <c r="C159" i="17"/>
  <c r="B119" i="17"/>
  <c r="F101" i="17"/>
  <c r="H75" i="17"/>
  <c r="B45" i="17"/>
  <c r="C71" i="17"/>
  <c r="B69" i="17"/>
  <c r="F158" i="17"/>
  <c r="H99" i="17"/>
  <c r="C86" i="17"/>
  <c r="B78" i="17"/>
  <c r="B127" i="17"/>
  <c r="E73" i="17"/>
  <c r="B43" i="17"/>
  <c r="C57" i="17"/>
  <c r="C106" i="17"/>
  <c r="E129" i="17"/>
  <c r="C157" i="17"/>
  <c r="C113" i="17"/>
  <c r="B134" i="17"/>
  <c r="F45" i="17"/>
  <c r="F121" i="17"/>
  <c r="E158" i="17"/>
  <c r="E78" i="17"/>
  <c r="H104" i="17"/>
  <c r="B76" i="17"/>
  <c r="C128" i="17"/>
  <c r="B137" i="17"/>
  <c r="F152" i="17"/>
  <c r="F83" i="17"/>
  <c r="E77" i="17"/>
  <c r="H71" i="17"/>
  <c r="C115" i="17"/>
  <c r="B120" i="17"/>
  <c r="F135" i="17"/>
  <c r="E154" i="17"/>
  <c r="H156" i="17"/>
  <c r="H43" i="17"/>
  <c r="F102" i="17"/>
  <c r="E156" i="17"/>
  <c r="E96" i="17"/>
  <c r="H158" i="17"/>
  <c r="H98" i="17"/>
  <c r="H42" i="17"/>
  <c r="E159" i="17"/>
  <c r="E103" i="17"/>
  <c r="H157" i="17"/>
  <c r="H105" i="17"/>
  <c r="A73" i="3"/>
  <c r="A66" i="3"/>
  <c r="A74" i="3"/>
  <c r="A75" i="3"/>
  <c r="H53" i="17"/>
  <c r="H69" i="17"/>
  <c r="H85" i="17"/>
  <c r="H101" i="17"/>
  <c r="H117" i="17"/>
  <c r="H133" i="17"/>
  <c r="H149" i="17"/>
  <c r="E51" i="17"/>
  <c r="E67" i="17"/>
  <c r="E83" i="17"/>
  <c r="E99" i="17"/>
  <c r="E115" i="17"/>
  <c r="E131" i="17"/>
  <c r="E147" i="17"/>
  <c r="F49" i="17"/>
  <c r="F65" i="17"/>
  <c r="F81" i="17"/>
  <c r="F97" i="17"/>
  <c r="H54" i="17"/>
  <c r="H70" i="17"/>
  <c r="H86" i="17"/>
  <c r="H102" i="17"/>
  <c r="H118" i="17"/>
  <c r="H134" i="17"/>
  <c r="H150" i="17"/>
  <c r="E52" i="17"/>
  <c r="E68" i="17"/>
  <c r="E84" i="17"/>
  <c r="E100" i="17"/>
  <c r="E116" i="17"/>
  <c r="E132" i="17"/>
  <c r="E148" i="17"/>
  <c r="F50" i="17"/>
  <c r="I50" i="17" s="1"/>
  <c r="F66" i="17"/>
  <c r="F82" i="17"/>
  <c r="I82" i="17" s="1"/>
  <c r="F98" i="17"/>
  <c r="F114" i="17"/>
  <c r="F130" i="17"/>
  <c r="F146" i="17"/>
  <c r="H52" i="17"/>
  <c r="H84" i="17"/>
  <c r="H116" i="17"/>
  <c r="H148" i="17"/>
  <c r="E66" i="17"/>
  <c r="E98" i="17"/>
  <c r="E130" i="17"/>
  <c r="F48" i="17"/>
  <c r="F80" i="17"/>
  <c r="I80" i="17" s="1"/>
  <c r="F108" i="17"/>
  <c r="F129" i="17"/>
  <c r="F151" i="17"/>
  <c r="F44" i="17"/>
  <c r="B108" i="17"/>
  <c r="B124" i="17"/>
  <c r="B140" i="17"/>
  <c r="B156" i="17"/>
  <c r="C107" i="17"/>
  <c r="C123" i="17"/>
  <c r="C139" i="17"/>
  <c r="I139" i="17" s="1"/>
  <c r="H47" i="17"/>
  <c r="H79" i="17"/>
  <c r="H111" i="17"/>
  <c r="H143" i="17"/>
  <c r="E61" i="17"/>
  <c r="E93" i="17"/>
  <c r="E125" i="17"/>
  <c r="E157" i="17"/>
  <c r="F75" i="17"/>
  <c r="F104" i="17"/>
  <c r="F120" i="17"/>
  <c r="I120" i="17" s="1"/>
  <c r="F141" i="17"/>
  <c r="E41" i="17"/>
  <c r="B101" i="17"/>
  <c r="B117" i="17"/>
  <c r="B133" i="17"/>
  <c r="B149" i="17"/>
  <c r="C100" i="17"/>
  <c r="C116" i="17"/>
  <c r="C132" i="17"/>
  <c r="C148" i="17"/>
  <c r="B60" i="17"/>
  <c r="H57" i="17"/>
  <c r="H77" i="17"/>
  <c r="H97" i="17"/>
  <c r="H121" i="17"/>
  <c r="H141" i="17"/>
  <c r="E47" i="17"/>
  <c r="E71" i="17"/>
  <c r="E91" i="17"/>
  <c r="E111" i="17"/>
  <c r="E135" i="17"/>
  <c r="E155" i="17"/>
  <c r="F61" i="17"/>
  <c r="F85" i="17"/>
  <c r="H46" i="17"/>
  <c r="H66" i="17"/>
  <c r="H90" i="17"/>
  <c r="H110" i="17"/>
  <c r="H130" i="17"/>
  <c r="H154" i="17"/>
  <c r="E60" i="17"/>
  <c r="E80" i="17"/>
  <c r="E104" i="17"/>
  <c r="E124" i="17"/>
  <c r="E144" i="17"/>
  <c r="F54" i="17"/>
  <c r="F74" i="17"/>
  <c r="F94" i="17"/>
  <c r="F118" i="17"/>
  <c r="F138" i="17"/>
  <c r="H44" i="17"/>
  <c r="H92" i="17"/>
  <c r="H132" i="17"/>
  <c r="E58" i="17"/>
  <c r="E106" i="17"/>
  <c r="E146" i="17"/>
  <c r="F72" i="17"/>
  <c r="F113" i="17"/>
  <c r="F140" i="17"/>
  <c r="F42" i="17"/>
  <c r="B112" i="17"/>
  <c r="B132" i="17"/>
  <c r="B152" i="17"/>
  <c r="C111" i="17"/>
  <c r="C131" i="17"/>
  <c r="C151" i="17"/>
  <c r="H87" i="17"/>
  <c r="H127" i="17"/>
  <c r="E53" i="17"/>
  <c r="E101" i="17"/>
  <c r="E141" i="17"/>
  <c r="F67" i="17"/>
  <c r="F109" i="17"/>
  <c r="I109" i="17" s="1"/>
  <c r="F131" i="17"/>
  <c r="F156" i="17"/>
  <c r="B105" i="17"/>
  <c r="B125" i="17"/>
  <c r="B145" i="17"/>
  <c r="C104" i="17"/>
  <c r="C124" i="17"/>
  <c r="I124" i="17" s="1"/>
  <c r="C144" i="17"/>
  <c r="B64" i="17"/>
  <c r="B80" i="17"/>
  <c r="H56" i="17"/>
  <c r="H88" i="17"/>
  <c r="H120" i="17"/>
  <c r="H152" i="17"/>
  <c r="E70" i="17"/>
  <c r="E102" i="17"/>
  <c r="E134" i="17"/>
  <c r="F52" i="17"/>
  <c r="F84" i="17"/>
  <c r="F111" i="17"/>
  <c r="F132" i="17"/>
  <c r="F43" i="17"/>
  <c r="B106" i="17"/>
  <c r="B122" i="17"/>
  <c r="B138" i="17"/>
  <c r="B154" i="17"/>
  <c r="C105" i="17"/>
  <c r="C121" i="17"/>
  <c r="C137" i="17"/>
  <c r="C153" i="17"/>
  <c r="B65" i="17"/>
  <c r="H147" i="17"/>
  <c r="F47" i="17"/>
  <c r="F149" i="17"/>
  <c r="I149" i="17" s="1"/>
  <c r="B139" i="17"/>
  <c r="C138" i="17"/>
  <c r="B71" i="17"/>
  <c r="B92" i="17"/>
  <c r="C69" i="17"/>
  <c r="C85" i="17"/>
  <c r="B47" i="17"/>
  <c r="C48" i="17"/>
  <c r="I48" i="17" s="1"/>
  <c r="H123" i="17"/>
  <c r="E137" i="17"/>
  <c r="F133" i="17"/>
  <c r="B111" i="17"/>
  <c r="C110" i="17"/>
  <c r="B59" i="17"/>
  <c r="B83" i="17"/>
  <c r="C62" i="17"/>
  <c r="C78" i="17"/>
  <c r="C94" i="17"/>
  <c r="C41" i="17"/>
  <c r="I41" i="17" s="1"/>
  <c r="H67" i="17"/>
  <c r="E81" i="17"/>
  <c r="F95" i="17"/>
  <c r="B99" i="17"/>
  <c r="C98" i="17"/>
  <c r="C158" i="17"/>
  <c r="I158" i="17" s="1"/>
  <c r="B79" i="17"/>
  <c r="C59" i="17"/>
  <c r="I59" i="17" s="1"/>
  <c r="C75" i="17"/>
  <c r="C91" i="17"/>
  <c r="B53" i="17"/>
  <c r="C54" i="17"/>
  <c r="I54" i="17" s="1"/>
  <c r="E57" i="17"/>
  <c r="F71" i="17"/>
  <c r="F144" i="17"/>
  <c r="B135" i="17"/>
  <c r="C134" i="17"/>
  <c r="B70" i="17"/>
  <c r="B91" i="17"/>
  <c r="C68" i="17"/>
  <c r="C84" i="17"/>
  <c r="B46" i="17"/>
  <c r="C47" i="17"/>
  <c r="B142" i="14"/>
  <c r="B150" i="14"/>
  <c r="B158" i="14"/>
  <c r="B166" i="14"/>
  <c r="B174" i="14"/>
  <c r="B182" i="14"/>
  <c r="B136" i="14"/>
  <c r="B147" i="14"/>
  <c r="B157" i="14"/>
  <c r="B183" i="14"/>
  <c r="B149" i="14"/>
  <c r="B129" i="14"/>
  <c r="B159" i="14"/>
  <c r="B137" i="14"/>
  <c r="B165" i="14"/>
  <c r="B156" i="14"/>
  <c r="B118" i="14"/>
  <c r="A110" i="3"/>
  <c r="B126" i="14"/>
  <c r="B115" i="14"/>
  <c r="B123" i="14"/>
  <c r="B112" i="14"/>
  <c r="B108" i="14"/>
  <c r="A109" i="3"/>
  <c r="A103" i="3"/>
  <c r="B97" i="14"/>
  <c r="B105" i="14"/>
  <c r="A99" i="3"/>
  <c r="H49" i="17"/>
  <c r="H81" i="17"/>
  <c r="H109" i="17"/>
  <c r="H137" i="17"/>
  <c r="E55" i="17"/>
  <c r="E79" i="17"/>
  <c r="E107" i="17"/>
  <c r="E139" i="17"/>
  <c r="F53" i="17"/>
  <c r="I53" i="17" s="1"/>
  <c r="F77" i="17"/>
  <c r="H50" i="17"/>
  <c r="H78" i="17"/>
  <c r="H106" i="17"/>
  <c r="H138" i="17"/>
  <c r="E48" i="17"/>
  <c r="E76" i="17"/>
  <c r="E108" i="17"/>
  <c r="E136" i="17"/>
  <c r="F46" i="17"/>
  <c r="F78" i="17"/>
  <c r="F106" i="17"/>
  <c r="F134" i="17"/>
  <c r="H60" i="17"/>
  <c r="H108" i="17"/>
  <c r="E50" i="17"/>
  <c r="E114" i="17"/>
  <c r="F56" i="17"/>
  <c r="F103" i="17"/>
  <c r="I103" i="17" s="1"/>
  <c r="F145" i="17"/>
  <c r="B100" i="17"/>
  <c r="B128" i="17"/>
  <c r="C95" i="17"/>
  <c r="I95" i="17" s="1"/>
  <c r="C119" i="17"/>
  <c r="C147" i="17"/>
  <c r="I147" i="17" s="1"/>
  <c r="H95" i="17"/>
  <c r="H151" i="17"/>
  <c r="E85" i="17"/>
  <c r="E149" i="17"/>
  <c r="F91" i="17"/>
  <c r="F125" i="17"/>
  <c r="E43" i="17"/>
  <c r="B113" i="17"/>
  <c r="B141" i="17"/>
  <c r="C108" i="17"/>
  <c r="I108" i="17" s="1"/>
  <c r="C136" i="17"/>
  <c r="B56" i="17"/>
  <c r="B84" i="17"/>
  <c r="H72" i="17"/>
  <c r="H112" i="17"/>
  <c r="E46" i="17"/>
  <c r="E86" i="17"/>
  <c r="E126" i="17"/>
  <c r="F60" i="17"/>
  <c r="F100" i="17"/>
  <c r="F127" i="17"/>
  <c r="F153" i="17"/>
  <c r="B98" i="17"/>
  <c r="B118" i="17"/>
  <c r="B142" i="17"/>
  <c r="C97" i="17"/>
  <c r="I97" i="17" s="1"/>
  <c r="C117" i="17"/>
  <c r="C141" i="17"/>
  <c r="I141" i="17" s="1"/>
  <c r="B57" i="17"/>
  <c r="H115" i="17"/>
  <c r="F79" i="17"/>
  <c r="B107" i="17"/>
  <c r="C122" i="17"/>
  <c r="B77" i="17"/>
  <c r="C61" i="17"/>
  <c r="C81" i="17"/>
  <c r="B51" i="17"/>
  <c r="H59" i="17"/>
  <c r="E105" i="17"/>
  <c r="F154" i="17"/>
  <c r="B143" i="17"/>
  <c r="C155" i="17"/>
  <c r="B89" i="17"/>
  <c r="C70" i="17"/>
  <c r="C90" i="17"/>
  <c r="C45" i="17"/>
  <c r="I45" i="17" s="1"/>
  <c r="H131" i="17"/>
  <c r="F63" i="17"/>
  <c r="I63" i="17" s="1"/>
  <c r="B115" i="17"/>
  <c r="C130" i="17"/>
  <c r="B74" i="17"/>
  <c r="H61" i="17"/>
  <c r="H89" i="17"/>
  <c r="H113" i="17"/>
  <c r="H145" i="17"/>
  <c r="E59" i="17"/>
  <c r="E87" i="17"/>
  <c r="E119" i="17"/>
  <c r="E143" i="17"/>
  <c r="F57" i="17"/>
  <c r="F89" i="17"/>
  <c r="H58" i="17"/>
  <c r="H82" i="17"/>
  <c r="H114" i="17"/>
  <c r="H142" i="17"/>
  <c r="E56" i="17"/>
  <c r="E88" i="17"/>
  <c r="E112" i="17"/>
  <c r="E140" i="17"/>
  <c r="F58" i="17"/>
  <c r="F86" i="17"/>
  <c r="F110" i="17"/>
  <c r="F142" i="17"/>
  <c r="H68" i="17"/>
  <c r="H124" i="17"/>
  <c r="E74" i="17"/>
  <c r="E122" i="17"/>
  <c r="F64" i="17"/>
  <c r="F119" i="17"/>
  <c r="F155" i="17"/>
  <c r="B104" i="17"/>
  <c r="B136" i="17"/>
  <c r="C99" i="17"/>
  <c r="C127" i="17"/>
  <c r="H55" i="17"/>
  <c r="H103" i="17"/>
  <c r="H159" i="17"/>
  <c r="E109" i="17"/>
  <c r="F51" i="17"/>
  <c r="F99" i="17"/>
  <c r="F136" i="17"/>
  <c r="E45" i="17"/>
  <c r="B121" i="17"/>
  <c r="B153" i="17"/>
  <c r="C112" i="17"/>
  <c r="C140" i="17"/>
  <c r="I140" i="17" s="1"/>
  <c r="B68" i="17"/>
  <c r="B88" i="17"/>
  <c r="H80" i="17"/>
  <c r="H128" i="17"/>
  <c r="E54" i="17"/>
  <c r="E94" i="17"/>
  <c r="E142" i="17"/>
  <c r="F68" i="17"/>
  <c r="F105" i="17"/>
  <c r="F137" i="17"/>
  <c r="F157" i="17"/>
  <c r="B102" i="17"/>
  <c r="B126" i="17"/>
  <c r="B146" i="17"/>
  <c r="C101" i="17"/>
  <c r="C125" i="17"/>
  <c r="C145" i="17"/>
  <c r="B61" i="17"/>
  <c r="E65" i="17"/>
  <c r="F107" i="17"/>
  <c r="B123" i="17"/>
  <c r="C154" i="17"/>
  <c r="B82" i="17"/>
  <c r="C65" i="17"/>
  <c r="C89" i="17"/>
  <c r="I89" i="17" s="1"/>
  <c r="B55" i="17"/>
  <c r="H91" i="17"/>
  <c r="F55" i="17"/>
  <c r="B159" i="17"/>
  <c r="B67" i="17"/>
  <c r="B93" i="17"/>
  <c r="C74" i="17"/>
  <c r="I74" i="17" s="1"/>
  <c r="B44" i="17"/>
  <c r="C49" i="17"/>
  <c r="E49" i="17"/>
  <c r="F117" i="17"/>
  <c r="B131" i="17"/>
  <c r="C146" i="17"/>
  <c r="B85" i="17"/>
  <c r="C67" i="17"/>
  <c r="C87" i="17"/>
  <c r="C42" i="17"/>
  <c r="H107" i="17"/>
  <c r="E153" i="17"/>
  <c r="E42" i="17"/>
  <c r="C102" i="17"/>
  <c r="B63" i="17"/>
  <c r="C56" i="17"/>
  <c r="C76" i="17"/>
  <c r="B42" i="17"/>
  <c r="C51" i="17"/>
  <c r="B170" i="14"/>
  <c r="B152" i="14"/>
  <c r="B168" i="14"/>
  <c r="B132" i="14"/>
  <c r="B153" i="14"/>
  <c r="B175" i="14"/>
  <c r="B140" i="14"/>
  <c r="B176" i="14"/>
  <c r="B164" i="14"/>
  <c r="B144" i="14"/>
  <c r="B180" i="14"/>
  <c r="B171" i="14"/>
  <c r="A108" i="3"/>
  <c r="B111" i="14"/>
  <c r="A111" i="3"/>
  <c r="B116" i="14"/>
  <c r="A106" i="3"/>
  <c r="B113" i="14"/>
  <c r="A107" i="3"/>
  <c r="B96" i="14"/>
  <c r="A98" i="3"/>
  <c r="B104" i="14"/>
  <c r="B98" i="14"/>
  <c r="A93" i="3"/>
  <c r="A92" i="3"/>
  <c r="A88" i="3"/>
  <c r="A83" i="3"/>
  <c r="A80" i="3"/>
  <c r="A68" i="3"/>
  <c r="A65" i="3"/>
  <c r="A28" i="3"/>
  <c r="B20" i="17"/>
  <c r="A45" i="3"/>
  <c r="B63" i="14"/>
  <c r="A46" i="3"/>
  <c r="B31" i="14"/>
  <c r="F29" i="17"/>
  <c r="A29" i="3"/>
  <c r="H40" i="17"/>
  <c r="A55" i="3"/>
  <c r="C11" i="17"/>
  <c r="I11" i="17" s="1"/>
  <c r="H13" i="17"/>
  <c r="A19" i="3"/>
  <c r="A54" i="3"/>
  <c r="B51" i="14"/>
  <c r="B85" i="14"/>
  <c r="H10" i="17"/>
  <c r="F22" i="17"/>
  <c r="I22" i="17" s="1"/>
  <c r="E35" i="17"/>
  <c r="E11" i="17"/>
  <c r="E23" i="17"/>
  <c r="C36" i="17"/>
  <c r="I36" i="17" s="1"/>
  <c r="A22" i="3"/>
  <c r="A59" i="3"/>
  <c r="B26" i="14"/>
  <c r="F6" i="17"/>
  <c r="C17" i="17"/>
  <c r="I17" i="17" s="1"/>
  <c r="B30" i="17"/>
  <c r="A8" i="3"/>
  <c r="A39" i="3"/>
  <c r="B72" i="14"/>
  <c r="C12" i="17"/>
  <c r="C24" i="17"/>
  <c r="I24" i="17" s="1"/>
  <c r="B37" i="17"/>
  <c r="A24" i="3"/>
  <c r="A61" i="3"/>
  <c r="H4" i="17"/>
  <c r="C15" i="17"/>
  <c r="I15" i="17" s="1"/>
  <c r="B28" i="17"/>
  <c r="A17" i="3"/>
  <c r="A52" i="3"/>
  <c r="H35" i="17"/>
  <c r="E29" i="17"/>
  <c r="B23" i="17"/>
  <c r="F16" i="17"/>
  <c r="I16" i="17" s="1"/>
  <c r="C10" i="17"/>
  <c r="I10" i="17" s="1"/>
  <c r="B95" i="14"/>
  <c r="B86" i="14"/>
  <c r="B45" i="14"/>
  <c r="A49" i="3"/>
  <c r="F35" i="17"/>
  <c r="I35" i="17" s="1"/>
  <c r="C29" i="17"/>
  <c r="H22" i="17"/>
  <c r="E16" i="17"/>
  <c r="E8" i="17"/>
  <c r="B74" i="14"/>
  <c r="B32" i="14"/>
  <c r="B19" i="14"/>
  <c r="A56" i="3"/>
  <c r="E38" i="17"/>
  <c r="B32" i="17"/>
  <c r="F25" i="17"/>
  <c r="I25" i="17" s="1"/>
  <c r="C19" i="17"/>
  <c r="I19" i="17" s="1"/>
  <c r="C38" i="17"/>
  <c r="H31" i="17"/>
  <c r="E25" i="17"/>
  <c r="B19" i="17"/>
  <c r="F12" i="17"/>
  <c r="C6" i="17"/>
  <c r="B91" i="14"/>
  <c r="B36" i="14"/>
  <c r="B21" i="14"/>
  <c r="B33" i="14"/>
  <c r="B56" i="14"/>
  <c r="B79" i="14"/>
  <c r="H12" i="17"/>
  <c r="B25" i="17"/>
  <c r="H37" i="17"/>
  <c r="A26" i="3"/>
  <c r="A63" i="3"/>
  <c r="B28" i="14"/>
  <c r="B8" i="17"/>
  <c r="H18" i="17"/>
  <c r="F31" i="17"/>
  <c r="I31" i="17" s="1"/>
  <c r="H71" i="21"/>
  <c r="P71" i="21"/>
  <c r="S71" i="21"/>
  <c r="Q63" i="21"/>
  <c r="J63" i="21"/>
  <c r="N63" i="21"/>
  <c r="H15" i="21"/>
  <c r="I15" i="21"/>
  <c r="K15" i="21"/>
  <c r="H159" i="21"/>
  <c r="R159" i="21"/>
  <c r="E159" i="21"/>
  <c r="K159" i="21"/>
  <c r="H151" i="21"/>
  <c r="J151" i="21"/>
  <c r="R151" i="21"/>
  <c r="L151" i="21"/>
  <c r="H143" i="21"/>
  <c r="K143" i="21"/>
  <c r="S143" i="21"/>
  <c r="Q143" i="21"/>
  <c r="H135" i="21"/>
  <c r="Q135" i="21"/>
  <c r="S135" i="21"/>
  <c r="H127" i="21"/>
  <c r="E127" i="21"/>
  <c r="K127" i="21"/>
  <c r="I127" i="21"/>
  <c r="H119" i="21"/>
  <c r="R119" i="21"/>
  <c r="O119" i="21"/>
  <c r="L119" i="21"/>
  <c r="H158" i="21"/>
  <c r="L158" i="21"/>
  <c r="I158" i="21"/>
  <c r="Q158" i="21"/>
  <c r="H150" i="21"/>
  <c r="P150" i="21"/>
  <c r="Q150" i="21"/>
  <c r="J150" i="21"/>
  <c r="H142" i="21"/>
  <c r="Q142" i="21"/>
  <c r="J142" i="21"/>
  <c r="H134" i="21"/>
  <c r="B134" i="21"/>
  <c r="B9" i="21" s="1"/>
  <c r="J134" i="21"/>
  <c r="M134" i="21"/>
  <c r="H126" i="21"/>
  <c r="Q126" i="21"/>
  <c r="S126" i="21"/>
  <c r="O126" i="21"/>
  <c r="H118" i="21"/>
  <c r="I118" i="21"/>
  <c r="K118" i="21"/>
  <c r="P118" i="21"/>
  <c r="H86" i="21"/>
  <c r="Q86" i="21"/>
  <c r="R86" i="21"/>
  <c r="K55" i="21"/>
  <c r="L111" i="21"/>
  <c r="C9" i="21"/>
  <c r="C223" i="22"/>
  <c r="D223" i="22" s="1"/>
  <c r="Y502" i="15"/>
  <c r="P53" i="14"/>
  <c r="D51" i="3" s="1"/>
  <c r="Q9" i="28"/>
  <c r="O9" i="28"/>
  <c r="N9" i="28"/>
  <c r="W9" i="28"/>
  <c r="T9" i="28"/>
  <c r="L9" i="28"/>
  <c r="V9" i="28"/>
  <c r="R9" i="28"/>
  <c r="M9" i="28"/>
  <c r="U9" i="28"/>
  <c r="P9" i="28"/>
  <c r="M29" i="28"/>
  <c r="V29" i="28"/>
  <c r="N29" i="28"/>
  <c r="R29" i="28"/>
  <c r="U29" i="28"/>
  <c r="L29" i="28"/>
  <c r="W29" i="28"/>
  <c r="O29" i="28"/>
  <c r="T29" i="28"/>
  <c r="S29" i="28"/>
  <c r="P29" i="28"/>
  <c r="Q29" i="28"/>
  <c r="U8" i="25"/>
  <c r="W8" i="25"/>
  <c r="L8" i="25"/>
  <c r="M8" i="25"/>
  <c r="O8" i="25"/>
  <c r="Q8" i="25"/>
  <c r="S8" i="25"/>
  <c r="T8" i="25"/>
  <c r="V8" i="25"/>
  <c r="P8" i="25"/>
  <c r="N8" i="25"/>
  <c r="V12" i="25"/>
  <c r="Q12" i="25"/>
  <c r="O12" i="25"/>
  <c r="N12" i="25"/>
  <c r="R12" i="25"/>
  <c r="T12" i="25"/>
  <c r="M12" i="25"/>
  <c r="W12" i="25"/>
  <c r="L12" i="25"/>
  <c r="P12" i="25"/>
  <c r="U12" i="25"/>
  <c r="Q15" i="28"/>
  <c r="T15" i="28"/>
  <c r="O15" i="28"/>
  <c r="R15" i="28"/>
  <c r="V15" i="28"/>
  <c r="M15" i="28"/>
  <c r="W15" i="28"/>
  <c r="N15" i="28"/>
  <c r="P15" i="28"/>
  <c r="U15" i="28"/>
  <c r="L15" i="28"/>
  <c r="O43" i="28"/>
  <c r="U43" i="28"/>
  <c r="W43" i="28"/>
  <c r="Q43" i="28"/>
  <c r="R43" i="28"/>
  <c r="P43" i="28"/>
  <c r="S43" i="28"/>
  <c r="N43" i="28"/>
  <c r="T43" i="28"/>
  <c r="V43" i="28"/>
  <c r="L43" i="28"/>
  <c r="M43" i="28"/>
  <c r="W9" i="25"/>
  <c r="S9" i="25"/>
  <c r="V9" i="25"/>
  <c r="Q9" i="25"/>
  <c r="M9" i="25"/>
  <c r="O9" i="25"/>
  <c r="P9" i="25"/>
  <c r="T9" i="25"/>
  <c r="N9" i="25"/>
  <c r="L9" i="25"/>
  <c r="U9" i="25"/>
  <c r="M13" i="25"/>
  <c r="L13" i="25"/>
  <c r="T13" i="25"/>
  <c r="Q13" i="25"/>
  <c r="N13" i="25"/>
  <c r="W13" i="25"/>
  <c r="P13" i="25"/>
  <c r="O13" i="25"/>
  <c r="U13" i="25"/>
  <c r="V13" i="25"/>
  <c r="O66" i="25"/>
  <c r="S66" i="25"/>
  <c r="N66" i="25"/>
  <c r="R66" i="25"/>
  <c r="M66" i="25"/>
  <c r="P66" i="25"/>
  <c r="U66" i="25"/>
  <c r="W66" i="25"/>
  <c r="L66" i="25"/>
  <c r="Q66" i="25"/>
  <c r="T66" i="25"/>
  <c r="V66" i="25"/>
  <c r="W13" i="28"/>
  <c r="N13" i="28"/>
  <c r="T13" i="28"/>
  <c r="P13" i="28"/>
  <c r="L13" i="28"/>
  <c r="M13" i="28"/>
  <c r="S13" i="28"/>
  <c r="O13" i="28"/>
  <c r="V13" i="28"/>
  <c r="R13" i="28"/>
  <c r="U13" i="28"/>
  <c r="Q13" i="28"/>
  <c r="N33" i="28"/>
  <c r="P33" i="28"/>
  <c r="T33" i="28"/>
  <c r="M33" i="28"/>
  <c r="W33" i="28"/>
  <c r="L33" i="28"/>
  <c r="V33" i="28"/>
  <c r="Q33" i="28"/>
  <c r="O33" i="28"/>
  <c r="R33" i="28"/>
  <c r="S33" i="28"/>
  <c r="U33" i="28"/>
  <c r="W10" i="25"/>
  <c r="U10" i="25"/>
  <c r="M10" i="25"/>
  <c r="L10" i="25"/>
  <c r="S10" i="25"/>
  <c r="V10" i="25"/>
  <c r="P10" i="25"/>
  <c r="Q10" i="25"/>
  <c r="N10" i="25"/>
  <c r="O10" i="25"/>
  <c r="T10" i="25"/>
  <c r="T14" i="25"/>
  <c r="N14" i="25"/>
  <c r="U14" i="25"/>
  <c r="V14" i="25"/>
  <c r="O14" i="25"/>
  <c r="Q14" i="25"/>
  <c r="S14" i="25"/>
  <c r="L14" i="25"/>
  <c r="M14" i="25"/>
  <c r="P14" i="25"/>
  <c r="W14" i="25"/>
  <c r="Q11" i="28"/>
  <c r="V11" i="28"/>
  <c r="O11" i="28"/>
  <c r="R11" i="28"/>
  <c r="T11" i="28"/>
  <c r="M11" i="28"/>
  <c r="L11" i="28"/>
  <c r="S11" i="28"/>
  <c r="W11" i="28"/>
  <c r="P11" i="28"/>
  <c r="N11" i="28"/>
  <c r="U11" i="28"/>
  <c r="S31" i="28"/>
  <c r="W31" i="28"/>
  <c r="O31" i="28"/>
  <c r="V31" i="28"/>
  <c r="U31" i="28"/>
  <c r="R31" i="28"/>
  <c r="T31" i="28"/>
  <c r="M31" i="28"/>
  <c r="P31" i="28"/>
  <c r="L31" i="28"/>
  <c r="Q31" i="28"/>
  <c r="N31" i="28"/>
  <c r="M7" i="25"/>
  <c r="L7" i="25"/>
  <c r="O7" i="25"/>
  <c r="S7" i="25"/>
  <c r="U7" i="25"/>
  <c r="V7" i="25"/>
  <c r="Q7" i="25"/>
  <c r="N7" i="25"/>
  <c r="R7" i="25"/>
  <c r="P7" i="25"/>
  <c r="W7" i="25"/>
  <c r="T7" i="25"/>
  <c r="W11" i="25"/>
  <c r="N11" i="25"/>
  <c r="S11" i="25"/>
  <c r="L11" i="25"/>
  <c r="O11" i="25"/>
  <c r="U11" i="25"/>
  <c r="R11" i="25"/>
  <c r="P11" i="25"/>
  <c r="T11" i="25"/>
  <c r="V11" i="25"/>
  <c r="M11" i="25"/>
  <c r="Q11" i="25"/>
  <c r="M15" i="25"/>
  <c r="U15" i="25"/>
  <c r="P15" i="25"/>
  <c r="N15" i="25"/>
  <c r="R15" i="25"/>
  <c r="T15" i="25"/>
  <c r="Q15" i="25"/>
  <c r="V15" i="25"/>
  <c r="O15" i="25"/>
  <c r="W15" i="25"/>
  <c r="L15" i="25"/>
  <c r="AB14" i="27"/>
  <c r="Q17" i="27"/>
  <c r="M14" i="27" s="1"/>
  <c r="N14" i="27" s="1"/>
  <c r="R55" i="28"/>
  <c r="S55" i="28"/>
  <c r="W55" i="28"/>
  <c r="U59" i="28"/>
  <c r="N59" i="28"/>
  <c r="V59" i="28"/>
  <c r="R59" i="28"/>
  <c r="Q59" i="28"/>
  <c r="L59" i="28"/>
  <c r="S59" i="28"/>
  <c r="W59" i="28"/>
  <c r="T59" i="28"/>
  <c r="O63" i="28"/>
  <c r="R63" i="28"/>
  <c r="N63" i="28"/>
  <c r="Q63" i="28"/>
  <c r="T63" i="28"/>
  <c r="U63" i="28"/>
  <c r="M63" i="28"/>
  <c r="P63" i="28"/>
  <c r="V63" i="28"/>
  <c r="S63" i="28"/>
  <c r="L63" i="28"/>
  <c r="W63" i="28"/>
  <c r="N31" i="25"/>
  <c r="W31" i="25"/>
  <c r="V31" i="25"/>
  <c r="S31" i="25"/>
  <c r="R31" i="25"/>
  <c r="L31" i="25"/>
  <c r="M31" i="25"/>
  <c r="P35" i="25"/>
  <c r="N35" i="25"/>
  <c r="W35" i="25"/>
  <c r="V35" i="25"/>
  <c r="R35" i="25"/>
  <c r="T35" i="25"/>
  <c r="Q35" i="25"/>
  <c r="M35" i="25"/>
  <c r="O35" i="25"/>
  <c r="U35" i="25"/>
  <c r="L35" i="25"/>
  <c r="S35" i="25"/>
  <c r="N43" i="25"/>
  <c r="O43" i="25"/>
  <c r="M43" i="25"/>
  <c r="T43" i="25"/>
  <c r="W43" i="25"/>
  <c r="P43" i="25"/>
  <c r="U43" i="25"/>
  <c r="L43" i="25"/>
  <c r="V43" i="25"/>
  <c r="R43" i="25"/>
  <c r="S43" i="25"/>
  <c r="Q43" i="25"/>
  <c r="N59" i="25"/>
  <c r="T59" i="25"/>
  <c r="U59" i="25"/>
  <c r="V59" i="25"/>
  <c r="W59" i="25"/>
  <c r="R59" i="25"/>
  <c r="M59" i="25"/>
  <c r="N52" i="28"/>
  <c r="M52" i="28"/>
  <c r="L52" i="28"/>
  <c r="R52" i="28"/>
  <c r="Q52" i="28"/>
  <c r="S52" i="28"/>
  <c r="P52" i="28"/>
  <c r="W52" i="28"/>
  <c r="O52" i="28"/>
  <c r="R60" i="28"/>
  <c r="U60" i="28"/>
  <c r="W60" i="28"/>
  <c r="L60" i="28"/>
  <c r="V60" i="28"/>
  <c r="T60" i="28"/>
  <c r="O60" i="28"/>
  <c r="P60" i="28"/>
  <c r="S60" i="28"/>
  <c r="P64" i="28"/>
  <c r="Q64" i="28"/>
  <c r="R64" i="28"/>
  <c r="M64" i="28"/>
  <c r="S64" i="28"/>
  <c r="N64" i="28"/>
  <c r="W64" i="28"/>
  <c r="T64" i="28"/>
  <c r="L64" i="28"/>
  <c r="V32" i="25"/>
  <c r="T32" i="25"/>
  <c r="R32" i="25"/>
  <c r="Q32" i="25"/>
  <c r="P32" i="25"/>
  <c r="O32" i="25"/>
  <c r="P60" i="25"/>
  <c r="R60" i="25"/>
  <c r="S60" i="25"/>
  <c r="U60" i="25"/>
  <c r="O60" i="25"/>
  <c r="N60" i="25"/>
  <c r="T60" i="25"/>
  <c r="V60" i="25"/>
  <c r="Q60" i="25"/>
  <c r="W60" i="25"/>
  <c r="L60" i="25"/>
  <c r="M60" i="25"/>
  <c r="L61" i="28"/>
  <c r="O61" i="28"/>
  <c r="P61" i="28"/>
  <c r="T61" i="28"/>
  <c r="R61" i="28"/>
  <c r="Q61" i="28"/>
  <c r="S61" i="28"/>
  <c r="U61" i="28"/>
  <c r="W61" i="28"/>
  <c r="M61" i="28"/>
  <c r="V61" i="28"/>
  <c r="N61" i="28"/>
  <c r="U65" i="28"/>
  <c r="Q65" i="28"/>
  <c r="P65" i="28"/>
  <c r="L65" i="28"/>
  <c r="V65" i="28"/>
  <c r="N65" i="28"/>
  <c r="O65" i="28"/>
  <c r="S65" i="28"/>
  <c r="W65" i="28"/>
  <c r="R65" i="28"/>
  <c r="M65" i="28"/>
  <c r="T65" i="28"/>
  <c r="S33" i="25"/>
  <c r="R33" i="25"/>
  <c r="Q33" i="25"/>
  <c r="N33" i="25"/>
  <c r="U33" i="25"/>
  <c r="L33" i="25"/>
  <c r="T33" i="25"/>
  <c r="P33" i="25"/>
  <c r="V33" i="25"/>
  <c r="M33" i="25"/>
  <c r="W33" i="25"/>
  <c r="O33" i="25"/>
  <c r="S37" i="25"/>
  <c r="Q37" i="25"/>
  <c r="P37" i="25"/>
  <c r="L61" i="25"/>
  <c r="R61" i="25"/>
  <c r="N61" i="25"/>
  <c r="V61" i="25"/>
  <c r="S61" i="25"/>
  <c r="Q61" i="25"/>
  <c r="M61" i="25"/>
  <c r="O61" i="25"/>
  <c r="T61" i="25"/>
  <c r="V50" i="28"/>
  <c r="L50" i="28"/>
  <c r="W50" i="28"/>
  <c r="U50" i="28"/>
  <c r="R50" i="28"/>
  <c r="T54" i="28"/>
  <c r="S54" i="28"/>
  <c r="R58" i="28"/>
  <c r="L58" i="28"/>
  <c r="T58" i="28"/>
  <c r="M62" i="28"/>
  <c r="V62" i="28"/>
  <c r="N62" i="28"/>
  <c r="T62" i="28"/>
  <c r="L62" i="28"/>
  <c r="U62" i="28"/>
  <c r="R62" i="28"/>
  <c r="S62" i="28"/>
  <c r="P62" i="28"/>
  <c r="P30" i="25"/>
  <c r="S30" i="25"/>
  <c r="L30" i="25"/>
  <c r="R30" i="25"/>
  <c r="T30" i="25"/>
  <c r="U30" i="25"/>
  <c r="W34" i="25"/>
  <c r="V34" i="25"/>
  <c r="M34" i="25"/>
  <c r="N34" i="25"/>
  <c r="R34" i="25"/>
  <c r="L34" i="25"/>
  <c r="S34" i="25"/>
  <c r="O34" i="25"/>
  <c r="P34" i="25"/>
  <c r="U34" i="25"/>
  <c r="N42" i="25"/>
  <c r="P42" i="25"/>
  <c r="R42" i="25"/>
  <c r="L42" i="25"/>
  <c r="U42" i="25"/>
  <c r="O42" i="25"/>
  <c r="T58" i="25"/>
  <c r="V58" i="25"/>
  <c r="R58" i="25"/>
  <c r="P58" i="25"/>
  <c r="S58" i="25"/>
  <c r="W58" i="25"/>
  <c r="Y251" i="15"/>
  <c r="AB2" i="15"/>
  <c r="AB3" i="15" s="1"/>
  <c r="Y169" i="15"/>
  <c r="Y341" i="15"/>
  <c r="T58" i="15"/>
  <c r="Y58" i="15" s="1"/>
  <c r="M17" i="14"/>
  <c r="C17" i="14" s="1"/>
  <c r="B15" i="3" s="1"/>
  <c r="Y30" i="15"/>
  <c r="C11" i="22"/>
  <c r="D11" i="22" s="1"/>
  <c r="Y258" i="15"/>
  <c r="Y270" i="15"/>
  <c r="Y82" i="15"/>
  <c r="Y115" i="15"/>
  <c r="T213" i="15"/>
  <c r="C42" i="14"/>
  <c r="B40" i="3" s="1"/>
  <c r="T161" i="15"/>
  <c r="T63" i="15"/>
  <c r="C21" i="22" s="1"/>
  <c r="D21" i="22" s="1"/>
  <c r="X107" i="15"/>
  <c r="T200" i="15"/>
  <c r="X210" i="15"/>
  <c r="X268" i="15"/>
  <c r="X333" i="15"/>
  <c r="T333" i="15"/>
  <c r="T147" i="15"/>
  <c r="X357" i="15"/>
  <c r="X446" i="15"/>
  <c r="C220" i="22"/>
  <c r="D220" i="22" s="1"/>
  <c r="Y493" i="15"/>
  <c r="T16" i="15"/>
  <c r="N4" i="14"/>
  <c r="Y38" i="15"/>
  <c r="C24" i="22"/>
  <c r="D24" i="22" s="1"/>
  <c r="Y78" i="15"/>
  <c r="C148" i="22"/>
  <c r="D148" i="22" s="1"/>
  <c r="Y309" i="15"/>
  <c r="C191" i="22"/>
  <c r="D191" i="22" s="1"/>
  <c r="Y380" i="15"/>
  <c r="AB380" i="15"/>
  <c r="Y437" i="15"/>
  <c r="L31" i="21"/>
  <c r="C129" i="22"/>
  <c r="D129" i="22" s="1"/>
  <c r="Y291" i="15"/>
  <c r="Y67" i="15"/>
  <c r="H77" i="21"/>
  <c r="Y486" i="15"/>
  <c r="Y354" i="15"/>
  <c r="Y196" i="15"/>
  <c r="T59" i="15"/>
  <c r="N11" i="14"/>
  <c r="C26" i="22"/>
  <c r="D26" i="22" s="1"/>
  <c r="Y80" i="15"/>
  <c r="Y35" i="15"/>
  <c r="C12" i="22"/>
  <c r="D12" i="22" s="1"/>
  <c r="O52" i="21"/>
  <c r="Y488" i="15"/>
  <c r="Y46" i="15"/>
  <c r="P23" i="14"/>
  <c r="D21" i="3" s="1"/>
  <c r="C207" i="22"/>
  <c r="D207" i="22" s="1"/>
  <c r="Y470" i="15"/>
  <c r="Y477" i="15"/>
  <c r="Y469" i="15"/>
  <c r="AB469" i="15"/>
  <c r="AB470" i="15" s="1"/>
  <c r="AB471" i="15" s="1"/>
  <c r="AB472" i="15" s="1"/>
  <c r="AB473" i="15" s="1"/>
  <c r="AB474" i="15" s="1"/>
  <c r="O53" i="21"/>
  <c r="AB498" i="15"/>
  <c r="Y500" i="15"/>
  <c r="T365" i="15"/>
  <c r="X524" i="15"/>
  <c r="X224" i="15"/>
  <c r="V66" i="28"/>
  <c r="O66" i="28"/>
  <c r="L66" i="28"/>
  <c r="P66" i="28"/>
  <c r="M66" i="28"/>
  <c r="T66" i="28"/>
  <c r="L53" i="25"/>
  <c r="N53" i="25"/>
  <c r="T53" i="25"/>
  <c r="Q53" i="25"/>
  <c r="P53" i="25"/>
  <c r="W53" i="25"/>
  <c r="T38" i="25"/>
  <c r="V38" i="25"/>
  <c r="U46" i="25"/>
  <c r="Q46" i="25"/>
  <c r="S46" i="25"/>
  <c r="L46" i="25"/>
  <c r="N46" i="25"/>
  <c r="V68" i="25"/>
  <c r="Q68" i="25"/>
  <c r="U68" i="25"/>
  <c r="N68" i="25"/>
  <c r="W68" i="25"/>
  <c r="T68" i="25"/>
  <c r="S68" i="25"/>
  <c r="L68" i="25"/>
  <c r="N50" i="28"/>
  <c r="L58" i="25"/>
  <c r="O59" i="25"/>
  <c r="L59" i="25"/>
  <c r="U58" i="25"/>
  <c r="M58" i="25"/>
  <c r="O58" i="25"/>
  <c r="S59" i="25"/>
  <c r="M42" i="25"/>
  <c r="I56" i="17" l="1"/>
  <c r="I67" i="17"/>
  <c r="I65" i="17"/>
  <c r="I127" i="17"/>
  <c r="I70" i="17"/>
  <c r="I84" i="17"/>
  <c r="I75" i="17"/>
  <c r="I98" i="17"/>
  <c r="I62" i="17"/>
  <c r="I51" i="17"/>
  <c r="W401" i="15"/>
  <c r="W276" i="15"/>
  <c r="W220" i="15"/>
  <c r="W130" i="15"/>
  <c r="I42" i="17"/>
  <c r="I94" i="17"/>
  <c r="Y443" i="15"/>
  <c r="C5" i="14"/>
  <c r="B3" i="3" s="1"/>
  <c r="Y631" i="15"/>
  <c r="X234" i="15"/>
  <c r="W234" i="15"/>
  <c r="X433" i="15"/>
  <c r="W433" i="15"/>
  <c r="X496" i="15"/>
  <c r="W479" i="15"/>
  <c r="W362" i="15"/>
  <c r="W280" i="15"/>
  <c r="W142" i="15"/>
  <c r="W126" i="15"/>
  <c r="X587" i="15"/>
  <c r="C53" i="14"/>
  <c r="B51" i="3" s="1"/>
  <c r="X296" i="15"/>
  <c r="T496" i="15"/>
  <c r="Y496" i="15" s="1"/>
  <c r="X223" i="15"/>
  <c r="X39" i="15"/>
  <c r="C61" i="14"/>
  <c r="B59" i="3" s="1"/>
  <c r="E98" i="21"/>
  <c r="AB441" i="15"/>
  <c r="AB446" i="15"/>
  <c r="AB447" i="15" s="1"/>
  <c r="AB448" i="15" s="1"/>
  <c r="I39" i="17"/>
  <c r="AB659" i="15"/>
  <c r="AB660" i="15" s="1"/>
  <c r="AB661" i="15" s="1"/>
  <c r="AB662" i="15" s="1"/>
  <c r="AB663" i="15" s="1"/>
  <c r="AB664" i="15" s="1"/>
  <c r="AB665" i="15" s="1"/>
  <c r="AB666" i="15" s="1"/>
  <c r="AB667" i="15" s="1"/>
  <c r="AB668" i="15" s="1"/>
  <c r="AB669" i="15" s="1"/>
  <c r="AB670" i="15" s="1"/>
  <c r="AB671" i="15" s="1"/>
  <c r="AB672" i="15" s="1"/>
  <c r="AB673" i="15" s="1"/>
  <c r="AB674" i="15" s="1"/>
  <c r="AB675" i="15" s="1"/>
  <c r="AB676" i="15" s="1"/>
  <c r="AB677" i="15" s="1"/>
  <c r="AB678" i="15" s="1"/>
  <c r="AB679" i="15" s="1"/>
  <c r="AB680" i="15" s="1"/>
  <c r="AB681" i="15" s="1"/>
  <c r="AB682" i="15" s="1"/>
  <c r="AB683" i="15" s="1"/>
  <c r="AB684" i="15" s="1"/>
  <c r="AB685" i="15" s="1"/>
  <c r="AB686" i="15" s="1"/>
  <c r="AB687" i="15" s="1"/>
  <c r="AB688" i="15" s="1"/>
  <c r="AB689" i="15" s="1"/>
  <c r="AB690" i="15" s="1"/>
  <c r="AB691" i="15" s="1"/>
  <c r="AB692" i="15" s="1"/>
  <c r="AB693" i="15" s="1"/>
  <c r="P92" i="21"/>
  <c r="T16" i="25"/>
  <c r="Y650" i="15"/>
  <c r="C266" i="22"/>
  <c r="D266" i="22" s="1"/>
  <c r="Y671" i="15"/>
  <c r="M89" i="14"/>
  <c r="C89" i="14" s="1"/>
  <c r="B87" i="3" s="1"/>
  <c r="C94" i="22"/>
  <c r="D94" i="22" s="1"/>
  <c r="AB12" i="27"/>
  <c r="Y290" i="15"/>
  <c r="Y657" i="15"/>
  <c r="AB331" i="15"/>
  <c r="C20" i="14"/>
  <c r="B18" i="3" s="1"/>
  <c r="AB418" i="15"/>
  <c r="C264" i="22"/>
  <c r="D264" i="22" s="1"/>
  <c r="P53" i="21"/>
  <c r="Y667" i="15"/>
  <c r="AB627" i="15"/>
  <c r="AB628" i="15" s="1"/>
  <c r="AB629" i="15" s="1"/>
  <c r="AB630" i="15" s="1"/>
  <c r="AB631" i="15" s="1"/>
  <c r="AB632" i="15" s="1"/>
  <c r="AB633" i="15" s="1"/>
  <c r="AB634" i="15" s="1"/>
  <c r="AB635" i="15" s="1"/>
  <c r="AB636" i="15" s="1"/>
  <c r="AB637" i="15" s="1"/>
  <c r="AB638" i="15" s="1"/>
  <c r="AB639" i="15" s="1"/>
  <c r="AB640" i="15" s="1"/>
  <c r="AB641" i="15" s="1"/>
  <c r="AB642" i="15" s="1"/>
  <c r="AB643" i="15" s="1"/>
  <c r="AB644" i="15" s="1"/>
  <c r="AB645" i="15" s="1"/>
  <c r="AB646" i="15" s="1"/>
  <c r="AB647" i="15" s="1"/>
  <c r="AB648" i="15" s="1"/>
  <c r="AB649" i="15" s="1"/>
  <c r="AB650" i="15" s="1"/>
  <c r="AB651" i="15" s="1"/>
  <c r="AB652" i="15" s="1"/>
  <c r="AB653" i="15" s="1"/>
  <c r="AB654" i="15" s="1"/>
  <c r="AB655" i="15" s="1"/>
  <c r="AB656" i="15" s="1"/>
  <c r="C263" i="22"/>
  <c r="D263" i="22" s="1"/>
  <c r="P67" i="21"/>
  <c r="Y584" i="15"/>
  <c r="C6" i="14"/>
  <c r="B4" i="3" s="1"/>
  <c r="P31" i="21"/>
  <c r="C262" i="22"/>
  <c r="D262" i="22" s="1"/>
  <c r="Y654" i="15"/>
  <c r="W587" i="15"/>
  <c r="P6" i="14"/>
  <c r="D4" i="3" s="1"/>
  <c r="C260" i="22"/>
  <c r="D260" i="22" s="1"/>
  <c r="AB87" i="15"/>
  <c r="AB88" i="15" s="1"/>
  <c r="AB89" i="15" s="1"/>
  <c r="AB90" i="15" s="1"/>
  <c r="AB91" i="15" s="1"/>
  <c r="AB92" i="15" s="1"/>
  <c r="N83" i="21"/>
  <c r="Y355" i="15"/>
  <c r="M84" i="14"/>
  <c r="P52" i="21"/>
  <c r="T615" i="15"/>
  <c r="T86" i="14" s="1"/>
  <c r="C258" i="22"/>
  <c r="D258" i="22" s="1"/>
  <c r="W110" i="15"/>
  <c r="C257" i="22"/>
  <c r="D257" i="22" s="1"/>
  <c r="Y633" i="15"/>
  <c r="P85" i="21"/>
  <c r="X300" i="15"/>
  <c r="T57" i="15"/>
  <c r="Y57" i="15" s="1"/>
  <c r="M15" i="14"/>
  <c r="Y369" i="15"/>
  <c r="P37" i="21"/>
  <c r="E37" i="21"/>
  <c r="D37" i="21"/>
  <c r="F37" i="21" s="1"/>
  <c r="C256" i="22"/>
  <c r="D256" i="22" s="1"/>
  <c r="Y630" i="15"/>
  <c r="T386" i="15"/>
  <c r="Y386" i="15" s="1"/>
  <c r="P16" i="14"/>
  <c r="D14" i="3" s="1"/>
  <c r="AB475" i="15"/>
  <c r="Y626" i="15"/>
  <c r="P102" i="21"/>
  <c r="Y617" i="15"/>
  <c r="C252" i="22"/>
  <c r="D252" i="22" s="1"/>
  <c r="AB616" i="15"/>
  <c r="AB617" i="15" s="1"/>
  <c r="AB618" i="15" s="1"/>
  <c r="AB619" i="15" s="1"/>
  <c r="AB620" i="15" s="1"/>
  <c r="AB621" i="15" s="1"/>
  <c r="AB622" i="15" s="1"/>
  <c r="AB623" i="15" s="1"/>
  <c r="AB624" i="15" s="1"/>
  <c r="AB625" i="15" s="1"/>
  <c r="Y616" i="15"/>
  <c r="C251" i="22"/>
  <c r="D251" i="22" s="1"/>
  <c r="T10" i="28"/>
  <c r="Y619" i="15"/>
  <c r="X435" i="15"/>
  <c r="T315" i="15"/>
  <c r="Y315" i="15" s="1"/>
  <c r="P81" i="21"/>
  <c r="T19" i="28"/>
  <c r="P105" i="21"/>
  <c r="T90" i="14"/>
  <c r="P90" i="14" s="1"/>
  <c r="D88" i="3" s="1"/>
  <c r="C43" i="14"/>
  <c r="B41" i="3" s="1"/>
  <c r="T17" i="28"/>
  <c r="E46" i="21"/>
  <c r="P108" i="21"/>
  <c r="Y604" i="15"/>
  <c r="P32" i="21"/>
  <c r="Y612" i="15"/>
  <c r="P77" i="21"/>
  <c r="T210" i="15"/>
  <c r="Y210" i="15" s="1"/>
  <c r="T246" i="15"/>
  <c r="Y246" i="15" s="1"/>
  <c r="T297" i="15"/>
  <c r="T222" i="15"/>
  <c r="Y222" i="15" s="1"/>
  <c r="W44" i="15"/>
  <c r="I101" i="17"/>
  <c r="Y356" i="15"/>
  <c r="C179" i="22"/>
  <c r="D179" i="22" s="1"/>
  <c r="K103" i="21"/>
  <c r="P103" i="21"/>
  <c r="T18" i="28"/>
  <c r="C249" i="22"/>
  <c r="D249" i="22" s="1"/>
  <c r="Y609" i="15"/>
  <c r="D108" i="21"/>
  <c r="F108" i="21" s="1"/>
  <c r="I61" i="17"/>
  <c r="L42" i="21"/>
  <c r="AB362" i="15"/>
  <c r="AB363" i="15" s="1"/>
  <c r="N32" i="21"/>
  <c r="I116" i="17"/>
  <c r="C10" i="22"/>
  <c r="D10" i="22" s="1"/>
  <c r="P117" i="14"/>
  <c r="AB16" i="27"/>
  <c r="AB15" i="27"/>
  <c r="I38" i="17"/>
  <c r="I90" i="17"/>
  <c r="C5" i="22"/>
  <c r="D5" i="22" s="1"/>
  <c r="M14" i="14"/>
  <c r="C14" i="14" s="1"/>
  <c r="B12" i="3" s="1"/>
  <c r="C169" i="22"/>
  <c r="D169" i="22" s="1"/>
  <c r="Y587" i="15"/>
  <c r="T8" i="28"/>
  <c r="Y585" i="15"/>
  <c r="O108" i="21"/>
  <c r="S20" i="28"/>
  <c r="E108" i="21"/>
  <c r="O46" i="21"/>
  <c r="D46" i="21"/>
  <c r="F46" i="21" s="1"/>
  <c r="P107" i="21"/>
  <c r="T19" i="25"/>
  <c r="C248" i="22"/>
  <c r="D248" i="22" s="1"/>
  <c r="Y603" i="15"/>
  <c r="T20" i="28"/>
  <c r="T412" i="15"/>
  <c r="Y412" i="15" s="1"/>
  <c r="T231" i="15"/>
  <c r="Y231" i="15" s="1"/>
  <c r="E107" i="21"/>
  <c r="D107" i="21"/>
  <c r="F107" i="21" s="1"/>
  <c r="AB385" i="15"/>
  <c r="S19" i="25"/>
  <c r="Y589" i="15"/>
  <c r="C244" i="22"/>
  <c r="D244" i="22" s="1"/>
  <c r="O106" i="21"/>
  <c r="Y580" i="15"/>
  <c r="T110" i="15"/>
  <c r="C38" i="22" s="1"/>
  <c r="D38" i="22" s="1"/>
  <c r="W386" i="15"/>
  <c r="T570" i="15"/>
  <c r="C241" i="22" s="1"/>
  <c r="D241" i="22" s="1"/>
  <c r="AB459" i="15"/>
  <c r="AB460" i="15" s="1"/>
  <c r="C243" i="22"/>
  <c r="D243" i="22" s="1"/>
  <c r="C182" i="22"/>
  <c r="D182" i="22" s="1"/>
  <c r="C242" i="22"/>
  <c r="D242" i="22" s="1"/>
  <c r="Y432" i="15"/>
  <c r="T388" i="15"/>
  <c r="AB388" i="15" s="1"/>
  <c r="AB389" i="15" s="1"/>
  <c r="AB390" i="15" s="1"/>
  <c r="AB391" i="15" s="1"/>
  <c r="AB392" i="15" s="1"/>
  <c r="AB393" i="15" s="1"/>
  <c r="T435" i="15"/>
  <c r="AB435" i="15" s="1"/>
  <c r="AB436" i="15" s="1"/>
  <c r="AB437" i="15" s="1"/>
  <c r="AB438" i="15" s="1"/>
  <c r="AB439" i="15" s="1"/>
  <c r="T311" i="15"/>
  <c r="C151" i="22" s="1"/>
  <c r="D151" i="22" s="1"/>
  <c r="T223" i="15"/>
  <c r="Y223" i="15" s="1"/>
  <c r="W223" i="15"/>
  <c r="I32" i="21"/>
  <c r="E83" i="21"/>
  <c r="Y490" i="15"/>
  <c r="D81" i="21"/>
  <c r="F81" i="21" s="1"/>
  <c r="AB372" i="15"/>
  <c r="AB373" i="15" s="1"/>
  <c r="AB374" i="15" s="1"/>
  <c r="Y100" i="15"/>
  <c r="C117" i="14"/>
  <c r="C37" i="22"/>
  <c r="D37" i="22" s="1"/>
  <c r="M31" i="21"/>
  <c r="Y417" i="15"/>
  <c r="X222" i="15"/>
  <c r="T165" i="15"/>
  <c r="Y165" i="15" s="1"/>
  <c r="X315" i="15"/>
  <c r="T317" i="15"/>
  <c r="M21" i="21" s="1"/>
  <c r="T242" i="15"/>
  <c r="Y242" i="15" s="1"/>
  <c r="T227" i="15"/>
  <c r="Y227" i="15" s="1"/>
  <c r="T516" i="15"/>
  <c r="Y516" i="15" s="1"/>
  <c r="W383" i="15"/>
  <c r="P42" i="14"/>
  <c r="D40" i="3" s="1"/>
  <c r="Y110" i="15"/>
  <c r="C213" i="22"/>
  <c r="D213" i="22" s="1"/>
  <c r="Y166" i="15"/>
  <c r="C58" i="22"/>
  <c r="D58" i="22" s="1"/>
  <c r="C16" i="14"/>
  <c r="B14" i="3" s="1"/>
  <c r="Y314" i="15"/>
  <c r="Y317" i="15"/>
  <c r="Y569" i="15"/>
  <c r="O105" i="21"/>
  <c r="Y568" i="15"/>
  <c r="S19" i="28"/>
  <c r="W23" i="15"/>
  <c r="T512" i="15"/>
  <c r="S14" i="28" s="1"/>
  <c r="C239" i="22"/>
  <c r="D239" i="22" s="1"/>
  <c r="D105" i="21"/>
  <c r="F105" i="21" s="1"/>
  <c r="E105" i="21"/>
  <c r="C240" i="22"/>
  <c r="D240" i="22" s="1"/>
  <c r="AB466" i="15"/>
  <c r="AB467" i="15" s="1"/>
  <c r="I4" i="17"/>
  <c r="C203" i="22"/>
  <c r="D203" i="22" s="1"/>
  <c r="Y555" i="15"/>
  <c r="S15" i="28"/>
  <c r="D100" i="21"/>
  <c r="F100" i="21" s="1"/>
  <c r="X151" i="15"/>
  <c r="T114" i="15"/>
  <c r="Y114" i="15" s="1"/>
  <c r="T181" i="15"/>
  <c r="Y181" i="15" s="1"/>
  <c r="X567" i="15"/>
  <c r="W567" i="15"/>
  <c r="C49" i="22"/>
  <c r="D49" i="22" s="1"/>
  <c r="C149" i="22"/>
  <c r="D149" i="22" s="1"/>
  <c r="W524" i="15"/>
  <c r="AB329" i="15"/>
  <c r="X250" i="15"/>
  <c r="W151" i="15"/>
  <c r="W28" i="15"/>
  <c r="C183" i="22"/>
  <c r="D183" i="22" s="1"/>
  <c r="C60" i="22"/>
  <c r="D60" i="22" s="1"/>
  <c r="Y289" i="15"/>
  <c r="C7" i="22"/>
  <c r="D7" i="22" s="1"/>
  <c r="Y328" i="15"/>
  <c r="N53" i="21"/>
  <c r="C45" i="22"/>
  <c r="D45" i="22" s="1"/>
  <c r="C196" i="22"/>
  <c r="D196" i="22" s="1"/>
  <c r="C25" i="14"/>
  <c r="B23" i="3" s="1"/>
  <c r="C172" i="22"/>
  <c r="D172" i="22" s="1"/>
  <c r="AB476" i="15"/>
  <c r="C237" i="22"/>
  <c r="D237" i="22" s="1"/>
  <c r="C238" i="22"/>
  <c r="D238" i="22" s="1"/>
  <c r="T79" i="15"/>
  <c r="Y79" i="15" s="1"/>
  <c r="M65" i="14"/>
  <c r="Y330" i="15"/>
  <c r="C72" i="22"/>
  <c r="D72" i="22" s="1"/>
  <c r="J31" i="21"/>
  <c r="Y111" i="15"/>
  <c r="Y563" i="15"/>
  <c r="AB370" i="15"/>
  <c r="AB18" i="27"/>
  <c r="Y485" i="15"/>
  <c r="C216" i="22"/>
  <c r="D216" i="22" s="1"/>
  <c r="I87" i="17"/>
  <c r="I81" i="17"/>
  <c r="I88" i="17"/>
  <c r="Y342" i="15"/>
  <c r="M20" i="21"/>
  <c r="E20" i="21"/>
  <c r="C175" i="22"/>
  <c r="D175" i="22" s="1"/>
  <c r="T14" i="14"/>
  <c r="P14" i="14" s="1"/>
  <c r="D12" i="3" s="1"/>
  <c r="D20" i="21"/>
  <c r="F20" i="21" s="1"/>
  <c r="Y468" i="15"/>
  <c r="Y461" i="15"/>
  <c r="Y377" i="15"/>
  <c r="C190" i="22"/>
  <c r="D190" i="22" s="1"/>
  <c r="Y551" i="15"/>
  <c r="C236" i="22"/>
  <c r="D236" i="22" s="1"/>
  <c r="W250" i="15"/>
  <c r="W246" i="15"/>
  <c r="W195" i="15"/>
  <c r="W185" i="15"/>
  <c r="W515" i="15"/>
  <c r="T218" i="15"/>
  <c r="Y218" i="15" s="1"/>
  <c r="X218" i="15"/>
  <c r="W218" i="15"/>
  <c r="X114" i="15"/>
  <c r="T313" i="15"/>
  <c r="C160" i="22" s="1"/>
  <c r="D160" i="22" s="1"/>
  <c r="W462" i="15"/>
  <c r="W120" i="15"/>
  <c r="T250" i="15"/>
  <c r="Y250" i="15" s="1"/>
  <c r="T120" i="15"/>
  <c r="W435" i="15"/>
  <c r="T403" i="15"/>
  <c r="Y403" i="15" s="1"/>
  <c r="T93" i="15"/>
  <c r="W315" i="15"/>
  <c r="C53" i="22"/>
  <c r="D53" i="22" s="1"/>
  <c r="C234" i="22"/>
  <c r="D234" i="22" s="1"/>
  <c r="I67" i="21"/>
  <c r="C170" i="22"/>
  <c r="D170" i="22" s="1"/>
  <c r="AB148" i="15"/>
  <c r="AB149" i="15" s="1"/>
  <c r="Y295" i="15"/>
  <c r="C47" i="22"/>
  <c r="D47" i="22" s="1"/>
  <c r="Y434" i="15"/>
  <c r="C39" i="22"/>
  <c r="D39" i="22" s="1"/>
  <c r="AB479" i="15"/>
  <c r="C41" i="22"/>
  <c r="D41" i="22" s="1"/>
  <c r="Y151" i="15"/>
  <c r="C52" i="22"/>
  <c r="D52" i="22" s="1"/>
  <c r="X453" i="15"/>
  <c r="W453" i="15"/>
  <c r="W242" i="15"/>
  <c r="W227" i="15"/>
  <c r="W222" i="15"/>
  <c r="X194" i="15"/>
  <c r="T194" i="15"/>
  <c r="T189" i="15"/>
  <c r="Y189" i="15" s="1"/>
  <c r="T185" i="15"/>
  <c r="X181" i="15"/>
  <c r="W181" i="15"/>
  <c r="W93" i="15"/>
  <c r="X93" i="15"/>
  <c r="T4" i="15"/>
  <c r="Y4" i="15" s="1"/>
  <c r="W4" i="15"/>
  <c r="X231" i="15"/>
  <c r="W231" i="15"/>
  <c r="X368" i="15"/>
  <c r="W368" i="15"/>
  <c r="W333" i="15"/>
  <c r="X317" i="15"/>
  <c r="W317" i="15"/>
  <c r="W306" i="15"/>
  <c r="X292" i="15"/>
  <c r="W292" i="15"/>
  <c r="X242" i="15"/>
  <c r="X227" i="15"/>
  <c r="T207" i="15"/>
  <c r="Y207" i="15" s="1"/>
  <c r="X207" i="15"/>
  <c r="X150" i="15"/>
  <c r="T150" i="15"/>
  <c r="W39" i="15"/>
  <c r="W194" i="15"/>
  <c r="AB4" i="15"/>
  <c r="AB5" i="15" s="1"/>
  <c r="AB6" i="15" s="1"/>
  <c r="AB7" i="15" s="1"/>
  <c r="AB8" i="15" s="1"/>
  <c r="AB9" i="15" s="1"/>
  <c r="AB10" i="15" s="1"/>
  <c r="AB11" i="15" s="1"/>
  <c r="AB12" i="15" s="1"/>
  <c r="AB13" i="15" s="1"/>
  <c r="AB14" i="15" s="1"/>
  <c r="AB15" i="15" s="1"/>
  <c r="X442" i="15"/>
  <c r="W442" i="15"/>
  <c r="T442" i="15"/>
  <c r="AB442" i="15" s="1"/>
  <c r="AB443" i="15" s="1"/>
  <c r="AB444" i="15" s="1"/>
  <c r="X403" i="15"/>
  <c r="W403" i="15"/>
  <c r="X349" i="15"/>
  <c r="W349" i="15"/>
  <c r="X189" i="15"/>
  <c r="W189" i="15"/>
  <c r="X407" i="15"/>
  <c r="W407" i="15"/>
  <c r="X392" i="15"/>
  <c r="W392" i="15"/>
  <c r="X377" i="15"/>
  <c r="W377" i="15"/>
  <c r="W311" i="15"/>
  <c r="W300" i="15"/>
  <c r="T235" i="15"/>
  <c r="Y235" i="15" s="1"/>
  <c r="X235" i="15"/>
  <c r="W210" i="15"/>
  <c r="X185" i="15"/>
  <c r="X68" i="15"/>
  <c r="T68" i="15"/>
  <c r="Y68" i="15" s="1"/>
  <c r="W207" i="15"/>
  <c r="W165" i="15"/>
  <c r="T292" i="15"/>
  <c r="AG13" i="27"/>
  <c r="T61" i="14"/>
  <c r="P61" i="14" s="1"/>
  <c r="D59" i="3" s="1"/>
  <c r="AB458" i="15"/>
  <c r="T87" i="14"/>
  <c r="I123" i="17"/>
  <c r="AB19" i="27"/>
  <c r="AB17" i="27"/>
  <c r="AG14" i="27"/>
  <c r="S18" i="25"/>
  <c r="Y543" i="15"/>
  <c r="X110" i="15"/>
  <c r="T353" i="15"/>
  <c r="C178" i="22" s="1"/>
  <c r="D178" i="22" s="1"/>
  <c r="T296" i="15"/>
  <c r="Y296" i="15" s="1"/>
  <c r="C235" i="22"/>
  <c r="D235" i="22" s="1"/>
  <c r="C73" i="22"/>
  <c r="D73" i="22" s="1"/>
  <c r="C174" i="22"/>
  <c r="D174" i="22" s="1"/>
  <c r="T495" i="15"/>
  <c r="O100" i="21"/>
  <c r="AB356" i="15"/>
  <c r="AB349" i="15"/>
  <c r="AB350" i="15" s="1"/>
  <c r="AB351" i="15" s="1"/>
  <c r="AB352" i="15" s="1"/>
  <c r="Y433" i="15"/>
  <c r="AB433" i="15"/>
  <c r="C176" i="22"/>
  <c r="D176" i="22" s="1"/>
  <c r="Y351" i="15"/>
  <c r="Y492" i="15"/>
  <c r="O85" i="21"/>
  <c r="D83" i="21"/>
  <c r="F83" i="21" s="1"/>
  <c r="Y372" i="15"/>
  <c r="L32" i="21"/>
  <c r="Y303" i="15"/>
  <c r="Y533" i="15"/>
  <c r="O84" i="21"/>
  <c r="I23" i="21"/>
  <c r="N55" i="21"/>
  <c r="Y534" i="15"/>
  <c r="O97" i="21"/>
  <c r="D97" i="21"/>
  <c r="F97" i="21" s="1"/>
  <c r="E97" i="21"/>
  <c r="C233" i="22"/>
  <c r="D233" i="22" s="1"/>
  <c r="Y319" i="15"/>
  <c r="E81" i="21"/>
  <c r="X532" i="15"/>
  <c r="W532" i="15"/>
  <c r="Y532" i="15"/>
  <c r="W327" i="15"/>
  <c r="T327" i="15"/>
  <c r="X327" i="15"/>
  <c r="X127" i="15"/>
  <c r="T127" i="15"/>
  <c r="Y192" i="15"/>
  <c r="C59" i="22"/>
  <c r="D59" i="22" s="1"/>
  <c r="W528" i="15"/>
  <c r="T383" i="15"/>
  <c r="Y383" i="15" s="1"/>
  <c r="X383" i="15"/>
  <c r="Y99" i="15"/>
  <c r="C35" i="22"/>
  <c r="D35" i="22" s="1"/>
  <c r="T224" i="15"/>
  <c r="Y224" i="15" s="1"/>
  <c r="W240" i="15"/>
  <c r="W496" i="15"/>
  <c r="Y283" i="15"/>
  <c r="Y86" i="15"/>
  <c r="Y529" i="15"/>
  <c r="O32" i="21"/>
  <c r="C232" i="22"/>
  <c r="D232" i="22" s="1"/>
  <c r="Y525" i="15"/>
  <c r="C229" i="22"/>
  <c r="D229" i="22" s="1"/>
  <c r="O55" i="21"/>
  <c r="D55" i="21"/>
  <c r="F55" i="21" s="1"/>
  <c r="T49" i="14"/>
  <c r="E55" i="21"/>
  <c r="W412" i="15"/>
  <c r="T252" i="15"/>
  <c r="X528" i="15"/>
  <c r="Y528" i="15"/>
  <c r="T409" i="15"/>
  <c r="C197" i="22" s="1"/>
  <c r="D197" i="22" s="1"/>
  <c r="S8" i="28"/>
  <c r="C23" i="22"/>
  <c r="D23" i="22" s="1"/>
  <c r="X388" i="15"/>
  <c r="W388" i="15"/>
  <c r="E100" i="21"/>
  <c r="Y530" i="15"/>
  <c r="X57" i="15"/>
  <c r="W57" i="15"/>
  <c r="W382" i="15"/>
  <c r="T382" i="15"/>
  <c r="Y382" i="15" s="1"/>
  <c r="X382" i="15"/>
  <c r="X353" i="15"/>
  <c r="W353" i="15"/>
  <c r="W301" i="15"/>
  <c r="X301" i="15"/>
  <c r="T301" i="15"/>
  <c r="W252" i="15"/>
  <c r="X252" i="15"/>
  <c r="X240" i="15"/>
  <c r="T462" i="15"/>
  <c r="N87" i="21"/>
  <c r="O81" i="21"/>
  <c r="I21" i="17"/>
  <c r="E103" i="21"/>
  <c r="O89" i="21"/>
  <c r="S13" i="25"/>
  <c r="Y509" i="15"/>
  <c r="I20" i="17"/>
  <c r="C228" i="22"/>
  <c r="D228" i="22" s="1"/>
  <c r="N65" i="14"/>
  <c r="K65" i="14"/>
  <c r="Q65" i="14"/>
  <c r="F65" i="14"/>
  <c r="G65" i="14"/>
  <c r="D65" i="14"/>
  <c r="O65" i="14"/>
  <c r="H65" i="14"/>
  <c r="L65" i="14"/>
  <c r="E65" i="14"/>
  <c r="I65" i="14"/>
  <c r="J65" i="14"/>
  <c r="S65" i="14"/>
  <c r="R65" i="14"/>
  <c r="U65" i="14"/>
  <c r="F4" i="14"/>
  <c r="J4" i="14"/>
  <c r="T4" i="14"/>
  <c r="E4" i="14"/>
  <c r="R4" i="14"/>
  <c r="I4" i="14"/>
  <c r="H4" i="14"/>
  <c r="D4" i="14"/>
  <c r="K4" i="14"/>
  <c r="G4" i="14"/>
  <c r="S4" i="14"/>
  <c r="O4" i="14"/>
  <c r="L4" i="14"/>
  <c r="M4" i="14"/>
  <c r="Q4" i="14"/>
  <c r="J62" i="14"/>
  <c r="D62" i="14"/>
  <c r="Q62" i="14"/>
  <c r="H62" i="14"/>
  <c r="G62" i="14"/>
  <c r="L62" i="14"/>
  <c r="M62" i="14"/>
  <c r="I62" i="14"/>
  <c r="K62" i="14"/>
  <c r="O62" i="14"/>
  <c r="U62" i="14"/>
  <c r="S62" i="14"/>
  <c r="T62" i="14"/>
  <c r="N62" i="14"/>
  <c r="R62" i="14"/>
  <c r="E62" i="14"/>
  <c r="F62" i="14"/>
  <c r="F7" i="14"/>
  <c r="Q7" i="14"/>
  <c r="R7" i="14"/>
  <c r="E7" i="14"/>
  <c r="N7" i="14"/>
  <c r="J7" i="14"/>
  <c r="I7" i="14"/>
  <c r="U7" i="14"/>
  <c r="H7" i="14"/>
  <c r="T7" i="14"/>
  <c r="O7" i="14"/>
  <c r="S7" i="14"/>
  <c r="K7" i="14"/>
  <c r="M7" i="14"/>
  <c r="G7" i="14"/>
  <c r="L7" i="14"/>
  <c r="D7" i="14"/>
  <c r="G127" i="14"/>
  <c r="E127" i="14"/>
  <c r="R127" i="14"/>
  <c r="Q127" i="14"/>
  <c r="N127" i="14"/>
  <c r="O127" i="14"/>
  <c r="M127" i="14"/>
  <c r="S127" i="14"/>
  <c r="U127" i="14"/>
  <c r="T127" i="14"/>
  <c r="H127" i="14"/>
  <c r="F127" i="14"/>
  <c r="I127" i="14"/>
  <c r="D127" i="14"/>
  <c r="L127" i="14"/>
  <c r="K127" i="14"/>
  <c r="J127" i="14"/>
  <c r="L59" i="14"/>
  <c r="S59" i="14"/>
  <c r="D59" i="14"/>
  <c r="J59" i="14"/>
  <c r="Q59" i="14"/>
  <c r="K59" i="14"/>
  <c r="T59" i="14"/>
  <c r="O59" i="14"/>
  <c r="U59" i="14"/>
  <c r="I59" i="14"/>
  <c r="R59" i="14"/>
  <c r="H59" i="14"/>
  <c r="G59" i="14"/>
  <c r="E59" i="14"/>
  <c r="M59" i="14"/>
  <c r="N59" i="14"/>
  <c r="F59" i="14"/>
  <c r="Q64" i="14"/>
  <c r="I64" i="14"/>
  <c r="U64" i="14"/>
  <c r="S64" i="14"/>
  <c r="O64" i="14"/>
  <c r="R64" i="14"/>
  <c r="G64" i="14"/>
  <c r="M64" i="14"/>
  <c r="T64" i="14"/>
  <c r="L64" i="14"/>
  <c r="E64" i="14"/>
  <c r="D64" i="14"/>
  <c r="F64" i="14"/>
  <c r="N64" i="14"/>
  <c r="J64" i="14"/>
  <c r="H64" i="14"/>
  <c r="K64" i="14"/>
  <c r="F11" i="14"/>
  <c r="H11" i="14"/>
  <c r="O11" i="14"/>
  <c r="G11" i="14"/>
  <c r="T11" i="14"/>
  <c r="D11" i="14"/>
  <c r="J11" i="14"/>
  <c r="L11" i="14"/>
  <c r="R11" i="14"/>
  <c r="E11" i="14"/>
  <c r="K11" i="14"/>
  <c r="I11" i="14"/>
  <c r="S11" i="14"/>
  <c r="M11" i="14"/>
  <c r="Q11" i="14"/>
  <c r="H83" i="14"/>
  <c r="K83" i="14"/>
  <c r="F83" i="14"/>
  <c r="J83" i="14"/>
  <c r="R83" i="14"/>
  <c r="Q83" i="14"/>
  <c r="S83" i="14"/>
  <c r="E83" i="14"/>
  <c r="G83" i="14"/>
  <c r="O83" i="14"/>
  <c r="N83" i="14"/>
  <c r="I83" i="14"/>
  <c r="U83" i="14"/>
  <c r="D83" i="14"/>
  <c r="L83" i="14"/>
  <c r="O13" i="14"/>
  <c r="M13" i="14"/>
  <c r="H13" i="14"/>
  <c r="D13" i="14"/>
  <c r="K13" i="14"/>
  <c r="F13" i="14"/>
  <c r="T13" i="14"/>
  <c r="Q13" i="14"/>
  <c r="G13" i="14"/>
  <c r="S13" i="14"/>
  <c r="U13" i="14"/>
  <c r="I13" i="14"/>
  <c r="N13" i="14"/>
  <c r="E13" i="14"/>
  <c r="L13" i="14"/>
  <c r="J13" i="14"/>
  <c r="R13" i="14"/>
  <c r="K67" i="14"/>
  <c r="E67" i="14"/>
  <c r="S67" i="14"/>
  <c r="J67" i="14"/>
  <c r="D67" i="14"/>
  <c r="O67" i="14"/>
  <c r="Q67" i="14"/>
  <c r="T67" i="14"/>
  <c r="G67" i="14"/>
  <c r="I67" i="14"/>
  <c r="R67" i="14"/>
  <c r="U67" i="14"/>
  <c r="L67" i="14"/>
  <c r="F67" i="14"/>
  <c r="M67" i="14"/>
  <c r="H67" i="14"/>
  <c r="N67" i="14"/>
  <c r="I8" i="17"/>
  <c r="D134" i="14"/>
  <c r="N134" i="14"/>
  <c r="T134" i="14"/>
  <c r="U134" i="14"/>
  <c r="M134" i="14"/>
  <c r="K134" i="14"/>
  <c r="G134" i="14"/>
  <c r="S134" i="14"/>
  <c r="O134" i="14"/>
  <c r="J134" i="14"/>
  <c r="R134" i="14"/>
  <c r="F134" i="14"/>
  <c r="Q134" i="14"/>
  <c r="H134" i="14"/>
  <c r="E134" i="14"/>
  <c r="I134" i="14"/>
  <c r="L134" i="14"/>
  <c r="S172" i="14"/>
  <c r="E172" i="14"/>
  <c r="P172" i="14"/>
  <c r="I172" i="14"/>
  <c r="Q172" i="14"/>
  <c r="C172" i="14"/>
  <c r="L172" i="14"/>
  <c r="O172" i="14"/>
  <c r="G172" i="14"/>
  <c r="K172" i="14"/>
  <c r="T172" i="14"/>
  <c r="D172" i="14"/>
  <c r="J172" i="14"/>
  <c r="H172" i="14"/>
  <c r="F172" i="14"/>
  <c r="R172" i="14"/>
  <c r="U172" i="14"/>
  <c r="M172" i="14"/>
  <c r="N172" i="14"/>
  <c r="I37" i="17"/>
  <c r="E50" i="14"/>
  <c r="L50" i="14"/>
  <c r="S50" i="14"/>
  <c r="I50" i="14"/>
  <c r="M50" i="14"/>
  <c r="J50" i="14"/>
  <c r="K50" i="14"/>
  <c r="T50" i="14"/>
  <c r="N50" i="14"/>
  <c r="Q50" i="14"/>
  <c r="F50" i="14"/>
  <c r="R50" i="14"/>
  <c r="H50" i="14"/>
  <c r="D50" i="14"/>
  <c r="G50" i="14"/>
  <c r="U50" i="14"/>
  <c r="O50" i="14"/>
  <c r="L24" i="14"/>
  <c r="R24" i="14"/>
  <c r="U24" i="14"/>
  <c r="K24" i="14"/>
  <c r="J24" i="14"/>
  <c r="G24" i="14"/>
  <c r="N24" i="14"/>
  <c r="I24" i="14"/>
  <c r="H24" i="14"/>
  <c r="M24" i="14"/>
  <c r="E24" i="14"/>
  <c r="D24" i="14"/>
  <c r="Q24" i="14"/>
  <c r="T24" i="14"/>
  <c r="S24" i="14"/>
  <c r="O24" i="14"/>
  <c r="F24" i="14"/>
  <c r="N41" i="14"/>
  <c r="E41" i="14"/>
  <c r="K41" i="14"/>
  <c r="G41" i="14"/>
  <c r="F41" i="14"/>
  <c r="L41" i="14"/>
  <c r="O41" i="14"/>
  <c r="U41" i="14"/>
  <c r="T41" i="14"/>
  <c r="Q41" i="14"/>
  <c r="M41" i="14"/>
  <c r="D41" i="14"/>
  <c r="S41" i="14"/>
  <c r="H41" i="14"/>
  <c r="R41" i="14"/>
  <c r="I41" i="14"/>
  <c r="J41" i="14"/>
  <c r="U58" i="14"/>
  <c r="I58" i="14"/>
  <c r="O58" i="14"/>
  <c r="K58" i="14"/>
  <c r="M58" i="14"/>
  <c r="D58" i="14"/>
  <c r="E58" i="14"/>
  <c r="T58" i="14"/>
  <c r="S58" i="14"/>
  <c r="R58" i="14"/>
  <c r="N58" i="14"/>
  <c r="H58" i="14"/>
  <c r="L58" i="14"/>
  <c r="F58" i="14"/>
  <c r="Q58" i="14"/>
  <c r="G58" i="14"/>
  <c r="J58" i="14"/>
  <c r="R18" i="14"/>
  <c r="F18" i="14"/>
  <c r="U18" i="14"/>
  <c r="I18" i="14"/>
  <c r="E18" i="14"/>
  <c r="T18" i="14"/>
  <c r="N18" i="14"/>
  <c r="O18" i="14"/>
  <c r="K18" i="14"/>
  <c r="D18" i="14"/>
  <c r="M18" i="14"/>
  <c r="H18" i="14"/>
  <c r="J18" i="14"/>
  <c r="Q18" i="14"/>
  <c r="L18" i="14"/>
  <c r="G18" i="14"/>
  <c r="S18" i="14"/>
  <c r="U57" i="14"/>
  <c r="J57" i="14"/>
  <c r="N57" i="14"/>
  <c r="I57" i="14"/>
  <c r="S57" i="14"/>
  <c r="Q57" i="14"/>
  <c r="H57" i="14"/>
  <c r="E57" i="14"/>
  <c r="F57" i="14"/>
  <c r="K57" i="14"/>
  <c r="L57" i="14"/>
  <c r="T57" i="14"/>
  <c r="D57" i="14"/>
  <c r="M57" i="14"/>
  <c r="R57" i="14"/>
  <c r="O57" i="14"/>
  <c r="G57" i="14"/>
  <c r="Q49" i="14"/>
  <c r="O49" i="14"/>
  <c r="J49" i="14"/>
  <c r="R49" i="14"/>
  <c r="N49" i="14"/>
  <c r="E49" i="14"/>
  <c r="K49" i="14"/>
  <c r="L49" i="14"/>
  <c r="U49" i="14"/>
  <c r="G49" i="14"/>
  <c r="H49" i="14"/>
  <c r="D49" i="14"/>
  <c r="M49" i="14"/>
  <c r="S49" i="14"/>
  <c r="I49" i="14"/>
  <c r="F49" i="14"/>
  <c r="M48" i="14"/>
  <c r="L48" i="14"/>
  <c r="O48" i="14"/>
  <c r="D48" i="14"/>
  <c r="F48" i="14"/>
  <c r="R48" i="14"/>
  <c r="U48" i="14"/>
  <c r="Q48" i="14"/>
  <c r="E48" i="14"/>
  <c r="K48" i="14"/>
  <c r="N48" i="14"/>
  <c r="G48" i="14"/>
  <c r="I48" i="14"/>
  <c r="H48" i="14"/>
  <c r="T48" i="14"/>
  <c r="J48" i="14"/>
  <c r="S48" i="14"/>
  <c r="G39" i="14"/>
  <c r="J39" i="14"/>
  <c r="N39" i="14"/>
  <c r="H39" i="14"/>
  <c r="E39" i="14"/>
  <c r="F39" i="14"/>
  <c r="I39" i="14"/>
  <c r="L39" i="14"/>
  <c r="Q39" i="14"/>
  <c r="O39" i="14"/>
  <c r="R39" i="14"/>
  <c r="K39" i="14"/>
  <c r="U39" i="14"/>
  <c r="S39" i="14"/>
  <c r="D39" i="14"/>
  <c r="M39" i="14"/>
  <c r="S34" i="14"/>
  <c r="K34" i="14"/>
  <c r="F34" i="14"/>
  <c r="I34" i="14"/>
  <c r="G34" i="14"/>
  <c r="L34" i="14"/>
  <c r="N34" i="14"/>
  <c r="D34" i="14"/>
  <c r="O34" i="14"/>
  <c r="U34" i="14"/>
  <c r="Q34" i="14"/>
  <c r="E34" i="14"/>
  <c r="H34" i="14"/>
  <c r="J34" i="14"/>
  <c r="M34" i="14"/>
  <c r="R34" i="14"/>
  <c r="T34" i="14"/>
  <c r="I150" i="17"/>
  <c r="I66" i="14"/>
  <c r="J66" i="14"/>
  <c r="D66" i="14"/>
  <c r="M66" i="14"/>
  <c r="K66" i="14"/>
  <c r="L66" i="14"/>
  <c r="R66" i="14"/>
  <c r="F66" i="14"/>
  <c r="U66" i="14"/>
  <c r="E66" i="14"/>
  <c r="T66" i="14"/>
  <c r="O66" i="14"/>
  <c r="Q66" i="14"/>
  <c r="H66" i="14"/>
  <c r="G66" i="14"/>
  <c r="N66" i="14"/>
  <c r="S66" i="14"/>
  <c r="L141" i="14"/>
  <c r="T141" i="14"/>
  <c r="F141" i="14"/>
  <c r="D141" i="14"/>
  <c r="R141" i="14"/>
  <c r="Q141" i="14"/>
  <c r="G141" i="14"/>
  <c r="I141" i="14"/>
  <c r="S141" i="14"/>
  <c r="U141" i="14"/>
  <c r="K141" i="14"/>
  <c r="C141" i="14"/>
  <c r="P141" i="14"/>
  <c r="H141" i="14"/>
  <c r="J141" i="14"/>
  <c r="E141" i="14"/>
  <c r="M141" i="14"/>
  <c r="N141" i="14"/>
  <c r="O141" i="14"/>
  <c r="K52" i="14"/>
  <c r="U52" i="14"/>
  <c r="L52" i="14"/>
  <c r="N52" i="14"/>
  <c r="E52" i="14"/>
  <c r="I52" i="14"/>
  <c r="S52" i="14"/>
  <c r="O52" i="14"/>
  <c r="Q52" i="14"/>
  <c r="J52" i="14"/>
  <c r="T52" i="14"/>
  <c r="F52" i="14"/>
  <c r="H52" i="14"/>
  <c r="R52" i="14"/>
  <c r="G52" i="14"/>
  <c r="M52" i="14"/>
  <c r="D52" i="14"/>
  <c r="N87" i="14"/>
  <c r="R87" i="14"/>
  <c r="I87" i="14"/>
  <c r="H87" i="14"/>
  <c r="Q87" i="14"/>
  <c r="D87" i="14"/>
  <c r="U87" i="14"/>
  <c r="K87" i="14"/>
  <c r="F87" i="14"/>
  <c r="J87" i="14"/>
  <c r="O87" i="14"/>
  <c r="G87" i="14"/>
  <c r="L87" i="14"/>
  <c r="E87" i="14"/>
  <c r="S87" i="14"/>
  <c r="R94" i="14"/>
  <c r="L94" i="14"/>
  <c r="D94" i="14"/>
  <c r="N94" i="14"/>
  <c r="J94" i="14"/>
  <c r="E94" i="14"/>
  <c r="Q94" i="14"/>
  <c r="T94" i="14"/>
  <c r="F94" i="14"/>
  <c r="G94" i="14"/>
  <c r="M94" i="14"/>
  <c r="S94" i="14"/>
  <c r="I94" i="14"/>
  <c r="H94" i="14"/>
  <c r="U94" i="14"/>
  <c r="O94" i="14"/>
  <c r="K94" i="14"/>
  <c r="H22" i="14"/>
  <c r="E22" i="14"/>
  <c r="J22" i="14"/>
  <c r="G22" i="14"/>
  <c r="I22" i="14"/>
  <c r="O22" i="14"/>
  <c r="S22" i="14"/>
  <c r="L22" i="14"/>
  <c r="M22" i="14"/>
  <c r="D22" i="14"/>
  <c r="T22" i="14"/>
  <c r="N22" i="14"/>
  <c r="R22" i="14"/>
  <c r="F22" i="14"/>
  <c r="Q22" i="14"/>
  <c r="U22" i="14"/>
  <c r="K22" i="14"/>
  <c r="F84" i="14"/>
  <c r="L84" i="14"/>
  <c r="N84" i="14"/>
  <c r="Q84" i="14"/>
  <c r="D84" i="14"/>
  <c r="K84" i="14"/>
  <c r="I84" i="14"/>
  <c r="G84" i="14"/>
  <c r="H84" i="14"/>
  <c r="J84" i="14"/>
  <c r="R84" i="14"/>
  <c r="U84" i="14"/>
  <c r="E84" i="14"/>
  <c r="O84" i="14"/>
  <c r="S84" i="14"/>
  <c r="D10" i="14"/>
  <c r="O10" i="14"/>
  <c r="N10" i="14"/>
  <c r="L10" i="14"/>
  <c r="T10" i="14"/>
  <c r="Q10" i="14"/>
  <c r="R10" i="14"/>
  <c r="I10" i="14"/>
  <c r="S10" i="14"/>
  <c r="J10" i="14"/>
  <c r="H10" i="14"/>
  <c r="E10" i="14"/>
  <c r="M10" i="14"/>
  <c r="F10" i="14"/>
  <c r="G10" i="14"/>
  <c r="K10" i="14"/>
  <c r="U10" i="14"/>
  <c r="F15" i="14"/>
  <c r="N15" i="14"/>
  <c r="E15" i="14"/>
  <c r="R15" i="14"/>
  <c r="D15" i="14"/>
  <c r="Q15" i="14"/>
  <c r="G15" i="14"/>
  <c r="O15" i="14"/>
  <c r="K15" i="14"/>
  <c r="U15" i="14"/>
  <c r="H15" i="14"/>
  <c r="J15" i="14"/>
  <c r="L15" i="14"/>
  <c r="S15" i="14"/>
  <c r="I15" i="14"/>
  <c r="D77" i="14"/>
  <c r="F77" i="14"/>
  <c r="I77" i="14"/>
  <c r="L77" i="14"/>
  <c r="N77" i="14"/>
  <c r="Q77" i="14"/>
  <c r="U77" i="14"/>
  <c r="H77" i="14"/>
  <c r="G77" i="14"/>
  <c r="S77" i="14"/>
  <c r="R77" i="14"/>
  <c r="E77" i="14"/>
  <c r="K77" i="14"/>
  <c r="J77" i="14"/>
  <c r="O77" i="14"/>
  <c r="U30" i="14"/>
  <c r="Q30" i="14"/>
  <c r="I30" i="14"/>
  <c r="T30" i="14"/>
  <c r="E30" i="14"/>
  <c r="K30" i="14"/>
  <c r="H30" i="14"/>
  <c r="J30" i="14"/>
  <c r="L30" i="14"/>
  <c r="R30" i="14"/>
  <c r="G30" i="14"/>
  <c r="F30" i="14"/>
  <c r="N30" i="14"/>
  <c r="M30" i="14"/>
  <c r="O30" i="14"/>
  <c r="S30" i="14"/>
  <c r="D30" i="14"/>
  <c r="F92" i="14"/>
  <c r="R92" i="14"/>
  <c r="S92" i="14"/>
  <c r="G92" i="14"/>
  <c r="T92" i="14"/>
  <c r="O92" i="14"/>
  <c r="D92" i="14"/>
  <c r="N92" i="14"/>
  <c r="Q92" i="14"/>
  <c r="K92" i="14"/>
  <c r="M92" i="14"/>
  <c r="L92" i="14"/>
  <c r="E92" i="14"/>
  <c r="I92" i="14"/>
  <c r="H92" i="14"/>
  <c r="J92" i="14"/>
  <c r="U92" i="14"/>
  <c r="T12" i="14"/>
  <c r="G12" i="14"/>
  <c r="K12" i="14"/>
  <c r="J12" i="14"/>
  <c r="D12" i="14"/>
  <c r="H12" i="14"/>
  <c r="M12" i="14"/>
  <c r="E12" i="14"/>
  <c r="F12" i="14"/>
  <c r="N12" i="14"/>
  <c r="O12" i="14"/>
  <c r="I12" i="14"/>
  <c r="U12" i="14"/>
  <c r="Q12" i="14"/>
  <c r="R12" i="14"/>
  <c r="S12" i="14"/>
  <c r="F125" i="14"/>
  <c r="M125" i="14"/>
  <c r="Q125" i="14"/>
  <c r="L125" i="14"/>
  <c r="S125" i="14"/>
  <c r="J125" i="14"/>
  <c r="H125" i="14"/>
  <c r="N125" i="14"/>
  <c r="G125" i="14"/>
  <c r="E125" i="14"/>
  <c r="D125" i="14"/>
  <c r="K125" i="14"/>
  <c r="R125" i="14"/>
  <c r="O125" i="14"/>
  <c r="U125" i="14"/>
  <c r="T125" i="14"/>
  <c r="I125" i="14"/>
  <c r="D100" i="14"/>
  <c r="F100" i="14"/>
  <c r="R100" i="14"/>
  <c r="T100" i="14"/>
  <c r="U100" i="14"/>
  <c r="O100" i="14"/>
  <c r="M100" i="14"/>
  <c r="I100" i="14"/>
  <c r="Q100" i="14"/>
  <c r="G100" i="14"/>
  <c r="S100" i="14"/>
  <c r="N100" i="14"/>
  <c r="E100" i="14"/>
  <c r="J100" i="14"/>
  <c r="H100" i="14"/>
  <c r="L100" i="14"/>
  <c r="K100" i="14"/>
  <c r="O82" i="14"/>
  <c r="G82" i="14"/>
  <c r="K82" i="14"/>
  <c r="J82" i="14"/>
  <c r="I82" i="14"/>
  <c r="M82" i="14"/>
  <c r="U82" i="14"/>
  <c r="S82" i="14"/>
  <c r="N82" i="14"/>
  <c r="H82" i="14"/>
  <c r="L82" i="14"/>
  <c r="E82" i="14"/>
  <c r="F82" i="14"/>
  <c r="Q82" i="14"/>
  <c r="D82" i="14"/>
  <c r="R82" i="14"/>
  <c r="K71" i="14"/>
  <c r="Q71" i="14"/>
  <c r="G71" i="14"/>
  <c r="H71" i="14"/>
  <c r="U71" i="14"/>
  <c r="L71" i="14"/>
  <c r="O71" i="14"/>
  <c r="E71" i="14"/>
  <c r="S71" i="14"/>
  <c r="R71" i="14"/>
  <c r="I71" i="14"/>
  <c r="N71" i="14"/>
  <c r="J71" i="14"/>
  <c r="D71" i="14"/>
  <c r="F71" i="14"/>
  <c r="L27" i="14"/>
  <c r="T27" i="14"/>
  <c r="I27" i="14"/>
  <c r="U27" i="14"/>
  <c r="F27" i="14"/>
  <c r="M27" i="14"/>
  <c r="G27" i="14"/>
  <c r="E27" i="14"/>
  <c r="J27" i="14"/>
  <c r="N27" i="14"/>
  <c r="R27" i="14"/>
  <c r="Q27" i="14"/>
  <c r="S27" i="14"/>
  <c r="K27" i="14"/>
  <c r="H27" i="14"/>
  <c r="D27" i="14"/>
  <c r="O27" i="14"/>
  <c r="Q68" i="14"/>
  <c r="L68" i="14"/>
  <c r="K68" i="14"/>
  <c r="S68" i="14"/>
  <c r="F68" i="14"/>
  <c r="H68" i="14"/>
  <c r="N68" i="14"/>
  <c r="E68" i="14"/>
  <c r="R68" i="14"/>
  <c r="G68" i="14"/>
  <c r="U68" i="14"/>
  <c r="O68" i="14"/>
  <c r="I68" i="14"/>
  <c r="D68" i="14"/>
  <c r="J68" i="14"/>
  <c r="T68" i="14"/>
  <c r="M68" i="14"/>
  <c r="D143" i="14"/>
  <c r="J143" i="14"/>
  <c r="M143" i="14"/>
  <c r="T143" i="14"/>
  <c r="Q143" i="14"/>
  <c r="I143" i="14"/>
  <c r="G143" i="14"/>
  <c r="F143" i="14"/>
  <c r="K143" i="14"/>
  <c r="E143" i="14"/>
  <c r="N143" i="14"/>
  <c r="H143" i="14"/>
  <c r="U143" i="14"/>
  <c r="C143" i="14"/>
  <c r="S143" i="14"/>
  <c r="O143" i="14"/>
  <c r="L143" i="14"/>
  <c r="R143" i="14"/>
  <c r="P143" i="14"/>
  <c r="F60" i="14"/>
  <c r="E60" i="14"/>
  <c r="T60" i="14"/>
  <c r="K60" i="14"/>
  <c r="O60" i="14"/>
  <c r="I60" i="14"/>
  <c r="D60" i="14"/>
  <c r="S60" i="14"/>
  <c r="G60" i="14"/>
  <c r="H60" i="14"/>
  <c r="U60" i="14"/>
  <c r="M60" i="14"/>
  <c r="R60" i="14"/>
  <c r="L60" i="14"/>
  <c r="J60" i="14"/>
  <c r="N60" i="14"/>
  <c r="Q60" i="14"/>
  <c r="U73" i="14"/>
  <c r="G73" i="14"/>
  <c r="D73" i="14"/>
  <c r="E73" i="14"/>
  <c r="L73" i="14"/>
  <c r="I73" i="14"/>
  <c r="Q73" i="14"/>
  <c r="T73" i="14"/>
  <c r="R73" i="14"/>
  <c r="O73" i="14"/>
  <c r="J73" i="14"/>
  <c r="K73" i="14"/>
  <c r="M73" i="14"/>
  <c r="H73" i="14"/>
  <c r="S73" i="14"/>
  <c r="F73" i="14"/>
  <c r="N73" i="14"/>
  <c r="I28" i="17"/>
  <c r="P179" i="14"/>
  <c r="J179" i="14"/>
  <c r="I179" i="14"/>
  <c r="T179" i="14"/>
  <c r="S179" i="14"/>
  <c r="N179" i="14"/>
  <c r="U179" i="14"/>
  <c r="O179" i="14"/>
  <c r="K179" i="14"/>
  <c r="M179" i="14"/>
  <c r="Q179" i="14"/>
  <c r="G179" i="14"/>
  <c r="C179" i="14"/>
  <c r="L179" i="14"/>
  <c r="H179" i="14"/>
  <c r="R179" i="14"/>
  <c r="D179" i="14"/>
  <c r="E179" i="14"/>
  <c r="F179" i="14"/>
  <c r="Q8" i="14"/>
  <c r="J8" i="14"/>
  <c r="T8" i="14"/>
  <c r="R8" i="14"/>
  <c r="G8" i="14"/>
  <c r="N8" i="14"/>
  <c r="L8" i="14"/>
  <c r="I8" i="14"/>
  <c r="F8" i="14"/>
  <c r="H8" i="14"/>
  <c r="D8" i="14"/>
  <c r="S8" i="14"/>
  <c r="U8" i="14"/>
  <c r="E8" i="14"/>
  <c r="K8" i="14"/>
  <c r="O8" i="14"/>
  <c r="J35" i="14"/>
  <c r="H35" i="14"/>
  <c r="G35" i="14"/>
  <c r="U35" i="14"/>
  <c r="L35" i="14"/>
  <c r="T35" i="14"/>
  <c r="O35" i="14"/>
  <c r="S35" i="14"/>
  <c r="I35" i="14"/>
  <c r="M35" i="14"/>
  <c r="F35" i="14"/>
  <c r="D35" i="14"/>
  <c r="R35" i="14"/>
  <c r="E35" i="14"/>
  <c r="N35" i="14"/>
  <c r="H44" i="14"/>
  <c r="R44" i="14"/>
  <c r="T44" i="14"/>
  <c r="N44" i="14"/>
  <c r="L44" i="14"/>
  <c r="M44" i="14"/>
  <c r="S44" i="14"/>
  <c r="K44" i="14"/>
  <c r="Q44" i="14"/>
  <c r="J44" i="14"/>
  <c r="I44" i="14"/>
  <c r="E44" i="14"/>
  <c r="O44" i="14"/>
  <c r="G44" i="14"/>
  <c r="U44" i="14"/>
  <c r="F44" i="14"/>
  <c r="D44" i="14"/>
  <c r="Q80" i="14"/>
  <c r="J80" i="14"/>
  <c r="O80" i="14"/>
  <c r="K80" i="14"/>
  <c r="G80" i="14"/>
  <c r="N80" i="14"/>
  <c r="F80" i="14"/>
  <c r="H80" i="14"/>
  <c r="I80" i="14"/>
  <c r="D80" i="14"/>
  <c r="R80" i="14"/>
  <c r="L80" i="14"/>
  <c r="U80" i="14"/>
  <c r="S80" i="14"/>
  <c r="E80" i="14"/>
  <c r="M80" i="14"/>
  <c r="S37" i="14"/>
  <c r="E37" i="14"/>
  <c r="Q37" i="14"/>
  <c r="M37" i="14"/>
  <c r="G37" i="14"/>
  <c r="U37" i="14"/>
  <c r="R37" i="14"/>
  <c r="J37" i="14"/>
  <c r="O37" i="14"/>
  <c r="K37" i="14"/>
  <c r="I37" i="14"/>
  <c r="N37" i="14"/>
  <c r="H37" i="14"/>
  <c r="F37" i="14"/>
  <c r="L37" i="14"/>
  <c r="D37" i="14"/>
  <c r="T37" i="14"/>
  <c r="I26" i="17"/>
  <c r="K160" i="14"/>
  <c r="Q160" i="14"/>
  <c r="L160" i="14"/>
  <c r="C160" i="14"/>
  <c r="E160" i="14"/>
  <c r="I160" i="14"/>
  <c r="R160" i="14"/>
  <c r="P160" i="14"/>
  <c r="G160" i="14"/>
  <c r="N160" i="14"/>
  <c r="O160" i="14"/>
  <c r="S160" i="14"/>
  <c r="M160" i="14"/>
  <c r="U160" i="14"/>
  <c r="H160" i="14"/>
  <c r="J160" i="14"/>
  <c r="F160" i="14"/>
  <c r="T160" i="14"/>
  <c r="D160" i="14"/>
  <c r="M178" i="14"/>
  <c r="G178" i="14"/>
  <c r="K178" i="14"/>
  <c r="E178" i="14"/>
  <c r="L178" i="14"/>
  <c r="R178" i="14"/>
  <c r="I178" i="14"/>
  <c r="S178" i="14"/>
  <c r="O178" i="14"/>
  <c r="F178" i="14"/>
  <c r="J178" i="14"/>
  <c r="P178" i="14"/>
  <c r="U178" i="14"/>
  <c r="Q178" i="14"/>
  <c r="H178" i="14"/>
  <c r="T178" i="14"/>
  <c r="C178" i="14"/>
  <c r="D178" i="14"/>
  <c r="N178" i="14"/>
  <c r="I40" i="17"/>
  <c r="D29" i="14"/>
  <c r="Q29" i="14"/>
  <c r="I29" i="14"/>
  <c r="U29" i="14"/>
  <c r="F29" i="14"/>
  <c r="M29" i="14"/>
  <c r="T29" i="14"/>
  <c r="R29" i="14"/>
  <c r="L29" i="14"/>
  <c r="N29" i="14"/>
  <c r="S29" i="14"/>
  <c r="H29" i="14"/>
  <c r="G29" i="14"/>
  <c r="O29" i="14"/>
  <c r="K29" i="14"/>
  <c r="E29" i="14"/>
  <c r="J29" i="14"/>
  <c r="N76" i="14"/>
  <c r="O76" i="14"/>
  <c r="Q76" i="14"/>
  <c r="S76" i="14"/>
  <c r="R76" i="14"/>
  <c r="K76" i="14"/>
  <c r="M76" i="14"/>
  <c r="L76" i="14"/>
  <c r="H76" i="14"/>
  <c r="E76" i="14"/>
  <c r="I76" i="14"/>
  <c r="F76" i="14"/>
  <c r="J76" i="14"/>
  <c r="G76" i="14"/>
  <c r="D76" i="14"/>
  <c r="U76" i="14"/>
  <c r="I99" i="17"/>
  <c r="O102" i="21"/>
  <c r="E67" i="21"/>
  <c r="D102" i="21"/>
  <c r="F102" i="21" s="1"/>
  <c r="Y517" i="15"/>
  <c r="C227" i="22"/>
  <c r="D227" i="22" s="1"/>
  <c r="I69" i="17"/>
  <c r="H67" i="21"/>
  <c r="C225" i="22"/>
  <c r="D225" i="22" s="1"/>
  <c r="D88" i="21"/>
  <c r="F88" i="21" s="1"/>
  <c r="O88" i="21"/>
  <c r="S12" i="25"/>
  <c r="E88" i="21"/>
  <c r="T80" i="14"/>
  <c r="Y506" i="15"/>
  <c r="D99" i="21"/>
  <c r="F99" i="21" s="1"/>
  <c r="O99" i="21"/>
  <c r="S7" i="28"/>
  <c r="Y390" i="15"/>
  <c r="E87" i="21"/>
  <c r="W160" i="15"/>
  <c r="X313" i="15"/>
  <c r="W313" i="15"/>
  <c r="T160" i="15"/>
  <c r="T358" i="15"/>
  <c r="M9" i="14"/>
  <c r="C9" i="14" s="1"/>
  <c r="B7" i="3" s="1"/>
  <c r="T464" i="15"/>
  <c r="M71" i="14"/>
  <c r="W239" i="15"/>
  <c r="T239" i="15"/>
  <c r="Y239" i="15" s="1"/>
  <c r="X239" i="15"/>
  <c r="T451" i="15"/>
  <c r="W451" i="15"/>
  <c r="X451" i="15"/>
  <c r="T217" i="15"/>
  <c r="Y217" i="15" s="1"/>
  <c r="W217" i="15"/>
  <c r="X217" i="15"/>
  <c r="T394" i="15"/>
  <c r="E90" i="21" s="1"/>
  <c r="Y466" i="15"/>
  <c r="C212" i="22"/>
  <c r="D212" i="22" s="1"/>
  <c r="W297" i="15"/>
  <c r="X297" i="15"/>
  <c r="W69" i="15"/>
  <c r="T69" i="15"/>
  <c r="X69" i="15"/>
  <c r="W456" i="15"/>
  <c r="X456" i="15"/>
  <c r="T456" i="15"/>
  <c r="T367" i="15"/>
  <c r="X367" i="15"/>
  <c r="W367" i="15"/>
  <c r="W394" i="15"/>
  <c r="X394" i="15"/>
  <c r="W419" i="15"/>
  <c r="T419" i="15"/>
  <c r="X419" i="15"/>
  <c r="Y11" i="15"/>
  <c r="C3" i="22"/>
  <c r="D3" i="22" s="1"/>
  <c r="X160" i="15"/>
  <c r="C18" i="22"/>
  <c r="D18" i="22" s="1"/>
  <c r="T93" i="14"/>
  <c r="P93" i="14" s="1"/>
  <c r="D91" i="3" s="1"/>
  <c r="I152" i="17"/>
  <c r="I73" i="17"/>
  <c r="Y513" i="15"/>
  <c r="E99" i="21"/>
  <c r="T88" i="14"/>
  <c r="P88" i="14" s="1"/>
  <c r="D86" i="3" s="1"/>
  <c r="C14" i="22"/>
  <c r="D14" i="22" s="1"/>
  <c r="C221" i="22"/>
  <c r="D221" i="22" s="1"/>
  <c r="C46" i="22"/>
  <c r="D46" i="22" s="1"/>
  <c r="T84" i="14"/>
  <c r="I148" i="17"/>
  <c r="O103" i="21"/>
  <c r="J23" i="21"/>
  <c r="S18" i="28"/>
  <c r="I102" i="17"/>
  <c r="I146" i="17"/>
  <c r="I49" i="17"/>
  <c r="I130" i="17"/>
  <c r="I121" i="17"/>
  <c r="I77" i="21"/>
  <c r="C226" i="22"/>
  <c r="D226" i="22" s="1"/>
  <c r="D67" i="21"/>
  <c r="F67" i="21" s="1"/>
  <c r="D103" i="21"/>
  <c r="F103" i="21" s="1"/>
  <c r="Y241" i="15"/>
  <c r="C163" i="22"/>
  <c r="D163" i="22" s="1"/>
  <c r="C25" i="22"/>
  <c r="D25" i="22" s="1"/>
  <c r="E32" i="21"/>
  <c r="D32" i="21"/>
  <c r="F32" i="21" s="1"/>
  <c r="M83" i="14"/>
  <c r="T480" i="15"/>
  <c r="W499" i="15"/>
  <c r="X499" i="15"/>
  <c r="W482" i="15"/>
  <c r="T482" i="15"/>
  <c r="Y482" i="15" s="1"/>
  <c r="X482" i="15"/>
  <c r="M77" i="14"/>
  <c r="T423" i="15"/>
  <c r="W277" i="15"/>
  <c r="X277" i="15"/>
  <c r="W193" i="15"/>
  <c r="W204" i="15"/>
  <c r="T193" i="15"/>
  <c r="C140" i="22"/>
  <c r="D140" i="22" s="1"/>
  <c r="Y306" i="15"/>
  <c r="W426" i="15"/>
  <c r="X426" i="15"/>
  <c r="T426" i="15"/>
  <c r="W224" i="15"/>
  <c r="T499" i="15"/>
  <c r="AB499" i="15" s="1"/>
  <c r="AB500" i="15" s="1"/>
  <c r="W79" i="15"/>
  <c r="X79" i="15"/>
  <c r="I154" i="17"/>
  <c r="T449" i="15"/>
  <c r="T27" i="15"/>
  <c r="X27" i="15"/>
  <c r="X440" i="15"/>
  <c r="W440" i="15"/>
  <c r="M78" i="14"/>
  <c r="C78" i="14" s="1"/>
  <c r="B76" i="3" s="1"/>
  <c r="T381" i="15"/>
  <c r="T277" i="15"/>
  <c r="T440" i="15"/>
  <c r="W27" i="15"/>
  <c r="C214" i="22"/>
  <c r="D214" i="22" s="1"/>
  <c r="C65" i="22"/>
  <c r="D65" i="22" s="1"/>
  <c r="C218" i="22"/>
  <c r="D218" i="22" s="1"/>
  <c r="Y489" i="15"/>
  <c r="Y388" i="15"/>
  <c r="C2" i="22"/>
  <c r="D2" i="22" s="1"/>
  <c r="E2" i="22" s="1"/>
  <c r="C224" i="22"/>
  <c r="D224" i="22" s="1"/>
  <c r="C28" i="22"/>
  <c r="D28" i="22" s="1"/>
  <c r="C193" i="22"/>
  <c r="D193" i="22" s="1"/>
  <c r="AB334" i="15"/>
  <c r="AB335" i="15" s="1"/>
  <c r="AB336" i="15" s="1"/>
  <c r="AB337" i="15" s="1"/>
  <c r="AB338" i="15" s="1"/>
  <c r="AB339" i="15" s="1"/>
  <c r="AB340" i="15" s="1"/>
  <c r="AB341" i="15" s="1"/>
  <c r="AB342" i="15" s="1"/>
  <c r="AB343" i="15" s="1"/>
  <c r="AB344" i="15" s="1"/>
  <c r="AB345" i="15" s="1"/>
  <c r="AB346" i="15" s="1"/>
  <c r="AB347" i="15" s="1"/>
  <c r="AB348" i="15" s="1"/>
  <c r="X232" i="15"/>
  <c r="W232" i="15"/>
  <c r="T232" i="15"/>
  <c r="X221" i="15"/>
  <c r="T221" i="15"/>
  <c r="Y221" i="15" s="1"/>
  <c r="W221" i="15"/>
  <c r="Y491" i="15"/>
  <c r="C219" i="22"/>
  <c r="D219" i="22" s="1"/>
  <c r="Y449" i="15"/>
  <c r="T308" i="15"/>
  <c r="T17" i="14" s="1"/>
  <c r="P17" i="14" s="1"/>
  <c r="D15" i="3" s="1"/>
  <c r="W308" i="15"/>
  <c r="X308" i="15"/>
  <c r="AB409" i="15"/>
  <c r="AB410" i="15" s="1"/>
  <c r="AB411" i="15" s="1"/>
  <c r="Y409" i="15"/>
  <c r="AB491" i="15"/>
  <c r="AB492" i="15" s="1"/>
  <c r="AB493" i="15" s="1"/>
  <c r="AB494" i="15" s="1"/>
  <c r="AB495" i="15" s="1"/>
  <c r="AB496" i="15" s="1"/>
  <c r="AB497" i="15" s="1"/>
  <c r="X43" i="15"/>
  <c r="T43" i="15"/>
  <c r="X449" i="15"/>
  <c r="W449" i="15"/>
  <c r="X364" i="15"/>
  <c r="W364" i="15"/>
  <c r="Y300" i="15"/>
  <c r="X409" i="15"/>
  <c r="W409" i="15"/>
  <c r="T501" i="15"/>
  <c r="T364" i="15"/>
  <c r="Y364" i="15" s="1"/>
  <c r="I92" i="17"/>
  <c r="I34" i="21"/>
  <c r="D34" i="21"/>
  <c r="F34" i="21" s="1"/>
  <c r="Y98" i="15"/>
  <c r="E34" i="21"/>
  <c r="C33" i="22"/>
  <c r="D33" i="22" s="1"/>
  <c r="W512" i="15"/>
  <c r="Y512" i="15"/>
  <c r="X512" i="15"/>
  <c r="T357" i="15"/>
  <c r="W357" i="15"/>
  <c r="Y413" i="15"/>
  <c r="C155" i="22"/>
  <c r="D155" i="22" s="1"/>
  <c r="Y312" i="15"/>
  <c r="W501" i="15"/>
  <c r="W375" i="15"/>
  <c r="X375" i="15"/>
  <c r="T375" i="15"/>
  <c r="X261" i="15"/>
  <c r="T261" i="15"/>
  <c r="T204" i="15"/>
  <c r="Y204" i="15" s="1"/>
  <c r="X204" i="15"/>
  <c r="Y20" i="15"/>
  <c r="C8" i="22"/>
  <c r="D8" i="22" s="1"/>
  <c r="Y404" i="15"/>
  <c r="N23" i="21"/>
  <c r="AB481" i="15"/>
  <c r="Y481" i="15"/>
  <c r="AB371" i="15"/>
  <c r="C186" i="22"/>
  <c r="D186" i="22" s="1"/>
  <c r="Y371" i="15"/>
  <c r="N67" i="21"/>
  <c r="I68" i="17"/>
  <c r="I151" i="17"/>
  <c r="C177" i="22"/>
  <c r="D177" i="22" s="1"/>
  <c r="Y352" i="15"/>
  <c r="I85" i="17"/>
  <c r="I138" i="17"/>
  <c r="J21" i="21"/>
  <c r="Y396" i="15"/>
  <c r="I76" i="17"/>
  <c r="Y180" i="15"/>
  <c r="Y287" i="15"/>
  <c r="C80" i="22"/>
  <c r="D80" i="22" s="1"/>
  <c r="C136" i="22"/>
  <c r="D136" i="22" s="1"/>
  <c r="Y297" i="15"/>
  <c r="R9" i="21"/>
  <c r="Q19" i="27"/>
  <c r="M20" i="27"/>
  <c r="M26" i="27"/>
  <c r="M22" i="27"/>
  <c r="I104" i="17"/>
  <c r="Y52" i="15"/>
  <c r="C19" i="22"/>
  <c r="D19" i="22" s="1"/>
  <c r="I117" i="17"/>
  <c r="H23" i="21"/>
  <c r="I39" i="27"/>
  <c r="M18" i="27"/>
  <c r="Q9" i="21"/>
  <c r="K9" i="21"/>
  <c r="I155" i="17"/>
  <c r="I42" i="27"/>
  <c r="Y454" i="15"/>
  <c r="C209" i="22"/>
  <c r="D209" i="22" s="1"/>
  <c r="W6" i="28"/>
  <c r="B17" i="28" s="1"/>
  <c r="D17" i="28" s="1"/>
  <c r="F17" i="28" s="1"/>
  <c r="R56" i="14"/>
  <c r="O56" i="14"/>
  <c r="Q56" i="14"/>
  <c r="G56" i="14"/>
  <c r="I56" i="14"/>
  <c r="M56" i="14"/>
  <c r="L56" i="14"/>
  <c r="J56" i="14"/>
  <c r="D56" i="14"/>
  <c r="H56" i="14"/>
  <c r="F56" i="14"/>
  <c r="N56" i="14"/>
  <c r="E56" i="14"/>
  <c r="K56" i="14"/>
  <c r="T56" i="14"/>
  <c r="S56" i="14"/>
  <c r="U56" i="14"/>
  <c r="L91" i="14"/>
  <c r="O91" i="14"/>
  <c r="T91" i="14"/>
  <c r="J91" i="14"/>
  <c r="G91" i="14"/>
  <c r="R91" i="14"/>
  <c r="S91" i="14"/>
  <c r="E91" i="14"/>
  <c r="U91" i="14"/>
  <c r="M91" i="14"/>
  <c r="Q91" i="14"/>
  <c r="N91" i="14"/>
  <c r="H91" i="14"/>
  <c r="F91" i="14"/>
  <c r="I91" i="14"/>
  <c r="D91" i="14"/>
  <c r="K91" i="14"/>
  <c r="D19" i="14"/>
  <c r="G19" i="14"/>
  <c r="T19" i="14"/>
  <c r="E19" i="14"/>
  <c r="Q19" i="14"/>
  <c r="K19" i="14"/>
  <c r="O19" i="14"/>
  <c r="H19" i="14"/>
  <c r="I19" i="14"/>
  <c r="M19" i="14"/>
  <c r="F19" i="14"/>
  <c r="J19" i="14"/>
  <c r="N19" i="14"/>
  <c r="R19" i="14"/>
  <c r="U19" i="14"/>
  <c r="L19" i="14"/>
  <c r="S19" i="14"/>
  <c r="F1" i="17"/>
  <c r="O31" i="14"/>
  <c r="K31" i="14"/>
  <c r="Q31" i="14"/>
  <c r="U31" i="14"/>
  <c r="E31" i="14"/>
  <c r="H31" i="14"/>
  <c r="S31" i="14"/>
  <c r="G31" i="14"/>
  <c r="N31" i="14"/>
  <c r="R31" i="14"/>
  <c r="M31" i="14"/>
  <c r="D31" i="14"/>
  <c r="I31" i="14"/>
  <c r="L31" i="14"/>
  <c r="F31" i="14"/>
  <c r="T31" i="14"/>
  <c r="J31" i="14"/>
  <c r="R96" i="14"/>
  <c r="F96" i="14"/>
  <c r="E96" i="14"/>
  <c r="J96" i="14"/>
  <c r="G96" i="14"/>
  <c r="Q96" i="14"/>
  <c r="I96" i="14"/>
  <c r="M96" i="14"/>
  <c r="U96" i="14"/>
  <c r="N96" i="14"/>
  <c r="K96" i="14"/>
  <c r="H96" i="14"/>
  <c r="T96" i="14"/>
  <c r="L96" i="14"/>
  <c r="S96" i="14"/>
  <c r="D96" i="14"/>
  <c r="O96" i="14"/>
  <c r="R116" i="14"/>
  <c r="S116" i="14"/>
  <c r="G116" i="14"/>
  <c r="U116" i="14"/>
  <c r="L116" i="14"/>
  <c r="I116" i="14"/>
  <c r="O116" i="14"/>
  <c r="J116" i="14"/>
  <c r="N116" i="14"/>
  <c r="M116" i="14"/>
  <c r="H116" i="14"/>
  <c r="T116" i="14"/>
  <c r="F116" i="14"/>
  <c r="Q116" i="14"/>
  <c r="E116" i="14"/>
  <c r="D116" i="14"/>
  <c r="K116" i="14"/>
  <c r="H171" i="14"/>
  <c r="J171" i="14"/>
  <c r="U171" i="14"/>
  <c r="Q171" i="14"/>
  <c r="C171" i="14"/>
  <c r="P171" i="14"/>
  <c r="F171" i="14"/>
  <c r="G171" i="14"/>
  <c r="I171" i="14"/>
  <c r="S171" i="14"/>
  <c r="R171" i="14"/>
  <c r="L171" i="14"/>
  <c r="M171" i="14"/>
  <c r="K171" i="14"/>
  <c r="E171" i="14"/>
  <c r="T171" i="14"/>
  <c r="D171" i="14"/>
  <c r="O171" i="14"/>
  <c r="N171" i="14"/>
  <c r="O176" i="14"/>
  <c r="I176" i="14"/>
  <c r="U176" i="14"/>
  <c r="C176" i="14"/>
  <c r="M176" i="14"/>
  <c r="Q176" i="14"/>
  <c r="T176" i="14"/>
  <c r="H176" i="14"/>
  <c r="K176" i="14"/>
  <c r="S176" i="14"/>
  <c r="R176" i="14"/>
  <c r="P176" i="14"/>
  <c r="F176" i="14"/>
  <c r="D176" i="14"/>
  <c r="E176" i="14"/>
  <c r="G176" i="14"/>
  <c r="L176" i="14"/>
  <c r="J176" i="14"/>
  <c r="N176" i="14"/>
  <c r="E132" i="14"/>
  <c r="M132" i="14"/>
  <c r="S132" i="14"/>
  <c r="Q132" i="14"/>
  <c r="I132" i="14"/>
  <c r="O132" i="14"/>
  <c r="R132" i="14"/>
  <c r="N132" i="14"/>
  <c r="J132" i="14"/>
  <c r="D132" i="14"/>
  <c r="K132" i="14"/>
  <c r="H132" i="14"/>
  <c r="T132" i="14"/>
  <c r="F132" i="14"/>
  <c r="G132" i="14"/>
  <c r="L132" i="14"/>
  <c r="U132" i="14"/>
  <c r="I136" i="17"/>
  <c r="I119" i="17"/>
  <c r="I123" i="14"/>
  <c r="J123" i="14"/>
  <c r="H123" i="14"/>
  <c r="E123" i="14"/>
  <c r="U123" i="14"/>
  <c r="F123" i="14"/>
  <c r="M123" i="14"/>
  <c r="N123" i="14"/>
  <c r="R123" i="14"/>
  <c r="D123" i="14"/>
  <c r="S123" i="14"/>
  <c r="L123" i="14"/>
  <c r="Q123" i="14"/>
  <c r="T123" i="14"/>
  <c r="G123" i="14"/>
  <c r="K123" i="14"/>
  <c r="O123" i="14"/>
  <c r="L118" i="14"/>
  <c r="K118" i="14"/>
  <c r="U118" i="14"/>
  <c r="Q118" i="14"/>
  <c r="R118" i="14"/>
  <c r="O118" i="14"/>
  <c r="N118" i="14"/>
  <c r="S118" i="14"/>
  <c r="I118" i="14"/>
  <c r="F118" i="14"/>
  <c r="D118" i="14"/>
  <c r="M118" i="14"/>
  <c r="J118" i="14"/>
  <c r="G118" i="14"/>
  <c r="E118" i="14"/>
  <c r="H118" i="14"/>
  <c r="T118" i="14"/>
  <c r="F159" i="14"/>
  <c r="N159" i="14"/>
  <c r="E159" i="14"/>
  <c r="Q159" i="14"/>
  <c r="M159" i="14"/>
  <c r="T159" i="14"/>
  <c r="K159" i="14"/>
  <c r="L159" i="14"/>
  <c r="C159" i="14"/>
  <c r="P159" i="14"/>
  <c r="G159" i="14"/>
  <c r="O159" i="14"/>
  <c r="J159" i="14"/>
  <c r="I159" i="14"/>
  <c r="U159" i="14"/>
  <c r="H159" i="14"/>
  <c r="S159" i="14"/>
  <c r="R159" i="14"/>
  <c r="D159" i="14"/>
  <c r="N157" i="14"/>
  <c r="M157" i="14"/>
  <c r="Q157" i="14"/>
  <c r="L157" i="14"/>
  <c r="E157" i="14"/>
  <c r="P157" i="14"/>
  <c r="G157" i="14"/>
  <c r="S157" i="14"/>
  <c r="I157" i="14"/>
  <c r="F157" i="14"/>
  <c r="K157" i="14"/>
  <c r="H157" i="14"/>
  <c r="U157" i="14"/>
  <c r="T157" i="14"/>
  <c r="J157" i="14"/>
  <c r="R157" i="14"/>
  <c r="C157" i="14"/>
  <c r="O157" i="14"/>
  <c r="D157" i="14"/>
  <c r="H174" i="14"/>
  <c r="P174" i="14"/>
  <c r="T174" i="14"/>
  <c r="M174" i="14"/>
  <c r="S174" i="14"/>
  <c r="E174" i="14"/>
  <c r="F174" i="14"/>
  <c r="C174" i="14"/>
  <c r="U174" i="14"/>
  <c r="D174" i="14"/>
  <c r="J174" i="14"/>
  <c r="R174" i="14"/>
  <c r="O174" i="14"/>
  <c r="K174" i="14"/>
  <c r="L174" i="14"/>
  <c r="Q174" i="14"/>
  <c r="G174" i="14"/>
  <c r="I174" i="14"/>
  <c r="N174" i="14"/>
  <c r="T142" i="14"/>
  <c r="I142" i="14"/>
  <c r="K142" i="14"/>
  <c r="H142" i="14"/>
  <c r="G142" i="14"/>
  <c r="D142" i="14"/>
  <c r="S142" i="14"/>
  <c r="Q142" i="14"/>
  <c r="U142" i="14"/>
  <c r="C142" i="14"/>
  <c r="L142" i="14"/>
  <c r="E142" i="14"/>
  <c r="P142" i="14"/>
  <c r="N142" i="14"/>
  <c r="O142" i="14"/>
  <c r="J142" i="14"/>
  <c r="R142" i="14"/>
  <c r="M142" i="14"/>
  <c r="F142" i="14"/>
  <c r="I137" i="17"/>
  <c r="I157" i="17"/>
  <c r="I86" i="17"/>
  <c r="I71" i="17"/>
  <c r="I43" i="17"/>
  <c r="G167" i="14"/>
  <c r="J167" i="14"/>
  <c r="D167" i="14"/>
  <c r="S167" i="14"/>
  <c r="U167" i="14"/>
  <c r="N167" i="14"/>
  <c r="M167" i="14"/>
  <c r="T167" i="14"/>
  <c r="Q167" i="14"/>
  <c r="C167" i="14"/>
  <c r="P167" i="14"/>
  <c r="I167" i="14"/>
  <c r="F167" i="14"/>
  <c r="E167" i="14"/>
  <c r="K167" i="14"/>
  <c r="R167" i="14"/>
  <c r="O167" i="14"/>
  <c r="L167" i="14"/>
  <c r="H167" i="14"/>
  <c r="M114" i="14"/>
  <c r="L114" i="14"/>
  <c r="J114" i="14"/>
  <c r="T114" i="14"/>
  <c r="O114" i="14"/>
  <c r="U114" i="14"/>
  <c r="D114" i="14"/>
  <c r="F114" i="14"/>
  <c r="E114" i="14"/>
  <c r="H114" i="14"/>
  <c r="N114" i="14"/>
  <c r="K114" i="14"/>
  <c r="I114" i="14"/>
  <c r="S114" i="14"/>
  <c r="R114" i="14"/>
  <c r="Q114" i="14"/>
  <c r="G114" i="14"/>
  <c r="I40" i="14"/>
  <c r="H40" i="14"/>
  <c r="G40" i="14"/>
  <c r="T40" i="14"/>
  <c r="R40" i="14"/>
  <c r="L40" i="14"/>
  <c r="U40" i="14"/>
  <c r="Q40" i="14"/>
  <c r="M40" i="14"/>
  <c r="N40" i="14"/>
  <c r="O40" i="14"/>
  <c r="J40" i="14"/>
  <c r="F40" i="14"/>
  <c r="E40" i="14"/>
  <c r="D40" i="14"/>
  <c r="S40" i="14"/>
  <c r="K40" i="14"/>
  <c r="I44" i="17"/>
  <c r="I79" i="17"/>
  <c r="I55" i="17"/>
  <c r="N169" i="14"/>
  <c r="F169" i="14"/>
  <c r="Q169" i="14"/>
  <c r="D169" i="14"/>
  <c r="G169" i="14"/>
  <c r="M169" i="14"/>
  <c r="R169" i="14"/>
  <c r="L169" i="14"/>
  <c r="U169" i="14"/>
  <c r="O169" i="14"/>
  <c r="T169" i="14"/>
  <c r="C169" i="14"/>
  <c r="S169" i="14"/>
  <c r="J169" i="14"/>
  <c r="E169" i="14"/>
  <c r="P169" i="14"/>
  <c r="H169" i="14"/>
  <c r="K169" i="14"/>
  <c r="I169" i="14"/>
  <c r="L128" i="14"/>
  <c r="H128" i="14"/>
  <c r="J128" i="14"/>
  <c r="Q128" i="14"/>
  <c r="N128" i="14"/>
  <c r="O128" i="14"/>
  <c r="F128" i="14"/>
  <c r="S128" i="14"/>
  <c r="T128" i="14"/>
  <c r="G128" i="14"/>
  <c r="D128" i="14"/>
  <c r="U128" i="14"/>
  <c r="E128" i="14"/>
  <c r="I128" i="14"/>
  <c r="M128" i="14"/>
  <c r="K128" i="14"/>
  <c r="R128" i="14"/>
  <c r="L103" i="14"/>
  <c r="N103" i="14"/>
  <c r="D103" i="14"/>
  <c r="U103" i="14"/>
  <c r="J103" i="14"/>
  <c r="M103" i="14"/>
  <c r="Q103" i="14"/>
  <c r="F103" i="14"/>
  <c r="K103" i="14"/>
  <c r="G103" i="14"/>
  <c r="R103" i="14"/>
  <c r="I103" i="14"/>
  <c r="T103" i="14"/>
  <c r="S103" i="14"/>
  <c r="O103" i="14"/>
  <c r="E103" i="14"/>
  <c r="H103" i="14"/>
  <c r="T55" i="14"/>
  <c r="O55" i="14"/>
  <c r="F55" i="14"/>
  <c r="I55" i="14"/>
  <c r="U55" i="14"/>
  <c r="G55" i="14"/>
  <c r="K55" i="14"/>
  <c r="N55" i="14"/>
  <c r="H55" i="14"/>
  <c r="D55" i="14"/>
  <c r="S55" i="14"/>
  <c r="E55" i="14"/>
  <c r="J55" i="14"/>
  <c r="L55" i="14"/>
  <c r="Q55" i="14"/>
  <c r="R55" i="14"/>
  <c r="M55" i="14"/>
  <c r="I112" i="17"/>
  <c r="I46" i="17"/>
  <c r="I72" i="17"/>
  <c r="Q162" i="14"/>
  <c r="K162" i="14"/>
  <c r="M162" i="14"/>
  <c r="T162" i="14"/>
  <c r="S162" i="14"/>
  <c r="G162" i="14"/>
  <c r="H162" i="14"/>
  <c r="P162" i="14"/>
  <c r="R162" i="14"/>
  <c r="C162" i="14"/>
  <c r="O162" i="14"/>
  <c r="I162" i="14"/>
  <c r="U162" i="14"/>
  <c r="F162" i="14"/>
  <c r="L162" i="14"/>
  <c r="E162" i="14"/>
  <c r="D162" i="14"/>
  <c r="J162" i="14"/>
  <c r="N162" i="14"/>
  <c r="M177" i="14"/>
  <c r="L177" i="14"/>
  <c r="E177" i="14"/>
  <c r="N177" i="14"/>
  <c r="R177" i="14"/>
  <c r="I177" i="14"/>
  <c r="K177" i="14"/>
  <c r="T177" i="14"/>
  <c r="O177" i="14"/>
  <c r="H177" i="14"/>
  <c r="J177" i="14"/>
  <c r="P177" i="14"/>
  <c r="G177" i="14"/>
  <c r="F177" i="14"/>
  <c r="D177" i="14"/>
  <c r="S177" i="14"/>
  <c r="Q177" i="14"/>
  <c r="U177" i="14"/>
  <c r="C177" i="14"/>
  <c r="T99" i="14"/>
  <c r="O99" i="14"/>
  <c r="K99" i="14"/>
  <c r="G99" i="14"/>
  <c r="Q99" i="14"/>
  <c r="D99" i="14"/>
  <c r="F99" i="14"/>
  <c r="U99" i="14"/>
  <c r="M99" i="14"/>
  <c r="I99" i="14"/>
  <c r="R99" i="14"/>
  <c r="E99" i="14"/>
  <c r="L99" i="14"/>
  <c r="N99" i="14"/>
  <c r="H99" i="14"/>
  <c r="S99" i="14"/>
  <c r="J99" i="14"/>
  <c r="L54" i="14"/>
  <c r="R54" i="14"/>
  <c r="M54" i="14"/>
  <c r="K54" i="14"/>
  <c r="Q54" i="14"/>
  <c r="U54" i="14"/>
  <c r="S54" i="14"/>
  <c r="E54" i="14"/>
  <c r="H54" i="14"/>
  <c r="N54" i="14"/>
  <c r="I54" i="14"/>
  <c r="G54" i="14"/>
  <c r="D54" i="14"/>
  <c r="F54" i="14"/>
  <c r="J54" i="14"/>
  <c r="O54" i="14"/>
  <c r="T54" i="14"/>
  <c r="D28" i="14"/>
  <c r="U28" i="14"/>
  <c r="N28" i="14"/>
  <c r="S28" i="14"/>
  <c r="F28" i="14"/>
  <c r="M28" i="14"/>
  <c r="L28" i="14"/>
  <c r="E28" i="14"/>
  <c r="T28" i="14"/>
  <c r="Q28" i="14"/>
  <c r="I28" i="14"/>
  <c r="J28" i="14"/>
  <c r="H28" i="14"/>
  <c r="G28" i="14"/>
  <c r="O28" i="14"/>
  <c r="K28" i="14"/>
  <c r="R28" i="14"/>
  <c r="M33" i="14"/>
  <c r="Q33" i="14"/>
  <c r="K33" i="14"/>
  <c r="E33" i="14"/>
  <c r="L33" i="14"/>
  <c r="J33" i="14"/>
  <c r="N33" i="14"/>
  <c r="U33" i="14"/>
  <c r="I33" i="14"/>
  <c r="G33" i="14"/>
  <c r="R33" i="14"/>
  <c r="F33" i="14"/>
  <c r="S33" i="14"/>
  <c r="T33" i="14"/>
  <c r="H33" i="14"/>
  <c r="D33" i="14"/>
  <c r="O33" i="14"/>
  <c r="I6" i="17"/>
  <c r="C1" i="17"/>
  <c r="D32" i="14"/>
  <c r="H32" i="14"/>
  <c r="T32" i="14"/>
  <c r="L32" i="14"/>
  <c r="O32" i="14"/>
  <c r="G32" i="14"/>
  <c r="N32" i="14"/>
  <c r="E32" i="14"/>
  <c r="I32" i="14"/>
  <c r="U32" i="14"/>
  <c r="J32" i="14"/>
  <c r="M32" i="14"/>
  <c r="K32" i="14"/>
  <c r="R32" i="14"/>
  <c r="S32" i="14"/>
  <c r="Q32" i="14"/>
  <c r="F32" i="14"/>
  <c r="Q45" i="14"/>
  <c r="J45" i="14"/>
  <c r="R45" i="14"/>
  <c r="E45" i="14"/>
  <c r="N45" i="14"/>
  <c r="T45" i="14"/>
  <c r="S45" i="14"/>
  <c r="G45" i="14"/>
  <c r="D45" i="14"/>
  <c r="I45" i="14"/>
  <c r="K45" i="14"/>
  <c r="O45" i="14"/>
  <c r="M45" i="14"/>
  <c r="H45" i="14"/>
  <c r="F45" i="14"/>
  <c r="L45" i="14"/>
  <c r="U45" i="14"/>
  <c r="E26" i="14"/>
  <c r="L26" i="14"/>
  <c r="G26" i="14"/>
  <c r="R26" i="14"/>
  <c r="S26" i="14"/>
  <c r="Q26" i="14"/>
  <c r="H26" i="14"/>
  <c r="O26" i="14"/>
  <c r="K26" i="14"/>
  <c r="M26" i="14"/>
  <c r="J26" i="14"/>
  <c r="I26" i="14"/>
  <c r="T26" i="14"/>
  <c r="D26" i="14"/>
  <c r="N26" i="14"/>
  <c r="F26" i="14"/>
  <c r="U26" i="14"/>
  <c r="T98" i="14"/>
  <c r="I98" i="14"/>
  <c r="U98" i="14"/>
  <c r="R98" i="14"/>
  <c r="N98" i="14"/>
  <c r="S98" i="14"/>
  <c r="E98" i="14"/>
  <c r="G98" i="14"/>
  <c r="D98" i="14"/>
  <c r="O98" i="14"/>
  <c r="J98" i="14"/>
  <c r="L98" i="14"/>
  <c r="F98" i="14"/>
  <c r="Q98" i="14"/>
  <c r="H98" i="14"/>
  <c r="M98" i="14"/>
  <c r="K98" i="14"/>
  <c r="G180" i="14"/>
  <c r="H180" i="14"/>
  <c r="K180" i="14"/>
  <c r="M180" i="14"/>
  <c r="Q180" i="14"/>
  <c r="S180" i="14"/>
  <c r="J180" i="14"/>
  <c r="U180" i="14"/>
  <c r="N180" i="14"/>
  <c r="R180" i="14"/>
  <c r="L180" i="14"/>
  <c r="C180" i="14"/>
  <c r="E180" i="14"/>
  <c r="P180" i="14"/>
  <c r="I180" i="14"/>
  <c r="T180" i="14"/>
  <c r="F180" i="14"/>
  <c r="D180" i="14"/>
  <c r="O180" i="14"/>
  <c r="I140" i="14"/>
  <c r="J140" i="14"/>
  <c r="C140" i="14"/>
  <c r="U140" i="14"/>
  <c r="T140" i="14"/>
  <c r="M140" i="14"/>
  <c r="N140" i="14"/>
  <c r="F140" i="14"/>
  <c r="Q140" i="14"/>
  <c r="S140" i="14"/>
  <c r="E140" i="14"/>
  <c r="L140" i="14"/>
  <c r="D140" i="14"/>
  <c r="G140" i="14"/>
  <c r="R140" i="14"/>
  <c r="O140" i="14"/>
  <c r="H140" i="14"/>
  <c r="K140" i="14"/>
  <c r="P140" i="14"/>
  <c r="F168" i="14"/>
  <c r="N168" i="14"/>
  <c r="R168" i="14"/>
  <c r="O168" i="14"/>
  <c r="G168" i="14"/>
  <c r="Q168" i="14"/>
  <c r="D168" i="14"/>
  <c r="P168" i="14"/>
  <c r="T168" i="14"/>
  <c r="C168" i="14"/>
  <c r="S168" i="14"/>
  <c r="L168" i="14"/>
  <c r="H168" i="14"/>
  <c r="U168" i="14"/>
  <c r="J168" i="14"/>
  <c r="M168" i="14"/>
  <c r="I168" i="14"/>
  <c r="K168" i="14"/>
  <c r="E168" i="14"/>
  <c r="S115" i="14"/>
  <c r="H115" i="14"/>
  <c r="T115" i="14"/>
  <c r="I115" i="14"/>
  <c r="R115" i="14"/>
  <c r="K115" i="14"/>
  <c r="N115" i="14"/>
  <c r="L115" i="14"/>
  <c r="M115" i="14"/>
  <c r="U115" i="14"/>
  <c r="E115" i="14"/>
  <c r="Q115" i="14"/>
  <c r="D115" i="14"/>
  <c r="J115" i="14"/>
  <c r="G115" i="14"/>
  <c r="O115" i="14"/>
  <c r="F115" i="14"/>
  <c r="G156" i="14"/>
  <c r="D156" i="14"/>
  <c r="U156" i="14"/>
  <c r="S156" i="14"/>
  <c r="T156" i="14"/>
  <c r="H156" i="14"/>
  <c r="P156" i="14"/>
  <c r="O156" i="14"/>
  <c r="R156" i="14"/>
  <c r="E156" i="14"/>
  <c r="N156" i="14"/>
  <c r="C156" i="14"/>
  <c r="M156" i="14"/>
  <c r="I156" i="14"/>
  <c r="J156" i="14"/>
  <c r="K156" i="14"/>
  <c r="Q156" i="14"/>
  <c r="L156" i="14"/>
  <c r="F156" i="14"/>
  <c r="J129" i="14"/>
  <c r="H129" i="14"/>
  <c r="L129" i="14"/>
  <c r="K129" i="14"/>
  <c r="G129" i="14"/>
  <c r="S129" i="14"/>
  <c r="R129" i="14"/>
  <c r="O129" i="14"/>
  <c r="D129" i="14"/>
  <c r="E129" i="14"/>
  <c r="M129" i="14"/>
  <c r="Q129" i="14"/>
  <c r="I129" i="14"/>
  <c r="N129" i="14"/>
  <c r="U129" i="14"/>
  <c r="T129" i="14"/>
  <c r="F129" i="14"/>
  <c r="C147" i="14"/>
  <c r="R147" i="14"/>
  <c r="I147" i="14"/>
  <c r="P147" i="14"/>
  <c r="M147" i="14"/>
  <c r="L147" i="14"/>
  <c r="D147" i="14"/>
  <c r="Q147" i="14"/>
  <c r="E147" i="14"/>
  <c r="K147" i="14"/>
  <c r="U147" i="14"/>
  <c r="G147" i="14"/>
  <c r="O147" i="14"/>
  <c r="H147" i="14"/>
  <c r="F147" i="14"/>
  <c r="N147" i="14"/>
  <c r="T147" i="14"/>
  <c r="S147" i="14"/>
  <c r="J147" i="14"/>
  <c r="D166" i="14"/>
  <c r="T166" i="14"/>
  <c r="N166" i="14"/>
  <c r="J166" i="14"/>
  <c r="U166" i="14"/>
  <c r="P166" i="14"/>
  <c r="K166" i="14"/>
  <c r="E166" i="14"/>
  <c r="M166" i="14"/>
  <c r="H166" i="14"/>
  <c r="F166" i="14"/>
  <c r="R166" i="14"/>
  <c r="Q166" i="14"/>
  <c r="G166" i="14"/>
  <c r="I166" i="14"/>
  <c r="L166" i="14"/>
  <c r="C166" i="14"/>
  <c r="S166" i="14"/>
  <c r="O166" i="14"/>
  <c r="I47" i="17"/>
  <c r="I144" i="17"/>
  <c r="I131" i="17"/>
  <c r="I100" i="17"/>
  <c r="I107" i="17"/>
  <c r="I115" i="17"/>
  <c r="I159" i="17"/>
  <c r="L138" i="14"/>
  <c r="C138" i="14"/>
  <c r="T138" i="14"/>
  <c r="F138" i="14"/>
  <c r="P138" i="14"/>
  <c r="J138" i="14"/>
  <c r="H138" i="14"/>
  <c r="S138" i="14"/>
  <c r="Q138" i="14"/>
  <c r="G138" i="14"/>
  <c r="O138" i="14"/>
  <c r="E138" i="14"/>
  <c r="R138" i="14"/>
  <c r="U138" i="14"/>
  <c r="K138" i="14"/>
  <c r="D138" i="14"/>
  <c r="M138" i="14"/>
  <c r="I138" i="14"/>
  <c r="N138" i="14"/>
  <c r="I133" i="14"/>
  <c r="G133" i="14"/>
  <c r="S133" i="14"/>
  <c r="M133" i="14"/>
  <c r="L133" i="14"/>
  <c r="H133" i="14"/>
  <c r="N133" i="14"/>
  <c r="Q133" i="14"/>
  <c r="K133" i="14"/>
  <c r="T133" i="14"/>
  <c r="R133" i="14"/>
  <c r="E133" i="14"/>
  <c r="F133" i="14"/>
  <c r="U133" i="14"/>
  <c r="O133" i="14"/>
  <c r="J133" i="14"/>
  <c r="D133" i="14"/>
  <c r="I122" i="14"/>
  <c r="M122" i="14"/>
  <c r="K122" i="14"/>
  <c r="L122" i="14"/>
  <c r="H122" i="14"/>
  <c r="R122" i="14"/>
  <c r="Q122" i="14"/>
  <c r="U122" i="14"/>
  <c r="G122" i="14"/>
  <c r="O122" i="14"/>
  <c r="E122" i="14"/>
  <c r="D122" i="14"/>
  <c r="J122" i="14"/>
  <c r="F122" i="14"/>
  <c r="N122" i="14"/>
  <c r="T122" i="14"/>
  <c r="S122" i="14"/>
  <c r="I135" i="17"/>
  <c r="I128" i="17"/>
  <c r="F131" i="14"/>
  <c r="Q131" i="14"/>
  <c r="E131" i="14"/>
  <c r="H131" i="14"/>
  <c r="M131" i="14"/>
  <c r="I131" i="14"/>
  <c r="N131" i="14"/>
  <c r="O131" i="14"/>
  <c r="T131" i="14"/>
  <c r="G131" i="14"/>
  <c r="J131" i="14"/>
  <c r="L131" i="14"/>
  <c r="K131" i="14"/>
  <c r="D131" i="14"/>
  <c r="R131" i="14"/>
  <c r="U131" i="14"/>
  <c r="S131" i="14"/>
  <c r="N151" i="14"/>
  <c r="P151" i="14"/>
  <c r="H151" i="14"/>
  <c r="J151" i="14"/>
  <c r="O151" i="14"/>
  <c r="T151" i="14"/>
  <c r="G151" i="14"/>
  <c r="K151" i="14"/>
  <c r="C151" i="14"/>
  <c r="L151" i="14"/>
  <c r="I151" i="14"/>
  <c r="D151" i="14"/>
  <c r="U151" i="14"/>
  <c r="R151" i="14"/>
  <c r="S151" i="14"/>
  <c r="E151" i="14"/>
  <c r="M151" i="14"/>
  <c r="F151" i="14"/>
  <c r="Q151" i="14"/>
  <c r="R109" i="14"/>
  <c r="E109" i="14"/>
  <c r="N109" i="14"/>
  <c r="F109" i="14"/>
  <c r="T109" i="14"/>
  <c r="G109" i="14"/>
  <c r="K109" i="14"/>
  <c r="U109" i="14"/>
  <c r="L109" i="14"/>
  <c r="M109" i="14"/>
  <c r="I109" i="14"/>
  <c r="S109" i="14"/>
  <c r="H109" i="14"/>
  <c r="D109" i="14"/>
  <c r="O109" i="14"/>
  <c r="Q109" i="14"/>
  <c r="J109" i="14"/>
  <c r="J47" i="14"/>
  <c r="G47" i="14"/>
  <c r="E47" i="14"/>
  <c r="K47" i="14"/>
  <c r="U47" i="14"/>
  <c r="M47" i="14"/>
  <c r="I47" i="14"/>
  <c r="S47" i="14"/>
  <c r="O47" i="14"/>
  <c r="D47" i="14"/>
  <c r="N47" i="14"/>
  <c r="H47" i="14"/>
  <c r="Q47" i="14"/>
  <c r="F47" i="14"/>
  <c r="L47" i="14"/>
  <c r="R47" i="14"/>
  <c r="I143" i="17"/>
  <c r="I96" i="17"/>
  <c r="I142" i="17"/>
  <c r="I114" i="17"/>
  <c r="O145" i="14"/>
  <c r="P145" i="14"/>
  <c r="M145" i="14"/>
  <c r="U145" i="14"/>
  <c r="K145" i="14"/>
  <c r="D145" i="14"/>
  <c r="S145" i="14"/>
  <c r="T145" i="14"/>
  <c r="H145" i="14"/>
  <c r="G145" i="14"/>
  <c r="F145" i="14"/>
  <c r="E145" i="14"/>
  <c r="L145" i="14"/>
  <c r="R145" i="14"/>
  <c r="J145" i="14"/>
  <c r="Q145" i="14"/>
  <c r="I145" i="14"/>
  <c r="N145" i="14"/>
  <c r="C145" i="14"/>
  <c r="Q121" i="14"/>
  <c r="H121" i="14"/>
  <c r="I121" i="14"/>
  <c r="K121" i="14"/>
  <c r="E121" i="14"/>
  <c r="O121" i="14"/>
  <c r="F121" i="14"/>
  <c r="L121" i="14"/>
  <c r="M121" i="14"/>
  <c r="T121" i="14"/>
  <c r="D121" i="14"/>
  <c r="S121" i="14"/>
  <c r="R121" i="14"/>
  <c r="J121" i="14"/>
  <c r="G121" i="14"/>
  <c r="U121" i="14"/>
  <c r="N121" i="14"/>
  <c r="I102" i="14"/>
  <c r="S102" i="14"/>
  <c r="U102" i="14"/>
  <c r="D102" i="14"/>
  <c r="G102" i="14"/>
  <c r="T102" i="14"/>
  <c r="N102" i="14"/>
  <c r="Q102" i="14"/>
  <c r="H102" i="14"/>
  <c r="J102" i="14"/>
  <c r="L102" i="14"/>
  <c r="E102" i="14"/>
  <c r="R102" i="14"/>
  <c r="M102" i="14"/>
  <c r="K102" i="14"/>
  <c r="O102" i="14"/>
  <c r="F102" i="14"/>
  <c r="G75" i="14"/>
  <c r="U75" i="14"/>
  <c r="D75" i="14"/>
  <c r="L75" i="14"/>
  <c r="O75" i="14"/>
  <c r="Q75" i="14"/>
  <c r="M75" i="14"/>
  <c r="F75" i="14"/>
  <c r="K75" i="14"/>
  <c r="N75" i="14"/>
  <c r="E75" i="14"/>
  <c r="H75" i="14"/>
  <c r="I75" i="14"/>
  <c r="J75" i="14"/>
  <c r="S75" i="14"/>
  <c r="T75" i="14"/>
  <c r="R75" i="14"/>
  <c r="J69" i="14"/>
  <c r="E69" i="14"/>
  <c r="K69" i="14"/>
  <c r="Q69" i="14"/>
  <c r="G69" i="14"/>
  <c r="O69" i="14"/>
  <c r="M69" i="14"/>
  <c r="N69" i="14"/>
  <c r="F69" i="14"/>
  <c r="L69" i="14"/>
  <c r="D69" i="14"/>
  <c r="I69" i="14"/>
  <c r="S69" i="14"/>
  <c r="R69" i="14"/>
  <c r="T69" i="14"/>
  <c r="U69" i="14"/>
  <c r="H69" i="14"/>
  <c r="P6" i="25"/>
  <c r="B10" i="25" s="1"/>
  <c r="D10" i="25" s="1"/>
  <c r="F10" i="25" s="1"/>
  <c r="L6" i="28"/>
  <c r="B6" i="28" s="1"/>
  <c r="D6" i="28" s="1"/>
  <c r="T21" i="14"/>
  <c r="O21" i="14"/>
  <c r="G21" i="14"/>
  <c r="N21" i="14"/>
  <c r="L21" i="14"/>
  <c r="R21" i="14"/>
  <c r="E21" i="14"/>
  <c r="Q21" i="14"/>
  <c r="J21" i="14"/>
  <c r="I21" i="14"/>
  <c r="F21" i="14"/>
  <c r="S21" i="14"/>
  <c r="D21" i="14"/>
  <c r="M21" i="14"/>
  <c r="U21" i="14"/>
  <c r="H21" i="14"/>
  <c r="K21" i="14"/>
  <c r="D74" i="14"/>
  <c r="R74" i="14"/>
  <c r="T74" i="14"/>
  <c r="O74" i="14"/>
  <c r="E74" i="14"/>
  <c r="G74" i="14"/>
  <c r="I74" i="14"/>
  <c r="F74" i="14"/>
  <c r="S74" i="14"/>
  <c r="K74" i="14"/>
  <c r="Q74" i="14"/>
  <c r="U74" i="14"/>
  <c r="N74" i="14"/>
  <c r="J74" i="14"/>
  <c r="M74" i="14"/>
  <c r="H74" i="14"/>
  <c r="L74" i="14"/>
  <c r="I29" i="17"/>
  <c r="U86" i="14"/>
  <c r="F86" i="14"/>
  <c r="G86" i="14"/>
  <c r="S86" i="14"/>
  <c r="H86" i="14"/>
  <c r="L86" i="14"/>
  <c r="I86" i="14"/>
  <c r="D86" i="14"/>
  <c r="R86" i="14"/>
  <c r="J86" i="14"/>
  <c r="O86" i="14"/>
  <c r="Q86" i="14"/>
  <c r="K86" i="14"/>
  <c r="M86" i="14"/>
  <c r="N86" i="14"/>
  <c r="E86" i="14"/>
  <c r="I12" i="17"/>
  <c r="J85" i="14"/>
  <c r="S85" i="14"/>
  <c r="D85" i="14"/>
  <c r="M85" i="14"/>
  <c r="F85" i="14"/>
  <c r="K85" i="14"/>
  <c r="O85" i="14"/>
  <c r="G85" i="14"/>
  <c r="U85" i="14"/>
  <c r="H85" i="14"/>
  <c r="N85" i="14"/>
  <c r="L85" i="14"/>
  <c r="I85" i="14"/>
  <c r="E85" i="14"/>
  <c r="Q85" i="14"/>
  <c r="R85" i="14"/>
  <c r="E63" i="14"/>
  <c r="K63" i="14"/>
  <c r="R63" i="14"/>
  <c r="M63" i="14"/>
  <c r="H63" i="14"/>
  <c r="D63" i="14"/>
  <c r="O63" i="14"/>
  <c r="I63" i="14"/>
  <c r="S63" i="14"/>
  <c r="J63" i="14"/>
  <c r="F63" i="14"/>
  <c r="Q63" i="14"/>
  <c r="N63" i="14"/>
  <c r="G63" i="14"/>
  <c r="T63" i="14"/>
  <c r="U63" i="14"/>
  <c r="L63" i="14"/>
  <c r="O104" i="14"/>
  <c r="M104" i="14"/>
  <c r="S104" i="14"/>
  <c r="F104" i="14"/>
  <c r="Q104" i="14"/>
  <c r="D104" i="14"/>
  <c r="K104" i="14"/>
  <c r="N104" i="14"/>
  <c r="G104" i="14"/>
  <c r="U104" i="14"/>
  <c r="L104" i="14"/>
  <c r="I104" i="14"/>
  <c r="J104" i="14"/>
  <c r="T104" i="14"/>
  <c r="P104" i="14" s="1"/>
  <c r="D102" i="3" s="1"/>
  <c r="E104" i="14"/>
  <c r="R104" i="14"/>
  <c r="H104" i="14"/>
  <c r="U113" i="14"/>
  <c r="T113" i="14"/>
  <c r="Q113" i="14"/>
  <c r="E113" i="14"/>
  <c r="L113" i="14"/>
  <c r="J113" i="14"/>
  <c r="S113" i="14"/>
  <c r="I113" i="14"/>
  <c r="G113" i="14"/>
  <c r="H113" i="14"/>
  <c r="O113" i="14"/>
  <c r="R113" i="14"/>
  <c r="D113" i="14"/>
  <c r="F113" i="14"/>
  <c r="M113" i="14"/>
  <c r="N113" i="14"/>
  <c r="K113" i="14"/>
  <c r="F111" i="14"/>
  <c r="L111" i="14"/>
  <c r="D111" i="14"/>
  <c r="G111" i="14"/>
  <c r="U111" i="14"/>
  <c r="Q111" i="14"/>
  <c r="I111" i="14"/>
  <c r="E111" i="14"/>
  <c r="O111" i="14"/>
  <c r="M111" i="14"/>
  <c r="S111" i="14"/>
  <c r="H111" i="14"/>
  <c r="N111" i="14"/>
  <c r="K111" i="14"/>
  <c r="J111" i="14"/>
  <c r="T111" i="14"/>
  <c r="R111" i="14"/>
  <c r="P144" i="14"/>
  <c r="R144" i="14"/>
  <c r="T144" i="14"/>
  <c r="E144" i="14"/>
  <c r="U144" i="14"/>
  <c r="Q144" i="14"/>
  <c r="L144" i="14"/>
  <c r="F144" i="14"/>
  <c r="S144" i="14"/>
  <c r="I144" i="14"/>
  <c r="G144" i="14"/>
  <c r="M144" i="14"/>
  <c r="O144" i="14"/>
  <c r="N144" i="14"/>
  <c r="H144" i="14"/>
  <c r="D144" i="14"/>
  <c r="J144" i="14"/>
  <c r="C144" i="14"/>
  <c r="K144" i="14"/>
  <c r="D175" i="14"/>
  <c r="E175" i="14"/>
  <c r="F175" i="14"/>
  <c r="O175" i="14"/>
  <c r="T175" i="14"/>
  <c r="J175" i="14"/>
  <c r="C175" i="14"/>
  <c r="R175" i="14"/>
  <c r="P175" i="14"/>
  <c r="S175" i="14"/>
  <c r="K175" i="14"/>
  <c r="L175" i="14"/>
  <c r="H175" i="14"/>
  <c r="U175" i="14"/>
  <c r="N175" i="14"/>
  <c r="Q175" i="14"/>
  <c r="I175" i="14"/>
  <c r="M175" i="14"/>
  <c r="G175" i="14"/>
  <c r="Q152" i="14"/>
  <c r="H152" i="14"/>
  <c r="E152" i="14"/>
  <c r="P152" i="14"/>
  <c r="O152" i="14"/>
  <c r="D152" i="14"/>
  <c r="R152" i="14"/>
  <c r="S152" i="14"/>
  <c r="U152" i="14"/>
  <c r="T152" i="14"/>
  <c r="K152" i="14"/>
  <c r="G152" i="14"/>
  <c r="M152" i="14"/>
  <c r="J152" i="14"/>
  <c r="N152" i="14"/>
  <c r="L152" i="14"/>
  <c r="C152" i="14"/>
  <c r="F152" i="14"/>
  <c r="I152" i="14"/>
  <c r="I145" i="17"/>
  <c r="I122" i="17"/>
  <c r="R105" i="14"/>
  <c r="S105" i="14"/>
  <c r="Q105" i="14"/>
  <c r="M105" i="14"/>
  <c r="O105" i="14"/>
  <c r="T105" i="14"/>
  <c r="E105" i="14"/>
  <c r="H105" i="14"/>
  <c r="L105" i="14"/>
  <c r="N105" i="14"/>
  <c r="K105" i="14"/>
  <c r="I105" i="14"/>
  <c r="U105" i="14"/>
  <c r="D105" i="14"/>
  <c r="G105" i="14"/>
  <c r="J105" i="14"/>
  <c r="F105" i="14"/>
  <c r="T108" i="14"/>
  <c r="U108" i="14"/>
  <c r="G108" i="14"/>
  <c r="D108" i="14"/>
  <c r="H108" i="14"/>
  <c r="F108" i="14"/>
  <c r="J108" i="14"/>
  <c r="I108" i="14"/>
  <c r="N108" i="14"/>
  <c r="O108" i="14"/>
  <c r="K108" i="14"/>
  <c r="R108" i="14"/>
  <c r="Q108" i="14"/>
  <c r="S108" i="14"/>
  <c r="L108" i="14"/>
  <c r="E108" i="14"/>
  <c r="M108" i="14"/>
  <c r="Q126" i="14"/>
  <c r="I126" i="14"/>
  <c r="K126" i="14"/>
  <c r="E126" i="14"/>
  <c r="O126" i="14"/>
  <c r="F126" i="14"/>
  <c r="L126" i="14"/>
  <c r="M126" i="14"/>
  <c r="T126" i="14"/>
  <c r="D126" i="14"/>
  <c r="S126" i="14"/>
  <c r="R126" i="14"/>
  <c r="J126" i="14"/>
  <c r="H126" i="14"/>
  <c r="G126" i="14"/>
  <c r="U126" i="14"/>
  <c r="N126" i="14"/>
  <c r="M165" i="14"/>
  <c r="D165" i="14"/>
  <c r="O165" i="14"/>
  <c r="F165" i="14"/>
  <c r="T165" i="14"/>
  <c r="J165" i="14"/>
  <c r="C165" i="14"/>
  <c r="G165" i="14"/>
  <c r="H165" i="14"/>
  <c r="K165" i="14"/>
  <c r="S165" i="14"/>
  <c r="E165" i="14"/>
  <c r="I165" i="14"/>
  <c r="P165" i="14"/>
  <c r="R165" i="14"/>
  <c r="U165" i="14"/>
  <c r="L165" i="14"/>
  <c r="Q165" i="14"/>
  <c r="N165" i="14"/>
  <c r="U149" i="14"/>
  <c r="H149" i="14"/>
  <c r="J149" i="14"/>
  <c r="O149" i="14"/>
  <c r="E149" i="14"/>
  <c r="D149" i="14"/>
  <c r="T149" i="14"/>
  <c r="S149" i="14"/>
  <c r="L149" i="14"/>
  <c r="G149" i="14"/>
  <c r="M149" i="14"/>
  <c r="R149" i="14"/>
  <c r="N149" i="14"/>
  <c r="F149" i="14"/>
  <c r="C149" i="14"/>
  <c r="Q149" i="14"/>
  <c r="I149" i="14"/>
  <c r="P149" i="14"/>
  <c r="K149" i="14"/>
  <c r="K136" i="14"/>
  <c r="O136" i="14"/>
  <c r="E136" i="14"/>
  <c r="C136" i="14"/>
  <c r="Q136" i="14"/>
  <c r="N136" i="14"/>
  <c r="H136" i="14"/>
  <c r="S136" i="14"/>
  <c r="D136" i="14"/>
  <c r="I136" i="14"/>
  <c r="M136" i="14"/>
  <c r="U136" i="14"/>
  <c r="P136" i="14"/>
  <c r="L136" i="14"/>
  <c r="T136" i="14"/>
  <c r="R136" i="14"/>
  <c r="F136" i="14"/>
  <c r="J136" i="14"/>
  <c r="G136" i="14"/>
  <c r="C158" i="14"/>
  <c r="Q158" i="14"/>
  <c r="H158" i="14"/>
  <c r="U158" i="14"/>
  <c r="I158" i="14"/>
  <c r="K158" i="14"/>
  <c r="J158" i="14"/>
  <c r="P158" i="14"/>
  <c r="N158" i="14"/>
  <c r="R158" i="14"/>
  <c r="G158" i="14"/>
  <c r="M158" i="14"/>
  <c r="L158" i="14"/>
  <c r="T158" i="14"/>
  <c r="F158" i="14"/>
  <c r="E158" i="14"/>
  <c r="S158" i="14"/>
  <c r="O158" i="14"/>
  <c r="D158" i="14"/>
  <c r="I91" i="17"/>
  <c r="I78" i="17"/>
  <c r="I110" i="17"/>
  <c r="I105" i="17"/>
  <c r="I111" i="17"/>
  <c r="I106" i="17"/>
  <c r="I60" i="17"/>
  <c r="U154" i="14"/>
  <c r="Q154" i="14"/>
  <c r="H154" i="14"/>
  <c r="P154" i="14"/>
  <c r="I154" i="14"/>
  <c r="S154" i="14"/>
  <c r="O154" i="14"/>
  <c r="L154" i="14"/>
  <c r="R154" i="14"/>
  <c r="N154" i="14"/>
  <c r="E154" i="14"/>
  <c r="C154" i="14"/>
  <c r="K154" i="14"/>
  <c r="J154" i="14"/>
  <c r="F154" i="14"/>
  <c r="T154" i="14"/>
  <c r="D154" i="14"/>
  <c r="M154" i="14"/>
  <c r="G154" i="14"/>
  <c r="L161" i="14"/>
  <c r="I161" i="14"/>
  <c r="E161" i="14"/>
  <c r="H161" i="14"/>
  <c r="U161" i="14"/>
  <c r="J161" i="14"/>
  <c r="R161" i="14"/>
  <c r="S161" i="14"/>
  <c r="K161" i="14"/>
  <c r="N161" i="14"/>
  <c r="Q161" i="14"/>
  <c r="F161" i="14"/>
  <c r="D161" i="14"/>
  <c r="C161" i="14"/>
  <c r="P161" i="14"/>
  <c r="G161" i="14"/>
  <c r="T161" i="14"/>
  <c r="M161" i="14"/>
  <c r="O161" i="14"/>
  <c r="L124" i="14"/>
  <c r="S124" i="14"/>
  <c r="J124" i="14"/>
  <c r="H124" i="14"/>
  <c r="F124" i="14"/>
  <c r="E124" i="14"/>
  <c r="Q124" i="14"/>
  <c r="D124" i="14"/>
  <c r="T124" i="14"/>
  <c r="M124" i="14"/>
  <c r="U124" i="14"/>
  <c r="O124" i="14"/>
  <c r="G124" i="14"/>
  <c r="K124" i="14"/>
  <c r="R124" i="14"/>
  <c r="I124" i="14"/>
  <c r="N124" i="14"/>
  <c r="I126" i="17"/>
  <c r="I64" i="17"/>
  <c r="C173" i="14"/>
  <c r="U173" i="14"/>
  <c r="N173" i="14"/>
  <c r="H173" i="14"/>
  <c r="G173" i="14"/>
  <c r="S173" i="14"/>
  <c r="R173" i="14"/>
  <c r="T173" i="14"/>
  <c r="L173" i="14"/>
  <c r="D173" i="14"/>
  <c r="J173" i="14"/>
  <c r="O173" i="14"/>
  <c r="P173" i="14"/>
  <c r="E173" i="14"/>
  <c r="Q173" i="14"/>
  <c r="K173" i="14"/>
  <c r="I173" i="14"/>
  <c r="M173" i="14"/>
  <c r="F173" i="14"/>
  <c r="I119" i="14"/>
  <c r="E119" i="14"/>
  <c r="N119" i="14"/>
  <c r="U119" i="14"/>
  <c r="O119" i="14"/>
  <c r="G119" i="14"/>
  <c r="F119" i="14"/>
  <c r="K119" i="14"/>
  <c r="T119" i="14"/>
  <c r="M119" i="14"/>
  <c r="D119" i="14"/>
  <c r="H119" i="14"/>
  <c r="S119" i="14"/>
  <c r="L119" i="14"/>
  <c r="J119" i="14"/>
  <c r="Q119" i="14"/>
  <c r="R119" i="14"/>
  <c r="I156" i="17"/>
  <c r="I133" i="17"/>
  <c r="I77" i="17"/>
  <c r="I66" i="17"/>
  <c r="I118" i="17"/>
  <c r="E130" i="14"/>
  <c r="Q130" i="14"/>
  <c r="L130" i="14"/>
  <c r="R130" i="14"/>
  <c r="G130" i="14"/>
  <c r="S130" i="14"/>
  <c r="J130" i="14"/>
  <c r="M130" i="14"/>
  <c r="D130" i="14"/>
  <c r="N130" i="14"/>
  <c r="I130" i="14"/>
  <c r="F130" i="14"/>
  <c r="K130" i="14"/>
  <c r="U130" i="14"/>
  <c r="T130" i="14"/>
  <c r="O130" i="14"/>
  <c r="H130" i="14"/>
  <c r="C181" i="14"/>
  <c r="U181" i="14"/>
  <c r="N181" i="14"/>
  <c r="M181" i="14"/>
  <c r="G181" i="14"/>
  <c r="L181" i="14"/>
  <c r="H181" i="14"/>
  <c r="D181" i="14"/>
  <c r="O181" i="14"/>
  <c r="T181" i="14"/>
  <c r="E181" i="14"/>
  <c r="K181" i="14"/>
  <c r="J181" i="14"/>
  <c r="P181" i="14"/>
  <c r="Q181" i="14"/>
  <c r="R181" i="14"/>
  <c r="I181" i="14"/>
  <c r="F181" i="14"/>
  <c r="S181" i="14"/>
  <c r="N110" i="14"/>
  <c r="U110" i="14"/>
  <c r="E110" i="14"/>
  <c r="K110" i="14"/>
  <c r="S110" i="14"/>
  <c r="F110" i="14"/>
  <c r="L110" i="14"/>
  <c r="D110" i="14"/>
  <c r="M110" i="14"/>
  <c r="H110" i="14"/>
  <c r="J110" i="14"/>
  <c r="G110" i="14"/>
  <c r="R110" i="14"/>
  <c r="T110" i="14"/>
  <c r="O110" i="14"/>
  <c r="I110" i="14"/>
  <c r="Q110" i="14"/>
  <c r="T106" i="14"/>
  <c r="U106" i="14"/>
  <c r="D106" i="14"/>
  <c r="I106" i="14"/>
  <c r="R106" i="14"/>
  <c r="E106" i="14"/>
  <c r="M106" i="14"/>
  <c r="Q106" i="14"/>
  <c r="O106" i="14"/>
  <c r="K106" i="14"/>
  <c r="N106" i="14"/>
  <c r="L106" i="14"/>
  <c r="H106" i="14"/>
  <c r="S106" i="14"/>
  <c r="F106" i="14"/>
  <c r="G106" i="14"/>
  <c r="J106" i="14"/>
  <c r="G70" i="14"/>
  <c r="J70" i="14"/>
  <c r="F70" i="14"/>
  <c r="I70" i="14"/>
  <c r="Q70" i="14"/>
  <c r="T70" i="14"/>
  <c r="E70" i="14"/>
  <c r="M70" i="14"/>
  <c r="R70" i="14"/>
  <c r="O70" i="14"/>
  <c r="H70" i="14"/>
  <c r="D70" i="14"/>
  <c r="K70" i="14"/>
  <c r="S70" i="14"/>
  <c r="U70" i="14"/>
  <c r="N70" i="14"/>
  <c r="L70" i="14"/>
  <c r="S9" i="21"/>
  <c r="E79" i="14"/>
  <c r="F79" i="14"/>
  <c r="U79" i="14"/>
  <c r="D79" i="14"/>
  <c r="Q79" i="14"/>
  <c r="R79" i="14"/>
  <c r="M79" i="14"/>
  <c r="T79" i="14"/>
  <c r="J79" i="14"/>
  <c r="S79" i="14"/>
  <c r="I79" i="14"/>
  <c r="O79" i="14"/>
  <c r="H79" i="14"/>
  <c r="L79" i="14"/>
  <c r="N79" i="14"/>
  <c r="K79" i="14"/>
  <c r="G79" i="14"/>
  <c r="I36" i="14"/>
  <c r="R36" i="14"/>
  <c r="H36" i="14"/>
  <c r="K36" i="14"/>
  <c r="F36" i="14"/>
  <c r="S36" i="14"/>
  <c r="L36" i="14"/>
  <c r="D36" i="14"/>
  <c r="O36" i="14"/>
  <c r="M36" i="14"/>
  <c r="E36" i="14"/>
  <c r="J36" i="14"/>
  <c r="Q36" i="14"/>
  <c r="G36" i="14"/>
  <c r="U36" i="14"/>
  <c r="N36" i="14"/>
  <c r="S95" i="14"/>
  <c r="F95" i="14"/>
  <c r="E95" i="14"/>
  <c r="K95" i="14"/>
  <c r="I95" i="14"/>
  <c r="U95" i="14"/>
  <c r="G95" i="14"/>
  <c r="H95" i="14"/>
  <c r="M95" i="14"/>
  <c r="R95" i="14"/>
  <c r="D95" i="14"/>
  <c r="N95" i="14"/>
  <c r="O95" i="14"/>
  <c r="L95" i="14"/>
  <c r="J95" i="14"/>
  <c r="T95" i="14"/>
  <c r="Q95" i="14"/>
  <c r="S72" i="14"/>
  <c r="R72" i="14"/>
  <c r="J72" i="14"/>
  <c r="M72" i="14"/>
  <c r="K72" i="14"/>
  <c r="G72" i="14"/>
  <c r="D72" i="14"/>
  <c r="E72" i="14"/>
  <c r="H72" i="14"/>
  <c r="L72" i="14"/>
  <c r="I72" i="14"/>
  <c r="T72" i="14"/>
  <c r="N72" i="14"/>
  <c r="O72" i="14"/>
  <c r="U72" i="14"/>
  <c r="Q72" i="14"/>
  <c r="F72" i="14"/>
  <c r="R51" i="14"/>
  <c r="I51" i="14"/>
  <c r="E51" i="14"/>
  <c r="Q51" i="14"/>
  <c r="D51" i="14"/>
  <c r="F51" i="14"/>
  <c r="N51" i="14"/>
  <c r="U51" i="14"/>
  <c r="O51" i="14"/>
  <c r="T51" i="14"/>
  <c r="K51" i="14"/>
  <c r="L51" i="14"/>
  <c r="M51" i="14"/>
  <c r="J51" i="14"/>
  <c r="H51" i="14"/>
  <c r="G51" i="14"/>
  <c r="S51" i="14"/>
  <c r="G164" i="14"/>
  <c r="T164" i="14"/>
  <c r="I164" i="14"/>
  <c r="N164" i="14"/>
  <c r="H164" i="14"/>
  <c r="C164" i="14"/>
  <c r="U164" i="14"/>
  <c r="K164" i="14"/>
  <c r="F164" i="14"/>
  <c r="O164" i="14"/>
  <c r="R164" i="14"/>
  <c r="L164" i="14"/>
  <c r="S164" i="14"/>
  <c r="D164" i="14"/>
  <c r="M164" i="14"/>
  <c r="Q164" i="14"/>
  <c r="E164" i="14"/>
  <c r="J164" i="14"/>
  <c r="P164" i="14"/>
  <c r="L153" i="14"/>
  <c r="R153" i="14"/>
  <c r="N153" i="14"/>
  <c r="D153" i="14"/>
  <c r="F153" i="14"/>
  <c r="G153" i="14"/>
  <c r="Q153" i="14"/>
  <c r="J153" i="14"/>
  <c r="U153" i="14"/>
  <c r="K153" i="14"/>
  <c r="P153" i="14"/>
  <c r="O153" i="14"/>
  <c r="I153" i="14"/>
  <c r="S153" i="14"/>
  <c r="H153" i="14"/>
  <c r="C153" i="14"/>
  <c r="E153" i="14"/>
  <c r="M153" i="14"/>
  <c r="T153" i="14"/>
  <c r="G170" i="14"/>
  <c r="H170" i="14"/>
  <c r="E170" i="14"/>
  <c r="O170" i="14"/>
  <c r="L170" i="14"/>
  <c r="J170" i="14"/>
  <c r="Q170" i="14"/>
  <c r="S170" i="14"/>
  <c r="F170" i="14"/>
  <c r="N170" i="14"/>
  <c r="U170" i="14"/>
  <c r="R170" i="14"/>
  <c r="T170" i="14"/>
  <c r="K170" i="14"/>
  <c r="C170" i="14"/>
  <c r="M170" i="14"/>
  <c r="P170" i="14"/>
  <c r="D170" i="14"/>
  <c r="I170" i="14"/>
  <c r="I125" i="17"/>
  <c r="F97" i="14"/>
  <c r="U97" i="14"/>
  <c r="S97" i="14"/>
  <c r="O97" i="14"/>
  <c r="T97" i="14"/>
  <c r="E97" i="14"/>
  <c r="J97" i="14"/>
  <c r="M97" i="14"/>
  <c r="I97" i="14"/>
  <c r="H97" i="14"/>
  <c r="K97" i="14"/>
  <c r="L97" i="14"/>
  <c r="R97" i="14"/>
  <c r="Q97" i="14"/>
  <c r="D97" i="14"/>
  <c r="G97" i="14"/>
  <c r="N97" i="14"/>
  <c r="Q112" i="14"/>
  <c r="J112" i="14"/>
  <c r="E112" i="14"/>
  <c r="F112" i="14"/>
  <c r="S112" i="14"/>
  <c r="D112" i="14"/>
  <c r="O112" i="14"/>
  <c r="N112" i="14"/>
  <c r="T112" i="14"/>
  <c r="R112" i="14"/>
  <c r="U112" i="14"/>
  <c r="H112" i="14"/>
  <c r="I112" i="14"/>
  <c r="M112" i="14"/>
  <c r="L112" i="14"/>
  <c r="G112" i="14"/>
  <c r="K112" i="14"/>
  <c r="J137" i="14"/>
  <c r="I137" i="14"/>
  <c r="L137" i="14"/>
  <c r="M137" i="14"/>
  <c r="G137" i="14"/>
  <c r="S137" i="14"/>
  <c r="R137" i="14"/>
  <c r="H137" i="14"/>
  <c r="N137" i="14"/>
  <c r="Q137" i="14"/>
  <c r="P137" i="14"/>
  <c r="K137" i="14"/>
  <c r="C137" i="14"/>
  <c r="F137" i="14"/>
  <c r="U137" i="14"/>
  <c r="T137" i="14"/>
  <c r="D137" i="14"/>
  <c r="E137" i="14"/>
  <c r="O137" i="14"/>
  <c r="T183" i="14"/>
  <c r="L183" i="14"/>
  <c r="G183" i="14"/>
  <c r="K183" i="14"/>
  <c r="P183" i="14"/>
  <c r="Q183" i="14"/>
  <c r="I183" i="14"/>
  <c r="E183" i="14"/>
  <c r="C183" i="14"/>
  <c r="H183" i="14"/>
  <c r="F183" i="14"/>
  <c r="M183" i="14"/>
  <c r="J183" i="14"/>
  <c r="O183" i="14"/>
  <c r="R183" i="14"/>
  <c r="S183" i="14"/>
  <c r="N183" i="14"/>
  <c r="U183" i="14"/>
  <c r="D183" i="14"/>
  <c r="G182" i="14"/>
  <c r="J182" i="14"/>
  <c r="L182" i="14"/>
  <c r="C182" i="14"/>
  <c r="U182" i="14"/>
  <c r="E182" i="14"/>
  <c r="S182" i="14"/>
  <c r="N182" i="14"/>
  <c r="D182" i="14"/>
  <c r="P182" i="14"/>
  <c r="Q182" i="14"/>
  <c r="I182" i="14"/>
  <c r="T182" i="14"/>
  <c r="O182" i="14"/>
  <c r="H182" i="14"/>
  <c r="K182" i="14"/>
  <c r="R182" i="14"/>
  <c r="F182" i="14"/>
  <c r="M182" i="14"/>
  <c r="C150" i="14"/>
  <c r="N150" i="14"/>
  <c r="M150" i="14"/>
  <c r="E150" i="14"/>
  <c r="D150" i="14"/>
  <c r="I150" i="14"/>
  <c r="R150" i="14"/>
  <c r="S150" i="14"/>
  <c r="H150" i="14"/>
  <c r="U150" i="14"/>
  <c r="J150" i="14"/>
  <c r="O150" i="14"/>
  <c r="Q150" i="14"/>
  <c r="F150" i="14"/>
  <c r="L150" i="14"/>
  <c r="P150" i="14"/>
  <c r="K150" i="14"/>
  <c r="G150" i="14"/>
  <c r="T150" i="14"/>
  <c r="I134" i="17"/>
  <c r="I153" i="17"/>
  <c r="I132" i="17"/>
  <c r="I113" i="17"/>
  <c r="I57" i="17"/>
  <c r="K163" i="14"/>
  <c r="P163" i="14"/>
  <c r="J163" i="14"/>
  <c r="T163" i="14"/>
  <c r="N163" i="14"/>
  <c r="I163" i="14"/>
  <c r="C163" i="14"/>
  <c r="R163" i="14"/>
  <c r="S163" i="14"/>
  <c r="D163" i="14"/>
  <c r="U163" i="14"/>
  <c r="H163" i="14"/>
  <c r="F163" i="14"/>
  <c r="Q163" i="14"/>
  <c r="M163" i="14"/>
  <c r="E163" i="14"/>
  <c r="L163" i="14"/>
  <c r="G163" i="14"/>
  <c r="O163" i="14"/>
  <c r="R135" i="14"/>
  <c r="D135" i="14"/>
  <c r="H135" i="14"/>
  <c r="G135" i="14"/>
  <c r="S135" i="14"/>
  <c r="J135" i="14"/>
  <c r="E135" i="14"/>
  <c r="F135" i="14"/>
  <c r="I135" i="14"/>
  <c r="K135" i="14"/>
  <c r="T135" i="14"/>
  <c r="O135" i="14"/>
  <c r="U135" i="14"/>
  <c r="Q135" i="14"/>
  <c r="L135" i="14"/>
  <c r="M135" i="14"/>
  <c r="N135" i="14"/>
  <c r="E107" i="14"/>
  <c r="T107" i="14"/>
  <c r="S107" i="14"/>
  <c r="G107" i="14"/>
  <c r="M107" i="14"/>
  <c r="D107" i="14"/>
  <c r="L107" i="14"/>
  <c r="J107" i="14"/>
  <c r="U107" i="14"/>
  <c r="F107" i="14"/>
  <c r="I107" i="14"/>
  <c r="R107" i="14"/>
  <c r="Q107" i="14"/>
  <c r="K107" i="14"/>
  <c r="N107" i="14"/>
  <c r="O107" i="14"/>
  <c r="H107" i="14"/>
  <c r="I129" i="17"/>
  <c r="I58" i="17"/>
  <c r="L139" i="14"/>
  <c r="N139" i="14"/>
  <c r="E139" i="14"/>
  <c r="G139" i="14"/>
  <c r="R139" i="14"/>
  <c r="O139" i="14"/>
  <c r="U139" i="14"/>
  <c r="F139" i="14"/>
  <c r="Q139" i="14"/>
  <c r="P139" i="14"/>
  <c r="J139" i="14"/>
  <c r="H139" i="14"/>
  <c r="M139" i="14"/>
  <c r="K139" i="14"/>
  <c r="I139" i="14"/>
  <c r="S139" i="14"/>
  <c r="C139" i="14"/>
  <c r="T139" i="14"/>
  <c r="D139" i="14"/>
  <c r="O120" i="14"/>
  <c r="L120" i="14"/>
  <c r="H120" i="14"/>
  <c r="M120" i="14"/>
  <c r="E120" i="14"/>
  <c r="K120" i="14"/>
  <c r="J120" i="14"/>
  <c r="T120" i="14"/>
  <c r="R120" i="14"/>
  <c r="U120" i="14"/>
  <c r="Q120" i="14"/>
  <c r="G120" i="14"/>
  <c r="D120" i="14"/>
  <c r="F120" i="14"/>
  <c r="S120" i="14"/>
  <c r="N120" i="14"/>
  <c r="I120" i="14"/>
  <c r="E101" i="14"/>
  <c r="J101" i="14"/>
  <c r="K101" i="14"/>
  <c r="Q101" i="14"/>
  <c r="H101" i="14"/>
  <c r="L101" i="14"/>
  <c r="R101" i="14"/>
  <c r="F101" i="14"/>
  <c r="U101" i="14"/>
  <c r="O101" i="14"/>
  <c r="D101" i="14"/>
  <c r="G101" i="14"/>
  <c r="I101" i="14"/>
  <c r="S101" i="14"/>
  <c r="N101" i="14"/>
  <c r="M101" i="14"/>
  <c r="T101" i="14"/>
  <c r="I52" i="17"/>
  <c r="I83" i="17"/>
  <c r="L146" i="14"/>
  <c r="R146" i="14"/>
  <c r="D146" i="14"/>
  <c r="J146" i="14"/>
  <c r="K146" i="14"/>
  <c r="C146" i="14"/>
  <c r="N146" i="14"/>
  <c r="U146" i="14"/>
  <c r="Q146" i="14"/>
  <c r="H146" i="14"/>
  <c r="T146" i="14"/>
  <c r="F146" i="14"/>
  <c r="P146" i="14"/>
  <c r="O146" i="14"/>
  <c r="E146" i="14"/>
  <c r="G146" i="14"/>
  <c r="S146" i="14"/>
  <c r="I146" i="14"/>
  <c r="M146" i="14"/>
  <c r="O148" i="14"/>
  <c r="M148" i="14"/>
  <c r="C148" i="14"/>
  <c r="J148" i="14"/>
  <c r="P148" i="14"/>
  <c r="N148" i="14"/>
  <c r="K148" i="14"/>
  <c r="G148" i="14"/>
  <c r="L148" i="14"/>
  <c r="U148" i="14"/>
  <c r="F148" i="14"/>
  <c r="E148" i="14"/>
  <c r="R148" i="14"/>
  <c r="S148" i="14"/>
  <c r="H148" i="14"/>
  <c r="Q148" i="14"/>
  <c r="I148" i="14"/>
  <c r="T148" i="14"/>
  <c r="D148" i="14"/>
  <c r="O38" i="14"/>
  <c r="R38" i="14"/>
  <c r="T38" i="14"/>
  <c r="D38" i="14"/>
  <c r="N38" i="14"/>
  <c r="M38" i="14"/>
  <c r="U38" i="14"/>
  <c r="S38" i="14"/>
  <c r="Q38" i="14"/>
  <c r="J38" i="14"/>
  <c r="E38" i="14"/>
  <c r="F38" i="14"/>
  <c r="H38" i="14"/>
  <c r="L38" i="14"/>
  <c r="I38" i="14"/>
  <c r="G38" i="14"/>
  <c r="K38" i="14"/>
  <c r="R46" i="14"/>
  <c r="K46" i="14"/>
  <c r="Q46" i="14"/>
  <c r="D46" i="14"/>
  <c r="O46" i="14"/>
  <c r="L46" i="14"/>
  <c r="G46" i="14"/>
  <c r="U46" i="14"/>
  <c r="S46" i="14"/>
  <c r="E46" i="14"/>
  <c r="F46" i="14"/>
  <c r="H46" i="14"/>
  <c r="J46" i="14"/>
  <c r="I46" i="14"/>
  <c r="N46" i="14"/>
  <c r="M46" i="14"/>
  <c r="I81" i="14"/>
  <c r="K81" i="14"/>
  <c r="U81" i="14"/>
  <c r="S81" i="14"/>
  <c r="J81" i="14"/>
  <c r="N81" i="14"/>
  <c r="D81" i="14"/>
  <c r="O81" i="14"/>
  <c r="M81" i="14"/>
  <c r="F81" i="14"/>
  <c r="H81" i="14"/>
  <c r="E81" i="14"/>
  <c r="L81" i="14"/>
  <c r="R81" i="14"/>
  <c r="T81" i="14"/>
  <c r="Q81" i="14"/>
  <c r="G81" i="14"/>
  <c r="U6" i="28"/>
  <c r="B15" i="28" s="1"/>
  <c r="D15" i="28" s="1"/>
  <c r="F15" i="28" s="1"/>
  <c r="Q6" i="28"/>
  <c r="B11" i="28" s="1"/>
  <c r="D11" i="28" s="1"/>
  <c r="F11" i="28" s="1"/>
  <c r="N6" i="28"/>
  <c r="B8" i="28" s="1"/>
  <c r="D8" i="28" s="1"/>
  <c r="F8" i="28" s="1"/>
  <c r="P6" i="28"/>
  <c r="B10" i="28" s="1"/>
  <c r="D10" i="28" s="1"/>
  <c r="F10" i="28" s="1"/>
  <c r="O6" i="25"/>
  <c r="B9" i="25" s="1"/>
  <c r="D9" i="25" s="1"/>
  <c r="F9" i="25" s="1"/>
  <c r="O6" i="28"/>
  <c r="B9" i="28" s="1"/>
  <c r="D9" i="28" s="1"/>
  <c r="F9" i="28" s="1"/>
  <c r="M6" i="28"/>
  <c r="B7" i="28" s="1"/>
  <c r="D7" i="28" s="1"/>
  <c r="F7" i="28" s="1"/>
  <c r="V6" i="28"/>
  <c r="B16" i="28" s="1"/>
  <c r="D16" i="28" s="1"/>
  <c r="F16" i="28" s="1"/>
  <c r="M16" i="27"/>
  <c r="N16" i="27" s="1"/>
  <c r="I40" i="27"/>
  <c r="I38" i="27"/>
  <c r="M24" i="27"/>
  <c r="I41" i="27"/>
  <c r="M6" i="25"/>
  <c r="B7" i="25" s="1"/>
  <c r="D7" i="25" s="1"/>
  <c r="F7" i="25" s="1"/>
  <c r="R6" i="28"/>
  <c r="U6" i="25"/>
  <c r="B15" i="25" s="1"/>
  <c r="D15" i="25" s="1"/>
  <c r="F15" i="25" s="1"/>
  <c r="N6" i="25"/>
  <c r="B8" i="25" s="1"/>
  <c r="D8" i="25" s="1"/>
  <c r="F8" i="25" s="1"/>
  <c r="Y213" i="15"/>
  <c r="C67" i="22"/>
  <c r="D67" i="22" s="1"/>
  <c r="Q6" i="25"/>
  <c r="B11" i="25" s="1"/>
  <c r="D11" i="25" s="1"/>
  <c r="F11" i="25" s="1"/>
  <c r="W6" i="25"/>
  <c r="B17" i="25" s="1"/>
  <c r="D17" i="25" s="1"/>
  <c r="F17" i="25" s="1"/>
  <c r="Y63" i="15"/>
  <c r="D21" i="21"/>
  <c r="F21" i="21" s="1"/>
  <c r="H21" i="21"/>
  <c r="T15" i="14"/>
  <c r="P15" i="14" s="1"/>
  <c r="D13" i="3" s="1"/>
  <c r="Y147" i="15"/>
  <c r="C50" i="22"/>
  <c r="D50" i="22" s="1"/>
  <c r="I53" i="21"/>
  <c r="Y161" i="15"/>
  <c r="C57" i="22"/>
  <c r="D57" i="22" s="1"/>
  <c r="L6" i="25"/>
  <c r="B6" i="25" s="1"/>
  <c r="D6" i="25" s="1"/>
  <c r="Y333" i="15"/>
  <c r="AB333" i="15"/>
  <c r="C173" i="22"/>
  <c r="D173" i="22" s="1"/>
  <c r="M71" i="21"/>
  <c r="Y200" i="15"/>
  <c r="J77" i="21"/>
  <c r="C66" i="22"/>
  <c r="D66" i="22" s="1"/>
  <c r="D42" i="21"/>
  <c r="F42" i="21" s="1"/>
  <c r="C20" i="22"/>
  <c r="D20" i="22" s="1"/>
  <c r="H42" i="21"/>
  <c r="Y59" i="15"/>
  <c r="E42" i="21"/>
  <c r="T36" i="14"/>
  <c r="E15" i="21"/>
  <c r="D15" i="21"/>
  <c r="H53" i="21"/>
  <c r="E53" i="21"/>
  <c r="Y16" i="15"/>
  <c r="T47" i="14"/>
  <c r="AB16" i="15"/>
  <c r="AB17" i="15" s="1"/>
  <c r="AB18" i="15" s="1"/>
  <c r="AB19" i="15" s="1"/>
  <c r="AB20" i="15" s="1"/>
  <c r="AB21" i="15" s="1"/>
  <c r="AB22" i="15" s="1"/>
  <c r="AB23" i="15" s="1"/>
  <c r="AB24" i="15" s="1"/>
  <c r="AB25" i="15" s="1"/>
  <c r="AB26" i="15" s="1"/>
  <c r="AB27" i="15" s="1"/>
  <c r="AB28" i="15" s="1"/>
  <c r="AB29" i="15" s="1"/>
  <c r="AB30" i="15" s="1"/>
  <c r="AB31" i="15" s="1"/>
  <c r="AB32" i="15" s="1"/>
  <c r="AB33" i="15" s="1"/>
  <c r="AB34" i="15" s="1"/>
  <c r="AB35" i="15" s="1"/>
  <c r="AB36" i="15" s="1"/>
  <c r="AB37" i="15" s="1"/>
  <c r="AB38" i="15" s="1"/>
  <c r="AB39" i="15" s="1"/>
  <c r="AB40" i="15" s="1"/>
  <c r="AB41" i="15" s="1"/>
  <c r="AB42" i="15" s="1"/>
  <c r="AB43" i="15" s="1"/>
  <c r="AB44" i="15" s="1"/>
  <c r="AB45" i="15" s="1"/>
  <c r="AB46" i="15" s="1"/>
  <c r="AB47" i="15" s="1"/>
  <c r="AB48" i="15" s="1"/>
  <c r="AB49" i="15" s="1"/>
  <c r="AB50" i="15" s="1"/>
  <c r="AB51" i="15" s="1"/>
  <c r="AB52" i="15" s="1"/>
  <c r="AB53" i="15" s="1"/>
  <c r="AB54" i="15" s="1"/>
  <c r="AB55" i="15" s="1"/>
  <c r="AB56" i="15" s="1"/>
  <c r="AB57" i="15" s="1"/>
  <c r="AB58" i="15" s="1"/>
  <c r="AB59" i="15" s="1"/>
  <c r="AB60" i="15" s="1"/>
  <c r="AB61" i="15" s="1"/>
  <c r="AB62" i="15" s="1"/>
  <c r="AB63" i="15" s="1"/>
  <c r="AB64" i="15" s="1"/>
  <c r="AB65" i="15" s="1"/>
  <c r="AB66" i="15" s="1"/>
  <c r="AB67" i="15" s="1"/>
  <c r="AB68" i="15" s="1"/>
  <c r="AB69" i="15" s="1"/>
  <c r="AB70" i="15" s="1"/>
  <c r="AB71" i="15" s="1"/>
  <c r="AB72" i="15" s="1"/>
  <c r="AB73" i="15" s="1"/>
  <c r="AB74" i="15" s="1"/>
  <c r="AB75" i="15" s="1"/>
  <c r="AB76" i="15" s="1"/>
  <c r="AB77" i="15" s="1"/>
  <c r="AB78" i="15" s="1"/>
  <c r="AB79" i="15" s="1"/>
  <c r="AB80" i="15" s="1"/>
  <c r="AB81" i="15" s="1"/>
  <c r="AB82" i="15" s="1"/>
  <c r="AB83" i="15" s="1"/>
  <c r="AB84" i="15" s="1"/>
  <c r="AB85" i="15" s="1"/>
  <c r="U4" i="14"/>
  <c r="P4" i="14" s="1"/>
  <c r="D2" i="3" s="1"/>
  <c r="C6" i="22"/>
  <c r="D6" i="22" s="1"/>
  <c r="D53" i="21"/>
  <c r="F53" i="21" s="1"/>
  <c r="J3" i="22"/>
  <c r="K3" i="22" s="1"/>
  <c r="V6" i="25"/>
  <c r="B16" i="25" s="1"/>
  <c r="D16" i="25" s="1"/>
  <c r="F16" i="25" s="1"/>
  <c r="Y365" i="15"/>
  <c r="N15" i="21"/>
  <c r="J9" i="22"/>
  <c r="K9" i="22" s="1"/>
  <c r="C184" i="22"/>
  <c r="D184" i="22" s="1"/>
  <c r="Y615" i="15" l="1"/>
  <c r="P9" i="21"/>
  <c r="L21" i="21"/>
  <c r="AB449" i="15"/>
  <c r="AB450" i="15" s="1"/>
  <c r="T18" i="25"/>
  <c r="T6" i="25" s="1"/>
  <c r="B14" i="25" s="1"/>
  <c r="D14" i="25" s="1"/>
  <c r="F14" i="25" s="1"/>
  <c r="J11" i="22"/>
  <c r="K11" i="22" s="1"/>
  <c r="C250" i="22"/>
  <c r="D250" i="22" s="1"/>
  <c r="AB386" i="15"/>
  <c r="AB387" i="15" s="1"/>
  <c r="S17" i="28"/>
  <c r="C199" i="22"/>
  <c r="D199" i="22" s="1"/>
  <c r="H32" i="21"/>
  <c r="E102" i="21"/>
  <c r="M52" i="21"/>
  <c r="T6" i="28"/>
  <c r="B14" i="28" s="1"/>
  <c r="D14" i="28" s="1"/>
  <c r="F14" i="28" s="1"/>
  <c r="C61" i="22"/>
  <c r="D61" i="22" s="1"/>
  <c r="E39" i="21"/>
  <c r="M39" i="21"/>
  <c r="M77" i="21"/>
  <c r="AB412" i="15"/>
  <c r="AB413" i="15" s="1"/>
  <c r="AB414" i="15" s="1"/>
  <c r="AB415" i="15" s="1"/>
  <c r="AB416" i="15" s="1"/>
  <c r="T77" i="14"/>
  <c r="P77" i="14" s="1"/>
  <c r="D75" i="3" s="1"/>
  <c r="T89" i="14"/>
  <c r="P89" i="14" s="1"/>
  <c r="D87" i="3" s="1"/>
  <c r="D39" i="21"/>
  <c r="F39" i="21" s="1"/>
  <c r="C195" i="22"/>
  <c r="D195" i="22" s="1"/>
  <c r="L77" i="21"/>
  <c r="Y311" i="15"/>
  <c r="P47" i="14"/>
  <c r="D45" i="3" s="1"/>
  <c r="AB440" i="15"/>
  <c r="Y570" i="15"/>
  <c r="S9" i="28"/>
  <c r="Y313" i="15"/>
  <c r="C162" i="22"/>
  <c r="D162" i="22" s="1"/>
  <c r="I52" i="21"/>
  <c r="Y435" i="15"/>
  <c r="C204" i="22"/>
  <c r="D204" i="22" s="1"/>
  <c r="AB353" i="15"/>
  <c r="AB354" i="15" s="1"/>
  <c r="I71" i="21"/>
  <c r="C83" i="14"/>
  <c r="B81" i="3" s="1"/>
  <c r="E85" i="21"/>
  <c r="P84" i="14"/>
  <c r="D82" i="3" s="1"/>
  <c r="P49" i="14"/>
  <c r="D47" i="3" s="1"/>
  <c r="P92" i="14"/>
  <c r="D90" i="3" s="1"/>
  <c r="P18" i="14"/>
  <c r="D16" i="3" s="1"/>
  <c r="B12" i="28"/>
  <c r="D12" i="28" s="1"/>
  <c r="F12" i="28" s="1"/>
  <c r="T76" i="14"/>
  <c r="P76" i="14" s="1"/>
  <c r="D74" i="3" s="1"/>
  <c r="Y353" i="15"/>
  <c r="H45" i="21"/>
  <c r="Y120" i="15"/>
  <c r="C40" i="22"/>
  <c r="D40" i="22" s="1"/>
  <c r="Y93" i="15"/>
  <c r="C32" i="22"/>
  <c r="D32" i="22" s="1"/>
  <c r="AB93" i="15"/>
  <c r="AB94" i="15" s="1"/>
  <c r="AB95" i="15" s="1"/>
  <c r="AB96" i="15" s="1"/>
  <c r="AB97" i="15" s="1"/>
  <c r="AB98" i="15" s="1"/>
  <c r="AB99" i="15" s="1"/>
  <c r="AB100" i="15" s="1"/>
  <c r="AB101" i="15" s="1"/>
  <c r="AB102" i="15" s="1"/>
  <c r="AB103" i="15" s="1"/>
  <c r="AB104" i="15" s="1"/>
  <c r="AB105" i="15" s="1"/>
  <c r="AB106" i="15" s="1"/>
  <c r="AB107" i="15" s="1"/>
  <c r="AB108" i="15" s="1"/>
  <c r="AB109" i="15" s="1"/>
  <c r="AB110" i="15" s="1"/>
  <c r="AB111" i="15" s="1"/>
  <c r="AB112" i="15" s="1"/>
  <c r="AB113" i="15" s="1"/>
  <c r="AB114" i="15" s="1"/>
  <c r="AB115" i="15" s="1"/>
  <c r="AB116" i="15" s="1"/>
  <c r="AB117" i="15" s="1"/>
  <c r="AB118" i="15" s="1"/>
  <c r="AB119" i="15" s="1"/>
  <c r="AB120" i="15" s="1"/>
  <c r="AB121" i="15" s="1"/>
  <c r="AB122" i="15" s="1"/>
  <c r="AB123" i="15" s="1"/>
  <c r="AB124" i="15" s="1"/>
  <c r="AB125" i="15" s="1"/>
  <c r="AB126" i="15" s="1"/>
  <c r="P58" i="14"/>
  <c r="D56" i="3" s="1"/>
  <c r="L53" i="21"/>
  <c r="AI14" i="27"/>
  <c r="AB150" i="15"/>
  <c r="AB151" i="15" s="1"/>
  <c r="AB152" i="15" s="1"/>
  <c r="AB153" i="15" s="1"/>
  <c r="AB154" i="15" s="1"/>
  <c r="AB155" i="15" s="1"/>
  <c r="AB156" i="15" s="1"/>
  <c r="AB157" i="15" s="1"/>
  <c r="AB158" i="15" s="1"/>
  <c r="AB159" i="15" s="1"/>
  <c r="AB160" i="15" s="1"/>
  <c r="AB161" i="15" s="1"/>
  <c r="AB162" i="15" s="1"/>
  <c r="AB163" i="15" s="1"/>
  <c r="AB164" i="15" s="1"/>
  <c r="AB165" i="15" s="1"/>
  <c r="AB166" i="15" s="1"/>
  <c r="AB167" i="15" s="1"/>
  <c r="AB168" i="15" s="1"/>
  <c r="AB169" i="15" s="1"/>
  <c r="AB170" i="15" s="1"/>
  <c r="AB171" i="15" s="1"/>
  <c r="AB172" i="15" s="1"/>
  <c r="AB173" i="15" s="1"/>
  <c r="AB174" i="15" s="1"/>
  <c r="AB175" i="15" s="1"/>
  <c r="AB176" i="15" s="1"/>
  <c r="AB177" i="15" s="1"/>
  <c r="AB178" i="15" s="1"/>
  <c r="AB179" i="15" s="1"/>
  <c r="AB180" i="15" s="1"/>
  <c r="AB181" i="15" s="1"/>
  <c r="AB182" i="15" s="1"/>
  <c r="AB183" i="15" s="1"/>
  <c r="AB184" i="15" s="1"/>
  <c r="AB185" i="15" s="1"/>
  <c r="AB186" i="15" s="1"/>
  <c r="AB187" i="15" s="1"/>
  <c r="AB188" i="15" s="1"/>
  <c r="AB189" i="15" s="1"/>
  <c r="AB190" i="15" s="1"/>
  <c r="AB191" i="15" s="1"/>
  <c r="AB192" i="15" s="1"/>
  <c r="AB193" i="15" s="1"/>
  <c r="AB194" i="15" s="1"/>
  <c r="AB195" i="15" s="1"/>
  <c r="AB196" i="15" s="1"/>
  <c r="AB197" i="15" s="1"/>
  <c r="AB198" i="15" s="1"/>
  <c r="AB199" i="15" s="1"/>
  <c r="AB200" i="15" s="1"/>
  <c r="AB201" i="15" s="1"/>
  <c r="AB202" i="15" s="1"/>
  <c r="AB203" i="15" s="1"/>
  <c r="AB204" i="15" s="1"/>
  <c r="AB205" i="15" s="1"/>
  <c r="AB206" i="15" s="1"/>
  <c r="AB207" i="15" s="1"/>
  <c r="AB208" i="15" s="1"/>
  <c r="AB209" i="15" s="1"/>
  <c r="AB210" i="15" s="1"/>
  <c r="AB211" i="15" s="1"/>
  <c r="AB212" i="15" s="1"/>
  <c r="AB213" i="15" s="1"/>
  <c r="AB214" i="15" s="1"/>
  <c r="AB215" i="15" s="1"/>
  <c r="AB216" i="15" s="1"/>
  <c r="AB217" i="15" s="1"/>
  <c r="AB218" i="15" s="1"/>
  <c r="AB219" i="15" s="1"/>
  <c r="AB220" i="15" s="1"/>
  <c r="AB221" i="15" s="1"/>
  <c r="AB222" i="15" s="1"/>
  <c r="AB223" i="15" s="1"/>
  <c r="AB224" i="15" s="1"/>
  <c r="AB225" i="15" s="1"/>
  <c r="AB226" i="15" s="1"/>
  <c r="AB227" i="15" s="1"/>
  <c r="AB228" i="15" s="1"/>
  <c r="AB229" i="15" s="1"/>
  <c r="AB230" i="15" s="1"/>
  <c r="AB231" i="15" s="1"/>
  <c r="AB232" i="15" s="1"/>
  <c r="AB233" i="15" s="1"/>
  <c r="AB234" i="15" s="1"/>
  <c r="AB235" i="15" s="1"/>
  <c r="AB236" i="15" s="1"/>
  <c r="AB237" i="15" s="1"/>
  <c r="AB238" i="15" s="1"/>
  <c r="AB239" i="15" s="1"/>
  <c r="AB240" i="15" s="1"/>
  <c r="AB241" i="15" s="1"/>
  <c r="AB242" i="15" s="1"/>
  <c r="AB243" i="15" s="1"/>
  <c r="AB244" i="15" s="1"/>
  <c r="AB245" i="15" s="1"/>
  <c r="AB246" i="15" s="1"/>
  <c r="AB247" i="15" s="1"/>
  <c r="AB248" i="15" s="1"/>
  <c r="AB249" i="15" s="1"/>
  <c r="AB250" i="15" s="1"/>
  <c r="AB251" i="15" s="1"/>
  <c r="AB252" i="15" s="1"/>
  <c r="AB253" i="15" s="1"/>
  <c r="AB254" i="15" s="1"/>
  <c r="AB255" i="15" s="1"/>
  <c r="AB256" i="15" s="1"/>
  <c r="AB257" i="15" s="1"/>
  <c r="AB258" i="15" s="1"/>
  <c r="AB259" i="15" s="1"/>
  <c r="AB260" i="15" s="1"/>
  <c r="AB261" i="15" s="1"/>
  <c r="AB262" i="15" s="1"/>
  <c r="AB263" i="15" s="1"/>
  <c r="AB264" i="15" s="1"/>
  <c r="AB265" i="15" s="1"/>
  <c r="AB266" i="15" s="1"/>
  <c r="AB267" i="15" s="1"/>
  <c r="AB268" i="15" s="1"/>
  <c r="AB269" i="15" s="1"/>
  <c r="AB270" i="15" s="1"/>
  <c r="AB271" i="15" s="1"/>
  <c r="AB272" i="15" s="1"/>
  <c r="AB273" i="15" s="1"/>
  <c r="AB274" i="15" s="1"/>
  <c r="AB275" i="15" s="1"/>
  <c r="AB276" i="15" s="1"/>
  <c r="AB277" i="15" s="1"/>
  <c r="AB278" i="15" s="1"/>
  <c r="AB279" i="15" s="1"/>
  <c r="AB280" i="15" s="1"/>
  <c r="AB281" i="15" s="1"/>
  <c r="AB282" i="15" s="1"/>
  <c r="AB283" i="15" s="1"/>
  <c r="AB284" i="15" s="1"/>
  <c r="AB285" i="15" s="1"/>
  <c r="AB286" i="15" s="1"/>
  <c r="AB287" i="15" s="1"/>
  <c r="AB288" i="15" s="1"/>
  <c r="AB289" i="15" s="1"/>
  <c r="AB290" i="15" s="1"/>
  <c r="AB291" i="15" s="1"/>
  <c r="AB292" i="15" s="1"/>
  <c r="AB293" i="15" s="1"/>
  <c r="AB294" i="15" s="1"/>
  <c r="AB295" i="15" s="1"/>
  <c r="AB296" i="15" s="1"/>
  <c r="AB297" i="15" s="1"/>
  <c r="AB298" i="15" s="1"/>
  <c r="AB299" i="15" s="1"/>
  <c r="AB300" i="15" s="1"/>
  <c r="AB301" i="15" s="1"/>
  <c r="AB302" i="15" s="1"/>
  <c r="AB303" i="15" s="1"/>
  <c r="AB304" i="15" s="1"/>
  <c r="AB305" i="15" s="1"/>
  <c r="AB306" i="15" s="1"/>
  <c r="AB307" i="15" s="1"/>
  <c r="AB308" i="15" s="1"/>
  <c r="AB309" i="15" s="1"/>
  <c r="AB310" i="15" s="1"/>
  <c r="AB311" i="15" s="1"/>
  <c r="AB312" i="15" s="1"/>
  <c r="AB313" i="15" s="1"/>
  <c r="AB314" i="15" s="1"/>
  <c r="AB315" i="15" s="1"/>
  <c r="AB316" i="15" s="1"/>
  <c r="AB317" i="15" s="1"/>
  <c r="AB318" i="15" s="1"/>
  <c r="AB319" i="15" s="1"/>
  <c r="AB320" i="15" s="1"/>
  <c r="AB321" i="15" s="1"/>
  <c r="AB322" i="15" s="1"/>
  <c r="AB323" i="15" s="1"/>
  <c r="AB324" i="15" s="1"/>
  <c r="AB325" i="15" s="1"/>
  <c r="AB326" i="15" s="1"/>
  <c r="AB327" i="15" s="1"/>
  <c r="C135" i="22"/>
  <c r="D135" i="22" s="1"/>
  <c r="Y292" i="15"/>
  <c r="C132" i="22"/>
  <c r="D132" i="22" s="1"/>
  <c r="Y442" i="15"/>
  <c r="C206" i="22"/>
  <c r="D206" i="22" s="1"/>
  <c r="Y185" i="15"/>
  <c r="C62" i="22"/>
  <c r="D62" i="22" s="1"/>
  <c r="Y150" i="15"/>
  <c r="C51" i="22"/>
  <c r="D51" i="22" s="1"/>
  <c r="Y194" i="15"/>
  <c r="C64" i="22"/>
  <c r="D64" i="22" s="1"/>
  <c r="C4" i="14"/>
  <c r="B2" i="3" s="1"/>
  <c r="Y495" i="15"/>
  <c r="E92" i="21"/>
  <c r="S16" i="25"/>
  <c r="D92" i="21"/>
  <c r="F92" i="21" s="1"/>
  <c r="O92" i="21"/>
  <c r="C65" i="14"/>
  <c r="B63" i="3" s="1"/>
  <c r="P7" i="14"/>
  <c r="D5" i="3" s="1"/>
  <c r="Y327" i="15"/>
  <c r="C171" i="22"/>
  <c r="D171" i="22" s="1"/>
  <c r="Y127" i="15"/>
  <c r="I31" i="21"/>
  <c r="E31" i="21"/>
  <c r="D31" i="21"/>
  <c r="F31" i="21" s="1"/>
  <c r="C44" i="22"/>
  <c r="D44" i="22" s="1"/>
  <c r="T25" i="14"/>
  <c r="P25" i="14" s="1"/>
  <c r="D23" i="3" s="1"/>
  <c r="AB127" i="15"/>
  <c r="AB128" i="15" s="1"/>
  <c r="AB129" i="15" s="1"/>
  <c r="AB130" i="15" s="1"/>
  <c r="AB131" i="15" s="1"/>
  <c r="AB132" i="15" s="1"/>
  <c r="AB133" i="15" s="1"/>
  <c r="AB134" i="15" s="1"/>
  <c r="AB135" i="15" s="1"/>
  <c r="AB136" i="15" s="1"/>
  <c r="AB137" i="15" s="1"/>
  <c r="AB138" i="15" s="1"/>
  <c r="AB139" i="15" s="1"/>
  <c r="AB140" i="15" s="1"/>
  <c r="AB141" i="15" s="1"/>
  <c r="AB142" i="15" s="1"/>
  <c r="AB143" i="15" s="1"/>
  <c r="AB144" i="15" s="1"/>
  <c r="AB145" i="15" s="1"/>
  <c r="AB146" i="15" s="1"/>
  <c r="AB147" i="15" s="1"/>
  <c r="P27" i="14"/>
  <c r="D25" i="3" s="1"/>
  <c r="Y252" i="15"/>
  <c r="C69" i="22"/>
  <c r="D69" i="22" s="1"/>
  <c r="Y462" i="15"/>
  <c r="AB462" i="15"/>
  <c r="AB463" i="15" s="1"/>
  <c r="AB464" i="15" s="1"/>
  <c r="Y301" i="15"/>
  <c r="L52" i="21"/>
  <c r="C138" i="22"/>
  <c r="D138" i="22" s="1"/>
  <c r="C11" i="14"/>
  <c r="B9" i="3" s="1"/>
  <c r="C8" i="14"/>
  <c r="B6" i="3" s="1"/>
  <c r="C77" i="14"/>
  <c r="B75" i="3" s="1"/>
  <c r="P44" i="14"/>
  <c r="D42" i="3" s="1"/>
  <c r="J4" i="22"/>
  <c r="K4" i="22" s="1"/>
  <c r="C27" i="14"/>
  <c r="B25" i="3" s="1"/>
  <c r="P100" i="14"/>
  <c r="D98" i="3" s="1"/>
  <c r="P57" i="14"/>
  <c r="D55" i="3" s="1"/>
  <c r="C127" i="14"/>
  <c r="P52" i="14"/>
  <c r="D50" i="3" s="1"/>
  <c r="E21" i="21"/>
  <c r="P35" i="14"/>
  <c r="D33" i="3" s="1"/>
  <c r="C82" i="14"/>
  <c r="B80" i="3" s="1"/>
  <c r="C12" i="14"/>
  <c r="B10" i="3" s="1"/>
  <c r="C15" i="14"/>
  <c r="B13" i="3" s="1"/>
  <c r="P134" i="14"/>
  <c r="P87" i="14"/>
  <c r="D85" i="3" s="1"/>
  <c r="P24" i="14"/>
  <c r="D22" i="3" s="1"/>
  <c r="C100" i="14"/>
  <c r="B98" i="3" s="1"/>
  <c r="P67" i="14"/>
  <c r="D65" i="3" s="1"/>
  <c r="C73" i="14"/>
  <c r="B71" i="3" s="1"/>
  <c r="C30" i="14"/>
  <c r="B28" i="3" s="1"/>
  <c r="C18" i="14"/>
  <c r="B16" i="3" s="1"/>
  <c r="C84" i="14"/>
  <c r="B82" i="3" s="1"/>
  <c r="C37" i="14"/>
  <c r="B35" i="3" s="1"/>
  <c r="C35" i="14"/>
  <c r="B33" i="3" s="1"/>
  <c r="C60" i="14"/>
  <c r="B58" i="3" s="1"/>
  <c r="C92" i="14"/>
  <c r="B90" i="3" s="1"/>
  <c r="C10" i="14"/>
  <c r="B8" i="3" s="1"/>
  <c r="P29" i="14"/>
  <c r="D27" i="3" s="1"/>
  <c r="C80" i="14"/>
  <c r="B78" i="3" s="1"/>
  <c r="C44" i="14"/>
  <c r="B42" i="3" s="1"/>
  <c r="P8" i="14"/>
  <c r="D6" i="3" s="1"/>
  <c r="C68" i="14"/>
  <c r="B66" i="3" s="1"/>
  <c r="C125" i="14"/>
  <c r="P125" i="14"/>
  <c r="P30" i="14"/>
  <c r="D28" i="3" s="1"/>
  <c r="P10" i="14"/>
  <c r="D8" i="3" s="1"/>
  <c r="C22" i="14"/>
  <c r="B20" i="3" s="1"/>
  <c r="P94" i="14"/>
  <c r="D92" i="3" s="1"/>
  <c r="C94" i="14"/>
  <c r="B92" i="3" s="1"/>
  <c r="C87" i="14"/>
  <c r="B85" i="3" s="1"/>
  <c r="P66" i="14"/>
  <c r="D64" i="3" s="1"/>
  <c r="P48" i="14"/>
  <c r="D46" i="3" s="1"/>
  <c r="C48" i="14"/>
  <c r="B46" i="3" s="1"/>
  <c r="C49" i="14"/>
  <c r="B47" i="3" s="1"/>
  <c r="C57" i="14"/>
  <c r="B55" i="3" s="1"/>
  <c r="C67" i="14"/>
  <c r="B65" i="3" s="1"/>
  <c r="P64" i="14"/>
  <c r="D62" i="3" s="1"/>
  <c r="C7" i="14"/>
  <c r="B5" i="3" s="1"/>
  <c r="C62" i="14"/>
  <c r="B60" i="3" s="1"/>
  <c r="C29" i="14"/>
  <c r="B27" i="3" s="1"/>
  <c r="P37" i="14"/>
  <c r="D35" i="3" s="1"/>
  <c r="C41" i="14"/>
  <c r="B39" i="3" s="1"/>
  <c r="C134" i="14"/>
  <c r="C64" i="14"/>
  <c r="B62" i="3" s="1"/>
  <c r="P59" i="14"/>
  <c r="D57" i="3" s="1"/>
  <c r="C71" i="14"/>
  <c r="B69" i="3" s="1"/>
  <c r="P80" i="14"/>
  <c r="D78" i="3" s="1"/>
  <c r="C76" i="14"/>
  <c r="B74" i="3" s="1"/>
  <c r="P68" i="14"/>
  <c r="D66" i="3" s="1"/>
  <c r="P12" i="14"/>
  <c r="D10" i="3" s="1"/>
  <c r="C52" i="14"/>
  <c r="B50" i="3" s="1"/>
  <c r="C66" i="14"/>
  <c r="B64" i="3" s="1"/>
  <c r="P34" i="14"/>
  <c r="D32" i="3" s="1"/>
  <c r="C58" i="14"/>
  <c r="B56" i="3" s="1"/>
  <c r="P13" i="14"/>
  <c r="D11" i="3" s="1"/>
  <c r="C13" i="14"/>
  <c r="B11" i="3" s="1"/>
  <c r="P73" i="14"/>
  <c r="D71" i="3" s="1"/>
  <c r="P60" i="14"/>
  <c r="D58" i="3" s="1"/>
  <c r="P22" i="14"/>
  <c r="D20" i="3" s="1"/>
  <c r="C34" i="14"/>
  <c r="B32" i="3" s="1"/>
  <c r="C39" i="14"/>
  <c r="B37" i="3" s="1"/>
  <c r="P41" i="14"/>
  <c r="D39" i="3" s="1"/>
  <c r="C24" i="14"/>
  <c r="B22" i="3" s="1"/>
  <c r="C50" i="14"/>
  <c r="B48" i="3" s="1"/>
  <c r="P50" i="14"/>
  <c r="D48" i="3" s="1"/>
  <c r="C59" i="14"/>
  <c r="B57" i="3" s="1"/>
  <c r="P127" i="14"/>
  <c r="P62" i="14"/>
  <c r="D60" i="3" s="1"/>
  <c r="AM23" i="27"/>
  <c r="Q24" i="27" s="1"/>
  <c r="U11" i="14"/>
  <c r="P11" i="14" s="1"/>
  <c r="D9" i="3" s="1"/>
  <c r="AB482" i="15"/>
  <c r="AB483" i="15" s="1"/>
  <c r="AB484" i="15" s="1"/>
  <c r="AB485" i="15" s="1"/>
  <c r="AB486" i="15" s="1"/>
  <c r="AB487" i="15" s="1"/>
  <c r="AB488" i="15" s="1"/>
  <c r="AB489" i="15" s="1"/>
  <c r="D90" i="21"/>
  <c r="F90" i="21" s="1"/>
  <c r="C208" i="22"/>
  <c r="D208" i="22" s="1"/>
  <c r="AB394" i="15"/>
  <c r="AB395" i="15" s="1"/>
  <c r="AB396" i="15" s="1"/>
  <c r="AB397" i="15" s="1"/>
  <c r="AB398" i="15" s="1"/>
  <c r="AB399" i="15" s="1"/>
  <c r="AB400" i="15" s="1"/>
  <c r="AB401" i="15" s="1"/>
  <c r="AB402" i="15" s="1"/>
  <c r="AB403" i="15" s="1"/>
  <c r="AB404" i="15" s="1"/>
  <c r="AB405" i="15" s="1"/>
  <c r="AB406" i="15" s="1"/>
  <c r="AB407" i="15" s="1"/>
  <c r="AB408" i="15" s="1"/>
  <c r="D85" i="21"/>
  <c r="F85" i="21" s="1"/>
  <c r="N90" i="21"/>
  <c r="N85" i="21"/>
  <c r="P123" i="14"/>
  <c r="D89" i="21"/>
  <c r="F89" i="21" s="1"/>
  <c r="H5" i="3"/>
  <c r="Y419" i="15"/>
  <c r="C200" i="22"/>
  <c r="D200" i="22" s="1"/>
  <c r="AB419" i="15"/>
  <c r="AB420" i="15" s="1"/>
  <c r="AB421" i="15" s="1"/>
  <c r="AB422" i="15" s="1"/>
  <c r="AB423" i="15" s="1"/>
  <c r="AB424" i="15" s="1"/>
  <c r="AB425" i="15" s="1"/>
  <c r="Y367" i="15"/>
  <c r="C185" i="22"/>
  <c r="D185" i="22" s="1"/>
  <c r="C194" i="22"/>
  <c r="D194" i="22" s="1"/>
  <c r="T82" i="14"/>
  <c r="P82" i="14" s="1"/>
  <c r="D80" i="3" s="1"/>
  <c r="R14" i="25"/>
  <c r="Y394" i="15"/>
  <c r="Y451" i="15"/>
  <c r="AB451" i="15"/>
  <c r="AB452" i="15" s="1"/>
  <c r="AB453" i="15" s="1"/>
  <c r="AB454" i="15" s="1"/>
  <c r="Y160" i="15"/>
  <c r="I21" i="21"/>
  <c r="AB456" i="15"/>
  <c r="AB457" i="15" s="1"/>
  <c r="Y456" i="15"/>
  <c r="R8" i="25"/>
  <c r="N84" i="21"/>
  <c r="C210" i="22"/>
  <c r="D210" i="22" s="1"/>
  <c r="D84" i="21"/>
  <c r="F84" i="21" s="1"/>
  <c r="Y464" i="15"/>
  <c r="N77" i="21"/>
  <c r="C211" i="22"/>
  <c r="D211" i="22" s="1"/>
  <c r="Y69" i="15"/>
  <c r="C22" i="22"/>
  <c r="D22" i="22" s="1"/>
  <c r="D77" i="21"/>
  <c r="F77" i="21" s="1"/>
  <c r="E84" i="21"/>
  <c r="E3" i="22"/>
  <c r="E4" i="22" s="1"/>
  <c r="E5" i="22" s="1"/>
  <c r="E6" i="22" s="1"/>
  <c r="E7" i="22" s="1"/>
  <c r="E8" i="22" s="1"/>
  <c r="C181" i="22"/>
  <c r="D181" i="22" s="1"/>
  <c r="Y358" i="15"/>
  <c r="M15" i="21"/>
  <c r="T65" i="14"/>
  <c r="P65" i="14" s="1"/>
  <c r="D63" i="3" s="1"/>
  <c r="E71" i="21"/>
  <c r="E77" i="21"/>
  <c r="T71" i="14"/>
  <c r="P71" i="14" s="1"/>
  <c r="D69" i="3" s="1"/>
  <c r="P130" i="14"/>
  <c r="J71" i="21"/>
  <c r="Y381" i="15"/>
  <c r="N86" i="21"/>
  <c r="E86" i="21"/>
  <c r="T78" i="14"/>
  <c r="P78" i="14" s="1"/>
  <c r="D76" i="3" s="1"/>
  <c r="AB381" i="15"/>
  <c r="AB382" i="15" s="1"/>
  <c r="AB383" i="15" s="1"/>
  <c r="C192" i="22"/>
  <c r="D192" i="22" s="1"/>
  <c r="R10" i="25"/>
  <c r="D86" i="21"/>
  <c r="F86" i="21" s="1"/>
  <c r="D71" i="21"/>
  <c r="F71" i="21" s="1"/>
  <c r="Y27" i="15"/>
  <c r="C9" i="22"/>
  <c r="D9" i="22" s="1"/>
  <c r="H52" i="21"/>
  <c r="O77" i="21"/>
  <c r="Y499" i="15"/>
  <c r="Y193" i="15"/>
  <c r="C63" i="22"/>
  <c r="D63" i="22" s="1"/>
  <c r="Y480" i="15"/>
  <c r="S15" i="25"/>
  <c r="AB480" i="15"/>
  <c r="T83" i="14"/>
  <c r="P83" i="14" s="1"/>
  <c r="D81" i="3" s="1"/>
  <c r="E91" i="21"/>
  <c r="D91" i="21"/>
  <c r="F91" i="21" s="1"/>
  <c r="C215" i="22"/>
  <c r="D215" i="22" s="1"/>
  <c r="O91" i="21"/>
  <c r="J5" i="22"/>
  <c r="K5" i="22" s="1"/>
  <c r="Y440" i="15"/>
  <c r="C205" i="22"/>
  <c r="D205" i="22" s="1"/>
  <c r="R13" i="25"/>
  <c r="N89" i="21"/>
  <c r="E89" i="21"/>
  <c r="AB426" i="15"/>
  <c r="AB427" i="15" s="1"/>
  <c r="AB428" i="15" s="1"/>
  <c r="AB429" i="15" s="1"/>
  <c r="AB430" i="15" s="1"/>
  <c r="AB431" i="15" s="1"/>
  <c r="Y423" i="15"/>
  <c r="C202" i="22"/>
  <c r="D202" i="22" s="1"/>
  <c r="R9" i="25"/>
  <c r="C104" i="14"/>
  <c r="B102" i="3" s="1"/>
  <c r="P63" i="14"/>
  <c r="D61" i="3" s="1"/>
  <c r="Y277" i="15"/>
  <c r="J52" i="21"/>
  <c r="C71" i="22"/>
  <c r="D71" i="22" s="1"/>
  <c r="Y426" i="15"/>
  <c r="N45" i="21"/>
  <c r="D45" i="21"/>
  <c r="F45" i="21" s="1"/>
  <c r="E45" i="21"/>
  <c r="T39" i="14"/>
  <c r="P39" i="14" s="1"/>
  <c r="D37" i="3" s="1"/>
  <c r="N22" i="27"/>
  <c r="N20" i="27"/>
  <c r="P36" i="14"/>
  <c r="D34" i="3" s="1"/>
  <c r="P86" i="14"/>
  <c r="D84" i="3" s="1"/>
  <c r="P122" i="14"/>
  <c r="T9" i="14"/>
  <c r="P9" i="14" s="1"/>
  <c r="D7" i="3" s="1"/>
  <c r="Y375" i="15"/>
  <c r="T46" i="14"/>
  <c r="P46" i="14" s="1"/>
  <c r="D44" i="3" s="1"/>
  <c r="D52" i="21"/>
  <c r="F52" i="21" s="1"/>
  <c r="C189" i="22"/>
  <c r="D189" i="22" s="1"/>
  <c r="E52" i="21"/>
  <c r="N52" i="21"/>
  <c r="D93" i="21"/>
  <c r="F93" i="21" s="1"/>
  <c r="J10" i="22"/>
  <c r="K10" i="22" s="1"/>
  <c r="S17" i="25"/>
  <c r="C222" i="22"/>
  <c r="D222" i="22" s="1"/>
  <c r="E93" i="21"/>
  <c r="Y501" i="15"/>
  <c r="T85" i="14"/>
  <c r="P85" i="14" s="1"/>
  <c r="D83" i="3" s="1"/>
  <c r="O93" i="21"/>
  <c r="AB364" i="15"/>
  <c r="AB365" i="15" s="1"/>
  <c r="AB366" i="15" s="1"/>
  <c r="AB367" i="15" s="1"/>
  <c r="AB368" i="15" s="1"/>
  <c r="C180" i="22"/>
  <c r="D180" i="22" s="1"/>
  <c r="Y357" i="15"/>
  <c r="AB357" i="15"/>
  <c r="AB358" i="15" s="1"/>
  <c r="AB359" i="15" s="1"/>
  <c r="AB360" i="15" s="1"/>
  <c r="J8" i="22"/>
  <c r="K8" i="22" s="1"/>
  <c r="AB375" i="15"/>
  <c r="AB376" i="15" s="1"/>
  <c r="AB377" i="15" s="1"/>
  <c r="AB378" i="15" s="1"/>
  <c r="AB379" i="15" s="1"/>
  <c r="AB501" i="15"/>
  <c r="AB502" i="15" s="1"/>
  <c r="AB503" i="15" s="1"/>
  <c r="AB504" i="15" s="1"/>
  <c r="AB505" i="15" s="1"/>
  <c r="AB506" i="15" s="1"/>
  <c r="AB507" i="15" s="1"/>
  <c r="AB508" i="15" s="1"/>
  <c r="AB509" i="15" s="1"/>
  <c r="AB510" i="15" s="1"/>
  <c r="AB511" i="15" s="1"/>
  <c r="AB512" i="15" s="1"/>
  <c r="AB513" i="15" s="1"/>
  <c r="AB514" i="15" s="1"/>
  <c r="AB515" i="15" s="1"/>
  <c r="AB516" i="15" s="1"/>
  <c r="AB517" i="15" s="1"/>
  <c r="AB518" i="15" s="1"/>
  <c r="AB519" i="15" s="1"/>
  <c r="AB520" i="15" s="1"/>
  <c r="AB521" i="15" s="1"/>
  <c r="AB522" i="15" s="1"/>
  <c r="AB523" i="15" s="1"/>
  <c r="AB524" i="15" s="1"/>
  <c r="AB525" i="15" s="1"/>
  <c r="AB526" i="15" s="1"/>
  <c r="AB527" i="15" s="1"/>
  <c r="AB528" i="15" s="1"/>
  <c r="AB529" i="15" s="1"/>
  <c r="AB530" i="15" s="1"/>
  <c r="AB531" i="15" s="1"/>
  <c r="AB532" i="15" s="1"/>
  <c r="AB533" i="15" s="1"/>
  <c r="AB534" i="15" s="1"/>
  <c r="AB535" i="15" s="1"/>
  <c r="AB536" i="15" s="1"/>
  <c r="AB537" i="15" s="1"/>
  <c r="AB538" i="15" s="1"/>
  <c r="AB540" i="15" s="1"/>
  <c r="AB541" i="15" s="1"/>
  <c r="AB542" i="15" s="1"/>
  <c r="AB543" i="15" s="1"/>
  <c r="AB544" i="15" s="1"/>
  <c r="AB545" i="15" s="1"/>
  <c r="AB546" i="15" s="1"/>
  <c r="AB547" i="15" s="1"/>
  <c r="AB548" i="15" s="1"/>
  <c r="AB549" i="15" s="1"/>
  <c r="AB550" i="15" s="1"/>
  <c r="AB551" i="15" s="1"/>
  <c r="AB552" i="15" s="1"/>
  <c r="AB553" i="15" s="1"/>
  <c r="AB554" i="15" s="1"/>
  <c r="AB555" i="15" s="1"/>
  <c r="AB556" i="15" s="1"/>
  <c r="AB557" i="15" s="1"/>
  <c r="AB558" i="15" s="1"/>
  <c r="AB559" i="15" s="1"/>
  <c r="AB560" i="15" s="1"/>
  <c r="AB561" i="15" s="1"/>
  <c r="AB562" i="15" s="1"/>
  <c r="AB563" i="15" s="1"/>
  <c r="AB564" i="15" s="1"/>
  <c r="AB565" i="15" s="1"/>
  <c r="AB566" i="15" s="1"/>
  <c r="AB567" i="15" s="1"/>
  <c r="AB568" i="15" s="1"/>
  <c r="AB569" i="15" s="1"/>
  <c r="AB570" i="15" s="1"/>
  <c r="AB571" i="15" s="1"/>
  <c r="AB572" i="15" s="1"/>
  <c r="AB573" i="15" s="1"/>
  <c r="AB574" i="15" s="1"/>
  <c r="AB575" i="15" s="1"/>
  <c r="AB576" i="15" s="1"/>
  <c r="AB577" i="15" s="1"/>
  <c r="AB578" i="15" s="1"/>
  <c r="AB579" i="15" s="1"/>
  <c r="AB580" i="15" s="1"/>
  <c r="AB581" i="15" s="1"/>
  <c r="AB582" i="15" s="1"/>
  <c r="AB583" i="15" s="1"/>
  <c r="AB584" i="15" s="1"/>
  <c r="AB585" i="15" s="1"/>
  <c r="AB586" i="15" s="1"/>
  <c r="AB587" i="15" s="1"/>
  <c r="AB588" i="15" s="1"/>
  <c r="AB589" i="15" s="1"/>
  <c r="AB590" i="15" s="1"/>
  <c r="AB591" i="15" s="1"/>
  <c r="AB592" i="15" s="1"/>
  <c r="AB593" i="15" s="1"/>
  <c r="AB594" i="15" s="1"/>
  <c r="AB595" i="15" s="1"/>
  <c r="AB596" i="15" s="1"/>
  <c r="AB597" i="15" s="1"/>
  <c r="AB598" i="15" s="1"/>
  <c r="AB599" i="15" s="1"/>
  <c r="AB600" i="15" s="1"/>
  <c r="AB601" i="15" s="1"/>
  <c r="AB602" i="15" s="1"/>
  <c r="AB603" i="15" s="1"/>
  <c r="AB604" i="15" s="1"/>
  <c r="AB605" i="15" s="1"/>
  <c r="AB606" i="15" s="1"/>
  <c r="AB607" i="15" s="1"/>
  <c r="AB608" i="15" s="1"/>
  <c r="AB609" i="15" s="1"/>
  <c r="AB610" i="15" s="1"/>
  <c r="AB611" i="15" s="1"/>
  <c r="AB612" i="15" s="1"/>
  <c r="AB613" i="15" s="1"/>
  <c r="AB614" i="15" s="1"/>
  <c r="AB615" i="15" s="1"/>
  <c r="Y261" i="15"/>
  <c r="C70" i="22"/>
  <c r="D70" i="22" s="1"/>
  <c r="Y43" i="15"/>
  <c r="C16" i="22"/>
  <c r="D16" i="22" s="1"/>
  <c r="Y308" i="15"/>
  <c r="C146" i="22"/>
  <c r="D146" i="22" s="1"/>
  <c r="D23" i="21"/>
  <c r="F23" i="21" s="1"/>
  <c r="E23" i="21"/>
  <c r="J7" i="22"/>
  <c r="K7" i="22" s="1"/>
  <c r="L23" i="21"/>
  <c r="Y232" i="15"/>
  <c r="C68" i="22"/>
  <c r="D68" i="22" s="1"/>
  <c r="AM24" i="27"/>
  <c r="N24" i="27"/>
  <c r="P79" i="14"/>
  <c r="D77" i="3" s="1"/>
  <c r="P19" i="14"/>
  <c r="D17" i="3" s="1"/>
  <c r="P107" i="14"/>
  <c r="D105" i="3" s="1"/>
  <c r="C40" i="14"/>
  <c r="B38" i="3" s="1"/>
  <c r="C118" i="14"/>
  <c r="C119" i="14"/>
  <c r="C111" i="14"/>
  <c r="B109" i="3" s="1"/>
  <c r="C115" i="14"/>
  <c r="C38" i="14"/>
  <c r="B36" i="3" s="1"/>
  <c r="P135" i="14"/>
  <c r="C112" i="14"/>
  <c r="B110" i="3" s="1"/>
  <c r="P133" i="14"/>
  <c r="C121" i="14"/>
  <c r="P96" i="14"/>
  <c r="D94" i="3" s="1"/>
  <c r="C31" i="14"/>
  <c r="B29" i="3" s="1"/>
  <c r="P108" i="14"/>
  <c r="D106" i="3" s="1"/>
  <c r="C51" i="14"/>
  <c r="B49" i="3" s="1"/>
  <c r="P72" i="14"/>
  <c r="D70" i="3" s="1"/>
  <c r="P109" i="14"/>
  <c r="D107" i="3" s="1"/>
  <c r="P99" i="14"/>
  <c r="D97" i="3" s="1"/>
  <c r="C120" i="14"/>
  <c r="P126" i="14"/>
  <c r="P102" i="14"/>
  <c r="D100" i="3" s="1"/>
  <c r="C116" i="14"/>
  <c r="P54" i="14"/>
  <c r="D52" i="3" s="1"/>
  <c r="P120" i="14"/>
  <c r="P112" i="14"/>
  <c r="D110" i="3" s="1"/>
  <c r="C36" i="14"/>
  <c r="B34" i="3" s="1"/>
  <c r="P70" i="14"/>
  <c r="D68" i="3" s="1"/>
  <c r="P119" i="14"/>
  <c r="C63" i="14"/>
  <c r="B61" i="3" s="1"/>
  <c r="C122" i="14"/>
  <c r="C133" i="14"/>
  <c r="P98" i="14"/>
  <c r="D96" i="3" s="1"/>
  <c r="C33" i="14"/>
  <c r="B31" i="3" s="1"/>
  <c r="C103" i="14"/>
  <c r="B101" i="3" s="1"/>
  <c r="P40" i="14"/>
  <c r="D38" i="3" s="1"/>
  <c r="C123" i="14"/>
  <c r="P132" i="14"/>
  <c r="P116" i="14"/>
  <c r="C101" i="14"/>
  <c r="B99" i="3" s="1"/>
  <c r="C130" i="14"/>
  <c r="C105" i="14"/>
  <c r="B103" i="3" s="1"/>
  <c r="P105" i="14"/>
  <c r="D103" i="3" s="1"/>
  <c r="C113" i="14"/>
  <c r="B111" i="3" s="1"/>
  <c r="C69" i="14"/>
  <c r="B67" i="3" s="1"/>
  <c r="C98" i="14"/>
  <c r="B96" i="3" s="1"/>
  <c r="C32" i="14"/>
  <c r="B30" i="3" s="1"/>
  <c r="C99" i="14"/>
  <c r="B97" i="3" s="1"/>
  <c r="C55" i="14"/>
  <c r="B53" i="3" s="1"/>
  <c r="C114" i="14"/>
  <c r="P31" i="14"/>
  <c r="D29" i="3" s="1"/>
  <c r="C91" i="14"/>
  <c r="B89" i="3" s="1"/>
  <c r="P56" i="14"/>
  <c r="D54" i="3" s="1"/>
  <c r="P38" i="14"/>
  <c r="D36" i="3" s="1"/>
  <c r="P51" i="14"/>
  <c r="D49" i="3" s="1"/>
  <c r="C72" i="14"/>
  <c r="B70" i="3" s="1"/>
  <c r="C79" i="14"/>
  <c r="B77" i="3" s="1"/>
  <c r="C110" i="14"/>
  <c r="B108" i="3" s="1"/>
  <c r="C86" i="14"/>
  <c r="B84" i="3" s="1"/>
  <c r="C74" i="14"/>
  <c r="B72" i="3" s="1"/>
  <c r="P21" i="14"/>
  <c r="D19" i="3" s="1"/>
  <c r="P69" i="14"/>
  <c r="D67" i="3" s="1"/>
  <c r="C75" i="14"/>
  <c r="B73" i="3" s="1"/>
  <c r="C102" i="14"/>
  <c r="B100" i="3" s="1"/>
  <c r="C109" i="14"/>
  <c r="B107" i="3" s="1"/>
  <c r="C131" i="14"/>
  <c r="C129" i="14"/>
  <c r="C128" i="14"/>
  <c r="C132" i="14"/>
  <c r="P91" i="14"/>
  <c r="D89" i="3" s="1"/>
  <c r="C135" i="14"/>
  <c r="C81" i="14"/>
  <c r="B79" i="3" s="1"/>
  <c r="C107" i="14"/>
  <c r="B105" i="3" s="1"/>
  <c r="C97" i="14"/>
  <c r="B95" i="3" s="1"/>
  <c r="P95" i="14"/>
  <c r="D93" i="3" s="1"/>
  <c r="C70" i="14"/>
  <c r="B68" i="3" s="1"/>
  <c r="C106" i="14"/>
  <c r="B104" i="3" s="1"/>
  <c r="C124" i="14"/>
  <c r="C108" i="14"/>
  <c r="B106" i="3" s="1"/>
  <c r="C21" i="14"/>
  <c r="B19" i="3" s="1"/>
  <c r="P129" i="14"/>
  <c r="P45" i="14"/>
  <c r="D43" i="3" s="1"/>
  <c r="C45" i="14"/>
  <c r="B43" i="3" s="1"/>
  <c r="P32" i="14"/>
  <c r="D30" i="3" s="1"/>
  <c r="C54" i="14"/>
  <c r="B52" i="3" s="1"/>
  <c r="C96" i="14"/>
  <c r="B94" i="3" s="1"/>
  <c r="P81" i="14"/>
  <c r="D79" i="3" s="1"/>
  <c r="C46" i="14"/>
  <c r="B44" i="3" s="1"/>
  <c r="P101" i="14"/>
  <c r="D99" i="3" s="1"/>
  <c r="P106" i="14"/>
  <c r="D104" i="3" s="1"/>
  <c r="P74" i="14"/>
  <c r="D72" i="3" s="1"/>
  <c r="P75" i="14"/>
  <c r="D73" i="3" s="1"/>
  <c r="C47" i="14"/>
  <c r="B45" i="3" s="1"/>
  <c r="P28" i="14"/>
  <c r="D26" i="3" s="1"/>
  <c r="P103" i="14"/>
  <c r="D101" i="3" s="1"/>
  <c r="C56" i="14"/>
  <c r="B54" i="3" s="1"/>
  <c r="P111" i="14"/>
  <c r="D109" i="3" s="1"/>
  <c r="C26" i="14"/>
  <c r="B24" i="3" s="1"/>
  <c r="P114" i="14"/>
  <c r="I1" i="17"/>
  <c r="C19" i="14"/>
  <c r="B17" i="3" s="1"/>
  <c r="P97" i="14"/>
  <c r="D95" i="3" s="1"/>
  <c r="P110" i="14"/>
  <c r="D108" i="3" s="1"/>
  <c r="P124" i="14"/>
  <c r="P113" i="14"/>
  <c r="D111" i="3" s="1"/>
  <c r="P121" i="14"/>
  <c r="P131" i="14"/>
  <c r="P26" i="14"/>
  <c r="D24" i="3" s="1"/>
  <c r="P33" i="14"/>
  <c r="D31" i="3" s="1"/>
  <c r="C28" i="14"/>
  <c r="B26" i="3" s="1"/>
  <c r="P128" i="14"/>
  <c r="P118" i="14"/>
  <c r="C95" i="14"/>
  <c r="B93" i="3" s="1"/>
  <c r="C126" i="14"/>
  <c r="C85" i="14"/>
  <c r="B83" i="3" s="1"/>
  <c r="P115" i="14"/>
  <c r="P55" i="14"/>
  <c r="D53" i="3" s="1"/>
  <c r="N18" i="27"/>
  <c r="N26" i="27"/>
  <c r="F15" i="21"/>
  <c r="F6" i="25"/>
  <c r="F6" i="28"/>
  <c r="S6" i="28" l="1"/>
  <c r="B13" i="28" s="1"/>
  <c r="D13" i="28" s="1"/>
  <c r="M9" i="21"/>
  <c r="L9" i="21"/>
  <c r="H3" i="3"/>
  <c r="H9" i="21"/>
  <c r="H6" i="3"/>
  <c r="H9" i="3"/>
  <c r="H10" i="3" s="1"/>
  <c r="J9" i="21"/>
  <c r="I9" i="21"/>
  <c r="E9" i="22"/>
  <c r="E10" i="22" s="1"/>
  <c r="E11" i="22" s="1"/>
  <c r="E12" i="22" s="1"/>
  <c r="E13" i="22" s="1"/>
  <c r="E14" i="22" s="1"/>
  <c r="E15" i="22" s="1"/>
  <c r="E16" i="22" s="1"/>
  <c r="E17" i="22" s="1"/>
  <c r="E18" i="22" s="1"/>
  <c r="E19" i="22" s="1"/>
  <c r="E20" i="22" s="1"/>
  <c r="E21" i="22" s="1"/>
  <c r="E22" i="22" s="1"/>
  <c r="E23" i="22" s="1"/>
  <c r="E24" i="22" s="1"/>
  <c r="E25" i="22" s="1"/>
  <c r="E26" i="22" s="1"/>
  <c r="E27" i="22" s="1"/>
  <c r="E28" i="22" s="1"/>
  <c r="E29" i="22" s="1"/>
  <c r="E30" i="22" s="1"/>
  <c r="E31" i="22" s="1"/>
  <c r="E32" i="22" s="1"/>
  <c r="E33" i="22" s="1"/>
  <c r="E34" i="22" s="1"/>
  <c r="E35" i="22" s="1"/>
  <c r="E36" i="22" s="1"/>
  <c r="E37" i="22" s="1"/>
  <c r="E38" i="22" s="1"/>
  <c r="E39" i="22" s="1"/>
  <c r="E40" i="22" s="1"/>
  <c r="E41" i="22" s="1"/>
  <c r="E42" i="22" s="1"/>
  <c r="E43" i="22" s="1"/>
  <c r="E44" i="22" s="1"/>
  <c r="E45" i="22" s="1"/>
  <c r="E46" i="22" s="1"/>
  <c r="E47" i="22" s="1"/>
  <c r="E48" i="22" s="1"/>
  <c r="E49" i="22" s="1"/>
  <c r="E50" i="22" s="1"/>
  <c r="E51" i="22" s="1"/>
  <c r="E52" i="22" s="1"/>
  <c r="E53" i="22" s="1"/>
  <c r="E54" i="22" s="1"/>
  <c r="E55" i="22" s="1"/>
  <c r="E56" i="22" s="1"/>
  <c r="E57" i="22" s="1"/>
  <c r="E58" i="22" s="1"/>
  <c r="E59" i="22" s="1"/>
  <c r="E60" i="22" s="1"/>
  <c r="E61" i="22" s="1"/>
  <c r="E62" i="22" s="1"/>
  <c r="E63" i="22" s="1"/>
  <c r="E64" i="22" s="1"/>
  <c r="E65" i="22" s="1"/>
  <c r="E66" i="22" s="1"/>
  <c r="E67" i="22" s="1"/>
  <c r="E68" i="22" s="1"/>
  <c r="E69" i="22" s="1"/>
  <c r="E70" i="22" s="1"/>
  <c r="E71" i="22" s="1"/>
  <c r="E72" i="22" s="1"/>
  <c r="E73" i="22" s="1"/>
  <c r="E74" i="22" s="1"/>
  <c r="E75" i="22" s="1"/>
  <c r="E76" i="22" s="1"/>
  <c r="E77" i="22" s="1"/>
  <c r="E78" i="22" s="1"/>
  <c r="E79" i="22" s="1"/>
  <c r="E80" i="22" s="1"/>
  <c r="E81" i="22" s="1"/>
  <c r="E82" i="22" s="1"/>
  <c r="E83" i="22" s="1"/>
  <c r="E84" i="22" s="1"/>
  <c r="E85" i="22" s="1"/>
  <c r="E86" i="22" s="1"/>
  <c r="E87" i="22" s="1"/>
  <c r="E88" i="22" s="1"/>
  <c r="E89" i="22" s="1"/>
  <c r="E90" i="22" s="1"/>
  <c r="E91" i="22" s="1"/>
  <c r="E92" i="22" s="1"/>
  <c r="E93" i="22" s="1"/>
  <c r="E94" i="22" s="1"/>
  <c r="E95" i="22" s="1"/>
  <c r="E96" i="22" s="1"/>
  <c r="E97" i="22" s="1"/>
  <c r="E98" i="22" s="1"/>
  <c r="E99" i="22" s="1"/>
  <c r="E100" i="22" s="1"/>
  <c r="E101" i="22" s="1"/>
  <c r="E102" i="22" s="1"/>
  <c r="E103" i="22" s="1"/>
  <c r="E104" i="22" s="1"/>
  <c r="E105" i="22" s="1"/>
  <c r="E106" i="22" s="1"/>
  <c r="E107" i="22" s="1"/>
  <c r="E108" i="22" s="1"/>
  <c r="E109" i="22" s="1"/>
  <c r="E110" i="22" s="1"/>
  <c r="E111" i="22" s="1"/>
  <c r="E112" i="22" s="1"/>
  <c r="E113" i="22" s="1"/>
  <c r="E114" i="22" s="1"/>
  <c r="E115" i="22" s="1"/>
  <c r="E116" i="22" s="1"/>
  <c r="E117" i="22" s="1"/>
  <c r="E118" i="22" s="1"/>
  <c r="E119" i="22" s="1"/>
  <c r="E120" i="22" s="1"/>
  <c r="E121" i="22" s="1"/>
  <c r="E122" i="22" s="1"/>
  <c r="E123" i="22" s="1"/>
  <c r="E124" i="22" s="1"/>
  <c r="E125" i="22" s="1"/>
  <c r="E126" i="22" s="1"/>
  <c r="E127" i="22" s="1"/>
  <c r="E128" i="22" s="1"/>
  <c r="E129" i="22" s="1"/>
  <c r="E130" i="22" s="1"/>
  <c r="E131" i="22" s="1"/>
  <c r="E132" i="22" s="1"/>
  <c r="E133" i="22" s="1"/>
  <c r="E134" i="22" s="1"/>
  <c r="E135" i="22" s="1"/>
  <c r="E136" i="22" s="1"/>
  <c r="E137" i="22" s="1"/>
  <c r="E138" i="22" s="1"/>
  <c r="E139" i="22" s="1"/>
  <c r="E140" i="22" s="1"/>
  <c r="E141" i="22" s="1"/>
  <c r="E142" i="22" s="1"/>
  <c r="E143" i="22" s="1"/>
  <c r="E144" i="22" s="1"/>
  <c r="E145" i="22" s="1"/>
  <c r="E146" i="22" s="1"/>
  <c r="E147" i="22" s="1"/>
  <c r="E148" i="22" s="1"/>
  <c r="E149" i="22" s="1"/>
  <c r="E150" i="22" s="1"/>
  <c r="E151" i="22" s="1"/>
  <c r="E152" i="22" s="1"/>
  <c r="E153" i="22" s="1"/>
  <c r="E154" i="22" s="1"/>
  <c r="E155" i="22" s="1"/>
  <c r="E156" i="22" s="1"/>
  <c r="E157" i="22" s="1"/>
  <c r="E158" i="22" s="1"/>
  <c r="E159" i="22" s="1"/>
  <c r="E160" i="22" s="1"/>
  <c r="E161" i="22" s="1"/>
  <c r="E162" i="22" s="1"/>
  <c r="E163" i="22" s="1"/>
  <c r="E164" i="22" s="1"/>
  <c r="E165" i="22" s="1"/>
  <c r="E166" i="22" s="1"/>
  <c r="E167" i="22" s="1"/>
  <c r="E168" i="22" s="1"/>
  <c r="E169" i="22" s="1"/>
  <c r="E170" i="22" s="1"/>
  <c r="E171" i="22" s="1"/>
  <c r="E172" i="22" s="1"/>
  <c r="E173" i="22" s="1"/>
  <c r="E174" i="22" s="1"/>
  <c r="E175" i="22" s="1"/>
  <c r="E176" i="22" s="1"/>
  <c r="E177" i="22" s="1"/>
  <c r="E178" i="22" s="1"/>
  <c r="E179" i="22" s="1"/>
  <c r="E180" i="22" s="1"/>
  <c r="E181" i="22" s="1"/>
  <c r="E182" i="22" s="1"/>
  <c r="E183" i="22" s="1"/>
  <c r="E184" i="22" s="1"/>
  <c r="E185" i="22" s="1"/>
  <c r="E186" i="22" s="1"/>
  <c r="E187" i="22" s="1"/>
  <c r="E188" i="22" s="1"/>
  <c r="E189" i="22" s="1"/>
  <c r="E190" i="22" s="1"/>
  <c r="E191" i="22" s="1"/>
  <c r="E192" i="22" s="1"/>
  <c r="E193" i="22" s="1"/>
  <c r="E194" i="22" s="1"/>
  <c r="E195" i="22" s="1"/>
  <c r="E196" i="22" s="1"/>
  <c r="E197" i="22" s="1"/>
  <c r="E198" i="22" s="1"/>
  <c r="E199" i="22" s="1"/>
  <c r="E200" i="22" s="1"/>
  <c r="E201" i="22" s="1"/>
  <c r="E202" i="22" s="1"/>
  <c r="E203" i="22" s="1"/>
  <c r="E204" i="22" s="1"/>
  <c r="E205" i="22" s="1"/>
  <c r="E206" i="22" s="1"/>
  <c r="E207" i="22" s="1"/>
  <c r="E208" i="22" s="1"/>
  <c r="E209" i="22" s="1"/>
  <c r="E210" i="22" s="1"/>
  <c r="E211" i="22" s="1"/>
  <c r="E212" i="22" s="1"/>
  <c r="E213" i="22" s="1"/>
  <c r="E214" i="22" s="1"/>
  <c r="E215" i="22" s="1"/>
  <c r="E216" i="22" s="1"/>
  <c r="E217" i="22" s="1"/>
  <c r="E218" i="22" s="1"/>
  <c r="E219" i="22" s="1"/>
  <c r="E220" i="22" s="1"/>
  <c r="E221" i="22" s="1"/>
  <c r="E222" i="22" s="1"/>
  <c r="E223" i="22" s="1"/>
  <c r="E224" i="22" s="1"/>
  <c r="E225" i="22" s="1"/>
  <c r="E226" i="22" s="1"/>
  <c r="E227" i="22" s="1"/>
  <c r="E228" i="22" s="1"/>
  <c r="E229" i="22" s="1"/>
  <c r="E230" i="22" s="1"/>
  <c r="E231" i="22" s="1"/>
  <c r="E232" i="22" s="1"/>
  <c r="E233" i="22" s="1"/>
  <c r="E234" i="22" s="1"/>
  <c r="E235" i="22" s="1"/>
  <c r="E236" i="22" s="1"/>
  <c r="E237" i="22" s="1"/>
  <c r="E238" i="22" s="1"/>
  <c r="E239" i="22" s="1"/>
  <c r="E240" i="22" s="1"/>
  <c r="E241" i="22" s="1"/>
  <c r="E242" i="22" s="1"/>
  <c r="E243" i="22" s="1"/>
  <c r="E244" i="22" s="1"/>
  <c r="E245" i="22" s="1"/>
  <c r="E246" i="22" s="1"/>
  <c r="E247" i="22" s="1"/>
  <c r="E248" i="22" s="1"/>
  <c r="E249" i="22" s="1"/>
  <c r="E250" i="22" s="1"/>
  <c r="E251" i="22" s="1"/>
  <c r="E252" i="22" s="1"/>
  <c r="E253" i="22" s="1"/>
  <c r="E254" i="22" s="1"/>
  <c r="E255" i="22" s="1"/>
  <c r="E256" i="22" s="1"/>
  <c r="E257" i="22" s="1"/>
  <c r="E258" i="22" s="1"/>
  <c r="E259" i="22" s="1"/>
  <c r="E260" i="22" s="1"/>
  <c r="E261" i="22" s="1"/>
  <c r="E262" i="22" s="1"/>
  <c r="E263" i="22" s="1"/>
  <c r="E264" i="22" s="1"/>
  <c r="E265" i="22" s="1"/>
  <c r="E266" i="22" s="1"/>
  <c r="E267" i="22" s="1"/>
  <c r="E268" i="22" s="1"/>
  <c r="E269" i="22" s="1"/>
  <c r="E270" i="22" s="1"/>
  <c r="E271" i="22" s="1"/>
  <c r="E272" i="22" s="1"/>
  <c r="E273" i="22" s="1"/>
  <c r="E274" i="22" s="1"/>
  <c r="E275" i="22" s="1"/>
  <c r="E276" i="22" s="1"/>
  <c r="E277" i="22" s="1"/>
  <c r="E278" i="22" s="1"/>
  <c r="E279" i="22" s="1"/>
  <c r="E280" i="22" s="1"/>
  <c r="E281" i="22" s="1"/>
  <c r="E282" i="22" s="1"/>
  <c r="E283" i="22" s="1"/>
  <c r="E284" i="22" s="1"/>
  <c r="E285" i="22" s="1"/>
  <c r="E286" i="22" s="1"/>
  <c r="E287" i="22" s="1"/>
  <c r="E288" i="22" s="1"/>
  <c r="E289" i="22" s="1"/>
  <c r="E290" i="22" s="1"/>
  <c r="E291" i="22" s="1"/>
  <c r="E292" i="22" s="1"/>
  <c r="E293" i="22" s="1"/>
  <c r="E294" i="22" s="1"/>
  <c r="E295" i="22" s="1"/>
  <c r="E296" i="22" s="1"/>
  <c r="E297" i="22" s="1"/>
  <c r="E298" i="22" s="1"/>
  <c r="E299" i="22" s="1"/>
  <c r="E300" i="22" s="1"/>
  <c r="E301" i="22" s="1"/>
  <c r="E302" i="22" s="1"/>
  <c r="E303" i="22" s="1"/>
  <c r="E304" i="22" s="1"/>
  <c r="E305" i="22" s="1"/>
  <c r="E306" i="22" s="1"/>
  <c r="E307" i="22" s="1"/>
  <c r="E308" i="22" s="1"/>
  <c r="E309" i="22" s="1"/>
  <c r="E310" i="22" s="1"/>
  <c r="E311" i="22" s="1"/>
  <c r="E312" i="22" s="1"/>
  <c r="E313" i="22" s="1"/>
  <c r="E314" i="22" s="1"/>
  <c r="E315" i="22" s="1"/>
  <c r="E316" i="22" s="1"/>
  <c r="E317" i="22" s="1"/>
  <c r="E318" i="22" s="1"/>
  <c r="E319" i="22" s="1"/>
  <c r="E320" i="22" s="1"/>
  <c r="E321" i="22" s="1"/>
  <c r="E322" i="22" s="1"/>
  <c r="E323" i="22" s="1"/>
  <c r="E324" i="22" s="1"/>
  <c r="E325" i="22" s="1"/>
  <c r="E326" i="22" s="1"/>
  <c r="E327" i="22" s="1"/>
  <c r="E328" i="22" s="1"/>
  <c r="E329" i="22" s="1"/>
  <c r="E330" i="22" s="1"/>
  <c r="E331" i="22" s="1"/>
  <c r="E332" i="22" s="1"/>
  <c r="E333" i="22" s="1"/>
  <c r="E334" i="22" s="1"/>
  <c r="E335" i="22" s="1"/>
  <c r="E336" i="22" s="1"/>
  <c r="E337" i="22" s="1"/>
  <c r="E338" i="22" s="1"/>
  <c r="E339" i="22" s="1"/>
  <c r="E340" i="22" s="1"/>
  <c r="E341" i="22" s="1"/>
  <c r="E342" i="22" s="1"/>
  <c r="E343" i="22" s="1"/>
  <c r="E344" i="22" s="1"/>
  <c r="E345" i="22" s="1"/>
  <c r="E346" i="22" s="1"/>
  <c r="E347" i="22" s="1"/>
  <c r="E348" i="22" s="1"/>
  <c r="E349" i="22" s="1"/>
  <c r="E350" i="22" s="1"/>
  <c r="E351" i="22" s="1"/>
  <c r="E352" i="22" s="1"/>
  <c r="E353" i="22" s="1"/>
  <c r="E354" i="22" s="1"/>
  <c r="E355" i="22" s="1"/>
  <c r="E356" i="22" s="1"/>
  <c r="E357" i="22" s="1"/>
  <c r="E358" i="22" s="1"/>
  <c r="E359" i="22" s="1"/>
  <c r="E360" i="22" s="1"/>
  <c r="E361" i="22" s="1"/>
  <c r="E362" i="22" s="1"/>
  <c r="E363" i="22" s="1"/>
  <c r="E364" i="22" s="1"/>
  <c r="E365" i="22" s="1"/>
  <c r="E366" i="22" s="1"/>
  <c r="E367" i="22" s="1"/>
  <c r="N9" i="21"/>
  <c r="O9" i="21"/>
  <c r="E9" i="21"/>
  <c r="S6" i="25"/>
  <c r="D9" i="21"/>
  <c r="F9" i="21" s="1"/>
  <c r="R6" i="25"/>
  <c r="B12" i="25" s="1"/>
  <c r="D12" i="25" s="1"/>
  <c r="F12" i="25" s="1"/>
  <c r="Q25" i="27"/>
  <c r="Q27" i="27" s="1"/>
  <c r="AM26" i="27"/>
  <c r="H7" i="3" l="1"/>
  <c r="C90" i="3" s="1"/>
  <c r="B19" i="28"/>
  <c r="B13" i="25"/>
  <c r="D13" i="25" s="1"/>
  <c r="F13" i="28"/>
  <c r="F19" i="28" s="1"/>
  <c r="D19" i="28"/>
  <c r="H13" i="3" s="1"/>
  <c r="B19" i="25" l="1"/>
  <c r="F13" i="25"/>
  <c r="F19" i="25" s="1"/>
  <c r="D19" i="25"/>
  <c r="H14" i="3" s="1"/>
  <c r="H16" i="3" s="1"/>
  <c r="C94" i="3"/>
  <c r="C24" i="3"/>
  <c r="C35" i="3"/>
  <c r="C2" i="3"/>
  <c r="C5" i="3"/>
  <c r="C62" i="3"/>
  <c r="C56" i="3"/>
  <c r="C32" i="3"/>
  <c r="C14" i="3"/>
  <c r="C61" i="3"/>
  <c r="C88" i="3"/>
  <c r="C48" i="3"/>
  <c r="I3" i="3"/>
  <c r="C98" i="3"/>
  <c r="C69" i="3"/>
  <c r="I10" i="3"/>
  <c r="C21" i="3"/>
  <c r="C31" i="3"/>
  <c r="I7" i="3"/>
  <c r="C53" i="3"/>
  <c r="C13" i="3"/>
  <c r="I2" i="3"/>
  <c r="C6" i="3"/>
  <c r="C102" i="3"/>
  <c r="C10" i="3"/>
  <c r="C29" i="3"/>
  <c r="C84" i="3"/>
  <c r="C100" i="3"/>
  <c r="C97" i="3"/>
  <c r="C23" i="3"/>
  <c r="C54" i="3"/>
  <c r="C76" i="3"/>
  <c r="C65" i="3"/>
  <c r="C68" i="3"/>
  <c r="C63" i="3"/>
  <c r="C95" i="3"/>
  <c r="C72" i="3"/>
  <c r="C64" i="3"/>
  <c r="C44" i="3"/>
  <c r="C18" i="3"/>
  <c r="C15" i="3"/>
  <c r="I9" i="3"/>
  <c r="C89" i="3"/>
  <c r="C36" i="3"/>
  <c r="C110" i="3"/>
  <c r="C47" i="3"/>
  <c r="C50" i="3"/>
  <c r="C71" i="3"/>
  <c r="C52" i="3"/>
  <c r="C3" i="3"/>
  <c r="C22" i="3"/>
  <c r="C109" i="3"/>
  <c r="C28" i="3"/>
  <c r="C42" i="3"/>
  <c r="C107" i="3"/>
  <c r="C104" i="3"/>
  <c r="C59" i="3"/>
  <c r="C43" i="3"/>
  <c r="C17" i="3"/>
  <c r="C34" i="3"/>
  <c r="I11" i="3"/>
  <c r="C74" i="3"/>
  <c r="C75" i="3"/>
  <c r="C9" i="3"/>
  <c r="C91" i="3"/>
  <c r="C20" i="3"/>
  <c r="C26" i="3"/>
  <c r="C16" i="3"/>
  <c r="C81" i="3"/>
  <c r="C99" i="3"/>
  <c r="C101" i="3"/>
  <c r="C39" i="3"/>
  <c r="I4" i="3"/>
  <c r="C77" i="3"/>
  <c r="C19" i="3"/>
  <c r="C86" i="3"/>
  <c r="C55" i="3"/>
  <c r="C45" i="3"/>
  <c r="I5" i="3"/>
  <c r="C49" i="3"/>
  <c r="C82" i="3"/>
  <c r="C96" i="3"/>
  <c r="C85" i="3"/>
  <c r="C108" i="3"/>
  <c r="C106" i="3"/>
  <c r="C87" i="3"/>
  <c r="C51" i="3"/>
  <c r="C46" i="3"/>
  <c r="C111" i="3"/>
  <c r="C70" i="3"/>
  <c r="C41" i="3"/>
  <c r="C83" i="3"/>
  <c r="C33" i="3"/>
  <c r="C67" i="3"/>
  <c r="C103" i="3"/>
  <c r="C58" i="3"/>
  <c r="C12" i="3"/>
  <c r="C7" i="3"/>
  <c r="C8" i="3"/>
  <c r="C4" i="3"/>
  <c r="C25" i="3"/>
  <c r="C92" i="3"/>
  <c r="C78" i="3"/>
  <c r="C11" i="3"/>
  <c r="C73" i="3"/>
  <c r="C40" i="3"/>
  <c r="C93" i="3"/>
  <c r="C57" i="3"/>
  <c r="C30" i="3"/>
  <c r="I6" i="3"/>
  <c r="C38" i="3"/>
  <c r="C79" i="3"/>
  <c r="C66" i="3"/>
  <c r="C60" i="3"/>
  <c r="C80" i="3"/>
  <c r="C37" i="3"/>
  <c r="C105" i="3"/>
  <c r="C27" i="3"/>
  <c r="I16" i="3" l="1"/>
  <c r="H1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100-000001000000}">
      <text>
        <r>
          <rPr>
            <b/>
            <sz val="8"/>
            <color rgb="FF000000"/>
            <rFont val="Tahoma"/>
            <family val="2"/>
          </rPr>
          <t xml:space="preserve">Dato:
</t>
        </r>
        <r>
          <rPr>
            <i/>
            <sz val="8"/>
            <color rgb="FF000000"/>
            <rFont val="Tahoma"/>
            <family val="2"/>
          </rPr>
          <t xml:space="preserve">Dato når spillet ble lagt. ÅÅMMDD
</t>
        </r>
        <r>
          <rPr>
            <i/>
            <sz val="8"/>
            <color rgb="FF000000"/>
            <rFont val="Tahoma"/>
            <family val="2"/>
          </rPr>
          <t xml:space="preserve">
</t>
        </r>
        <r>
          <rPr>
            <i/>
            <sz val="8"/>
            <color rgb="FF000000"/>
            <rFont val="Tahoma"/>
            <family val="2"/>
          </rPr>
          <t>Eks. 181121 er 18. november 2018</t>
        </r>
      </text>
    </comment>
    <comment ref="B1" authorId="0" shapeId="0" xr:uid="{00000000-0006-0000-0100-000002000000}">
      <text>
        <r>
          <rPr>
            <b/>
            <sz val="8"/>
            <color rgb="FF000000"/>
            <rFont val="Tahoma"/>
            <family val="2"/>
          </rPr>
          <t xml:space="preserve">Sport:
</t>
        </r>
        <r>
          <rPr>
            <i/>
            <sz val="8"/>
            <color rgb="FF000000"/>
            <rFont val="Tahoma"/>
            <family val="2"/>
          </rPr>
          <t>Sporten du spiller på.</t>
        </r>
      </text>
    </comment>
    <comment ref="C1" authorId="0" shapeId="0" xr:uid="{00000000-0006-0000-0100-000003000000}">
      <text>
        <r>
          <rPr>
            <b/>
            <sz val="8"/>
            <color rgb="FF000000"/>
            <rFont val="Tahoma"/>
            <family val="2"/>
          </rPr>
          <t xml:space="preserve">Bookmaker:
</t>
        </r>
        <r>
          <rPr>
            <i/>
            <sz val="8"/>
            <color rgb="FF000000"/>
            <rFont val="Tahoma"/>
            <family val="2"/>
          </rPr>
          <t xml:space="preserve">Bookmakeren du plasserte spillet hos.
</t>
        </r>
        <r>
          <rPr>
            <i/>
            <sz val="8"/>
            <color rgb="FF000000"/>
            <rFont val="Tahoma"/>
            <family val="2"/>
          </rPr>
          <t xml:space="preserve">
</t>
        </r>
        <r>
          <rPr>
            <i/>
            <sz val="8"/>
            <color rgb="FF000000"/>
            <rFont val="Tahoma"/>
            <family val="2"/>
          </rPr>
          <t>NB! Skriv på samme måte som i "BookieNavn"-fanen, slik at spillene blir linket til riktig bookmaker.</t>
        </r>
      </text>
    </comment>
    <comment ref="D1" authorId="0" shapeId="0" xr:uid="{50A66687-3334-7F4D-AC7B-2E8FF2FFA504}">
      <text>
        <r>
          <rPr>
            <b/>
            <sz val="8"/>
            <color rgb="FF000000"/>
            <rFont val="Tahoma"/>
            <family val="2"/>
          </rPr>
          <t xml:space="preserve">C% bookie:
</t>
        </r>
        <r>
          <rPr>
            <sz val="8"/>
            <color rgb="FF000000"/>
            <rFont val="Tahoma"/>
            <family val="2"/>
          </rPr>
          <t xml:space="preserve">Commission til bookie. Denne er </t>
        </r>
        <r>
          <rPr>
            <b/>
            <sz val="8"/>
            <color rgb="FF000000"/>
            <rFont val="Tahoma"/>
            <family val="2"/>
          </rPr>
          <t>ALLTID</t>
        </r>
        <r>
          <rPr>
            <sz val="8"/>
            <color rgb="FF000000"/>
            <rFont val="Tahoma"/>
            <family val="2"/>
          </rPr>
          <t xml:space="preserve"> 0%.</t>
        </r>
      </text>
    </comment>
    <comment ref="E1" authorId="0" shapeId="0" xr:uid="{00000000-0006-0000-0100-000004000000}">
      <text>
        <r>
          <rPr>
            <b/>
            <sz val="8"/>
            <color rgb="FF000000"/>
            <rFont val="Tahoma"/>
            <family val="2"/>
          </rPr>
          <t xml:space="preserve">Lay-bookie:
</t>
        </r>
        <r>
          <rPr>
            <i/>
            <sz val="8"/>
            <color rgb="FF000000"/>
            <rFont val="Tahoma"/>
            <family val="2"/>
          </rPr>
          <t>Exchangebookmaker. Sannsynligvis Smarkets.</t>
        </r>
      </text>
    </comment>
    <comment ref="F1" authorId="0" shapeId="0" xr:uid="{00000000-0006-0000-0100-000005000000}">
      <text>
        <r>
          <rPr>
            <b/>
            <sz val="8"/>
            <color rgb="FF000000"/>
            <rFont val="Tahoma"/>
            <family val="2"/>
          </rPr>
          <t xml:space="preserve">Commission %:
</t>
        </r>
        <r>
          <rPr>
            <i/>
            <sz val="8"/>
            <color rgb="FF000000"/>
            <rFont val="Tahoma"/>
            <family val="2"/>
          </rPr>
          <t>Commission som exchange tar. Smarkets tar 2%.</t>
        </r>
      </text>
    </comment>
    <comment ref="G1" authorId="0" shapeId="0" xr:uid="{17BB2FEC-3941-9548-A173-FD96C3127884}">
      <text>
        <r>
          <rPr>
            <b/>
            <sz val="8"/>
            <color rgb="FF000000"/>
            <rFont val="Tahoma"/>
            <family val="2"/>
          </rPr>
          <t>Author:</t>
        </r>
        <r>
          <rPr>
            <sz val="8"/>
            <color rgb="FF000000"/>
            <rFont val="Tahoma"/>
            <family val="2"/>
          </rPr>
          <t xml:space="preserve">
Hva har du spilt på? Her skriver du hva du vil for å huske det du spilte.</t>
        </r>
      </text>
    </comment>
    <comment ref="H1" authorId="0" shapeId="0" xr:uid="{00000000-0006-0000-0100-000006000000}">
      <text>
        <r>
          <rPr>
            <b/>
            <sz val="8"/>
            <color rgb="FF000000"/>
            <rFont val="Tahoma"/>
            <family val="2"/>
          </rPr>
          <t xml:space="preserve">Spilt på:
</t>
        </r>
        <r>
          <rPr>
            <i/>
            <sz val="8"/>
            <color rgb="FF000000"/>
            <rFont val="Tahoma"/>
            <family val="2"/>
          </rPr>
          <t xml:space="preserve">Hva spilte du på?
</t>
        </r>
        <r>
          <rPr>
            <i/>
            <sz val="8"/>
            <color rgb="FF000000"/>
            <rFont val="Tahoma"/>
            <family val="2"/>
          </rPr>
          <t xml:space="preserve">F.eks:
</t>
        </r>
        <r>
          <rPr>
            <i/>
            <sz val="8"/>
            <color rgb="FF000000"/>
            <rFont val="Tahoma"/>
            <family val="2"/>
          </rPr>
          <t xml:space="preserve">
</t>
        </r>
        <r>
          <rPr>
            <i/>
            <sz val="8"/>
            <color rgb="FF000000"/>
            <rFont val="Tahoma"/>
            <family val="2"/>
          </rPr>
          <t xml:space="preserve">"Team1"
</t>
        </r>
        <r>
          <rPr>
            <i/>
            <sz val="8"/>
            <color rgb="FF000000"/>
            <rFont val="Tahoma"/>
            <family val="2"/>
          </rPr>
          <t xml:space="preserve">"3-3" (correct score)
</t>
        </r>
        <r>
          <rPr>
            <i/>
            <sz val="8"/>
            <color rgb="FF000000"/>
            <rFont val="Tahoma"/>
            <family val="2"/>
          </rPr>
          <t>etc.</t>
        </r>
      </text>
    </comment>
    <comment ref="I1" authorId="0" shapeId="0" xr:uid="{00000000-0006-0000-0100-000007000000}">
      <text>
        <r>
          <rPr>
            <b/>
            <sz val="8"/>
            <color rgb="FF000000"/>
            <rFont val="Tahoma"/>
            <family val="2"/>
          </rPr>
          <t xml:space="preserve">BookieOdds:
</t>
        </r>
        <r>
          <rPr>
            <i/>
            <sz val="8"/>
            <color rgb="FF000000"/>
            <rFont val="Tahoma"/>
            <family val="2"/>
          </rPr>
          <t xml:space="preserve">Oddsen du spilte på hos bookmaker. 
</t>
        </r>
        <r>
          <rPr>
            <i/>
            <sz val="8"/>
            <color rgb="FF000000"/>
            <rFont val="Tahoma"/>
            <family val="2"/>
          </rPr>
          <t xml:space="preserve">
</t>
        </r>
        <r>
          <rPr>
            <i/>
            <sz val="8"/>
            <color rgb="FF000000"/>
            <rFont val="Tahoma"/>
            <family val="2"/>
          </rPr>
          <t xml:space="preserve">F.eks 
</t>
        </r>
        <r>
          <rPr>
            <i/>
            <sz val="8"/>
            <color rgb="FF000000"/>
            <rFont val="Tahoma"/>
            <family val="2"/>
          </rPr>
          <t xml:space="preserve">2,5
</t>
        </r>
        <r>
          <rPr>
            <i/>
            <sz val="8"/>
            <color rgb="FF000000"/>
            <rFont val="Tahoma"/>
            <family val="2"/>
          </rPr>
          <t xml:space="preserve">3,35
</t>
        </r>
        <r>
          <rPr>
            <i/>
            <sz val="8"/>
            <color rgb="FF000000"/>
            <rFont val="Tahoma"/>
            <family val="2"/>
          </rPr>
          <t>etc.</t>
        </r>
      </text>
    </comment>
    <comment ref="J1" authorId="0" shapeId="0" xr:uid="{00000000-0006-0000-0100-000008000000}">
      <text>
        <r>
          <rPr>
            <b/>
            <i/>
            <sz val="8"/>
            <color rgb="FF000000"/>
            <rFont val="Tahoma"/>
            <family val="2"/>
          </rPr>
          <t xml:space="preserve">LayOdds:
</t>
        </r>
        <r>
          <rPr>
            <i/>
            <sz val="8"/>
            <color rgb="FF000000"/>
            <rFont val="Tahoma"/>
            <family val="2"/>
          </rPr>
          <t xml:space="preserve">Oddsen du spilte på hos Smarkets.
</t>
        </r>
        <r>
          <rPr>
            <i/>
            <sz val="8"/>
            <color rgb="FF000000"/>
            <rFont val="Tahoma"/>
            <family val="2"/>
          </rPr>
          <t xml:space="preserve">
</t>
        </r>
        <r>
          <rPr>
            <i/>
            <sz val="8"/>
            <color rgb="FF000000"/>
            <rFont val="Tahoma"/>
            <family val="2"/>
          </rPr>
          <t xml:space="preserve">F.eks 
</t>
        </r>
        <r>
          <rPr>
            <i/>
            <sz val="8"/>
            <color rgb="FF000000"/>
            <rFont val="Tahoma"/>
            <family val="2"/>
          </rPr>
          <t xml:space="preserve">2,5
</t>
        </r>
        <r>
          <rPr>
            <i/>
            <sz val="8"/>
            <color rgb="FF000000"/>
            <rFont val="Tahoma"/>
            <family val="2"/>
          </rPr>
          <t xml:space="preserve">3,35
</t>
        </r>
        <r>
          <rPr>
            <i/>
            <sz val="8"/>
            <color rgb="FF000000"/>
            <rFont val="Tahoma"/>
            <family val="2"/>
          </rPr>
          <t>etc.</t>
        </r>
      </text>
    </comment>
    <comment ref="K1" authorId="0" shapeId="0" xr:uid="{00000000-0006-0000-0100-000009000000}">
      <text>
        <r>
          <rPr>
            <b/>
            <sz val="8"/>
            <color rgb="FF000000"/>
            <rFont val="Tahoma"/>
            <family val="2"/>
          </rPr>
          <t xml:space="preserve">Bookieinnsats:
</t>
        </r>
        <r>
          <rPr>
            <sz val="8"/>
            <color rgb="FF000000"/>
            <rFont val="Tahoma"/>
            <family val="2"/>
          </rPr>
          <t xml:space="preserve">Innsatsen på spillet ditt hos bookmaker. 
</t>
        </r>
        <r>
          <rPr>
            <sz val="8"/>
            <color rgb="FF000000"/>
            <rFont val="Tahoma"/>
            <family val="2"/>
          </rPr>
          <t xml:space="preserve">
</t>
        </r>
        <r>
          <rPr>
            <sz val="8"/>
            <color rgb="FF000000"/>
            <rFont val="Tahoma"/>
            <family val="2"/>
          </rPr>
          <t xml:space="preserve">Feks
</t>
        </r>
        <r>
          <rPr>
            <sz val="8"/>
            <color rgb="FF000000"/>
            <rFont val="Tahoma"/>
            <family val="2"/>
          </rPr>
          <t xml:space="preserve">
</t>
        </r>
        <r>
          <rPr>
            <sz val="8"/>
            <color rgb="FF000000"/>
            <rFont val="Tahoma"/>
            <family val="2"/>
          </rPr>
          <t xml:space="preserve">1000
</t>
        </r>
        <r>
          <rPr>
            <sz val="8"/>
            <color rgb="FF000000"/>
            <rFont val="Tahoma"/>
            <family val="2"/>
          </rPr>
          <t xml:space="preserve">1500 
</t>
        </r>
        <r>
          <rPr>
            <sz val="8"/>
            <color rgb="FF000000"/>
            <rFont val="Tahoma"/>
            <family val="2"/>
          </rPr>
          <t xml:space="preserve">2000 
</t>
        </r>
        <r>
          <rPr>
            <sz val="8"/>
            <color rgb="FF000000"/>
            <rFont val="Tahoma"/>
            <family val="2"/>
          </rPr>
          <t>etc.</t>
        </r>
      </text>
    </comment>
    <comment ref="L1" authorId="0" shapeId="0" xr:uid="{00000000-0006-0000-0100-00000A000000}">
      <text>
        <r>
          <rPr>
            <b/>
            <sz val="8"/>
            <color rgb="FF000000"/>
            <rFont val="Tahoma"/>
            <family val="2"/>
          </rPr>
          <t xml:space="preserve">LayInnsats:
</t>
        </r>
        <r>
          <rPr>
            <sz val="8"/>
            <color rgb="FF000000"/>
            <rFont val="Calibri"/>
            <family val="2"/>
            <scheme val="minor"/>
          </rPr>
          <t xml:space="preserve">Innsatsen på spillet ditt hos Smarkets.
</t>
        </r>
        <r>
          <rPr>
            <sz val="8"/>
            <color rgb="FF000000"/>
            <rFont val="Calibri"/>
            <family val="2"/>
            <scheme val="minor"/>
          </rPr>
          <t xml:space="preserve"> </t>
        </r>
        <r>
          <rPr>
            <sz val="8"/>
            <color rgb="FF000000"/>
            <rFont val="Calibri"/>
            <family val="2"/>
            <scheme val="minor"/>
          </rPr>
          <t xml:space="preserve">
</t>
        </r>
        <r>
          <rPr>
            <sz val="8"/>
            <color rgb="FF000000"/>
            <rFont val="Calibri"/>
            <family val="2"/>
            <scheme val="minor"/>
          </rPr>
          <t>Feks</t>
        </r>
        <r>
          <rPr>
            <sz val="8"/>
            <color rgb="FF000000"/>
            <rFont val="Calibri"/>
            <family val="2"/>
            <scheme val="minor"/>
          </rPr>
          <t xml:space="preserve">
</t>
        </r>
        <r>
          <rPr>
            <sz val="8"/>
            <color rgb="FF000000"/>
            <rFont val="Calibri"/>
            <family val="2"/>
            <scheme val="minor"/>
          </rPr>
          <t>1000</t>
        </r>
        <r>
          <rPr>
            <sz val="8"/>
            <color rgb="FF000000"/>
            <rFont val="Calibri"/>
            <family val="2"/>
            <scheme val="minor"/>
          </rPr>
          <t xml:space="preserve">
</t>
        </r>
        <r>
          <rPr>
            <sz val="8"/>
            <color rgb="FF000000"/>
            <rFont val="Calibri"/>
            <family val="2"/>
            <scheme val="minor"/>
          </rPr>
          <t xml:space="preserve">1500 </t>
        </r>
        <r>
          <rPr>
            <sz val="8"/>
            <color rgb="FF000000"/>
            <rFont val="Calibri"/>
            <family val="2"/>
            <scheme val="minor"/>
          </rPr>
          <t xml:space="preserve">
</t>
        </r>
        <r>
          <rPr>
            <sz val="8"/>
            <color rgb="FF000000"/>
            <rFont val="Calibri"/>
            <family val="2"/>
            <scheme val="minor"/>
          </rPr>
          <t xml:space="preserve">2000 </t>
        </r>
        <r>
          <rPr>
            <sz val="8"/>
            <color rgb="FF000000"/>
            <rFont val="Calibri"/>
            <family val="2"/>
            <scheme val="minor"/>
          </rPr>
          <t xml:space="preserve">
</t>
        </r>
        <r>
          <rPr>
            <sz val="8"/>
            <color rgb="FF000000"/>
            <rFont val="Calibri"/>
            <family val="2"/>
            <scheme val="minor"/>
          </rPr>
          <t>etc.</t>
        </r>
      </text>
    </comment>
    <comment ref="M1" authorId="0" shapeId="0" xr:uid="{00000000-0006-0000-0100-00000B000000}">
      <text>
        <r>
          <rPr>
            <b/>
            <sz val="8"/>
            <color rgb="FF000000"/>
            <rFont val="Tahoma"/>
            <family val="2"/>
          </rPr>
          <t xml:space="preserve">LayLiability:
</t>
        </r>
        <r>
          <rPr>
            <i/>
            <sz val="8"/>
            <color rgb="FF000000"/>
            <rFont val="Tahoma"/>
            <family val="2"/>
          </rPr>
          <t>Liability hos Smarkets. Automatisk utregnet. Sjekk spilloversikt hos Smarkets. Tallet der skal være ca. likt.</t>
        </r>
      </text>
    </comment>
    <comment ref="N1" authorId="0" shapeId="0" xr:uid="{00000000-0006-0000-0100-00000C000000}">
      <text>
        <r>
          <rPr>
            <b/>
            <i/>
            <sz val="8"/>
            <color indexed="81"/>
            <rFont val="Tahoma"/>
            <family val="2"/>
          </rPr>
          <t xml:space="preserve">Arb%
</t>
        </r>
        <r>
          <rPr>
            <i/>
            <sz val="8"/>
            <color indexed="81"/>
            <rFont val="Tahoma"/>
            <family val="2"/>
          </rPr>
          <t>The average arb% with commission deducted</t>
        </r>
      </text>
    </comment>
    <comment ref="O1" authorId="0" shapeId="0" xr:uid="{03B9209D-0656-6546-B650-73D9E493F39C}">
      <text>
        <r>
          <rPr>
            <b/>
            <sz val="8"/>
            <color rgb="FF000000"/>
            <rFont val="Tahoma"/>
            <family val="2"/>
          </rPr>
          <t xml:space="preserve">Utfall bookie:
</t>
        </r>
        <r>
          <rPr>
            <sz val="8"/>
            <color rgb="FF000000"/>
            <rFont val="Tahoma"/>
            <family val="2"/>
          </rPr>
          <t xml:space="preserve">Tap = </t>
        </r>
        <r>
          <rPr>
            <i/>
            <sz val="8"/>
            <color rgb="FF000000"/>
            <rFont val="Tahoma"/>
            <family val="2"/>
          </rPr>
          <t>Lose</t>
        </r>
        <r>
          <rPr>
            <sz val="8"/>
            <color rgb="FF000000"/>
            <rFont val="Tahoma"/>
            <family val="2"/>
          </rPr>
          <t xml:space="preserve">
</t>
        </r>
        <r>
          <rPr>
            <sz val="8"/>
            <color rgb="FF000000"/>
            <rFont val="Tahoma"/>
            <family val="2"/>
          </rPr>
          <t xml:space="preserve">Gevinst = </t>
        </r>
        <r>
          <rPr>
            <i/>
            <sz val="8"/>
            <color rgb="FF000000"/>
            <rFont val="Tahoma"/>
            <family val="2"/>
          </rPr>
          <t xml:space="preserve">Win
</t>
        </r>
        <r>
          <rPr>
            <sz val="8"/>
            <color rgb="FF000000"/>
            <rFont val="Tahoma"/>
            <family val="2"/>
          </rPr>
          <t xml:space="preserve">
</t>
        </r>
      </text>
    </comment>
    <comment ref="P1" authorId="0" shapeId="0" xr:uid="{7703A61A-D3E8-F64E-B21B-BD5114BB4DC1}">
      <text>
        <r>
          <rPr>
            <b/>
            <sz val="8"/>
            <color rgb="FF000000"/>
            <rFont val="Calibri"/>
            <family val="2"/>
            <scheme val="minor"/>
          </rPr>
          <t>Utfall lay:</t>
        </r>
        <r>
          <rPr>
            <sz val="8"/>
            <color rgb="FF000000"/>
            <rFont val="Calibri"/>
            <family val="2"/>
            <scheme val="minor"/>
          </rPr>
          <t xml:space="preserve">
</t>
        </r>
        <r>
          <rPr>
            <sz val="8"/>
            <color rgb="FF000000"/>
            <rFont val="Calibri"/>
            <family val="2"/>
            <scheme val="minor"/>
          </rPr>
          <t xml:space="preserve">Tap = </t>
        </r>
        <r>
          <rPr>
            <i/>
            <sz val="8"/>
            <color rgb="FF000000"/>
            <rFont val="Calibri"/>
            <family val="2"/>
            <scheme val="minor"/>
          </rPr>
          <t>Lose</t>
        </r>
        <r>
          <rPr>
            <sz val="8"/>
            <color rgb="FF000000"/>
            <rFont val="Calibri"/>
            <family val="2"/>
            <scheme val="minor"/>
          </rPr>
          <t xml:space="preserve">
</t>
        </r>
        <r>
          <rPr>
            <sz val="8"/>
            <color rgb="FF000000"/>
            <rFont val="Calibri"/>
            <family val="2"/>
            <scheme val="minor"/>
          </rPr>
          <t xml:space="preserve">Gevinst = </t>
        </r>
        <r>
          <rPr>
            <i/>
            <sz val="8"/>
            <color rgb="FF000000"/>
            <rFont val="Calibri"/>
            <family val="2"/>
            <scheme val="minor"/>
          </rPr>
          <t>Win</t>
        </r>
      </text>
    </comment>
    <comment ref="Q1" authorId="0" shapeId="0" xr:uid="{00000000-0006-0000-0100-00000D000000}">
      <text>
        <r>
          <rPr>
            <b/>
            <sz val="8"/>
            <color rgb="FF000000"/>
            <rFont val="Tahoma"/>
            <family val="2"/>
          </rPr>
          <t xml:space="preserve">Total innsats:
</t>
        </r>
        <r>
          <rPr>
            <i/>
            <sz val="8"/>
            <color rgb="FF000000"/>
            <rFont val="Tahoma"/>
            <family val="2"/>
          </rPr>
          <t>Summen av bookieInnsats og LayLiability.</t>
        </r>
      </text>
    </comment>
    <comment ref="R1" authorId="0" shapeId="0" xr:uid="{00000000-0006-0000-0100-00000E000000}">
      <text>
        <r>
          <rPr>
            <b/>
            <sz val="8"/>
            <color indexed="81"/>
            <rFont val="Tahoma"/>
            <family val="2"/>
          </rPr>
          <t xml:space="preserve">Rback:
</t>
        </r>
        <r>
          <rPr>
            <i/>
            <sz val="8"/>
            <color indexed="81"/>
            <rFont val="Tahoma"/>
            <family val="2"/>
          </rPr>
          <t>The possible result if the Back-bet hits.</t>
        </r>
      </text>
    </comment>
    <comment ref="S1" authorId="0" shapeId="0" xr:uid="{00000000-0006-0000-0100-00000F000000}">
      <text>
        <r>
          <rPr>
            <b/>
            <sz val="8"/>
            <color indexed="81"/>
            <rFont val="Tahoma"/>
            <family val="2"/>
          </rPr>
          <t xml:space="preserve">Rlay:
</t>
        </r>
        <r>
          <rPr>
            <i/>
            <sz val="8"/>
            <color indexed="81"/>
            <rFont val="Tahoma"/>
            <family val="2"/>
          </rPr>
          <t>The possible result if the Lay-bet hits.</t>
        </r>
      </text>
    </comment>
    <comment ref="T1" authorId="0" shapeId="0" xr:uid="{00000000-0006-0000-0100-000010000000}">
      <text>
        <r>
          <rPr>
            <b/>
            <sz val="8"/>
            <color rgb="FF000000"/>
            <rFont val="Tahoma"/>
            <family val="2"/>
          </rPr>
          <t xml:space="preserve">Faktisk resultat
</t>
        </r>
        <r>
          <rPr>
            <i/>
            <sz val="8"/>
            <color rgb="FF000000"/>
            <rFont val="Tahoma"/>
            <family val="2"/>
          </rPr>
          <t>Gevinst på dette spillet. (Utfall-cellene må fylles ut). Sannsynligvis et negativt tall, ettersom oddsen hos bookie ofte er dårligere enn hos Smarkets.</t>
        </r>
      </text>
    </comment>
    <comment ref="W1" authorId="0" shapeId="0" xr:uid="{00000000-0006-0000-0100-000011000000}">
      <text>
        <r>
          <rPr>
            <b/>
            <sz val="8"/>
            <color indexed="81"/>
            <rFont val="Tahoma"/>
            <family val="2"/>
          </rPr>
          <t xml:space="preserve">% if back
</t>
        </r>
        <r>
          <rPr>
            <i/>
            <sz val="8"/>
            <color indexed="81"/>
            <rFont val="Tahoma"/>
            <family val="2"/>
          </rPr>
          <t>The possible result in % if the back-bet hits.</t>
        </r>
      </text>
    </comment>
    <comment ref="X1" authorId="0" shapeId="0" xr:uid="{00000000-0006-0000-0100-000012000000}">
      <text>
        <r>
          <rPr>
            <b/>
            <sz val="8"/>
            <color indexed="81"/>
            <rFont val="Tahoma"/>
            <family val="2"/>
          </rPr>
          <t xml:space="preserve">% if lay
</t>
        </r>
        <r>
          <rPr>
            <i/>
            <sz val="8"/>
            <color indexed="81"/>
            <rFont val="Tahoma"/>
            <family val="2"/>
          </rPr>
          <t>The possible result in % if the lay-bet hits.</t>
        </r>
      </text>
    </comment>
    <comment ref="Y1" authorId="0" shapeId="0" xr:uid="{00000000-0006-0000-0100-000013000000}">
      <text>
        <r>
          <rPr>
            <b/>
            <sz val="8"/>
            <color rgb="FF000000"/>
            <rFont val="Tahoma"/>
            <family val="2"/>
          </rPr>
          <t xml:space="preserve">% Gevinst
</t>
        </r>
        <r>
          <rPr>
            <i/>
            <sz val="8"/>
            <color rgb="FF000000"/>
            <rFont val="Tahoma"/>
            <family val="2"/>
          </rPr>
          <t>Den faktiske % gevinst av dette spillet. Ikke veldig viktig.</t>
        </r>
      </text>
    </comment>
    <comment ref="AB1" authorId="0" shapeId="0" xr:uid="{00000000-0006-0000-0100-000014000000}">
      <text>
        <r>
          <rPr>
            <b/>
            <sz val="8"/>
            <color indexed="81"/>
            <rFont val="Tahoma"/>
            <family val="2"/>
          </rPr>
          <t xml:space="preserve">Running Result
</t>
        </r>
        <r>
          <rPr>
            <i/>
            <sz val="8"/>
            <color indexed="81"/>
            <rFont val="Tahoma"/>
            <family val="2"/>
          </rPr>
          <t>The running result of the ArbBook</t>
        </r>
      </text>
    </comment>
    <comment ref="AE1" authorId="0" shapeId="0" xr:uid="{4DF89B05-1B34-D74C-9AA4-88A25FDDA3F8}">
      <text>
        <r>
          <rPr>
            <b/>
            <sz val="10"/>
            <color rgb="FF000000"/>
            <rFont val="Tahoma"/>
            <family val="2"/>
          </rPr>
          <t xml:space="preserve">Kommentarer:
</t>
        </r>
        <r>
          <rPr>
            <sz val="8"/>
            <color rgb="FF000000"/>
            <rFont val="Tahoma"/>
            <family val="2"/>
          </rPr>
          <t>Her kan du legge inn hva du vil, om det var noen kommentarer eller bemerkninger du vil huske til en annen gang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8"/>
            <color rgb="FF000000"/>
            <rFont val="Tahoma"/>
            <family val="2"/>
          </rPr>
          <t xml:space="preserve">Bookie
</t>
        </r>
        <r>
          <rPr>
            <i/>
            <sz val="8"/>
            <color rgb="FF000000"/>
            <rFont val="Tahoma"/>
            <family val="2"/>
          </rPr>
          <t xml:space="preserve">
</t>
        </r>
        <r>
          <rPr>
            <i/>
            <sz val="8"/>
            <color rgb="FF000000"/>
            <rFont val="Tahoma"/>
            <family val="2"/>
          </rPr>
          <t>Ikke legg til nye bookmakere her. Bruk  tabellen i "BookieNavn" for å legge til nye bookmakere i denne listen.</t>
        </r>
      </text>
    </comment>
    <comment ref="B1" authorId="0" shapeId="0" xr:uid="{00000000-0006-0000-0000-000002000000}">
      <text>
        <r>
          <rPr>
            <b/>
            <sz val="8"/>
            <color rgb="FF000000"/>
            <rFont val="Tahoma"/>
            <family val="2"/>
          </rPr>
          <t xml:space="preserve">Saldo
</t>
        </r>
        <r>
          <rPr>
            <i/>
            <sz val="8"/>
            <color rgb="FF000000"/>
            <rFont val="Tahoma"/>
            <family val="2"/>
          </rPr>
          <t>Din saldo hos aktuelle bookies.</t>
        </r>
      </text>
    </comment>
    <comment ref="C1" authorId="0" shapeId="0" xr:uid="{00000000-0006-0000-0000-000003000000}">
      <text>
        <r>
          <rPr>
            <b/>
            <sz val="8"/>
            <color rgb="FF000000"/>
            <rFont val="Tahoma"/>
            <family val="2"/>
          </rPr>
          <t xml:space="preserve">% 
</t>
        </r>
        <r>
          <rPr>
            <sz val="8"/>
            <color rgb="FF000000"/>
            <rFont val="Tahoma"/>
            <family val="2"/>
          </rPr>
          <t>Prosent av total bankrulle hos bookie.</t>
        </r>
      </text>
    </comment>
    <comment ref="D1" authorId="0" shapeId="0" xr:uid="{F96D5CB3-A202-0542-B541-394B9D93E478}">
      <text>
        <r>
          <rPr>
            <b/>
            <sz val="10"/>
            <color rgb="FF000000"/>
            <rFont val="Tahoma"/>
            <family val="2"/>
          </rPr>
          <t xml:space="preserve">In-play:
</t>
        </r>
        <r>
          <rPr>
            <sz val="8"/>
            <color rgb="FF000000"/>
            <rFont val="Tahoma"/>
            <family val="2"/>
          </rPr>
          <t xml:space="preserve">Summen av spill du har in-play, altså som ikke ennå er avgjort
</t>
        </r>
      </text>
    </comment>
    <comment ref="I1" authorId="0" shapeId="0" xr:uid="{00000000-0006-0000-0000-000004000000}">
      <text>
        <r>
          <rPr>
            <b/>
            <sz val="8"/>
            <color rgb="FF000000"/>
            <rFont val="Tahoma"/>
            <family val="2"/>
          </rPr>
          <t xml:space="preserve">%
</t>
        </r>
        <r>
          <rPr>
            <i/>
            <sz val="8"/>
            <color rgb="FF000000"/>
            <rFont val="Tahoma"/>
            <family val="2"/>
          </rPr>
          <t>Summen i % av total bankrulle.</t>
        </r>
      </text>
    </comment>
    <comment ref="G2" authorId="0" shapeId="0" xr:uid="{00000000-0006-0000-0000-000005000000}">
      <text>
        <r>
          <rPr>
            <b/>
            <sz val="8"/>
            <color rgb="FF000000"/>
            <rFont val="Tahoma"/>
            <family val="2"/>
          </rPr>
          <t xml:space="preserve">Total Inn/Ut
</t>
        </r>
        <r>
          <rPr>
            <i/>
            <sz val="8"/>
            <color rgb="FF000000"/>
            <rFont val="Tahoma"/>
            <family val="2"/>
          </rPr>
          <t>Til og fra total bankrulle. Negativt tall viser at du har tatt ut mer enn du har satt inn. Altså overskudd realisert.</t>
        </r>
      </text>
    </comment>
    <comment ref="G3" authorId="0" shapeId="0" xr:uid="{00000000-0006-0000-0000-000006000000}">
      <text>
        <r>
          <rPr>
            <b/>
            <sz val="8"/>
            <color rgb="FF000000"/>
            <rFont val="Tahoma"/>
            <family val="2"/>
          </rPr>
          <t xml:space="preserve">Total in Play
</t>
        </r>
        <r>
          <rPr>
            <i/>
            <sz val="8"/>
            <color rgb="FF000000"/>
            <rFont val="Tahoma"/>
            <family val="2"/>
          </rPr>
          <t>Summen som er "in play" hos bookies, hvis du ikke har fylt inn "utfall" under "Spill"-fanen.</t>
        </r>
      </text>
    </comment>
    <comment ref="G4" authorId="0" shapeId="0" xr:uid="{00000000-0006-0000-0000-000007000000}">
      <text>
        <r>
          <rPr>
            <b/>
            <sz val="8"/>
            <color rgb="FF000000"/>
            <rFont val="Tahoma"/>
            <family val="2"/>
          </rPr>
          <t xml:space="preserve">Total Bonuser
</t>
        </r>
        <r>
          <rPr>
            <i/>
            <sz val="8"/>
            <color rgb="FF000000"/>
            <rFont val="Tahoma"/>
            <family val="2"/>
          </rPr>
          <t>Summen av alle bonuser under den tredje tabellen i "Penger"-fanen.</t>
        </r>
      </text>
    </comment>
    <comment ref="G5" authorId="0" shapeId="0" xr:uid="{B9F5A88E-25EA-4F63-A081-904EF1F9AF2B}">
      <text>
        <r>
          <rPr>
            <b/>
            <sz val="9"/>
            <color rgb="FF000000"/>
            <rFont val="Tahoma"/>
            <family val="2"/>
          </rPr>
          <t xml:space="preserve">Totale gevinster fra gratisspill. </t>
        </r>
        <r>
          <rPr>
            <sz val="8"/>
            <color rgb="FF000000"/>
            <rFont val="Tahoma"/>
            <family val="2"/>
          </rPr>
          <t>Man må skrive "Gratisspill" i kommentar kolonnen i "Spill" arket for at det skal bli registrert.</t>
        </r>
      </text>
    </comment>
    <comment ref="G6" authorId="0" shapeId="0" xr:uid="{00000000-0006-0000-0000-000008000000}">
      <text>
        <r>
          <rPr>
            <b/>
            <sz val="8"/>
            <color rgb="FF000000"/>
            <rFont val="Tahoma"/>
            <family val="2"/>
          </rPr>
          <t xml:space="preserve">Tap under omsetning
</t>
        </r>
        <r>
          <rPr>
            <i/>
            <sz val="8"/>
            <color rgb="FF000000"/>
            <rFont val="Tahoma"/>
            <family val="2"/>
          </rPr>
          <t>Total sum av det du har tapt under omsetning.</t>
        </r>
      </text>
    </comment>
    <comment ref="G7" authorId="0" shapeId="0" xr:uid="{00000000-0006-0000-0000-000009000000}">
      <text>
        <r>
          <rPr>
            <b/>
            <sz val="8"/>
            <color rgb="FF000000"/>
            <rFont val="Tahoma"/>
            <family val="2"/>
          </rPr>
          <t xml:space="preserve">Total Bankrulle
</t>
        </r>
        <r>
          <rPr>
            <i/>
            <sz val="8"/>
            <color rgb="FF000000"/>
            <rFont val="Tahoma"/>
            <family val="2"/>
          </rPr>
          <t xml:space="preserve">Din totale bankrulle.
</t>
        </r>
        <r>
          <rPr>
            <i/>
            <sz val="8"/>
            <color rgb="FF000000"/>
            <rFont val="Tahoma"/>
            <family val="2"/>
          </rPr>
          <t xml:space="preserve">
</t>
        </r>
        <r>
          <rPr>
            <i/>
            <sz val="8"/>
            <color rgb="FF000000"/>
            <rFont val="Tahoma"/>
            <family val="2"/>
          </rPr>
          <t>Inn/Ut + bankrulle + total saldo hos bookies (inkl. in play) + bonuser + tap under omsetning.</t>
        </r>
      </text>
    </comment>
    <comment ref="G10" authorId="0" shapeId="0" xr:uid="{00000000-0006-0000-0000-00000A000000}">
      <text>
        <r>
          <rPr>
            <b/>
            <sz val="8"/>
            <color rgb="FF000000"/>
            <rFont val="Tahoma"/>
            <family val="2"/>
          </rPr>
          <t xml:space="preserve">Total saldo hos bookies
</t>
        </r>
        <r>
          <rPr>
            <i/>
            <sz val="8"/>
            <color rgb="FF000000"/>
            <rFont val="Tahoma"/>
            <family val="2"/>
          </rPr>
          <t>Summen du har hos bookies.</t>
        </r>
      </text>
    </comment>
    <comment ref="G11" authorId="0" shapeId="0" xr:uid="{00000000-0006-0000-0000-00000B000000}">
      <text>
        <r>
          <rPr>
            <b/>
            <sz val="8"/>
            <color rgb="FF000000"/>
            <rFont val="Tahoma"/>
            <family val="2"/>
          </rPr>
          <t xml:space="preserve">Skrill
</t>
        </r>
        <r>
          <rPr>
            <i/>
            <sz val="8"/>
            <color rgb="FF000000"/>
            <rFont val="Tahoma"/>
            <family val="2"/>
          </rPr>
          <t xml:space="preserve">Totalsummen av bankrullen som IKKE er satt inn hos bookies eller Smarkets.
</t>
        </r>
        <r>
          <rPr>
            <i/>
            <sz val="8"/>
            <color rgb="FF000000"/>
            <rFont val="Tahoma"/>
            <family val="2"/>
          </rPr>
          <t xml:space="preserve">
</t>
        </r>
        <r>
          <rPr>
            <i/>
            <sz val="8"/>
            <color rgb="FF000000"/>
            <rFont val="Tahoma"/>
            <family val="2"/>
          </rPr>
          <t xml:space="preserve">Dersom du bruker Skrill er dette summen du har der. 
</t>
        </r>
        <r>
          <rPr>
            <i/>
            <sz val="8"/>
            <color rgb="FF000000"/>
            <rFont val="Tahoma"/>
            <family val="2"/>
          </rPr>
          <t xml:space="preserve">
</t>
        </r>
        <r>
          <rPr>
            <i/>
            <sz val="8"/>
            <color rgb="FF000000"/>
            <rFont val="Tahoma"/>
            <family val="2"/>
          </rPr>
          <t>For uttak/innskudd bruk tabell 2 (midterste tabell) under "Penger"-fanen.</t>
        </r>
      </text>
    </comment>
    <comment ref="G16" authorId="0" shapeId="0" xr:uid="{B2A52002-54CE-5C45-9B60-543BAF95BC0C}">
      <text>
        <r>
          <rPr>
            <b/>
            <sz val="10"/>
            <color rgb="FF000000"/>
            <rFont val="Tahoma"/>
            <family val="2"/>
          </rPr>
          <t xml:space="preserve">Gevinst:
</t>
        </r>
        <r>
          <rPr>
            <sz val="8"/>
            <color rgb="FF000000"/>
            <rFont val="Tahoma"/>
            <family val="2"/>
          </rPr>
          <t xml:space="preserve">Viser Bonuser minus tap under omsetning. Hvor mye du har tjent på bonusene dine. Sum i kr og gevinst i %.
</t>
        </r>
        <r>
          <rPr>
            <sz val="8"/>
            <color rgb="FF000000"/>
            <rFont val="Tahoma"/>
            <family val="2"/>
          </rPr>
          <t xml:space="preserve">
</t>
        </r>
        <r>
          <rPr>
            <sz val="8"/>
            <color rgb="FF000000"/>
            <rFont val="Tahoma"/>
            <family val="2"/>
          </rPr>
          <t xml:space="preserve">Her bør du ligge på ca 85% over tid. Over 90% er veldig bra. Under 75% er dårlig.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300-000001000000}">
      <text>
        <r>
          <rPr>
            <b/>
            <sz val="8"/>
            <color indexed="81"/>
            <rFont val="Tahoma"/>
            <family val="2"/>
          </rPr>
          <t xml:space="preserve">Outcome dropdown
</t>
        </r>
        <r>
          <rPr>
            <i/>
            <sz val="8"/>
            <color indexed="81"/>
            <rFont val="Tahoma"/>
            <family val="2"/>
          </rPr>
          <t>Dropdown lists minimizes the risk of misstyping in the ArbLog</t>
        </r>
      </text>
    </comment>
    <comment ref="D1" authorId="0" shapeId="0" xr:uid="{00000000-0006-0000-0300-000002000000}">
      <text>
        <r>
          <rPr>
            <b/>
            <sz val="8"/>
            <color rgb="FF000000"/>
            <rFont val="Tahoma"/>
            <family val="2"/>
          </rPr>
          <t xml:space="preserve">Sport dropdown
</t>
        </r>
        <r>
          <rPr>
            <i/>
            <sz val="8"/>
            <color rgb="FF000000"/>
            <rFont val="Tahoma"/>
            <family val="2"/>
          </rPr>
          <t>Add new sports below (replace XX with new abbreviation)</t>
        </r>
      </text>
    </comment>
    <comment ref="H1" authorId="0" shapeId="0" xr:uid="{00000000-0006-0000-0300-000003000000}">
      <text>
        <r>
          <rPr>
            <b/>
            <sz val="8"/>
            <color rgb="FF000000"/>
            <rFont val="Tahoma"/>
            <family val="2"/>
          </rPr>
          <t xml:space="preserve">Legg til nye bookmakere: 
</t>
        </r>
        <r>
          <rPr>
            <i/>
            <sz val="8"/>
            <color rgb="FF000000"/>
            <rFont val="Tahoma"/>
            <family val="2"/>
          </rPr>
          <t xml:space="preserve">Legg til nye bookmakere under. "Bookie"-kolonnen er navnet du må bruke når du logger spill. </t>
        </r>
      </text>
    </comment>
    <comment ref="I1" authorId="0" shapeId="0" xr:uid="{00000000-0006-0000-0300-000004000000}">
      <text>
        <r>
          <rPr>
            <b/>
            <sz val="8"/>
            <color rgb="FF000000"/>
            <rFont val="Tahoma"/>
            <family val="34"/>
          </rPr>
          <t xml:space="preserve">Legg til nye bookmakere: </t>
        </r>
        <r>
          <rPr>
            <sz val="1"/>
            <color rgb="FF000000"/>
            <rFont val="Tahoma"/>
            <family val="34"/>
          </rPr>
          <t xml:space="preserve">
</t>
        </r>
        <r>
          <rPr>
            <i/>
            <sz val="8"/>
            <color rgb="FF000000"/>
            <rFont val="Tahoma"/>
            <family val="34"/>
          </rPr>
          <t xml:space="preserve">Legg til nye bookmakere under. "Bookie"-kolonnen er navnet du må bruke når du logger spill. </t>
        </r>
      </text>
    </comment>
    <comment ref="E9" authorId="0" shapeId="0" xr:uid="{00000000-0006-0000-0300-000005000000}">
      <text>
        <r>
          <rPr>
            <b/>
            <sz val="8"/>
            <color rgb="FF000000"/>
            <rFont val="Tahoma"/>
            <family val="2"/>
          </rPr>
          <t xml:space="preserve">Legg til ny sport:
</t>
        </r>
        <r>
          <rPr>
            <i/>
            <sz val="8"/>
            <color rgb="FF000000"/>
            <rFont val="Tahoma"/>
            <family val="2"/>
          </rPr>
          <t xml:space="preserve">Skriv inn forkortelse til venstre og navnet på sporten til høyre.
</t>
        </r>
        <r>
          <rPr>
            <i/>
            <sz val="8"/>
            <color rgb="FF000000"/>
            <rFont val="Tahoma"/>
            <family val="2"/>
          </rPr>
          <t xml:space="preserve">
</t>
        </r>
        <r>
          <rPr>
            <i/>
            <sz val="8"/>
            <color rgb="FF000000"/>
            <rFont val="Tahoma"/>
            <family val="2"/>
          </rPr>
          <t>F.eks "FB" i venstre og "fotball"  i høyre.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A5C2B2E9-70E8-475B-9A91-41D7B83AC609}">
      <text>
        <r>
          <rPr>
            <b/>
            <sz val="9"/>
            <color indexed="81"/>
            <rFont val="Tahoma"/>
            <family val="2"/>
          </rPr>
          <t>Author:</t>
        </r>
        <r>
          <rPr>
            <sz val="9"/>
            <color indexed="81"/>
            <rFont val="Tahoma"/>
            <family val="2"/>
          </rPr>
          <t xml:space="preserve">
Summerer all bonus fra en gitt dato fra 'Penger' arket.</t>
        </r>
      </text>
    </comment>
    <comment ref="C1" authorId="0" shapeId="0" xr:uid="{FB3C8A54-B79F-4F0A-9BAF-5B0A5C0B52B4}">
      <text>
        <r>
          <rPr>
            <b/>
            <sz val="9"/>
            <color indexed="81"/>
            <rFont val="Tahoma"/>
            <family val="2"/>
          </rPr>
          <t>Author:</t>
        </r>
        <r>
          <rPr>
            <sz val="9"/>
            <color indexed="81"/>
            <rFont val="Tahoma"/>
            <family val="2"/>
          </rPr>
          <t xml:space="preserve">
Summerer all 'Faktisk Resultat' fra 'Spill' arket.</t>
        </r>
      </text>
    </comment>
    <comment ref="E1" authorId="0" shapeId="0" xr:uid="{8269BF97-93E6-424B-AB22-DA054A8DBB4C}">
      <text>
        <r>
          <rPr>
            <b/>
            <sz val="9"/>
            <color indexed="81"/>
            <rFont val="Tahoma"/>
            <family val="2"/>
          </rPr>
          <t>Author:</t>
        </r>
        <r>
          <rPr>
            <sz val="9"/>
            <color indexed="81"/>
            <rFont val="Tahoma"/>
            <family val="2"/>
          </rPr>
          <t xml:space="preserve">
Kummulativ sum av forjeneste. Sum forrige dag + netto denne dag. Brukt for graf.</t>
        </r>
      </text>
    </comment>
    <comment ref="H2" authorId="0" shapeId="0" xr:uid="{A2F0EEB2-7631-4A6A-B3C8-865F21330FEB}">
      <text>
        <r>
          <rPr>
            <b/>
            <sz val="9"/>
            <color indexed="81"/>
            <rFont val="Tahoma"/>
            <family val="2"/>
          </rPr>
          <t>Author:</t>
        </r>
        <r>
          <rPr>
            <sz val="9"/>
            <color indexed="81"/>
            <rFont val="Tahoma"/>
            <family val="2"/>
          </rPr>
          <t xml:space="preserve">
Hver måned er skrevet som første dag for den måneden. Januar er 01-01-2019. Visningsformat er satt til 'mmmm' som skriver ut måneden.</t>
        </r>
      </text>
    </comment>
    <comment ref="I2" authorId="0" shapeId="0" xr:uid="{E6F50EE4-D4B8-47A2-B663-16692DD85EC7}">
      <text>
        <r>
          <rPr>
            <b/>
            <sz val="9"/>
            <color indexed="81"/>
            <rFont val="Tahoma"/>
            <family val="2"/>
          </rPr>
          <t>Author:</t>
        </r>
        <r>
          <rPr>
            <sz val="9"/>
            <color indexed="81"/>
            <rFont val="Tahoma"/>
            <family val="2"/>
          </rPr>
          <t xml:space="preserve">
Summerer all bonus fra 'Penger' arket mellom starten og slutten av måneden.</t>
        </r>
      </text>
    </comment>
    <comment ref="J2" authorId="0" shapeId="0" xr:uid="{0DB1FB11-1802-4D46-84B2-32C6EEB48FC2}">
      <text>
        <r>
          <rPr>
            <b/>
            <sz val="9"/>
            <color indexed="81"/>
            <rFont val="Tahoma"/>
            <family val="2"/>
          </rPr>
          <t>Author:</t>
        </r>
        <r>
          <rPr>
            <sz val="9"/>
            <color indexed="81"/>
            <rFont val="Tahoma"/>
            <family val="2"/>
          </rPr>
          <t xml:space="preserve">
Summerer all 'FaktiskResultat' fra 'Spill' arket mellom starten og slutten av måneden.</t>
        </r>
      </text>
    </comment>
    <comment ref="K2" authorId="0" shapeId="0" xr:uid="{C0453D64-722B-4C90-B22C-8029FF73F449}">
      <text>
        <r>
          <rPr>
            <b/>
            <sz val="9"/>
            <color indexed="81"/>
            <rFont val="Tahoma"/>
            <family val="2"/>
          </rPr>
          <t>Author:</t>
        </r>
        <r>
          <rPr>
            <sz val="9"/>
            <color indexed="81"/>
            <rFont val="Tahoma"/>
            <family val="2"/>
          </rPr>
          <t xml:space="preserve">
Sum av bonus + bets. Brukt for stolpediagram.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9" authorId="0" shapeId="0" xr:uid="{00000000-0006-0000-1000-000001000000}">
      <text>
        <r>
          <rPr>
            <b/>
            <sz val="8"/>
            <color rgb="FF000000"/>
            <rFont val="Tahoma"/>
            <family val="2"/>
          </rPr>
          <t xml:space="preserve">Eksempel:
</t>
        </r>
        <r>
          <rPr>
            <sz val="8"/>
            <color rgb="FF000000"/>
            <rFont val="Tahoma"/>
            <family val="2"/>
          </rPr>
          <t>Dette er et eksempel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3" authorId="0" shapeId="0" xr:uid="{00000000-0006-0000-0400-000001000000}">
      <text>
        <r>
          <rPr>
            <b/>
            <sz val="8"/>
            <color indexed="81"/>
            <rFont val="Tahoma"/>
            <family val="2"/>
          </rPr>
          <t xml:space="preserve">Balance
</t>
        </r>
        <r>
          <rPr>
            <i/>
            <sz val="8"/>
            <color indexed="81"/>
            <rFont val="Tahoma"/>
            <family val="2"/>
          </rPr>
          <t>The balance at the specific bookie</t>
        </r>
      </text>
    </comment>
    <comment ref="D3" authorId="0" shapeId="0" xr:uid="{00000000-0006-0000-0400-000002000000}">
      <text>
        <r>
          <rPr>
            <b/>
            <sz val="8"/>
            <color indexed="81"/>
            <rFont val="Tahoma"/>
            <family val="2"/>
          </rPr>
          <t xml:space="preserve">Deposits &amp; Withdrawals
</t>
        </r>
        <r>
          <rPr>
            <i/>
            <sz val="8"/>
            <color indexed="81"/>
            <rFont val="Tahoma"/>
            <family val="2"/>
          </rPr>
          <t>Total of deposits-withdrawals for specific bookie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E00-000001000000}">
      <text>
        <r>
          <rPr>
            <b/>
            <sz val="8"/>
            <color indexed="81"/>
            <rFont val="Tahoma"/>
            <family val="2"/>
          </rPr>
          <t xml:space="preserve">Date
</t>
        </r>
        <r>
          <rPr>
            <sz val="8"/>
            <color indexed="81"/>
            <rFont val="Tahoma"/>
            <family val="2"/>
          </rPr>
          <t>The date when arb was placed.
NOTE: In order for the MonthStats tab to display correct stats, these cells must be formatted like:
YYMMDD</t>
        </r>
      </text>
    </comment>
    <comment ref="B1" authorId="0" shapeId="0" xr:uid="{00000000-0006-0000-0E00-000002000000}">
      <text>
        <r>
          <rPr>
            <b/>
            <sz val="8"/>
            <color indexed="81"/>
            <rFont val="Tahoma"/>
            <family val="2"/>
          </rPr>
          <t xml:space="preserve">Sport
</t>
        </r>
        <r>
          <rPr>
            <i/>
            <sz val="8"/>
            <color indexed="81"/>
            <rFont val="Tahoma"/>
            <family val="2"/>
          </rPr>
          <t>Type of sport</t>
        </r>
        <r>
          <rPr>
            <sz val="8"/>
            <color indexed="81"/>
            <rFont val="Tahoma"/>
            <family val="2"/>
          </rPr>
          <t xml:space="preserve">
BB = Basketball
TE = Tennis
FB = Football (Soccer)
RU = Rugby
AF = American Football
HO = Hockey</t>
        </r>
      </text>
    </comment>
    <comment ref="C1" authorId="0" shapeId="0" xr:uid="{00000000-0006-0000-0E00-000003000000}">
      <text>
        <r>
          <rPr>
            <b/>
            <sz val="8"/>
            <color indexed="81"/>
            <rFont val="Tahoma"/>
            <family val="2"/>
          </rPr>
          <t xml:space="preserve">Bookie 1
</t>
        </r>
        <r>
          <rPr>
            <i/>
            <sz val="8"/>
            <color indexed="81"/>
            <rFont val="Tahoma"/>
            <family val="2"/>
          </rPr>
          <t>Bookmaker outcome 1</t>
        </r>
        <r>
          <rPr>
            <b/>
            <sz val="8"/>
            <color indexed="81"/>
            <rFont val="Tahoma"/>
            <family val="2"/>
          </rPr>
          <t xml:space="preserve">
Please see the "BooksAndSports" tab for abbrevations</t>
        </r>
      </text>
    </comment>
    <comment ref="F1" authorId="0" shapeId="0" xr:uid="{00000000-0006-0000-0E00-000004000000}">
      <text>
        <r>
          <rPr>
            <b/>
            <sz val="8"/>
            <color indexed="81"/>
            <rFont val="Tahoma"/>
            <family val="2"/>
          </rPr>
          <t xml:space="preserve">Commission%
</t>
        </r>
        <r>
          <rPr>
            <sz val="8"/>
            <color indexed="81"/>
            <rFont val="Tahoma"/>
            <family val="2"/>
          </rPr>
          <t>Only fill this in if you place a BackBet with an exchange.
C% 1 = Commission% book1
C% 2 = Commission% book2
C% 3 = Commission% book3</t>
        </r>
      </text>
    </comment>
    <comment ref="J1" authorId="0" shapeId="0" xr:uid="{00000000-0006-0000-0E00-000005000000}">
      <text>
        <r>
          <rPr>
            <b/>
            <sz val="8"/>
            <color indexed="81"/>
            <rFont val="Tahoma"/>
            <family val="2"/>
          </rPr>
          <t xml:space="preserve">Odds 1
</t>
        </r>
        <r>
          <rPr>
            <sz val="8"/>
            <color indexed="81"/>
            <rFont val="Tahoma"/>
            <family val="2"/>
          </rPr>
          <t>The odds of outcome 1</t>
        </r>
      </text>
    </comment>
    <comment ref="M1" authorId="0" shapeId="0" xr:uid="{00000000-0006-0000-0E00-000006000000}">
      <text>
        <r>
          <rPr>
            <b/>
            <sz val="8"/>
            <color indexed="81"/>
            <rFont val="Tahoma"/>
            <family val="2"/>
          </rPr>
          <t xml:space="preserve">Stake 1
</t>
        </r>
        <r>
          <rPr>
            <i/>
            <sz val="8"/>
            <color indexed="81"/>
            <rFont val="Tahoma"/>
            <family val="2"/>
          </rPr>
          <t>Stake outcome 1</t>
        </r>
      </text>
    </comment>
    <comment ref="S1" authorId="0" shapeId="0" xr:uid="{00000000-0006-0000-0E00-000007000000}">
      <text>
        <r>
          <rPr>
            <b/>
            <sz val="8"/>
            <color indexed="81"/>
            <rFont val="Tahoma"/>
            <family val="2"/>
          </rPr>
          <t xml:space="preserve">Total Stake
</t>
        </r>
        <r>
          <rPr>
            <i/>
            <sz val="8"/>
            <color indexed="81"/>
            <rFont val="Tahoma"/>
            <family val="2"/>
          </rPr>
          <t>The combined stake of S1, SX and S2</t>
        </r>
      </text>
    </comment>
    <comment ref="T1" authorId="0" shapeId="0" xr:uid="{00000000-0006-0000-0E00-000008000000}">
      <text>
        <r>
          <rPr>
            <b/>
            <sz val="8"/>
            <color indexed="81"/>
            <rFont val="Tahoma"/>
            <family val="2"/>
          </rPr>
          <t xml:space="preserve">Result 1
</t>
        </r>
        <r>
          <rPr>
            <i/>
            <sz val="8"/>
            <color indexed="81"/>
            <rFont val="Tahoma"/>
            <family val="2"/>
          </rPr>
          <t>The possible result if outcome 1</t>
        </r>
      </text>
    </comment>
    <comment ref="U1" authorId="0" shapeId="0" xr:uid="{00000000-0006-0000-0E00-000009000000}">
      <text>
        <r>
          <rPr>
            <b/>
            <sz val="8"/>
            <color indexed="81"/>
            <rFont val="Tahoma"/>
            <family val="2"/>
          </rPr>
          <t xml:space="preserve">Result X
</t>
        </r>
        <r>
          <rPr>
            <i/>
            <sz val="8"/>
            <color indexed="81"/>
            <rFont val="Tahoma"/>
            <family val="2"/>
          </rPr>
          <t>The possible result if outcome X (draw)</t>
        </r>
      </text>
    </comment>
    <comment ref="V1" authorId="0" shapeId="0" xr:uid="{00000000-0006-0000-0E00-00000A000000}">
      <text>
        <r>
          <rPr>
            <b/>
            <sz val="8"/>
            <color indexed="81"/>
            <rFont val="Tahoma"/>
            <family val="2"/>
          </rPr>
          <t xml:space="preserve">Result 2
</t>
        </r>
        <r>
          <rPr>
            <i/>
            <sz val="8"/>
            <color indexed="81"/>
            <rFont val="Tahoma"/>
            <family val="2"/>
          </rPr>
          <t>The possible result if outcome 2</t>
        </r>
      </text>
    </comment>
    <comment ref="X1" authorId="0" shapeId="0" xr:uid="{00000000-0006-0000-0E00-00000B000000}">
      <text>
        <r>
          <rPr>
            <b/>
            <sz val="8"/>
            <color indexed="81"/>
            <rFont val="Tahoma"/>
            <family val="2"/>
          </rPr>
          <t xml:space="preserve">Actual Result
</t>
        </r>
        <r>
          <rPr>
            <i/>
            <sz val="8"/>
            <color indexed="81"/>
            <rFont val="Tahoma"/>
            <family val="2"/>
          </rPr>
          <t>The actual return of the arbitrage (needs the "Outcome" to be filled in)</t>
        </r>
      </text>
    </comment>
    <comment ref="AC1" authorId="0" shapeId="0" xr:uid="{00000000-0006-0000-0E00-00000C000000}">
      <text>
        <r>
          <rPr>
            <b/>
            <sz val="8"/>
            <color indexed="81"/>
            <rFont val="Tahoma"/>
            <family val="2"/>
          </rPr>
          <t xml:space="preserve">% outcome 1
</t>
        </r>
        <r>
          <rPr>
            <i/>
            <sz val="8"/>
            <color indexed="81"/>
            <rFont val="Tahoma"/>
            <family val="2"/>
          </rPr>
          <t>The possible result in % if outcome 1</t>
        </r>
      </text>
    </comment>
    <comment ref="AF1" authorId="0" shapeId="0" xr:uid="{00000000-0006-0000-0E00-00000D000000}">
      <text>
        <r>
          <rPr>
            <b/>
            <sz val="8"/>
            <color indexed="81"/>
            <rFont val="Tahoma"/>
            <family val="2"/>
          </rPr>
          <t xml:space="preserve">Actual %
</t>
        </r>
        <r>
          <rPr>
            <i/>
            <sz val="8"/>
            <color indexed="81"/>
            <rFont val="Tahoma"/>
            <family val="2"/>
          </rPr>
          <t>The actual return in % of the arbitrage</t>
        </r>
      </text>
    </comment>
    <comment ref="AG1" authorId="0" shapeId="0" xr:uid="{00000000-0006-0000-0E00-00000E000000}">
      <text>
        <r>
          <rPr>
            <b/>
            <sz val="8"/>
            <color indexed="81"/>
            <rFont val="Tahoma"/>
            <family val="2"/>
          </rPr>
          <t xml:space="preserve">Winning Bookie Amount
</t>
        </r>
        <r>
          <rPr>
            <i/>
            <sz val="8"/>
            <color indexed="81"/>
            <rFont val="Tahoma"/>
            <family val="2"/>
          </rPr>
          <t>The amount of the winning bookie of the arb in question (used for calculations in BalanceData)</t>
        </r>
      </text>
    </comment>
    <comment ref="AJ1" authorId="0" shapeId="0" xr:uid="{00000000-0006-0000-0E00-00000F000000}">
      <text>
        <r>
          <rPr>
            <b/>
            <sz val="8"/>
            <color indexed="81"/>
            <rFont val="Tahoma"/>
            <family val="2"/>
          </rPr>
          <t xml:space="preserve">Running Result
</t>
        </r>
        <r>
          <rPr>
            <i/>
            <sz val="8"/>
            <color indexed="81"/>
            <rFont val="Tahoma"/>
            <family val="2"/>
          </rPr>
          <t>The running result of the ArbBook</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<sst xmlns="http://schemas.openxmlformats.org/spreadsheetml/2006/main" count="857" uniqueCount="499">
  <si>
    <t>B1</t>
  </si>
  <si>
    <t>B2</t>
  </si>
  <si>
    <t>O1</t>
  </si>
  <si>
    <t>O2</t>
  </si>
  <si>
    <t>R1</t>
  </si>
  <si>
    <t>R2</t>
  </si>
  <si>
    <t>Sp</t>
  </si>
  <si>
    <t>Date</t>
  </si>
  <si>
    <t>S1</t>
  </si>
  <si>
    <t>S2</t>
  </si>
  <si>
    <t>Comments</t>
  </si>
  <si>
    <t>TS</t>
  </si>
  <si>
    <t>FB</t>
  </si>
  <si>
    <t>% if 1</t>
  </si>
  <si>
    <t>% if 2</t>
  </si>
  <si>
    <t>Bookie</t>
  </si>
  <si>
    <t>Sport</t>
  </si>
  <si>
    <t>Outcome</t>
  </si>
  <si>
    <t>D/W</t>
  </si>
  <si>
    <t>A%</t>
  </si>
  <si>
    <t>AR</t>
  </si>
  <si>
    <t>BR</t>
  </si>
  <si>
    <t>Key</t>
  </si>
  <si>
    <t>Type</t>
  </si>
  <si>
    <t>Deposit</t>
  </si>
  <si>
    <t>Withdrawal</t>
  </si>
  <si>
    <t>0</t>
  </si>
  <si>
    <t>Bonus</t>
  </si>
  <si>
    <t>Other</t>
  </si>
  <si>
    <t>%</t>
  </si>
  <si>
    <t>Total Turnover</t>
  </si>
  <si>
    <t>Turnover</t>
  </si>
  <si>
    <t>Participants</t>
  </si>
  <si>
    <t>LayBet outcome</t>
  </si>
  <si>
    <t>LayOdds</t>
  </si>
  <si>
    <t>Rback</t>
  </si>
  <si>
    <t>Rlay</t>
  </si>
  <si>
    <t>% if back</t>
  </si>
  <si>
    <t>% if lay</t>
  </si>
  <si>
    <t>LayLiability</t>
  </si>
  <si>
    <t>IfBack</t>
  </si>
  <si>
    <t>IfLay</t>
  </si>
  <si>
    <t>LayWin-Commission</t>
  </si>
  <si>
    <t>Arb%</t>
  </si>
  <si>
    <t>C% 1</t>
  </si>
  <si>
    <t>C% 2</t>
  </si>
  <si>
    <t>C% Lay</t>
  </si>
  <si>
    <t>BackWin-Commission</t>
  </si>
  <si>
    <t>Outcome1</t>
  </si>
  <si>
    <t>Outcome2</t>
  </si>
  <si>
    <t>Outcome3</t>
  </si>
  <si>
    <t>B3</t>
  </si>
  <si>
    <t>C% 3</t>
  </si>
  <si>
    <t>O3</t>
  </si>
  <si>
    <t>S3</t>
  </si>
  <si>
    <t>% if 3</t>
  </si>
  <si>
    <t>R3</t>
  </si>
  <si>
    <t>WBA1</t>
  </si>
  <si>
    <t>WBA2</t>
  </si>
  <si>
    <t>WBA3</t>
  </si>
  <si>
    <t>Total Stake S1</t>
  </si>
  <si>
    <t>Total Stake S2</t>
  </si>
  <si>
    <t>Total Stake S3</t>
  </si>
  <si>
    <t>WinningBookieAmount1</t>
  </si>
  <si>
    <t>WinningBookieAmount2</t>
  </si>
  <si>
    <t>WinningBookieAmount3</t>
  </si>
  <si>
    <t>Bonus and Adjustments</t>
  </si>
  <si>
    <t>WBABack</t>
  </si>
  <si>
    <t>WBALay</t>
  </si>
  <si>
    <t>Total Stake Back</t>
  </si>
  <si>
    <t>Total Stake Lay</t>
  </si>
  <si>
    <t>WinningBookieAmountBack</t>
  </si>
  <si>
    <t>WinningBookieAmountLay</t>
  </si>
  <si>
    <t>Not</t>
  </si>
  <si>
    <t>In</t>
  </si>
  <si>
    <t>Use</t>
  </si>
  <si>
    <t>WBA1-Commission</t>
  </si>
  <si>
    <t>WBA2-Commission</t>
  </si>
  <si>
    <t>WBA3-Commission</t>
  </si>
  <si>
    <t>Pending</t>
  </si>
  <si>
    <t>Pending 1</t>
  </si>
  <si>
    <t>Pending 2</t>
  </si>
  <si>
    <t>Pending 3</t>
  </si>
  <si>
    <t>PendingL1</t>
  </si>
  <si>
    <t>PendingL2</t>
  </si>
  <si>
    <t>Total Turnover (BackBets)</t>
  </si>
  <si>
    <t>Total Turnover (LayBets)</t>
  </si>
  <si>
    <t>Total Turnover (ALL)</t>
  </si>
  <si>
    <t>BackBets</t>
  </si>
  <si>
    <t>LayBets</t>
  </si>
  <si>
    <t>BackBets + LayBets</t>
  </si>
  <si>
    <t>Comeon</t>
  </si>
  <si>
    <t>Smarkets</t>
  </si>
  <si>
    <t>Rizk</t>
  </si>
  <si>
    <t>Bookmaker</t>
  </si>
  <si>
    <t>Folkeautomaten</t>
  </si>
  <si>
    <t>Coolbet</t>
  </si>
  <si>
    <t>Fotball</t>
  </si>
  <si>
    <t>Tap under omsetning</t>
  </si>
  <si>
    <t>Redsbet</t>
  </si>
  <si>
    <t>Unibet</t>
  </si>
  <si>
    <t>Redarmybet</t>
  </si>
  <si>
    <t>Dato</t>
  </si>
  <si>
    <t>C% Bookie</t>
  </si>
  <si>
    <t>Lay-bookie</t>
  </si>
  <si>
    <t>Spill</t>
  </si>
  <si>
    <t>Spilt på</t>
  </si>
  <si>
    <t>BookieOdds</t>
  </si>
  <si>
    <t>BookieInnsats</t>
  </si>
  <si>
    <t>LayInnsats</t>
  </si>
  <si>
    <t>Utfall bookie</t>
  </si>
  <si>
    <t>Utfall lay</t>
  </si>
  <si>
    <t>Total inns</t>
  </si>
  <si>
    <t>Faktisk res</t>
  </si>
  <si>
    <t>% gevinst</t>
  </si>
  <si>
    <t>Kommentarer</t>
  </si>
  <si>
    <t>Sum</t>
  </si>
  <si>
    <t>AF</t>
  </si>
  <si>
    <t>Amerikansk fotball</t>
  </si>
  <si>
    <t>IH</t>
  </si>
  <si>
    <t>Ishockey</t>
  </si>
  <si>
    <t>GO</t>
  </si>
  <si>
    <t>Golf</t>
  </si>
  <si>
    <t>Saldo</t>
  </si>
  <si>
    <t>In-play spill</t>
  </si>
  <si>
    <t>Total innskudd/uttak</t>
  </si>
  <si>
    <t>Total "in Play"</t>
  </si>
  <si>
    <t>Total Bonuser</t>
  </si>
  <si>
    <t>Bankrulle</t>
  </si>
  <si>
    <t>Total saldo hos bookies</t>
  </si>
  <si>
    <t>Sofapenger - Logging av spill</t>
  </si>
  <si>
    <t>Takk for at du lastet ned Sofapenger-arket. Dette arket er laget for å enklere holde</t>
  </si>
  <si>
    <t>styr på spill, bookmaker-kontoer og hvor pengene dine e til en hver tid.</t>
  </si>
  <si>
    <r>
      <t>Disclaimer:</t>
    </r>
    <r>
      <rPr>
        <sz val="11"/>
        <color rgb="FF000000"/>
        <rFont val="Calibri"/>
        <family val="2"/>
        <scheme val="minor"/>
      </rPr>
      <t xml:space="preserve"> Denne filen kommer "as is". Om det er noen spørsmål, </t>
    </r>
  </si>
  <si>
    <t>Celler som har en rød triangel i hjørnet har en kommentar og forklaring.</t>
  </si>
  <si>
    <t>Hold musen over for å vise kommentaren.</t>
  </si>
  <si>
    <t>&lt;--- eksempel</t>
  </si>
  <si>
    <t>Eksempel</t>
  </si>
  <si>
    <t>en ny rad i en av tabellene (når du legger til et innskudd, gjør uttak, legger til en bonus osv.)</t>
  </si>
  <si>
    <t>Velg den nederste cellen til høyere og dra tabellen nedover, slik at den blir større. Den består av farger, så det er lett å se om det du skriver vil inkluderes i tabellen eller ikke</t>
  </si>
  <si>
    <t>Dersom du ikke gjør dette vil ikke spillene dine logges riktig.</t>
  </si>
  <si>
    <r>
      <t>VIKTIG</t>
    </r>
    <r>
      <rPr>
        <sz val="11"/>
        <color rgb="FF000000"/>
        <rFont val="Calibri"/>
        <family val="2"/>
        <scheme val="minor"/>
      </rPr>
      <t>: IKKE SLETT noe av inneholdet i cellene med formler.</t>
    </r>
  </si>
  <si>
    <t>De fleste av disse cellene har en grå overskrift, og verdiene vil automatisk fylles inn.</t>
  </si>
  <si>
    <t>Hvis du fjerner verdiene i disse cellene vil de ikke virke</t>
  </si>
  <si>
    <t>1. Fanene</t>
  </si>
  <si>
    <t>Her registrerer du alle spillene du har hos bookmaker og hos Smarkets.</t>
  </si>
  <si>
    <t>http://bit.ly/MB-Trinn-for-trinn</t>
  </si>
  <si>
    <t>Hos bookmaker spiller du på at noe SKAL skje (lag vinner, scorer mål osv), mens hos Smarkets spiller du på at noe IKKE SKJER (vinner ikke, scorer ikke osv.) Les link under for detaljer.</t>
  </si>
  <si>
    <t>TE</t>
  </si>
  <si>
    <t>Tennis</t>
  </si>
  <si>
    <t>BB</t>
  </si>
  <si>
    <t>Basket</t>
  </si>
  <si>
    <t>1.       Dato. Datoen du plasserte spillet. Må være ÅÅMMDD</t>
  </si>
  <si>
    <t>2.       Sport. Sporten du spilte på (FB = Football/soccer, BB = Basketball, TE = Tennis etc.) Listen på sporter finnes unde fanen "BookieNavn"</t>
  </si>
  <si>
    <t>3.       Bookmaker. Navnet på bookmakeren du spilte på. Navnet må være det samme som du har skrevet inn under "BookieNavn".</t>
  </si>
  <si>
    <t>4.       Commission til bookmaker. Skal alltid være 0%.</t>
  </si>
  <si>
    <t>5.       LayBookie. Her bruker du "Smarkets".</t>
  </si>
  <si>
    <t>6.       Smarkets bruker 2%</t>
  </si>
  <si>
    <t>7.       Spill. Kampen du har spilt på. Her kan du skrive hva du vil.</t>
  </si>
  <si>
    <t>8.       Spilt på. Hva du har spilt på (f.eks Lag1, correct score, over 2,5 mål osv.)</t>
  </si>
  <si>
    <t>9.       BookieOdds. Oddsen hos bookmaker.</t>
  </si>
  <si>
    <t>10. LayOdds. Oddsen du fikk hos Smarkets.</t>
  </si>
  <si>
    <t>11. BookieInnsats. Hvor mye du spilte for hos boomaker</t>
  </si>
  <si>
    <t>12. LayInnsats. Hvor mye du spilte for hos Smarkets.</t>
  </si>
  <si>
    <t>13. LayLiability. Din Liability hos Smarkets (Automatisk utregnet) For mer info om liability, sjekk ut Sofapenger.com</t>
  </si>
  <si>
    <r>
      <t xml:space="preserve">15. Utfall Lay. Skriv </t>
    </r>
    <r>
      <rPr>
        <i/>
        <sz val="11"/>
        <color rgb="FF000000"/>
        <rFont val="Calibri"/>
        <family val="2"/>
      </rPr>
      <t>Win</t>
    </r>
    <r>
      <rPr>
        <sz val="11"/>
        <color rgb="FF000000"/>
        <rFont val="Calibri"/>
        <family val="2"/>
      </rPr>
      <t xml:space="preserve"> dersom spillet vinner, og </t>
    </r>
    <r>
      <rPr>
        <i/>
        <sz val="11"/>
        <color rgb="FF000000"/>
        <rFont val="Calibri"/>
        <family val="2"/>
      </rPr>
      <t>Lose</t>
    </r>
    <r>
      <rPr>
        <sz val="11"/>
        <color rgb="FF000000"/>
        <rFont val="Calibri"/>
        <family val="2"/>
      </rPr>
      <t xml:space="preserve"> dersom spillet taper.</t>
    </r>
  </si>
  <si>
    <r>
      <t xml:space="preserve">14. Utfall Bookie. Skriv </t>
    </r>
    <r>
      <rPr>
        <i/>
        <sz val="11"/>
        <color rgb="FF000000"/>
        <rFont val="Calibri"/>
        <family val="2"/>
      </rPr>
      <t>Win</t>
    </r>
    <r>
      <rPr>
        <sz val="11"/>
        <color rgb="FF000000"/>
        <rFont val="Calibri"/>
        <family val="2"/>
      </rPr>
      <t xml:space="preserve"> dersom spillet vinner, og </t>
    </r>
    <r>
      <rPr>
        <i/>
        <sz val="11"/>
        <color rgb="FF000000"/>
        <rFont val="Calibri"/>
        <family val="2"/>
      </rPr>
      <t xml:space="preserve">Lose </t>
    </r>
    <r>
      <rPr>
        <sz val="11"/>
        <color rgb="FF000000"/>
        <rFont val="Calibri"/>
        <family val="2"/>
      </rPr>
      <t>dersom spillet taper.</t>
    </r>
  </si>
  <si>
    <t>16. Total innsats (bookie innsats + lay liability). Denne er automatisk utregnet.</t>
  </si>
  <si>
    <t>17. Faktisk resultat. Hvor mye penger du taper eller vinner på dette ene spillet. Automatisk utregnet</t>
  </si>
  <si>
    <t>18. % gevinst . Resultatet i %. Automatisk utregnet.</t>
  </si>
  <si>
    <t>19. Kommentarer. Her kan du skrive hva du vil. Noen bemerkninger om spill eller bookmaker generelt?</t>
  </si>
  <si>
    <r>
      <rPr>
        <b/>
        <sz val="11"/>
        <color rgb="FF000000"/>
        <rFont val="Calibri"/>
        <family val="2"/>
        <scheme val="minor"/>
      </rPr>
      <t>1.2</t>
    </r>
    <r>
      <rPr>
        <b/>
        <sz val="7"/>
        <color rgb="FF000000"/>
        <rFont val="Times New Roman"/>
        <family val="1"/>
      </rPr>
      <t xml:space="preserve">   </t>
    </r>
    <r>
      <rPr>
        <b/>
        <sz val="11"/>
        <color rgb="FF000000"/>
        <rFont val="Calibri"/>
        <family val="2"/>
        <scheme val="minor"/>
      </rPr>
      <t>Regnskap-fanen</t>
    </r>
  </si>
  <si>
    <t>1.1 Spill-fanen</t>
  </si>
  <si>
    <t>Her ser du "real time" alle saldoene på alle kontoene dine.</t>
  </si>
  <si>
    <t>· I tillegg til kontosaldoer ser du også % av total bankrulle.</t>
  </si>
  <si>
    <r>
      <t xml:space="preserve">· Alt her er automatisk utregnet. </t>
    </r>
    <r>
      <rPr>
        <b/>
        <sz val="11"/>
        <color rgb="FF000000"/>
        <rFont val="Calibri"/>
        <family val="2"/>
      </rPr>
      <t>IKKE ENDRE CELLER</t>
    </r>
  </si>
  <si>
    <r>
      <rPr>
        <b/>
        <sz val="11"/>
        <color rgb="FF000000"/>
        <rFont val="Calibri"/>
        <family val="2"/>
      </rPr>
      <t>1.3</t>
    </r>
    <r>
      <rPr>
        <b/>
        <sz val="7"/>
        <color rgb="FF000000"/>
        <rFont val="Calibri"/>
        <family val="2"/>
      </rPr>
      <t xml:space="preserve">   </t>
    </r>
    <r>
      <rPr>
        <b/>
        <sz val="11"/>
        <color rgb="FF000000"/>
        <rFont val="Calibri"/>
        <family val="2"/>
      </rPr>
      <t>Penger-fanen</t>
    </r>
  </si>
  <si>
    <t>Her logger du alle innskudd og uttak til og fra bookmakere, og også til og fra</t>
  </si>
  <si>
    <t>bankrullen din. Du vil også gjøre små bookmaker-justeringer her (f.eks en-to kroner feil</t>
  </si>
  <si>
    <t>når saldoen er ulik den faktiske saldoen med noen få kroner).</t>
  </si>
  <si>
    <t>Det er også her du legger inn bonussummene!</t>
  </si>
  <si>
    <t>· Bruk tabellen til VENSTRE til transaksjoner til og fra bookmakere fra bankrullen din.</t>
  </si>
  <si>
    <t>· Bruk tabellen i MIDTEN til transaksjoner til og fra bankrulle.</t>
  </si>
  <si>
    <t>· Bruk tabell til HØYRE for bonuser og småjusteringer.</t>
  </si>
  <si>
    <t>1.4   BookieNavn-fanen</t>
  </si>
  <si>
    <t>Bruk denne til å skrive inn nye bookmakere og sporter til excel-arket.</t>
  </si>
  <si>
    <t>Endre dette FØR du begynner å logge spill under "Spill-fanen"</t>
  </si>
  <si>
    <t>2. Før du begynner å logge spillene dine</t>
  </si>
  <si>
    <t>2.1 BookieNavn-fanen</t>
  </si>
  <si>
    <t>Det første du må gjøre er å gå til BookieNavn-fanen. Her legger du til nye sporter, dersom nødvendig.</t>
  </si>
  <si>
    <t>Du kan bruke forkortelser ("TE" for tennis f.eks) og deretter skrive det fulle navnet til sporten.</t>
  </si>
  <si>
    <t>Du kan forandre de eksisterende navnene her, men gjør det FØR du begynner å logge spill.</t>
  </si>
  <si>
    <r>
      <t xml:space="preserve">Det samme gjelder for endring eller legge til nye bookmakere. </t>
    </r>
    <r>
      <rPr>
        <sz val="11"/>
        <color rgb="FF000000"/>
        <rFont val="Calibri"/>
        <family val="2"/>
        <scheme val="minor"/>
      </rPr>
      <t>Du kan velge å bruke forkortelser, eller bare skrive hele navnet i begg kolonnene</t>
    </r>
  </si>
  <si>
    <t>Husk å alltid skrive verdiene inne i tabellen.Du kan dratabellen større nede i høyre hjørnet på tabellen.</t>
  </si>
  <si>
    <t>Når dette er gjort kan du gå til "Penger-fanen"</t>
  </si>
  <si>
    <t>2.2 Penger-fanen</t>
  </si>
  <si>
    <t xml:space="preserve">Hvis du IKKE har noen kontoer hos bookmakere: </t>
  </si>
  <si>
    <t>Skriv inn den totale bankrullen din i den midterste tabellen.</t>
  </si>
  <si>
    <t>Hvis du HAR kontoer hos bookmakere:</t>
  </si>
  <si>
    <t>Skriv inn totale bankrullen din (inkludert den totale saldoen du allerede har hos bookmakere)</t>
  </si>
  <si>
    <t>i den midterste tabellen.</t>
  </si>
  <si>
    <t>Deretter skrier du inn saldoen til hver enkelt bookmaker som et innskudd i tabellen til venstre.</t>
  </si>
  <si>
    <t>3. Logging av spillene dine</t>
  </si>
  <si>
    <t>Etter du har plassert spill hos bookmaker og matched spillet ditt med et klay spill hos Smarkets, må du logge spillet ditt etterpå.</t>
  </si>
  <si>
    <t xml:space="preserve">Gjør dette til en rutine etter hvert spill. Det tar kun et par sekunder. </t>
  </si>
  <si>
    <t>Logging av spill er ganske rett frem. Fyll inn alle cellene med hvit overskrift.</t>
  </si>
  <si>
    <t>Når kampen er ferdig skriver du utfallet av spillene.</t>
  </si>
  <si>
    <r>
      <t>Utfallet er "</t>
    </r>
    <r>
      <rPr>
        <b/>
        <sz val="11"/>
        <color rgb="FF000000"/>
        <rFont val="Calibri"/>
        <family val="2"/>
        <scheme val="minor"/>
      </rPr>
      <t>Win</t>
    </r>
    <r>
      <rPr>
        <sz val="11"/>
        <color rgb="FF000000"/>
        <rFont val="Calibri"/>
        <family val="2"/>
        <scheme val="minor"/>
      </rPr>
      <t>" eller "</t>
    </r>
    <r>
      <rPr>
        <b/>
        <sz val="11"/>
        <color rgb="FF000000"/>
        <rFont val="Calibri"/>
        <family val="2"/>
        <scheme val="minor"/>
      </rPr>
      <t>Lose</t>
    </r>
    <r>
      <rPr>
        <sz val="11"/>
        <color rgb="FF000000"/>
        <rFont val="Calibri"/>
        <family val="2"/>
        <scheme val="minor"/>
      </rPr>
      <t>".</t>
    </r>
  </si>
  <si>
    <t>888Sports</t>
  </si>
  <si>
    <t>Bet365</t>
  </si>
  <si>
    <t>Bet90</t>
  </si>
  <si>
    <t>Betfinal</t>
  </si>
  <si>
    <t>Bethard</t>
  </si>
  <si>
    <t>Betive</t>
  </si>
  <si>
    <t>Betsafe</t>
  </si>
  <si>
    <t>Betser</t>
  </si>
  <si>
    <t>Betsson</t>
  </si>
  <si>
    <t>BetVictor</t>
  </si>
  <si>
    <t>BetWay</t>
  </si>
  <si>
    <t>Casinostugan</t>
  </si>
  <si>
    <t>CherryCasino</t>
  </si>
  <si>
    <t>ExclusiveBet</t>
  </si>
  <si>
    <t>Expekt</t>
  </si>
  <si>
    <t>Fansbet</t>
  </si>
  <si>
    <t>Feelbet</t>
  </si>
  <si>
    <t>Guts</t>
  </si>
  <si>
    <t>LeoVegas</t>
  </si>
  <si>
    <t>LSBet</t>
  </si>
  <si>
    <t>Mobilebet</t>
  </si>
  <si>
    <t>MrGreen</t>
  </si>
  <si>
    <t>MrWin</t>
  </si>
  <si>
    <t>NetBet</t>
  </si>
  <si>
    <t>NordicBet</t>
  </si>
  <si>
    <t>Norgesspill</t>
  </si>
  <si>
    <t>NorgeVegas</t>
  </si>
  <si>
    <t>NorskTipping</t>
  </si>
  <si>
    <t>Oddsautomaten</t>
  </si>
  <si>
    <t>Olybet</t>
  </si>
  <si>
    <t>Onebet</t>
  </si>
  <si>
    <t>Paddypower</t>
  </si>
  <si>
    <t>Pinnacle</t>
  </si>
  <si>
    <t>Racebets</t>
  </si>
  <si>
    <t>RealDealBet</t>
  </si>
  <si>
    <t>Redbet</t>
  </si>
  <si>
    <t>Rivalo</t>
  </si>
  <si>
    <t>SBOBet</t>
  </si>
  <si>
    <t>Scandibet</t>
  </si>
  <si>
    <t>Spilleautomater</t>
  </si>
  <si>
    <t>Sportmarket</t>
  </si>
  <si>
    <t>Sunmaker</t>
  </si>
  <si>
    <t>Superlenny</t>
  </si>
  <si>
    <t>Titanbet</t>
  </si>
  <si>
    <t>VonBets</t>
  </si>
  <si>
    <t>Xtip</t>
  </si>
  <si>
    <t>3. Her skriver du inn bonuser og småjusteringer.</t>
  </si>
  <si>
    <t>1. Her skriver du inn penger du setter inn eller tar ut fra bookmaker fra bankrullen din. Uttak logges ved å skrive - foran summen</t>
  </si>
  <si>
    <t>2. Her skriver du inn penger til og fra bankrullen din. Altså til og fra totalsaldoen din. Uttak logges vedå skrive - foran summen</t>
  </si>
  <si>
    <t xml:space="preserve">Eksempel: Du vil investere 10.000 kr i Matched Betting. Skriv 10000 inn i tabell 2. </t>
  </si>
  <si>
    <r>
      <t xml:space="preserve">ta kontakt på </t>
    </r>
    <r>
      <rPr>
        <b/>
        <sz val="11"/>
        <color rgb="FF000000"/>
        <rFont val="Calibri"/>
        <family val="2"/>
        <scheme val="minor"/>
      </rPr>
      <t>kontakt@sofapenger.com</t>
    </r>
  </si>
  <si>
    <r>
      <t>VIKTIG</t>
    </r>
    <r>
      <rPr>
        <sz val="11"/>
        <color rgb="FF000000"/>
        <rFont val="Calibri"/>
        <family val="2"/>
        <scheme val="minor"/>
      </rPr>
      <t xml:space="preserve">: Denne filen er laget med </t>
    </r>
    <r>
      <rPr>
        <b/>
        <sz val="11"/>
        <color rgb="FF000000"/>
        <rFont val="Calibri"/>
        <family val="2"/>
        <scheme val="minor"/>
      </rPr>
      <t>tabeller</t>
    </r>
    <r>
      <rPr>
        <sz val="11"/>
        <color rgb="FF000000"/>
        <rFont val="Calibri"/>
        <family val="2"/>
        <scheme val="minor"/>
      </rPr>
      <t>. For å lage</t>
    </r>
  </si>
  <si>
    <t>Av disse pengene så setter du inn 7000 hos Smarkets, 1000 hos Unibet og 2000 hos Comeon som logges i tabell 1. Hos Unibet har du fått 1000 kr i bonus, som logges i tabell 3.</t>
  </si>
  <si>
    <t>Navn</t>
  </si>
  <si>
    <t>Betboro</t>
  </si>
  <si>
    <t>Betfair</t>
  </si>
  <si>
    <t>ROI</t>
  </si>
  <si>
    <t>Bet777</t>
  </si>
  <si>
    <t>Bet21</t>
  </si>
  <si>
    <t>Cloudbet</t>
  </si>
  <si>
    <t>Betus</t>
  </si>
  <si>
    <t>gtbets.eu</t>
  </si>
  <si>
    <t>TOTAL turnover EXCHANGE</t>
  </si>
  <si>
    <t>Exchanges</t>
  </si>
  <si>
    <t>Betsize (Average)</t>
  </si>
  <si>
    <t>TOTAL turnover BOOKIE</t>
  </si>
  <si>
    <t>Odds (Median)</t>
  </si>
  <si>
    <t>TOTAL</t>
  </si>
  <si>
    <t>Bookies</t>
  </si>
  <si>
    <t>Deposit/withdrawl</t>
  </si>
  <si>
    <t>Bonuses</t>
  </si>
  <si>
    <t>Profit</t>
  </si>
  <si>
    <t>Loss during turnover</t>
  </si>
  <si>
    <t>Malina</t>
  </si>
  <si>
    <t>KTO</t>
  </si>
  <si>
    <t>Bets</t>
  </si>
  <si>
    <t>Cum Sum</t>
  </si>
  <si>
    <t>Sum bonus</t>
  </si>
  <si>
    <t>Sum bets</t>
  </si>
  <si>
    <t>Total sum</t>
  </si>
  <si>
    <t>Måned</t>
  </si>
  <si>
    <t>JSFansbet</t>
  </si>
  <si>
    <t>Storspiller</t>
  </si>
  <si>
    <t>Vervepenger</t>
  </si>
  <si>
    <t>Casinowinner</t>
  </si>
  <si>
    <t>NumBookies</t>
  </si>
  <si>
    <t>AR_per_bookie</t>
  </si>
  <si>
    <t>Nightrush</t>
  </si>
  <si>
    <t>Gnome:</t>
  </si>
  <si>
    <t>August</t>
  </si>
  <si>
    <t>Utbetalinger</t>
  </si>
  <si>
    <t>September</t>
  </si>
  <si>
    <t>Kroner tjent</t>
  </si>
  <si>
    <t>Til utbetaling</t>
  </si>
  <si>
    <t>Utbetalt</t>
  </si>
  <si>
    <t>Gjenstående</t>
  </si>
  <si>
    <t>October</t>
  </si>
  <si>
    <t>November</t>
  </si>
  <si>
    <t>Spinsports</t>
  </si>
  <si>
    <t>December</t>
  </si>
  <si>
    <t>Januar</t>
  </si>
  <si>
    <t>February</t>
  </si>
  <si>
    <t>March</t>
  </si>
  <si>
    <t>April</t>
  </si>
  <si>
    <t>May</t>
  </si>
  <si>
    <t>June</t>
  </si>
  <si>
    <t>July</t>
  </si>
  <si>
    <t>Minimumsbeløp per mnd</t>
  </si>
  <si>
    <t>Gevinst fra freebets</t>
  </si>
  <si>
    <t>NNBetsson</t>
  </si>
  <si>
    <t>NNCoolbet</t>
  </si>
  <si>
    <t>Prosentsats:</t>
  </si>
  <si>
    <t>Win</t>
  </si>
  <si>
    <t>Lose</t>
  </si>
  <si>
    <t>Preston-Middlesbrough</t>
  </si>
  <si>
    <t>Preston</t>
  </si>
  <si>
    <t>Norwich-Crystal Palace</t>
  </si>
  <si>
    <t>Pukki FG</t>
  </si>
  <si>
    <t>Void</t>
  </si>
  <si>
    <t>Sjekket saldo ok</t>
  </si>
  <si>
    <t>Saldo 31.12.19</t>
  </si>
  <si>
    <t>Gevinst 2019</t>
  </si>
  <si>
    <t>Total saldo hos exchanges</t>
  </si>
  <si>
    <t>Innskudd</t>
  </si>
  <si>
    <t>Ecopayz</t>
  </si>
  <si>
    <t>Skrill</t>
  </si>
  <si>
    <t>REVOLUT. Fra Norwegian-kort</t>
  </si>
  <si>
    <t>Freespin</t>
  </si>
  <si>
    <t xml:space="preserve"> </t>
  </si>
  <si>
    <t>Gitt vekk</t>
  </si>
  <si>
    <t>Fått tilbake</t>
  </si>
  <si>
    <t xml:space="preserve">Sum </t>
  </si>
  <si>
    <t>Brukernavn</t>
  </si>
  <si>
    <t>Fullt navn</t>
  </si>
  <si>
    <t>Telefonnummer</t>
  </si>
  <si>
    <t>e-post</t>
  </si>
  <si>
    <t>brukerkonto</t>
  </si>
  <si>
    <t>Revolut</t>
  </si>
  <si>
    <t>seb</t>
  </si>
  <si>
    <t>Sebastian Thune</t>
  </si>
  <si>
    <t>seb1929_1@outlook.com</t>
  </si>
  <si>
    <t>OMSETNINGSKRAV</t>
  </si>
  <si>
    <t>Bonuser som kan tas</t>
  </si>
  <si>
    <t>Bonuser som venter</t>
  </si>
  <si>
    <t>Freebet</t>
  </si>
  <si>
    <t>MMA</t>
  </si>
  <si>
    <t>Mixed Martial Arts</t>
  </si>
  <si>
    <t>ES</t>
  </si>
  <si>
    <t>E-Sport</t>
  </si>
  <si>
    <t>JA</t>
  </si>
  <si>
    <t>Innskudd:</t>
  </si>
  <si>
    <t>Å omsette:</t>
  </si>
  <si>
    <t>Omsatt</t>
  </si>
  <si>
    <t>Utestående:</t>
  </si>
  <si>
    <t>Fått?</t>
  </si>
  <si>
    <t>Omsetning:</t>
  </si>
  <si>
    <t>Brukt?</t>
  </si>
  <si>
    <t>Plassert</t>
  </si>
  <si>
    <t>Freebet Fortjeneste</t>
  </si>
  <si>
    <t>TOT RESULTAT</t>
  </si>
  <si>
    <t>Kommentar</t>
  </si>
  <si>
    <t>Innen Lørdag:</t>
  </si>
  <si>
    <t>GJENSTÅENDE</t>
  </si>
  <si>
    <t>Innen Søndag</t>
  </si>
  <si>
    <t>Innen Mandag:</t>
  </si>
  <si>
    <t>Innen Onsdag:</t>
  </si>
  <si>
    <t>Innen Tirsdag:</t>
  </si>
  <si>
    <t>Bare denne dag</t>
  </si>
  <si>
    <t>Innen Torsdag:</t>
  </si>
  <si>
    <t>Innen Fredag:</t>
  </si>
  <si>
    <t>E-Wallet</t>
  </si>
  <si>
    <t>%%</t>
  </si>
  <si>
    <t>Innskuddsmetode</t>
  </si>
  <si>
    <t>Rapid Transfer/Sbanken</t>
  </si>
  <si>
    <t>Monese</t>
  </si>
  <si>
    <t>SUM</t>
  </si>
  <si>
    <t>Beholdning 05.03.20</t>
  </si>
  <si>
    <t>Beholdning 31.12.19</t>
  </si>
  <si>
    <t>Bank Norwegian</t>
  </si>
  <si>
    <t xml:space="preserve">Hein sa 09.03 kl 18.47 at jeg trengte 1000NOK rollover at 1,3 or higher før 1000kr freebet. </t>
  </si>
  <si>
    <t>Da hadde jeg: 19000 i pending og 15593,59 omsatt.</t>
  </si>
  <si>
    <t xml:space="preserve">Begynner på 1000kr freebet for 09.03 09.03 kl 21. </t>
  </si>
  <si>
    <t>Gjenstår</t>
  </si>
  <si>
    <t>E-wallets/BANK</t>
  </si>
  <si>
    <t>Fikk beskjed av chat at jeg ikke har flere freebets 10mars 08.42</t>
  </si>
  <si>
    <t>DENNE ER KANSKJE MISTET??</t>
  </si>
  <si>
    <t>Velkomstbonuser</t>
  </si>
  <si>
    <t>10k?</t>
  </si>
  <si>
    <t>TOTALT</t>
  </si>
  <si>
    <t>CA GEVINST</t>
  </si>
  <si>
    <t>GNOM GEVINST</t>
  </si>
  <si>
    <t>NEI</t>
  </si>
  <si>
    <t>MISTET?</t>
  </si>
  <si>
    <t>Gevinst 2020</t>
  </si>
  <si>
    <t>Transfer loss</t>
  </si>
  <si>
    <t>Oddsmonkey</t>
  </si>
  <si>
    <t>Feil tall</t>
  </si>
  <si>
    <t>Paysafe</t>
  </si>
  <si>
    <t>Fremgangsmåte:</t>
  </si>
  <si>
    <t>1. Skaff mobilabbo: fjordkraft 1gb 129/mnd</t>
  </si>
  <si>
    <t>2. Skaff Førerkort-bilde, adresse-bilde</t>
  </si>
  <si>
    <t>3. Lag Eco, paysafe</t>
  </si>
  <si>
    <t>4. VB</t>
  </si>
  <si>
    <t>5. Spinsports</t>
  </si>
  <si>
    <t>6.Reloads</t>
  </si>
  <si>
    <t>Total gevinst</t>
  </si>
  <si>
    <t>RUNDE 1</t>
  </si>
  <si>
    <t>Beløp</t>
  </si>
  <si>
    <t>WAGER REQ.</t>
  </si>
  <si>
    <t>MIN ODDS</t>
  </si>
  <si>
    <t>OMSET KRAV</t>
  </si>
  <si>
    <t>Kumulativt</t>
  </si>
  <si>
    <t>Resultater  RUNDE 1</t>
  </si>
  <si>
    <t>Fortjeneste freebet</t>
  </si>
  <si>
    <t>RUNDE 2</t>
  </si>
  <si>
    <t>Innen mandag:</t>
  </si>
  <si>
    <t>Innen tirsdag:</t>
  </si>
  <si>
    <t>Innen onsdag:</t>
  </si>
  <si>
    <t>Innen torsdag:</t>
  </si>
  <si>
    <t>Innen fredag:</t>
  </si>
  <si>
    <t>Innen lørdag:</t>
  </si>
  <si>
    <t>Innen søndag:</t>
  </si>
  <si>
    <t>Er det 7 ??</t>
  </si>
  <si>
    <t>Gjenstående omsetningskrav</t>
  </si>
  <si>
    <t>MIN ODDS 1,8 ???</t>
  </si>
  <si>
    <t>Min Odds</t>
  </si>
  <si>
    <t>Rollover</t>
  </si>
  <si>
    <t>Gjenstående etter pending</t>
  </si>
  <si>
    <t>?</t>
  </si>
  <si>
    <t>Omsatt under min. odds..</t>
  </si>
  <si>
    <t>TOT FORTJENESTE</t>
  </si>
  <si>
    <t>LiBetsson</t>
  </si>
  <si>
    <t>Li</t>
  </si>
  <si>
    <t>Utgifter</t>
  </si>
  <si>
    <t>Fast hver måned</t>
  </si>
  <si>
    <t>Mobilabb</t>
  </si>
  <si>
    <t>Gevinst 2020 Aa</t>
  </si>
  <si>
    <t>Gevinst 2020 Li</t>
  </si>
  <si>
    <t>LiPaysafe</t>
  </si>
  <si>
    <t>LiEcopayz</t>
  </si>
  <si>
    <t>Noe fucka med regnearket. Måtte bytte alle måneder til 2020</t>
  </si>
  <si>
    <t>Talkmore</t>
  </si>
  <si>
    <t>TATT?</t>
  </si>
  <si>
    <t>LiBetsafe</t>
  </si>
  <si>
    <t>LiNordicbet</t>
  </si>
  <si>
    <t>LiUnibet</t>
  </si>
  <si>
    <t>LiBethard</t>
  </si>
  <si>
    <t>LiBet365</t>
  </si>
  <si>
    <t>LiComeOn</t>
  </si>
  <si>
    <t>LiRizk</t>
  </si>
  <si>
    <t>Strikkhopp</t>
  </si>
  <si>
    <t>Spesifikke utlegg juli</t>
  </si>
  <si>
    <t>Lån 7.07</t>
  </si>
  <si>
    <t>LiRapid</t>
  </si>
  <si>
    <t>Kjole</t>
  </si>
  <si>
    <t>Rema før jobb</t>
  </si>
  <si>
    <t>Drikke fest silje</t>
  </si>
  <si>
    <t>LiBet90</t>
  </si>
  <si>
    <t>LiNorgesspill</t>
  </si>
  <si>
    <t>LiLeoVegas</t>
  </si>
  <si>
    <t>IKKE TA</t>
  </si>
  <si>
    <t>AaBetsson</t>
  </si>
  <si>
    <t>AaBetsafe</t>
  </si>
  <si>
    <t>AaNordicbet</t>
  </si>
  <si>
    <t>AaUnibet</t>
  </si>
  <si>
    <t>AaBethard</t>
  </si>
  <si>
    <t>AaBet365</t>
  </si>
  <si>
    <t>AaComeOn</t>
  </si>
  <si>
    <t>AaRizk</t>
  </si>
  <si>
    <t>AaBet90</t>
  </si>
  <si>
    <t>AaNorgesspill</t>
  </si>
  <si>
    <t>AaLeoVegas</t>
  </si>
  <si>
    <t>Aa</t>
  </si>
  <si>
    <t>AaEcopayz</t>
  </si>
  <si>
    <t>AaPaysafe</t>
  </si>
  <si>
    <t>AaGuts</t>
  </si>
  <si>
    <t>LiGuts</t>
  </si>
  <si>
    <t>freebet</t>
  </si>
  <si>
    <t>Hest</t>
  </si>
  <si>
    <t>HE</t>
  </si>
  <si>
    <t>Gn1Betsson</t>
  </si>
  <si>
    <t>AaCoolbet</t>
  </si>
  <si>
    <t>OK 27.08.20</t>
  </si>
  <si>
    <t>Dato spilles</t>
  </si>
  <si>
    <t>TODAYS DATE:</t>
  </si>
  <si>
    <t>LiMrGreen</t>
  </si>
  <si>
    <t>AaMrGreen</t>
  </si>
  <si>
    <t>Faste bonuser</t>
  </si>
  <si>
    <t>AaRapid</t>
  </si>
  <si>
    <t>OK 17.09.20</t>
  </si>
  <si>
    <t>AaFolkeautomaten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</si>
</sst>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
    <numFmt numFmtId="165" formatCode="0.0"/>
    <numFmt numFmtId="166" formatCode="[$NOK]\ #,##0.00"/>
    <numFmt numFmtId="167" formatCode="&quot;NOK&quot;\ #,##0.00"/>
    <numFmt numFmtId="168" formatCode="mmmm"/>
    <numFmt numFmtId="169" formatCode="0.0%"/>
  </numFmts>
  <fonts count="9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0"/>
      <name val="Calibri"/>
      <family val="2"/>
      <scheme val="minor"/>
    </font>
    <font>
      <b/>
      <sz val="8"/>
      <color indexed="81"/>
      <name val="Tahoma"/>
      <family val="2"/>
    </font>
    <font>
      <sz val="8"/>
      <color indexed="81"/>
      <name val="Tahoma"/>
      <family val="2"/>
    </font>
    <font>
      <i/>
      <sz val="8"/>
      <color indexed="81"/>
      <name val="Tahoma"/>
      <family val="2"/>
    </font>
    <font>
      <b/>
      <i/>
      <sz val="8"/>
      <color indexed="81"/>
      <name val="Tahoma"/>
      <family val="2"/>
    </font>
    <font>
      <sz val="11"/>
      <color theme="0" tint="-0.249977111117893"/>
      <name val="Calibri"/>
      <family val="2"/>
      <scheme val="minor"/>
    </font>
    <font>
      <sz val="11"/>
      <color theme="0" tint="-0.34998626667073579"/>
      <name val="Calibri"/>
      <family val="2"/>
      <scheme val="minor"/>
    </font>
    <font>
      <sz val="14"/>
      <color rgb="FF17365D"/>
      <name val="Cambria"/>
      <family val="1"/>
    </font>
    <font>
      <u/>
      <sz val="11"/>
      <color theme="10"/>
      <name val="Calibri"/>
      <family val="2"/>
    </font>
    <font>
      <sz val="11"/>
      <color rgb="FFC00000"/>
      <name val="Calibri"/>
      <family val="2"/>
      <scheme val="minor"/>
    </font>
    <font>
      <sz val="11"/>
      <color rgb="FF000000"/>
      <name val="Calibri"/>
      <family val="2"/>
      <scheme val="minor"/>
    </font>
    <font>
      <b/>
      <sz val="11"/>
      <color rgb="FF000000"/>
      <name val="Calibri"/>
      <family val="2"/>
      <scheme val="minor"/>
    </font>
    <font>
      <i/>
      <sz val="11"/>
      <color rgb="FF000000"/>
      <name val="Calibri"/>
      <family val="2"/>
      <scheme val="minor"/>
    </font>
    <font>
      <sz val="11"/>
      <color rgb="FF000000"/>
      <name val="Symbol"/>
      <family val="1"/>
      <charset val="2"/>
    </font>
    <font>
      <sz val="14"/>
      <color rgb="FF538ED5"/>
      <name val="Cambria"/>
      <family val="1"/>
      <scheme val="major"/>
    </font>
    <font>
      <sz val="11"/>
      <name val="Calibri"/>
      <family val="2"/>
      <scheme val="minor"/>
    </font>
    <font>
      <b/>
      <sz val="11"/>
      <name val="Calibri"/>
      <family val="2"/>
      <scheme val="minor"/>
    </font>
    <font>
      <b/>
      <sz val="11"/>
      <color rgb="FFC00000"/>
      <name val="Calibri"/>
      <family val="2"/>
      <scheme val="minor"/>
    </font>
    <font>
      <b/>
      <sz val="8"/>
      <color theme="0"/>
      <name val="Calibri"/>
      <family val="2"/>
      <scheme val="minor"/>
    </font>
    <font>
      <b/>
      <sz val="8"/>
      <color theme="0" tint="-0.34998626667073579"/>
      <name val="Calibri"/>
      <family val="2"/>
      <scheme val="minor"/>
    </font>
    <font>
      <b/>
      <sz val="8"/>
      <color theme="0" tint="-0.499984740745262"/>
      <name val="Calibri"/>
      <family val="2"/>
      <scheme val="minor"/>
    </font>
    <font>
      <sz val="8"/>
      <color theme="1"/>
      <name val="Calibri"/>
      <family val="2"/>
      <scheme val="minor"/>
    </font>
    <font>
      <sz val="8"/>
      <color theme="0" tint="-0.34998626667073579"/>
      <name val="Calibri"/>
      <family val="2"/>
      <scheme val="minor"/>
    </font>
    <font>
      <sz val="8"/>
      <color theme="3" tint="0.39997558519241921"/>
      <name val="Calibri"/>
      <family val="2"/>
      <scheme val="minor"/>
    </font>
    <font>
      <sz val="8"/>
      <color rgb="FF00B050"/>
      <name val="Calibri"/>
      <family val="2"/>
      <scheme val="minor"/>
    </font>
    <font>
      <sz val="8"/>
      <color theme="4" tint="0.39997558519241921"/>
      <name val="Calibri"/>
      <family val="2"/>
      <scheme val="minor"/>
    </font>
    <font>
      <sz val="8"/>
      <color theme="1"/>
      <name val="Calibri"/>
      <family val="2"/>
      <scheme val="minor"/>
    </font>
    <font>
      <sz val="11"/>
      <color theme="1"/>
      <name val="Calibri"/>
      <family val="2"/>
      <scheme val="minor"/>
    </font>
    <font>
      <b/>
      <sz val="11"/>
      <color rgb="FF000000"/>
      <name val="Calibri"/>
      <family val="2"/>
    </font>
    <font>
      <sz val="11"/>
      <color theme="1"/>
      <name val="Calibri"/>
      <family val="2"/>
    </font>
    <font>
      <u/>
      <sz val="11"/>
      <color theme="11"/>
      <name val="Calibri"/>
      <family val="2"/>
      <scheme val="minor"/>
    </font>
    <font>
      <sz val="8"/>
      <color rgb="FF000000"/>
      <name val="Calibri"/>
      <family val="2"/>
      <scheme val="minor"/>
    </font>
    <font>
      <u/>
      <sz val="12"/>
      <color theme="10"/>
      <name val="Calibri"/>
      <family val="2"/>
      <scheme val="minor"/>
    </font>
    <font>
      <sz val="8"/>
      <color theme="1"/>
      <name val="Calibri"/>
      <family val="2"/>
      <scheme val="minor"/>
    </font>
    <font>
      <b/>
      <sz val="8"/>
      <color rgb="FF000000"/>
      <name val="Tahoma"/>
      <family val="2"/>
    </font>
    <font>
      <i/>
      <sz val="8"/>
      <color rgb="FF000000"/>
      <name val="Tahoma"/>
      <family val="2"/>
    </font>
    <font>
      <b/>
      <sz val="14"/>
      <color theme="1"/>
      <name val="Calibri"/>
      <family val="2"/>
      <scheme val="minor"/>
    </font>
    <font>
      <b/>
      <sz val="11"/>
      <color theme="1"/>
      <name val="Calibri"/>
      <family val="2"/>
      <scheme val="minor"/>
    </font>
    <font>
      <sz val="8"/>
      <color theme="0" tint="-0.34998626667073579"/>
      <name val="Calibri"/>
      <family val="2"/>
      <scheme val="minor"/>
    </font>
    <font>
      <sz val="8"/>
      <color theme="3" tint="0.39997558519241921"/>
      <name val="Calibri"/>
      <family val="2"/>
      <scheme val="minor"/>
    </font>
    <font>
      <sz val="8"/>
      <color rgb="FF00B050"/>
      <name val="Calibri"/>
      <family val="2"/>
      <scheme val="minor"/>
    </font>
    <font>
      <b/>
      <sz val="10"/>
      <color rgb="FF000000"/>
      <name val="Tahoma"/>
      <family val="2"/>
    </font>
    <font>
      <sz val="8"/>
      <color rgb="FF000000"/>
      <name val="Tahoma"/>
      <family val="2"/>
    </font>
    <font>
      <b/>
      <i/>
      <sz val="8"/>
      <color rgb="FF000000"/>
      <name val="Tahoma"/>
      <family val="2"/>
    </font>
    <font>
      <b/>
      <sz val="8"/>
      <color rgb="FF000000"/>
      <name val="Calibri"/>
      <family val="2"/>
      <scheme val="minor"/>
    </font>
    <font>
      <i/>
      <sz val="8"/>
      <color rgb="FF000000"/>
      <name val="Calibri"/>
      <family val="2"/>
      <scheme val="minor"/>
    </font>
    <font>
      <sz val="11"/>
      <color rgb="FF000000"/>
      <name val="Calibri"/>
      <family val="2"/>
    </font>
    <font>
      <i/>
      <sz val="11"/>
      <color rgb="FF000000"/>
      <name val="Calibri"/>
      <family val="2"/>
    </font>
    <font>
      <b/>
      <sz val="7"/>
      <color rgb="FF000000"/>
      <name val="Times New Roman"/>
      <family val="1"/>
    </font>
    <font>
      <b/>
      <sz val="7"/>
      <color rgb="FF000000"/>
      <name val="Calibri"/>
      <family val="2"/>
    </font>
    <font>
      <b/>
      <i/>
      <sz val="11"/>
      <color rgb="FF000000"/>
      <name val="Calibri"/>
      <family val="2"/>
    </font>
    <font>
      <b/>
      <sz val="16"/>
      <color theme="1"/>
      <name val="Calibri"/>
      <family val="2"/>
      <scheme val="minor"/>
    </font>
    <font>
      <sz val="16"/>
      <color theme="1"/>
      <name val="Calibri"/>
      <family val="2"/>
      <scheme val="minor"/>
    </font>
    <font>
      <b/>
      <sz val="8"/>
      <color rgb="FF000000"/>
      <name val="Tahoma"/>
      <family val="34"/>
    </font>
    <font>
      <sz val="1"/>
      <color rgb="FF000000"/>
      <name val="Tahoma"/>
      <family val="34"/>
    </font>
    <font>
      <i/>
      <sz val="8"/>
      <color rgb="FF000000"/>
      <name val="Tahoma"/>
      <family val="34"/>
    </font>
    <font>
      <sz val="11"/>
      <color theme="1"/>
      <name val="Calibri"/>
      <family val="2"/>
      <scheme val="minor"/>
    </font>
    <font>
      <sz val="11"/>
      <color theme="0" tint="-0.34998626667073579"/>
      <name val="Calibri"/>
      <family val="2"/>
      <scheme val="minor"/>
    </font>
    <font>
      <sz val="14"/>
      <color theme="1"/>
      <name val="Calibri"/>
      <family val="2"/>
      <scheme val="minor"/>
    </font>
    <font>
      <sz val="9"/>
      <color indexed="81"/>
      <name val="Tahoma"/>
      <family val="2"/>
    </font>
    <font>
      <b/>
      <sz val="9"/>
      <color indexed="81"/>
      <name val="Tahoma"/>
      <family val="2"/>
    </font>
    <font>
      <sz val="8"/>
      <color theme="1"/>
      <name val="Calibri"/>
      <family val="2"/>
      <scheme val="minor"/>
    </font>
    <font>
      <sz val="11"/>
      <color theme="1"/>
      <name val="Calibri"/>
      <family val="2"/>
      <scheme val="minor"/>
    </font>
    <font>
      <sz val="11"/>
      <color theme="0" tint="-0.34998626667073579"/>
      <name val="Calibri"/>
      <family val="2"/>
      <scheme val="minor"/>
    </font>
    <font>
      <sz val="8"/>
      <name val="Calibri"/>
      <family val="2"/>
      <scheme val="minor"/>
    </font>
    <font>
      <sz val="8"/>
      <color theme="4" tint="0.39997558519241921"/>
      <name val="Calibri"/>
      <family val="2"/>
      <scheme val="minor"/>
    </font>
    <font>
      <b/>
      <sz val="11"/>
      <color theme="0" tint="-0.249977111117893"/>
      <name val="Calibri"/>
      <family val="2"/>
      <scheme val="minor"/>
    </font>
    <font>
      <b/>
      <sz val="8"/>
      <color theme="1"/>
      <name val="Calibri"/>
      <family val="2"/>
      <scheme val="minor"/>
    </font>
    <font>
      <sz val="8"/>
      <color theme="1"/>
      <name val="Calibri"/>
      <family val="2"/>
      <scheme val="minor"/>
    </font>
    <font>
      <b/>
      <sz val="9"/>
      <color rgb="FF000000"/>
      <name val="Tahoma"/>
      <family val="2"/>
    </font>
    <font>
      <b/>
      <sz val="36"/>
      <color theme="1"/>
      <name val="Calibri"/>
      <family val="2"/>
      <scheme val="minor"/>
    </font>
    <font>
      <b/>
      <sz val="48"/>
      <color theme="1"/>
      <name val="Calibri (Body)"/>
    </font>
    <font>
      <sz val="8"/>
      <color theme="1"/>
      <name val="Calibri"/>
      <family val="2"/>
      <scheme val="minor"/>
    </font>
    <font>
      <b/>
      <sz val="12"/>
      <color theme="1"/>
      <name val="Calibri"/>
      <family val="2"/>
      <scheme val="minor"/>
    </font>
    <font>
      <sz val="8"/>
      <color theme="1"/>
      <name val="Calibri"/>
      <family val="2"/>
      <scheme val="minor"/>
    </font>
    <font>
      <sz val="8"/>
      <color theme="1"/>
      <name val="Calibri"/>
      <family val="2"/>
      <scheme val="minor"/>
    </font>
    <font>
      <sz val="8"/>
      <color theme="1"/>
      <name val="Calibri"/>
      <family val="2"/>
      <scheme val="minor"/>
    </font>
    <font>
      <sz val="22"/>
      <color theme="1"/>
      <name val="Calibri"/>
      <family val="2"/>
      <scheme val="minor"/>
    </font>
    <font>
      <sz val="24"/>
      <color theme="1"/>
      <name val="Calibri"/>
      <family val="2"/>
      <scheme val="minor"/>
    </font>
    <font>
      <sz val="8"/>
      <color theme="1"/>
      <name val="Calibri"/>
      <family val="2"/>
      <scheme val="minor"/>
    </font>
    <font>
      <sz val="8"/>
      <color theme="1"/>
      <name val="Calibri"/>
      <family val="2"/>
      <scheme val="minor"/>
    </font>
    <font>
      <sz val="11"/>
      <color theme="0" tint="-0.249977111117893"/>
      <name val="Calibri"/>
      <family val="2"/>
      <scheme val="minor"/>
    </font>
    <font>
      <sz val="8"/>
      <color theme="1"/>
      <name val="Calibri"/>
      <family val="2"/>
      <scheme val="minor"/>
    </font>
    <font>
      <b/>
      <sz val="8"/>
      <color theme="1"/>
      <name val="Calibri"/>
      <family val="2"/>
      <scheme val="minor"/>
    </font>
    <font>
      <sz val="8"/>
      <color theme="1"/>
      <name val="Calibri"/>
      <family val="2"/>
      <scheme val="minor"/>
    </font>
    <font>
      <sz val="8"/>
      <color theme="1"/>
      <name val="Calibri"/>
      <family val="2"/>
      <scheme val="minor"/>
    </font>
    <font>
      <sz val="8"/>
      <color theme="1"/>
      <name val="Calibri"/>
      <family val="2"/>
      <scheme val="minor"/>
    </font>
    <font>
      <sz val="8"/>
      <color theme="1"/>
      <name val="Calibri"/>
      <scheme val="minor"/>
    </font>
  </fonts>
  <fills count="16">
    <fill>
      <patternFill patternType="none"/>
    </fill>
    <fill>
      <patternFill patternType="gray125"/>
    </fill>
    <fill>
      <patternFill patternType="solid">
        <fgColor theme="1"/>
        <bgColor theme="1"/>
      </patternFill>
    </fill>
    <fill>
      <patternFill patternType="solid">
        <fgColor theme="9" tint="-0.249977111117893"/>
        <bgColor theme="1"/>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39997558519241921"/>
        <bgColor theme="4"/>
      </patternFill>
    </fill>
    <fill>
      <patternFill patternType="solid">
        <fgColor rgb="FF00B0F0"/>
        <bgColor theme="4"/>
      </patternFill>
    </fill>
    <fill>
      <patternFill patternType="solid">
        <fgColor rgb="FF00B0F0"/>
        <bgColor indexed="64"/>
      </patternFill>
    </fill>
    <fill>
      <patternFill patternType="solid">
        <fgColor theme="9" tint="-0.249977111117893"/>
        <bgColor indexed="64"/>
      </patternFill>
    </fill>
    <fill>
      <patternFill patternType="solid">
        <fgColor rgb="FFFFC000"/>
        <bgColor theme="4"/>
      </patternFill>
    </fill>
    <fill>
      <patternFill patternType="solid">
        <fgColor rgb="FFDCE6F1"/>
        <bgColor rgb="FFDCE6F1"/>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E6B8B7"/>
        <bgColor rgb="FFE6B8B7"/>
      </patternFill>
    </fill>
  </fills>
  <borders count="34">
    <border>
      <left/>
      <right/>
      <top/>
      <bottom/>
      <diagonal/>
    </border>
    <border>
      <left/>
      <right/>
      <top/>
      <bottom style="thin">
        <color theme="1"/>
      </bottom>
      <diagonal/>
    </border>
    <border>
      <left style="thin">
        <color theme="1"/>
      </left>
      <right style="thin">
        <color theme="1"/>
      </right>
      <top style="thin">
        <color theme="1"/>
      </top>
      <bottom style="medium">
        <color theme="1"/>
      </bottom>
      <diagonal/>
    </border>
    <border>
      <left/>
      <right/>
      <top/>
      <bottom style="medium">
        <color auto="1"/>
      </bottom>
      <diagonal/>
    </border>
    <border>
      <left/>
      <right/>
      <top style="medium">
        <color auto="1"/>
      </top>
      <bottom/>
      <diagonal/>
    </border>
    <border>
      <left/>
      <right/>
      <top/>
      <bottom style="thin">
        <color theme="4" tint="0.39997558519241921"/>
      </bottom>
      <diagonal/>
    </border>
    <border>
      <left style="thin">
        <color rgb="FF000000"/>
      </left>
      <right style="thin">
        <color rgb="FF4F81BD"/>
      </right>
      <top style="thin">
        <color rgb="FF4F81BD"/>
      </top>
      <bottom style="thin">
        <color rgb="FF4F81BD"/>
      </bottom>
      <diagonal/>
    </border>
    <border>
      <left/>
      <right/>
      <top style="thin">
        <color rgb="FF95B3D7"/>
      </top>
      <bottom style="thin">
        <color rgb="FF95B3D7"/>
      </bottom>
      <diagonal/>
    </border>
    <border>
      <left/>
      <right/>
      <top/>
      <bottom style="medium">
        <color theme="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n">
        <color indexed="64"/>
      </bottom>
      <diagonal/>
    </border>
    <border>
      <left style="thin">
        <color rgb="FFDA9694"/>
      </left>
      <right style="thin">
        <color rgb="FFDA9694"/>
      </right>
      <top style="thin">
        <color rgb="FFDA9694"/>
      </top>
      <bottom style="thin">
        <color rgb="FFDA9694"/>
      </bottom>
      <diagonal/>
    </border>
  </borders>
  <cellStyleXfs count="3026">
    <xf numFmtId="0" fontId="0" fillId="0" borderId="0"/>
    <xf numFmtId="0" fontId="12" fillId="0" borderId="0" applyNumberFormat="0" applyFill="0" applyBorder="0" applyAlignment="0" applyProtection="0">
      <alignment vertical="top"/>
      <protection locked="0"/>
    </xf>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 fillId="0" borderId="0"/>
    <xf numFmtId="0" fontId="36"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 fillId="0" borderId="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1" fillId="0" borderId="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9" fontId="31" fillId="0" borderId="0" applyFont="0" applyFill="0" applyBorder="0" applyAlignment="0" applyProtection="0"/>
    <xf numFmtId="0" fontId="1" fillId="0" borderId="0"/>
    <xf numFmtId="0" fontId="1" fillId="0" borderId="0"/>
  </cellStyleXfs>
  <cellXfs count="338">
    <xf numFmtId="0" fontId="0" fillId="0" borderId="0" xfId="0"/>
    <xf numFmtId="0" fontId="0" fillId="0" borderId="0" xfId="0" applyAlignment="1">
      <alignment horizontal="right"/>
    </xf>
    <xf numFmtId="0" fontId="0" fillId="0" borderId="0" xfId="0" applyAlignment="1">
      <alignment horizontal="left"/>
    </xf>
    <xf numFmtId="2" fontId="0" fillId="0" borderId="0" xfId="0" applyNumberFormat="1"/>
    <xf numFmtId="10" fontId="9" fillId="0" borderId="0" xfId="0" applyNumberFormat="1" applyFont="1"/>
    <xf numFmtId="10" fontId="10" fillId="0" borderId="0" xfId="0" applyNumberFormat="1" applyFont="1"/>
    <xf numFmtId="0" fontId="9" fillId="0" borderId="0" xfId="0" applyFont="1" applyAlignment="1">
      <alignment horizontal="right"/>
    </xf>
    <xf numFmtId="10" fontId="10" fillId="0" borderId="0" xfId="0" applyNumberFormat="1" applyFont="1" applyAlignment="1">
      <alignment horizontal="right"/>
    </xf>
    <xf numFmtId="49" fontId="4" fillId="2" borderId="2" xfId="0" applyNumberFormat="1" applyFont="1" applyFill="1" applyBorder="1"/>
    <xf numFmtId="0" fontId="0" fillId="0" borderId="0" xfId="0" applyAlignment="1">
      <alignment horizontal="left" indent="4"/>
    </xf>
    <xf numFmtId="0" fontId="0" fillId="0" borderId="0" xfId="0" applyAlignment="1">
      <alignment horizontal="left" indent="2"/>
    </xf>
    <xf numFmtId="0" fontId="14" fillId="0" borderId="0" xfId="0" applyFont="1"/>
    <xf numFmtId="0" fontId="14" fillId="0" borderId="3" xfId="0" applyFont="1" applyBorder="1"/>
    <xf numFmtId="0" fontId="14" fillId="0" borderId="0" xfId="0" applyFont="1" applyAlignment="1">
      <alignment horizontal="left" indent="4"/>
    </xf>
    <xf numFmtId="0" fontId="16" fillId="0" borderId="4" xfId="0" applyFont="1" applyBorder="1" applyAlignment="1">
      <alignment horizontal="left" indent="8"/>
    </xf>
    <xf numFmtId="0" fontId="14" fillId="0" borderId="4" xfId="0" applyFont="1" applyBorder="1"/>
    <xf numFmtId="0" fontId="16" fillId="0" borderId="0" xfId="0" applyFont="1" applyAlignment="1">
      <alignment horizontal="left" indent="4"/>
    </xf>
    <xf numFmtId="0" fontId="16" fillId="0" borderId="0" xfId="0" applyFont="1"/>
    <xf numFmtId="0" fontId="15" fillId="0" borderId="0" xfId="0" applyFont="1" applyAlignment="1">
      <alignment horizontal="left" indent="6"/>
    </xf>
    <xf numFmtId="0" fontId="4" fillId="4" borderId="5" xfId="0" applyFont="1" applyFill="1" applyBorder="1"/>
    <xf numFmtId="0" fontId="0" fillId="5" borderId="0" xfId="0" applyFill="1"/>
    <xf numFmtId="2" fontId="0" fillId="5" borderId="0" xfId="0" applyNumberFormat="1" applyFill="1"/>
    <xf numFmtId="2" fontId="4" fillId="7" borderId="5" xfId="0" applyNumberFormat="1" applyFont="1" applyFill="1" applyBorder="1"/>
    <xf numFmtId="0" fontId="4" fillId="7" borderId="5" xfId="0" applyFont="1" applyFill="1" applyBorder="1"/>
    <xf numFmtId="0" fontId="4" fillId="8" borderId="5" xfId="0" applyFont="1" applyFill="1" applyBorder="1"/>
    <xf numFmtId="0" fontId="4" fillId="6" borderId="5" xfId="0" applyFont="1" applyFill="1" applyBorder="1"/>
    <xf numFmtId="49" fontId="22" fillId="2" borderId="0" xfId="0" applyNumberFormat="1" applyFont="1" applyFill="1" applyProtection="1">
      <protection locked="0"/>
    </xf>
    <xf numFmtId="49" fontId="23" fillId="2" borderId="0" xfId="0" applyNumberFormat="1" applyFont="1" applyFill="1" applyProtection="1">
      <protection locked="0"/>
    </xf>
    <xf numFmtId="49" fontId="24" fillId="2" borderId="0" xfId="0" applyNumberFormat="1" applyFont="1" applyFill="1" applyProtection="1">
      <protection locked="0"/>
    </xf>
    <xf numFmtId="0" fontId="24" fillId="2" borderId="1" xfId="0" applyFont="1" applyFill="1" applyBorder="1" applyProtection="1">
      <protection locked="0"/>
    </xf>
    <xf numFmtId="2" fontId="24" fillId="2" borderId="1" xfId="0" applyNumberFormat="1" applyFont="1" applyFill="1" applyBorder="1" applyProtection="1">
      <protection locked="0"/>
    </xf>
    <xf numFmtId="2" fontId="22" fillId="3" borderId="1" xfId="0" applyNumberFormat="1" applyFont="1" applyFill="1" applyBorder="1" applyProtection="1">
      <protection locked="0"/>
    </xf>
    <xf numFmtId="9" fontId="22" fillId="3" borderId="1" xfId="0" applyNumberFormat="1" applyFont="1" applyFill="1" applyBorder="1" applyProtection="1">
      <protection locked="0"/>
    </xf>
    <xf numFmtId="9" fontId="24" fillId="2" borderId="1" xfId="0" applyNumberFormat="1" applyFont="1" applyFill="1" applyBorder="1" applyProtection="1">
      <protection locked="0"/>
    </xf>
    <xf numFmtId="9" fontId="22" fillId="9" borderId="1" xfId="0" applyNumberFormat="1" applyFont="1" applyFill="1" applyBorder="1" applyProtection="1">
      <protection locked="0"/>
    </xf>
    <xf numFmtId="0" fontId="22" fillId="9" borderId="1" xfId="0" applyFont="1" applyFill="1" applyBorder="1" applyProtection="1">
      <protection locked="0"/>
    </xf>
    <xf numFmtId="49" fontId="22" fillId="9" borderId="0" xfId="0" applyNumberFormat="1" applyFont="1" applyFill="1" applyProtection="1">
      <protection locked="0"/>
    </xf>
    <xf numFmtId="0" fontId="25" fillId="0" borderId="0" xfId="0" applyFont="1"/>
    <xf numFmtId="49" fontId="25" fillId="0" borderId="0" xfId="0" applyNumberFormat="1" applyFont="1"/>
    <xf numFmtId="0" fontId="25" fillId="0" borderId="0" xfId="0" applyFont="1" applyProtection="1">
      <protection locked="0"/>
    </xf>
    <xf numFmtId="0" fontId="25" fillId="0" borderId="0" xfId="0" applyFont="1" applyAlignment="1" applyProtection="1">
      <alignment horizontal="right"/>
      <protection locked="0"/>
    </xf>
    <xf numFmtId="10" fontId="25" fillId="0" borderId="0" xfId="0" applyNumberFormat="1" applyFont="1" applyAlignment="1" applyProtection="1">
      <alignment horizontal="right"/>
      <protection locked="0"/>
    </xf>
    <xf numFmtId="164" fontId="25" fillId="0" borderId="0" xfId="0" applyNumberFormat="1" applyFont="1"/>
    <xf numFmtId="2" fontId="25" fillId="0" borderId="0" xfId="0" applyNumberFormat="1" applyFont="1"/>
    <xf numFmtId="2" fontId="26" fillId="0" borderId="0" xfId="0" applyNumberFormat="1" applyFont="1"/>
    <xf numFmtId="10" fontId="26" fillId="0" borderId="0" xfId="0" applyNumberFormat="1" applyFont="1"/>
    <xf numFmtId="165" fontId="27" fillId="0" borderId="0" xfId="0" applyNumberFormat="1" applyFont="1"/>
    <xf numFmtId="2" fontId="28" fillId="0" borderId="0" xfId="0" applyNumberFormat="1" applyFont="1"/>
    <xf numFmtId="10" fontId="28" fillId="0" borderId="0" xfId="0" applyNumberFormat="1" applyFont="1"/>
    <xf numFmtId="0" fontId="22" fillId="2" borderId="0" xfId="0" applyFont="1" applyFill="1" applyProtection="1">
      <protection locked="0"/>
    </xf>
    <xf numFmtId="0" fontId="23" fillId="2" borderId="0" xfId="0" applyFont="1" applyFill="1" applyProtection="1">
      <protection locked="0"/>
    </xf>
    <xf numFmtId="164" fontId="22" fillId="2" borderId="0" xfId="0" applyNumberFormat="1" applyFont="1" applyFill="1" applyProtection="1">
      <protection locked="0"/>
    </xf>
    <xf numFmtId="0" fontId="22" fillId="3" borderId="1" xfId="0" applyFont="1" applyFill="1" applyBorder="1" applyProtection="1">
      <protection locked="0"/>
    </xf>
    <xf numFmtId="0" fontId="22" fillId="2" borderId="1" xfId="0" applyFont="1" applyFill="1" applyBorder="1" applyProtection="1">
      <protection locked="0"/>
    </xf>
    <xf numFmtId="164" fontId="25" fillId="0" borderId="0" xfId="0" applyNumberFormat="1" applyFont="1" applyProtection="1">
      <protection locked="0"/>
    </xf>
    <xf numFmtId="0" fontId="25" fillId="0" borderId="0" xfId="0" applyFont="1" applyAlignment="1" applyProtection="1">
      <alignment horizontal="center"/>
      <protection locked="0"/>
    </xf>
    <xf numFmtId="0" fontId="29" fillId="0" borderId="0" xfId="0" applyFont="1" applyProtection="1">
      <protection locked="0"/>
    </xf>
    <xf numFmtId="2" fontId="25" fillId="0" borderId="0" xfId="0" applyNumberFormat="1" applyFont="1" applyProtection="1">
      <protection locked="0"/>
    </xf>
    <xf numFmtId="10" fontId="25" fillId="0" borderId="0" xfId="0" applyNumberFormat="1" applyFont="1" applyProtection="1">
      <protection locked="0"/>
    </xf>
    <xf numFmtId="0" fontId="25" fillId="0" borderId="0" xfId="0" applyFont="1" applyAlignment="1">
      <alignment horizontal="right"/>
    </xf>
    <xf numFmtId="0" fontId="30" fillId="0" borderId="0" xfId="0" applyFont="1"/>
    <xf numFmtId="0" fontId="4" fillId="10" borderId="5" xfId="0" applyFont="1" applyFill="1" applyBorder="1"/>
    <xf numFmtId="0" fontId="31" fillId="5" borderId="0" xfId="0" applyFont="1" applyFill="1"/>
    <xf numFmtId="2" fontId="0" fillId="0" borderId="0" xfId="0" applyNumberFormat="1" applyAlignment="1">
      <alignment horizontal="right"/>
    </xf>
    <xf numFmtId="2" fontId="10" fillId="0" borderId="0" xfId="0" applyNumberFormat="1" applyFont="1"/>
    <xf numFmtId="0" fontId="32" fillId="0" borderId="0" xfId="0" applyFont="1"/>
    <xf numFmtId="0" fontId="33" fillId="0" borderId="0" xfId="0" applyFont="1"/>
    <xf numFmtId="0" fontId="35" fillId="11" borderId="7" xfId="0" applyFont="1" applyFill="1" applyBorder="1"/>
    <xf numFmtId="0" fontId="35" fillId="0" borderId="7" xfId="0" applyFont="1" applyBorder="1"/>
    <xf numFmtId="0" fontId="37" fillId="0" borderId="0" xfId="0" applyFont="1"/>
    <xf numFmtId="0" fontId="41" fillId="0" borderId="0" xfId="0" applyFont="1"/>
    <xf numFmtId="0" fontId="37" fillId="0" borderId="0" xfId="0" applyFont="1" applyAlignment="1">
      <alignment horizontal="right"/>
    </xf>
    <xf numFmtId="0" fontId="37" fillId="0" borderId="0" xfId="0" applyFont="1" applyAlignment="1" applyProtection="1">
      <alignment horizontal="right"/>
      <protection locked="0"/>
    </xf>
    <xf numFmtId="10" fontId="37" fillId="0" borderId="0" xfId="0" applyNumberFormat="1" applyFont="1" applyAlignment="1" applyProtection="1">
      <alignment horizontal="right"/>
      <protection locked="0"/>
    </xf>
    <xf numFmtId="164" fontId="37" fillId="0" borderId="0" xfId="0" applyNumberFormat="1" applyFont="1"/>
    <xf numFmtId="2" fontId="37" fillId="0" borderId="0" xfId="0" applyNumberFormat="1" applyFont="1"/>
    <xf numFmtId="2" fontId="42" fillId="0" borderId="0" xfId="0" applyNumberFormat="1" applyFont="1"/>
    <xf numFmtId="10" fontId="42" fillId="0" borderId="0" xfId="0" applyNumberFormat="1" applyFont="1"/>
    <xf numFmtId="165" fontId="43" fillId="0" borderId="0" xfId="0" applyNumberFormat="1" applyFont="1"/>
    <xf numFmtId="2" fontId="44" fillId="0" borderId="0" xfId="0" applyNumberFormat="1" applyFont="1"/>
    <xf numFmtId="10" fontId="44" fillId="0" borderId="0" xfId="0" applyNumberFormat="1" applyFont="1"/>
    <xf numFmtId="0" fontId="40" fillId="0" borderId="0" xfId="0" applyFont="1"/>
    <xf numFmtId="49" fontId="37" fillId="0" borderId="0" xfId="0" applyNumberFormat="1" applyFont="1"/>
    <xf numFmtId="0" fontId="37" fillId="0" borderId="0" xfId="0" applyFont="1" applyProtection="1">
      <protection locked="0"/>
    </xf>
    <xf numFmtId="14" fontId="25" fillId="0" borderId="0" xfId="0" applyNumberFormat="1" applyFont="1"/>
    <xf numFmtId="14" fontId="30" fillId="0" borderId="0" xfId="0" applyNumberFormat="1" applyFont="1"/>
    <xf numFmtId="2" fontId="40" fillId="0" borderId="0" xfId="0" applyNumberFormat="1" applyFont="1"/>
    <xf numFmtId="0" fontId="17" fillId="0" borderId="0" xfId="0" applyFont="1" applyAlignment="1">
      <alignment horizontal="left" indent="5"/>
    </xf>
    <xf numFmtId="0" fontId="14" fillId="0" borderId="0" xfId="0" applyFont="1" applyAlignment="1">
      <alignment horizontal="left" indent="2"/>
    </xf>
    <xf numFmtId="0" fontId="14" fillId="0" borderId="0" xfId="0" applyFont="1" applyAlignment="1">
      <alignment horizontal="left" indent="5"/>
    </xf>
    <xf numFmtId="0" fontId="14" fillId="0" borderId="0" xfId="0" applyFont="1" applyAlignment="1">
      <alignment horizontal="left" indent="6"/>
    </xf>
    <xf numFmtId="0" fontId="13"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17" fillId="0" borderId="0" xfId="0" applyFont="1" applyAlignment="1">
      <alignment horizontal="left" indent="4"/>
    </xf>
    <xf numFmtId="0" fontId="15" fillId="0" borderId="0" xfId="0" applyFont="1" applyAlignment="1">
      <alignment horizontal="left" indent="4"/>
    </xf>
    <xf numFmtId="0" fontId="15" fillId="0" borderId="0" xfId="0" applyFont="1" applyAlignment="1">
      <alignment horizontal="left" indent="2"/>
    </xf>
    <xf numFmtId="0" fontId="12" fillId="0" borderId="0" xfId="1" applyAlignment="1" applyProtection="1">
      <alignment horizontal="left" indent="4"/>
    </xf>
    <xf numFmtId="0" fontId="16" fillId="0" borderId="0" xfId="0" applyFont="1" applyAlignment="1">
      <alignment horizontal="left" indent="2"/>
    </xf>
    <xf numFmtId="49" fontId="25" fillId="0" borderId="0" xfId="0" applyNumberFormat="1" applyFont="1" applyAlignment="1">
      <alignment horizontal="left"/>
    </xf>
    <xf numFmtId="49" fontId="37" fillId="0" borderId="0" xfId="0" applyNumberFormat="1" applyFont="1" applyAlignment="1">
      <alignment horizontal="left"/>
    </xf>
    <xf numFmtId="0" fontId="50" fillId="0" borderId="0" xfId="0" applyFont="1" applyAlignment="1">
      <alignment horizontal="left" indent="6"/>
    </xf>
    <xf numFmtId="0" fontId="33" fillId="0" borderId="0" xfId="0" applyFont="1" applyAlignment="1">
      <alignment horizontal="left" indent="2"/>
    </xf>
    <xf numFmtId="0" fontId="50" fillId="0" borderId="0" xfId="0" applyFont="1" applyAlignment="1">
      <alignment horizontal="left" indent="5"/>
    </xf>
    <xf numFmtId="0" fontId="51" fillId="0" borderId="0" xfId="0" applyFont="1" applyAlignment="1">
      <alignment horizontal="left" indent="4"/>
    </xf>
    <xf numFmtId="0" fontId="54" fillId="0" borderId="0" xfId="0" applyFont="1" applyAlignment="1">
      <alignment horizontal="left" indent="4"/>
    </xf>
    <xf numFmtId="0" fontId="50" fillId="0" borderId="0" xfId="0" applyFont="1" applyAlignment="1">
      <alignment horizontal="left" indent="2"/>
    </xf>
    <xf numFmtId="0" fontId="32" fillId="0" borderId="0" xfId="0" applyFont="1" applyAlignment="1">
      <alignment horizontal="left" indent="2"/>
    </xf>
    <xf numFmtId="0" fontId="0" fillId="0" borderId="8" xfId="0" applyBorder="1"/>
    <xf numFmtId="0" fontId="14" fillId="0" borderId="8" xfId="0" applyFont="1" applyBorder="1" applyAlignment="1">
      <alignment horizontal="left" indent="6"/>
    </xf>
    <xf numFmtId="0" fontId="60" fillId="0" borderId="0" xfId="0" applyFont="1"/>
    <xf numFmtId="2" fontId="60" fillId="0" borderId="0" xfId="0" applyNumberFormat="1" applyFont="1"/>
    <xf numFmtId="10" fontId="61" fillId="0" borderId="0" xfId="0" applyNumberFormat="1" applyFont="1"/>
    <xf numFmtId="0" fontId="15" fillId="0" borderId="0" xfId="0" applyFont="1"/>
    <xf numFmtId="0" fontId="62" fillId="0" borderId="9" xfId="0" applyFont="1" applyBorder="1"/>
    <xf numFmtId="2" fontId="41" fillId="0" borderId="0" xfId="0" applyNumberFormat="1" applyFont="1"/>
    <xf numFmtId="0" fontId="62" fillId="0" borderId="0" xfId="0" applyFont="1"/>
    <xf numFmtId="166" fontId="40" fillId="0" borderId="0" xfId="0" applyNumberFormat="1" applyFont="1"/>
    <xf numFmtId="10" fontId="62" fillId="0" borderId="0" xfId="0" applyNumberFormat="1" applyFont="1"/>
    <xf numFmtId="10" fontId="0" fillId="0" borderId="0" xfId="0" applyNumberFormat="1"/>
    <xf numFmtId="167" fontId="62" fillId="0" borderId="9" xfId="0" applyNumberFormat="1" applyFont="1" applyBorder="1"/>
    <xf numFmtId="167" fontId="41" fillId="0" borderId="0" xfId="0" applyNumberFormat="1" applyFont="1"/>
    <xf numFmtId="167" fontId="62" fillId="0" borderId="0" xfId="0" applyNumberFormat="1" applyFont="1"/>
    <xf numFmtId="167" fontId="40" fillId="12" borderId="0" xfId="0" applyNumberFormat="1" applyFont="1" applyFill="1"/>
    <xf numFmtId="167" fontId="0" fillId="0" borderId="0" xfId="0" applyNumberFormat="1"/>
    <xf numFmtId="0" fontId="62" fillId="0" borderId="10" xfId="0" applyFont="1" applyBorder="1"/>
    <xf numFmtId="167" fontId="62" fillId="0" borderId="10" xfId="0" applyNumberFormat="1" applyFont="1" applyBorder="1"/>
    <xf numFmtId="0" fontId="40" fillId="0" borderId="11" xfId="0" applyFont="1" applyBorder="1"/>
    <xf numFmtId="167" fontId="40" fillId="0" borderId="12" xfId="0" applyNumberFormat="1" applyFont="1" applyBorder="1"/>
    <xf numFmtId="0" fontId="62" fillId="0" borderId="3" xfId="0" applyFont="1" applyBorder="1"/>
    <xf numFmtId="0" fontId="40" fillId="0" borderId="3" xfId="0" applyFont="1" applyBorder="1" applyAlignment="1">
      <alignment horizontal="center"/>
    </xf>
    <xf numFmtId="2" fontId="25" fillId="0" borderId="0" xfId="0" applyNumberFormat="1" applyFont="1" applyAlignment="1" applyProtection="1">
      <alignment horizontal="right"/>
      <protection locked="0"/>
    </xf>
    <xf numFmtId="14" fontId="0" fillId="0" borderId="0" xfId="0" applyNumberFormat="1"/>
    <xf numFmtId="168" fontId="0" fillId="0" borderId="0" xfId="0" applyNumberFormat="1"/>
    <xf numFmtId="0" fontId="0" fillId="0" borderId="0" xfId="0" applyNumberFormat="1"/>
    <xf numFmtId="14" fontId="37" fillId="0" borderId="0" xfId="0" applyNumberFormat="1" applyFont="1"/>
    <xf numFmtId="168" fontId="0" fillId="0" borderId="0" xfId="0" applyNumberFormat="1" applyFont="1" applyAlignment="1">
      <alignment horizontal="center"/>
    </xf>
    <xf numFmtId="2" fontId="65" fillId="0" borderId="0" xfId="0" applyNumberFormat="1" applyFont="1"/>
    <xf numFmtId="0" fontId="66" fillId="0" borderId="0" xfId="0" applyNumberFormat="1" applyFont="1"/>
    <xf numFmtId="2" fontId="66" fillId="0" borderId="0" xfId="0" applyNumberFormat="1" applyFont="1"/>
    <xf numFmtId="10" fontId="67" fillId="0" borderId="0" xfId="0" applyNumberFormat="1" applyFont="1"/>
    <xf numFmtId="2" fontId="25" fillId="0" borderId="0" xfId="0" applyNumberFormat="1" applyFont="1" applyProtection="1"/>
    <xf numFmtId="14" fontId="25" fillId="0" borderId="0" xfId="0" applyNumberFormat="1" applyFont="1" applyProtection="1">
      <protection locked="0"/>
    </xf>
    <xf numFmtId="0" fontId="25" fillId="0" borderId="0" xfId="0" applyNumberFormat="1" applyFont="1" applyProtection="1">
      <protection locked="0"/>
    </xf>
    <xf numFmtId="0" fontId="29" fillId="0" borderId="0" xfId="0" applyNumberFormat="1" applyFont="1" applyFill="1" applyProtection="1"/>
    <xf numFmtId="10" fontId="25" fillId="0" borderId="0" xfId="0" applyNumberFormat="1" applyFont="1" applyProtection="1"/>
    <xf numFmtId="164" fontId="65" fillId="0" borderId="0" xfId="0" applyNumberFormat="1" applyFont="1"/>
    <xf numFmtId="2" fontId="65" fillId="0" borderId="0" xfId="0" applyNumberFormat="1" applyFont="1" applyProtection="1">
      <protection locked="0"/>
    </xf>
    <xf numFmtId="14" fontId="35" fillId="11" borderId="6" xfId="0" applyNumberFormat="1" applyFont="1" applyFill="1" applyBorder="1" applyProtection="1">
      <protection locked="0"/>
    </xf>
    <xf numFmtId="9" fontId="65" fillId="0" borderId="0" xfId="3023" applyFont="1" applyAlignment="1" applyProtection="1">
      <alignment horizontal="right"/>
      <protection locked="0"/>
    </xf>
    <xf numFmtId="9" fontId="25" fillId="0" borderId="0" xfId="3023" applyFont="1" applyAlignment="1" applyProtection="1">
      <alignment horizontal="right"/>
      <protection locked="0"/>
    </xf>
    <xf numFmtId="0" fontId="65" fillId="0" borderId="0" xfId="0" applyFont="1" applyProtection="1">
      <protection locked="0"/>
    </xf>
    <xf numFmtId="0" fontId="65" fillId="0" borderId="0" xfId="0" applyFont="1" applyAlignment="1" applyProtection="1">
      <alignment horizontal="right"/>
      <protection locked="0"/>
    </xf>
    <xf numFmtId="164" fontId="65" fillId="0" borderId="0" xfId="0" applyNumberFormat="1" applyFont="1" applyProtection="1">
      <protection locked="0"/>
    </xf>
    <xf numFmtId="0" fontId="65" fillId="0" borderId="0" xfId="0" applyFont="1" applyAlignment="1" applyProtection="1">
      <alignment horizontal="center"/>
      <protection locked="0"/>
    </xf>
    <xf numFmtId="0" fontId="69" fillId="0" borderId="0" xfId="0" applyNumberFormat="1" applyFont="1" applyFill="1" applyProtection="1">
      <protection locked="0"/>
    </xf>
    <xf numFmtId="10" fontId="65" fillId="0" borderId="0" xfId="0" applyNumberFormat="1" applyFont="1" applyProtection="1">
      <protection locked="0"/>
    </xf>
    <xf numFmtId="14" fontId="65" fillId="0" borderId="0" xfId="0" applyNumberFormat="1" applyFont="1" applyProtection="1">
      <protection locked="0"/>
    </xf>
    <xf numFmtId="49" fontId="25" fillId="0" borderId="0" xfId="0" applyNumberFormat="1" applyFont="1" applyAlignment="1" applyProtection="1">
      <alignment horizontal="left"/>
      <protection locked="0"/>
    </xf>
    <xf numFmtId="1" fontId="41" fillId="0" borderId="0" xfId="0" applyNumberFormat="1" applyFont="1"/>
    <xf numFmtId="0" fontId="65" fillId="0" borderId="0" xfId="0" applyFont="1"/>
    <xf numFmtId="0" fontId="65" fillId="0" borderId="0" xfId="0" applyFont="1" applyAlignment="1">
      <alignment horizontal="right"/>
    </xf>
    <xf numFmtId="14" fontId="65" fillId="0" borderId="0" xfId="0" applyNumberFormat="1" applyFont="1"/>
    <xf numFmtId="0" fontId="66" fillId="5" borderId="0" xfId="0" applyFont="1" applyFill="1"/>
    <xf numFmtId="0" fontId="66" fillId="5" borderId="0" xfId="0" applyNumberFormat="1" applyFont="1" applyFill="1"/>
    <xf numFmtId="2" fontId="66" fillId="5" borderId="0" xfId="0" applyNumberFormat="1" applyFont="1" applyFill="1"/>
    <xf numFmtId="0" fontId="25" fillId="0" borderId="0" xfId="0" applyNumberFormat="1" applyFont="1"/>
    <xf numFmtId="9" fontId="25" fillId="0" borderId="0" xfId="0" applyNumberFormat="1" applyFont="1"/>
    <xf numFmtId="0" fontId="15" fillId="0" borderId="0" xfId="0" applyFont="1"/>
    <xf numFmtId="168" fontId="0" fillId="0" borderId="0" xfId="0" applyNumberFormat="1" applyAlignment="1">
      <alignment horizontal="center"/>
    </xf>
    <xf numFmtId="22" fontId="0" fillId="0" borderId="0" xfId="0" applyNumberFormat="1"/>
    <xf numFmtId="0" fontId="56" fillId="0" borderId="0" xfId="0" applyFont="1"/>
    <xf numFmtId="0" fontId="0" fillId="0" borderId="0" xfId="0"/>
    <xf numFmtId="0" fontId="0" fillId="0" borderId="0" xfId="0" applyAlignment="1">
      <alignment horizontal="left"/>
    </xf>
    <xf numFmtId="49" fontId="25" fillId="0" borderId="0" xfId="0" applyNumberFormat="1" applyFont="1"/>
    <xf numFmtId="0" fontId="25" fillId="0" borderId="0" xfId="0" applyFont="1" applyProtection="1">
      <protection locked="0"/>
    </xf>
    <xf numFmtId="0" fontId="25" fillId="0" borderId="0" xfId="0" applyFont="1" applyAlignment="1" applyProtection="1">
      <alignment horizontal="right"/>
      <protection locked="0"/>
    </xf>
    <xf numFmtId="10" fontId="25" fillId="0" borderId="0" xfId="0" applyNumberFormat="1" applyFont="1" applyAlignment="1" applyProtection="1">
      <alignment horizontal="right"/>
      <protection locked="0"/>
    </xf>
    <xf numFmtId="164" fontId="25" fillId="0" borderId="0" xfId="0" applyNumberFormat="1" applyFont="1"/>
    <xf numFmtId="2" fontId="25" fillId="0" borderId="0" xfId="0" applyNumberFormat="1" applyFont="1"/>
    <xf numFmtId="0" fontId="33" fillId="0" borderId="0" xfId="0" applyFont="1"/>
    <xf numFmtId="14" fontId="25" fillId="0" borderId="0" xfId="0" applyNumberFormat="1" applyFont="1"/>
    <xf numFmtId="49" fontId="25" fillId="0" borderId="0" xfId="0" applyNumberFormat="1" applyFont="1" applyAlignment="1">
      <alignment horizontal="left"/>
    </xf>
    <xf numFmtId="0" fontId="0" fillId="0" borderId="0" xfId="0" applyNumberFormat="1"/>
    <xf numFmtId="1" fontId="0" fillId="0" borderId="0" xfId="0" applyNumberFormat="1"/>
    <xf numFmtId="0" fontId="33" fillId="0" borderId="0" xfId="0" applyNumberFormat="1" applyFont="1"/>
    <xf numFmtId="9" fontId="41" fillId="0" borderId="0" xfId="3023" applyFont="1"/>
    <xf numFmtId="0" fontId="0" fillId="0" borderId="0" xfId="0" applyFont="1"/>
    <xf numFmtId="14" fontId="31" fillId="0" borderId="0" xfId="0" applyNumberFormat="1" applyFont="1"/>
    <xf numFmtId="0" fontId="31" fillId="0" borderId="0" xfId="0" applyFont="1"/>
    <xf numFmtId="2" fontId="31" fillId="0" borderId="0" xfId="0" applyNumberFormat="1" applyFont="1"/>
    <xf numFmtId="0" fontId="0" fillId="0" borderId="0" xfId="0" applyAlignment="1">
      <alignment horizontal="center"/>
    </xf>
    <xf numFmtId="2" fontId="0" fillId="0" borderId="0" xfId="0" applyNumberFormat="1" applyAlignment="1">
      <alignment horizontal="center"/>
    </xf>
    <xf numFmtId="10" fontId="9" fillId="0" borderId="0" xfId="0" applyNumberFormat="1" applyFont="1"/>
    <xf numFmtId="14" fontId="41" fillId="0" borderId="0" xfId="0" applyNumberFormat="1" applyFont="1"/>
    <xf numFmtId="0" fontId="12" fillId="0" borderId="0" xfId="1" applyAlignment="1" applyProtection="1"/>
    <xf numFmtId="2" fontId="71" fillId="0" borderId="0" xfId="0" applyNumberFormat="1" applyFont="1"/>
    <xf numFmtId="0" fontId="72" fillId="0" borderId="0" xfId="0" applyFont="1"/>
    <xf numFmtId="49" fontId="72" fillId="0" borderId="0" xfId="0" applyNumberFormat="1" applyFont="1"/>
    <xf numFmtId="0" fontId="72" fillId="0" borderId="0" xfId="0" applyFont="1" applyProtection="1">
      <protection locked="0"/>
    </xf>
    <xf numFmtId="0" fontId="72" fillId="0" borderId="0" xfId="0" applyFont="1" applyAlignment="1" applyProtection="1">
      <alignment horizontal="right"/>
      <protection locked="0"/>
    </xf>
    <xf numFmtId="10" fontId="72" fillId="0" borderId="0" xfId="0" applyNumberFormat="1" applyFont="1" applyAlignment="1" applyProtection="1">
      <alignment horizontal="right"/>
      <protection locked="0"/>
    </xf>
    <xf numFmtId="164" fontId="72" fillId="0" borderId="0" xfId="0" applyNumberFormat="1" applyFont="1"/>
    <xf numFmtId="2" fontId="72" fillId="0" borderId="0" xfId="0" applyNumberFormat="1" applyFont="1"/>
    <xf numFmtId="0" fontId="72" fillId="0" borderId="0" xfId="0" applyFont="1" applyAlignment="1">
      <alignment horizontal="right"/>
    </xf>
    <xf numFmtId="14" fontId="72" fillId="0" borderId="0" xfId="0" applyNumberFormat="1" applyFont="1"/>
    <xf numFmtId="16" fontId="0" fillId="0" borderId="0" xfId="0" applyNumberFormat="1"/>
    <xf numFmtId="9" fontId="0" fillId="0" borderId="0" xfId="0" applyNumberFormat="1"/>
    <xf numFmtId="0" fontId="0" fillId="0" borderId="13" xfId="0" applyBorder="1"/>
    <xf numFmtId="0" fontId="0" fillId="0" borderId="14" xfId="0" applyBorder="1"/>
    <xf numFmtId="0" fontId="0" fillId="0" borderId="16" xfId="0" applyBorder="1"/>
    <xf numFmtId="16" fontId="0" fillId="0" borderId="0" xfId="0" applyNumberFormat="1" applyBorder="1"/>
    <xf numFmtId="0" fontId="0" fillId="0" borderId="17" xfId="0" applyBorder="1"/>
    <xf numFmtId="0" fontId="0" fillId="0" borderId="0" xfId="0" applyBorder="1"/>
    <xf numFmtId="0" fontId="0" fillId="0" borderId="18" xfId="0" applyBorder="1"/>
    <xf numFmtId="0" fontId="0" fillId="0" borderId="19" xfId="0" applyBorder="1"/>
    <xf numFmtId="0" fontId="0" fillId="0" borderId="20" xfId="0" applyBorder="1"/>
    <xf numFmtId="9" fontId="0" fillId="0" borderId="16" xfId="0" applyNumberFormat="1" applyBorder="1"/>
    <xf numFmtId="0" fontId="0" fillId="0" borderId="21" xfId="0" applyBorder="1"/>
    <xf numFmtId="0" fontId="0" fillId="0" borderId="22" xfId="0" applyBorder="1"/>
    <xf numFmtId="0" fontId="0" fillId="0" borderId="23" xfId="0" applyBorder="1"/>
    <xf numFmtId="0" fontId="0" fillId="0" borderId="24" xfId="0" applyBorder="1"/>
    <xf numFmtId="0" fontId="41" fillId="0" borderId="25" xfId="0" applyFont="1" applyBorder="1"/>
    <xf numFmtId="0" fontId="41" fillId="0" borderId="26" xfId="0" applyFont="1" applyBorder="1"/>
    <xf numFmtId="0" fontId="0" fillId="0" borderId="0" xfId="0" applyFill="1" applyBorder="1"/>
    <xf numFmtId="2" fontId="0" fillId="0" borderId="24" xfId="0" applyNumberFormat="1" applyBorder="1"/>
    <xf numFmtId="0" fontId="0" fillId="0" borderId="23" xfId="0" applyFill="1" applyBorder="1"/>
    <xf numFmtId="2" fontId="41" fillId="0" borderId="26" xfId="0" applyNumberFormat="1" applyFont="1" applyBorder="1"/>
    <xf numFmtId="0" fontId="0" fillId="0" borderId="15" xfId="0" applyFill="1" applyBorder="1"/>
    <xf numFmtId="0" fontId="41" fillId="0" borderId="0" xfId="0" applyFont="1" applyBorder="1"/>
    <xf numFmtId="0" fontId="74" fillId="0" borderId="0" xfId="0" applyFont="1" applyAlignment="1"/>
    <xf numFmtId="0" fontId="0" fillId="0" borderId="0" xfId="0" applyNumberFormat="1" applyBorder="1"/>
    <xf numFmtId="0" fontId="0" fillId="0" borderId="19" xfId="0" applyNumberFormat="1" applyBorder="1"/>
    <xf numFmtId="0" fontId="41" fillId="0" borderId="14" xfId="0" applyFont="1" applyBorder="1"/>
    <xf numFmtId="0" fontId="41" fillId="0" borderId="15" xfId="0" applyFont="1" applyBorder="1"/>
    <xf numFmtId="2" fontId="0" fillId="0" borderId="17" xfId="0" applyNumberFormat="1" applyBorder="1"/>
    <xf numFmtId="2" fontId="0" fillId="0" borderId="17" xfId="0" applyNumberFormat="1" applyFont="1" applyBorder="1"/>
    <xf numFmtId="0" fontId="41" fillId="0" borderId="17" xfId="0" applyFont="1" applyBorder="1"/>
    <xf numFmtId="0" fontId="41" fillId="0" borderId="20" xfId="0" applyFont="1" applyBorder="1"/>
    <xf numFmtId="0" fontId="41" fillId="0" borderId="13" xfId="0" applyFont="1" applyBorder="1"/>
    <xf numFmtId="2" fontId="41" fillId="0" borderId="0" xfId="0" applyNumberFormat="1" applyFont="1" applyBorder="1"/>
    <xf numFmtId="0" fontId="0" fillId="0" borderId="0" xfId="0" applyFont="1" applyBorder="1"/>
    <xf numFmtId="0" fontId="76" fillId="0" borderId="0" xfId="0" applyFont="1" applyAlignment="1" applyProtection="1">
      <alignment horizontal="right"/>
      <protection locked="0"/>
    </xf>
    <xf numFmtId="10" fontId="76" fillId="0" borderId="0" xfId="0" applyNumberFormat="1" applyFont="1" applyAlignment="1" applyProtection="1">
      <alignment horizontal="right"/>
      <protection locked="0"/>
    </xf>
    <xf numFmtId="49" fontId="76" fillId="0" borderId="0" xfId="0" applyNumberFormat="1" applyFont="1"/>
    <xf numFmtId="164" fontId="76" fillId="0" borderId="0" xfId="0" applyNumberFormat="1" applyFont="1"/>
    <xf numFmtId="2" fontId="76" fillId="0" borderId="0" xfId="0" applyNumberFormat="1" applyFont="1"/>
    <xf numFmtId="169" fontId="0" fillId="0" borderId="0" xfId="0" applyNumberFormat="1"/>
    <xf numFmtId="169" fontId="56" fillId="0" borderId="0" xfId="0" applyNumberFormat="1" applyFont="1"/>
    <xf numFmtId="10" fontId="25" fillId="0" borderId="0" xfId="0" applyNumberFormat="1" applyFont="1" applyAlignment="1" applyProtection="1">
      <alignment horizontal="right"/>
      <protection locked="0"/>
    </xf>
    <xf numFmtId="1" fontId="0" fillId="0" borderId="0" xfId="0" applyNumberFormat="1" applyFont="1" applyFill="1" applyBorder="1"/>
    <xf numFmtId="2" fontId="0" fillId="0" borderId="0" xfId="0" applyNumberFormat="1" applyFont="1" applyBorder="1"/>
    <xf numFmtId="165" fontId="0" fillId="0" borderId="0" xfId="0" applyNumberFormat="1"/>
    <xf numFmtId="165" fontId="40" fillId="12" borderId="0" xfId="0" applyNumberFormat="1" applyFont="1" applyFill="1"/>
    <xf numFmtId="165" fontId="62" fillId="13" borderId="0" xfId="0" applyNumberFormat="1" applyFont="1" applyFill="1"/>
    <xf numFmtId="1" fontId="0" fillId="0" borderId="0" xfId="0" applyNumberFormat="1" applyFont="1" applyBorder="1"/>
    <xf numFmtId="1" fontId="0" fillId="0" borderId="0" xfId="0" applyNumberFormat="1" applyBorder="1"/>
    <xf numFmtId="2" fontId="0" fillId="0" borderId="0" xfId="0" applyNumberFormat="1" applyBorder="1"/>
    <xf numFmtId="0" fontId="0" fillId="0" borderId="13" xfId="0" applyFont="1" applyBorder="1"/>
    <xf numFmtId="2" fontId="77" fillId="0" borderId="15" xfId="0" applyNumberFormat="1" applyFont="1" applyBorder="1"/>
    <xf numFmtId="0" fontId="0" fillId="0" borderId="16" xfId="0" applyFont="1" applyBorder="1"/>
    <xf numFmtId="2" fontId="77" fillId="0" borderId="17" xfId="0" applyNumberFormat="1" applyFont="1" applyBorder="1"/>
    <xf numFmtId="2" fontId="0" fillId="0" borderId="16" xfId="0" applyNumberFormat="1" applyFont="1" applyBorder="1"/>
    <xf numFmtId="0" fontId="78" fillId="0" borderId="0" xfId="0" applyFont="1"/>
    <xf numFmtId="0" fontId="78" fillId="0" borderId="0" xfId="0" applyFont="1" applyAlignment="1">
      <alignment horizontal="right"/>
    </xf>
    <xf numFmtId="14" fontId="78" fillId="0" borderId="0" xfId="0" applyNumberFormat="1" applyFont="1"/>
    <xf numFmtId="2" fontId="79" fillId="0" borderId="0" xfId="0" applyNumberFormat="1" applyFont="1"/>
    <xf numFmtId="14" fontId="80" fillId="0" borderId="0" xfId="0" applyNumberFormat="1" applyFont="1"/>
    <xf numFmtId="0" fontId="41" fillId="0" borderId="27" xfId="0" applyFont="1" applyBorder="1"/>
    <xf numFmtId="0" fontId="41" fillId="0" borderId="28" xfId="0" applyFont="1" applyBorder="1"/>
    <xf numFmtId="0" fontId="41" fillId="0" borderId="29" xfId="0" applyFont="1" applyFill="1" applyBorder="1"/>
    <xf numFmtId="0" fontId="41" fillId="0" borderId="0" xfId="0" applyFont="1" applyAlignment="1">
      <alignment horizontal="center" vertical="center"/>
    </xf>
    <xf numFmtId="49" fontId="83" fillId="0" borderId="0" xfId="0" applyNumberFormat="1" applyFont="1"/>
    <xf numFmtId="0" fontId="83" fillId="0" borderId="0" xfId="0" applyFont="1" applyAlignment="1" applyProtection="1">
      <alignment horizontal="right"/>
      <protection locked="0"/>
    </xf>
    <xf numFmtId="164" fontId="83" fillId="0" borderId="0" xfId="0" applyNumberFormat="1" applyFont="1"/>
    <xf numFmtId="2" fontId="83" fillId="0" borderId="0" xfId="0" applyNumberFormat="1" applyFont="1"/>
    <xf numFmtId="0" fontId="0" fillId="0" borderId="15" xfId="0" applyBorder="1" applyAlignment="1">
      <alignment horizontal="center" vertical="center"/>
    </xf>
    <xf numFmtId="2" fontId="0" fillId="0" borderId="22" xfId="0" applyNumberFormat="1" applyBorder="1"/>
    <xf numFmtId="0" fontId="41" fillId="0" borderId="28" xfId="0" applyFont="1" applyFill="1" applyBorder="1"/>
    <xf numFmtId="16" fontId="0" fillId="0" borderId="14" xfId="0" applyNumberFormat="1" applyBorder="1"/>
    <xf numFmtId="2" fontId="0" fillId="0" borderId="14" xfId="0" applyNumberFormat="1" applyBorder="1"/>
    <xf numFmtId="0" fontId="0" fillId="0" borderId="15" xfId="0" applyBorder="1"/>
    <xf numFmtId="2" fontId="0" fillId="0" borderId="19" xfId="0" applyNumberFormat="1" applyBorder="1"/>
    <xf numFmtId="0" fontId="0" fillId="0" borderId="18" xfId="0" applyFill="1" applyBorder="1"/>
    <xf numFmtId="0" fontId="0" fillId="0" borderId="20" xfId="0" applyFill="1" applyBorder="1"/>
    <xf numFmtId="0" fontId="0" fillId="0" borderId="0" xfId="0" applyAlignment="1">
      <alignment horizontal="center" vertical="center"/>
    </xf>
    <xf numFmtId="2" fontId="84" fillId="0" borderId="0" xfId="0" applyNumberFormat="1" applyFont="1"/>
    <xf numFmtId="0" fontId="84" fillId="0" borderId="0" xfId="0" applyFont="1"/>
    <xf numFmtId="0" fontId="0" fillId="5" borderId="30" xfId="0" applyFont="1" applyFill="1" applyBorder="1"/>
    <xf numFmtId="2" fontId="77" fillId="0" borderId="29" xfId="0" applyNumberFormat="1" applyFont="1" applyBorder="1"/>
    <xf numFmtId="10" fontId="85" fillId="0" borderId="0" xfId="0" applyNumberFormat="1" applyFont="1"/>
    <xf numFmtId="0" fontId="41" fillId="14" borderId="30" xfId="0" applyFont="1" applyFill="1" applyBorder="1"/>
    <xf numFmtId="165" fontId="41" fillId="14" borderId="31" xfId="0" applyNumberFormat="1" applyFont="1" applyFill="1" applyBorder="1"/>
    <xf numFmtId="10" fontId="70" fillId="0" borderId="31" xfId="0" applyNumberFormat="1" applyFont="1" applyBorder="1"/>
    <xf numFmtId="165" fontId="0" fillId="5" borderId="31" xfId="0" applyNumberFormat="1" applyFont="1" applyFill="1" applyBorder="1"/>
    <xf numFmtId="10" fontId="9" fillId="5" borderId="31" xfId="0" applyNumberFormat="1" applyFont="1" applyFill="1" applyBorder="1"/>
    <xf numFmtId="0" fontId="41" fillId="5" borderId="30" xfId="0" applyFont="1" applyFill="1" applyBorder="1"/>
    <xf numFmtId="165" fontId="41" fillId="5" borderId="31" xfId="0" applyNumberFormat="1" applyFont="1" applyFill="1" applyBorder="1"/>
    <xf numFmtId="0" fontId="41" fillId="0" borderId="10" xfId="0" applyFont="1" applyBorder="1"/>
    <xf numFmtId="0" fontId="0" fillId="0" borderId="32" xfId="0" applyBorder="1"/>
    <xf numFmtId="10" fontId="86" fillId="0" borderId="0" xfId="0" applyNumberFormat="1" applyFont="1" applyAlignment="1" applyProtection="1">
      <alignment horizontal="right"/>
      <protection locked="0"/>
    </xf>
    <xf numFmtId="2" fontId="86" fillId="0" borderId="0" xfId="0" applyNumberFormat="1" applyFont="1"/>
    <xf numFmtId="0" fontId="41" fillId="0" borderId="32" xfId="0" applyFont="1" applyBorder="1"/>
    <xf numFmtId="2" fontId="87" fillId="0" borderId="0" xfId="0" applyNumberFormat="1" applyFont="1"/>
    <xf numFmtId="0" fontId="0" fillId="0" borderId="10" xfId="0" applyFill="1" applyBorder="1"/>
    <xf numFmtId="0" fontId="0" fillId="0" borderId="32" xfId="0" applyFill="1" applyBorder="1"/>
    <xf numFmtId="0" fontId="0" fillId="0" borderId="28" xfId="0" applyBorder="1"/>
    <xf numFmtId="2" fontId="88" fillId="0" borderId="0" xfId="0" applyNumberFormat="1" applyFont="1"/>
    <xf numFmtId="14" fontId="35" fillId="11" borderId="7" xfId="0" applyNumberFormat="1" applyFont="1" applyFill="1" applyBorder="1"/>
    <xf numFmtId="0" fontId="35" fillId="11" borderId="7" xfId="0" applyFont="1" applyFill="1" applyBorder="1" applyAlignment="1">
      <alignment horizontal="right"/>
    </xf>
    <xf numFmtId="9" fontId="35" fillId="11" borderId="7" xfId="0" applyNumberFormat="1" applyFont="1" applyFill="1" applyBorder="1"/>
    <xf numFmtId="164" fontId="88" fillId="0" borderId="0" xfId="0" applyNumberFormat="1" applyFont="1"/>
    <xf numFmtId="2" fontId="89" fillId="0" borderId="0" xfId="0" applyNumberFormat="1" applyFont="1"/>
    <xf numFmtId="0" fontId="89" fillId="0" borderId="0" xfId="0" applyFont="1"/>
    <xf numFmtId="0" fontId="89" fillId="0" borderId="0" xfId="0" applyFont="1" applyAlignment="1">
      <alignment horizontal="right"/>
    </xf>
    <xf numFmtId="14" fontId="89" fillId="0" borderId="0" xfId="0" applyNumberFormat="1" applyFont="1"/>
    <xf numFmtId="2" fontId="90" fillId="0" borderId="0" xfId="0" applyNumberFormat="1" applyFont="1"/>
    <xf numFmtId="2" fontId="91" fillId="0" borderId="0" xfId="0" applyNumberFormat="1" applyFont="1"/>
    <xf numFmtId="0" fontId="91" fillId="0" borderId="0" xfId="0" applyFont="1"/>
    <xf numFmtId="14" fontId="35" fillId="15" borderId="33" xfId="0" applyNumberFormat="1" applyFont="1" applyFill="1" applyBorder="1"/>
    <xf numFmtId="14" fontId="35" fillId="15" borderId="33" xfId="0" applyNumberFormat="1" applyFont="1" applyFill="1" applyBorder="1" applyProtection="1">
      <protection locked="0"/>
    </xf>
    <xf numFmtId="0" fontId="35" fillId="15" borderId="33" xfId="0" applyFont="1" applyFill="1" applyBorder="1" applyAlignment="1" applyProtection="1">
      <alignment horizontal="right"/>
      <protection locked="0"/>
    </xf>
    <xf numFmtId="10" fontId="35" fillId="15" borderId="33" xfId="0" applyNumberFormat="1" applyFont="1" applyFill="1" applyBorder="1" applyAlignment="1" applyProtection="1">
      <alignment horizontal="right"/>
      <protection locked="0"/>
    </xf>
    <xf numFmtId="49" fontId="35" fillId="15" borderId="33" xfId="0" applyNumberFormat="1" applyFont="1" applyFill="1" applyBorder="1"/>
    <xf numFmtId="164" fontId="35" fillId="15" borderId="33" xfId="0" applyNumberFormat="1" applyFont="1" applyFill="1" applyBorder="1"/>
    <xf numFmtId="2" fontId="35" fillId="15" borderId="33" xfId="0" applyNumberFormat="1" applyFont="1" applyFill="1" applyBorder="1"/>
    <xf numFmtId="0" fontId="55" fillId="0" borderId="0" xfId="0" applyFont="1" applyFill="1" applyBorder="1" applyAlignment="1">
      <alignment horizontal="center"/>
    </xf>
    <xf numFmtId="0" fontId="41" fillId="0" borderId="13" xfId="0" applyFont="1" applyBorder="1" applyAlignment="1">
      <alignment horizontal="center" vertical="center"/>
    </xf>
    <xf numFmtId="0" fontId="41" fillId="0" borderId="15" xfId="0" applyFont="1" applyBorder="1" applyAlignment="1">
      <alignment horizontal="center" vertical="center"/>
    </xf>
    <xf numFmtId="0" fontId="75" fillId="0" borderId="0" xfId="0" applyFont="1" applyAlignment="1">
      <alignment horizontal="center"/>
    </xf>
    <xf numFmtId="0" fontId="0" fillId="0" borderId="0" xfId="0" applyAlignment="1">
      <alignment horizontal="center"/>
    </xf>
    <xf numFmtId="0" fontId="82" fillId="0" borderId="0" xfId="0" applyFont="1" applyAlignment="1">
      <alignment horizontal="center"/>
    </xf>
    <xf numFmtId="0" fontId="81" fillId="0" borderId="0" xfId="0" applyFont="1" applyAlignment="1">
      <alignment horizontal="center"/>
    </xf>
    <xf numFmtId="0" fontId="11" fillId="0" borderId="0" xfId="0" applyFont="1"/>
    <xf numFmtId="0" fontId="14" fillId="0" borderId="0" xfId="0" applyFont="1"/>
    <xf numFmtId="0" fontId="15" fillId="0" borderId="0" xfId="0" applyFont="1"/>
  </cellXfs>
  <cellStyles count="3026">
    <cellStyle name="Followed Hyperlink" xfId="591" builtinId="9" hidden="1"/>
    <cellStyle name="Followed Hyperlink" xfId="623" builtinId="9" hidden="1"/>
    <cellStyle name="Followed Hyperlink" xfId="655" builtinId="9" hidden="1"/>
    <cellStyle name="Followed Hyperlink" xfId="687" builtinId="9" hidden="1"/>
    <cellStyle name="Followed Hyperlink" xfId="719" builtinId="9" hidden="1"/>
    <cellStyle name="Followed Hyperlink" xfId="751" builtinId="9" hidden="1"/>
    <cellStyle name="Followed Hyperlink" xfId="783" builtinId="9" hidden="1"/>
    <cellStyle name="Followed Hyperlink" xfId="815" builtinId="9" hidden="1"/>
    <cellStyle name="Followed Hyperlink" xfId="847" builtinId="9" hidden="1"/>
    <cellStyle name="Followed Hyperlink" xfId="879" builtinId="9" hidden="1"/>
    <cellStyle name="Followed Hyperlink" xfId="911" builtinId="9" hidden="1"/>
    <cellStyle name="Followed Hyperlink" xfId="943" builtinId="9" hidden="1"/>
    <cellStyle name="Followed Hyperlink" xfId="975" builtinId="9" hidden="1"/>
    <cellStyle name="Followed Hyperlink" xfId="1007" builtinId="9" hidden="1"/>
    <cellStyle name="Followed Hyperlink" xfId="1039" builtinId="9" hidden="1"/>
    <cellStyle name="Followed Hyperlink" xfId="1071" builtinId="9" hidden="1"/>
    <cellStyle name="Followed Hyperlink" xfId="1105" builtinId="9" hidden="1"/>
    <cellStyle name="Followed Hyperlink" xfId="1137" builtinId="9" hidden="1"/>
    <cellStyle name="Followed Hyperlink" xfId="1169" builtinId="9" hidden="1"/>
    <cellStyle name="Followed Hyperlink" xfId="1201" builtinId="9" hidden="1"/>
    <cellStyle name="Followed Hyperlink" xfId="1233" builtinId="9" hidden="1"/>
    <cellStyle name="Followed Hyperlink" xfId="1265" builtinId="9" hidden="1"/>
    <cellStyle name="Followed Hyperlink" xfId="1297" builtinId="9" hidden="1"/>
    <cellStyle name="Followed Hyperlink" xfId="1329" builtinId="9" hidden="1"/>
    <cellStyle name="Followed Hyperlink" xfId="1361" builtinId="9" hidden="1"/>
    <cellStyle name="Followed Hyperlink" xfId="1393" builtinId="9" hidden="1"/>
    <cellStyle name="Followed Hyperlink" xfId="1425" builtinId="9" hidden="1"/>
    <cellStyle name="Followed Hyperlink" xfId="1457" builtinId="9" hidden="1"/>
    <cellStyle name="Followed Hyperlink" xfId="1489" builtinId="9" hidden="1"/>
    <cellStyle name="Followed Hyperlink" xfId="1521" builtinId="9" hidden="1"/>
    <cellStyle name="Followed Hyperlink" xfId="1553" builtinId="9" hidden="1"/>
    <cellStyle name="Followed Hyperlink" xfId="1585" builtinId="9" hidden="1"/>
    <cellStyle name="Followed Hyperlink" xfId="1617" builtinId="9" hidden="1"/>
    <cellStyle name="Followed Hyperlink" xfId="1649" builtinId="9" hidden="1"/>
    <cellStyle name="Followed Hyperlink" xfId="1681" builtinId="9" hidden="1"/>
    <cellStyle name="Followed Hyperlink" xfId="1713" builtinId="9" hidden="1"/>
    <cellStyle name="Followed Hyperlink" xfId="1745" builtinId="9" hidden="1"/>
    <cellStyle name="Followed Hyperlink" xfId="1777" builtinId="9" hidden="1"/>
    <cellStyle name="Followed Hyperlink" xfId="1809" builtinId="9" hidden="1"/>
    <cellStyle name="Followed Hyperlink" xfId="1841" builtinId="9" hidden="1"/>
    <cellStyle name="Followed Hyperlink" xfId="1873" builtinId="9" hidden="1"/>
    <cellStyle name="Followed Hyperlink" xfId="1905" builtinId="9" hidden="1"/>
    <cellStyle name="Followed Hyperlink" xfId="1937" builtinId="9" hidden="1"/>
    <cellStyle name="Followed Hyperlink" xfId="1969" builtinId="9" hidden="1"/>
    <cellStyle name="Followed Hyperlink" xfId="2001" builtinId="9" hidden="1"/>
    <cellStyle name="Followed Hyperlink" xfId="2033" builtinId="9" hidden="1"/>
    <cellStyle name="Followed Hyperlink" xfId="2065" builtinId="9" hidden="1"/>
    <cellStyle name="Followed Hyperlink" xfId="2097" builtinId="9" hidden="1"/>
    <cellStyle name="Followed Hyperlink" xfId="2129" builtinId="9" hidden="1"/>
    <cellStyle name="Followed Hyperlink" xfId="2161" builtinId="9" hidden="1"/>
    <cellStyle name="Followed Hyperlink" xfId="2193" builtinId="9" hidden="1"/>
    <cellStyle name="Followed Hyperlink" xfId="2225" builtinId="9" hidden="1"/>
    <cellStyle name="Followed Hyperlink" xfId="2257" builtinId="9" hidden="1"/>
    <cellStyle name="Followed Hyperlink" xfId="2289" builtinId="9" hidden="1"/>
    <cellStyle name="Followed Hyperlink" xfId="2321" builtinId="9" hidden="1"/>
    <cellStyle name="Followed Hyperlink" xfId="2353" builtinId="9" hidden="1"/>
    <cellStyle name="Followed Hyperlink" xfId="2385" builtinId="9" hidden="1"/>
    <cellStyle name="Followed Hyperlink" xfId="2417" builtinId="9" hidden="1"/>
    <cellStyle name="Followed Hyperlink" xfId="2449" builtinId="9" hidden="1"/>
    <cellStyle name="Followed Hyperlink" xfId="2481" builtinId="9" hidden="1"/>
    <cellStyle name="Followed Hyperlink" xfId="2513" builtinId="9" hidden="1"/>
    <cellStyle name="Followed Hyperlink" xfId="2545" builtinId="9" hidden="1"/>
    <cellStyle name="Followed Hyperlink" xfId="2577" builtinId="9" hidden="1"/>
    <cellStyle name="Followed Hyperlink" xfId="2609" builtinId="9" hidden="1"/>
    <cellStyle name="Followed Hyperlink" xfId="2641" builtinId="9" hidden="1"/>
    <cellStyle name="Followed Hyperlink" xfId="2673" builtinId="9" hidden="1"/>
    <cellStyle name="Followed Hyperlink" xfId="2705" builtinId="9" hidden="1"/>
    <cellStyle name="Followed Hyperlink" xfId="2737" builtinId="9" hidden="1"/>
    <cellStyle name="Followed Hyperlink" xfId="2769" builtinId="9" hidden="1"/>
    <cellStyle name="Followed Hyperlink" xfId="2801" builtinId="9" hidden="1"/>
    <cellStyle name="Followed Hyperlink" xfId="2834" builtinId="9" hidden="1"/>
    <cellStyle name="Followed Hyperlink" xfId="2867" builtinId="9" hidden="1"/>
    <cellStyle name="Followed Hyperlink" xfId="2899" builtinId="9" hidden="1"/>
    <cellStyle name="Followed Hyperlink" xfId="2931" builtinId="9" hidden="1"/>
    <cellStyle name="Followed Hyperlink" xfId="2963" builtinId="9" hidden="1"/>
    <cellStyle name="Followed Hyperlink" xfId="2995" builtinId="9" hidden="1"/>
    <cellStyle name="Followed Hyperlink" xfId="3018" builtinId="9" hidden="1"/>
    <cellStyle name="Followed Hyperlink" xfId="2986" builtinId="9" hidden="1"/>
    <cellStyle name="Followed Hyperlink" xfId="2954" builtinId="9" hidden="1"/>
    <cellStyle name="Followed Hyperlink" xfId="2922" builtinId="9" hidden="1"/>
    <cellStyle name="Followed Hyperlink" xfId="2890" builtinId="9" hidden="1"/>
    <cellStyle name="Followed Hyperlink" xfId="2858" builtinId="9" hidden="1"/>
    <cellStyle name="Followed Hyperlink" xfId="2825" builtinId="9" hidden="1"/>
    <cellStyle name="Followed Hyperlink" xfId="2792" builtinId="9" hidden="1"/>
    <cellStyle name="Followed Hyperlink" xfId="2760" builtinId="9" hidden="1"/>
    <cellStyle name="Followed Hyperlink" xfId="2728" builtinId="9" hidden="1"/>
    <cellStyle name="Followed Hyperlink" xfId="2696" builtinId="9" hidden="1"/>
    <cellStyle name="Followed Hyperlink" xfId="2664" builtinId="9" hidden="1"/>
    <cellStyle name="Followed Hyperlink" xfId="2632" builtinId="9" hidden="1"/>
    <cellStyle name="Followed Hyperlink" xfId="2600" builtinId="9" hidden="1"/>
    <cellStyle name="Followed Hyperlink" xfId="2568" builtinId="9" hidden="1"/>
    <cellStyle name="Followed Hyperlink" xfId="2536" builtinId="9" hidden="1"/>
    <cellStyle name="Followed Hyperlink" xfId="2504" builtinId="9" hidden="1"/>
    <cellStyle name="Followed Hyperlink" xfId="2472" builtinId="9" hidden="1"/>
    <cellStyle name="Followed Hyperlink" xfId="2440" builtinId="9" hidden="1"/>
    <cellStyle name="Followed Hyperlink" xfId="2408" builtinId="9" hidden="1"/>
    <cellStyle name="Followed Hyperlink" xfId="2376" builtinId="9" hidden="1"/>
    <cellStyle name="Followed Hyperlink" xfId="2344" builtinId="9" hidden="1"/>
    <cellStyle name="Followed Hyperlink" xfId="2312" builtinId="9" hidden="1"/>
    <cellStyle name="Followed Hyperlink" xfId="2280" builtinId="9" hidden="1"/>
    <cellStyle name="Followed Hyperlink" xfId="2248" builtinId="9" hidden="1"/>
    <cellStyle name="Followed Hyperlink" xfId="2216" builtinId="9" hidden="1"/>
    <cellStyle name="Followed Hyperlink" xfId="2184" builtinId="9" hidden="1"/>
    <cellStyle name="Followed Hyperlink" xfId="2152" builtinId="9" hidden="1"/>
    <cellStyle name="Followed Hyperlink" xfId="2120" builtinId="9" hidden="1"/>
    <cellStyle name="Followed Hyperlink" xfId="2088" builtinId="9" hidden="1"/>
    <cellStyle name="Followed Hyperlink" xfId="2056" builtinId="9" hidden="1"/>
    <cellStyle name="Followed Hyperlink" xfId="2024" builtinId="9" hidden="1"/>
    <cellStyle name="Followed Hyperlink" xfId="1992" builtinId="9" hidden="1"/>
    <cellStyle name="Followed Hyperlink" xfId="1960" builtinId="9" hidden="1"/>
    <cellStyle name="Followed Hyperlink" xfId="1928" builtinId="9" hidden="1"/>
    <cellStyle name="Followed Hyperlink" xfId="1896" builtinId="9" hidden="1"/>
    <cellStyle name="Followed Hyperlink" xfId="1864" builtinId="9" hidden="1"/>
    <cellStyle name="Followed Hyperlink" xfId="1832" builtinId="9" hidden="1"/>
    <cellStyle name="Followed Hyperlink" xfId="1800" builtinId="9" hidden="1"/>
    <cellStyle name="Followed Hyperlink" xfId="1768" builtinId="9" hidden="1"/>
    <cellStyle name="Followed Hyperlink" xfId="1736" builtinId="9" hidden="1"/>
    <cellStyle name="Followed Hyperlink" xfId="1704" builtinId="9" hidden="1"/>
    <cellStyle name="Followed Hyperlink" xfId="1672" builtinId="9" hidden="1"/>
    <cellStyle name="Followed Hyperlink" xfId="1640" builtinId="9" hidden="1"/>
    <cellStyle name="Followed Hyperlink" xfId="1608" builtinId="9" hidden="1"/>
    <cellStyle name="Followed Hyperlink" xfId="1576" builtinId="9" hidden="1"/>
    <cellStyle name="Followed Hyperlink" xfId="1544" builtinId="9" hidden="1"/>
    <cellStyle name="Followed Hyperlink" xfId="1512" builtinId="9" hidden="1"/>
    <cellStyle name="Followed Hyperlink" xfId="1480" builtinId="9" hidden="1"/>
    <cellStyle name="Followed Hyperlink" xfId="1448" builtinId="9" hidden="1"/>
    <cellStyle name="Followed Hyperlink" xfId="1416" builtinId="9" hidden="1"/>
    <cellStyle name="Followed Hyperlink" xfId="1384" builtinId="9" hidden="1"/>
    <cellStyle name="Followed Hyperlink" xfId="1352" builtinId="9" hidden="1"/>
    <cellStyle name="Followed Hyperlink" xfId="1320" builtinId="9" hidden="1"/>
    <cellStyle name="Followed Hyperlink" xfId="1288" builtinId="9" hidden="1"/>
    <cellStyle name="Followed Hyperlink" xfId="1256" builtinId="9" hidden="1"/>
    <cellStyle name="Followed Hyperlink" xfId="1224" builtinId="9" hidden="1"/>
    <cellStyle name="Followed Hyperlink" xfId="1192" builtinId="9" hidden="1"/>
    <cellStyle name="Followed Hyperlink" xfId="1160" builtinId="9" hidden="1"/>
    <cellStyle name="Followed Hyperlink" xfId="1128" builtinId="9" hidden="1"/>
    <cellStyle name="Followed Hyperlink" xfId="1096" builtinId="9" hidden="1"/>
    <cellStyle name="Followed Hyperlink" xfId="1062" builtinId="9" hidden="1"/>
    <cellStyle name="Followed Hyperlink" xfId="1030" builtinId="9" hidden="1"/>
    <cellStyle name="Followed Hyperlink" xfId="998" builtinId="9" hidden="1"/>
    <cellStyle name="Followed Hyperlink" xfId="966" builtinId="9" hidden="1"/>
    <cellStyle name="Followed Hyperlink" xfId="934" builtinId="9" hidden="1"/>
    <cellStyle name="Followed Hyperlink" xfId="902" builtinId="9" hidden="1"/>
    <cellStyle name="Followed Hyperlink" xfId="870" builtinId="9" hidden="1"/>
    <cellStyle name="Followed Hyperlink" xfId="838" builtinId="9" hidden="1"/>
    <cellStyle name="Followed Hyperlink" xfId="806" builtinId="9" hidden="1"/>
    <cellStyle name="Followed Hyperlink" xfId="774" builtinId="9" hidden="1"/>
    <cellStyle name="Followed Hyperlink" xfId="742" builtinId="9" hidden="1"/>
    <cellStyle name="Followed Hyperlink" xfId="710" builtinId="9" hidden="1"/>
    <cellStyle name="Followed Hyperlink" xfId="678" builtinId="9" hidden="1"/>
    <cellStyle name="Followed Hyperlink" xfId="646" builtinId="9" hidden="1"/>
    <cellStyle name="Followed Hyperlink" xfId="614" builtinId="9" hidden="1"/>
    <cellStyle name="Followed Hyperlink" xfId="582" builtinId="9" hidden="1"/>
    <cellStyle name="Followed Hyperlink" xfId="550" builtinId="9" hidden="1"/>
    <cellStyle name="Followed Hyperlink" xfId="518" builtinId="9" hidden="1"/>
    <cellStyle name="Followed Hyperlink" xfId="486" builtinId="9" hidden="1"/>
    <cellStyle name="Followed Hyperlink" xfId="454" builtinId="9" hidden="1"/>
    <cellStyle name="Followed Hyperlink" xfId="422" builtinId="9" hidden="1"/>
    <cellStyle name="Followed Hyperlink" xfId="390" builtinId="9" hidden="1"/>
    <cellStyle name="Followed Hyperlink" xfId="358" builtinId="9" hidden="1"/>
    <cellStyle name="Followed Hyperlink" xfId="326" builtinId="9" hidden="1"/>
    <cellStyle name="Followed Hyperlink" xfId="294" builtinId="9" hidden="1"/>
    <cellStyle name="Followed Hyperlink" xfId="262" builtinId="9" hidden="1"/>
    <cellStyle name="Followed Hyperlink" xfId="230" builtinId="9" hidden="1"/>
    <cellStyle name="Followed Hyperlink" xfId="198" builtinId="9" hidden="1"/>
    <cellStyle name="Followed Hyperlink" xfId="166" builtinId="9" hidden="1"/>
    <cellStyle name="Followed Hyperlink" xfId="134" builtinId="9" hidden="1"/>
    <cellStyle name="Followed Hyperlink" xfId="102" builtinId="9" hidden="1"/>
    <cellStyle name="Followed Hyperlink" xfId="70" builtinId="9" hidden="1"/>
    <cellStyle name="Followed Hyperlink" xfId="38" builtinId="9" hidden="1"/>
    <cellStyle name="Followed Hyperlink" xfId="16" builtinId="9" hidden="1"/>
    <cellStyle name="Followed Hyperlink" xfId="5" builtinId="9" hidden="1"/>
    <cellStyle name="Followed Hyperlink" xfId="24" builtinId="9" hidden="1"/>
    <cellStyle name="Followed Hyperlink" xfId="56" builtinId="9" hidden="1"/>
    <cellStyle name="Followed Hyperlink" xfId="88" builtinId="9" hidden="1"/>
    <cellStyle name="Followed Hyperlink" xfId="120" builtinId="9" hidden="1"/>
    <cellStyle name="Followed Hyperlink" xfId="152" builtinId="9" hidden="1"/>
    <cellStyle name="Followed Hyperlink" xfId="184" builtinId="9" hidden="1"/>
    <cellStyle name="Followed Hyperlink" xfId="216" builtinId="9" hidden="1"/>
    <cellStyle name="Followed Hyperlink" xfId="248" builtinId="9" hidden="1"/>
    <cellStyle name="Followed Hyperlink" xfId="280" builtinId="9" hidden="1"/>
    <cellStyle name="Followed Hyperlink" xfId="312" builtinId="9" hidden="1"/>
    <cellStyle name="Followed Hyperlink" xfId="344" builtinId="9" hidden="1"/>
    <cellStyle name="Followed Hyperlink" xfId="376" builtinId="9" hidden="1"/>
    <cellStyle name="Followed Hyperlink" xfId="408" builtinId="9" hidden="1"/>
    <cellStyle name="Followed Hyperlink" xfId="440" builtinId="9" hidden="1"/>
    <cellStyle name="Followed Hyperlink" xfId="472" builtinId="9" hidden="1"/>
    <cellStyle name="Followed Hyperlink" xfId="504" builtinId="9" hidden="1"/>
    <cellStyle name="Followed Hyperlink" xfId="536" builtinId="9" hidden="1"/>
    <cellStyle name="Followed Hyperlink" xfId="568" builtinId="9" hidden="1"/>
    <cellStyle name="Followed Hyperlink" xfId="600" builtinId="9" hidden="1"/>
    <cellStyle name="Followed Hyperlink" xfId="632" builtinId="9" hidden="1"/>
    <cellStyle name="Followed Hyperlink" xfId="664" builtinId="9" hidden="1"/>
    <cellStyle name="Followed Hyperlink" xfId="696" builtinId="9" hidden="1"/>
    <cellStyle name="Followed Hyperlink" xfId="728" builtinId="9" hidden="1"/>
    <cellStyle name="Followed Hyperlink" xfId="760" builtinId="9" hidden="1"/>
    <cellStyle name="Followed Hyperlink" xfId="792" builtinId="9" hidden="1"/>
    <cellStyle name="Followed Hyperlink" xfId="824" builtinId="9" hidden="1"/>
    <cellStyle name="Followed Hyperlink" xfId="856" builtinId="9" hidden="1"/>
    <cellStyle name="Followed Hyperlink" xfId="888" builtinId="9" hidden="1"/>
    <cellStyle name="Followed Hyperlink" xfId="920" builtinId="9" hidden="1"/>
    <cellStyle name="Followed Hyperlink" xfId="952" builtinId="9" hidden="1"/>
    <cellStyle name="Followed Hyperlink" xfId="984" builtinId="9" hidden="1"/>
    <cellStyle name="Followed Hyperlink" xfId="1016" builtinId="9" hidden="1"/>
    <cellStyle name="Followed Hyperlink" xfId="1048" builtinId="9" hidden="1"/>
    <cellStyle name="Followed Hyperlink" xfId="1082" builtinId="9" hidden="1"/>
    <cellStyle name="Followed Hyperlink" xfId="1114" builtinId="9" hidden="1"/>
    <cellStyle name="Followed Hyperlink" xfId="1146" builtinId="9" hidden="1"/>
    <cellStyle name="Followed Hyperlink" xfId="1178" builtinId="9" hidden="1"/>
    <cellStyle name="Followed Hyperlink" xfId="1210" builtinId="9" hidden="1"/>
    <cellStyle name="Followed Hyperlink" xfId="1242" builtinId="9" hidden="1"/>
    <cellStyle name="Followed Hyperlink" xfId="1274" builtinId="9" hidden="1"/>
    <cellStyle name="Followed Hyperlink" xfId="1306" builtinId="9" hidden="1"/>
    <cellStyle name="Followed Hyperlink" xfId="1338" builtinId="9" hidden="1"/>
    <cellStyle name="Followed Hyperlink" xfId="1370" builtinId="9" hidden="1"/>
    <cellStyle name="Followed Hyperlink" xfId="1402" builtinId="9" hidden="1"/>
    <cellStyle name="Followed Hyperlink" xfId="1434" builtinId="9" hidden="1"/>
    <cellStyle name="Followed Hyperlink" xfId="1466" builtinId="9" hidden="1"/>
    <cellStyle name="Followed Hyperlink" xfId="1498" builtinId="9" hidden="1"/>
    <cellStyle name="Followed Hyperlink" xfId="1530" builtinId="9" hidden="1"/>
    <cellStyle name="Followed Hyperlink" xfId="1562" builtinId="9" hidden="1"/>
    <cellStyle name="Followed Hyperlink" xfId="1594" builtinId="9" hidden="1"/>
    <cellStyle name="Followed Hyperlink" xfId="1626" builtinId="9" hidden="1"/>
    <cellStyle name="Followed Hyperlink" xfId="1658" builtinId="9" hidden="1"/>
    <cellStyle name="Followed Hyperlink" xfId="1690" builtinId="9" hidden="1"/>
    <cellStyle name="Followed Hyperlink" xfId="1722" builtinId="9" hidden="1"/>
    <cellStyle name="Followed Hyperlink" xfId="1754" builtinId="9" hidden="1"/>
    <cellStyle name="Followed Hyperlink" xfId="1786" builtinId="9" hidden="1"/>
    <cellStyle name="Followed Hyperlink" xfId="1818" builtinId="9" hidden="1"/>
    <cellStyle name="Followed Hyperlink" xfId="1850" builtinId="9" hidden="1"/>
    <cellStyle name="Followed Hyperlink" xfId="1882" builtinId="9" hidden="1"/>
    <cellStyle name="Followed Hyperlink" xfId="1914" builtinId="9" hidden="1"/>
    <cellStyle name="Followed Hyperlink" xfId="1946" builtinId="9" hidden="1"/>
    <cellStyle name="Followed Hyperlink" xfId="1978" builtinId="9" hidden="1"/>
    <cellStyle name="Followed Hyperlink" xfId="2010" builtinId="9" hidden="1"/>
    <cellStyle name="Followed Hyperlink" xfId="2042" builtinId="9" hidden="1"/>
    <cellStyle name="Followed Hyperlink" xfId="2074" builtinId="9" hidden="1"/>
    <cellStyle name="Followed Hyperlink" xfId="2106" builtinId="9" hidden="1"/>
    <cellStyle name="Followed Hyperlink" xfId="2138" builtinId="9" hidden="1"/>
    <cellStyle name="Followed Hyperlink" xfId="2170" builtinId="9" hidden="1"/>
    <cellStyle name="Followed Hyperlink" xfId="2202" builtinId="9" hidden="1"/>
    <cellStyle name="Followed Hyperlink" xfId="2234" builtinId="9" hidden="1"/>
    <cellStyle name="Followed Hyperlink" xfId="2266" builtinId="9" hidden="1"/>
    <cellStyle name="Followed Hyperlink" xfId="2298" builtinId="9" hidden="1"/>
    <cellStyle name="Followed Hyperlink" xfId="2330" builtinId="9" hidden="1"/>
    <cellStyle name="Followed Hyperlink" xfId="2362" builtinId="9" hidden="1"/>
    <cellStyle name="Followed Hyperlink" xfId="2394" builtinId="9" hidden="1"/>
    <cellStyle name="Followed Hyperlink" xfId="2426" builtinId="9" hidden="1"/>
    <cellStyle name="Followed Hyperlink" xfId="2458" builtinId="9" hidden="1"/>
    <cellStyle name="Followed Hyperlink" xfId="2490" builtinId="9" hidden="1"/>
    <cellStyle name="Followed Hyperlink" xfId="2522" builtinId="9" hidden="1"/>
    <cellStyle name="Followed Hyperlink" xfId="2554" builtinId="9" hidden="1"/>
    <cellStyle name="Followed Hyperlink" xfId="2586" builtinId="9" hidden="1"/>
    <cellStyle name="Followed Hyperlink" xfId="2618" builtinId="9" hidden="1"/>
    <cellStyle name="Followed Hyperlink" xfId="2650" builtinId="9" hidden="1"/>
    <cellStyle name="Followed Hyperlink" xfId="2682" builtinId="9" hidden="1"/>
    <cellStyle name="Followed Hyperlink" xfId="2714" builtinId="9" hidden="1"/>
    <cellStyle name="Followed Hyperlink" xfId="2746" builtinId="9" hidden="1"/>
    <cellStyle name="Followed Hyperlink" xfId="2778" builtinId="9" hidden="1"/>
    <cellStyle name="Followed Hyperlink" xfId="2810" builtinId="9" hidden="1"/>
    <cellStyle name="Followed Hyperlink" xfId="2844" builtinId="9" hidden="1"/>
    <cellStyle name="Followed Hyperlink" xfId="2876" builtinId="9" hidden="1"/>
    <cellStyle name="Followed Hyperlink" xfId="2908" builtinId="9" hidden="1"/>
    <cellStyle name="Followed Hyperlink" xfId="2940" builtinId="9" hidden="1"/>
    <cellStyle name="Followed Hyperlink" xfId="2972" builtinId="9" hidden="1"/>
    <cellStyle name="Followed Hyperlink" xfId="3004" builtinId="9" hidden="1"/>
    <cellStyle name="Followed Hyperlink" xfId="3009" builtinId="9" hidden="1"/>
    <cellStyle name="Followed Hyperlink" xfId="2977" builtinId="9" hidden="1"/>
    <cellStyle name="Followed Hyperlink" xfId="2945" builtinId="9" hidden="1"/>
    <cellStyle name="Followed Hyperlink" xfId="2913" builtinId="9" hidden="1"/>
    <cellStyle name="Followed Hyperlink" xfId="2881" builtinId="9" hidden="1"/>
    <cellStyle name="Followed Hyperlink" xfId="2849" builtinId="9" hidden="1"/>
    <cellStyle name="Followed Hyperlink" xfId="2816" builtinId="9" hidden="1"/>
    <cellStyle name="Followed Hyperlink" xfId="2783" builtinId="9" hidden="1"/>
    <cellStyle name="Followed Hyperlink" xfId="2751" builtinId="9" hidden="1"/>
    <cellStyle name="Followed Hyperlink" xfId="2719" builtinId="9" hidden="1"/>
    <cellStyle name="Followed Hyperlink" xfId="2687" builtinId="9" hidden="1"/>
    <cellStyle name="Followed Hyperlink" xfId="2655" builtinId="9" hidden="1"/>
    <cellStyle name="Followed Hyperlink" xfId="2623" builtinId="9" hidden="1"/>
    <cellStyle name="Followed Hyperlink" xfId="2591" builtinId="9" hidden="1"/>
    <cellStyle name="Followed Hyperlink" xfId="2559" builtinId="9" hidden="1"/>
    <cellStyle name="Followed Hyperlink" xfId="2527" builtinId="9" hidden="1"/>
    <cellStyle name="Followed Hyperlink" xfId="2495" builtinId="9" hidden="1"/>
    <cellStyle name="Followed Hyperlink" xfId="2463" builtinId="9" hidden="1"/>
    <cellStyle name="Followed Hyperlink" xfId="2431" builtinId="9" hidden="1"/>
    <cellStyle name="Followed Hyperlink" xfId="2399" builtinId="9" hidden="1"/>
    <cellStyle name="Followed Hyperlink" xfId="2367" builtinId="9" hidden="1"/>
    <cellStyle name="Followed Hyperlink" xfId="2335" builtinId="9" hidden="1"/>
    <cellStyle name="Followed Hyperlink" xfId="2303" builtinId="9" hidden="1"/>
    <cellStyle name="Followed Hyperlink" xfId="2271" builtinId="9" hidden="1"/>
    <cellStyle name="Followed Hyperlink" xfId="2239" builtinId="9" hidden="1"/>
    <cellStyle name="Followed Hyperlink" xfId="2207" builtinId="9" hidden="1"/>
    <cellStyle name="Followed Hyperlink" xfId="2175" builtinId="9" hidden="1"/>
    <cellStyle name="Followed Hyperlink" xfId="2143" builtinId="9" hidden="1"/>
    <cellStyle name="Followed Hyperlink" xfId="2111" builtinId="9" hidden="1"/>
    <cellStyle name="Followed Hyperlink" xfId="2079" builtinId="9" hidden="1"/>
    <cellStyle name="Followed Hyperlink" xfId="2047" builtinId="9" hidden="1"/>
    <cellStyle name="Followed Hyperlink" xfId="2015" builtinId="9" hidden="1"/>
    <cellStyle name="Followed Hyperlink" xfId="1983" builtinId="9" hidden="1"/>
    <cellStyle name="Followed Hyperlink" xfId="1951" builtinId="9" hidden="1"/>
    <cellStyle name="Followed Hyperlink" xfId="1919" builtinId="9" hidden="1"/>
    <cellStyle name="Followed Hyperlink" xfId="1887" builtinId="9" hidden="1"/>
    <cellStyle name="Followed Hyperlink" xfId="1855" builtinId="9" hidden="1"/>
    <cellStyle name="Followed Hyperlink" xfId="1823" builtinId="9" hidden="1"/>
    <cellStyle name="Followed Hyperlink" xfId="1791" builtinId="9" hidden="1"/>
    <cellStyle name="Followed Hyperlink" xfId="1759" builtinId="9" hidden="1"/>
    <cellStyle name="Followed Hyperlink" xfId="1727" builtinId="9" hidden="1"/>
    <cellStyle name="Followed Hyperlink" xfId="1695" builtinId="9" hidden="1"/>
    <cellStyle name="Followed Hyperlink" xfId="1663" builtinId="9" hidden="1"/>
    <cellStyle name="Followed Hyperlink" xfId="1631" builtinId="9" hidden="1"/>
    <cellStyle name="Followed Hyperlink" xfId="1599" builtinId="9" hidden="1"/>
    <cellStyle name="Followed Hyperlink" xfId="1567" builtinId="9" hidden="1"/>
    <cellStyle name="Followed Hyperlink" xfId="1535" builtinId="9" hidden="1"/>
    <cellStyle name="Followed Hyperlink" xfId="1503" builtinId="9" hidden="1"/>
    <cellStyle name="Followed Hyperlink" xfId="1471" builtinId="9" hidden="1"/>
    <cellStyle name="Followed Hyperlink" xfId="1439" builtinId="9" hidden="1"/>
    <cellStyle name="Followed Hyperlink" xfId="1407" builtinId="9" hidden="1"/>
    <cellStyle name="Followed Hyperlink" xfId="1375" builtinId="9" hidden="1"/>
    <cellStyle name="Followed Hyperlink" xfId="1343" builtinId="9" hidden="1"/>
    <cellStyle name="Followed Hyperlink" xfId="1311" builtinId="9" hidden="1"/>
    <cellStyle name="Followed Hyperlink" xfId="1279" builtinId="9" hidden="1"/>
    <cellStyle name="Followed Hyperlink" xfId="1247" builtinId="9" hidden="1"/>
    <cellStyle name="Followed Hyperlink" xfId="1215" builtinId="9" hidden="1"/>
    <cellStyle name="Followed Hyperlink" xfId="1183" builtinId="9" hidden="1"/>
    <cellStyle name="Followed Hyperlink" xfId="1151" builtinId="9" hidden="1"/>
    <cellStyle name="Followed Hyperlink" xfId="1119" builtinId="9" hidden="1"/>
    <cellStyle name="Followed Hyperlink" xfId="1087" builtinId="9" hidden="1"/>
    <cellStyle name="Followed Hyperlink" xfId="1053" builtinId="9" hidden="1"/>
    <cellStyle name="Followed Hyperlink" xfId="1021" builtinId="9" hidden="1"/>
    <cellStyle name="Followed Hyperlink" xfId="989" builtinId="9" hidden="1"/>
    <cellStyle name="Followed Hyperlink" xfId="957" builtinId="9" hidden="1"/>
    <cellStyle name="Followed Hyperlink" xfId="925" builtinId="9" hidden="1"/>
    <cellStyle name="Followed Hyperlink" xfId="893" builtinId="9" hidden="1"/>
    <cellStyle name="Followed Hyperlink" xfId="861" builtinId="9" hidden="1"/>
    <cellStyle name="Followed Hyperlink" xfId="829" builtinId="9" hidden="1"/>
    <cellStyle name="Followed Hyperlink" xfId="797" builtinId="9" hidden="1"/>
    <cellStyle name="Followed Hyperlink" xfId="765" builtinId="9" hidden="1"/>
    <cellStyle name="Followed Hyperlink" xfId="733" builtinId="9" hidden="1"/>
    <cellStyle name="Followed Hyperlink" xfId="701" builtinId="9" hidden="1"/>
    <cellStyle name="Followed Hyperlink" xfId="669" builtinId="9" hidden="1"/>
    <cellStyle name="Followed Hyperlink" xfId="637" builtinId="9" hidden="1"/>
    <cellStyle name="Followed Hyperlink" xfId="605" builtinId="9" hidden="1"/>
    <cellStyle name="Followed Hyperlink" xfId="573" builtinId="9" hidden="1"/>
    <cellStyle name="Followed Hyperlink" xfId="541" builtinId="9" hidden="1"/>
    <cellStyle name="Followed Hyperlink" xfId="509" builtinId="9" hidden="1"/>
    <cellStyle name="Followed Hyperlink" xfId="477" builtinId="9" hidden="1"/>
    <cellStyle name="Followed Hyperlink" xfId="445" builtinId="9" hidden="1"/>
    <cellStyle name="Followed Hyperlink" xfId="413" builtinId="9" hidden="1"/>
    <cellStyle name="Followed Hyperlink" xfId="381" builtinId="9" hidden="1"/>
    <cellStyle name="Followed Hyperlink" xfId="349" builtinId="9" hidden="1"/>
    <cellStyle name="Followed Hyperlink" xfId="317" builtinId="9" hidden="1"/>
    <cellStyle name="Followed Hyperlink" xfId="285" builtinId="9" hidden="1"/>
    <cellStyle name="Followed Hyperlink" xfId="253" builtinId="9" hidden="1"/>
    <cellStyle name="Followed Hyperlink" xfId="221" builtinId="9" hidden="1"/>
    <cellStyle name="Followed Hyperlink" xfId="189" builtinId="9" hidden="1"/>
    <cellStyle name="Followed Hyperlink" xfId="157" builtinId="9" hidden="1"/>
    <cellStyle name="Followed Hyperlink" xfId="125" builtinId="9" hidden="1"/>
    <cellStyle name="Followed Hyperlink" xfId="93" builtinId="9" hidden="1"/>
    <cellStyle name="Followed Hyperlink" xfId="61" builtinId="9" hidden="1"/>
    <cellStyle name="Followed Hyperlink" xfId="49" builtinId="9" hidden="1"/>
    <cellStyle name="Followed Hyperlink" xfId="31" builtinId="9" hidden="1"/>
    <cellStyle name="Followed Hyperlink" xfId="27" builtinId="9" hidden="1"/>
    <cellStyle name="Followed Hyperlink" xfId="47" builtinId="9" hidden="1"/>
    <cellStyle name="Followed Hyperlink" xfId="65" builtinId="9" hidden="1"/>
    <cellStyle name="Followed Hyperlink" xfId="97" builtinId="9" hidden="1"/>
    <cellStyle name="Followed Hyperlink" xfId="129" builtinId="9" hidden="1"/>
    <cellStyle name="Followed Hyperlink" xfId="161" builtinId="9" hidden="1"/>
    <cellStyle name="Followed Hyperlink" xfId="193" builtinId="9" hidden="1"/>
    <cellStyle name="Followed Hyperlink" xfId="225" builtinId="9" hidden="1"/>
    <cellStyle name="Followed Hyperlink" xfId="257" builtinId="9" hidden="1"/>
    <cellStyle name="Followed Hyperlink" xfId="289" builtinId="9" hidden="1"/>
    <cellStyle name="Followed Hyperlink" xfId="321" builtinId="9" hidden="1"/>
    <cellStyle name="Followed Hyperlink" xfId="353" builtinId="9" hidden="1"/>
    <cellStyle name="Followed Hyperlink" xfId="385" builtinId="9" hidden="1"/>
    <cellStyle name="Followed Hyperlink" xfId="417" builtinId="9" hidden="1"/>
    <cellStyle name="Followed Hyperlink" xfId="449" builtinId="9" hidden="1"/>
    <cellStyle name="Followed Hyperlink" xfId="481" builtinId="9" hidden="1"/>
    <cellStyle name="Followed Hyperlink" xfId="513" builtinId="9" hidden="1"/>
    <cellStyle name="Followed Hyperlink" xfId="545" builtinId="9" hidden="1"/>
    <cellStyle name="Followed Hyperlink" xfId="577" builtinId="9" hidden="1"/>
    <cellStyle name="Followed Hyperlink" xfId="609" builtinId="9" hidden="1"/>
    <cellStyle name="Followed Hyperlink" xfId="641" builtinId="9" hidden="1"/>
    <cellStyle name="Followed Hyperlink" xfId="673" builtinId="9" hidden="1"/>
    <cellStyle name="Followed Hyperlink" xfId="705" builtinId="9" hidden="1"/>
    <cellStyle name="Followed Hyperlink" xfId="737" builtinId="9" hidden="1"/>
    <cellStyle name="Followed Hyperlink" xfId="769" builtinId="9" hidden="1"/>
    <cellStyle name="Followed Hyperlink" xfId="801" builtinId="9" hidden="1"/>
    <cellStyle name="Followed Hyperlink" xfId="833" builtinId="9" hidden="1"/>
    <cellStyle name="Followed Hyperlink" xfId="865" builtinId="9" hidden="1"/>
    <cellStyle name="Followed Hyperlink" xfId="897" builtinId="9" hidden="1"/>
    <cellStyle name="Followed Hyperlink" xfId="929" builtinId="9" hidden="1"/>
    <cellStyle name="Followed Hyperlink" xfId="961" builtinId="9" hidden="1"/>
    <cellStyle name="Followed Hyperlink" xfId="993" builtinId="9" hidden="1"/>
    <cellStyle name="Followed Hyperlink" xfId="1025" builtinId="9" hidden="1"/>
    <cellStyle name="Followed Hyperlink" xfId="1057" builtinId="9" hidden="1"/>
    <cellStyle name="Followed Hyperlink" xfId="1091" builtinId="9" hidden="1"/>
    <cellStyle name="Followed Hyperlink" xfId="1123" builtinId="9" hidden="1"/>
    <cellStyle name="Followed Hyperlink" xfId="1155" builtinId="9" hidden="1"/>
    <cellStyle name="Followed Hyperlink" xfId="1187" builtinId="9" hidden="1"/>
    <cellStyle name="Followed Hyperlink" xfId="1219" builtinId="9" hidden="1"/>
    <cellStyle name="Followed Hyperlink" xfId="1251" builtinId="9" hidden="1"/>
    <cellStyle name="Followed Hyperlink" xfId="1283" builtinId="9" hidden="1"/>
    <cellStyle name="Followed Hyperlink" xfId="1315" builtinId="9" hidden="1"/>
    <cellStyle name="Followed Hyperlink" xfId="1347" builtinId="9" hidden="1"/>
    <cellStyle name="Followed Hyperlink" xfId="1379" builtinId="9" hidden="1"/>
    <cellStyle name="Followed Hyperlink" xfId="1411" builtinId="9" hidden="1"/>
    <cellStyle name="Followed Hyperlink" xfId="1443" builtinId="9" hidden="1"/>
    <cellStyle name="Followed Hyperlink" xfId="1475" builtinId="9" hidden="1"/>
    <cellStyle name="Followed Hyperlink" xfId="1507" builtinId="9" hidden="1"/>
    <cellStyle name="Followed Hyperlink" xfId="1539" builtinId="9" hidden="1"/>
    <cellStyle name="Followed Hyperlink" xfId="1571" builtinId="9" hidden="1"/>
    <cellStyle name="Followed Hyperlink" xfId="1603" builtinId="9" hidden="1"/>
    <cellStyle name="Followed Hyperlink" xfId="1635" builtinId="9" hidden="1"/>
    <cellStyle name="Followed Hyperlink" xfId="1667" builtinId="9" hidden="1"/>
    <cellStyle name="Followed Hyperlink" xfId="1699" builtinId="9" hidden="1"/>
    <cellStyle name="Followed Hyperlink" xfId="1731" builtinId="9" hidden="1"/>
    <cellStyle name="Followed Hyperlink" xfId="1763" builtinId="9" hidden="1"/>
    <cellStyle name="Followed Hyperlink" xfId="1795" builtinId="9" hidden="1"/>
    <cellStyle name="Followed Hyperlink" xfId="1827" builtinId="9" hidden="1"/>
    <cellStyle name="Followed Hyperlink" xfId="1859" builtinId="9" hidden="1"/>
    <cellStyle name="Followed Hyperlink" xfId="1891" builtinId="9" hidden="1"/>
    <cellStyle name="Followed Hyperlink" xfId="1923" builtinId="9" hidden="1"/>
    <cellStyle name="Followed Hyperlink" xfId="1955" builtinId="9" hidden="1"/>
    <cellStyle name="Followed Hyperlink" xfId="1987" builtinId="9" hidden="1"/>
    <cellStyle name="Followed Hyperlink" xfId="2019" builtinId="9" hidden="1"/>
    <cellStyle name="Followed Hyperlink" xfId="2051" builtinId="9" hidden="1"/>
    <cellStyle name="Followed Hyperlink" xfId="2083" builtinId="9" hidden="1"/>
    <cellStyle name="Followed Hyperlink" xfId="2115" builtinId="9" hidden="1"/>
    <cellStyle name="Followed Hyperlink" xfId="2147" builtinId="9" hidden="1"/>
    <cellStyle name="Followed Hyperlink" xfId="2179" builtinId="9" hidden="1"/>
    <cellStyle name="Followed Hyperlink" xfId="2211" builtinId="9" hidden="1"/>
    <cellStyle name="Followed Hyperlink" xfId="2243" builtinId="9" hidden="1"/>
    <cellStyle name="Followed Hyperlink" xfId="2275" builtinId="9" hidden="1"/>
    <cellStyle name="Followed Hyperlink" xfId="2307" builtinId="9" hidden="1"/>
    <cellStyle name="Followed Hyperlink" xfId="2339" builtinId="9" hidden="1"/>
    <cellStyle name="Followed Hyperlink" xfId="2371" builtinId="9" hidden="1"/>
    <cellStyle name="Followed Hyperlink" xfId="2403" builtinId="9" hidden="1"/>
    <cellStyle name="Followed Hyperlink" xfId="2435" builtinId="9" hidden="1"/>
    <cellStyle name="Followed Hyperlink" xfId="2467" builtinId="9" hidden="1"/>
    <cellStyle name="Followed Hyperlink" xfId="2499" builtinId="9" hidden="1"/>
    <cellStyle name="Followed Hyperlink" xfId="2531" builtinId="9" hidden="1"/>
    <cellStyle name="Followed Hyperlink" xfId="2563" builtinId="9" hidden="1"/>
    <cellStyle name="Followed Hyperlink" xfId="2595" builtinId="9" hidden="1"/>
    <cellStyle name="Followed Hyperlink" xfId="2627" builtinId="9" hidden="1"/>
    <cellStyle name="Followed Hyperlink" xfId="2659" builtinId="9" hidden="1"/>
    <cellStyle name="Followed Hyperlink" xfId="2691" builtinId="9" hidden="1"/>
    <cellStyle name="Followed Hyperlink" xfId="2723" builtinId="9" hidden="1"/>
    <cellStyle name="Followed Hyperlink" xfId="2755" builtinId="9" hidden="1"/>
    <cellStyle name="Followed Hyperlink" xfId="2787" builtinId="9" hidden="1"/>
    <cellStyle name="Followed Hyperlink" xfId="2820" builtinId="9" hidden="1"/>
    <cellStyle name="Followed Hyperlink" xfId="2853" builtinId="9" hidden="1"/>
    <cellStyle name="Followed Hyperlink" xfId="2885" builtinId="9" hidden="1"/>
    <cellStyle name="Followed Hyperlink" xfId="2917" builtinId="9" hidden="1"/>
    <cellStyle name="Followed Hyperlink" xfId="2949" builtinId="9" hidden="1"/>
    <cellStyle name="Followed Hyperlink" xfId="2981" builtinId="9" hidden="1"/>
    <cellStyle name="Followed Hyperlink" xfId="3013" builtinId="9" hidden="1"/>
    <cellStyle name="Followed Hyperlink" xfId="3000" builtinId="9" hidden="1"/>
    <cellStyle name="Followed Hyperlink" xfId="2968" builtinId="9" hidden="1"/>
    <cellStyle name="Followed Hyperlink" xfId="2936" builtinId="9" hidden="1"/>
    <cellStyle name="Followed Hyperlink" xfId="2904" builtinId="9" hidden="1"/>
    <cellStyle name="Followed Hyperlink" xfId="2872" builtinId="9" hidden="1"/>
    <cellStyle name="Followed Hyperlink" xfId="2840" builtinId="9" hidden="1"/>
    <cellStyle name="Followed Hyperlink" xfId="2806" builtinId="9" hidden="1"/>
    <cellStyle name="Followed Hyperlink" xfId="2774" builtinId="9" hidden="1"/>
    <cellStyle name="Followed Hyperlink" xfId="2742" builtinId="9" hidden="1"/>
    <cellStyle name="Followed Hyperlink" xfId="2710" builtinId="9" hidden="1"/>
    <cellStyle name="Followed Hyperlink" xfId="2678" builtinId="9" hidden="1"/>
    <cellStyle name="Followed Hyperlink" xfId="2646" builtinId="9" hidden="1"/>
    <cellStyle name="Followed Hyperlink" xfId="2614" builtinId="9" hidden="1"/>
    <cellStyle name="Followed Hyperlink" xfId="2582" builtinId="9" hidden="1"/>
    <cellStyle name="Followed Hyperlink" xfId="2550" builtinId="9" hidden="1"/>
    <cellStyle name="Followed Hyperlink" xfId="2518" builtinId="9" hidden="1"/>
    <cellStyle name="Followed Hyperlink" xfId="2486" builtinId="9" hidden="1"/>
    <cellStyle name="Followed Hyperlink" xfId="2454" builtinId="9" hidden="1"/>
    <cellStyle name="Followed Hyperlink" xfId="2422" builtinId="9" hidden="1"/>
    <cellStyle name="Followed Hyperlink" xfId="2390" builtinId="9" hidden="1"/>
    <cellStyle name="Followed Hyperlink" xfId="2358" builtinId="9" hidden="1"/>
    <cellStyle name="Followed Hyperlink" xfId="2326" builtinId="9" hidden="1"/>
    <cellStyle name="Followed Hyperlink" xfId="2294" builtinId="9" hidden="1"/>
    <cellStyle name="Followed Hyperlink" xfId="2262" builtinId="9" hidden="1"/>
    <cellStyle name="Followed Hyperlink" xfId="2230" builtinId="9" hidden="1"/>
    <cellStyle name="Followed Hyperlink" xfId="2198" builtinId="9" hidden="1"/>
    <cellStyle name="Followed Hyperlink" xfId="2166" builtinId="9" hidden="1"/>
    <cellStyle name="Followed Hyperlink" xfId="2134" builtinId="9" hidden="1"/>
    <cellStyle name="Followed Hyperlink" xfId="2102" builtinId="9" hidden="1"/>
    <cellStyle name="Followed Hyperlink" xfId="2070" builtinId="9" hidden="1"/>
    <cellStyle name="Followed Hyperlink" xfId="2038" builtinId="9" hidden="1"/>
    <cellStyle name="Followed Hyperlink" xfId="2006" builtinId="9" hidden="1"/>
    <cellStyle name="Followed Hyperlink" xfId="1974" builtinId="9" hidden="1"/>
    <cellStyle name="Followed Hyperlink" xfId="1942" builtinId="9" hidden="1"/>
    <cellStyle name="Followed Hyperlink" xfId="1910" builtinId="9" hidden="1"/>
    <cellStyle name="Followed Hyperlink" xfId="1878" builtinId="9" hidden="1"/>
    <cellStyle name="Followed Hyperlink" xfId="1846" builtinId="9" hidden="1"/>
    <cellStyle name="Followed Hyperlink" xfId="1814" builtinId="9" hidden="1"/>
    <cellStyle name="Followed Hyperlink" xfId="1782" builtinId="9" hidden="1"/>
    <cellStyle name="Followed Hyperlink" xfId="1750" builtinId="9" hidden="1"/>
    <cellStyle name="Followed Hyperlink" xfId="1718" builtinId="9" hidden="1"/>
    <cellStyle name="Followed Hyperlink" xfId="1686" builtinId="9" hidden="1"/>
    <cellStyle name="Followed Hyperlink" xfId="1654" builtinId="9" hidden="1"/>
    <cellStyle name="Followed Hyperlink" xfId="1622" builtinId="9" hidden="1"/>
    <cellStyle name="Followed Hyperlink" xfId="1590" builtinId="9" hidden="1"/>
    <cellStyle name="Followed Hyperlink" xfId="1558" builtinId="9" hidden="1"/>
    <cellStyle name="Followed Hyperlink" xfId="1526" builtinId="9" hidden="1"/>
    <cellStyle name="Followed Hyperlink" xfId="1494" builtinId="9" hidden="1"/>
    <cellStyle name="Followed Hyperlink" xfId="1462" builtinId="9" hidden="1"/>
    <cellStyle name="Followed Hyperlink" xfId="1430" builtinId="9" hidden="1"/>
    <cellStyle name="Followed Hyperlink" xfId="1398" builtinId="9" hidden="1"/>
    <cellStyle name="Followed Hyperlink" xfId="1366" builtinId="9" hidden="1"/>
    <cellStyle name="Followed Hyperlink" xfId="1334" builtinId="9" hidden="1"/>
    <cellStyle name="Followed Hyperlink" xfId="1302" builtinId="9" hidden="1"/>
    <cellStyle name="Followed Hyperlink" xfId="1270" builtinId="9" hidden="1"/>
    <cellStyle name="Followed Hyperlink" xfId="1238" builtinId="9" hidden="1"/>
    <cellStyle name="Followed Hyperlink" xfId="1206" builtinId="9" hidden="1"/>
    <cellStyle name="Followed Hyperlink" xfId="1174" builtinId="9" hidden="1"/>
    <cellStyle name="Followed Hyperlink" xfId="1142" builtinId="9" hidden="1"/>
    <cellStyle name="Followed Hyperlink" xfId="1110" builtinId="9" hidden="1"/>
    <cellStyle name="Followed Hyperlink" xfId="1078" builtinId="9" hidden="1"/>
    <cellStyle name="Followed Hyperlink" xfId="1044" builtinId="9" hidden="1"/>
    <cellStyle name="Followed Hyperlink" xfId="1012" builtinId="9" hidden="1"/>
    <cellStyle name="Followed Hyperlink" xfId="980" builtinId="9" hidden="1"/>
    <cellStyle name="Followed Hyperlink" xfId="948" builtinId="9" hidden="1"/>
    <cellStyle name="Followed Hyperlink" xfId="916" builtinId="9" hidden="1"/>
    <cellStyle name="Followed Hyperlink" xfId="884" builtinId="9" hidden="1"/>
    <cellStyle name="Followed Hyperlink" xfId="852" builtinId="9" hidden="1"/>
    <cellStyle name="Followed Hyperlink" xfId="820" builtinId="9" hidden="1"/>
    <cellStyle name="Followed Hyperlink" xfId="788" builtinId="9" hidden="1"/>
    <cellStyle name="Followed Hyperlink" xfId="756" builtinId="9" hidden="1"/>
    <cellStyle name="Followed Hyperlink" xfId="724" builtinId="9" hidden="1"/>
    <cellStyle name="Followed Hyperlink" xfId="692" builtinId="9" hidden="1"/>
    <cellStyle name="Followed Hyperlink" xfId="660" builtinId="9" hidden="1"/>
    <cellStyle name="Followed Hyperlink" xfId="628" builtinId="9" hidden="1"/>
    <cellStyle name="Followed Hyperlink" xfId="596" builtinId="9" hidden="1"/>
    <cellStyle name="Followed Hyperlink" xfId="564" builtinId="9" hidden="1"/>
    <cellStyle name="Followed Hyperlink" xfId="532" builtinId="9" hidden="1"/>
    <cellStyle name="Followed Hyperlink" xfId="500" builtinId="9" hidden="1"/>
    <cellStyle name="Followed Hyperlink" xfId="468" builtinId="9" hidden="1"/>
    <cellStyle name="Followed Hyperlink" xfId="436" builtinId="9" hidden="1"/>
    <cellStyle name="Followed Hyperlink" xfId="404" builtinId="9" hidden="1"/>
    <cellStyle name="Followed Hyperlink" xfId="372" builtinId="9" hidden="1"/>
    <cellStyle name="Followed Hyperlink" xfId="340" builtinId="9" hidden="1"/>
    <cellStyle name="Followed Hyperlink" xfId="308" builtinId="9" hidden="1"/>
    <cellStyle name="Followed Hyperlink" xfId="276" builtinId="9" hidden="1"/>
    <cellStyle name="Followed Hyperlink" xfId="244" builtinId="9" hidden="1"/>
    <cellStyle name="Followed Hyperlink" xfId="212" builtinId="9" hidden="1"/>
    <cellStyle name="Followed Hyperlink" xfId="180" builtinId="9" hidden="1"/>
    <cellStyle name="Followed Hyperlink" xfId="148" builtinId="9" hidden="1"/>
    <cellStyle name="Followed Hyperlink" xfId="116" builtinId="9" hidden="1"/>
    <cellStyle name="Followed Hyperlink" xfId="84" builtinId="9" hidden="1"/>
    <cellStyle name="Followed Hyperlink" xfId="52" builtinId="9" hidden="1"/>
    <cellStyle name="Followed Hyperlink" xfId="20" builtinId="9" hidden="1"/>
    <cellStyle name="Followed Hyperlink" xfId="6" builtinId="9" hidden="1"/>
    <cellStyle name="Followed Hyperlink" xfId="13" builtinId="9" hidden="1"/>
    <cellStyle name="Followed Hyperlink" xfId="42" builtinId="9" hidden="1"/>
    <cellStyle name="Followed Hyperlink" xfId="74" builtinId="9" hidden="1"/>
    <cellStyle name="Followed Hyperlink" xfId="106" builtinId="9" hidden="1"/>
    <cellStyle name="Followed Hyperlink" xfId="138" builtinId="9" hidden="1"/>
    <cellStyle name="Followed Hyperlink" xfId="170" builtinId="9" hidden="1"/>
    <cellStyle name="Followed Hyperlink" xfId="202" builtinId="9" hidden="1"/>
    <cellStyle name="Followed Hyperlink" xfId="234" builtinId="9" hidden="1"/>
    <cellStyle name="Followed Hyperlink" xfId="266" builtinId="9" hidden="1"/>
    <cellStyle name="Followed Hyperlink" xfId="298" builtinId="9" hidden="1"/>
    <cellStyle name="Followed Hyperlink" xfId="330" builtinId="9" hidden="1"/>
    <cellStyle name="Followed Hyperlink" xfId="362" builtinId="9" hidden="1"/>
    <cellStyle name="Followed Hyperlink" xfId="394" builtinId="9" hidden="1"/>
    <cellStyle name="Followed Hyperlink" xfId="426" builtinId="9" hidden="1"/>
    <cellStyle name="Followed Hyperlink" xfId="458" builtinId="9" hidden="1"/>
    <cellStyle name="Followed Hyperlink" xfId="490" builtinId="9" hidden="1"/>
    <cellStyle name="Followed Hyperlink" xfId="522" builtinId="9" hidden="1"/>
    <cellStyle name="Followed Hyperlink" xfId="554" builtinId="9" hidden="1"/>
    <cellStyle name="Followed Hyperlink" xfId="586" builtinId="9" hidden="1"/>
    <cellStyle name="Followed Hyperlink" xfId="618" builtinId="9" hidden="1"/>
    <cellStyle name="Followed Hyperlink" xfId="650" builtinId="9" hidden="1"/>
    <cellStyle name="Followed Hyperlink" xfId="682" builtinId="9" hidden="1"/>
    <cellStyle name="Followed Hyperlink" xfId="714" builtinId="9" hidden="1"/>
    <cellStyle name="Followed Hyperlink" xfId="746" builtinId="9" hidden="1"/>
    <cellStyle name="Followed Hyperlink" xfId="778" builtinId="9" hidden="1"/>
    <cellStyle name="Followed Hyperlink" xfId="810" builtinId="9" hidden="1"/>
    <cellStyle name="Followed Hyperlink" xfId="842" builtinId="9" hidden="1"/>
    <cellStyle name="Followed Hyperlink" xfId="874" builtinId="9" hidden="1"/>
    <cellStyle name="Followed Hyperlink" xfId="906" builtinId="9" hidden="1"/>
    <cellStyle name="Followed Hyperlink" xfId="938" builtinId="9" hidden="1"/>
    <cellStyle name="Followed Hyperlink" xfId="970" builtinId="9" hidden="1"/>
    <cellStyle name="Followed Hyperlink" xfId="1002" builtinId="9" hidden="1"/>
    <cellStyle name="Followed Hyperlink" xfId="1034" builtinId="9" hidden="1"/>
    <cellStyle name="Followed Hyperlink" xfId="1066" builtinId="9" hidden="1"/>
    <cellStyle name="Followed Hyperlink" xfId="1100" builtinId="9" hidden="1"/>
    <cellStyle name="Followed Hyperlink" xfId="1132" builtinId="9" hidden="1"/>
    <cellStyle name="Followed Hyperlink" xfId="1164" builtinId="9" hidden="1"/>
    <cellStyle name="Followed Hyperlink" xfId="1196" builtinId="9" hidden="1"/>
    <cellStyle name="Followed Hyperlink" xfId="1228" builtinId="9" hidden="1"/>
    <cellStyle name="Followed Hyperlink" xfId="1260" builtinId="9" hidden="1"/>
    <cellStyle name="Followed Hyperlink" xfId="1292" builtinId="9" hidden="1"/>
    <cellStyle name="Followed Hyperlink" xfId="1324" builtinId="9" hidden="1"/>
    <cellStyle name="Followed Hyperlink" xfId="1356" builtinId="9" hidden="1"/>
    <cellStyle name="Followed Hyperlink" xfId="1388" builtinId="9" hidden="1"/>
    <cellStyle name="Followed Hyperlink" xfId="1420" builtinId="9" hidden="1"/>
    <cellStyle name="Followed Hyperlink" xfId="1452" builtinId="9" hidden="1"/>
    <cellStyle name="Followed Hyperlink" xfId="1484" builtinId="9" hidden="1"/>
    <cellStyle name="Followed Hyperlink" xfId="1516" builtinId="9" hidden="1"/>
    <cellStyle name="Followed Hyperlink" xfId="1548" builtinId="9" hidden="1"/>
    <cellStyle name="Followed Hyperlink" xfId="1580" builtinId="9" hidden="1"/>
    <cellStyle name="Followed Hyperlink" xfId="1612" builtinId="9" hidden="1"/>
    <cellStyle name="Followed Hyperlink" xfId="1644" builtinId="9" hidden="1"/>
    <cellStyle name="Followed Hyperlink" xfId="1676" builtinId="9" hidden="1"/>
    <cellStyle name="Followed Hyperlink" xfId="1708" builtinId="9" hidden="1"/>
    <cellStyle name="Followed Hyperlink" xfId="1740" builtinId="9" hidden="1"/>
    <cellStyle name="Followed Hyperlink" xfId="1772" builtinId="9" hidden="1"/>
    <cellStyle name="Followed Hyperlink" xfId="1804" builtinId="9" hidden="1"/>
    <cellStyle name="Followed Hyperlink" xfId="1836" builtinId="9" hidden="1"/>
    <cellStyle name="Followed Hyperlink" xfId="1868" builtinId="9" hidden="1"/>
    <cellStyle name="Followed Hyperlink" xfId="1900" builtinId="9" hidden="1"/>
    <cellStyle name="Followed Hyperlink" xfId="1932" builtinId="9" hidden="1"/>
    <cellStyle name="Followed Hyperlink" xfId="1964" builtinId="9" hidden="1"/>
    <cellStyle name="Followed Hyperlink" xfId="1996" builtinId="9" hidden="1"/>
    <cellStyle name="Followed Hyperlink" xfId="2028" builtinId="9" hidden="1"/>
    <cellStyle name="Followed Hyperlink" xfId="2060" builtinId="9" hidden="1"/>
    <cellStyle name="Followed Hyperlink" xfId="2092" builtinId="9" hidden="1"/>
    <cellStyle name="Followed Hyperlink" xfId="2124" builtinId="9" hidden="1"/>
    <cellStyle name="Followed Hyperlink" xfId="2156" builtinId="9" hidden="1"/>
    <cellStyle name="Followed Hyperlink" xfId="2188" builtinId="9" hidden="1"/>
    <cellStyle name="Followed Hyperlink" xfId="2220" builtinId="9" hidden="1"/>
    <cellStyle name="Followed Hyperlink" xfId="2252" builtinId="9" hidden="1"/>
    <cellStyle name="Followed Hyperlink" xfId="2284" builtinId="9" hidden="1"/>
    <cellStyle name="Followed Hyperlink" xfId="2316" builtinId="9" hidden="1"/>
    <cellStyle name="Followed Hyperlink" xfId="2348" builtinId="9" hidden="1"/>
    <cellStyle name="Followed Hyperlink" xfId="2380" builtinId="9" hidden="1"/>
    <cellStyle name="Followed Hyperlink" xfId="2412" builtinId="9" hidden="1"/>
    <cellStyle name="Followed Hyperlink" xfId="2444" builtinId="9" hidden="1"/>
    <cellStyle name="Followed Hyperlink" xfId="2476" builtinId="9" hidden="1"/>
    <cellStyle name="Followed Hyperlink" xfId="2508" builtinId="9" hidden="1"/>
    <cellStyle name="Followed Hyperlink" xfId="2540" builtinId="9" hidden="1"/>
    <cellStyle name="Followed Hyperlink" xfId="2572" builtinId="9" hidden="1"/>
    <cellStyle name="Followed Hyperlink" xfId="2604" builtinId="9" hidden="1"/>
    <cellStyle name="Followed Hyperlink" xfId="2636" builtinId="9" hidden="1"/>
    <cellStyle name="Followed Hyperlink" xfId="2668" builtinId="9" hidden="1"/>
    <cellStyle name="Followed Hyperlink" xfId="2700" builtinId="9" hidden="1"/>
    <cellStyle name="Followed Hyperlink" xfId="2732" builtinId="9" hidden="1"/>
    <cellStyle name="Followed Hyperlink" xfId="2764" builtinId="9" hidden="1"/>
    <cellStyle name="Followed Hyperlink" xfId="2796" builtinId="9" hidden="1"/>
    <cellStyle name="Followed Hyperlink" xfId="2829" builtinId="9" hidden="1"/>
    <cellStyle name="Followed Hyperlink" xfId="2862" builtinId="9" hidden="1"/>
    <cellStyle name="Followed Hyperlink" xfId="2894" builtinId="9" hidden="1"/>
    <cellStyle name="Followed Hyperlink" xfId="2926" builtinId="9" hidden="1"/>
    <cellStyle name="Followed Hyperlink" xfId="2958" builtinId="9" hidden="1"/>
    <cellStyle name="Followed Hyperlink" xfId="2990" builtinId="9" hidden="1"/>
    <cellStyle name="Followed Hyperlink" xfId="3022" builtinId="9" hidden="1"/>
    <cellStyle name="Followed Hyperlink" xfId="2991" builtinId="9" hidden="1"/>
    <cellStyle name="Followed Hyperlink" xfId="2959" builtinId="9" hidden="1"/>
    <cellStyle name="Followed Hyperlink" xfId="2927" builtinId="9" hidden="1"/>
    <cellStyle name="Followed Hyperlink" xfId="2895" builtinId="9" hidden="1"/>
    <cellStyle name="Followed Hyperlink" xfId="2863" builtinId="9" hidden="1"/>
    <cellStyle name="Followed Hyperlink" xfId="2830" builtinId="9" hidden="1"/>
    <cellStyle name="Followed Hyperlink" xfId="2797" builtinId="9" hidden="1"/>
    <cellStyle name="Followed Hyperlink" xfId="2765" builtinId="9" hidden="1"/>
    <cellStyle name="Followed Hyperlink" xfId="2733" builtinId="9" hidden="1"/>
    <cellStyle name="Followed Hyperlink" xfId="2701" builtinId="9" hidden="1"/>
    <cellStyle name="Followed Hyperlink" xfId="2669" builtinId="9" hidden="1"/>
    <cellStyle name="Followed Hyperlink" xfId="2637" builtinId="9" hidden="1"/>
    <cellStyle name="Followed Hyperlink" xfId="2605" builtinId="9" hidden="1"/>
    <cellStyle name="Followed Hyperlink" xfId="2573" builtinId="9" hidden="1"/>
    <cellStyle name="Followed Hyperlink" xfId="2541" builtinId="9" hidden="1"/>
    <cellStyle name="Followed Hyperlink" xfId="2509" builtinId="9" hidden="1"/>
    <cellStyle name="Followed Hyperlink" xfId="2477" builtinId="9" hidden="1"/>
    <cellStyle name="Followed Hyperlink" xfId="2445" builtinId="9" hidden="1"/>
    <cellStyle name="Followed Hyperlink" xfId="2413" builtinId="9" hidden="1"/>
    <cellStyle name="Followed Hyperlink" xfId="2381" builtinId="9" hidden="1"/>
    <cellStyle name="Followed Hyperlink" xfId="2349" builtinId="9" hidden="1"/>
    <cellStyle name="Followed Hyperlink" xfId="2317" builtinId="9" hidden="1"/>
    <cellStyle name="Followed Hyperlink" xfId="2285" builtinId="9" hidden="1"/>
    <cellStyle name="Followed Hyperlink" xfId="2253" builtinId="9" hidden="1"/>
    <cellStyle name="Followed Hyperlink" xfId="2221" builtinId="9" hidden="1"/>
    <cellStyle name="Followed Hyperlink" xfId="2189" builtinId="9" hidden="1"/>
    <cellStyle name="Followed Hyperlink" xfId="2157" builtinId="9" hidden="1"/>
    <cellStyle name="Followed Hyperlink" xfId="2125" builtinId="9" hidden="1"/>
    <cellStyle name="Followed Hyperlink" xfId="2093" builtinId="9" hidden="1"/>
    <cellStyle name="Followed Hyperlink" xfId="2061" builtinId="9" hidden="1"/>
    <cellStyle name="Followed Hyperlink" xfId="2029" builtinId="9" hidden="1"/>
    <cellStyle name="Followed Hyperlink" xfId="1997" builtinId="9" hidden="1"/>
    <cellStyle name="Followed Hyperlink" xfId="1965" builtinId="9" hidden="1"/>
    <cellStyle name="Followed Hyperlink" xfId="1933" builtinId="9" hidden="1"/>
    <cellStyle name="Followed Hyperlink" xfId="1901" builtinId="9" hidden="1"/>
    <cellStyle name="Followed Hyperlink" xfId="1869" builtinId="9" hidden="1"/>
    <cellStyle name="Followed Hyperlink" xfId="1837" builtinId="9" hidden="1"/>
    <cellStyle name="Followed Hyperlink" xfId="1805" builtinId="9" hidden="1"/>
    <cellStyle name="Followed Hyperlink" xfId="1773" builtinId="9" hidden="1"/>
    <cellStyle name="Followed Hyperlink" xfId="1741" builtinId="9" hidden="1"/>
    <cellStyle name="Followed Hyperlink" xfId="1709" builtinId="9" hidden="1"/>
    <cellStyle name="Followed Hyperlink" xfId="1677" builtinId="9" hidden="1"/>
    <cellStyle name="Followed Hyperlink" xfId="1645" builtinId="9" hidden="1"/>
    <cellStyle name="Followed Hyperlink" xfId="1613" builtinId="9" hidden="1"/>
    <cellStyle name="Followed Hyperlink" xfId="1581" builtinId="9" hidden="1"/>
    <cellStyle name="Followed Hyperlink" xfId="1549" builtinId="9" hidden="1"/>
    <cellStyle name="Followed Hyperlink" xfId="1517" builtinId="9" hidden="1"/>
    <cellStyle name="Followed Hyperlink" xfId="1485" builtinId="9" hidden="1"/>
    <cellStyle name="Followed Hyperlink" xfId="1453" builtinId="9" hidden="1"/>
    <cellStyle name="Followed Hyperlink" xfId="1421" builtinId="9" hidden="1"/>
    <cellStyle name="Followed Hyperlink" xfId="1389" builtinId="9" hidden="1"/>
    <cellStyle name="Followed Hyperlink" xfId="1357" builtinId="9" hidden="1"/>
    <cellStyle name="Followed Hyperlink" xfId="1325" builtinId="9" hidden="1"/>
    <cellStyle name="Followed Hyperlink" xfId="1293" builtinId="9" hidden="1"/>
    <cellStyle name="Followed Hyperlink" xfId="1261" builtinId="9" hidden="1"/>
    <cellStyle name="Followed Hyperlink" xfId="1229" builtinId="9" hidden="1"/>
    <cellStyle name="Followed Hyperlink" xfId="1197" builtinId="9" hidden="1"/>
    <cellStyle name="Followed Hyperlink" xfId="1165" builtinId="9" hidden="1"/>
    <cellStyle name="Followed Hyperlink" xfId="1133" builtinId="9" hidden="1"/>
    <cellStyle name="Followed Hyperlink" xfId="1101" builtinId="9" hidden="1"/>
    <cellStyle name="Followed Hyperlink" xfId="1067" builtinId="9" hidden="1"/>
    <cellStyle name="Followed Hyperlink" xfId="1035" builtinId="9" hidden="1"/>
    <cellStyle name="Followed Hyperlink" xfId="1003" builtinId="9" hidden="1"/>
    <cellStyle name="Followed Hyperlink" xfId="971" builtinId="9" hidden="1"/>
    <cellStyle name="Followed Hyperlink" xfId="939" builtinId="9" hidden="1"/>
    <cellStyle name="Followed Hyperlink" xfId="907" builtinId="9" hidden="1"/>
    <cellStyle name="Followed Hyperlink" xfId="875" builtinId="9" hidden="1"/>
    <cellStyle name="Followed Hyperlink" xfId="843" builtinId="9" hidden="1"/>
    <cellStyle name="Followed Hyperlink" xfId="811" builtinId="9" hidden="1"/>
    <cellStyle name="Followed Hyperlink" xfId="779" builtinId="9" hidden="1"/>
    <cellStyle name="Followed Hyperlink" xfId="747" builtinId="9" hidden="1"/>
    <cellStyle name="Followed Hyperlink" xfId="715" builtinId="9" hidden="1"/>
    <cellStyle name="Followed Hyperlink" xfId="683" builtinId="9" hidden="1"/>
    <cellStyle name="Followed Hyperlink" xfId="651" builtinId="9" hidden="1"/>
    <cellStyle name="Followed Hyperlink" xfId="619" builtinId="9" hidden="1"/>
    <cellStyle name="Followed Hyperlink" xfId="587" builtinId="9" hidden="1"/>
    <cellStyle name="Followed Hyperlink" xfId="555" builtinId="9" hidden="1"/>
    <cellStyle name="Followed Hyperlink" xfId="523" builtinId="9" hidden="1"/>
    <cellStyle name="Followed Hyperlink" xfId="491" builtinId="9" hidden="1"/>
    <cellStyle name="Followed Hyperlink" xfId="459" builtinId="9" hidden="1"/>
    <cellStyle name="Followed Hyperlink" xfId="427" builtinId="9" hidden="1"/>
    <cellStyle name="Followed Hyperlink" xfId="395" builtinId="9" hidden="1"/>
    <cellStyle name="Followed Hyperlink" xfId="363" builtinId="9" hidden="1"/>
    <cellStyle name="Followed Hyperlink" xfId="331" builtinId="9" hidden="1"/>
    <cellStyle name="Followed Hyperlink" xfId="299" builtinId="9" hidden="1"/>
    <cellStyle name="Followed Hyperlink" xfId="267" builtinId="9" hidden="1"/>
    <cellStyle name="Followed Hyperlink" xfId="235" builtinId="9" hidden="1"/>
    <cellStyle name="Followed Hyperlink" xfId="203" builtinId="9" hidden="1"/>
    <cellStyle name="Followed Hyperlink" xfId="171" builtinId="9" hidden="1"/>
    <cellStyle name="Followed Hyperlink" xfId="139" builtinId="9" hidden="1"/>
    <cellStyle name="Followed Hyperlink" xfId="95" builtinId="9" hidden="1"/>
    <cellStyle name="Followed Hyperlink" xfId="115" builtinId="9" hidden="1"/>
    <cellStyle name="Followed Hyperlink" xfId="107" builtinId="9" hidden="1"/>
    <cellStyle name="Followed Hyperlink" xfId="79" builtinId="9" hidden="1"/>
    <cellStyle name="Followed Hyperlink" xfId="59" builtinId="9" hidden="1"/>
    <cellStyle name="Followed Hyperlink" xfId="71" builtinId="9" hidden="1"/>
    <cellStyle name="Followed Hyperlink" xfId="123" builtinId="9" hidden="1"/>
    <cellStyle name="Followed Hyperlink" xfId="111" builtinId="9" hidden="1"/>
    <cellStyle name="Followed Hyperlink" xfId="87" builtinId="9" hidden="1"/>
    <cellStyle name="Followed Hyperlink" xfId="147" builtinId="9" hidden="1"/>
    <cellStyle name="Followed Hyperlink" xfId="179" builtinId="9" hidden="1"/>
    <cellStyle name="Followed Hyperlink" xfId="211" builtinId="9" hidden="1"/>
    <cellStyle name="Followed Hyperlink" xfId="243" builtinId="9" hidden="1"/>
    <cellStyle name="Followed Hyperlink" xfId="275" builtinId="9" hidden="1"/>
    <cellStyle name="Followed Hyperlink" xfId="307" builtinId="9" hidden="1"/>
    <cellStyle name="Followed Hyperlink" xfId="339" builtinId="9" hidden="1"/>
    <cellStyle name="Followed Hyperlink" xfId="371" builtinId="9" hidden="1"/>
    <cellStyle name="Followed Hyperlink" xfId="403" builtinId="9" hidden="1"/>
    <cellStyle name="Followed Hyperlink" xfId="435" builtinId="9" hidden="1"/>
    <cellStyle name="Followed Hyperlink" xfId="467" builtinId="9" hidden="1"/>
    <cellStyle name="Followed Hyperlink" xfId="499" builtinId="9" hidden="1"/>
    <cellStyle name="Followed Hyperlink" xfId="531" builtinId="9" hidden="1"/>
    <cellStyle name="Followed Hyperlink" xfId="563" builtinId="9" hidden="1"/>
    <cellStyle name="Followed Hyperlink" xfId="595" builtinId="9" hidden="1"/>
    <cellStyle name="Followed Hyperlink" xfId="627" builtinId="9" hidden="1"/>
    <cellStyle name="Followed Hyperlink" xfId="659" builtinId="9" hidden="1"/>
    <cellStyle name="Followed Hyperlink" xfId="691" builtinId="9" hidden="1"/>
    <cellStyle name="Followed Hyperlink" xfId="723" builtinId="9" hidden="1"/>
    <cellStyle name="Followed Hyperlink" xfId="755" builtinId="9" hidden="1"/>
    <cellStyle name="Followed Hyperlink" xfId="787" builtinId="9" hidden="1"/>
    <cellStyle name="Followed Hyperlink" xfId="819" builtinId="9" hidden="1"/>
    <cellStyle name="Followed Hyperlink" xfId="851" builtinId="9" hidden="1"/>
    <cellStyle name="Followed Hyperlink" xfId="883" builtinId="9" hidden="1"/>
    <cellStyle name="Followed Hyperlink" xfId="915" builtinId="9" hidden="1"/>
    <cellStyle name="Followed Hyperlink" xfId="947" builtinId="9" hidden="1"/>
    <cellStyle name="Followed Hyperlink" xfId="979" builtinId="9" hidden="1"/>
    <cellStyle name="Followed Hyperlink" xfId="1011" builtinId="9" hidden="1"/>
    <cellStyle name="Followed Hyperlink" xfId="1043" builtinId="9" hidden="1"/>
    <cellStyle name="Followed Hyperlink" xfId="1077" builtinId="9" hidden="1"/>
    <cellStyle name="Followed Hyperlink" xfId="1109" builtinId="9" hidden="1"/>
    <cellStyle name="Followed Hyperlink" xfId="1141" builtinId="9" hidden="1"/>
    <cellStyle name="Followed Hyperlink" xfId="1173" builtinId="9" hidden="1"/>
    <cellStyle name="Followed Hyperlink" xfId="1205" builtinId="9" hidden="1"/>
    <cellStyle name="Followed Hyperlink" xfId="1237" builtinId="9" hidden="1"/>
    <cellStyle name="Followed Hyperlink" xfId="1269" builtinId="9" hidden="1"/>
    <cellStyle name="Followed Hyperlink" xfId="1301" builtinId="9" hidden="1"/>
    <cellStyle name="Followed Hyperlink" xfId="1333" builtinId="9" hidden="1"/>
    <cellStyle name="Followed Hyperlink" xfId="1365" builtinId="9" hidden="1"/>
    <cellStyle name="Followed Hyperlink" xfId="1397" builtinId="9" hidden="1"/>
    <cellStyle name="Followed Hyperlink" xfId="1429" builtinId="9" hidden="1"/>
    <cellStyle name="Followed Hyperlink" xfId="1461" builtinId="9" hidden="1"/>
    <cellStyle name="Followed Hyperlink" xfId="1493" builtinId="9" hidden="1"/>
    <cellStyle name="Followed Hyperlink" xfId="1525" builtinId="9" hidden="1"/>
    <cellStyle name="Followed Hyperlink" xfId="1557" builtinId="9" hidden="1"/>
    <cellStyle name="Followed Hyperlink" xfId="1589" builtinId="9" hidden="1"/>
    <cellStyle name="Followed Hyperlink" xfId="1621" builtinId="9" hidden="1"/>
    <cellStyle name="Followed Hyperlink" xfId="1653" builtinId="9" hidden="1"/>
    <cellStyle name="Followed Hyperlink" xfId="1685" builtinId="9" hidden="1"/>
    <cellStyle name="Followed Hyperlink" xfId="1717" builtinId="9" hidden="1"/>
    <cellStyle name="Followed Hyperlink" xfId="1749" builtinId="9" hidden="1"/>
    <cellStyle name="Followed Hyperlink" xfId="1781" builtinId="9" hidden="1"/>
    <cellStyle name="Followed Hyperlink" xfId="1813" builtinId="9" hidden="1"/>
    <cellStyle name="Followed Hyperlink" xfId="1845" builtinId="9" hidden="1"/>
    <cellStyle name="Followed Hyperlink" xfId="1877" builtinId="9" hidden="1"/>
    <cellStyle name="Followed Hyperlink" xfId="1909" builtinId="9" hidden="1"/>
    <cellStyle name="Followed Hyperlink" xfId="1941" builtinId="9" hidden="1"/>
    <cellStyle name="Followed Hyperlink" xfId="1973" builtinId="9" hidden="1"/>
    <cellStyle name="Followed Hyperlink" xfId="2005" builtinId="9" hidden="1"/>
    <cellStyle name="Followed Hyperlink" xfId="2037" builtinId="9" hidden="1"/>
    <cellStyle name="Followed Hyperlink" xfId="2069" builtinId="9" hidden="1"/>
    <cellStyle name="Followed Hyperlink" xfId="2101" builtinId="9" hidden="1"/>
    <cellStyle name="Followed Hyperlink" xfId="2133" builtinId="9" hidden="1"/>
    <cellStyle name="Followed Hyperlink" xfId="2165" builtinId="9" hidden="1"/>
    <cellStyle name="Followed Hyperlink" xfId="2197" builtinId="9" hidden="1"/>
    <cellStyle name="Followed Hyperlink" xfId="2229" builtinId="9" hidden="1"/>
    <cellStyle name="Followed Hyperlink" xfId="2261" builtinId="9" hidden="1"/>
    <cellStyle name="Followed Hyperlink" xfId="2293" builtinId="9" hidden="1"/>
    <cellStyle name="Followed Hyperlink" xfId="2325" builtinId="9" hidden="1"/>
    <cellStyle name="Followed Hyperlink" xfId="2357" builtinId="9" hidden="1"/>
    <cellStyle name="Followed Hyperlink" xfId="2389" builtinId="9" hidden="1"/>
    <cellStyle name="Followed Hyperlink" xfId="2421" builtinId="9" hidden="1"/>
    <cellStyle name="Followed Hyperlink" xfId="2453" builtinId="9" hidden="1"/>
    <cellStyle name="Followed Hyperlink" xfId="2485" builtinId="9" hidden="1"/>
    <cellStyle name="Followed Hyperlink" xfId="2517" builtinId="9" hidden="1"/>
    <cellStyle name="Followed Hyperlink" xfId="2549" builtinId="9" hidden="1"/>
    <cellStyle name="Followed Hyperlink" xfId="2581" builtinId="9" hidden="1"/>
    <cellStyle name="Followed Hyperlink" xfId="2613" builtinId="9" hidden="1"/>
    <cellStyle name="Followed Hyperlink" xfId="2645" builtinId="9" hidden="1"/>
    <cellStyle name="Followed Hyperlink" xfId="2677" builtinId="9" hidden="1"/>
    <cellStyle name="Followed Hyperlink" xfId="2709" builtinId="9" hidden="1"/>
    <cellStyle name="Followed Hyperlink" xfId="2741" builtinId="9" hidden="1"/>
    <cellStyle name="Followed Hyperlink" xfId="2773" builtinId="9" hidden="1"/>
    <cellStyle name="Followed Hyperlink" xfId="2805" builtinId="9" hidden="1"/>
    <cellStyle name="Followed Hyperlink" xfId="2839" builtinId="9" hidden="1"/>
    <cellStyle name="Followed Hyperlink" xfId="2871" builtinId="9" hidden="1"/>
    <cellStyle name="Followed Hyperlink" xfId="2903" builtinId="9" hidden="1"/>
    <cellStyle name="Followed Hyperlink" xfId="2935" builtinId="9" hidden="1"/>
    <cellStyle name="Followed Hyperlink" xfId="2967" builtinId="9" hidden="1"/>
    <cellStyle name="Followed Hyperlink" xfId="2999" builtinId="9" hidden="1"/>
    <cellStyle name="Followed Hyperlink" xfId="3014" builtinId="9" hidden="1"/>
    <cellStyle name="Followed Hyperlink" xfId="2982" builtinId="9" hidden="1"/>
    <cellStyle name="Followed Hyperlink" xfId="2950" builtinId="9" hidden="1"/>
    <cellStyle name="Followed Hyperlink" xfId="2918" builtinId="9" hidden="1"/>
    <cellStyle name="Followed Hyperlink" xfId="2886" builtinId="9" hidden="1"/>
    <cellStyle name="Followed Hyperlink" xfId="2854" builtinId="9" hidden="1"/>
    <cellStyle name="Followed Hyperlink" xfId="2821" builtinId="9" hidden="1"/>
    <cellStyle name="Followed Hyperlink" xfId="2788" builtinId="9" hidden="1"/>
    <cellStyle name="Followed Hyperlink" xfId="2756" builtinId="9" hidden="1"/>
    <cellStyle name="Followed Hyperlink" xfId="2724" builtinId="9" hidden="1"/>
    <cellStyle name="Followed Hyperlink" xfId="2692" builtinId="9" hidden="1"/>
    <cellStyle name="Followed Hyperlink" xfId="2660" builtinId="9" hidden="1"/>
    <cellStyle name="Followed Hyperlink" xfId="2628" builtinId="9" hidden="1"/>
    <cellStyle name="Followed Hyperlink" xfId="2596" builtinId="9" hidden="1"/>
    <cellStyle name="Followed Hyperlink" xfId="2564" builtinId="9" hidden="1"/>
    <cellStyle name="Followed Hyperlink" xfId="2532" builtinId="9" hidden="1"/>
    <cellStyle name="Followed Hyperlink" xfId="2500" builtinId="9" hidden="1"/>
    <cellStyle name="Followed Hyperlink" xfId="2468" builtinId="9" hidden="1"/>
    <cellStyle name="Followed Hyperlink" xfId="2436" builtinId="9" hidden="1"/>
    <cellStyle name="Followed Hyperlink" xfId="2404" builtinId="9" hidden="1"/>
    <cellStyle name="Followed Hyperlink" xfId="2372" builtinId="9" hidden="1"/>
    <cellStyle name="Followed Hyperlink" xfId="2340" builtinId="9" hidden="1"/>
    <cellStyle name="Followed Hyperlink" xfId="2308" builtinId="9" hidden="1"/>
    <cellStyle name="Followed Hyperlink" xfId="2276" builtinId="9" hidden="1"/>
    <cellStyle name="Followed Hyperlink" xfId="2244" builtinId="9" hidden="1"/>
    <cellStyle name="Followed Hyperlink" xfId="2212" builtinId="9" hidden="1"/>
    <cellStyle name="Followed Hyperlink" xfId="2180" builtinId="9" hidden="1"/>
    <cellStyle name="Followed Hyperlink" xfId="2148" builtinId="9" hidden="1"/>
    <cellStyle name="Followed Hyperlink" xfId="2116" builtinId="9" hidden="1"/>
    <cellStyle name="Followed Hyperlink" xfId="2084" builtinId="9" hidden="1"/>
    <cellStyle name="Followed Hyperlink" xfId="2052" builtinId="9" hidden="1"/>
    <cellStyle name="Followed Hyperlink" xfId="2020" builtinId="9" hidden="1"/>
    <cellStyle name="Followed Hyperlink" xfId="1988" builtinId="9" hidden="1"/>
    <cellStyle name="Followed Hyperlink" xfId="1956" builtinId="9" hidden="1"/>
    <cellStyle name="Followed Hyperlink" xfId="1924" builtinId="9" hidden="1"/>
    <cellStyle name="Followed Hyperlink" xfId="1892" builtinId="9" hidden="1"/>
    <cellStyle name="Followed Hyperlink" xfId="1860" builtinId="9" hidden="1"/>
    <cellStyle name="Followed Hyperlink" xfId="1828" builtinId="9" hidden="1"/>
    <cellStyle name="Followed Hyperlink" xfId="1796" builtinId="9" hidden="1"/>
    <cellStyle name="Followed Hyperlink" xfId="1764" builtinId="9" hidden="1"/>
    <cellStyle name="Followed Hyperlink" xfId="1732" builtinId="9" hidden="1"/>
    <cellStyle name="Followed Hyperlink" xfId="1700" builtinId="9" hidden="1"/>
    <cellStyle name="Followed Hyperlink" xfId="1668" builtinId="9" hidden="1"/>
    <cellStyle name="Followed Hyperlink" xfId="1636" builtinId="9" hidden="1"/>
    <cellStyle name="Followed Hyperlink" xfId="1604" builtinId="9" hidden="1"/>
    <cellStyle name="Followed Hyperlink" xfId="1572" builtinId="9" hidden="1"/>
    <cellStyle name="Followed Hyperlink" xfId="1540" builtinId="9" hidden="1"/>
    <cellStyle name="Followed Hyperlink" xfId="1508" builtinId="9" hidden="1"/>
    <cellStyle name="Followed Hyperlink" xfId="1476" builtinId="9" hidden="1"/>
    <cellStyle name="Followed Hyperlink" xfId="1444" builtinId="9" hidden="1"/>
    <cellStyle name="Followed Hyperlink" xfId="1412" builtinId="9" hidden="1"/>
    <cellStyle name="Followed Hyperlink" xfId="1380" builtinId="9" hidden="1"/>
    <cellStyle name="Followed Hyperlink" xfId="1348" builtinId="9" hidden="1"/>
    <cellStyle name="Followed Hyperlink" xfId="1316" builtinId="9" hidden="1"/>
    <cellStyle name="Followed Hyperlink" xfId="1284" builtinId="9" hidden="1"/>
    <cellStyle name="Followed Hyperlink" xfId="1252" builtinId="9" hidden="1"/>
    <cellStyle name="Followed Hyperlink" xfId="1220" builtinId="9" hidden="1"/>
    <cellStyle name="Followed Hyperlink" xfId="1188" builtinId="9" hidden="1"/>
    <cellStyle name="Followed Hyperlink" xfId="1156" builtinId="9" hidden="1"/>
    <cellStyle name="Followed Hyperlink" xfId="1124" builtinId="9" hidden="1"/>
    <cellStyle name="Followed Hyperlink" xfId="1092" builtinId="9" hidden="1"/>
    <cellStyle name="Followed Hyperlink" xfId="1058" builtinId="9" hidden="1"/>
    <cellStyle name="Followed Hyperlink" xfId="1026" builtinId="9" hidden="1"/>
    <cellStyle name="Followed Hyperlink" xfId="994" builtinId="9" hidden="1"/>
    <cellStyle name="Followed Hyperlink" xfId="962" builtinId="9" hidden="1"/>
    <cellStyle name="Followed Hyperlink" xfId="930" builtinId="9" hidden="1"/>
    <cellStyle name="Followed Hyperlink" xfId="898" builtinId="9" hidden="1"/>
    <cellStyle name="Followed Hyperlink" xfId="866" builtinId="9" hidden="1"/>
    <cellStyle name="Followed Hyperlink" xfId="834" builtinId="9" hidden="1"/>
    <cellStyle name="Followed Hyperlink" xfId="802" builtinId="9" hidden="1"/>
    <cellStyle name="Followed Hyperlink" xfId="770" builtinId="9" hidden="1"/>
    <cellStyle name="Followed Hyperlink" xfId="738" builtinId="9" hidden="1"/>
    <cellStyle name="Followed Hyperlink" xfId="706" builtinId="9" hidden="1"/>
    <cellStyle name="Followed Hyperlink" xfId="674" builtinId="9" hidden="1"/>
    <cellStyle name="Followed Hyperlink" xfId="642" builtinId="9" hidden="1"/>
    <cellStyle name="Followed Hyperlink" xfId="610" builtinId="9" hidden="1"/>
    <cellStyle name="Followed Hyperlink" xfId="578" builtinId="9" hidden="1"/>
    <cellStyle name="Followed Hyperlink" xfId="546" builtinId="9" hidden="1"/>
    <cellStyle name="Followed Hyperlink" xfId="514" builtinId="9" hidden="1"/>
    <cellStyle name="Followed Hyperlink" xfId="482" builtinId="9" hidden="1"/>
    <cellStyle name="Followed Hyperlink" xfId="450" builtinId="9" hidden="1"/>
    <cellStyle name="Followed Hyperlink" xfId="418" builtinId="9" hidden="1"/>
    <cellStyle name="Followed Hyperlink" xfId="386" builtinId="9" hidden="1"/>
    <cellStyle name="Followed Hyperlink" xfId="354" builtinId="9" hidden="1"/>
    <cellStyle name="Followed Hyperlink" xfId="322" builtinId="9" hidden="1"/>
    <cellStyle name="Followed Hyperlink" xfId="290" builtinId="9" hidden="1"/>
    <cellStyle name="Followed Hyperlink" xfId="258" builtinId="9" hidden="1"/>
    <cellStyle name="Followed Hyperlink" xfId="226" builtinId="9" hidden="1"/>
    <cellStyle name="Followed Hyperlink" xfId="194" builtinId="9" hidden="1"/>
    <cellStyle name="Followed Hyperlink" xfId="162" builtinId="9" hidden="1"/>
    <cellStyle name="Followed Hyperlink" xfId="130" builtinId="9" hidden="1"/>
    <cellStyle name="Followed Hyperlink" xfId="98" builtinId="9" hidden="1"/>
    <cellStyle name="Followed Hyperlink" xfId="66" builtinId="9" hidden="1"/>
    <cellStyle name="Followed Hyperlink" xfId="34" builtinId="9" hidden="1"/>
    <cellStyle name="Followed Hyperlink" xfId="19" builtinId="9" hidden="1"/>
    <cellStyle name="Followed Hyperlink" xfId="10" builtinId="9" hidden="1"/>
    <cellStyle name="Followed Hyperlink" xfId="28" builtinId="9" hidden="1"/>
    <cellStyle name="Followed Hyperlink" xfId="60" builtinId="9" hidden="1"/>
    <cellStyle name="Followed Hyperlink" xfId="92" builtinId="9" hidden="1"/>
    <cellStyle name="Followed Hyperlink" xfId="124" builtinId="9" hidden="1"/>
    <cellStyle name="Followed Hyperlink" xfId="156" builtinId="9" hidden="1"/>
    <cellStyle name="Followed Hyperlink" xfId="188" builtinId="9" hidden="1"/>
    <cellStyle name="Followed Hyperlink" xfId="220" builtinId="9" hidden="1"/>
    <cellStyle name="Followed Hyperlink" xfId="252" builtinId="9" hidden="1"/>
    <cellStyle name="Followed Hyperlink" xfId="284" builtinId="9" hidden="1"/>
    <cellStyle name="Followed Hyperlink" xfId="316" builtinId="9" hidden="1"/>
    <cellStyle name="Followed Hyperlink" xfId="348" builtinId="9" hidden="1"/>
    <cellStyle name="Followed Hyperlink" xfId="380" builtinId="9" hidden="1"/>
    <cellStyle name="Followed Hyperlink" xfId="412" builtinId="9" hidden="1"/>
    <cellStyle name="Followed Hyperlink" xfId="444" builtinId="9" hidden="1"/>
    <cellStyle name="Followed Hyperlink" xfId="476" builtinId="9" hidden="1"/>
    <cellStyle name="Followed Hyperlink" xfId="508" builtinId="9" hidden="1"/>
    <cellStyle name="Followed Hyperlink" xfId="540" builtinId="9" hidden="1"/>
    <cellStyle name="Followed Hyperlink" xfId="572" builtinId="9" hidden="1"/>
    <cellStyle name="Followed Hyperlink" xfId="604" builtinId="9" hidden="1"/>
    <cellStyle name="Followed Hyperlink" xfId="636" builtinId="9" hidden="1"/>
    <cellStyle name="Followed Hyperlink" xfId="668" builtinId="9" hidden="1"/>
    <cellStyle name="Followed Hyperlink" xfId="700" builtinId="9" hidden="1"/>
    <cellStyle name="Followed Hyperlink" xfId="732" builtinId="9" hidden="1"/>
    <cellStyle name="Followed Hyperlink" xfId="764" builtinId="9" hidden="1"/>
    <cellStyle name="Followed Hyperlink" xfId="796" builtinId="9" hidden="1"/>
    <cellStyle name="Followed Hyperlink" xfId="828" builtinId="9" hidden="1"/>
    <cellStyle name="Followed Hyperlink" xfId="860" builtinId="9" hidden="1"/>
    <cellStyle name="Followed Hyperlink" xfId="892" builtinId="9" hidden="1"/>
    <cellStyle name="Followed Hyperlink" xfId="924" builtinId="9" hidden="1"/>
    <cellStyle name="Followed Hyperlink" xfId="956" builtinId="9" hidden="1"/>
    <cellStyle name="Followed Hyperlink" xfId="988" builtinId="9" hidden="1"/>
    <cellStyle name="Followed Hyperlink" xfId="1020" builtinId="9" hidden="1"/>
    <cellStyle name="Followed Hyperlink" xfId="1052" builtinId="9" hidden="1"/>
    <cellStyle name="Followed Hyperlink" xfId="1086" builtinId="9" hidden="1"/>
    <cellStyle name="Followed Hyperlink" xfId="1118" builtinId="9" hidden="1"/>
    <cellStyle name="Followed Hyperlink" xfId="1150" builtinId="9" hidden="1"/>
    <cellStyle name="Followed Hyperlink" xfId="1182" builtinId="9" hidden="1"/>
    <cellStyle name="Followed Hyperlink" xfId="1214" builtinId="9" hidden="1"/>
    <cellStyle name="Followed Hyperlink" xfId="1246" builtinId="9" hidden="1"/>
    <cellStyle name="Followed Hyperlink" xfId="1278" builtinId="9" hidden="1"/>
    <cellStyle name="Followed Hyperlink" xfId="1310" builtinId="9" hidden="1"/>
    <cellStyle name="Followed Hyperlink" xfId="1342" builtinId="9" hidden="1"/>
    <cellStyle name="Followed Hyperlink" xfId="1374" builtinId="9" hidden="1"/>
    <cellStyle name="Followed Hyperlink" xfId="1406" builtinId="9" hidden="1"/>
    <cellStyle name="Followed Hyperlink" xfId="1438" builtinId="9" hidden="1"/>
    <cellStyle name="Followed Hyperlink" xfId="1470" builtinId="9" hidden="1"/>
    <cellStyle name="Followed Hyperlink" xfId="1502" builtinId="9" hidden="1"/>
    <cellStyle name="Followed Hyperlink" xfId="1534" builtinId="9" hidden="1"/>
    <cellStyle name="Followed Hyperlink" xfId="1566" builtinId="9" hidden="1"/>
    <cellStyle name="Followed Hyperlink" xfId="1598" builtinId="9" hidden="1"/>
    <cellStyle name="Followed Hyperlink" xfId="1630" builtinId="9" hidden="1"/>
    <cellStyle name="Followed Hyperlink" xfId="1662" builtinId="9" hidden="1"/>
    <cellStyle name="Followed Hyperlink" xfId="1694" builtinId="9" hidden="1"/>
    <cellStyle name="Followed Hyperlink" xfId="1726" builtinId="9" hidden="1"/>
    <cellStyle name="Followed Hyperlink" xfId="1758" builtinId="9" hidden="1"/>
    <cellStyle name="Followed Hyperlink" xfId="1790" builtinId="9" hidden="1"/>
    <cellStyle name="Followed Hyperlink" xfId="1822" builtinId="9" hidden="1"/>
    <cellStyle name="Followed Hyperlink" xfId="1854" builtinId="9" hidden="1"/>
    <cellStyle name="Followed Hyperlink" xfId="1886" builtinId="9" hidden="1"/>
    <cellStyle name="Followed Hyperlink" xfId="1918" builtinId="9" hidden="1"/>
    <cellStyle name="Followed Hyperlink" xfId="1950" builtinId="9" hidden="1"/>
    <cellStyle name="Followed Hyperlink" xfId="1982" builtinId="9" hidden="1"/>
    <cellStyle name="Followed Hyperlink" xfId="2014" builtinId="9" hidden="1"/>
    <cellStyle name="Followed Hyperlink" xfId="2046" builtinId="9" hidden="1"/>
    <cellStyle name="Followed Hyperlink" xfId="2078" builtinId="9" hidden="1"/>
    <cellStyle name="Followed Hyperlink" xfId="2110" builtinId="9" hidden="1"/>
    <cellStyle name="Followed Hyperlink" xfId="2142" builtinId="9" hidden="1"/>
    <cellStyle name="Followed Hyperlink" xfId="2174" builtinId="9" hidden="1"/>
    <cellStyle name="Followed Hyperlink" xfId="2206" builtinId="9" hidden="1"/>
    <cellStyle name="Followed Hyperlink" xfId="2238" builtinId="9" hidden="1"/>
    <cellStyle name="Followed Hyperlink" xfId="2270" builtinId="9" hidden="1"/>
    <cellStyle name="Followed Hyperlink" xfId="2302" builtinId="9" hidden="1"/>
    <cellStyle name="Followed Hyperlink" xfId="2334" builtinId="9" hidden="1"/>
    <cellStyle name="Followed Hyperlink" xfId="2366" builtinId="9" hidden="1"/>
    <cellStyle name="Followed Hyperlink" xfId="2398" builtinId="9" hidden="1"/>
    <cellStyle name="Followed Hyperlink" xfId="2430" builtinId="9" hidden="1"/>
    <cellStyle name="Followed Hyperlink" xfId="2462" builtinId="9" hidden="1"/>
    <cellStyle name="Followed Hyperlink" xfId="2494" builtinId="9" hidden="1"/>
    <cellStyle name="Followed Hyperlink" xfId="2526" builtinId="9" hidden="1"/>
    <cellStyle name="Followed Hyperlink" xfId="2558" builtinId="9" hidden="1"/>
    <cellStyle name="Followed Hyperlink" xfId="2590" builtinId="9" hidden="1"/>
    <cellStyle name="Followed Hyperlink" xfId="2622" builtinId="9" hidden="1"/>
    <cellStyle name="Followed Hyperlink" xfId="2654" builtinId="9" hidden="1"/>
    <cellStyle name="Followed Hyperlink" xfId="2686" builtinId="9" hidden="1"/>
    <cellStyle name="Followed Hyperlink" xfId="2718" builtinId="9" hidden="1"/>
    <cellStyle name="Followed Hyperlink" xfId="2750" builtinId="9" hidden="1"/>
    <cellStyle name="Followed Hyperlink" xfId="2782" builtinId="9" hidden="1"/>
    <cellStyle name="Followed Hyperlink" xfId="2815" builtinId="9" hidden="1"/>
    <cellStyle name="Followed Hyperlink" xfId="2848" builtinId="9" hidden="1"/>
    <cellStyle name="Followed Hyperlink" xfId="2880" builtinId="9" hidden="1"/>
    <cellStyle name="Followed Hyperlink" xfId="2912" builtinId="9" hidden="1"/>
    <cellStyle name="Followed Hyperlink" xfId="2944" builtinId="9" hidden="1"/>
    <cellStyle name="Followed Hyperlink" xfId="2976" builtinId="9" hidden="1"/>
    <cellStyle name="Followed Hyperlink" xfId="3008" builtinId="9" hidden="1"/>
    <cellStyle name="Followed Hyperlink" xfId="3005" builtinId="9" hidden="1"/>
    <cellStyle name="Followed Hyperlink" xfId="2973" builtinId="9" hidden="1"/>
    <cellStyle name="Followed Hyperlink" xfId="2941" builtinId="9" hidden="1"/>
    <cellStyle name="Followed Hyperlink" xfId="2909" builtinId="9" hidden="1"/>
    <cellStyle name="Followed Hyperlink" xfId="2877" builtinId="9" hidden="1"/>
    <cellStyle name="Followed Hyperlink" xfId="2845" builtinId="9" hidden="1"/>
    <cellStyle name="Followed Hyperlink" xfId="2811" builtinId="9" hidden="1"/>
    <cellStyle name="Followed Hyperlink" xfId="2779" builtinId="9" hidden="1"/>
    <cellStyle name="Followed Hyperlink" xfId="2747" builtinId="9" hidden="1"/>
    <cellStyle name="Followed Hyperlink" xfId="2715" builtinId="9" hidden="1"/>
    <cellStyle name="Followed Hyperlink" xfId="2683" builtinId="9" hidden="1"/>
    <cellStyle name="Followed Hyperlink" xfId="2651" builtinId="9" hidden="1"/>
    <cellStyle name="Followed Hyperlink" xfId="2619" builtinId="9" hidden="1"/>
    <cellStyle name="Followed Hyperlink" xfId="2587" builtinId="9" hidden="1"/>
    <cellStyle name="Followed Hyperlink" xfId="2555" builtinId="9" hidden="1"/>
    <cellStyle name="Followed Hyperlink" xfId="2523" builtinId="9" hidden="1"/>
    <cellStyle name="Followed Hyperlink" xfId="2491" builtinId="9" hidden="1"/>
    <cellStyle name="Followed Hyperlink" xfId="2459" builtinId="9" hidden="1"/>
    <cellStyle name="Followed Hyperlink" xfId="2427" builtinId="9" hidden="1"/>
    <cellStyle name="Followed Hyperlink" xfId="2395" builtinId="9" hidden="1"/>
    <cellStyle name="Followed Hyperlink" xfId="2363" builtinId="9" hidden="1"/>
    <cellStyle name="Followed Hyperlink" xfId="2331" builtinId="9" hidden="1"/>
    <cellStyle name="Followed Hyperlink" xfId="2299" builtinId="9" hidden="1"/>
    <cellStyle name="Followed Hyperlink" xfId="2267" builtinId="9" hidden="1"/>
    <cellStyle name="Followed Hyperlink" xfId="2235" builtinId="9" hidden="1"/>
    <cellStyle name="Followed Hyperlink" xfId="2203" builtinId="9" hidden="1"/>
    <cellStyle name="Followed Hyperlink" xfId="2171" builtinId="9" hidden="1"/>
    <cellStyle name="Followed Hyperlink" xfId="2139" builtinId="9" hidden="1"/>
    <cellStyle name="Followed Hyperlink" xfId="2107" builtinId="9" hidden="1"/>
    <cellStyle name="Followed Hyperlink" xfId="2075" builtinId="9" hidden="1"/>
    <cellStyle name="Followed Hyperlink" xfId="2043" builtinId="9" hidden="1"/>
    <cellStyle name="Followed Hyperlink" xfId="2011" builtinId="9" hidden="1"/>
    <cellStyle name="Followed Hyperlink" xfId="1979" builtinId="9" hidden="1"/>
    <cellStyle name="Followed Hyperlink" xfId="1947" builtinId="9" hidden="1"/>
    <cellStyle name="Followed Hyperlink" xfId="1915" builtinId="9" hidden="1"/>
    <cellStyle name="Followed Hyperlink" xfId="1883" builtinId="9" hidden="1"/>
    <cellStyle name="Followed Hyperlink" xfId="1851" builtinId="9" hidden="1"/>
    <cellStyle name="Followed Hyperlink" xfId="1819" builtinId="9" hidden="1"/>
    <cellStyle name="Followed Hyperlink" xfId="1787" builtinId="9" hidden="1"/>
    <cellStyle name="Followed Hyperlink" xfId="1755" builtinId="9" hidden="1"/>
    <cellStyle name="Followed Hyperlink" xfId="1723" builtinId="9" hidden="1"/>
    <cellStyle name="Followed Hyperlink" xfId="1691" builtinId="9" hidden="1"/>
    <cellStyle name="Followed Hyperlink" xfId="1659" builtinId="9" hidden="1"/>
    <cellStyle name="Followed Hyperlink" xfId="1627" builtinId="9" hidden="1"/>
    <cellStyle name="Followed Hyperlink" xfId="1595" builtinId="9" hidden="1"/>
    <cellStyle name="Followed Hyperlink" xfId="1563" builtinId="9" hidden="1"/>
    <cellStyle name="Followed Hyperlink" xfId="1531" builtinId="9" hidden="1"/>
    <cellStyle name="Followed Hyperlink" xfId="1499" builtinId="9" hidden="1"/>
    <cellStyle name="Followed Hyperlink" xfId="1467" builtinId="9" hidden="1"/>
    <cellStyle name="Followed Hyperlink" xfId="1435" builtinId="9" hidden="1"/>
    <cellStyle name="Followed Hyperlink" xfId="1403" builtinId="9" hidden="1"/>
    <cellStyle name="Followed Hyperlink" xfId="1371" builtinId="9" hidden="1"/>
    <cellStyle name="Followed Hyperlink" xfId="1339" builtinId="9" hidden="1"/>
    <cellStyle name="Followed Hyperlink" xfId="1307" builtinId="9" hidden="1"/>
    <cellStyle name="Followed Hyperlink" xfId="1275" builtinId="9" hidden="1"/>
    <cellStyle name="Followed Hyperlink" xfId="1243" builtinId="9" hidden="1"/>
    <cellStyle name="Followed Hyperlink" xfId="1211" builtinId="9" hidden="1"/>
    <cellStyle name="Followed Hyperlink" xfId="1179" builtinId="9" hidden="1"/>
    <cellStyle name="Followed Hyperlink" xfId="1147" builtinId="9" hidden="1"/>
    <cellStyle name="Followed Hyperlink" xfId="1115" builtinId="9" hidden="1"/>
    <cellStyle name="Followed Hyperlink" xfId="1083" builtinId="9" hidden="1"/>
    <cellStyle name="Followed Hyperlink" xfId="1049" builtinId="9" hidden="1"/>
    <cellStyle name="Followed Hyperlink" xfId="1017" builtinId="9" hidden="1"/>
    <cellStyle name="Followed Hyperlink" xfId="985" builtinId="9" hidden="1"/>
    <cellStyle name="Followed Hyperlink" xfId="953" builtinId="9" hidden="1"/>
    <cellStyle name="Followed Hyperlink" xfId="921" builtinId="9" hidden="1"/>
    <cellStyle name="Followed Hyperlink" xfId="889" builtinId="9" hidden="1"/>
    <cellStyle name="Followed Hyperlink" xfId="857" builtinId="9" hidden="1"/>
    <cellStyle name="Followed Hyperlink" xfId="825" builtinId="9" hidden="1"/>
    <cellStyle name="Followed Hyperlink" xfId="793" builtinId="9" hidden="1"/>
    <cellStyle name="Followed Hyperlink" xfId="761" builtinId="9" hidden="1"/>
    <cellStyle name="Followed Hyperlink" xfId="729" builtinId="9" hidden="1"/>
    <cellStyle name="Followed Hyperlink" xfId="697" builtinId="9" hidden="1"/>
    <cellStyle name="Followed Hyperlink" xfId="665" builtinId="9" hidden="1"/>
    <cellStyle name="Followed Hyperlink" xfId="633" builtinId="9" hidden="1"/>
    <cellStyle name="Followed Hyperlink" xfId="601" builtinId="9" hidden="1"/>
    <cellStyle name="Followed Hyperlink" xfId="569" builtinId="9" hidden="1"/>
    <cellStyle name="Followed Hyperlink" xfId="537" builtinId="9" hidden="1"/>
    <cellStyle name="Followed Hyperlink" xfId="505" builtinId="9" hidden="1"/>
    <cellStyle name="Followed Hyperlink" xfId="473" builtinId="9" hidden="1"/>
    <cellStyle name="Followed Hyperlink" xfId="441" builtinId="9" hidden="1"/>
    <cellStyle name="Followed Hyperlink" xfId="409" builtinId="9" hidden="1"/>
    <cellStyle name="Followed Hyperlink" xfId="377" builtinId="9" hidden="1"/>
    <cellStyle name="Followed Hyperlink" xfId="345" builtinId="9" hidden="1"/>
    <cellStyle name="Followed Hyperlink" xfId="313" builtinId="9" hidden="1"/>
    <cellStyle name="Followed Hyperlink" xfId="281" builtinId="9" hidden="1"/>
    <cellStyle name="Followed Hyperlink" xfId="249" builtinId="9" hidden="1"/>
    <cellStyle name="Followed Hyperlink" xfId="217" builtinId="9" hidden="1"/>
    <cellStyle name="Followed Hyperlink" xfId="185" builtinId="9" hidden="1"/>
    <cellStyle name="Followed Hyperlink" xfId="153" builtinId="9" hidden="1"/>
    <cellStyle name="Followed Hyperlink" xfId="121" builtinId="9" hidden="1"/>
    <cellStyle name="Followed Hyperlink" xfId="89" builtinId="9" hidden="1"/>
    <cellStyle name="Followed Hyperlink" xfId="57" builtinId="9" hidden="1"/>
    <cellStyle name="Followed Hyperlink" xfId="51" builtinId="9" hidden="1"/>
    <cellStyle name="Followed Hyperlink" xfId="29" builtinId="9" hidden="1"/>
    <cellStyle name="Followed Hyperlink" xfId="25" builtinId="9" hidden="1"/>
    <cellStyle name="Followed Hyperlink" xfId="43" builtinId="9" hidden="1"/>
    <cellStyle name="Followed Hyperlink" xfId="69" builtinId="9" hidden="1"/>
    <cellStyle name="Followed Hyperlink" xfId="101" builtinId="9" hidden="1"/>
    <cellStyle name="Followed Hyperlink" xfId="133" builtinId="9" hidden="1"/>
    <cellStyle name="Followed Hyperlink" xfId="165" builtinId="9" hidden="1"/>
    <cellStyle name="Followed Hyperlink" xfId="197" builtinId="9" hidden="1"/>
    <cellStyle name="Followed Hyperlink" xfId="229" builtinId="9" hidden="1"/>
    <cellStyle name="Followed Hyperlink" xfId="261" builtinId="9" hidden="1"/>
    <cellStyle name="Followed Hyperlink" xfId="293" builtinId="9" hidden="1"/>
    <cellStyle name="Followed Hyperlink" xfId="325" builtinId="9" hidden="1"/>
    <cellStyle name="Followed Hyperlink" xfId="357" builtinId="9" hidden="1"/>
    <cellStyle name="Followed Hyperlink" xfId="389" builtinId="9" hidden="1"/>
    <cellStyle name="Followed Hyperlink" xfId="421" builtinId="9" hidden="1"/>
    <cellStyle name="Followed Hyperlink" xfId="453" builtinId="9" hidden="1"/>
    <cellStyle name="Followed Hyperlink" xfId="485" builtinId="9" hidden="1"/>
    <cellStyle name="Followed Hyperlink" xfId="517" builtinId="9" hidden="1"/>
    <cellStyle name="Followed Hyperlink" xfId="549" builtinId="9" hidden="1"/>
    <cellStyle name="Followed Hyperlink" xfId="581" builtinId="9" hidden="1"/>
    <cellStyle name="Followed Hyperlink" xfId="613" builtinId="9" hidden="1"/>
    <cellStyle name="Followed Hyperlink" xfId="645" builtinId="9" hidden="1"/>
    <cellStyle name="Followed Hyperlink" xfId="677" builtinId="9" hidden="1"/>
    <cellStyle name="Followed Hyperlink" xfId="709" builtinId="9" hidden="1"/>
    <cellStyle name="Followed Hyperlink" xfId="741" builtinId="9" hidden="1"/>
    <cellStyle name="Followed Hyperlink" xfId="773" builtinId="9" hidden="1"/>
    <cellStyle name="Followed Hyperlink" xfId="805" builtinId="9" hidden="1"/>
    <cellStyle name="Followed Hyperlink" xfId="837" builtinId="9" hidden="1"/>
    <cellStyle name="Followed Hyperlink" xfId="869" builtinId="9" hidden="1"/>
    <cellStyle name="Followed Hyperlink" xfId="901" builtinId="9" hidden="1"/>
    <cellStyle name="Followed Hyperlink" xfId="933" builtinId="9" hidden="1"/>
    <cellStyle name="Followed Hyperlink" xfId="965" builtinId="9" hidden="1"/>
    <cellStyle name="Followed Hyperlink" xfId="997" builtinId="9" hidden="1"/>
    <cellStyle name="Followed Hyperlink" xfId="1029" builtinId="9" hidden="1"/>
    <cellStyle name="Followed Hyperlink" xfId="1061" builtinId="9" hidden="1"/>
    <cellStyle name="Followed Hyperlink" xfId="1095" builtinId="9" hidden="1"/>
    <cellStyle name="Followed Hyperlink" xfId="1127" builtinId="9" hidden="1"/>
    <cellStyle name="Followed Hyperlink" xfId="1159" builtinId="9" hidden="1"/>
    <cellStyle name="Followed Hyperlink" xfId="1191" builtinId="9" hidden="1"/>
    <cellStyle name="Followed Hyperlink" xfId="1223" builtinId="9" hidden="1"/>
    <cellStyle name="Followed Hyperlink" xfId="1255" builtinId="9" hidden="1"/>
    <cellStyle name="Followed Hyperlink" xfId="1287" builtinId="9" hidden="1"/>
    <cellStyle name="Followed Hyperlink" xfId="1319" builtinId="9" hidden="1"/>
    <cellStyle name="Followed Hyperlink" xfId="1351" builtinId="9" hidden="1"/>
    <cellStyle name="Followed Hyperlink" xfId="1383" builtinId="9" hidden="1"/>
    <cellStyle name="Followed Hyperlink" xfId="1415" builtinId="9" hidden="1"/>
    <cellStyle name="Followed Hyperlink" xfId="1447" builtinId="9" hidden="1"/>
    <cellStyle name="Followed Hyperlink" xfId="1479" builtinId="9" hidden="1"/>
    <cellStyle name="Followed Hyperlink" xfId="1511" builtinId="9" hidden="1"/>
    <cellStyle name="Followed Hyperlink" xfId="1543" builtinId="9" hidden="1"/>
    <cellStyle name="Followed Hyperlink" xfId="1575" builtinId="9" hidden="1"/>
    <cellStyle name="Followed Hyperlink" xfId="1607" builtinId="9" hidden="1"/>
    <cellStyle name="Followed Hyperlink" xfId="1639" builtinId="9" hidden="1"/>
    <cellStyle name="Followed Hyperlink" xfId="1671" builtinId="9" hidden="1"/>
    <cellStyle name="Followed Hyperlink" xfId="1703" builtinId="9" hidden="1"/>
    <cellStyle name="Followed Hyperlink" xfId="1735" builtinId="9" hidden="1"/>
    <cellStyle name="Followed Hyperlink" xfId="1767" builtinId="9" hidden="1"/>
    <cellStyle name="Followed Hyperlink" xfId="1799" builtinId="9" hidden="1"/>
    <cellStyle name="Followed Hyperlink" xfId="1831" builtinId="9" hidden="1"/>
    <cellStyle name="Followed Hyperlink" xfId="1863" builtinId="9" hidden="1"/>
    <cellStyle name="Followed Hyperlink" xfId="1895" builtinId="9" hidden="1"/>
    <cellStyle name="Followed Hyperlink" xfId="1927" builtinId="9" hidden="1"/>
    <cellStyle name="Followed Hyperlink" xfId="1959" builtinId="9" hidden="1"/>
    <cellStyle name="Followed Hyperlink" xfId="1991" builtinId="9" hidden="1"/>
    <cellStyle name="Followed Hyperlink" xfId="2023" builtinId="9" hidden="1"/>
    <cellStyle name="Followed Hyperlink" xfId="2055" builtinId="9" hidden="1"/>
    <cellStyle name="Followed Hyperlink" xfId="2087" builtinId="9" hidden="1"/>
    <cellStyle name="Followed Hyperlink" xfId="2119" builtinId="9" hidden="1"/>
    <cellStyle name="Followed Hyperlink" xfId="2151" builtinId="9" hidden="1"/>
    <cellStyle name="Followed Hyperlink" xfId="2183" builtinId="9" hidden="1"/>
    <cellStyle name="Followed Hyperlink" xfId="2215" builtinId="9" hidden="1"/>
    <cellStyle name="Followed Hyperlink" xfId="2247" builtinId="9" hidden="1"/>
    <cellStyle name="Followed Hyperlink" xfId="2279" builtinId="9" hidden="1"/>
    <cellStyle name="Followed Hyperlink" xfId="2311" builtinId="9" hidden="1"/>
    <cellStyle name="Followed Hyperlink" xfId="2343" builtinId="9" hidden="1"/>
    <cellStyle name="Followed Hyperlink" xfId="2375" builtinId="9" hidden="1"/>
    <cellStyle name="Followed Hyperlink" xfId="2407" builtinId="9" hidden="1"/>
    <cellStyle name="Followed Hyperlink" xfId="2439" builtinId="9" hidden="1"/>
    <cellStyle name="Followed Hyperlink" xfId="2471" builtinId="9" hidden="1"/>
    <cellStyle name="Followed Hyperlink" xfId="2503" builtinId="9" hidden="1"/>
    <cellStyle name="Followed Hyperlink" xfId="2535" builtinId="9" hidden="1"/>
    <cellStyle name="Followed Hyperlink" xfId="2567" builtinId="9" hidden="1"/>
    <cellStyle name="Followed Hyperlink" xfId="2599" builtinId="9" hidden="1"/>
    <cellStyle name="Followed Hyperlink" xfId="2631" builtinId="9" hidden="1"/>
    <cellStyle name="Followed Hyperlink" xfId="2663" builtinId="9" hidden="1"/>
    <cellStyle name="Followed Hyperlink" xfId="2695" builtinId="9" hidden="1"/>
    <cellStyle name="Followed Hyperlink" xfId="2727" builtinId="9" hidden="1"/>
    <cellStyle name="Followed Hyperlink" xfId="2759" builtinId="9" hidden="1"/>
    <cellStyle name="Followed Hyperlink" xfId="2791" builtinId="9" hidden="1"/>
    <cellStyle name="Followed Hyperlink" xfId="2824" builtinId="9" hidden="1"/>
    <cellStyle name="Followed Hyperlink" xfId="2857" builtinId="9" hidden="1"/>
    <cellStyle name="Followed Hyperlink" xfId="2889" builtinId="9" hidden="1"/>
    <cellStyle name="Followed Hyperlink" xfId="2921" builtinId="9" hidden="1"/>
    <cellStyle name="Followed Hyperlink" xfId="2953" builtinId="9" hidden="1"/>
    <cellStyle name="Followed Hyperlink" xfId="2985" builtinId="9" hidden="1"/>
    <cellStyle name="Followed Hyperlink" xfId="3017" builtinId="9" hidden="1"/>
    <cellStyle name="Followed Hyperlink" xfId="2996" builtinId="9" hidden="1"/>
    <cellStyle name="Followed Hyperlink" xfId="2964" builtinId="9" hidden="1"/>
    <cellStyle name="Followed Hyperlink" xfId="2932" builtinId="9" hidden="1"/>
    <cellStyle name="Followed Hyperlink" xfId="2900" builtinId="9" hidden="1"/>
    <cellStyle name="Followed Hyperlink" xfId="2868" builtinId="9" hidden="1"/>
    <cellStyle name="Followed Hyperlink" xfId="2835" builtinId="9" hidden="1"/>
    <cellStyle name="Followed Hyperlink" xfId="2802" builtinId="9" hidden="1"/>
    <cellStyle name="Followed Hyperlink" xfId="2770" builtinId="9" hidden="1"/>
    <cellStyle name="Followed Hyperlink" xfId="2738" builtinId="9" hidden="1"/>
    <cellStyle name="Followed Hyperlink" xfId="2706" builtinId="9" hidden="1"/>
    <cellStyle name="Followed Hyperlink" xfId="2674" builtinId="9" hidden="1"/>
    <cellStyle name="Followed Hyperlink" xfId="2642" builtinId="9" hidden="1"/>
    <cellStyle name="Followed Hyperlink" xfId="2610" builtinId="9" hidden="1"/>
    <cellStyle name="Followed Hyperlink" xfId="2578" builtinId="9" hidden="1"/>
    <cellStyle name="Followed Hyperlink" xfId="2546" builtinId="9" hidden="1"/>
    <cellStyle name="Followed Hyperlink" xfId="2514" builtinId="9" hidden="1"/>
    <cellStyle name="Followed Hyperlink" xfId="2482" builtinId="9" hidden="1"/>
    <cellStyle name="Followed Hyperlink" xfId="2450" builtinId="9" hidden="1"/>
    <cellStyle name="Followed Hyperlink" xfId="2418" builtinId="9" hidden="1"/>
    <cellStyle name="Followed Hyperlink" xfId="2386" builtinId="9" hidden="1"/>
    <cellStyle name="Followed Hyperlink" xfId="2354" builtinId="9" hidden="1"/>
    <cellStyle name="Followed Hyperlink" xfId="2322" builtinId="9" hidden="1"/>
    <cellStyle name="Followed Hyperlink" xfId="2290" builtinId="9" hidden="1"/>
    <cellStyle name="Followed Hyperlink" xfId="2258" builtinId="9" hidden="1"/>
    <cellStyle name="Followed Hyperlink" xfId="2226" builtinId="9" hidden="1"/>
    <cellStyle name="Followed Hyperlink" xfId="2194" builtinId="9" hidden="1"/>
    <cellStyle name="Followed Hyperlink" xfId="2162" builtinId="9" hidden="1"/>
    <cellStyle name="Followed Hyperlink" xfId="2130" builtinId="9" hidden="1"/>
    <cellStyle name="Followed Hyperlink" xfId="2098" builtinId="9" hidden="1"/>
    <cellStyle name="Followed Hyperlink" xfId="2066" builtinId="9" hidden="1"/>
    <cellStyle name="Followed Hyperlink" xfId="2034" builtinId="9" hidden="1"/>
    <cellStyle name="Followed Hyperlink" xfId="2002" builtinId="9" hidden="1"/>
    <cellStyle name="Followed Hyperlink" xfId="1970" builtinId="9" hidden="1"/>
    <cellStyle name="Followed Hyperlink" xfId="1938" builtinId="9" hidden="1"/>
    <cellStyle name="Followed Hyperlink" xfId="1906" builtinId="9" hidden="1"/>
    <cellStyle name="Followed Hyperlink" xfId="1874" builtinId="9" hidden="1"/>
    <cellStyle name="Followed Hyperlink" xfId="1842" builtinId="9" hidden="1"/>
    <cellStyle name="Followed Hyperlink" xfId="1810" builtinId="9" hidden="1"/>
    <cellStyle name="Followed Hyperlink" xfId="1778" builtinId="9" hidden="1"/>
    <cellStyle name="Followed Hyperlink" xfId="1746" builtinId="9" hidden="1"/>
    <cellStyle name="Followed Hyperlink" xfId="1714" builtinId="9" hidden="1"/>
    <cellStyle name="Followed Hyperlink" xfId="1682" builtinId="9" hidden="1"/>
    <cellStyle name="Followed Hyperlink" xfId="1650" builtinId="9" hidden="1"/>
    <cellStyle name="Followed Hyperlink" xfId="1618" builtinId="9" hidden="1"/>
    <cellStyle name="Followed Hyperlink" xfId="1586" builtinId="9" hidden="1"/>
    <cellStyle name="Followed Hyperlink" xfId="1554" builtinId="9" hidden="1"/>
    <cellStyle name="Followed Hyperlink" xfId="1522" builtinId="9" hidden="1"/>
    <cellStyle name="Followed Hyperlink" xfId="1490" builtinId="9" hidden="1"/>
    <cellStyle name="Followed Hyperlink" xfId="1458" builtinId="9" hidden="1"/>
    <cellStyle name="Followed Hyperlink" xfId="1426" builtinId="9" hidden="1"/>
    <cellStyle name="Followed Hyperlink" xfId="1394" builtinId="9" hidden="1"/>
    <cellStyle name="Followed Hyperlink" xfId="1362" builtinId="9" hidden="1"/>
    <cellStyle name="Followed Hyperlink" xfId="1330" builtinId="9" hidden="1"/>
    <cellStyle name="Followed Hyperlink" xfId="1298" builtinId="9" hidden="1"/>
    <cellStyle name="Followed Hyperlink" xfId="1266" builtinId="9" hidden="1"/>
    <cellStyle name="Followed Hyperlink" xfId="1234" builtinId="9" hidden="1"/>
    <cellStyle name="Followed Hyperlink" xfId="1202" builtinId="9" hidden="1"/>
    <cellStyle name="Followed Hyperlink" xfId="1170" builtinId="9" hidden="1"/>
    <cellStyle name="Followed Hyperlink" xfId="1138" builtinId="9" hidden="1"/>
    <cellStyle name="Followed Hyperlink" xfId="1106" builtinId="9" hidden="1"/>
    <cellStyle name="Followed Hyperlink" xfId="1072" builtinId="9" hidden="1"/>
    <cellStyle name="Followed Hyperlink" xfId="1040" builtinId="9" hidden="1"/>
    <cellStyle name="Followed Hyperlink" xfId="1008" builtinId="9" hidden="1"/>
    <cellStyle name="Followed Hyperlink" xfId="976" builtinId="9" hidden="1"/>
    <cellStyle name="Followed Hyperlink" xfId="944" builtinId="9" hidden="1"/>
    <cellStyle name="Followed Hyperlink" xfId="912" builtinId="9" hidden="1"/>
    <cellStyle name="Followed Hyperlink" xfId="880" builtinId="9" hidden="1"/>
    <cellStyle name="Followed Hyperlink" xfId="848" builtinId="9" hidden="1"/>
    <cellStyle name="Followed Hyperlink" xfId="816" builtinId="9" hidden="1"/>
    <cellStyle name="Followed Hyperlink" xfId="784" builtinId="9" hidden="1"/>
    <cellStyle name="Followed Hyperlink" xfId="752" builtinId="9" hidden="1"/>
    <cellStyle name="Followed Hyperlink" xfId="720" builtinId="9" hidden="1"/>
    <cellStyle name="Followed Hyperlink" xfId="688" builtinId="9" hidden="1"/>
    <cellStyle name="Followed Hyperlink" xfId="656" builtinId="9" hidden="1"/>
    <cellStyle name="Followed Hyperlink" xfId="624" builtinId="9" hidden="1"/>
    <cellStyle name="Followed Hyperlink" xfId="592" builtinId="9" hidden="1"/>
    <cellStyle name="Followed Hyperlink" xfId="560" builtinId="9" hidden="1"/>
    <cellStyle name="Followed Hyperlink" xfId="528" builtinId="9" hidden="1"/>
    <cellStyle name="Followed Hyperlink" xfId="496" builtinId="9" hidden="1"/>
    <cellStyle name="Followed Hyperlink" xfId="464" builtinId="9" hidden="1"/>
    <cellStyle name="Followed Hyperlink" xfId="432" builtinId="9" hidden="1"/>
    <cellStyle name="Followed Hyperlink" xfId="400" builtinId="9" hidden="1"/>
    <cellStyle name="Followed Hyperlink" xfId="368" builtinId="9" hidden="1"/>
    <cellStyle name="Followed Hyperlink" xfId="336" builtinId="9" hidden="1"/>
    <cellStyle name="Followed Hyperlink" xfId="304" builtinId="9" hidden="1"/>
    <cellStyle name="Followed Hyperlink" xfId="272" builtinId="9" hidden="1"/>
    <cellStyle name="Followed Hyperlink" xfId="240" builtinId="9" hidden="1"/>
    <cellStyle name="Followed Hyperlink" xfId="208" builtinId="9" hidden="1"/>
    <cellStyle name="Followed Hyperlink" xfId="176" builtinId="9" hidden="1"/>
    <cellStyle name="Followed Hyperlink" xfId="144" builtinId="9" hidden="1"/>
    <cellStyle name="Followed Hyperlink" xfId="112" builtinId="9" hidden="1"/>
    <cellStyle name="Followed Hyperlink" xfId="80" builtinId="9" hidden="1"/>
    <cellStyle name="Followed Hyperlink" xfId="48" builtinId="9" hidden="1"/>
    <cellStyle name="Followed Hyperlink" xfId="9" builtinId="9" hidden="1"/>
    <cellStyle name="Followed Hyperlink" xfId="2" builtinId="9" hidden="1"/>
    <cellStyle name="Followed Hyperlink" xfId="11" builtinId="9" hidden="1"/>
    <cellStyle name="Followed Hyperlink" xfId="46" builtinId="9" hidden="1"/>
    <cellStyle name="Followed Hyperlink" xfId="78" builtinId="9" hidden="1"/>
    <cellStyle name="Followed Hyperlink" xfId="110" builtinId="9" hidden="1"/>
    <cellStyle name="Followed Hyperlink" xfId="142" builtinId="9" hidden="1"/>
    <cellStyle name="Followed Hyperlink" xfId="174" builtinId="9" hidden="1"/>
    <cellStyle name="Followed Hyperlink" xfId="206" builtinId="9" hidden="1"/>
    <cellStyle name="Followed Hyperlink" xfId="238" builtinId="9" hidden="1"/>
    <cellStyle name="Followed Hyperlink" xfId="270" builtinId="9" hidden="1"/>
    <cellStyle name="Followed Hyperlink" xfId="302" builtinId="9" hidden="1"/>
    <cellStyle name="Followed Hyperlink" xfId="334" builtinId="9" hidden="1"/>
    <cellStyle name="Followed Hyperlink" xfId="366" builtinId="9" hidden="1"/>
    <cellStyle name="Followed Hyperlink" xfId="398" builtinId="9" hidden="1"/>
    <cellStyle name="Followed Hyperlink" xfId="430" builtinId="9" hidden="1"/>
    <cellStyle name="Followed Hyperlink" xfId="462" builtinId="9" hidden="1"/>
    <cellStyle name="Followed Hyperlink" xfId="494" builtinId="9" hidden="1"/>
    <cellStyle name="Followed Hyperlink" xfId="526" builtinId="9" hidden="1"/>
    <cellStyle name="Followed Hyperlink" xfId="558" builtinId="9" hidden="1"/>
    <cellStyle name="Followed Hyperlink" xfId="590" builtinId="9" hidden="1"/>
    <cellStyle name="Followed Hyperlink" xfId="622" builtinId="9" hidden="1"/>
    <cellStyle name="Followed Hyperlink" xfId="654" builtinId="9" hidden="1"/>
    <cellStyle name="Followed Hyperlink" xfId="686" builtinId="9" hidden="1"/>
    <cellStyle name="Followed Hyperlink" xfId="718" builtinId="9" hidden="1"/>
    <cellStyle name="Followed Hyperlink" xfId="750" builtinId="9" hidden="1"/>
    <cellStyle name="Followed Hyperlink" xfId="782" builtinId="9" hidden="1"/>
    <cellStyle name="Followed Hyperlink" xfId="814" builtinId="9" hidden="1"/>
    <cellStyle name="Followed Hyperlink" xfId="846" builtinId="9" hidden="1"/>
    <cellStyle name="Followed Hyperlink" xfId="878" builtinId="9" hidden="1"/>
    <cellStyle name="Followed Hyperlink" xfId="910" builtinId="9" hidden="1"/>
    <cellStyle name="Followed Hyperlink" xfId="942" builtinId="9" hidden="1"/>
    <cellStyle name="Followed Hyperlink" xfId="974" builtinId="9" hidden="1"/>
    <cellStyle name="Followed Hyperlink" xfId="1006" builtinId="9" hidden="1"/>
    <cellStyle name="Followed Hyperlink" xfId="1038" builtinId="9" hidden="1"/>
    <cellStyle name="Followed Hyperlink" xfId="1070" builtinId="9" hidden="1"/>
    <cellStyle name="Followed Hyperlink" xfId="1104" builtinId="9" hidden="1"/>
    <cellStyle name="Followed Hyperlink" xfId="1136" builtinId="9" hidden="1"/>
    <cellStyle name="Followed Hyperlink" xfId="1168" builtinId="9" hidden="1"/>
    <cellStyle name="Followed Hyperlink" xfId="1200" builtinId="9" hidden="1"/>
    <cellStyle name="Followed Hyperlink" xfId="1232" builtinId="9" hidden="1"/>
    <cellStyle name="Followed Hyperlink" xfId="1264" builtinId="9" hidden="1"/>
    <cellStyle name="Followed Hyperlink" xfId="1296" builtinId="9" hidden="1"/>
    <cellStyle name="Followed Hyperlink" xfId="1328" builtinId="9" hidden="1"/>
    <cellStyle name="Followed Hyperlink" xfId="1360" builtinId="9" hidden="1"/>
    <cellStyle name="Followed Hyperlink" xfId="1392" builtinId="9" hidden="1"/>
    <cellStyle name="Followed Hyperlink" xfId="1424" builtinId="9" hidden="1"/>
    <cellStyle name="Followed Hyperlink" xfId="1456" builtinId="9" hidden="1"/>
    <cellStyle name="Followed Hyperlink" xfId="1488" builtinId="9" hidden="1"/>
    <cellStyle name="Followed Hyperlink" xfId="1520" builtinId="9" hidden="1"/>
    <cellStyle name="Followed Hyperlink" xfId="1552" builtinId="9" hidden="1"/>
    <cellStyle name="Followed Hyperlink" xfId="1584" builtinId="9" hidden="1"/>
    <cellStyle name="Followed Hyperlink" xfId="1616" builtinId="9" hidden="1"/>
    <cellStyle name="Followed Hyperlink" xfId="1648" builtinId="9" hidden="1"/>
    <cellStyle name="Followed Hyperlink" xfId="1680" builtinId="9" hidden="1"/>
    <cellStyle name="Followed Hyperlink" xfId="1712" builtinId="9" hidden="1"/>
    <cellStyle name="Followed Hyperlink" xfId="1744" builtinId="9" hidden="1"/>
    <cellStyle name="Followed Hyperlink" xfId="1776" builtinId="9" hidden="1"/>
    <cellStyle name="Followed Hyperlink" xfId="1808" builtinId="9" hidden="1"/>
    <cellStyle name="Followed Hyperlink" xfId="1840" builtinId="9" hidden="1"/>
    <cellStyle name="Followed Hyperlink" xfId="1872" builtinId="9" hidden="1"/>
    <cellStyle name="Followed Hyperlink" xfId="1904" builtinId="9" hidden="1"/>
    <cellStyle name="Followed Hyperlink" xfId="1936" builtinId="9" hidden="1"/>
    <cellStyle name="Followed Hyperlink" xfId="1968" builtinId="9" hidden="1"/>
    <cellStyle name="Followed Hyperlink" xfId="2000" builtinId="9" hidden="1"/>
    <cellStyle name="Followed Hyperlink" xfId="2032" builtinId="9" hidden="1"/>
    <cellStyle name="Followed Hyperlink" xfId="2064" builtinId="9" hidden="1"/>
    <cellStyle name="Followed Hyperlink" xfId="2096" builtinId="9" hidden="1"/>
    <cellStyle name="Followed Hyperlink" xfId="2128" builtinId="9" hidden="1"/>
    <cellStyle name="Followed Hyperlink" xfId="2160" builtinId="9" hidden="1"/>
    <cellStyle name="Followed Hyperlink" xfId="2192" builtinId="9" hidden="1"/>
    <cellStyle name="Followed Hyperlink" xfId="2224" builtinId="9" hidden="1"/>
    <cellStyle name="Followed Hyperlink" xfId="2256" builtinId="9" hidden="1"/>
    <cellStyle name="Followed Hyperlink" xfId="2288" builtinId="9" hidden="1"/>
    <cellStyle name="Followed Hyperlink" xfId="2320" builtinId="9" hidden="1"/>
    <cellStyle name="Followed Hyperlink" xfId="2352" builtinId="9" hidden="1"/>
    <cellStyle name="Followed Hyperlink" xfId="2384" builtinId="9" hidden="1"/>
    <cellStyle name="Followed Hyperlink" xfId="2416" builtinId="9" hidden="1"/>
    <cellStyle name="Followed Hyperlink" xfId="2448" builtinId="9" hidden="1"/>
    <cellStyle name="Followed Hyperlink" xfId="2480" builtinId="9" hidden="1"/>
    <cellStyle name="Followed Hyperlink" xfId="2512" builtinId="9" hidden="1"/>
    <cellStyle name="Followed Hyperlink" xfId="2544" builtinId="9" hidden="1"/>
    <cellStyle name="Followed Hyperlink" xfId="2576" builtinId="9" hidden="1"/>
    <cellStyle name="Followed Hyperlink" xfId="2608" builtinId="9" hidden="1"/>
    <cellStyle name="Followed Hyperlink" xfId="2640" builtinId="9" hidden="1"/>
    <cellStyle name="Followed Hyperlink" xfId="2672" builtinId="9" hidden="1"/>
    <cellStyle name="Followed Hyperlink" xfId="2704" builtinId="9" hidden="1"/>
    <cellStyle name="Followed Hyperlink" xfId="2736" builtinId="9" hidden="1"/>
    <cellStyle name="Followed Hyperlink" xfId="2768" builtinId="9" hidden="1"/>
    <cellStyle name="Followed Hyperlink" xfId="2800" builtinId="9" hidden="1"/>
    <cellStyle name="Followed Hyperlink" xfId="2833" builtinId="9" hidden="1"/>
    <cellStyle name="Followed Hyperlink" xfId="2866" builtinId="9" hidden="1"/>
    <cellStyle name="Followed Hyperlink" xfId="2898" builtinId="9" hidden="1"/>
    <cellStyle name="Followed Hyperlink" xfId="2930" builtinId="9" hidden="1"/>
    <cellStyle name="Followed Hyperlink" xfId="2962" builtinId="9" hidden="1"/>
    <cellStyle name="Followed Hyperlink" xfId="2994" builtinId="9" hidden="1"/>
    <cellStyle name="Followed Hyperlink" xfId="3019" builtinId="9" hidden="1"/>
    <cellStyle name="Followed Hyperlink" xfId="2987" builtinId="9" hidden="1"/>
    <cellStyle name="Followed Hyperlink" xfId="2955" builtinId="9" hidden="1"/>
    <cellStyle name="Followed Hyperlink" xfId="2923" builtinId="9" hidden="1"/>
    <cellStyle name="Followed Hyperlink" xfId="2891" builtinId="9" hidden="1"/>
    <cellStyle name="Followed Hyperlink" xfId="2859" builtinId="9" hidden="1"/>
    <cellStyle name="Followed Hyperlink" xfId="2826" builtinId="9" hidden="1"/>
    <cellStyle name="Followed Hyperlink" xfId="2793" builtinId="9" hidden="1"/>
    <cellStyle name="Followed Hyperlink" xfId="2761" builtinId="9" hidden="1"/>
    <cellStyle name="Followed Hyperlink" xfId="2729" builtinId="9" hidden="1"/>
    <cellStyle name="Followed Hyperlink" xfId="2697" builtinId="9" hidden="1"/>
    <cellStyle name="Followed Hyperlink" xfId="2665" builtinId="9" hidden="1"/>
    <cellStyle name="Followed Hyperlink" xfId="2633" builtinId="9" hidden="1"/>
    <cellStyle name="Followed Hyperlink" xfId="2601" builtinId="9" hidden="1"/>
    <cellStyle name="Followed Hyperlink" xfId="2569" builtinId="9" hidden="1"/>
    <cellStyle name="Followed Hyperlink" xfId="2537" builtinId="9" hidden="1"/>
    <cellStyle name="Followed Hyperlink" xfId="2505" builtinId="9" hidden="1"/>
    <cellStyle name="Followed Hyperlink" xfId="2473" builtinId="9" hidden="1"/>
    <cellStyle name="Followed Hyperlink" xfId="2441" builtinId="9" hidden="1"/>
    <cellStyle name="Followed Hyperlink" xfId="2409" builtinId="9" hidden="1"/>
    <cellStyle name="Followed Hyperlink" xfId="2377" builtinId="9" hidden="1"/>
    <cellStyle name="Followed Hyperlink" xfId="2345" builtinId="9" hidden="1"/>
    <cellStyle name="Followed Hyperlink" xfId="2313" builtinId="9" hidden="1"/>
    <cellStyle name="Followed Hyperlink" xfId="2281" builtinId="9" hidden="1"/>
    <cellStyle name="Followed Hyperlink" xfId="2249" builtinId="9" hidden="1"/>
    <cellStyle name="Followed Hyperlink" xfId="2217" builtinId="9" hidden="1"/>
    <cellStyle name="Followed Hyperlink" xfId="2185" builtinId="9" hidden="1"/>
    <cellStyle name="Followed Hyperlink" xfId="2153" builtinId="9" hidden="1"/>
    <cellStyle name="Followed Hyperlink" xfId="2121" builtinId="9" hidden="1"/>
    <cellStyle name="Followed Hyperlink" xfId="2089" builtinId="9" hidden="1"/>
    <cellStyle name="Followed Hyperlink" xfId="2057" builtinId="9" hidden="1"/>
    <cellStyle name="Followed Hyperlink" xfId="2025" builtinId="9" hidden="1"/>
    <cellStyle name="Followed Hyperlink" xfId="1993" builtinId="9" hidden="1"/>
    <cellStyle name="Followed Hyperlink" xfId="1961" builtinId="9" hidden="1"/>
    <cellStyle name="Followed Hyperlink" xfId="1929" builtinId="9" hidden="1"/>
    <cellStyle name="Followed Hyperlink" xfId="1897" builtinId="9" hidden="1"/>
    <cellStyle name="Followed Hyperlink" xfId="1865" builtinId="9" hidden="1"/>
    <cellStyle name="Followed Hyperlink" xfId="1833" builtinId="9" hidden="1"/>
    <cellStyle name="Followed Hyperlink" xfId="1801" builtinId="9" hidden="1"/>
    <cellStyle name="Followed Hyperlink" xfId="1769" builtinId="9" hidden="1"/>
    <cellStyle name="Followed Hyperlink" xfId="1737" builtinId="9" hidden="1"/>
    <cellStyle name="Followed Hyperlink" xfId="1705" builtinId="9" hidden="1"/>
    <cellStyle name="Followed Hyperlink" xfId="1673" builtinId="9" hidden="1"/>
    <cellStyle name="Followed Hyperlink" xfId="1641" builtinId="9" hidden="1"/>
    <cellStyle name="Followed Hyperlink" xfId="1609" builtinId="9" hidden="1"/>
    <cellStyle name="Followed Hyperlink" xfId="1577" builtinId="9" hidden="1"/>
    <cellStyle name="Followed Hyperlink" xfId="1545" builtinId="9" hidden="1"/>
    <cellStyle name="Followed Hyperlink" xfId="1513" builtinId="9" hidden="1"/>
    <cellStyle name="Followed Hyperlink" xfId="1481" builtinId="9" hidden="1"/>
    <cellStyle name="Followed Hyperlink" xfId="1449" builtinId="9" hidden="1"/>
    <cellStyle name="Followed Hyperlink" xfId="1417" builtinId="9" hidden="1"/>
    <cellStyle name="Followed Hyperlink" xfId="1385" builtinId="9" hidden="1"/>
    <cellStyle name="Followed Hyperlink" xfId="1353" builtinId="9" hidden="1"/>
    <cellStyle name="Followed Hyperlink" xfId="1321" builtinId="9" hidden="1"/>
    <cellStyle name="Followed Hyperlink" xfId="1289" builtinId="9" hidden="1"/>
    <cellStyle name="Followed Hyperlink" xfId="1257" builtinId="9" hidden="1"/>
    <cellStyle name="Followed Hyperlink" xfId="1225" builtinId="9" hidden="1"/>
    <cellStyle name="Followed Hyperlink" xfId="1193" builtinId="9" hidden="1"/>
    <cellStyle name="Followed Hyperlink" xfId="1161" builtinId="9" hidden="1"/>
    <cellStyle name="Followed Hyperlink" xfId="1129" builtinId="9" hidden="1"/>
    <cellStyle name="Followed Hyperlink" xfId="1097" builtinId="9" hidden="1"/>
    <cellStyle name="Followed Hyperlink" xfId="1063" builtinId="9" hidden="1"/>
    <cellStyle name="Followed Hyperlink" xfId="1031" builtinId="9" hidden="1"/>
    <cellStyle name="Followed Hyperlink" xfId="999" builtinId="9" hidden="1"/>
    <cellStyle name="Followed Hyperlink" xfId="967" builtinId="9" hidden="1"/>
    <cellStyle name="Followed Hyperlink" xfId="935" builtinId="9" hidden="1"/>
    <cellStyle name="Followed Hyperlink" xfId="903" builtinId="9" hidden="1"/>
    <cellStyle name="Followed Hyperlink" xfId="871" builtinId="9" hidden="1"/>
    <cellStyle name="Followed Hyperlink" xfId="839" builtinId="9" hidden="1"/>
    <cellStyle name="Followed Hyperlink" xfId="807" builtinId="9" hidden="1"/>
    <cellStyle name="Followed Hyperlink" xfId="775" builtinId="9" hidden="1"/>
    <cellStyle name="Followed Hyperlink" xfId="743" builtinId="9" hidden="1"/>
    <cellStyle name="Followed Hyperlink" xfId="711" builtinId="9" hidden="1"/>
    <cellStyle name="Followed Hyperlink" xfId="679" builtinId="9" hidden="1"/>
    <cellStyle name="Followed Hyperlink" xfId="647" builtinId="9" hidden="1"/>
    <cellStyle name="Followed Hyperlink" xfId="615" builtinId="9" hidden="1"/>
    <cellStyle name="Followed Hyperlink" xfId="583" builtinId="9" hidden="1"/>
    <cellStyle name="Followed Hyperlink" xfId="551" builtinId="9" hidden="1"/>
    <cellStyle name="Followed Hyperlink" xfId="519" builtinId="9" hidden="1"/>
    <cellStyle name="Followed Hyperlink" xfId="487" builtinId="9" hidden="1"/>
    <cellStyle name="Followed Hyperlink" xfId="455" builtinId="9" hidden="1"/>
    <cellStyle name="Followed Hyperlink" xfId="423" builtinId="9" hidden="1"/>
    <cellStyle name="Followed Hyperlink" xfId="391" builtinId="9" hidden="1"/>
    <cellStyle name="Followed Hyperlink" xfId="359" builtinId="9" hidden="1"/>
    <cellStyle name="Followed Hyperlink" xfId="327" builtinId="9" hidden="1"/>
    <cellStyle name="Followed Hyperlink" xfId="295" builtinId="9" hidden="1"/>
    <cellStyle name="Followed Hyperlink" xfId="183" builtinId="9" hidden="1"/>
    <cellStyle name="Followed Hyperlink" xfId="207" builtinId="9" hidden="1"/>
    <cellStyle name="Followed Hyperlink" xfId="223" builtinId="9" hidden="1"/>
    <cellStyle name="Followed Hyperlink" xfId="247" builtinId="9" hidden="1"/>
    <cellStyle name="Followed Hyperlink" xfId="271" builtinId="9" hidden="1"/>
    <cellStyle name="Followed Hyperlink" xfId="231" builtinId="9" hidden="1"/>
    <cellStyle name="Followed Hyperlink" xfId="151" builtinId="9" hidden="1"/>
    <cellStyle name="Followed Hyperlink" xfId="175" builtinId="9" hidden="1"/>
    <cellStyle name="Followed Hyperlink" xfId="143" builtinId="9" hidden="1"/>
    <cellStyle name="Followed Hyperlink" xfId="135" builtinId="9" hidden="1"/>
    <cellStyle name="Followed Hyperlink" xfId="167" builtinId="9" hidden="1"/>
    <cellStyle name="Followed Hyperlink" xfId="159" builtinId="9" hidden="1"/>
    <cellStyle name="Followed Hyperlink" xfId="199" builtinId="9" hidden="1"/>
    <cellStyle name="Followed Hyperlink" xfId="263" builtinId="9" hidden="1"/>
    <cellStyle name="Followed Hyperlink" xfId="255" builtinId="9" hidden="1"/>
    <cellStyle name="Followed Hyperlink" xfId="239" builtinId="9" hidden="1"/>
    <cellStyle name="Followed Hyperlink" xfId="215" builtinId="9" hidden="1"/>
    <cellStyle name="Followed Hyperlink" xfId="191" builtinId="9" hidden="1"/>
    <cellStyle name="Followed Hyperlink" xfId="279" builtinId="9" hidden="1"/>
    <cellStyle name="Followed Hyperlink" xfId="311" builtinId="9" hidden="1"/>
    <cellStyle name="Followed Hyperlink" xfId="343" builtinId="9" hidden="1"/>
    <cellStyle name="Followed Hyperlink" xfId="375" builtinId="9" hidden="1"/>
    <cellStyle name="Followed Hyperlink" xfId="407" builtinId="9" hidden="1"/>
    <cellStyle name="Followed Hyperlink" xfId="439" builtinId="9" hidden="1"/>
    <cellStyle name="Followed Hyperlink" xfId="471" builtinId="9" hidden="1"/>
    <cellStyle name="Followed Hyperlink" xfId="503" builtinId="9" hidden="1"/>
    <cellStyle name="Followed Hyperlink" xfId="535" builtinId="9" hidden="1"/>
    <cellStyle name="Followed Hyperlink" xfId="567" builtinId="9" hidden="1"/>
    <cellStyle name="Followed Hyperlink" xfId="599" builtinId="9" hidden="1"/>
    <cellStyle name="Followed Hyperlink" xfId="631" builtinId="9" hidden="1"/>
    <cellStyle name="Followed Hyperlink" xfId="663" builtinId="9" hidden="1"/>
    <cellStyle name="Followed Hyperlink" xfId="695" builtinId="9" hidden="1"/>
    <cellStyle name="Followed Hyperlink" xfId="727" builtinId="9" hidden="1"/>
    <cellStyle name="Followed Hyperlink" xfId="759" builtinId="9" hidden="1"/>
    <cellStyle name="Followed Hyperlink" xfId="791" builtinId="9" hidden="1"/>
    <cellStyle name="Followed Hyperlink" xfId="823" builtinId="9" hidden="1"/>
    <cellStyle name="Followed Hyperlink" xfId="855" builtinId="9" hidden="1"/>
    <cellStyle name="Followed Hyperlink" xfId="887" builtinId="9" hidden="1"/>
    <cellStyle name="Followed Hyperlink" xfId="919" builtinId="9" hidden="1"/>
    <cellStyle name="Followed Hyperlink" xfId="951" builtinId="9" hidden="1"/>
    <cellStyle name="Followed Hyperlink" xfId="983" builtinId="9" hidden="1"/>
    <cellStyle name="Followed Hyperlink" xfId="1015" builtinId="9" hidden="1"/>
    <cellStyle name="Followed Hyperlink" xfId="1047" builtinId="9" hidden="1"/>
    <cellStyle name="Followed Hyperlink" xfId="1081" builtinId="9" hidden="1"/>
    <cellStyle name="Followed Hyperlink" xfId="1113" builtinId="9" hidden="1"/>
    <cellStyle name="Followed Hyperlink" xfId="1145" builtinId="9" hidden="1"/>
    <cellStyle name="Followed Hyperlink" xfId="1177" builtinId="9" hidden="1"/>
    <cellStyle name="Followed Hyperlink" xfId="1209" builtinId="9" hidden="1"/>
    <cellStyle name="Followed Hyperlink" xfId="1241" builtinId="9" hidden="1"/>
    <cellStyle name="Followed Hyperlink" xfId="1273" builtinId="9" hidden="1"/>
    <cellStyle name="Followed Hyperlink" xfId="1305" builtinId="9" hidden="1"/>
    <cellStyle name="Followed Hyperlink" xfId="1337" builtinId="9" hidden="1"/>
    <cellStyle name="Followed Hyperlink" xfId="1369" builtinId="9" hidden="1"/>
    <cellStyle name="Followed Hyperlink" xfId="1401" builtinId="9" hidden="1"/>
    <cellStyle name="Followed Hyperlink" xfId="1433" builtinId="9" hidden="1"/>
    <cellStyle name="Followed Hyperlink" xfId="1465" builtinId="9" hidden="1"/>
    <cellStyle name="Followed Hyperlink" xfId="1497" builtinId="9" hidden="1"/>
    <cellStyle name="Followed Hyperlink" xfId="1529" builtinId="9" hidden="1"/>
    <cellStyle name="Followed Hyperlink" xfId="1561" builtinId="9" hidden="1"/>
    <cellStyle name="Followed Hyperlink" xfId="1593" builtinId="9" hidden="1"/>
    <cellStyle name="Followed Hyperlink" xfId="1625" builtinId="9" hidden="1"/>
    <cellStyle name="Followed Hyperlink" xfId="1657" builtinId="9" hidden="1"/>
    <cellStyle name="Followed Hyperlink" xfId="1689" builtinId="9" hidden="1"/>
    <cellStyle name="Followed Hyperlink" xfId="1721" builtinId="9" hidden="1"/>
    <cellStyle name="Followed Hyperlink" xfId="1753" builtinId="9" hidden="1"/>
    <cellStyle name="Followed Hyperlink" xfId="1785" builtinId="9" hidden="1"/>
    <cellStyle name="Followed Hyperlink" xfId="1817" builtinId="9" hidden="1"/>
    <cellStyle name="Followed Hyperlink" xfId="1849" builtinId="9" hidden="1"/>
    <cellStyle name="Followed Hyperlink" xfId="1881" builtinId="9" hidden="1"/>
    <cellStyle name="Followed Hyperlink" xfId="1913" builtinId="9" hidden="1"/>
    <cellStyle name="Followed Hyperlink" xfId="1945" builtinId="9" hidden="1"/>
    <cellStyle name="Followed Hyperlink" xfId="1977" builtinId="9" hidden="1"/>
    <cellStyle name="Followed Hyperlink" xfId="2009" builtinId="9" hidden="1"/>
    <cellStyle name="Followed Hyperlink" xfId="2041" builtinId="9" hidden="1"/>
    <cellStyle name="Followed Hyperlink" xfId="2073" builtinId="9" hidden="1"/>
    <cellStyle name="Followed Hyperlink" xfId="2105" builtinId="9" hidden="1"/>
    <cellStyle name="Followed Hyperlink" xfId="2137" builtinId="9" hidden="1"/>
    <cellStyle name="Followed Hyperlink" xfId="2169" builtinId="9" hidden="1"/>
    <cellStyle name="Followed Hyperlink" xfId="2201" builtinId="9" hidden="1"/>
    <cellStyle name="Followed Hyperlink" xfId="2233" builtinId="9" hidden="1"/>
    <cellStyle name="Followed Hyperlink" xfId="2265" builtinId="9" hidden="1"/>
    <cellStyle name="Followed Hyperlink" xfId="2297" builtinId="9" hidden="1"/>
    <cellStyle name="Followed Hyperlink" xfId="2329" builtinId="9" hidden="1"/>
    <cellStyle name="Followed Hyperlink" xfId="2361" builtinId="9" hidden="1"/>
    <cellStyle name="Followed Hyperlink" xfId="2393" builtinId="9" hidden="1"/>
    <cellStyle name="Followed Hyperlink" xfId="2425" builtinId="9" hidden="1"/>
    <cellStyle name="Followed Hyperlink" xfId="2457" builtinId="9" hidden="1"/>
    <cellStyle name="Followed Hyperlink" xfId="2489" builtinId="9" hidden="1"/>
    <cellStyle name="Followed Hyperlink" xfId="2521" builtinId="9" hidden="1"/>
    <cellStyle name="Followed Hyperlink" xfId="2553" builtinId="9" hidden="1"/>
    <cellStyle name="Followed Hyperlink" xfId="2585" builtinId="9" hidden="1"/>
    <cellStyle name="Followed Hyperlink" xfId="2617" builtinId="9" hidden="1"/>
    <cellStyle name="Followed Hyperlink" xfId="2649" builtinId="9" hidden="1"/>
    <cellStyle name="Followed Hyperlink" xfId="2681" builtinId="9" hidden="1"/>
    <cellStyle name="Followed Hyperlink" xfId="2713" builtinId="9" hidden="1"/>
    <cellStyle name="Followed Hyperlink" xfId="2745" builtinId="9" hidden="1"/>
    <cellStyle name="Followed Hyperlink" xfId="2777" builtinId="9" hidden="1"/>
    <cellStyle name="Followed Hyperlink" xfId="2809" builtinId="9" hidden="1"/>
    <cellStyle name="Followed Hyperlink" xfId="2843" builtinId="9" hidden="1"/>
    <cellStyle name="Followed Hyperlink" xfId="2875" builtinId="9" hidden="1"/>
    <cellStyle name="Followed Hyperlink" xfId="2907" builtinId="9" hidden="1"/>
    <cellStyle name="Followed Hyperlink" xfId="2939" builtinId="9" hidden="1"/>
    <cellStyle name="Followed Hyperlink" xfId="2971" builtinId="9" hidden="1"/>
    <cellStyle name="Followed Hyperlink" xfId="3003" builtinId="9" hidden="1"/>
    <cellStyle name="Followed Hyperlink" xfId="3010" builtinId="9" hidden="1"/>
    <cellStyle name="Followed Hyperlink" xfId="2978" builtinId="9" hidden="1"/>
    <cellStyle name="Followed Hyperlink" xfId="2946" builtinId="9" hidden="1"/>
    <cellStyle name="Followed Hyperlink" xfId="2914" builtinId="9" hidden="1"/>
    <cellStyle name="Followed Hyperlink" xfId="2882" builtinId="9" hidden="1"/>
    <cellStyle name="Followed Hyperlink" xfId="2850" builtinId="9" hidden="1"/>
    <cellStyle name="Followed Hyperlink" xfId="2817" builtinId="9" hidden="1"/>
    <cellStyle name="Followed Hyperlink" xfId="2784" builtinId="9" hidden="1"/>
    <cellStyle name="Followed Hyperlink" xfId="2752" builtinId="9" hidden="1"/>
    <cellStyle name="Followed Hyperlink" xfId="2720" builtinId="9" hidden="1"/>
    <cellStyle name="Followed Hyperlink" xfId="2688" builtinId="9" hidden="1"/>
    <cellStyle name="Followed Hyperlink" xfId="2656" builtinId="9" hidden="1"/>
    <cellStyle name="Followed Hyperlink" xfId="2624" builtinId="9" hidden="1"/>
    <cellStyle name="Followed Hyperlink" xfId="2592" builtinId="9" hidden="1"/>
    <cellStyle name="Followed Hyperlink" xfId="2560" builtinId="9" hidden="1"/>
    <cellStyle name="Followed Hyperlink" xfId="2528" builtinId="9" hidden="1"/>
    <cellStyle name="Followed Hyperlink" xfId="2496" builtinId="9" hidden="1"/>
    <cellStyle name="Followed Hyperlink" xfId="2464" builtinId="9" hidden="1"/>
    <cellStyle name="Followed Hyperlink" xfId="2432" builtinId="9" hidden="1"/>
    <cellStyle name="Followed Hyperlink" xfId="2400" builtinId="9" hidden="1"/>
    <cellStyle name="Followed Hyperlink" xfId="2368" builtinId="9" hidden="1"/>
    <cellStyle name="Followed Hyperlink" xfId="2336" builtinId="9" hidden="1"/>
    <cellStyle name="Followed Hyperlink" xfId="2304" builtinId="9" hidden="1"/>
    <cellStyle name="Followed Hyperlink" xfId="2272" builtinId="9" hidden="1"/>
    <cellStyle name="Followed Hyperlink" xfId="2240" builtinId="9" hidden="1"/>
    <cellStyle name="Followed Hyperlink" xfId="2208" builtinId="9" hidden="1"/>
    <cellStyle name="Followed Hyperlink" xfId="2176" builtinId="9" hidden="1"/>
    <cellStyle name="Followed Hyperlink" xfId="2144" builtinId="9" hidden="1"/>
    <cellStyle name="Followed Hyperlink" xfId="2112" builtinId="9" hidden="1"/>
    <cellStyle name="Followed Hyperlink" xfId="2080" builtinId="9" hidden="1"/>
    <cellStyle name="Followed Hyperlink" xfId="2048" builtinId="9" hidden="1"/>
    <cellStyle name="Followed Hyperlink" xfId="2016" builtinId="9" hidden="1"/>
    <cellStyle name="Followed Hyperlink" xfId="1984" builtinId="9" hidden="1"/>
    <cellStyle name="Followed Hyperlink" xfId="1952" builtinId="9" hidden="1"/>
    <cellStyle name="Followed Hyperlink" xfId="1920" builtinId="9" hidden="1"/>
    <cellStyle name="Followed Hyperlink" xfId="1888" builtinId="9" hidden="1"/>
    <cellStyle name="Followed Hyperlink" xfId="1856" builtinId="9" hidden="1"/>
    <cellStyle name="Followed Hyperlink" xfId="1824" builtinId="9" hidden="1"/>
    <cellStyle name="Followed Hyperlink" xfId="1792" builtinId="9" hidden="1"/>
    <cellStyle name="Followed Hyperlink" xfId="1760" builtinId="9" hidden="1"/>
    <cellStyle name="Followed Hyperlink" xfId="1728" builtinId="9" hidden="1"/>
    <cellStyle name="Followed Hyperlink" xfId="1696" builtinId="9" hidden="1"/>
    <cellStyle name="Followed Hyperlink" xfId="1664" builtinId="9" hidden="1"/>
    <cellStyle name="Followed Hyperlink" xfId="1632" builtinId="9" hidden="1"/>
    <cellStyle name="Followed Hyperlink" xfId="1600" builtinId="9" hidden="1"/>
    <cellStyle name="Followed Hyperlink" xfId="1568" builtinId="9" hidden="1"/>
    <cellStyle name="Followed Hyperlink" xfId="1536" builtinId="9" hidden="1"/>
    <cellStyle name="Followed Hyperlink" xfId="1504" builtinId="9" hidden="1"/>
    <cellStyle name="Followed Hyperlink" xfId="1472" builtinId="9" hidden="1"/>
    <cellStyle name="Followed Hyperlink" xfId="1440" builtinId="9" hidden="1"/>
    <cellStyle name="Followed Hyperlink" xfId="1408" builtinId="9" hidden="1"/>
    <cellStyle name="Followed Hyperlink" xfId="1376" builtinId="9" hidden="1"/>
    <cellStyle name="Followed Hyperlink" xfId="1344" builtinId="9" hidden="1"/>
    <cellStyle name="Followed Hyperlink" xfId="1312" builtinId="9" hidden="1"/>
    <cellStyle name="Followed Hyperlink" xfId="1280" builtinId="9" hidden="1"/>
    <cellStyle name="Followed Hyperlink" xfId="1248" builtinId="9" hidden="1"/>
    <cellStyle name="Followed Hyperlink" xfId="1216" builtinId="9" hidden="1"/>
    <cellStyle name="Followed Hyperlink" xfId="1184" builtinId="9" hidden="1"/>
    <cellStyle name="Followed Hyperlink" xfId="1152" builtinId="9" hidden="1"/>
    <cellStyle name="Followed Hyperlink" xfId="1120" builtinId="9" hidden="1"/>
    <cellStyle name="Followed Hyperlink" xfId="1088" builtinId="9" hidden="1"/>
    <cellStyle name="Followed Hyperlink" xfId="1054" builtinId="9" hidden="1"/>
    <cellStyle name="Followed Hyperlink" xfId="1022" builtinId="9" hidden="1"/>
    <cellStyle name="Followed Hyperlink" xfId="990" builtinId="9" hidden="1"/>
    <cellStyle name="Followed Hyperlink" xfId="958" builtinId="9" hidden="1"/>
    <cellStyle name="Followed Hyperlink" xfId="926" builtinId="9" hidden="1"/>
    <cellStyle name="Followed Hyperlink" xfId="894" builtinId="9" hidden="1"/>
    <cellStyle name="Followed Hyperlink" xfId="862" builtinId="9" hidden="1"/>
    <cellStyle name="Followed Hyperlink" xfId="830" builtinId="9" hidden="1"/>
    <cellStyle name="Followed Hyperlink" xfId="798" builtinId="9" hidden="1"/>
    <cellStyle name="Followed Hyperlink" xfId="766" builtinId="9" hidden="1"/>
    <cellStyle name="Followed Hyperlink" xfId="734" builtinId="9" hidden="1"/>
    <cellStyle name="Followed Hyperlink" xfId="702" builtinId="9" hidden="1"/>
    <cellStyle name="Followed Hyperlink" xfId="670" builtinId="9" hidden="1"/>
    <cellStyle name="Followed Hyperlink" xfId="638" builtinId="9" hidden="1"/>
    <cellStyle name="Followed Hyperlink" xfId="606" builtinId="9" hidden="1"/>
    <cellStyle name="Followed Hyperlink" xfId="574" builtinId="9" hidden="1"/>
    <cellStyle name="Followed Hyperlink" xfId="542" builtinId="9" hidden="1"/>
    <cellStyle name="Followed Hyperlink" xfId="510" builtinId="9" hidden="1"/>
    <cellStyle name="Followed Hyperlink" xfId="478" builtinId="9" hidden="1"/>
    <cellStyle name="Followed Hyperlink" xfId="446" builtinId="9" hidden="1"/>
    <cellStyle name="Followed Hyperlink" xfId="414" builtinId="9" hidden="1"/>
    <cellStyle name="Followed Hyperlink" xfId="382" builtinId="9" hidden="1"/>
    <cellStyle name="Followed Hyperlink" xfId="350" builtinId="9" hidden="1"/>
    <cellStyle name="Followed Hyperlink" xfId="318" builtinId="9" hidden="1"/>
    <cellStyle name="Followed Hyperlink" xfId="286" builtinId="9" hidden="1"/>
    <cellStyle name="Followed Hyperlink" xfId="254" builtinId="9" hidden="1"/>
    <cellStyle name="Followed Hyperlink" xfId="222" builtinId="9" hidden="1"/>
    <cellStyle name="Followed Hyperlink" xfId="190" builtinId="9" hidden="1"/>
    <cellStyle name="Followed Hyperlink" xfId="158" builtinId="9" hidden="1"/>
    <cellStyle name="Followed Hyperlink" xfId="126" builtinId="9" hidden="1"/>
    <cellStyle name="Followed Hyperlink" xfId="94" builtinId="9" hidden="1"/>
    <cellStyle name="Followed Hyperlink" xfId="62" builtinId="9" hidden="1"/>
    <cellStyle name="Followed Hyperlink" xfId="30" builtinId="9" hidden="1"/>
    <cellStyle name="Followed Hyperlink" xfId="14" builtinId="9" hidden="1"/>
    <cellStyle name="Followed Hyperlink" xfId="18" builtinId="9" hidden="1"/>
    <cellStyle name="Followed Hyperlink" xfId="32" builtinId="9" hidden="1"/>
    <cellStyle name="Followed Hyperlink" xfId="64" builtinId="9" hidden="1"/>
    <cellStyle name="Followed Hyperlink" xfId="96" builtinId="9" hidden="1"/>
    <cellStyle name="Followed Hyperlink" xfId="128" builtinId="9" hidden="1"/>
    <cellStyle name="Followed Hyperlink" xfId="160" builtinId="9" hidden="1"/>
    <cellStyle name="Followed Hyperlink" xfId="192" builtinId="9" hidden="1"/>
    <cellStyle name="Followed Hyperlink" xfId="224" builtinId="9" hidden="1"/>
    <cellStyle name="Followed Hyperlink" xfId="256" builtinId="9" hidden="1"/>
    <cellStyle name="Followed Hyperlink" xfId="288" builtinId="9" hidden="1"/>
    <cellStyle name="Followed Hyperlink" xfId="320" builtinId="9" hidden="1"/>
    <cellStyle name="Followed Hyperlink" xfId="352" builtinId="9" hidden="1"/>
    <cellStyle name="Followed Hyperlink" xfId="384" builtinId="9" hidden="1"/>
    <cellStyle name="Followed Hyperlink" xfId="416" builtinId="9" hidden="1"/>
    <cellStyle name="Followed Hyperlink" xfId="448" builtinId="9" hidden="1"/>
    <cellStyle name="Followed Hyperlink" xfId="480" builtinId="9" hidden="1"/>
    <cellStyle name="Followed Hyperlink" xfId="512" builtinId="9" hidden="1"/>
    <cellStyle name="Followed Hyperlink" xfId="544" builtinId="9" hidden="1"/>
    <cellStyle name="Followed Hyperlink" xfId="576" builtinId="9" hidden="1"/>
    <cellStyle name="Followed Hyperlink" xfId="608" builtinId="9" hidden="1"/>
    <cellStyle name="Followed Hyperlink" xfId="640" builtinId="9" hidden="1"/>
    <cellStyle name="Followed Hyperlink" xfId="672" builtinId="9" hidden="1"/>
    <cellStyle name="Followed Hyperlink" xfId="704" builtinId="9" hidden="1"/>
    <cellStyle name="Followed Hyperlink" xfId="736" builtinId="9" hidden="1"/>
    <cellStyle name="Followed Hyperlink" xfId="768" builtinId="9" hidden="1"/>
    <cellStyle name="Followed Hyperlink" xfId="800" builtinId="9" hidden="1"/>
    <cellStyle name="Followed Hyperlink" xfId="832" builtinId="9" hidden="1"/>
    <cellStyle name="Followed Hyperlink" xfId="864" builtinId="9" hidden="1"/>
    <cellStyle name="Followed Hyperlink" xfId="896" builtinId="9" hidden="1"/>
    <cellStyle name="Followed Hyperlink" xfId="928" builtinId="9" hidden="1"/>
    <cellStyle name="Followed Hyperlink" xfId="960" builtinId="9" hidden="1"/>
    <cellStyle name="Followed Hyperlink" xfId="992" builtinId="9" hidden="1"/>
    <cellStyle name="Followed Hyperlink" xfId="1024" builtinId="9" hidden="1"/>
    <cellStyle name="Followed Hyperlink" xfId="1056" builtinId="9" hidden="1"/>
    <cellStyle name="Followed Hyperlink" xfId="1090" builtinId="9" hidden="1"/>
    <cellStyle name="Followed Hyperlink" xfId="1122" builtinId="9" hidden="1"/>
    <cellStyle name="Followed Hyperlink" xfId="1154" builtinId="9" hidden="1"/>
    <cellStyle name="Followed Hyperlink" xfId="1186" builtinId="9" hidden="1"/>
    <cellStyle name="Followed Hyperlink" xfId="1218" builtinId="9" hidden="1"/>
    <cellStyle name="Followed Hyperlink" xfId="1250" builtinId="9" hidden="1"/>
    <cellStyle name="Followed Hyperlink" xfId="1282" builtinId="9" hidden="1"/>
    <cellStyle name="Followed Hyperlink" xfId="1314" builtinId="9" hidden="1"/>
    <cellStyle name="Followed Hyperlink" xfId="1346" builtinId="9" hidden="1"/>
    <cellStyle name="Followed Hyperlink" xfId="1378" builtinId="9" hidden="1"/>
    <cellStyle name="Followed Hyperlink" xfId="1410" builtinId="9" hidden="1"/>
    <cellStyle name="Followed Hyperlink" xfId="1442" builtinId="9" hidden="1"/>
    <cellStyle name="Followed Hyperlink" xfId="1474" builtinId="9" hidden="1"/>
    <cellStyle name="Followed Hyperlink" xfId="1506" builtinId="9" hidden="1"/>
    <cellStyle name="Followed Hyperlink" xfId="1538" builtinId="9" hidden="1"/>
    <cellStyle name="Followed Hyperlink" xfId="1570" builtinId="9" hidden="1"/>
    <cellStyle name="Followed Hyperlink" xfId="1602" builtinId="9" hidden="1"/>
    <cellStyle name="Followed Hyperlink" xfId="1634" builtinId="9" hidden="1"/>
    <cellStyle name="Followed Hyperlink" xfId="1666" builtinId="9" hidden="1"/>
    <cellStyle name="Followed Hyperlink" xfId="1698" builtinId="9" hidden="1"/>
    <cellStyle name="Followed Hyperlink" xfId="1730" builtinId="9" hidden="1"/>
    <cellStyle name="Followed Hyperlink" xfId="1762" builtinId="9" hidden="1"/>
    <cellStyle name="Followed Hyperlink" xfId="1794" builtinId="9" hidden="1"/>
    <cellStyle name="Followed Hyperlink" xfId="1826" builtinId="9" hidden="1"/>
    <cellStyle name="Followed Hyperlink" xfId="1858" builtinId="9" hidden="1"/>
    <cellStyle name="Followed Hyperlink" xfId="1890" builtinId="9" hidden="1"/>
    <cellStyle name="Followed Hyperlink" xfId="1922" builtinId="9" hidden="1"/>
    <cellStyle name="Followed Hyperlink" xfId="1954" builtinId="9" hidden="1"/>
    <cellStyle name="Followed Hyperlink" xfId="1986" builtinId="9" hidden="1"/>
    <cellStyle name="Followed Hyperlink" xfId="2018" builtinId="9" hidden="1"/>
    <cellStyle name="Followed Hyperlink" xfId="2050" builtinId="9" hidden="1"/>
    <cellStyle name="Followed Hyperlink" xfId="2082" builtinId="9" hidden="1"/>
    <cellStyle name="Followed Hyperlink" xfId="2114" builtinId="9" hidden="1"/>
    <cellStyle name="Followed Hyperlink" xfId="2146" builtinId="9" hidden="1"/>
    <cellStyle name="Followed Hyperlink" xfId="2178" builtinId="9" hidden="1"/>
    <cellStyle name="Followed Hyperlink" xfId="2210" builtinId="9" hidden="1"/>
    <cellStyle name="Followed Hyperlink" xfId="2242" builtinId="9" hidden="1"/>
    <cellStyle name="Followed Hyperlink" xfId="2274" builtinId="9" hidden="1"/>
    <cellStyle name="Followed Hyperlink" xfId="2306" builtinId="9" hidden="1"/>
    <cellStyle name="Followed Hyperlink" xfId="2338" builtinId="9" hidden="1"/>
    <cellStyle name="Followed Hyperlink" xfId="2370" builtinId="9" hidden="1"/>
    <cellStyle name="Followed Hyperlink" xfId="2402" builtinId="9" hidden="1"/>
    <cellStyle name="Followed Hyperlink" xfId="2434" builtinId="9" hidden="1"/>
    <cellStyle name="Followed Hyperlink" xfId="2466" builtinId="9" hidden="1"/>
    <cellStyle name="Followed Hyperlink" xfId="2498" builtinId="9" hidden="1"/>
    <cellStyle name="Followed Hyperlink" xfId="2530" builtinId="9" hidden="1"/>
    <cellStyle name="Followed Hyperlink" xfId="2562" builtinId="9" hidden="1"/>
    <cellStyle name="Followed Hyperlink" xfId="2594" builtinId="9" hidden="1"/>
    <cellStyle name="Followed Hyperlink" xfId="2626" builtinId="9" hidden="1"/>
    <cellStyle name="Followed Hyperlink" xfId="2658" builtinId="9" hidden="1"/>
    <cellStyle name="Followed Hyperlink" xfId="2690" builtinId="9" hidden="1"/>
    <cellStyle name="Followed Hyperlink" xfId="2722" builtinId="9" hidden="1"/>
    <cellStyle name="Followed Hyperlink" xfId="2754" builtinId="9" hidden="1"/>
    <cellStyle name="Followed Hyperlink" xfId="2786" builtinId="9" hidden="1"/>
    <cellStyle name="Followed Hyperlink" xfId="2819" builtinId="9" hidden="1"/>
    <cellStyle name="Followed Hyperlink" xfId="2852" builtinId="9" hidden="1"/>
    <cellStyle name="Followed Hyperlink" xfId="2884" builtinId="9" hidden="1"/>
    <cellStyle name="Followed Hyperlink" xfId="2916" builtinId="9" hidden="1"/>
    <cellStyle name="Followed Hyperlink" xfId="2948" builtinId="9" hidden="1"/>
    <cellStyle name="Followed Hyperlink" xfId="2980" builtinId="9" hidden="1"/>
    <cellStyle name="Followed Hyperlink" xfId="3012" builtinId="9" hidden="1"/>
    <cellStyle name="Followed Hyperlink" xfId="3001" builtinId="9" hidden="1"/>
    <cellStyle name="Followed Hyperlink" xfId="2969" builtinId="9" hidden="1"/>
    <cellStyle name="Followed Hyperlink" xfId="2937" builtinId="9" hidden="1"/>
    <cellStyle name="Followed Hyperlink" xfId="2905" builtinId="9" hidden="1"/>
    <cellStyle name="Followed Hyperlink" xfId="2873" builtinId="9" hidden="1"/>
    <cellStyle name="Followed Hyperlink" xfId="2841" builtinId="9" hidden="1"/>
    <cellStyle name="Followed Hyperlink" xfId="2807" builtinId="9" hidden="1"/>
    <cellStyle name="Followed Hyperlink" xfId="2775" builtinId="9" hidden="1"/>
    <cellStyle name="Followed Hyperlink" xfId="2743" builtinId="9" hidden="1"/>
    <cellStyle name="Followed Hyperlink" xfId="2711" builtinId="9" hidden="1"/>
    <cellStyle name="Followed Hyperlink" xfId="2679" builtinId="9" hidden="1"/>
    <cellStyle name="Followed Hyperlink" xfId="2647" builtinId="9" hidden="1"/>
    <cellStyle name="Followed Hyperlink" xfId="2615" builtinId="9" hidden="1"/>
    <cellStyle name="Followed Hyperlink" xfId="2583" builtinId="9" hidden="1"/>
    <cellStyle name="Followed Hyperlink" xfId="2551" builtinId="9" hidden="1"/>
    <cellStyle name="Followed Hyperlink" xfId="2519" builtinId="9" hidden="1"/>
    <cellStyle name="Followed Hyperlink" xfId="2487" builtinId="9" hidden="1"/>
    <cellStyle name="Followed Hyperlink" xfId="2455" builtinId="9" hidden="1"/>
    <cellStyle name="Followed Hyperlink" xfId="2423" builtinId="9" hidden="1"/>
    <cellStyle name="Followed Hyperlink" xfId="2391" builtinId="9" hidden="1"/>
    <cellStyle name="Followed Hyperlink" xfId="2359" builtinId="9" hidden="1"/>
    <cellStyle name="Followed Hyperlink" xfId="2327" builtinId="9" hidden="1"/>
    <cellStyle name="Followed Hyperlink" xfId="2295" builtinId="9" hidden="1"/>
    <cellStyle name="Followed Hyperlink" xfId="2263" builtinId="9" hidden="1"/>
    <cellStyle name="Followed Hyperlink" xfId="2231" builtinId="9" hidden="1"/>
    <cellStyle name="Followed Hyperlink" xfId="2199" builtinId="9" hidden="1"/>
    <cellStyle name="Followed Hyperlink" xfId="2167" builtinId="9" hidden="1"/>
    <cellStyle name="Followed Hyperlink" xfId="2135" builtinId="9" hidden="1"/>
    <cellStyle name="Followed Hyperlink" xfId="2103" builtinId="9" hidden="1"/>
    <cellStyle name="Followed Hyperlink" xfId="2071" builtinId="9" hidden="1"/>
    <cellStyle name="Followed Hyperlink" xfId="2039" builtinId="9" hidden="1"/>
    <cellStyle name="Followed Hyperlink" xfId="2007" builtinId="9" hidden="1"/>
    <cellStyle name="Followed Hyperlink" xfId="1975" builtinId="9" hidden="1"/>
    <cellStyle name="Followed Hyperlink" xfId="1943" builtinId="9" hidden="1"/>
    <cellStyle name="Followed Hyperlink" xfId="1911" builtinId="9" hidden="1"/>
    <cellStyle name="Followed Hyperlink" xfId="1879" builtinId="9" hidden="1"/>
    <cellStyle name="Followed Hyperlink" xfId="1847" builtinId="9" hidden="1"/>
    <cellStyle name="Followed Hyperlink" xfId="1815" builtinId="9" hidden="1"/>
    <cellStyle name="Followed Hyperlink" xfId="1783" builtinId="9" hidden="1"/>
    <cellStyle name="Followed Hyperlink" xfId="1751" builtinId="9" hidden="1"/>
    <cellStyle name="Followed Hyperlink" xfId="1719" builtinId="9" hidden="1"/>
    <cellStyle name="Followed Hyperlink" xfId="1687" builtinId="9" hidden="1"/>
    <cellStyle name="Followed Hyperlink" xfId="1655" builtinId="9" hidden="1"/>
    <cellStyle name="Followed Hyperlink" xfId="1623" builtinId="9" hidden="1"/>
    <cellStyle name="Followed Hyperlink" xfId="1591" builtinId="9" hidden="1"/>
    <cellStyle name="Followed Hyperlink" xfId="1559" builtinId="9" hidden="1"/>
    <cellStyle name="Followed Hyperlink" xfId="1527" builtinId="9" hidden="1"/>
    <cellStyle name="Followed Hyperlink" xfId="1495" builtinId="9" hidden="1"/>
    <cellStyle name="Followed Hyperlink" xfId="1463" builtinId="9" hidden="1"/>
    <cellStyle name="Followed Hyperlink" xfId="1431" builtinId="9" hidden="1"/>
    <cellStyle name="Followed Hyperlink" xfId="1399" builtinId="9" hidden="1"/>
    <cellStyle name="Followed Hyperlink" xfId="1367" builtinId="9" hidden="1"/>
    <cellStyle name="Followed Hyperlink" xfId="1335" builtinId="9" hidden="1"/>
    <cellStyle name="Followed Hyperlink" xfId="1303" builtinId="9" hidden="1"/>
    <cellStyle name="Followed Hyperlink" xfId="1271" builtinId="9" hidden="1"/>
    <cellStyle name="Followed Hyperlink" xfId="1239" builtinId="9" hidden="1"/>
    <cellStyle name="Followed Hyperlink" xfId="1207" builtinId="9" hidden="1"/>
    <cellStyle name="Followed Hyperlink" xfId="1175" builtinId="9" hidden="1"/>
    <cellStyle name="Followed Hyperlink" xfId="1143" builtinId="9" hidden="1"/>
    <cellStyle name="Followed Hyperlink" xfId="1111" builtinId="9" hidden="1"/>
    <cellStyle name="Followed Hyperlink" xfId="1079" builtinId="9" hidden="1"/>
    <cellStyle name="Followed Hyperlink" xfId="1045" builtinId="9" hidden="1"/>
    <cellStyle name="Followed Hyperlink" xfId="1013" builtinId="9" hidden="1"/>
    <cellStyle name="Followed Hyperlink" xfId="981" builtinId="9" hidden="1"/>
    <cellStyle name="Followed Hyperlink" xfId="949" builtinId="9" hidden="1"/>
    <cellStyle name="Followed Hyperlink" xfId="917" builtinId="9" hidden="1"/>
    <cellStyle name="Followed Hyperlink" xfId="885" builtinId="9" hidden="1"/>
    <cellStyle name="Followed Hyperlink" xfId="853" builtinId="9" hidden="1"/>
    <cellStyle name="Followed Hyperlink" xfId="821" builtinId="9" hidden="1"/>
    <cellStyle name="Followed Hyperlink" xfId="789" builtinId="9" hidden="1"/>
    <cellStyle name="Followed Hyperlink" xfId="757" builtinId="9" hidden="1"/>
    <cellStyle name="Followed Hyperlink" xfId="725" builtinId="9" hidden="1"/>
    <cellStyle name="Followed Hyperlink" xfId="693" builtinId="9" hidden="1"/>
    <cellStyle name="Followed Hyperlink" xfId="661" builtinId="9" hidden="1"/>
    <cellStyle name="Followed Hyperlink" xfId="629" builtinId="9" hidden="1"/>
    <cellStyle name="Followed Hyperlink" xfId="597" builtinId="9" hidden="1"/>
    <cellStyle name="Followed Hyperlink" xfId="565" builtinId="9" hidden="1"/>
    <cellStyle name="Followed Hyperlink" xfId="533" builtinId="9" hidden="1"/>
    <cellStyle name="Followed Hyperlink" xfId="501" builtinId="9" hidden="1"/>
    <cellStyle name="Followed Hyperlink" xfId="469" builtinId="9" hidden="1"/>
    <cellStyle name="Followed Hyperlink" xfId="437" builtinId="9" hidden="1"/>
    <cellStyle name="Followed Hyperlink" xfId="405" builtinId="9" hidden="1"/>
    <cellStyle name="Followed Hyperlink" xfId="373" builtinId="9" hidden="1"/>
    <cellStyle name="Followed Hyperlink" xfId="341" builtinId="9" hidden="1"/>
    <cellStyle name="Followed Hyperlink" xfId="309" builtinId="9" hidden="1"/>
    <cellStyle name="Followed Hyperlink" xfId="277" builtinId="9" hidden="1"/>
    <cellStyle name="Followed Hyperlink" xfId="245" builtinId="9" hidden="1"/>
    <cellStyle name="Followed Hyperlink" xfId="213" builtinId="9" hidden="1"/>
    <cellStyle name="Followed Hyperlink" xfId="181" builtinId="9" hidden="1"/>
    <cellStyle name="Followed Hyperlink" xfId="149" builtinId="9" hidden="1"/>
    <cellStyle name="Followed Hyperlink" xfId="117" builtinId="9" hidden="1"/>
    <cellStyle name="Followed Hyperlink" xfId="85" builtinId="9" hidden="1"/>
    <cellStyle name="Followed Hyperlink" xfId="33" builtinId="9" hidden="1"/>
    <cellStyle name="Followed Hyperlink" xfId="55" builtinId="9" hidden="1"/>
    <cellStyle name="Followed Hyperlink" xfId="23" builtinId="9" hidden="1"/>
    <cellStyle name="Followed Hyperlink" xfId="37" builtinId="9" hidden="1"/>
    <cellStyle name="Followed Hyperlink" xfId="41" builtinId="9" hidden="1"/>
    <cellStyle name="Followed Hyperlink" xfId="73" builtinId="9" hidden="1"/>
    <cellStyle name="Followed Hyperlink" xfId="105" builtinId="9" hidden="1"/>
    <cellStyle name="Followed Hyperlink" xfId="137" builtinId="9" hidden="1"/>
    <cellStyle name="Followed Hyperlink" xfId="169" builtinId="9" hidden="1"/>
    <cellStyle name="Followed Hyperlink" xfId="201" builtinId="9" hidden="1"/>
    <cellStyle name="Followed Hyperlink" xfId="233" builtinId="9" hidden="1"/>
    <cellStyle name="Followed Hyperlink" xfId="265" builtinId="9" hidden="1"/>
    <cellStyle name="Followed Hyperlink" xfId="297" builtinId="9" hidden="1"/>
    <cellStyle name="Followed Hyperlink" xfId="329" builtinId="9" hidden="1"/>
    <cellStyle name="Followed Hyperlink" xfId="361" builtinId="9" hidden="1"/>
    <cellStyle name="Followed Hyperlink" xfId="393" builtinId="9" hidden="1"/>
    <cellStyle name="Followed Hyperlink" xfId="425" builtinId="9" hidden="1"/>
    <cellStyle name="Followed Hyperlink" xfId="457" builtinId="9" hidden="1"/>
    <cellStyle name="Followed Hyperlink" xfId="489" builtinId="9" hidden="1"/>
    <cellStyle name="Followed Hyperlink" xfId="521" builtinId="9" hidden="1"/>
    <cellStyle name="Followed Hyperlink" xfId="553" builtinId="9" hidden="1"/>
    <cellStyle name="Followed Hyperlink" xfId="585" builtinId="9" hidden="1"/>
    <cellStyle name="Followed Hyperlink" xfId="617" builtinId="9" hidden="1"/>
    <cellStyle name="Followed Hyperlink" xfId="649" builtinId="9" hidden="1"/>
    <cellStyle name="Followed Hyperlink" xfId="681" builtinId="9" hidden="1"/>
    <cellStyle name="Followed Hyperlink" xfId="713" builtinId="9" hidden="1"/>
    <cellStyle name="Followed Hyperlink" xfId="745" builtinId="9" hidden="1"/>
    <cellStyle name="Followed Hyperlink" xfId="777" builtinId="9" hidden="1"/>
    <cellStyle name="Followed Hyperlink" xfId="809" builtinId="9" hidden="1"/>
    <cellStyle name="Followed Hyperlink" xfId="841" builtinId="9" hidden="1"/>
    <cellStyle name="Followed Hyperlink" xfId="873" builtinId="9" hidden="1"/>
    <cellStyle name="Followed Hyperlink" xfId="905" builtinId="9" hidden="1"/>
    <cellStyle name="Followed Hyperlink" xfId="937" builtinId="9" hidden="1"/>
    <cellStyle name="Followed Hyperlink" xfId="969" builtinId="9" hidden="1"/>
    <cellStyle name="Followed Hyperlink" xfId="1001" builtinId="9" hidden="1"/>
    <cellStyle name="Followed Hyperlink" xfId="1033" builtinId="9" hidden="1"/>
    <cellStyle name="Followed Hyperlink" xfId="1065" builtinId="9" hidden="1"/>
    <cellStyle name="Followed Hyperlink" xfId="1099" builtinId="9" hidden="1"/>
    <cellStyle name="Followed Hyperlink" xfId="1131" builtinId="9" hidden="1"/>
    <cellStyle name="Followed Hyperlink" xfId="1163" builtinId="9" hidden="1"/>
    <cellStyle name="Followed Hyperlink" xfId="1195" builtinId="9" hidden="1"/>
    <cellStyle name="Followed Hyperlink" xfId="1227" builtinId="9" hidden="1"/>
    <cellStyle name="Followed Hyperlink" xfId="1259" builtinId="9" hidden="1"/>
    <cellStyle name="Followed Hyperlink" xfId="1291" builtinId="9" hidden="1"/>
    <cellStyle name="Followed Hyperlink" xfId="1323" builtinId="9" hidden="1"/>
    <cellStyle name="Followed Hyperlink" xfId="1355" builtinId="9" hidden="1"/>
    <cellStyle name="Followed Hyperlink" xfId="1387" builtinId="9" hidden="1"/>
    <cellStyle name="Followed Hyperlink" xfId="1419" builtinId="9" hidden="1"/>
    <cellStyle name="Followed Hyperlink" xfId="1451" builtinId="9" hidden="1"/>
    <cellStyle name="Followed Hyperlink" xfId="1483" builtinId="9" hidden="1"/>
    <cellStyle name="Followed Hyperlink" xfId="1515" builtinId="9" hidden="1"/>
    <cellStyle name="Followed Hyperlink" xfId="1547" builtinId="9" hidden="1"/>
    <cellStyle name="Followed Hyperlink" xfId="1579" builtinId="9" hidden="1"/>
    <cellStyle name="Followed Hyperlink" xfId="1611" builtinId="9" hidden="1"/>
    <cellStyle name="Followed Hyperlink" xfId="1643" builtinId="9" hidden="1"/>
    <cellStyle name="Followed Hyperlink" xfId="1675" builtinId="9" hidden="1"/>
    <cellStyle name="Followed Hyperlink" xfId="1707" builtinId="9" hidden="1"/>
    <cellStyle name="Followed Hyperlink" xfId="1739" builtinId="9" hidden="1"/>
    <cellStyle name="Followed Hyperlink" xfId="1771" builtinId="9" hidden="1"/>
    <cellStyle name="Followed Hyperlink" xfId="1803" builtinId="9" hidden="1"/>
    <cellStyle name="Followed Hyperlink" xfId="1835" builtinId="9" hidden="1"/>
    <cellStyle name="Followed Hyperlink" xfId="1867" builtinId="9" hidden="1"/>
    <cellStyle name="Followed Hyperlink" xfId="1899" builtinId="9" hidden="1"/>
    <cellStyle name="Followed Hyperlink" xfId="1931" builtinId="9" hidden="1"/>
    <cellStyle name="Followed Hyperlink" xfId="1963" builtinId="9" hidden="1"/>
    <cellStyle name="Followed Hyperlink" xfId="1995" builtinId="9" hidden="1"/>
    <cellStyle name="Followed Hyperlink" xfId="2027" builtinId="9" hidden="1"/>
    <cellStyle name="Followed Hyperlink" xfId="2059" builtinId="9" hidden="1"/>
    <cellStyle name="Followed Hyperlink" xfId="2091" builtinId="9" hidden="1"/>
    <cellStyle name="Followed Hyperlink" xfId="2123" builtinId="9" hidden="1"/>
    <cellStyle name="Followed Hyperlink" xfId="2155" builtinId="9" hidden="1"/>
    <cellStyle name="Followed Hyperlink" xfId="2187" builtinId="9" hidden="1"/>
    <cellStyle name="Followed Hyperlink" xfId="2219" builtinId="9" hidden="1"/>
    <cellStyle name="Followed Hyperlink" xfId="2251" builtinId="9" hidden="1"/>
    <cellStyle name="Followed Hyperlink" xfId="2283" builtinId="9" hidden="1"/>
    <cellStyle name="Followed Hyperlink" xfId="2315" builtinId="9" hidden="1"/>
    <cellStyle name="Followed Hyperlink" xfId="2347" builtinId="9" hidden="1"/>
    <cellStyle name="Followed Hyperlink" xfId="2379" builtinId="9" hidden="1"/>
    <cellStyle name="Followed Hyperlink" xfId="2411" builtinId="9" hidden="1"/>
    <cellStyle name="Followed Hyperlink" xfId="2443" builtinId="9" hidden="1"/>
    <cellStyle name="Followed Hyperlink" xfId="2475" builtinId="9" hidden="1"/>
    <cellStyle name="Followed Hyperlink" xfId="2507" builtinId="9" hidden="1"/>
    <cellStyle name="Followed Hyperlink" xfId="2539" builtinId="9" hidden="1"/>
    <cellStyle name="Followed Hyperlink" xfId="2571" builtinId="9" hidden="1"/>
    <cellStyle name="Followed Hyperlink" xfId="2603" builtinId="9" hidden="1"/>
    <cellStyle name="Followed Hyperlink" xfId="2635" builtinId="9" hidden="1"/>
    <cellStyle name="Followed Hyperlink" xfId="2667" builtinId="9" hidden="1"/>
    <cellStyle name="Followed Hyperlink" xfId="2699" builtinId="9" hidden="1"/>
    <cellStyle name="Followed Hyperlink" xfId="2731" builtinId="9" hidden="1"/>
    <cellStyle name="Followed Hyperlink" xfId="2763" builtinId="9" hidden="1"/>
    <cellStyle name="Followed Hyperlink" xfId="2795" builtinId="9" hidden="1"/>
    <cellStyle name="Followed Hyperlink" xfId="2828" builtinId="9" hidden="1"/>
    <cellStyle name="Followed Hyperlink" xfId="2861" builtinId="9" hidden="1"/>
    <cellStyle name="Followed Hyperlink" xfId="2893" builtinId="9" hidden="1"/>
    <cellStyle name="Followed Hyperlink" xfId="2925" builtinId="9" hidden="1"/>
    <cellStyle name="Followed Hyperlink" xfId="2957" builtinId="9" hidden="1"/>
    <cellStyle name="Followed Hyperlink" xfId="2989" builtinId="9" hidden="1"/>
    <cellStyle name="Followed Hyperlink" xfId="3021" builtinId="9" hidden="1"/>
    <cellStyle name="Followed Hyperlink" xfId="2992" builtinId="9" hidden="1"/>
    <cellStyle name="Followed Hyperlink" xfId="2960" builtinId="9" hidden="1"/>
    <cellStyle name="Followed Hyperlink" xfId="2928" builtinId="9" hidden="1"/>
    <cellStyle name="Followed Hyperlink" xfId="2896" builtinId="9" hidden="1"/>
    <cellStyle name="Followed Hyperlink" xfId="2864" builtinId="9" hidden="1"/>
    <cellStyle name="Followed Hyperlink" xfId="2831" builtinId="9" hidden="1"/>
    <cellStyle name="Followed Hyperlink" xfId="2798" builtinId="9" hidden="1"/>
    <cellStyle name="Followed Hyperlink" xfId="2766" builtinId="9" hidden="1"/>
    <cellStyle name="Followed Hyperlink" xfId="2734" builtinId="9" hidden="1"/>
    <cellStyle name="Followed Hyperlink" xfId="2702" builtinId="9" hidden="1"/>
    <cellStyle name="Followed Hyperlink" xfId="2670" builtinId="9" hidden="1"/>
    <cellStyle name="Followed Hyperlink" xfId="2638" builtinId="9" hidden="1"/>
    <cellStyle name="Followed Hyperlink" xfId="2606" builtinId="9" hidden="1"/>
    <cellStyle name="Followed Hyperlink" xfId="2574" builtinId="9" hidden="1"/>
    <cellStyle name="Followed Hyperlink" xfId="2542" builtinId="9" hidden="1"/>
    <cellStyle name="Followed Hyperlink" xfId="2510" builtinId="9" hidden="1"/>
    <cellStyle name="Followed Hyperlink" xfId="2478" builtinId="9" hidden="1"/>
    <cellStyle name="Followed Hyperlink" xfId="2446" builtinId="9" hidden="1"/>
    <cellStyle name="Followed Hyperlink" xfId="2414" builtinId="9" hidden="1"/>
    <cellStyle name="Followed Hyperlink" xfId="2382" builtinId="9" hidden="1"/>
    <cellStyle name="Followed Hyperlink" xfId="2350" builtinId="9" hidden="1"/>
    <cellStyle name="Followed Hyperlink" xfId="2318" builtinId="9" hidden="1"/>
    <cellStyle name="Followed Hyperlink" xfId="2286" builtinId="9" hidden="1"/>
    <cellStyle name="Followed Hyperlink" xfId="2254" builtinId="9" hidden="1"/>
    <cellStyle name="Followed Hyperlink" xfId="2222" builtinId="9" hidden="1"/>
    <cellStyle name="Followed Hyperlink" xfId="2190" builtinId="9" hidden="1"/>
    <cellStyle name="Followed Hyperlink" xfId="2158" builtinId="9" hidden="1"/>
    <cellStyle name="Followed Hyperlink" xfId="2126" builtinId="9" hidden="1"/>
    <cellStyle name="Followed Hyperlink" xfId="2094" builtinId="9" hidden="1"/>
    <cellStyle name="Followed Hyperlink" xfId="2062" builtinId="9" hidden="1"/>
    <cellStyle name="Followed Hyperlink" xfId="2030" builtinId="9" hidden="1"/>
    <cellStyle name="Followed Hyperlink" xfId="1998" builtinId="9" hidden="1"/>
    <cellStyle name="Followed Hyperlink" xfId="1966" builtinId="9" hidden="1"/>
    <cellStyle name="Followed Hyperlink" xfId="1934" builtinId="9" hidden="1"/>
    <cellStyle name="Followed Hyperlink" xfId="1902" builtinId="9" hidden="1"/>
    <cellStyle name="Followed Hyperlink" xfId="1870" builtinId="9" hidden="1"/>
    <cellStyle name="Followed Hyperlink" xfId="1838" builtinId="9" hidden="1"/>
    <cellStyle name="Followed Hyperlink" xfId="1806" builtinId="9" hidden="1"/>
    <cellStyle name="Followed Hyperlink" xfId="1774" builtinId="9" hidden="1"/>
    <cellStyle name="Followed Hyperlink" xfId="1742" builtinId="9" hidden="1"/>
    <cellStyle name="Followed Hyperlink" xfId="1710" builtinId="9" hidden="1"/>
    <cellStyle name="Followed Hyperlink" xfId="1678" builtinId="9" hidden="1"/>
    <cellStyle name="Followed Hyperlink" xfId="1646" builtinId="9" hidden="1"/>
    <cellStyle name="Followed Hyperlink" xfId="1614" builtinId="9" hidden="1"/>
    <cellStyle name="Followed Hyperlink" xfId="1582" builtinId="9" hidden="1"/>
    <cellStyle name="Followed Hyperlink" xfId="1550" builtinId="9" hidden="1"/>
    <cellStyle name="Followed Hyperlink" xfId="1518" builtinId="9" hidden="1"/>
    <cellStyle name="Followed Hyperlink" xfId="1486" builtinId="9" hidden="1"/>
    <cellStyle name="Followed Hyperlink" xfId="1454" builtinId="9" hidden="1"/>
    <cellStyle name="Followed Hyperlink" xfId="1422" builtinId="9" hidden="1"/>
    <cellStyle name="Followed Hyperlink" xfId="1390" builtinId="9" hidden="1"/>
    <cellStyle name="Followed Hyperlink" xfId="1358" builtinId="9" hidden="1"/>
    <cellStyle name="Followed Hyperlink" xfId="1326" builtinId="9" hidden="1"/>
    <cellStyle name="Followed Hyperlink" xfId="1294" builtinId="9" hidden="1"/>
    <cellStyle name="Followed Hyperlink" xfId="1262" builtinId="9" hidden="1"/>
    <cellStyle name="Followed Hyperlink" xfId="1230" builtinId="9" hidden="1"/>
    <cellStyle name="Followed Hyperlink" xfId="1198" builtinId="9" hidden="1"/>
    <cellStyle name="Followed Hyperlink" xfId="1166" builtinId="9" hidden="1"/>
    <cellStyle name="Followed Hyperlink" xfId="1134" builtinId="9" hidden="1"/>
    <cellStyle name="Followed Hyperlink" xfId="1102" builtinId="9" hidden="1"/>
    <cellStyle name="Followed Hyperlink" xfId="1068" builtinId="9" hidden="1"/>
    <cellStyle name="Followed Hyperlink" xfId="1036" builtinId="9" hidden="1"/>
    <cellStyle name="Followed Hyperlink" xfId="1004" builtinId="9" hidden="1"/>
    <cellStyle name="Followed Hyperlink" xfId="972" builtinId="9" hidden="1"/>
    <cellStyle name="Followed Hyperlink" xfId="940" builtinId="9" hidden="1"/>
    <cellStyle name="Followed Hyperlink" xfId="908" builtinId="9" hidden="1"/>
    <cellStyle name="Followed Hyperlink" xfId="876" builtinId="9" hidden="1"/>
    <cellStyle name="Followed Hyperlink" xfId="844" builtinId="9" hidden="1"/>
    <cellStyle name="Followed Hyperlink" xfId="812" builtinId="9" hidden="1"/>
    <cellStyle name="Followed Hyperlink" xfId="780" builtinId="9" hidden="1"/>
    <cellStyle name="Followed Hyperlink" xfId="748" builtinId="9" hidden="1"/>
    <cellStyle name="Followed Hyperlink" xfId="716" builtinId="9" hidden="1"/>
    <cellStyle name="Followed Hyperlink" xfId="684" builtinId="9" hidden="1"/>
    <cellStyle name="Followed Hyperlink" xfId="652" builtinId="9" hidden="1"/>
    <cellStyle name="Followed Hyperlink" xfId="620" builtinId="9" hidden="1"/>
    <cellStyle name="Followed Hyperlink" xfId="588" builtinId="9" hidden="1"/>
    <cellStyle name="Followed Hyperlink" xfId="556" builtinId="9" hidden="1"/>
    <cellStyle name="Followed Hyperlink" xfId="524" builtinId="9" hidden="1"/>
    <cellStyle name="Followed Hyperlink" xfId="492" builtinId="9" hidden="1"/>
    <cellStyle name="Followed Hyperlink" xfId="460" builtinId="9" hidden="1"/>
    <cellStyle name="Followed Hyperlink" xfId="428" builtinId="9" hidden="1"/>
    <cellStyle name="Followed Hyperlink" xfId="396" builtinId="9" hidden="1"/>
    <cellStyle name="Followed Hyperlink" xfId="364" builtinId="9" hidden="1"/>
    <cellStyle name="Followed Hyperlink" xfId="332" builtinId="9" hidden="1"/>
    <cellStyle name="Followed Hyperlink" xfId="300" builtinId="9" hidden="1"/>
    <cellStyle name="Followed Hyperlink" xfId="268" builtinId="9" hidden="1"/>
    <cellStyle name="Followed Hyperlink" xfId="236" builtinId="9" hidden="1"/>
    <cellStyle name="Followed Hyperlink" xfId="204" builtinId="9" hidden="1"/>
    <cellStyle name="Followed Hyperlink" xfId="172" builtinId="9" hidden="1"/>
    <cellStyle name="Followed Hyperlink" xfId="140" builtinId="9" hidden="1"/>
    <cellStyle name="Followed Hyperlink" xfId="108" builtinId="9" hidden="1"/>
    <cellStyle name="Followed Hyperlink" xfId="76" builtinId="9" hidden="1"/>
    <cellStyle name="Followed Hyperlink" xfId="44" builtinId="9" hidden="1"/>
    <cellStyle name="Followed Hyperlink" xfId="12" builtinId="9" hidden="1"/>
    <cellStyle name="Followed Hyperlink" xfId="3" builtinId="9" hidden="1"/>
    <cellStyle name="Followed Hyperlink" xfId="8" builtinId="9" hidden="1"/>
    <cellStyle name="Followed Hyperlink" xfId="50" builtinId="9" hidden="1"/>
    <cellStyle name="Followed Hyperlink" xfId="82" builtinId="9" hidden="1"/>
    <cellStyle name="Followed Hyperlink" xfId="114" builtinId="9" hidden="1"/>
    <cellStyle name="Followed Hyperlink" xfId="146" builtinId="9" hidden="1"/>
    <cellStyle name="Followed Hyperlink" xfId="178" builtinId="9" hidden="1"/>
    <cellStyle name="Followed Hyperlink" xfId="210" builtinId="9" hidden="1"/>
    <cellStyle name="Followed Hyperlink" xfId="242" builtinId="9" hidden="1"/>
    <cellStyle name="Followed Hyperlink" xfId="274" builtinId="9" hidden="1"/>
    <cellStyle name="Followed Hyperlink" xfId="306" builtinId="9" hidden="1"/>
    <cellStyle name="Followed Hyperlink" xfId="338" builtinId="9" hidden="1"/>
    <cellStyle name="Followed Hyperlink" xfId="370" builtinId="9" hidden="1"/>
    <cellStyle name="Followed Hyperlink" xfId="402" builtinId="9" hidden="1"/>
    <cellStyle name="Followed Hyperlink" xfId="434" builtinId="9" hidden="1"/>
    <cellStyle name="Followed Hyperlink" xfId="466" builtinId="9" hidden="1"/>
    <cellStyle name="Followed Hyperlink" xfId="498" builtinId="9" hidden="1"/>
    <cellStyle name="Followed Hyperlink" xfId="530" builtinId="9" hidden="1"/>
    <cellStyle name="Followed Hyperlink" xfId="562" builtinId="9" hidden="1"/>
    <cellStyle name="Followed Hyperlink" xfId="594" builtinId="9" hidden="1"/>
    <cellStyle name="Followed Hyperlink" xfId="626" builtinId="9" hidden="1"/>
    <cellStyle name="Followed Hyperlink" xfId="658" builtinId="9" hidden="1"/>
    <cellStyle name="Followed Hyperlink" xfId="690" builtinId="9" hidden="1"/>
    <cellStyle name="Followed Hyperlink" xfId="722" builtinId="9" hidden="1"/>
    <cellStyle name="Followed Hyperlink" xfId="754" builtinId="9" hidden="1"/>
    <cellStyle name="Followed Hyperlink" xfId="786" builtinId="9" hidden="1"/>
    <cellStyle name="Followed Hyperlink" xfId="818" builtinId="9" hidden="1"/>
    <cellStyle name="Followed Hyperlink" xfId="850" builtinId="9" hidden="1"/>
    <cellStyle name="Followed Hyperlink" xfId="882" builtinId="9" hidden="1"/>
    <cellStyle name="Followed Hyperlink" xfId="914" builtinId="9" hidden="1"/>
    <cellStyle name="Followed Hyperlink" xfId="946" builtinId="9" hidden="1"/>
    <cellStyle name="Followed Hyperlink" xfId="978" builtinId="9" hidden="1"/>
    <cellStyle name="Followed Hyperlink" xfId="1010" builtinId="9" hidden="1"/>
    <cellStyle name="Followed Hyperlink" xfId="1042" builtinId="9" hidden="1"/>
    <cellStyle name="Followed Hyperlink" xfId="1076" builtinId="9" hidden="1"/>
    <cellStyle name="Followed Hyperlink" xfId="1108" builtinId="9" hidden="1"/>
    <cellStyle name="Followed Hyperlink" xfId="1140" builtinId="9" hidden="1"/>
    <cellStyle name="Followed Hyperlink" xfId="1172" builtinId="9" hidden="1"/>
    <cellStyle name="Followed Hyperlink" xfId="1204" builtinId="9" hidden="1"/>
    <cellStyle name="Followed Hyperlink" xfId="1236" builtinId="9" hidden="1"/>
    <cellStyle name="Followed Hyperlink" xfId="1268" builtinId="9" hidden="1"/>
    <cellStyle name="Followed Hyperlink" xfId="1300" builtinId="9" hidden="1"/>
    <cellStyle name="Followed Hyperlink" xfId="1332" builtinId="9" hidden="1"/>
    <cellStyle name="Followed Hyperlink" xfId="1364" builtinId="9" hidden="1"/>
    <cellStyle name="Followed Hyperlink" xfId="1396" builtinId="9" hidden="1"/>
    <cellStyle name="Followed Hyperlink" xfId="1428" builtinId="9" hidden="1"/>
    <cellStyle name="Followed Hyperlink" xfId="1460" builtinId="9" hidden="1"/>
    <cellStyle name="Followed Hyperlink" xfId="1492" builtinId="9" hidden="1"/>
    <cellStyle name="Followed Hyperlink" xfId="1524" builtinId="9" hidden="1"/>
    <cellStyle name="Followed Hyperlink" xfId="1556" builtinId="9" hidden="1"/>
    <cellStyle name="Followed Hyperlink" xfId="1588" builtinId="9" hidden="1"/>
    <cellStyle name="Followed Hyperlink" xfId="1620" builtinId="9" hidden="1"/>
    <cellStyle name="Followed Hyperlink" xfId="1652" builtinId="9" hidden="1"/>
    <cellStyle name="Followed Hyperlink" xfId="1684" builtinId="9" hidden="1"/>
    <cellStyle name="Followed Hyperlink" xfId="1716" builtinId="9" hidden="1"/>
    <cellStyle name="Followed Hyperlink" xfId="1748" builtinId="9" hidden="1"/>
    <cellStyle name="Followed Hyperlink" xfId="1780" builtinId="9" hidden="1"/>
    <cellStyle name="Followed Hyperlink" xfId="1812" builtinId="9" hidden="1"/>
    <cellStyle name="Followed Hyperlink" xfId="1844" builtinId="9" hidden="1"/>
    <cellStyle name="Followed Hyperlink" xfId="1876" builtinId="9" hidden="1"/>
    <cellStyle name="Followed Hyperlink" xfId="1908" builtinId="9" hidden="1"/>
    <cellStyle name="Followed Hyperlink" xfId="1940" builtinId="9" hidden="1"/>
    <cellStyle name="Followed Hyperlink" xfId="1972" builtinId="9" hidden="1"/>
    <cellStyle name="Followed Hyperlink" xfId="2004" builtinId="9" hidden="1"/>
    <cellStyle name="Followed Hyperlink" xfId="2036" builtinId="9" hidden="1"/>
    <cellStyle name="Followed Hyperlink" xfId="2068" builtinId="9" hidden="1"/>
    <cellStyle name="Followed Hyperlink" xfId="2100" builtinId="9" hidden="1"/>
    <cellStyle name="Followed Hyperlink" xfId="2132" builtinId="9" hidden="1"/>
    <cellStyle name="Followed Hyperlink" xfId="2164" builtinId="9" hidden="1"/>
    <cellStyle name="Followed Hyperlink" xfId="2196" builtinId="9" hidden="1"/>
    <cellStyle name="Followed Hyperlink" xfId="2228" builtinId="9" hidden="1"/>
    <cellStyle name="Followed Hyperlink" xfId="2260" builtinId="9" hidden="1"/>
    <cellStyle name="Followed Hyperlink" xfId="2292" builtinId="9" hidden="1"/>
    <cellStyle name="Followed Hyperlink" xfId="2324" builtinId="9" hidden="1"/>
    <cellStyle name="Followed Hyperlink" xfId="2356" builtinId="9" hidden="1"/>
    <cellStyle name="Followed Hyperlink" xfId="2388" builtinId="9" hidden="1"/>
    <cellStyle name="Followed Hyperlink" xfId="2420" builtinId="9" hidden="1"/>
    <cellStyle name="Followed Hyperlink" xfId="2452" builtinId="9" hidden="1"/>
    <cellStyle name="Followed Hyperlink" xfId="2484" builtinId="9" hidden="1"/>
    <cellStyle name="Followed Hyperlink" xfId="2516" builtinId="9" hidden="1"/>
    <cellStyle name="Followed Hyperlink" xfId="2548" builtinId="9" hidden="1"/>
    <cellStyle name="Followed Hyperlink" xfId="2580" builtinId="9" hidden="1"/>
    <cellStyle name="Followed Hyperlink" xfId="2612" builtinId="9" hidden="1"/>
    <cellStyle name="Followed Hyperlink" xfId="2644" builtinId="9" hidden="1"/>
    <cellStyle name="Followed Hyperlink" xfId="2676" builtinId="9" hidden="1"/>
    <cellStyle name="Followed Hyperlink" xfId="2708" builtinId="9" hidden="1"/>
    <cellStyle name="Followed Hyperlink" xfId="2740" builtinId="9" hidden="1"/>
    <cellStyle name="Followed Hyperlink" xfId="2772" builtinId="9" hidden="1"/>
    <cellStyle name="Followed Hyperlink" xfId="2804" builtinId="9" hidden="1"/>
    <cellStyle name="Followed Hyperlink" xfId="2838" builtinId="9" hidden="1"/>
    <cellStyle name="Followed Hyperlink" xfId="2870" builtinId="9" hidden="1"/>
    <cellStyle name="Followed Hyperlink" xfId="2902" builtinId="9" hidden="1"/>
    <cellStyle name="Followed Hyperlink" xfId="2934" builtinId="9" hidden="1"/>
    <cellStyle name="Followed Hyperlink" xfId="2966" builtinId="9" hidden="1"/>
    <cellStyle name="Followed Hyperlink" xfId="2998" builtinId="9" hidden="1"/>
    <cellStyle name="Followed Hyperlink" xfId="3015" builtinId="9" hidden="1"/>
    <cellStyle name="Followed Hyperlink" xfId="2983" builtinId="9" hidden="1"/>
    <cellStyle name="Followed Hyperlink" xfId="2951" builtinId="9" hidden="1"/>
    <cellStyle name="Followed Hyperlink" xfId="2919" builtinId="9" hidden="1"/>
    <cellStyle name="Followed Hyperlink" xfId="2887" builtinId="9" hidden="1"/>
    <cellStyle name="Followed Hyperlink" xfId="2855" builtinId="9" hidden="1"/>
    <cellStyle name="Followed Hyperlink" xfId="2822" builtinId="9" hidden="1"/>
    <cellStyle name="Followed Hyperlink" xfId="2789" builtinId="9" hidden="1"/>
    <cellStyle name="Followed Hyperlink" xfId="2757" builtinId="9" hidden="1"/>
    <cellStyle name="Followed Hyperlink" xfId="2725" builtinId="9" hidden="1"/>
    <cellStyle name="Followed Hyperlink" xfId="2693" builtinId="9" hidden="1"/>
    <cellStyle name="Followed Hyperlink" xfId="2661" builtinId="9" hidden="1"/>
    <cellStyle name="Followed Hyperlink" xfId="2629" builtinId="9" hidden="1"/>
    <cellStyle name="Followed Hyperlink" xfId="2597" builtinId="9" hidden="1"/>
    <cellStyle name="Followed Hyperlink" xfId="2565" builtinId="9" hidden="1"/>
    <cellStyle name="Followed Hyperlink" xfId="2533" builtinId="9" hidden="1"/>
    <cellStyle name="Followed Hyperlink" xfId="2501" builtinId="9" hidden="1"/>
    <cellStyle name="Followed Hyperlink" xfId="2469" builtinId="9" hidden="1"/>
    <cellStyle name="Followed Hyperlink" xfId="2437" builtinId="9" hidden="1"/>
    <cellStyle name="Followed Hyperlink" xfId="2405" builtinId="9" hidden="1"/>
    <cellStyle name="Followed Hyperlink" xfId="2373" builtinId="9" hidden="1"/>
    <cellStyle name="Followed Hyperlink" xfId="2341" builtinId="9" hidden="1"/>
    <cellStyle name="Followed Hyperlink" xfId="2309" builtinId="9" hidden="1"/>
    <cellStyle name="Followed Hyperlink" xfId="2277" builtinId="9" hidden="1"/>
    <cellStyle name="Followed Hyperlink" xfId="2245" builtinId="9" hidden="1"/>
    <cellStyle name="Followed Hyperlink" xfId="2213" builtinId="9" hidden="1"/>
    <cellStyle name="Followed Hyperlink" xfId="2181" builtinId="9" hidden="1"/>
    <cellStyle name="Followed Hyperlink" xfId="2149" builtinId="9" hidden="1"/>
    <cellStyle name="Followed Hyperlink" xfId="2117" builtinId="9" hidden="1"/>
    <cellStyle name="Followed Hyperlink" xfId="2085" builtinId="9" hidden="1"/>
    <cellStyle name="Followed Hyperlink" xfId="2053" builtinId="9" hidden="1"/>
    <cellStyle name="Followed Hyperlink" xfId="2021" builtinId="9" hidden="1"/>
    <cellStyle name="Followed Hyperlink" xfId="1989" builtinId="9" hidden="1"/>
    <cellStyle name="Followed Hyperlink" xfId="1957" builtinId="9" hidden="1"/>
    <cellStyle name="Followed Hyperlink" xfId="1925" builtinId="9" hidden="1"/>
    <cellStyle name="Followed Hyperlink" xfId="1893" builtinId="9" hidden="1"/>
    <cellStyle name="Followed Hyperlink" xfId="1861" builtinId="9" hidden="1"/>
    <cellStyle name="Followed Hyperlink" xfId="1829" builtinId="9" hidden="1"/>
    <cellStyle name="Followed Hyperlink" xfId="1797" builtinId="9" hidden="1"/>
    <cellStyle name="Followed Hyperlink" xfId="1765" builtinId="9" hidden="1"/>
    <cellStyle name="Followed Hyperlink" xfId="1733" builtinId="9" hidden="1"/>
    <cellStyle name="Followed Hyperlink" xfId="1701" builtinId="9" hidden="1"/>
    <cellStyle name="Followed Hyperlink" xfId="1669" builtinId="9" hidden="1"/>
    <cellStyle name="Followed Hyperlink" xfId="1637" builtinId="9" hidden="1"/>
    <cellStyle name="Followed Hyperlink" xfId="1605" builtinId="9" hidden="1"/>
    <cellStyle name="Followed Hyperlink" xfId="1573" builtinId="9" hidden="1"/>
    <cellStyle name="Followed Hyperlink" xfId="1541" builtinId="9" hidden="1"/>
    <cellStyle name="Followed Hyperlink" xfId="1509" builtinId="9" hidden="1"/>
    <cellStyle name="Followed Hyperlink" xfId="1477" builtinId="9" hidden="1"/>
    <cellStyle name="Followed Hyperlink" xfId="1445" builtinId="9" hidden="1"/>
    <cellStyle name="Followed Hyperlink" xfId="1413" builtinId="9" hidden="1"/>
    <cellStyle name="Followed Hyperlink" xfId="1381" builtinId="9" hidden="1"/>
    <cellStyle name="Followed Hyperlink" xfId="1349" builtinId="9" hidden="1"/>
    <cellStyle name="Followed Hyperlink" xfId="1317" builtinId="9" hidden="1"/>
    <cellStyle name="Followed Hyperlink" xfId="1285" builtinId="9" hidden="1"/>
    <cellStyle name="Followed Hyperlink" xfId="1253" builtinId="9" hidden="1"/>
    <cellStyle name="Followed Hyperlink" xfId="1221" builtinId="9" hidden="1"/>
    <cellStyle name="Followed Hyperlink" xfId="1189" builtinId="9" hidden="1"/>
    <cellStyle name="Followed Hyperlink" xfId="1157" builtinId="9" hidden="1"/>
    <cellStyle name="Followed Hyperlink" xfId="1125" builtinId="9" hidden="1"/>
    <cellStyle name="Followed Hyperlink" xfId="1093" builtinId="9" hidden="1"/>
    <cellStyle name="Followed Hyperlink" xfId="1059" builtinId="9" hidden="1"/>
    <cellStyle name="Followed Hyperlink" xfId="1027" builtinId="9" hidden="1"/>
    <cellStyle name="Followed Hyperlink" xfId="995" builtinId="9" hidden="1"/>
    <cellStyle name="Followed Hyperlink" xfId="963" builtinId="9" hidden="1"/>
    <cellStyle name="Followed Hyperlink" xfId="931" builtinId="9" hidden="1"/>
    <cellStyle name="Followed Hyperlink" xfId="899" builtinId="9" hidden="1"/>
    <cellStyle name="Followed Hyperlink" xfId="867" builtinId="9" hidden="1"/>
    <cellStyle name="Followed Hyperlink" xfId="835" builtinId="9" hidden="1"/>
    <cellStyle name="Followed Hyperlink" xfId="803" builtinId="9" hidden="1"/>
    <cellStyle name="Followed Hyperlink" xfId="771" builtinId="9" hidden="1"/>
    <cellStyle name="Followed Hyperlink" xfId="739" builtinId="9" hidden="1"/>
    <cellStyle name="Followed Hyperlink" xfId="707" builtinId="9" hidden="1"/>
    <cellStyle name="Followed Hyperlink" xfId="675" builtinId="9" hidden="1"/>
    <cellStyle name="Followed Hyperlink" xfId="643" builtinId="9" hidden="1"/>
    <cellStyle name="Followed Hyperlink" xfId="611" builtinId="9" hidden="1"/>
    <cellStyle name="Followed Hyperlink" xfId="579" builtinId="9" hidden="1"/>
    <cellStyle name="Followed Hyperlink" xfId="547" builtinId="9" hidden="1"/>
    <cellStyle name="Followed Hyperlink" xfId="515" builtinId="9" hidden="1"/>
    <cellStyle name="Followed Hyperlink" xfId="483" builtinId="9" hidden="1"/>
    <cellStyle name="Followed Hyperlink" xfId="451" builtinId="9" hidden="1"/>
    <cellStyle name="Followed Hyperlink" xfId="419" builtinId="9" hidden="1"/>
    <cellStyle name="Followed Hyperlink" xfId="387" builtinId="9" hidden="1"/>
    <cellStyle name="Followed Hyperlink" xfId="355" builtinId="9" hidden="1"/>
    <cellStyle name="Followed Hyperlink" xfId="323" builtinId="9" hidden="1"/>
    <cellStyle name="Followed Hyperlink" xfId="291" builtinId="9" hidden="1"/>
    <cellStyle name="Followed Hyperlink" xfId="259" builtinId="9" hidden="1"/>
    <cellStyle name="Followed Hyperlink" xfId="227" builtinId="9" hidden="1"/>
    <cellStyle name="Followed Hyperlink" xfId="195" builtinId="9" hidden="1"/>
    <cellStyle name="Followed Hyperlink" xfId="163" builtinId="9" hidden="1"/>
    <cellStyle name="Followed Hyperlink" xfId="131" builtinId="9" hidden="1"/>
    <cellStyle name="Followed Hyperlink" xfId="99" builtinId="9" hidden="1"/>
    <cellStyle name="Followed Hyperlink" xfId="119" builtinId="9" hidden="1"/>
    <cellStyle name="Followed Hyperlink" xfId="91" builtinId="9" hidden="1"/>
    <cellStyle name="Followed Hyperlink" xfId="75" builtinId="9" hidden="1"/>
    <cellStyle name="Followed Hyperlink" xfId="63" builtinId="9" hidden="1"/>
    <cellStyle name="Followed Hyperlink" xfId="67" builtinId="9" hidden="1"/>
    <cellStyle name="Followed Hyperlink" xfId="127" builtinId="9" hidden="1"/>
    <cellStyle name="Followed Hyperlink" xfId="103" builtinId="9" hidden="1"/>
    <cellStyle name="Followed Hyperlink" xfId="83" builtinId="9" hidden="1"/>
    <cellStyle name="Followed Hyperlink" xfId="155" builtinId="9" hidden="1"/>
    <cellStyle name="Followed Hyperlink" xfId="187" builtinId="9" hidden="1"/>
    <cellStyle name="Followed Hyperlink" xfId="219" builtinId="9" hidden="1"/>
    <cellStyle name="Followed Hyperlink" xfId="251" builtinId="9" hidden="1"/>
    <cellStyle name="Followed Hyperlink" xfId="283" builtinId="9" hidden="1"/>
    <cellStyle name="Followed Hyperlink" xfId="315" builtinId="9" hidden="1"/>
    <cellStyle name="Followed Hyperlink" xfId="347" builtinId="9" hidden="1"/>
    <cellStyle name="Followed Hyperlink" xfId="379" builtinId="9" hidden="1"/>
    <cellStyle name="Followed Hyperlink" xfId="411" builtinId="9" hidden="1"/>
    <cellStyle name="Followed Hyperlink" xfId="443" builtinId="9" hidden="1"/>
    <cellStyle name="Followed Hyperlink" xfId="475" builtinId="9" hidden="1"/>
    <cellStyle name="Followed Hyperlink" xfId="507" builtinId="9" hidden="1"/>
    <cellStyle name="Followed Hyperlink" xfId="539" builtinId="9" hidden="1"/>
    <cellStyle name="Followed Hyperlink" xfId="571" builtinId="9" hidden="1"/>
    <cellStyle name="Followed Hyperlink" xfId="603" builtinId="9" hidden="1"/>
    <cellStyle name="Followed Hyperlink" xfId="635" builtinId="9" hidden="1"/>
    <cellStyle name="Followed Hyperlink" xfId="667" builtinId="9" hidden="1"/>
    <cellStyle name="Followed Hyperlink" xfId="699" builtinId="9" hidden="1"/>
    <cellStyle name="Followed Hyperlink" xfId="731" builtinId="9" hidden="1"/>
    <cellStyle name="Followed Hyperlink" xfId="763" builtinId="9" hidden="1"/>
    <cellStyle name="Followed Hyperlink" xfId="795" builtinId="9" hidden="1"/>
    <cellStyle name="Followed Hyperlink" xfId="827" builtinId="9" hidden="1"/>
    <cellStyle name="Followed Hyperlink" xfId="859" builtinId="9" hidden="1"/>
    <cellStyle name="Followed Hyperlink" xfId="891" builtinId="9" hidden="1"/>
    <cellStyle name="Followed Hyperlink" xfId="923" builtinId="9" hidden="1"/>
    <cellStyle name="Followed Hyperlink" xfId="955" builtinId="9" hidden="1"/>
    <cellStyle name="Followed Hyperlink" xfId="987" builtinId="9" hidden="1"/>
    <cellStyle name="Followed Hyperlink" xfId="1019" builtinId="9" hidden="1"/>
    <cellStyle name="Followed Hyperlink" xfId="1051" builtinId="9" hidden="1"/>
    <cellStyle name="Followed Hyperlink" xfId="1085" builtinId="9" hidden="1"/>
    <cellStyle name="Followed Hyperlink" xfId="1117" builtinId="9" hidden="1"/>
    <cellStyle name="Followed Hyperlink" xfId="1149" builtinId="9" hidden="1"/>
    <cellStyle name="Followed Hyperlink" xfId="1181" builtinId="9" hidden="1"/>
    <cellStyle name="Followed Hyperlink" xfId="1213" builtinId="9" hidden="1"/>
    <cellStyle name="Followed Hyperlink" xfId="1245" builtinId="9" hidden="1"/>
    <cellStyle name="Followed Hyperlink" xfId="1277" builtinId="9" hidden="1"/>
    <cellStyle name="Followed Hyperlink" xfId="1309" builtinId="9" hidden="1"/>
    <cellStyle name="Followed Hyperlink" xfId="1341" builtinId="9" hidden="1"/>
    <cellStyle name="Followed Hyperlink" xfId="1373" builtinId="9" hidden="1"/>
    <cellStyle name="Followed Hyperlink" xfId="1405" builtinId="9" hidden="1"/>
    <cellStyle name="Followed Hyperlink" xfId="1437" builtinId="9" hidden="1"/>
    <cellStyle name="Followed Hyperlink" xfId="1469" builtinId="9" hidden="1"/>
    <cellStyle name="Followed Hyperlink" xfId="1501" builtinId="9" hidden="1"/>
    <cellStyle name="Followed Hyperlink" xfId="1533" builtinId="9" hidden="1"/>
    <cellStyle name="Followed Hyperlink" xfId="1565" builtinId="9" hidden="1"/>
    <cellStyle name="Followed Hyperlink" xfId="1597" builtinId="9" hidden="1"/>
    <cellStyle name="Followed Hyperlink" xfId="1629" builtinId="9" hidden="1"/>
    <cellStyle name="Followed Hyperlink" xfId="1661" builtinId="9" hidden="1"/>
    <cellStyle name="Followed Hyperlink" xfId="1693" builtinId="9" hidden="1"/>
    <cellStyle name="Followed Hyperlink" xfId="1725" builtinId="9" hidden="1"/>
    <cellStyle name="Followed Hyperlink" xfId="1757" builtinId="9" hidden="1"/>
    <cellStyle name="Followed Hyperlink" xfId="1789" builtinId="9" hidden="1"/>
    <cellStyle name="Followed Hyperlink" xfId="1821" builtinId="9" hidden="1"/>
    <cellStyle name="Followed Hyperlink" xfId="1853" builtinId="9" hidden="1"/>
    <cellStyle name="Followed Hyperlink" xfId="1885" builtinId="9" hidden="1"/>
    <cellStyle name="Followed Hyperlink" xfId="1917" builtinId="9" hidden="1"/>
    <cellStyle name="Followed Hyperlink" xfId="1949" builtinId="9" hidden="1"/>
    <cellStyle name="Followed Hyperlink" xfId="1981" builtinId="9" hidden="1"/>
    <cellStyle name="Followed Hyperlink" xfId="2013" builtinId="9" hidden="1"/>
    <cellStyle name="Followed Hyperlink" xfId="2045" builtinId="9" hidden="1"/>
    <cellStyle name="Followed Hyperlink" xfId="2077" builtinId="9" hidden="1"/>
    <cellStyle name="Followed Hyperlink" xfId="2109" builtinId="9" hidden="1"/>
    <cellStyle name="Followed Hyperlink" xfId="2141" builtinId="9" hidden="1"/>
    <cellStyle name="Followed Hyperlink" xfId="2173" builtinId="9" hidden="1"/>
    <cellStyle name="Followed Hyperlink" xfId="2205" builtinId="9" hidden="1"/>
    <cellStyle name="Followed Hyperlink" xfId="2237" builtinId="9" hidden="1"/>
    <cellStyle name="Followed Hyperlink" xfId="2269" builtinId="9" hidden="1"/>
    <cellStyle name="Followed Hyperlink" xfId="2301" builtinId="9" hidden="1"/>
    <cellStyle name="Followed Hyperlink" xfId="2333" builtinId="9" hidden="1"/>
    <cellStyle name="Followed Hyperlink" xfId="2365" builtinId="9" hidden="1"/>
    <cellStyle name="Followed Hyperlink" xfId="2397" builtinId="9" hidden="1"/>
    <cellStyle name="Followed Hyperlink" xfId="2429" builtinId="9" hidden="1"/>
    <cellStyle name="Followed Hyperlink" xfId="2461" builtinId="9" hidden="1"/>
    <cellStyle name="Followed Hyperlink" xfId="2493" builtinId="9" hidden="1"/>
    <cellStyle name="Followed Hyperlink" xfId="2525" builtinId="9" hidden="1"/>
    <cellStyle name="Followed Hyperlink" xfId="2557" builtinId="9" hidden="1"/>
    <cellStyle name="Followed Hyperlink" xfId="2589" builtinId="9" hidden="1"/>
    <cellStyle name="Followed Hyperlink" xfId="2621" builtinId="9" hidden="1"/>
    <cellStyle name="Followed Hyperlink" xfId="2653" builtinId="9" hidden="1"/>
    <cellStyle name="Followed Hyperlink" xfId="2685" builtinId="9" hidden="1"/>
    <cellStyle name="Followed Hyperlink" xfId="2717" builtinId="9" hidden="1"/>
    <cellStyle name="Followed Hyperlink" xfId="2749" builtinId="9" hidden="1"/>
    <cellStyle name="Followed Hyperlink" xfId="2781" builtinId="9" hidden="1"/>
    <cellStyle name="Followed Hyperlink" xfId="2814" builtinId="9" hidden="1"/>
    <cellStyle name="Followed Hyperlink" xfId="2847" builtinId="9" hidden="1"/>
    <cellStyle name="Followed Hyperlink" xfId="2879" builtinId="9" hidden="1"/>
    <cellStyle name="Followed Hyperlink" xfId="2911" builtinId="9" hidden="1"/>
    <cellStyle name="Followed Hyperlink" xfId="2943" builtinId="9" hidden="1"/>
    <cellStyle name="Followed Hyperlink" xfId="2975" builtinId="9" hidden="1"/>
    <cellStyle name="Followed Hyperlink" xfId="3007" builtinId="9" hidden="1"/>
    <cellStyle name="Followed Hyperlink" xfId="3006" builtinId="9" hidden="1"/>
    <cellStyle name="Followed Hyperlink" xfId="2974" builtinId="9" hidden="1"/>
    <cellStyle name="Followed Hyperlink" xfId="2942" builtinId="9" hidden="1"/>
    <cellStyle name="Followed Hyperlink" xfId="2910" builtinId="9" hidden="1"/>
    <cellStyle name="Followed Hyperlink" xfId="2878" builtinId="9" hidden="1"/>
    <cellStyle name="Followed Hyperlink" xfId="2846" builtinId="9" hidden="1"/>
    <cellStyle name="Followed Hyperlink" xfId="2812" builtinId="9" hidden="1"/>
    <cellStyle name="Followed Hyperlink" xfId="2780" builtinId="9" hidden="1"/>
    <cellStyle name="Followed Hyperlink" xfId="2748" builtinId="9" hidden="1"/>
    <cellStyle name="Followed Hyperlink" xfId="2716" builtinId="9" hidden="1"/>
    <cellStyle name="Followed Hyperlink" xfId="2684" builtinId="9" hidden="1"/>
    <cellStyle name="Followed Hyperlink" xfId="2652" builtinId="9" hidden="1"/>
    <cellStyle name="Followed Hyperlink" xfId="2620" builtinId="9" hidden="1"/>
    <cellStyle name="Followed Hyperlink" xfId="2588" builtinId="9" hidden="1"/>
    <cellStyle name="Followed Hyperlink" xfId="2556" builtinId="9" hidden="1"/>
    <cellStyle name="Followed Hyperlink" xfId="2524" builtinId="9" hidden="1"/>
    <cellStyle name="Followed Hyperlink" xfId="2492" builtinId="9" hidden="1"/>
    <cellStyle name="Followed Hyperlink" xfId="2460" builtinId="9" hidden="1"/>
    <cellStyle name="Followed Hyperlink" xfId="2428" builtinId="9" hidden="1"/>
    <cellStyle name="Followed Hyperlink" xfId="2396" builtinId="9" hidden="1"/>
    <cellStyle name="Followed Hyperlink" xfId="2364" builtinId="9" hidden="1"/>
    <cellStyle name="Followed Hyperlink" xfId="2332" builtinId="9" hidden="1"/>
    <cellStyle name="Followed Hyperlink" xfId="2300" builtinId="9" hidden="1"/>
    <cellStyle name="Followed Hyperlink" xfId="2268" builtinId="9" hidden="1"/>
    <cellStyle name="Followed Hyperlink" xfId="2236" builtinId="9" hidden="1"/>
    <cellStyle name="Followed Hyperlink" xfId="2204" builtinId="9" hidden="1"/>
    <cellStyle name="Followed Hyperlink" xfId="2172" builtinId="9" hidden="1"/>
    <cellStyle name="Followed Hyperlink" xfId="2140" builtinId="9" hidden="1"/>
    <cellStyle name="Followed Hyperlink" xfId="2108" builtinId="9" hidden="1"/>
    <cellStyle name="Followed Hyperlink" xfId="2076" builtinId="9" hidden="1"/>
    <cellStyle name="Followed Hyperlink" xfId="2044" builtinId="9" hidden="1"/>
    <cellStyle name="Followed Hyperlink" xfId="2012" builtinId="9" hidden="1"/>
    <cellStyle name="Followed Hyperlink" xfId="1980" builtinId="9" hidden="1"/>
    <cellStyle name="Followed Hyperlink" xfId="1948" builtinId="9" hidden="1"/>
    <cellStyle name="Followed Hyperlink" xfId="1916" builtinId="9" hidden="1"/>
    <cellStyle name="Followed Hyperlink" xfId="1884" builtinId="9" hidden="1"/>
    <cellStyle name="Followed Hyperlink" xfId="1852" builtinId="9" hidden="1"/>
    <cellStyle name="Followed Hyperlink" xfId="1820" builtinId="9" hidden="1"/>
    <cellStyle name="Followed Hyperlink" xfId="1788" builtinId="9" hidden="1"/>
    <cellStyle name="Followed Hyperlink" xfId="1756" builtinId="9" hidden="1"/>
    <cellStyle name="Followed Hyperlink" xfId="1724" builtinId="9" hidden="1"/>
    <cellStyle name="Followed Hyperlink" xfId="1692" builtinId="9" hidden="1"/>
    <cellStyle name="Followed Hyperlink" xfId="1660" builtinId="9" hidden="1"/>
    <cellStyle name="Followed Hyperlink" xfId="1628" builtinId="9" hidden="1"/>
    <cellStyle name="Followed Hyperlink" xfId="1596" builtinId="9" hidden="1"/>
    <cellStyle name="Followed Hyperlink" xfId="1564" builtinId="9" hidden="1"/>
    <cellStyle name="Followed Hyperlink" xfId="1532" builtinId="9" hidden="1"/>
    <cellStyle name="Followed Hyperlink" xfId="1500" builtinId="9" hidden="1"/>
    <cellStyle name="Followed Hyperlink" xfId="1468" builtinId="9" hidden="1"/>
    <cellStyle name="Followed Hyperlink" xfId="1436" builtinId="9" hidden="1"/>
    <cellStyle name="Followed Hyperlink" xfId="1404" builtinId="9" hidden="1"/>
    <cellStyle name="Followed Hyperlink" xfId="1372" builtinId="9" hidden="1"/>
    <cellStyle name="Followed Hyperlink" xfId="1340" builtinId="9" hidden="1"/>
    <cellStyle name="Followed Hyperlink" xfId="1308" builtinId="9" hidden="1"/>
    <cellStyle name="Followed Hyperlink" xfId="1276" builtinId="9" hidden="1"/>
    <cellStyle name="Followed Hyperlink" xfId="1244" builtinId="9" hidden="1"/>
    <cellStyle name="Followed Hyperlink" xfId="1212" builtinId="9" hidden="1"/>
    <cellStyle name="Followed Hyperlink" xfId="1180" builtinId="9" hidden="1"/>
    <cellStyle name="Followed Hyperlink" xfId="1148" builtinId="9" hidden="1"/>
    <cellStyle name="Followed Hyperlink" xfId="1116" builtinId="9" hidden="1"/>
    <cellStyle name="Followed Hyperlink" xfId="1084" builtinId="9" hidden="1"/>
    <cellStyle name="Followed Hyperlink" xfId="1050" builtinId="9" hidden="1"/>
    <cellStyle name="Followed Hyperlink" xfId="1018" builtinId="9" hidden="1"/>
    <cellStyle name="Followed Hyperlink" xfId="986" builtinId="9" hidden="1"/>
    <cellStyle name="Followed Hyperlink" xfId="954" builtinId="9" hidden="1"/>
    <cellStyle name="Followed Hyperlink" xfId="922" builtinId="9" hidden="1"/>
    <cellStyle name="Followed Hyperlink" xfId="890" builtinId="9" hidden="1"/>
    <cellStyle name="Followed Hyperlink" xfId="858" builtinId="9" hidden="1"/>
    <cellStyle name="Followed Hyperlink" xfId="826" builtinId="9" hidden="1"/>
    <cellStyle name="Followed Hyperlink" xfId="794" builtinId="9" hidden="1"/>
    <cellStyle name="Followed Hyperlink" xfId="762" builtinId="9" hidden="1"/>
    <cellStyle name="Followed Hyperlink" xfId="730" builtinId="9" hidden="1"/>
    <cellStyle name="Followed Hyperlink" xfId="698" builtinId="9" hidden="1"/>
    <cellStyle name="Followed Hyperlink" xfId="666" builtinId="9" hidden="1"/>
    <cellStyle name="Followed Hyperlink" xfId="634" builtinId="9" hidden="1"/>
    <cellStyle name="Followed Hyperlink" xfId="602" builtinId="9" hidden="1"/>
    <cellStyle name="Followed Hyperlink" xfId="570" builtinId="9" hidden="1"/>
    <cellStyle name="Followed Hyperlink" xfId="538" builtinId="9" hidden="1"/>
    <cellStyle name="Followed Hyperlink" xfId="506" builtinId="9" hidden="1"/>
    <cellStyle name="Followed Hyperlink" xfId="474" builtinId="9" hidden="1"/>
    <cellStyle name="Followed Hyperlink" xfId="442" builtinId="9" hidden="1"/>
    <cellStyle name="Followed Hyperlink" xfId="410" builtinId="9" hidden="1"/>
    <cellStyle name="Followed Hyperlink" xfId="378" builtinId="9" hidden="1"/>
    <cellStyle name="Followed Hyperlink" xfId="346" builtinId="9" hidden="1"/>
    <cellStyle name="Followed Hyperlink" xfId="314" builtinId="9" hidden="1"/>
    <cellStyle name="Followed Hyperlink" xfId="282" builtinId="9" hidden="1"/>
    <cellStyle name="Followed Hyperlink" xfId="250" builtinId="9" hidden="1"/>
    <cellStyle name="Followed Hyperlink" xfId="218" builtinId="9" hidden="1"/>
    <cellStyle name="Followed Hyperlink" xfId="186" builtinId="9" hidden="1"/>
    <cellStyle name="Followed Hyperlink" xfId="154" builtinId="9" hidden="1"/>
    <cellStyle name="Followed Hyperlink" xfId="122" builtinId="9" hidden="1"/>
    <cellStyle name="Followed Hyperlink" xfId="90" builtinId="9" hidden="1"/>
    <cellStyle name="Followed Hyperlink" xfId="58" builtinId="9" hidden="1"/>
    <cellStyle name="Followed Hyperlink" xfId="26" builtinId="9" hidden="1"/>
    <cellStyle name="Followed Hyperlink" xfId="4" builtinId="9" hidden="1"/>
    <cellStyle name="Followed Hyperlink" xfId="17" builtinId="9" hidden="1"/>
    <cellStyle name="Followed Hyperlink" xfId="36" builtinId="9" hidden="1"/>
    <cellStyle name="Followed Hyperlink" xfId="68" builtinId="9" hidden="1"/>
    <cellStyle name="Followed Hyperlink" xfId="100" builtinId="9" hidden="1"/>
    <cellStyle name="Followed Hyperlink" xfId="132" builtinId="9" hidden="1"/>
    <cellStyle name="Followed Hyperlink" xfId="164" builtinId="9" hidden="1"/>
    <cellStyle name="Followed Hyperlink" xfId="196" builtinId="9" hidden="1"/>
    <cellStyle name="Followed Hyperlink" xfId="228" builtinId="9" hidden="1"/>
    <cellStyle name="Followed Hyperlink" xfId="260" builtinId="9" hidden="1"/>
    <cellStyle name="Followed Hyperlink" xfId="292" builtinId="9" hidden="1"/>
    <cellStyle name="Followed Hyperlink" xfId="324" builtinId="9" hidden="1"/>
    <cellStyle name="Followed Hyperlink" xfId="356" builtinId="9" hidden="1"/>
    <cellStyle name="Followed Hyperlink" xfId="388" builtinId="9" hidden="1"/>
    <cellStyle name="Followed Hyperlink" xfId="420" builtinId="9" hidden="1"/>
    <cellStyle name="Followed Hyperlink" xfId="452" builtinId="9" hidden="1"/>
    <cellStyle name="Followed Hyperlink" xfId="484" builtinId="9" hidden="1"/>
    <cellStyle name="Followed Hyperlink" xfId="516" builtinId="9" hidden="1"/>
    <cellStyle name="Followed Hyperlink" xfId="548" builtinId="9" hidden="1"/>
    <cellStyle name="Followed Hyperlink" xfId="580" builtinId="9" hidden="1"/>
    <cellStyle name="Followed Hyperlink" xfId="612" builtinId="9" hidden="1"/>
    <cellStyle name="Followed Hyperlink" xfId="644" builtinId="9" hidden="1"/>
    <cellStyle name="Followed Hyperlink" xfId="676" builtinId="9" hidden="1"/>
    <cellStyle name="Followed Hyperlink" xfId="708" builtinId="9" hidden="1"/>
    <cellStyle name="Followed Hyperlink" xfId="740" builtinId="9" hidden="1"/>
    <cellStyle name="Followed Hyperlink" xfId="772" builtinId="9" hidden="1"/>
    <cellStyle name="Followed Hyperlink" xfId="804" builtinId="9" hidden="1"/>
    <cellStyle name="Followed Hyperlink" xfId="836" builtinId="9" hidden="1"/>
    <cellStyle name="Followed Hyperlink" xfId="868" builtinId="9" hidden="1"/>
    <cellStyle name="Followed Hyperlink" xfId="900" builtinId="9" hidden="1"/>
    <cellStyle name="Followed Hyperlink" xfId="932" builtinId="9" hidden="1"/>
    <cellStyle name="Followed Hyperlink" xfId="964" builtinId="9" hidden="1"/>
    <cellStyle name="Followed Hyperlink" xfId="996" builtinId="9" hidden="1"/>
    <cellStyle name="Followed Hyperlink" xfId="1028" builtinId="9" hidden="1"/>
    <cellStyle name="Followed Hyperlink" xfId="1060" builtinId="9" hidden="1"/>
    <cellStyle name="Followed Hyperlink" xfId="1094" builtinId="9" hidden="1"/>
    <cellStyle name="Followed Hyperlink" xfId="1126" builtinId="9" hidden="1"/>
    <cellStyle name="Followed Hyperlink" xfId="1158" builtinId="9" hidden="1"/>
    <cellStyle name="Followed Hyperlink" xfId="1190" builtinId="9" hidden="1"/>
    <cellStyle name="Followed Hyperlink" xfId="1222" builtinId="9" hidden="1"/>
    <cellStyle name="Followed Hyperlink" xfId="1254" builtinId="9" hidden="1"/>
    <cellStyle name="Followed Hyperlink" xfId="1286" builtinId="9" hidden="1"/>
    <cellStyle name="Followed Hyperlink" xfId="1318" builtinId="9" hidden="1"/>
    <cellStyle name="Followed Hyperlink" xfId="1350" builtinId="9" hidden="1"/>
    <cellStyle name="Followed Hyperlink" xfId="1382" builtinId="9" hidden="1"/>
    <cellStyle name="Followed Hyperlink" xfId="1414" builtinId="9" hidden="1"/>
    <cellStyle name="Followed Hyperlink" xfId="1446" builtinId="9" hidden="1"/>
    <cellStyle name="Followed Hyperlink" xfId="1478" builtinId="9" hidden="1"/>
    <cellStyle name="Followed Hyperlink" xfId="1510" builtinId="9" hidden="1"/>
    <cellStyle name="Followed Hyperlink" xfId="1542" builtinId="9" hidden="1"/>
    <cellStyle name="Followed Hyperlink" xfId="1574" builtinId="9" hidden="1"/>
    <cellStyle name="Followed Hyperlink" xfId="1606" builtinId="9" hidden="1"/>
    <cellStyle name="Followed Hyperlink" xfId="1638" builtinId="9" hidden="1"/>
    <cellStyle name="Followed Hyperlink" xfId="1670" builtinId="9" hidden="1"/>
    <cellStyle name="Followed Hyperlink" xfId="1702" builtinId="9" hidden="1"/>
    <cellStyle name="Followed Hyperlink" xfId="1734" builtinId="9" hidden="1"/>
    <cellStyle name="Followed Hyperlink" xfId="1766" builtinId="9" hidden="1"/>
    <cellStyle name="Followed Hyperlink" xfId="1798" builtinId="9" hidden="1"/>
    <cellStyle name="Followed Hyperlink" xfId="1830" builtinId="9" hidden="1"/>
    <cellStyle name="Followed Hyperlink" xfId="1862" builtinId="9" hidden="1"/>
    <cellStyle name="Followed Hyperlink" xfId="1894" builtinId="9" hidden="1"/>
    <cellStyle name="Followed Hyperlink" xfId="1926" builtinId="9" hidden="1"/>
    <cellStyle name="Followed Hyperlink" xfId="1958" builtinId="9" hidden="1"/>
    <cellStyle name="Followed Hyperlink" xfId="1990" builtinId="9" hidden="1"/>
    <cellStyle name="Followed Hyperlink" xfId="2022" builtinId="9" hidden="1"/>
    <cellStyle name="Followed Hyperlink" xfId="2054" builtinId="9" hidden="1"/>
    <cellStyle name="Followed Hyperlink" xfId="2086" builtinId="9" hidden="1"/>
    <cellStyle name="Followed Hyperlink" xfId="2118" builtinId="9" hidden="1"/>
    <cellStyle name="Followed Hyperlink" xfId="2150" builtinId="9" hidden="1"/>
    <cellStyle name="Followed Hyperlink" xfId="2182" builtinId="9" hidden="1"/>
    <cellStyle name="Followed Hyperlink" xfId="2214" builtinId="9" hidden="1"/>
    <cellStyle name="Followed Hyperlink" xfId="2246" builtinId="9" hidden="1"/>
    <cellStyle name="Followed Hyperlink" xfId="2278" builtinId="9" hidden="1"/>
    <cellStyle name="Followed Hyperlink" xfId="2310" builtinId="9" hidden="1"/>
    <cellStyle name="Followed Hyperlink" xfId="2342" builtinId="9" hidden="1"/>
    <cellStyle name="Followed Hyperlink" xfId="2374" builtinId="9" hidden="1"/>
    <cellStyle name="Followed Hyperlink" xfId="2406" builtinId="9" hidden="1"/>
    <cellStyle name="Followed Hyperlink" xfId="2438" builtinId="9" hidden="1"/>
    <cellStyle name="Followed Hyperlink" xfId="2470" builtinId="9" hidden="1"/>
    <cellStyle name="Followed Hyperlink" xfId="2502" builtinId="9" hidden="1"/>
    <cellStyle name="Followed Hyperlink" xfId="2534" builtinId="9" hidden="1"/>
    <cellStyle name="Followed Hyperlink" xfId="2566" builtinId="9" hidden="1"/>
    <cellStyle name="Followed Hyperlink" xfId="2598" builtinId="9" hidden="1"/>
    <cellStyle name="Followed Hyperlink" xfId="2630" builtinId="9" hidden="1"/>
    <cellStyle name="Followed Hyperlink" xfId="2662" builtinId="9" hidden="1"/>
    <cellStyle name="Followed Hyperlink" xfId="2694" builtinId="9" hidden="1"/>
    <cellStyle name="Followed Hyperlink" xfId="2726" builtinId="9" hidden="1"/>
    <cellStyle name="Followed Hyperlink" xfId="2758" builtinId="9" hidden="1"/>
    <cellStyle name="Followed Hyperlink" xfId="2790" builtinId="9" hidden="1"/>
    <cellStyle name="Followed Hyperlink" xfId="2823" builtinId="9" hidden="1"/>
    <cellStyle name="Followed Hyperlink" xfId="2856" builtinId="9" hidden="1"/>
    <cellStyle name="Followed Hyperlink" xfId="2888" builtinId="9" hidden="1"/>
    <cellStyle name="Followed Hyperlink" xfId="2920" builtinId="9" hidden="1"/>
    <cellStyle name="Followed Hyperlink" xfId="2952" builtinId="9" hidden="1"/>
    <cellStyle name="Followed Hyperlink" xfId="2984" builtinId="9" hidden="1"/>
    <cellStyle name="Followed Hyperlink" xfId="3016" builtinId="9" hidden="1"/>
    <cellStyle name="Followed Hyperlink" xfId="2997" builtinId="9" hidden="1"/>
    <cellStyle name="Followed Hyperlink" xfId="2965" builtinId="9" hidden="1"/>
    <cellStyle name="Followed Hyperlink" xfId="2933" builtinId="9" hidden="1"/>
    <cellStyle name="Followed Hyperlink" xfId="2901" builtinId="9" hidden="1"/>
    <cellStyle name="Followed Hyperlink" xfId="2869" builtinId="9" hidden="1"/>
    <cellStyle name="Followed Hyperlink" xfId="2836" builtinId="9" hidden="1"/>
    <cellStyle name="Followed Hyperlink" xfId="2803" builtinId="9" hidden="1"/>
    <cellStyle name="Followed Hyperlink" xfId="2771" builtinId="9" hidden="1"/>
    <cellStyle name="Followed Hyperlink" xfId="2739" builtinId="9" hidden="1"/>
    <cellStyle name="Followed Hyperlink" xfId="2707" builtinId="9" hidden="1"/>
    <cellStyle name="Followed Hyperlink" xfId="2675" builtinId="9" hidden="1"/>
    <cellStyle name="Followed Hyperlink" xfId="2643" builtinId="9" hidden="1"/>
    <cellStyle name="Followed Hyperlink" xfId="2611" builtinId="9" hidden="1"/>
    <cellStyle name="Followed Hyperlink" xfId="2579" builtinId="9" hidden="1"/>
    <cellStyle name="Followed Hyperlink" xfId="2547" builtinId="9" hidden="1"/>
    <cellStyle name="Followed Hyperlink" xfId="2515" builtinId="9" hidden="1"/>
    <cellStyle name="Followed Hyperlink" xfId="2483" builtinId="9" hidden="1"/>
    <cellStyle name="Followed Hyperlink" xfId="2451" builtinId="9" hidden="1"/>
    <cellStyle name="Followed Hyperlink" xfId="2419" builtinId="9" hidden="1"/>
    <cellStyle name="Followed Hyperlink" xfId="2387" builtinId="9" hidden="1"/>
    <cellStyle name="Followed Hyperlink" xfId="2355" builtinId="9" hidden="1"/>
    <cellStyle name="Followed Hyperlink" xfId="2323" builtinId="9" hidden="1"/>
    <cellStyle name="Followed Hyperlink" xfId="2291" builtinId="9" hidden="1"/>
    <cellStyle name="Followed Hyperlink" xfId="2259" builtinId="9" hidden="1"/>
    <cellStyle name="Followed Hyperlink" xfId="2227" builtinId="9" hidden="1"/>
    <cellStyle name="Followed Hyperlink" xfId="2195" builtinId="9" hidden="1"/>
    <cellStyle name="Followed Hyperlink" xfId="2163" builtinId="9" hidden="1"/>
    <cellStyle name="Followed Hyperlink" xfId="2131" builtinId="9" hidden="1"/>
    <cellStyle name="Followed Hyperlink" xfId="2099" builtinId="9" hidden="1"/>
    <cellStyle name="Followed Hyperlink" xfId="2067" builtinId="9" hidden="1"/>
    <cellStyle name="Followed Hyperlink" xfId="2035" builtinId="9" hidden="1"/>
    <cellStyle name="Followed Hyperlink" xfId="2003" builtinId="9" hidden="1"/>
    <cellStyle name="Followed Hyperlink" xfId="1971" builtinId="9" hidden="1"/>
    <cellStyle name="Followed Hyperlink" xfId="1939" builtinId="9" hidden="1"/>
    <cellStyle name="Followed Hyperlink" xfId="1907" builtinId="9" hidden="1"/>
    <cellStyle name="Followed Hyperlink" xfId="1875" builtinId="9" hidden="1"/>
    <cellStyle name="Followed Hyperlink" xfId="1843" builtinId="9" hidden="1"/>
    <cellStyle name="Followed Hyperlink" xfId="1811" builtinId="9" hidden="1"/>
    <cellStyle name="Followed Hyperlink" xfId="1779" builtinId="9" hidden="1"/>
    <cellStyle name="Followed Hyperlink" xfId="1747" builtinId="9" hidden="1"/>
    <cellStyle name="Followed Hyperlink" xfId="1715" builtinId="9" hidden="1"/>
    <cellStyle name="Followed Hyperlink" xfId="1683" builtinId="9" hidden="1"/>
    <cellStyle name="Followed Hyperlink" xfId="1651" builtinId="9" hidden="1"/>
    <cellStyle name="Followed Hyperlink" xfId="1619" builtinId="9" hidden="1"/>
    <cellStyle name="Followed Hyperlink" xfId="1587" builtinId="9" hidden="1"/>
    <cellStyle name="Followed Hyperlink" xfId="1555" builtinId="9" hidden="1"/>
    <cellStyle name="Followed Hyperlink" xfId="1523" builtinId="9" hidden="1"/>
    <cellStyle name="Followed Hyperlink" xfId="1491" builtinId="9" hidden="1"/>
    <cellStyle name="Followed Hyperlink" xfId="1459" builtinId="9" hidden="1"/>
    <cellStyle name="Followed Hyperlink" xfId="1427" builtinId="9" hidden="1"/>
    <cellStyle name="Followed Hyperlink" xfId="1395" builtinId="9" hidden="1"/>
    <cellStyle name="Followed Hyperlink" xfId="1363" builtinId="9" hidden="1"/>
    <cellStyle name="Followed Hyperlink" xfId="1331" builtinId="9" hidden="1"/>
    <cellStyle name="Followed Hyperlink" xfId="1299" builtinId="9" hidden="1"/>
    <cellStyle name="Followed Hyperlink" xfId="1267" builtinId="9" hidden="1"/>
    <cellStyle name="Followed Hyperlink" xfId="1235" builtinId="9" hidden="1"/>
    <cellStyle name="Followed Hyperlink" xfId="1203" builtinId="9" hidden="1"/>
    <cellStyle name="Followed Hyperlink" xfId="1171" builtinId="9" hidden="1"/>
    <cellStyle name="Followed Hyperlink" xfId="1139" builtinId="9" hidden="1"/>
    <cellStyle name="Followed Hyperlink" xfId="1107" builtinId="9" hidden="1"/>
    <cellStyle name="Followed Hyperlink" xfId="1073" builtinId="9" hidden="1"/>
    <cellStyle name="Followed Hyperlink" xfId="1041" builtinId="9" hidden="1"/>
    <cellStyle name="Followed Hyperlink" xfId="1009" builtinId="9" hidden="1"/>
    <cellStyle name="Followed Hyperlink" xfId="977" builtinId="9" hidden="1"/>
    <cellStyle name="Followed Hyperlink" xfId="945" builtinId="9" hidden="1"/>
    <cellStyle name="Followed Hyperlink" xfId="913" builtinId="9" hidden="1"/>
    <cellStyle name="Followed Hyperlink" xfId="881" builtinId="9" hidden="1"/>
    <cellStyle name="Followed Hyperlink" xfId="849" builtinId="9" hidden="1"/>
    <cellStyle name="Followed Hyperlink" xfId="817" builtinId="9" hidden="1"/>
    <cellStyle name="Followed Hyperlink" xfId="785" builtinId="9" hidden="1"/>
    <cellStyle name="Followed Hyperlink" xfId="753" builtinId="9" hidden="1"/>
    <cellStyle name="Followed Hyperlink" xfId="721" builtinId="9" hidden="1"/>
    <cellStyle name="Followed Hyperlink" xfId="689" builtinId="9" hidden="1"/>
    <cellStyle name="Followed Hyperlink" xfId="657" builtinId="9" hidden="1"/>
    <cellStyle name="Followed Hyperlink" xfId="625" builtinId="9" hidden="1"/>
    <cellStyle name="Followed Hyperlink" xfId="593" builtinId="9" hidden="1"/>
    <cellStyle name="Followed Hyperlink" xfId="561" builtinId="9" hidden="1"/>
    <cellStyle name="Followed Hyperlink" xfId="529" builtinId="9" hidden="1"/>
    <cellStyle name="Followed Hyperlink" xfId="497" builtinId="9" hidden="1"/>
    <cellStyle name="Followed Hyperlink" xfId="465" builtinId="9" hidden="1"/>
    <cellStyle name="Followed Hyperlink" xfId="433" builtinId="9" hidden="1"/>
    <cellStyle name="Followed Hyperlink" xfId="401" builtinId="9" hidden="1"/>
    <cellStyle name="Followed Hyperlink" xfId="369" builtinId="9" hidden="1"/>
    <cellStyle name="Followed Hyperlink" xfId="337" builtinId="9" hidden="1"/>
    <cellStyle name="Followed Hyperlink" xfId="305" builtinId="9" hidden="1"/>
    <cellStyle name="Followed Hyperlink" xfId="273" builtinId="9" hidden="1"/>
    <cellStyle name="Followed Hyperlink" xfId="241" builtinId="9" hidden="1"/>
    <cellStyle name="Followed Hyperlink" xfId="209" builtinId="9" hidden="1"/>
    <cellStyle name="Followed Hyperlink" xfId="177" builtinId="9" hidden="1"/>
    <cellStyle name="Followed Hyperlink" xfId="145" builtinId="9" hidden="1"/>
    <cellStyle name="Followed Hyperlink" xfId="113" builtinId="9" hidden="1"/>
    <cellStyle name="Followed Hyperlink" xfId="81" builtinId="9" hidden="1"/>
    <cellStyle name="Followed Hyperlink" xfId="35" builtinId="9" hidden="1"/>
    <cellStyle name="Followed Hyperlink" xfId="53" builtinId="9" hidden="1"/>
    <cellStyle name="Followed Hyperlink" xfId="21" builtinId="9" hidden="1"/>
    <cellStyle name="Followed Hyperlink" xfId="45" builtinId="9" hidden="1"/>
    <cellStyle name="Followed Hyperlink" xfId="39" builtinId="9" hidden="1"/>
    <cellStyle name="Followed Hyperlink" xfId="77" builtinId="9" hidden="1"/>
    <cellStyle name="Followed Hyperlink" xfId="109" builtinId="9" hidden="1"/>
    <cellStyle name="Followed Hyperlink" xfId="141" builtinId="9" hidden="1"/>
    <cellStyle name="Followed Hyperlink" xfId="173" builtinId="9" hidden="1"/>
    <cellStyle name="Followed Hyperlink" xfId="205" builtinId="9" hidden="1"/>
    <cellStyle name="Followed Hyperlink" xfId="237" builtinId="9" hidden="1"/>
    <cellStyle name="Followed Hyperlink" xfId="269" builtinId="9" hidden="1"/>
    <cellStyle name="Followed Hyperlink" xfId="301" builtinId="9" hidden="1"/>
    <cellStyle name="Followed Hyperlink" xfId="333" builtinId="9" hidden="1"/>
    <cellStyle name="Followed Hyperlink" xfId="365" builtinId="9" hidden="1"/>
    <cellStyle name="Followed Hyperlink" xfId="397" builtinId="9" hidden="1"/>
    <cellStyle name="Followed Hyperlink" xfId="429" builtinId="9" hidden="1"/>
    <cellStyle name="Followed Hyperlink" xfId="461" builtinId="9" hidden="1"/>
    <cellStyle name="Followed Hyperlink" xfId="493" builtinId="9" hidden="1"/>
    <cellStyle name="Followed Hyperlink" xfId="525" builtinId="9" hidden="1"/>
    <cellStyle name="Followed Hyperlink" xfId="557" builtinId="9" hidden="1"/>
    <cellStyle name="Followed Hyperlink" xfId="589" builtinId="9" hidden="1"/>
    <cellStyle name="Followed Hyperlink" xfId="621" builtinId="9" hidden="1"/>
    <cellStyle name="Followed Hyperlink" xfId="653" builtinId="9" hidden="1"/>
    <cellStyle name="Followed Hyperlink" xfId="685" builtinId="9" hidden="1"/>
    <cellStyle name="Followed Hyperlink" xfId="717" builtinId="9" hidden="1"/>
    <cellStyle name="Followed Hyperlink" xfId="749" builtinId="9" hidden="1"/>
    <cellStyle name="Followed Hyperlink" xfId="781" builtinId="9" hidden="1"/>
    <cellStyle name="Followed Hyperlink" xfId="813" builtinId="9" hidden="1"/>
    <cellStyle name="Followed Hyperlink" xfId="845" builtinId="9" hidden="1"/>
    <cellStyle name="Followed Hyperlink" xfId="877" builtinId="9" hidden="1"/>
    <cellStyle name="Followed Hyperlink" xfId="909" builtinId="9" hidden="1"/>
    <cellStyle name="Followed Hyperlink" xfId="941" builtinId="9" hidden="1"/>
    <cellStyle name="Followed Hyperlink" xfId="973" builtinId="9" hidden="1"/>
    <cellStyle name="Followed Hyperlink" xfId="1005" builtinId="9" hidden="1"/>
    <cellStyle name="Followed Hyperlink" xfId="1037" builtinId="9" hidden="1"/>
    <cellStyle name="Followed Hyperlink" xfId="1069" builtinId="9" hidden="1"/>
    <cellStyle name="Followed Hyperlink" xfId="1103" builtinId="9" hidden="1"/>
    <cellStyle name="Followed Hyperlink" xfId="1135" builtinId="9" hidden="1"/>
    <cellStyle name="Followed Hyperlink" xfId="1167" builtinId="9" hidden="1"/>
    <cellStyle name="Followed Hyperlink" xfId="1199" builtinId="9" hidden="1"/>
    <cellStyle name="Followed Hyperlink" xfId="1231" builtinId="9" hidden="1"/>
    <cellStyle name="Followed Hyperlink" xfId="1263" builtinId="9" hidden="1"/>
    <cellStyle name="Followed Hyperlink" xfId="1295" builtinId="9" hidden="1"/>
    <cellStyle name="Followed Hyperlink" xfId="1327" builtinId="9" hidden="1"/>
    <cellStyle name="Followed Hyperlink" xfId="1359" builtinId="9" hidden="1"/>
    <cellStyle name="Followed Hyperlink" xfId="1391" builtinId="9" hidden="1"/>
    <cellStyle name="Followed Hyperlink" xfId="1423" builtinId="9" hidden="1"/>
    <cellStyle name="Followed Hyperlink" xfId="1455" builtinId="9" hidden="1"/>
    <cellStyle name="Followed Hyperlink" xfId="1487" builtinId="9" hidden="1"/>
    <cellStyle name="Followed Hyperlink" xfId="1519" builtinId="9" hidden="1"/>
    <cellStyle name="Followed Hyperlink" xfId="1551" builtinId="9" hidden="1"/>
    <cellStyle name="Followed Hyperlink" xfId="1583" builtinId="9" hidden="1"/>
    <cellStyle name="Followed Hyperlink" xfId="1615" builtinId="9" hidden="1"/>
    <cellStyle name="Followed Hyperlink" xfId="1647" builtinId="9" hidden="1"/>
    <cellStyle name="Followed Hyperlink" xfId="1679" builtinId="9" hidden="1"/>
    <cellStyle name="Followed Hyperlink" xfId="1711" builtinId="9" hidden="1"/>
    <cellStyle name="Followed Hyperlink" xfId="1743" builtinId="9" hidden="1"/>
    <cellStyle name="Followed Hyperlink" xfId="1775" builtinId="9" hidden="1"/>
    <cellStyle name="Followed Hyperlink" xfId="1807" builtinId="9" hidden="1"/>
    <cellStyle name="Followed Hyperlink" xfId="1839" builtinId="9" hidden="1"/>
    <cellStyle name="Followed Hyperlink" xfId="1871" builtinId="9" hidden="1"/>
    <cellStyle name="Followed Hyperlink" xfId="1903" builtinId="9" hidden="1"/>
    <cellStyle name="Followed Hyperlink" xfId="1935" builtinId="9" hidden="1"/>
    <cellStyle name="Followed Hyperlink" xfId="1967" builtinId="9" hidden="1"/>
    <cellStyle name="Followed Hyperlink" xfId="1999" builtinId="9" hidden="1"/>
    <cellStyle name="Followed Hyperlink" xfId="2031" builtinId="9" hidden="1"/>
    <cellStyle name="Followed Hyperlink" xfId="2063" builtinId="9" hidden="1"/>
    <cellStyle name="Followed Hyperlink" xfId="2095" builtinId="9" hidden="1"/>
    <cellStyle name="Followed Hyperlink" xfId="2127" builtinId="9" hidden="1"/>
    <cellStyle name="Followed Hyperlink" xfId="2159" builtinId="9" hidden="1"/>
    <cellStyle name="Followed Hyperlink" xfId="2191" builtinId="9" hidden="1"/>
    <cellStyle name="Followed Hyperlink" xfId="2223" builtinId="9" hidden="1"/>
    <cellStyle name="Followed Hyperlink" xfId="2255" builtinId="9" hidden="1"/>
    <cellStyle name="Followed Hyperlink" xfId="2287" builtinId="9" hidden="1"/>
    <cellStyle name="Followed Hyperlink" xfId="2319" builtinId="9" hidden="1"/>
    <cellStyle name="Followed Hyperlink" xfId="2351" builtinId="9" hidden="1"/>
    <cellStyle name="Followed Hyperlink" xfId="2383" builtinId="9" hidden="1"/>
    <cellStyle name="Followed Hyperlink" xfId="2415" builtinId="9" hidden="1"/>
    <cellStyle name="Followed Hyperlink" xfId="2447" builtinId="9" hidden="1"/>
    <cellStyle name="Followed Hyperlink" xfId="2479" builtinId="9" hidden="1"/>
    <cellStyle name="Followed Hyperlink" xfId="2511" builtinId="9" hidden="1"/>
    <cellStyle name="Followed Hyperlink" xfId="2543" builtinId="9" hidden="1"/>
    <cellStyle name="Followed Hyperlink" xfId="2575" builtinId="9" hidden="1"/>
    <cellStyle name="Followed Hyperlink" xfId="2607" builtinId="9" hidden="1"/>
    <cellStyle name="Followed Hyperlink" xfId="2639" builtinId="9" hidden="1"/>
    <cellStyle name="Followed Hyperlink" xfId="2671" builtinId="9" hidden="1"/>
    <cellStyle name="Followed Hyperlink" xfId="2703" builtinId="9" hidden="1"/>
    <cellStyle name="Followed Hyperlink" xfId="2735" builtinId="9" hidden="1"/>
    <cellStyle name="Followed Hyperlink" xfId="2767" builtinId="9" hidden="1"/>
    <cellStyle name="Followed Hyperlink" xfId="2799" builtinId="9" hidden="1"/>
    <cellStyle name="Followed Hyperlink" xfId="2832" builtinId="9" hidden="1"/>
    <cellStyle name="Followed Hyperlink" xfId="2865" builtinId="9" hidden="1"/>
    <cellStyle name="Followed Hyperlink" xfId="2897" builtinId="9" hidden="1"/>
    <cellStyle name="Followed Hyperlink" xfId="2929" builtinId="9" hidden="1"/>
    <cellStyle name="Followed Hyperlink" xfId="2961" builtinId="9" hidden="1"/>
    <cellStyle name="Followed Hyperlink" xfId="2993" builtinId="9" hidden="1"/>
    <cellStyle name="Followed Hyperlink" xfId="3020" builtinId="9" hidden="1"/>
    <cellStyle name="Followed Hyperlink" xfId="2988" builtinId="9" hidden="1"/>
    <cellStyle name="Followed Hyperlink" xfId="2956" builtinId="9" hidden="1"/>
    <cellStyle name="Followed Hyperlink" xfId="2924" builtinId="9" hidden="1"/>
    <cellStyle name="Followed Hyperlink" xfId="2892" builtinId="9" hidden="1"/>
    <cellStyle name="Followed Hyperlink" xfId="2860" builtinId="9" hidden="1"/>
    <cellStyle name="Followed Hyperlink" xfId="2827" builtinId="9" hidden="1"/>
    <cellStyle name="Followed Hyperlink" xfId="2794" builtinId="9" hidden="1"/>
    <cellStyle name="Followed Hyperlink" xfId="2762" builtinId="9" hidden="1"/>
    <cellStyle name="Followed Hyperlink" xfId="2730" builtinId="9" hidden="1"/>
    <cellStyle name="Followed Hyperlink" xfId="2698" builtinId="9" hidden="1"/>
    <cellStyle name="Followed Hyperlink" xfId="2666" builtinId="9" hidden="1"/>
    <cellStyle name="Followed Hyperlink" xfId="2634" builtinId="9" hidden="1"/>
    <cellStyle name="Followed Hyperlink" xfId="2602" builtinId="9" hidden="1"/>
    <cellStyle name="Followed Hyperlink" xfId="2570" builtinId="9" hidden="1"/>
    <cellStyle name="Followed Hyperlink" xfId="2538" builtinId="9" hidden="1"/>
    <cellStyle name="Followed Hyperlink" xfId="2506" builtinId="9" hidden="1"/>
    <cellStyle name="Followed Hyperlink" xfId="2474" builtinId="9" hidden="1"/>
    <cellStyle name="Followed Hyperlink" xfId="2442" builtinId="9" hidden="1"/>
    <cellStyle name="Followed Hyperlink" xfId="2410" builtinId="9" hidden="1"/>
    <cellStyle name="Followed Hyperlink" xfId="2378" builtinId="9" hidden="1"/>
    <cellStyle name="Followed Hyperlink" xfId="2346" builtinId="9" hidden="1"/>
    <cellStyle name="Followed Hyperlink" xfId="2314" builtinId="9" hidden="1"/>
    <cellStyle name="Followed Hyperlink" xfId="2282" builtinId="9" hidden="1"/>
    <cellStyle name="Followed Hyperlink" xfId="2250" builtinId="9" hidden="1"/>
    <cellStyle name="Followed Hyperlink" xfId="2218" builtinId="9" hidden="1"/>
    <cellStyle name="Followed Hyperlink" xfId="2186" builtinId="9" hidden="1"/>
    <cellStyle name="Followed Hyperlink" xfId="2154" builtinId="9" hidden="1"/>
    <cellStyle name="Followed Hyperlink" xfId="2122" builtinId="9" hidden="1"/>
    <cellStyle name="Followed Hyperlink" xfId="2090" builtinId="9" hidden="1"/>
    <cellStyle name="Followed Hyperlink" xfId="2058" builtinId="9" hidden="1"/>
    <cellStyle name="Followed Hyperlink" xfId="2026" builtinId="9" hidden="1"/>
    <cellStyle name="Followed Hyperlink" xfId="1994" builtinId="9" hidden="1"/>
    <cellStyle name="Followed Hyperlink" xfId="1962" builtinId="9" hidden="1"/>
    <cellStyle name="Followed Hyperlink" xfId="1930" builtinId="9" hidden="1"/>
    <cellStyle name="Followed Hyperlink" xfId="1898" builtinId="9" hidden="1"/>
    <cellStyle name="Followed Hyperlink" xfId="1866" builtinId="9" hidden="1"/>
    <cellStyle name="Followed Hyperlink" xfId="1834" builtinId="9" hidden="1"/>
    <cellStyle name="Followed Hyperlink" xfId="1802" builtinId="9" hidden="1"/>
    <cellStyle name="Followed Hyperlink" xfId="1770" builtinId="9" hidden="1"/>
    <cellStyle name="Followed Hyperlink" xfId="1738" builtinId="9" hidden="1"/>
    <cellStyle name="Followed Hyperlink" xfId="1706" builtinId="9" hidden="1"/>
    <cellStyle name="Followed Hyperlink" xfId="1674" builtinId="9" hidden="1"/>
    <cellStyle name="Followed Hyperlink" xfId="1642" builtinId="9" hidden="1"/>
    <cellStyle name="Followed Hyperlink" xfId="1610" builtinId="9" hidden="1"/>
    <cellStyle name="Followed Hyperlink" xfId="1578" builtinId="9" hidden="1"/>
    <cellStyle name="Followed Hyperlink" xfId="1546" builtinId="9" hidden="1"/>
    <cellStyle name="Followed Hyperlink" xfId="1514" builtinId="9" hidden="1"/>
    <cellStyle name="Followed Hyperlink" xfId="1482" builtinId="9" hidden="1"/>
    <cellStyle name="Followed Hyperlink" xfId="1450" builtinId="9" hidden="1"/>
    <cellStyle name="Followed Hyperlink" xfId="1418" builtinId="9" hidden="1"/>
    <cellStyle name="Followed Hyperlink" xfId="1386" builtinId="9" hidden="1"/>
    <cellStyle name="Followed Hyperlink" xfId="1354" builtinId="9" hidden="1"/>
    <cellStyle name="Followed Hyperlink" xfId="1322" builtinId="9" hidden="1"/>
    <cellStyle name="Followed Hyperlink" xfId="1290" builtinId="9" hidden="1"/>
    <cellStyle name="Followed Hyperlink" xfId="1258" builtinId="9" hidden="1"/>
    <cellStyle name="Followed Hyperlink" xfId="1226" builtinId="9" hidden="1"/>
    <cellStyle name="Followed Hyperlink" xfId="1194" builtinId="9" hidden="1"/>
    <cellStyle name="Followed Hyperlink" xfId="1162" builtinId="9" hidden="1"/>
    <cellStyle name="Followed Hyperlink" xfId="1130" builtinId="9" hidden="1"/>
    <cellStyle name="Followed Hyperlink" xfId="1098" builtinId="9" hidden="1"/>
    <cellStyle name="Followed Hyperlink" xfId="1064" builtinId="9" hidden="1"/>
    <cellStyle name="Followed Hyperlink" xfId="1032" builtinId="9" hidden="1"/>
    <cellStyle name="Followed Hyperlink" xfId="1000" builtinId="9" hidden="1"/>
    <cellStyle name="Followed Hyperlink" xfId="968" builtinId="9" hidden="1"/>
    <cellStyle name="Followed Hyperlink" xfId="936" builtinId="9" hidden="1"/>
    <cellStyle name="Followed Hyperlink" xfId="904" builtinId="9" hidden="1"/>
    <cellStyle name="Followed Hyperlink" xfId="872" builtinId="9" hidden="1"/>
    <cellStyle name="Followed Hyperlink" xfId="840" builtinId="9" hidden="1"/>
    <cellStyle name="Followed Hyperlink" xfId="808" builtinId="9" hidden="1"/>
    <cellStyle name="Followed Hyperlink" xfId="776" builtinId="9" hidden="1"/>
    <cellStyle name="Followed Hyperlink" xfId="744" builtinId="9" hidden="1"/>
    <cellStyle name="Followed Hyperlink" xfId="712" builtinId="9" hidden="1"/>
    <cellStyle name="Followed Hyperlink" xfId="680" builtinId="9" hidden="1"/>
    <cellStyle name="Followed Hyperlink" xfId="648" builtinId="9" hidden="1"/>
    <cellStyle name="Followed Hyperlink" xfId="616" builtinId="9" hidden="1"/>
    <cellStyle name="Followed Hyperlink" xfId="584" builtinId="9" hidden="1"/>
    <cellStyle name="Followed Hyperlink" xfId="552" builtinId="9" hidden="1"/>
    <cellStyle name="Followed Hyperlink" xfId="520" builtinId="9" hidden="1"/>
    <cellStyle name="Followed Hyperlink" xfId="488" builtinId="9" hidden="1"/>
    <cellStyle name="Followed Hyperlink" xfId="456" builtinId="9" hidden="1"/>
    <cellStyle name="Followed Hyperlink" xfId="424" builtinId="9" hidden="1"/>
    <cellStyle name="Followed Hyperlink" xfId="392" builtinId="9" hidden="1"/>
    <cellStyle name="Followed Hyperlink" xfId="360" builtinId="9" hidden="1"/>
    <cellStyle name="Followed Hyperlink" xfId="328" builtinId="9" hidden="1"/>
    <cellStyle name="Followed Hyperlink" xfId="296" builtinId="9" hidden="1"/>
    <cellStyle name="Followed Hyperlink" xfId="264" builtinId="9" hidden="1"/>
    <cellStyle name="Followed Hyperlink" xfId="232" builtinId="9" hidden="1"/>
    <cellStyle name="Followed Hyperlink" xfId="200" builtinId="9" hidden="1"/>
    <cellStyle name="Followed Hyperlink" xfId="168" builtinId="9" hidden="1"/>
    <cellStyle name="Followed Hyperlink" xfId="136" builtinId="9" hidden="1"/>
    <cellStyle name="Followed Hyperlink" xfId="104" builtinId="9" hidden="1"/>
    <cellStyle name="Followed Hyperlink" xfId="72" builtinId="9" hidden="1"/>
    <cellStyle name="Followed Hyperlink" xfId="40" builtinId="9" hidden="1"/>
    <cellStyle name="Followed Hyperlink" xfId="15" builtinId="9" hidden="1"/>
    <cellStyle name="Followed Hyperlink" xfId="7" builtinId="9" hidden="1"/>
    <cellStyle name="Followed Hyperlink" xfId="22" builtinId="9" hidden="1"/>
    <cellStyle name="Followed Hyperlink" xfId="54" builtinId="9" hidden="1"/>
    <cellStyle name="Followed Hyperlink" xfId="86" builtinId="9" hidden="1"/>
    <cellStyle name="Followed Hyperlink" xfId="118" builtinId="9" hidden="1"/>
    <cellStyle name="Followed Hyperlink" xfId="150" builtinId="9" hidden="1"/>
    <cellStyle name="Followed Hyperlink" xfId="182" builtinId="9" hidden="1"/>
    <cellStyle name="Followed Hyperlink" xfId="214" builtinId="9" hidden="1"/>
    <cellStyle name="Followed Hyperlink" xfId="246" builtinId="9" hidden="1"/>
    <cellStyle name="Followed Hyperlink" xfId="278" builtinId="9" hidden="1"/>
    <cellStyle name="Followed Hyperlink" xfId="310" builtinId="9" hidden="1"/>
    <cellStyle name="Followed Hyperlink" xfId="342" builtinId="9" hidden="1"/>
    <cellStyle name="Followed Hyperlink" xfId="374" builtinId="9" hidden="1"/>
    <cellStyle name="Followed Hyperlink" xfId="406" builtinId="9" hidden="1"/>
    <cellStyle name="Followed Hyperlink" xfId="438" builtinId="9" hidden="1"/>
    <cellStyle name="Followed Hyperlink" xfId="470" builtinId="9" hidden="1"/>
    <cellStyle name="Followed Hyperlink" xfId="502" builtinId="9" hidden="1"/>
    <cellStyle name="Followed Hyperlink" xfId="534" builtinId="9" hidden="1"/>
    <cellStyle name="Followed Hyperlink" xfId="566" builtinId="9" hidden="1"/>
    <cellStyle name="Followed Hyperlink" xfId="598" builtinId="9" hidden="1"/>
    <cellStyle name="Followed Hyperlink" xfId="630" builtinId="9" hidden="1"/>
    <cellStyle name="Followed Hyperlink" xfId="662" builtinId="9" hidden="1"/>
    <cellStyle name="Followed Hyperlink" xfId="694" builtinId="9" hidden="1"/>
    <cellStyle name="Followed Hyperlink" xfId="726" builtinId="9" hidden="1"/>
    <cellStyle name="Followed Hyperlink" xfId="758" builtinId="9" hidden="1"/>
    <cellStyle name="Followed Hyperlink" xfId="790" builtinId="9" hidden="1"/>
    <cellStyle name="Followed Hyperlink" xfId="822" builtinId="9" hidden="1"/>
    <cellStyle name="Followed Hyperlink" xfId="854" builtinId="9" hidden="1"/>
    <cellStyle name="Followed Hyperlink" xfId="886" builtinId="9" hidden="1"/>
    <cellStyle name="Followed Hyperlink" xfId="918" builtinId="9" hidden="1"/>
    <cellStyle name="Followed Hyperlink" xfId="950" builtinId="9" hidden="1"/>
    <cellStyle name="Followed Hyperlink" xfId="982" builtinId="9" hidden="1"/>
    <cellStyle name="Followed Hyperlink" xfId="1014" builtinId="9" hidden="1"/>
    <cellStyle name="Followed Hyperlink" xfId="1046" builtinId="9" hidden="1"/>
    <cellStyle name="Followed Hyperlink" xfId="1080" builtinId="9" hidden="1"/>
    <cellStyle name="Followed Hyperlink" xfId="1112" builtinId="9" hidden="1"/>
    <cellStyle name="Followed Hyperlink" xfId="1144" builtinId="9" hidden="1"/>
    <cellStyle name="Followed Hyperlink" xfId="1176" builtinId="9" hidden="1"/>
    <cellStyle name="Followed Hyperlink" xfId="1208" builtinId="9" hidden="1"/>
    <cellStyle name="Followed Hyperlink" xfId="1240" builtinId="9" hidden="1"/>
    <cellStyle name="Followed Hyperlink" xfId="1272" builtinId="9" hidden="1"/>
    <cellStyle name="Followed Hyperlink" xfId="1304" builtinId="9" hidden="1"/>
    <cellStyle name="Followed Hyperlink" xfId="1336" builtinId="9" hidden="1"/>
    <cellStyle name="Followed Hyperlink" xfId="1368" builtinId="9" hidden="1"/>
    <cellStyle name="Followed Hyperlink" xfId="1400" builtinId="9" hidden="1"/>
    <cellStyle name="Followed Hyperlink" xfId="1432" builtinId="9" hidden="1"/>
    <cellStyle name="Followed Hyperlink" xfId="1464" builtinId="9" hidden="1"/>
    <cellStyle name="Followed Hyperlink" xfId="1496" builtinId="9" hidden="1"/>
    <cellStyle name="Followed Hyperlink" xfId="1528" builtinId="9" hidden="1"/>
    <cellStyle name="Followed Hyperlink" xfId="1560" builtinId="9" hidden="1"/>
    <cellStyle name="Followed Hyperlink" xfId="1592" builtinId="9" hidden="1"/>
    <cellStyle name="Followed Hyperlink" xfId="1624" builtinId="9" hidden="1"/>
    <cellStyle name="Followed Hyperlink" xfId="1656" builtinId="9" hidden="1"/>
    <cellStyle name="Followed Hyperlink" xfId="1688" builtinId="9" hidden="1"/>
    <cellStyle name="Followed Hyperlink" xfId="1720" builtinId="9" hidden="1"/>
    <cellStyle name="Followed Hyperlink" xfId="1752" builtinId="9" hidden="1"/>
    <cellStyle name="Followed Hyperlink" xfId="1784" builtinId="9" hidden="1"/>
    <cellStyle name="Followed Hyperlink" xfId="1816" builtinId="9" hidden="1"/>
    <cellStyle name="Followed Hyperlink" xfId="1848" builtinId="9" hidden="1"/>
    <cellStyle name="Followed Hyperlink" xfId="1880" builtinId="9" hidden="1"/>
    <cellStyle name="Followed Hyperlink" xfId="1912" builtinId="9" hidden="1"/>
    <cellStyle name="Followed Hyperlink" xfId="1944" builtinId="9" hidden="1"/>
    <cellStyle name="Followed Hyperlink" xfId="1976" builtinId="9" hidden="1"/>
    <cellStyle name="Followed Hyperlink" xfId="2008" builtinId="9" hidden="1"/>
    <cellStyle name="Followed Hyperlink" xfId="2040" builtinId="9" hidden="1"/>
    <cellStyle name="Followed Hyperlink" xfId="2072" builtinId="9" hidden="1"/>
    <cellStyle name="Followed Hyperlink" xfId="2104" builtinId="9" hidden="1"/>
    <cellStyle name="Followed Hyperlink" xfId="2136" builtinId="9" hidden="1"/>
    <cellStyle name="Followed Hyperlink" xfId="2168" builtinId="9" hidden="1"/>
    <cellStyle name="Followed Hyperlink" xfId="2200" builtinId="9" hidden="1"/>
    <cellStyle name="Followed Hyperlink" xfId="2232" builtinId="9" hidden="1"/>
    <cellStyle name="Followed Hyperlink" xfId="2264" builtinId="9" hidden="1"/>
    <cellStyle name="Followed Hyperlink" xfId="2296" builtinId="9" hidden="1"/>
    <cellStyle name="Followed Hyperlink" xfId="2328" builtinId="9" hidden="1"/>
    <cellStyle name="Followed Hyperlink" xfId="2360" builtinId="9" hidden="1"/>
    <cellStyle name="Followed Hyperlink" xfId="2392" builtinId="9" hidden="1"/>
    <cellStyle name="Followed Hyperlink" xfId="2424" builtinId="9" hidden="1"/>
    <cellStyle name="Followed Hyperlink" xfId="2456" builtinId="9" hidden="1"/>
    <cellStyle name="Followed Hyperlink" xfId="2488" builtinId="9" hidden="1"/>
    <cellStyle name="Followed Hyperlink" xfId="2520" builtinId="9" hidden="1"/>
    <cellStyle name="Followed Hyperlink" xfId="2552" builtinId="9" hidden="1"/>
    <cellStyle name="Followed Hyperlink" xfId="2584" builtinId="9" hidden="1"/>
    <cellStyle name="Followed Hyperlink" xfId="2616" builtinId="9" hidden="1"/>
    <cellStyle name="Followed Hyperlink" xfId="2648" builtinId="9" hidden="1"/>
    <cellStyle name="Followed Hyperlink" xfId="2680" builtinId="9" hidden="1"/>
    <cellStyle name="Followed Hyperlink" xfId="2712" builtinId="9" hidden="1"/>
    <cellStyle name="Followed Hyperlink" xfId="2744" builtinId="9" hidden="1"/>
    <cellStyle name="Followed Hyperlink" xfId="2776" builtinId="9" hidden="1"/>
    <cellStyle name="Followed Hyperlink" xfId="2808" builtinId="9" hidden="1"/>
    <cellStyle name="Followed Hyperlink" xfId="2842" builtinId="9" hidden="1"/>
    <cellStyle name="Followed Hyperlink" xfId="2874" builtinId="9" hidden="1"/>
    <cellStyle name="Followed Hyperlink" xfId="2906" builtinId="9" hidden="1"/>
    <cellStyle name="Followed Hyperlink" xfId="2938" builtinId="9" hidden="1"/>
    <cellStyle name="Followed Hyperlink" xfId="2970" builtinId="9" hidden="1"/>
    <cellStyle name="Followed Hyperlink" xfId="3002" builtinId="9" hidden="1"/>
    <cellStyle name="Followed Hyperlink" xfId="3011" builtinId="9" hidden="1"/>
    <cellStyle name="Followed Hyperlink" xfId="2979" builtinId="9" hidden="1"/>
    <cellStyle name="Followed Hyperlink" xfId="2947" builtinId="9" hidden="1"/>
    <cellStyle name="Followed Hyperlink" xfId="2915" builtinId="9" hidden="1"/>
    <cellStyle name="Followed Hyperlink" xfId="2883" builtinId="9" hidden="1"/>
    <cellStyle name="Followed Hyperlink" xfId="2851" builtinId="9" hidden="1"/>
    <cellStyle name="Followed Hyperlink" xfId="2818" builtinId="9" hidden="1"/>
    <cellStyle name="Followed Hyperlink" xfId="2785" builtinId="9" hidden="1"/>
    <cellStyle name="Followed Hyperlink" xfId="2753" builtinId="9" hidden="1"/>
    <cellStyle name="Followed Hyperlink" xfId="2721" builtinId="9" hidden="1"/>
    <cellStyle name="Followed Hyperlink" xfId="2689" builtinId="9" hidden="1"/>
    <cellStyle name="Followed Hyperlink" xfId="2657" builtinId="9" hidden="1"/>
    <cellStyle name="Followed Hyperlink" xfId="2625" builtinId="9" hidden="1"/>
    <cellStyle name="Followed Hyperlink" xfId="2593" builtinId="9" hidden="1"/>
    <cellStyle name="Followed Hyperlink" xfId="2561" builtinId="9" hidden="1"/>
    <cellStyle name="Followed Hyperlink" xfId="2529" builtinId="9" hidden="1"/>
    <cellStyle name="Followed Hyperlink" xfId="2497" builtinId="9" hidden="1"/>
    <cellStyle name="Followed Hyperlink" xfId="2465" builtinId="9" hidden="1"/>
    <cellStyle name="Followed Hyperlink" xfId="2433" builtinId="9" hidden="1"/>
    <cellStyle name="Followed Hyperlink" xfId="2401" builtinId="9" hidden="1"/>
    <cellStyle name="Followed Hyperlink" xfId="2369" builtinId="9" hidden="1"/>
    <cellStyle name="Followed Hyperlink" xfId="2337" builtinId="9" hidden="1"/>
    <cellStyle name="Followed Hyperlink" xfId="2305" builtinId="9" hidden="1"/>
    <cellStyle name="Followed Hyperlink" xfId="2273" builtinId="9" hidden="1"/>
    <cellStyle name="Followed Hyperlink" xfId="2241" builtinId="9" hidden="1"/>
    <cellStyle name="Followed Hyperlink" xfId="2209" builtinId="9" hidden="1"/>
    <cellStyle name="Followed Hyperlink" xfId="2177" builtinId="9" hidden="1"/>
    <cellStyle name="Followed Hyperlink" xfId="2145" builtinId="9" hidden="1"/>
    <cellStyle name="Followed Hyperlink" xfId="2113" builtinId="9" hidden="1"/>
    <cellStyle name="Followed Hyperlink" xfId="2081" builtinId="9" hidden="1"/>
    <cellStyle name="Followed Hyperlink" xfId="2049" builtinId="9" hidden="1"/>
    <cellStyle name="Followed Hyperlink" xfId="2017" builtinId="9" hidden="1"/>
    <cellStyle name="Followed Hyperlink" xfId="1985" builtinId="9" hidden="1"/>
    <cellStyle name="Followed Hyperlink" xfId="1953" builtinId="9" hidden="1"/>
    <cellStyle name="Followed Hyperlink" xfId="1921" builtinId="9" hidden="1"/>
    <cellStyle name="Followed Hyperlink" xfId="1889" builtinId="9" hidden="1"/>
    <cellStyle name="Followed Hyperlink" xfId="1857" builtinId="9" hidden="1"/>
    <cellStyle name="Followed Hyperlink" xfId="1825" builtinId="9" hidden="1"/>
    <cellStyle name="Followed Hyperlink" xfId="1793" builtinId="9" hidden="1"/>
    <cellStyle name="Followed Hyperlink" xfId="1761" builtinId="9" hidden="1"/>
    <cellStyle name="Followed Hyperlink" xfId="1729" builtinId="9" hidden="1"/>
    <cellStyle name="Followed Hyperlink" xfId="1697" builtinId="9" hidden="1"/>
    <cellStyle name="Followed Hyperlink" xfId="1665" builtinId="9" hidden="1"/>
    <cellStyle name="Followed Hyperlink" xfId="1633" builtinId="9" hidden="1"/>
    <cellStyle name="Followed Hyperlink" xfId="1601" builtinId="9" hidden="1"/>
    <cellStyle name="Followed Hyperlink" xfId="1569" builtinId="9" hidden="1"/>
    <cellStyle name="Followed Hyperlink" xfId="1537" builtinId="9" hidden="1"/>
    <cellStyle name="Followed Hyperlink" xfId="1505" builtinId="9" hidden="1"/>
    <cellStyle name="Followed Hyperlink" xfId="1473" builtinId="9" hidden="1"/>
    <cellStyle name="Followed Hyperlink" xfId="1441" builtinId="9" hidden="1"/>
    <cellStyle name="Followed Hyperlink" xfId="1409" builtinId="9" hidden="1"/>
    <cellStyle name="Followed Hyperlink" xfId="1377" builtinId="9" hidden="1"/>
    <cellStyle name="Followed Hyperlink" xfId="1345" builtinId="9" hidden="1"/>
    <cellStyle name="Followed Hyperlink" xfId="1313" builtinId="9" hidden="1"/>
    <cellStyle name="Followed Hyperlink" xfId="1281" builtinId="9" hidden="1"/>
    <cellStyle name="Followed Hyperlink" xfId="1249" builtinId="9" hidden="1"/>
    <cellStyle name="Followed Hyperlink" xfId="1217" builtinId="9" hidden="1"/>
    <cellStyle name="Followed Hyperlink" xfId="1185" builtinId="9" hidden="1"/>
    <cellStyle name="Followed Hyperlink" xfId="1153" builtinId="9" hidden="1"/>
    <cellStyle name="Followed Hyperlink" xfId="1121" builtinId="9" hidden="1"/>
    <cellStyle name="Followed Hyperlink" xfId="1089" builtinId="9" hidden="1"/>
    <cellStyle name="Followed Hyperlink" xfId="1055" builtinId="9" hidden="1"/>
    <cellStyle name="Followed Hyperlink" xfId="1023" builtinId="9" hidden="1"/>
    <cellStyle name="Followed Hyperlink" xfId="991" builtinId="9" hidden="1"/>
    <cellStyle name="Followed Hyperlink" xfId="959" builtinId="9" hidden="1"/>
    <cellStyle name="Followed Hyperlink" xfId="927" builtinId="9" hidden="1"/>
    <cellStyle name="Followed Hyperlink" xfId="895" builtinId="9" hidden="1"/>
    <cellStyle name="Followed Hyperlink" xfId="863" builtinId="9" hidden="1"/>
    <cellStyle name="Followed Hyperlink" xfId="831" builtinId="9" hidden="1"/>
    <cellStyle name="Followed Hyperlink" xfId="799" builtinId="9" hidden="1"/>
    <cellStyle name="Followed Hyperlink" xfId="767" builtinId="9" hidden="1"/>
    <cellStyle name="Followed Hyperlink" xfId="735" builtinId="9" hidden="1"/>
    <cellStyle name="Followed Hyperlink" xfId="703" builtinId="9" hidden="1"/>
    <cellStyle name="Followed Hyperlink" xfId="671" builtinId="9" hidden="1"/>
    <cellStyle name="Followed Hyperlink" xfId="639" builtinId="9" hidden="1"/>
    <cellStyle name="Followed Hyperlink" xfId="607" builtinId="9" hidden="1"/>
    <cellStyle name="Followed Hyperlink" xfId="575" builtinId="9" hidden="1"/>
    <cellStyle name="Followed Hyperlink" xfId="383" builtinId="9" hidden="1"/>
    <cellStyle name="Followed Hyperlink" xfId="399" builtinId="9" hidden="1"/>
    <cellStyle name="Followed Hyperlink" xfId="431" builtinId="9" hidden="1"/>
    <cellStyle name="Followed Hyperlink" xfId="447" builtinId="9" hidden="1"/>
    <cellStyle name="Followed Hyperlink" xfId="463" builtinId="9" hidden="1"/>
    <cellStyle name="Followed Hyperlink" xfId="495" builtinId="9" hidden="1"/>
    <cellStyle name="Followed Hyperlink" xfId="511" builtinId="9" hidden="1"/>
    <cellStyle name="Followed Hyperlink" xfId="527" builtinId="9" hidden="1"/>
    <cellStyle name="Followed Hyperlink" xfId="559" builtinId="9" hidden="1"/>
    <cellStyle name="Followed Hyperlink" xfId="543" builtinId="9" hidden="1"/>
    <cellStyle name="Followed Hyperlink" xfId="479" builtinId="9" hidden="1"/>
    <cellStyle name="Followed Hyperlink" xfId="415" builtinId="9" hidden="1"/>
    <cellStyle name="Followed Hyperlink" xfId="319" builtinId="9" hidden="1"/>
    <cellStyle name="Followed Hyperlink" xfId="335" builtinId="9" hidden="1"/>
    <cellStyle name="Followed Hyperlink" xfId="367" builtinId="9" hidden="1"/>
    <cellStyle name="Followed Hyperlink" xfId="351" builtinId="9" hidden="1"/>
    <cellStyle name="Followed Hyperlink" xfId="303" builtinId="9" hidden="1"/>
    <cellStyle name="Followed Hyperlink" xfId="287" builtinId="9" hidden="1"/>
    <cellStyle name="Hyperlink" xfId="1" builtinId="8"/>
    <cellStyle name="Hyperlink 2" xfId="1075" xr:uid="{00000000-0005-0000-0000-0000CA0B0000}"/>
    <cellStyle name="Normal" xfId="0" builtinId="0"/>
    <cellStyle name="Normal 2" xfId="1074" xr:uid="{00000000-0005-0000-0000-0000CC0B0000}"/>
    <cellStyle name="Normal 2 2" xfId="3024" xr:uid="{21D29374-C080-4FA8-AC86-44996B0FC47D}"/>
    <cellStyle name="Normal 3" xfId="2813" xr:uid="{00000000-0005-0000-0000-0000CD0B0000}"/>
    <cellStyle name="Normal 3 2" xfId="3025" xr:uid="{08C77349-5B3A-4742-9DA8-E1CFE12EA8C9}"/>
    <cellStyle name="Normal 4" xfId="2837" xr:uid="{00000000-0005-0000-0000-0000CE0B0000}"/>
    <cellStyle name="Per cent" xfId="3023" builtinId="5"/>
  </cellStyles>
  <dxfs count="26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8"/>
        <name val="Calibri"/>
        <scheme val="minor"/>
      </font>
      <protection locked="0" hidden="0"/>
    </dxf>
    <dxf>
      <font>
        <strike val="0"/>
        <outline val="0"/>
        <shadow val="0"/>
        <u val="none"/>
        <vertAlign val="baseline"/>
        <sz val="8"/>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170" formatCode="0.00\ %"/>
      <protection locked="0" hidden="0"/>
    </dxf>
    <dxf>
      <font>
        <b val="0"/>
        <i val="0"/>
        <strike val="0"/>
        <condense val="0"/>
        <extend val="0"/>
        <outline val="0"/>
        <shadow val="0"/>
        <u val="none"/>
        <vertAlign val="baseline"/>
        <sz val="8"/>
        <color theme="1"/>
        <name val="Calibri"/>
        <scheme val="minor"/>
      </font>
      <numFmt numFmtId="170" formatCode="0.00\ %"/>
      <protection locked="0" hidden="0"/>
    </dxf>
    <dxf>
      <font>
        <b val="0"/>
        <i val="0"/>
        <strike val="0"/>
        <condense val="0"/>
        <extend val="0"/>
        <outline val="0"/>
        <shadow val="0"/>
        <u val="none"/>
        <vertAlign val="baseline"/>
        <sz val="8"/>
        <color theme="1"/>
        <name val="Calibri"/>
        <scheme val="minor"/>
      </font>
      <numFmt numFmtId="170" formatCode="0.00\ %"/>
      <protection locked="0" hidden="0"/>
    </dxf>
    <dxf>
      <font>
        <b val="0"/>
        <i val="0"/>
        <strike val="0"/>
        <condense val="0"/>
        <extend val="0"/>
        <outline val="0"/>
        <shadow val="0"/>
        <u val="none"/>
        <vertAlign val="baseline"/>
        <sz val="8"/>
        <color theme="1"/>
        <name val="Calibri"/>
        <scheme val="minor"/>
      </font>
      <numFmt numFmtId="170" formatCode="0.00\ %"/>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family val="2"/>
        <scheme val="minor"/>
      </font>
      <numFmt numFmtId="2" formatCode="0.00"/>
      <protection locked="0" hidden="0"/>
    </dxf>
    <dxf>
      <font>
        <b val="0"/>
        <i val="0"/>
        <strike val="0"/>
        <condense val="0"/>
        <extend val="0"/>
        <outline val="0"/>
        <shadow val="0"/>
        <u val="none"/>
        <vertAlign val="baseline"/>
        <sz val="8"/>
        <color theme="1"/>
        <name val="Calibri"/>
        <scheme val="minor"/>
      </font>
      <numFmt numFmtId="2" formatCode="0.00"/>
      <protection locked="0" hidden="0"/>
    </dxf>
    <dxf>
      <font>
        <b val="0"/>
        <i val="0"/>
        <strike val="0"/>
        <condense val="0"/>
        <extend val="0"/>
        <outline val="0"/>
        <shadow val="0"/>
        <u val="none"/>
        <vertAlign val="baseline"/>
        <sz val="8"/>
        <color theme="1"/>
        <name val="Calibri"/>
        <family val="2"/>
        <scheme val="minor"/>
      </font>
      <numFmt numFmtId="2" formatCode="0.00"/>
      <protection locked="0" hidden="0"/>
    </dxf>
    <dxf>
      <font>
        <i val="0"/>
        <strike val="0"/>
        <outline val="0"/>
        <shadow val="0"/>
        <u val="none"/>
        <vertAlign val="baseline"/>
        <sz val="8"/>
        <name val="Calibri"/>
        <scheme val="minor"/>
      </font>
      <numFmt numFmtId="2" formatCode="0.00"/>
      <protection locked="0" hidden="0"/>
    </dxf>
    <dxf>
      <font>
        <i val="0"/>
        <strike val="0"/>
        <outline val="0"/>
        <shadow val="0"/>
        <u val="none"/>
        <vertAlign val="baseline"/>
        <sz val="8"/>
        <name val="Calibri"/>
        <scheme val="minor"/>
      </font>
      <numFmt numFmtId="2" formatCode="0.00"/>
      <protection locked="0" hidden="0"/>
    </dxf>
    <dxf>
      <font>
        <i val="0"/>
        <strike val="0"/>
        <outline val="0"/>
        <shadow val="0"/>
        <u val="none"/>
        <vertAlign val="baseline"/>
        <sz val="8"/>
        <name val="Calibri"/>
        <scheme val="minor"/>
      </font>
      <numFmt numFmtId="2" formatCode="0.00"/>
      <protection locked="0" hidden="0"/>
    </dxf>
    <dxf>
      <font>
        <b val="0"/>
        <strike val="0"/>
        <outline val="0"/>
        <shadow val="0"/>
        <u val="none"/>
        <vertAlign val="baseline"/>
        <sz val="8"/>
        <color theme="4" tint="0.39997558519241921"/>
        <name val="Calibri"/>
        <scheme val="minor"/>
      </font>
      <numFmt numFmtId="0" formatCode="General"/>
      <fill>
        <patternFill patternType="none">
          <fgColor indexed="64"/>
          <bgColor indexed="65"/>
        </patternFill>
      </fill>
      <protection locked="0" hidden="0"/>
    </dxf>
    <dxf>
      <font>
        <b val="0"/>
        <i val="0"/>
        <strike val="0"/>
        <condense val="0"/>
        <extend val="0"/>
        <outline val="0"/>
        <shadow val="0"/>
        <u val="none"/>
        <vertAlign val="baseline"/>
        <sz val="8"/>
        <color theme="1"/>
        <name val="Calibri"/>
        <scheme val="minor"/>
      </font>
      <alignment horizontal="center" vertical="bottom" textRotation="0" wrapText="0" indent="0" justifyLastLine="0" shrinkToFit="0" readingOrder="0"/>
      <protection locked="0" hidden="0"/>
    </dxf>
    <dxf>
      <font>
        <b val="0"/>
        <i val="0"/>
        <strike val="0"/>
        <condense val="0"/>
        <extend val="0"/>
        <outline val="0"/>
        <shadow val="0"/>
        <u val="none"/>
        <vertAlign val="baseline"/>
        <sz val="8"/>
        <color theme="1"/>
        <name val="Calibri"/>
        <scheme val="minor"/>
      </font>
      <alignment horizontal="center" vertical="bottom" textRotation="0" wrapText="0" indent="0" justifyLastLine="0" shrinkToFit="0" readingOrder="0"/>
      <protection locked="0" hidden="0"/>
    </dxf>
    <dxf>
      <font>
        <b val="0"/>
        <i val="0"/>
        <strike val="0"/>
        <condense val="0"/>
        <extend val="0"/>
        <outline val="0"/>
        <shadow val="0"/>
        <u val="none"/>
        <vertAlign val="baseline"/>
        <sz val="8"/>
        <color theme="1"/>
        <name val="Calibri"/>
        <scheme val="minor"/>
      </font>
      <alignment horizontal="center" vertical="bottom" textRotation="0" wrapText="0" indent="0" justifyLastLine="0" shrinkToFit="0" readingOrder="0"/>
      <protection locked="0" hidden="0"/>
    </dxf>
    <dxf>
      <font>
        <strike val="0"/>
        <outline val="0"/>
        <shadow val="0"/>
        <u val="none"/>
        <vertAlign val="baseline"/>
        <sz val="8"/>
        <name val="Calibri"/>
        <scheme val="minor"/>
      </font>
      <numFmt numFmtId="2" formatCode="0.00"/>
      <protection locked="0" hidden="0"/>
    </dxf>
    <dxf>
      <font>
        <strike val="0"/>
        <outline val="0"/>
        <shadow val="0"/>
        <u val="none"/>
        <vertAlign val="baseline"/>
        <sz val="8"/>
        <name val="Calibri"/>
        <scheme val="minor"/>
      </font>
      <numFmt numFmtId="2" formatCode="0.00"/>
      <protection locked="0" hidden="0"/>
    </dxf>
    <dxf>
      <font>
        <strike val="0"/>
        <outline val="0"/>
        <shadow val="0"/>
        <u val="none"/>
        <vertAlign val="baseline"/>
        <sz val="8"/>
        <name val="Calibri"/>
        <scheme val="minor"/>
      </font>
      <numFmt numFmtId="2" formatCode="0.00"/>
      <protection locked="0" hidden="0"/>
    </dxf>
    <dxf>
      <font>
        <strike val="0"/>
        <outline val="0"/>
        <shadow val="0"/>
        <u val="none"/>
        <vertAlign val="baseline"/>
        <sz val="8"/>
        <name val="Calibri"/>
        <scheme val="minor"/>
      </font>
      <numFmt numFmtId="164" formatCode="0.000"/>
      <protection locked="0" hidden="0"/>
    </dxf>
    <dxf>
      <font>
        <strike val="0"/>
        <outline val="0"/>
        <shadow val="0"/>
        <u val="none"/>
        <vertAlign val="baseline"/>
        <sz val="8"/>
        <name val="Calibri"/>
        <scheme val="minor"/>
      </font>
      <numFmt numFmtId="164" formatCode="0.000"/>
      <protection locked="0" hidden="0"/>
    </dxf>
    <dxf>
      <font>
        <strike val="0"/>
        <outline val="0"/>
        <shadow val="0"/>
        <u val="none"/>
        <vertAlign val="baseline"/>
        <sz val="8"/>
        <name val="Calibri"/>
        <scheme val="minor"/>
      </font>
      <numFmt numFmtId="164" formatCode="0.000"/>
      <protection locked="0" hidden="0"/>
    </dxf>
    <dxf>
      <font>
        <strike val="0"/>
        <outline val="0"/>
        <shadow val="0"/>
        <u val="none"/>
        <vertAlign val="baseline"/>
        <sz val="8"/>
        <name val="Calibri"/>
        <scheme val="minor"/>
      </font>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alignment horizontal="right" vertical="bottom" textRotation="0" wrapText="0" indent="0" justifyLastLine="0" shrinkToFit="0" readingOrder="0"/>
      <protection locked="0" hidden="0"/>
    </dxf>
    <dxf>
      <font>
        <strike val="0"/>
        <outline val="0"/>
        <shadow val="0"/>
        <u val="none"/>
        <vertAlign val="baseline"/>
        <sz val="8"/>
        <name val="Calibri"/>
        <scheme val="minor"/>
      </font>
      <protection locked="0" hidden="0"/>
    </dxf>
    <dxf>
      <font>
        <strike val="0"/>
        <outline val="0"/>
        <shadow val="0"/>
        <u val="none"/>
        <vertAlign val="baseline"/>
        <sz val="8"/>
        <name val="Calibri"/>
        <scheme val="minor"/>
      </font>
      <numFmt numFmtId="30" formatCode="@"/>
      <protection locked="0" hidden="0"/>
    </dxf>
    <dxf>
      <font>
        <strike val="0"/>
        <outline val="0"/>
        <shadow val="0"/>
        <u val="none"/>
        <vertAlign val="baseline"/>
        <sz val="8"/>
        <name val="Calibri"/>
        <scheme val="minor"/>
      </font>
      <protection locked="0" hidden="0"/>
    </dxf>
    <dxf>
      <border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Calibri"/>
        <scheme val="minor"/>
      </font>
      <protection locked="0" hidden="0"/>
    </dxf>
    <dxf>
      <border outline="0">
        <bottom style="thin">
          <color theme="1"/>
        </bottom>
      </border>
    </dxf>
    <dxf>
      <font>
        <b/>
        <i val="0"/>
        <strike val="0"/>
        <condense val="0"/>
        <extend val="0"/>
        <outline val="0"/>
        <shadow val="0"/>
        <u val="none"/>
        <vertAlign val="baseline"/>
        <sz val="8"/>
        <color theme="0"/>
        <name val="Calibri"/>
        <scheme val="minor"/>
      </font>
      <numFmt numFmtId="171" formatCode="0\ %"/>
      <fill>
        <patternFill patternType="solid">
          <fgColor theme="1"/>
          <bgColor theme="9" tint="-0.249977111117893"/>
        </patternFill>
      </fill>
      <protection locked="0" hidden="0"/>
    </dxf>
    <dxf>
      <fill>
        <patternFill>
          <bgColor rgb="FF00B0F0"/>
        </patternFill>
      </fill>
    </dxf>
    <dxf>
      <fill>
        <patternFill>
          <bgColor rgb="FFFFFF00"/>
        </patternFill>
      </fill>
    </dxf>
    <dxf>
      <font>
        <color theme="5" tint="0.39994506668294322"/>
      </font>
    </dxf>
    <dxf>
      <font>
        <color rgb="FF00B050"/>
      </font>
    </dxf>
    <dxf>
      <fill>
        <patternFill>
          <bgColor rgb="FFFFFF00"/>
        </patternFill>
      </fill>
    </dxf>
    <dxf>
      <font>
        <color theme="5" tint="0.39994506668294322"/>
      </font>
    </dxf>
    <dxf>
      <font>
        <color rgb="FF00B050"/>
      </font>
    </dxf>
    <dxf>
      <fill>
        <patternFill>
          <bgColor rgb="FFFFFF00"/>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2" formatCode="0.00"/>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2" formatCode="0.00"/>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alignment horizontal="general" vertical="bottom" textRotation="0" wrapText="0" indent="0" justifyLastLine="0" shrinkToFit="0" readingOrder="0"/>
    </dxf>
    <dxf>
      <alignment horizontal="right" vertical="bottom" textRotation="0" wrapText="0" relativeIndent="0" justifyLastLine="0" shrinkToFit="0" readingOrder="0"/>
    </dxf>
    <dxf>
      <alignment horizontal="right" vertical="bottom" textRotation="0" wrapText="0" relativeIndent="0" justifyLastLine="0" shrinkToFit="0" readingOrder="0"/>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alignment horizontal="right" vertical="bottom" textRotation="0" wrapText="0" indent="0" justifyLastLine="0" shrinkToFit="0" readingOrder="0"/>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b val="0"/>
        <i val="0"/>
        <strike val="0"/>
        <condense val="0"/>
        <extend val="0"/>
        <outline val="0"/>
        <shadow val="0"/>
        <u val="none"/>
        <vertAlign val="baseline"/>
        <sz val="8"/>
        <color theme="1"/>
        <name val="Calibri"/>
        <family val="2"/>
        <scheme val="minor"/>
      </font>
    </dxf>
    <dxf>
      <font>
        <b val="0"/>
        <i val="0"/>
        <strike val="0"/>
        <condense val="0"/>
        <extend val="0"/>
        <outline val="0"/>
        <shadow val="0"/>
        <u val="none"/>
        <vertAlign val="baseline"/>
        <sz val="8"/>
        <color theme="1"/>
        <name val="Calibri"/>
        <family val="2"/>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b val="0"/>
        <i val="0"/>
        <strike val="0"/>
        <condense val="0"/>
        <extend val="0"/>
        <outline val="0"/>
        <shadow val="0"/>
        <u val="none"/>
        <vertAlign val="baseline"/>
        <sz val="8"/>
        <color theme="1"/>
        <name val="Calibri"/>
        <family val="2"/>
        <scheme val="minor"/>
      </font>
      <alignment horizontal="right" vertical="bottom" textRotation="0" wrapText="0" indent="0" justifyLastLine="0" shrinkToFit="0" readingOrder="0"/>
    </dxf>
    <dxf>
      <font>
        <strike val="0"/>
        <outline val="0"/>
        <shadow val="0"/>
        <u val="none"/>
        <vertAlign val="baseline"/>
        <sz val="8"/>
        <color theme="1"/>
        <name val="Calibri"/>
        <scheme val="minor"/>
      </font>
      <alignment horizontal="right" vertical="bottom" textRotation="0" wrapText="0" indent="0" justifyLastLine="0" shrinkToFit="0" readingOrder="0"/>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numFmt numFmtId="0" formatCode="General"/>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ont>
        <strike val="0"/>
        <outline val="0"/>
        <shadow val="0"/>
        <u val="none"/>
        <vertAlign val="baseline"/>
        <sz val="8"/>
        <color theme="1"/>
        <name val="Calibri"/>
        <scheme val="minor"/>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numFmt numFmtId="0" formatCode="General"/>
    </dxf>
    <dxf>
      <numFmt numFmtId="169" formatCode="0.0%"/>
    </dxf>
    <dxf>
      <border diagonalUp="0" diagonalDown="0">
        <left/>
        <right style="thin">
          <color indexed="64"/>
        </right>
        <top/>
        <bottom/>
        <vertical/>
        <horizontal/>
      </border>
    </dxf>
    <dxf>
      <border diagonalUp="0" diagonalDown="0">
        <left style="thin">
          <color indexed="64"/>
        </left>
        <right/>
        <top/>
        <bottom/>
        <vertical/>
        <horizontal/>
      </border>
    </dxf>
    <dxf>
      <font>
        <strike val="0"/>
        <outline val="0"/>
        <shadow val="0"/>
        <u val="none"/>
        <vertAlign val="baseline"/>
        <sz val="11"/>
        <color theme="0" tint="-0.249977111117893"/>
        <name val="Calibri"/>
        <scheme val="minor"/>
      </font>
      <numFmt numFmtId="170" formatCode="0.00\ %"/>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0" tint="-0.34998626667073579"/>
        <name val="Calibri"/>
        <scheme val="minor"/>
      </font>
      <numFmt numFmtId="170" formatCode="0.00\ %"/>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color rgb="FF92D050"/>
      </font>
    </dxf>
    <dxf>
      <font>
        <color rgb="FF09813B"/>
      </font>
    </dxf>
    <dxf>
      <font>
        <color rgb="FF52AE9B"/>
      </font>
    </dxf>
    <dxf>
      <font>
        <color rgb="FF92D050"/>
      </font>
    </dxf>
    <dxf>
      <font>
        <color rgb="FF09813B"/>
      </font>
    </dxf>
    <dxf>
      <font>
        <color rgb="FF92D050"/>
      </font>
    </dxf>
    <dxf>
      <font>
        <color rgb="FF09813B"/>
      </font>
    </dxf>
    <dxf>
      <font>
        <color theme="5" tint="0.39994506668294322"/>
      </font>
    </dxf>
    <dxf>
      <font>
        <color rgb="FFC00000"/>
      </font>
    </dxf>
    <dxf>
      <font>
        <strike val="0"/>
        <outline val="0"/>
        <shadow val="0"/>
        <u val="none"/>
        <vertAlign val="baseline"/>
        <sz val="8"/>
        <name val="Calibri"/>
        <scheme val="minor"/>
      </font>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b val="0"/>
        <i val="0"/>
        <strike val="0"/>
        <condense val="0"/>
        <extend val="0"/>
        <outline val="0"/>
        <shadow val="0"/>
        <u val="none"/>
        <vertAlign val="baseline"/>
        <sz val="8"/>
        <color rgb="FF00B050"/>
        <name val="Calibri"/>
        <scheme val="minor"/>
      </font>
      <numFmt numFmtId="2" formatCode="0.00"/>
    </dxf>
    <dxf>
      <font>
        <strike val="0"/>
        <outline val="0"/>
        <shadow val="0"/>
        <u val="none"/>
        <vertAlign val="baseline"/>
        <sz val="8"/>
        <color rgb="FF00B050"/>
        <name val="Calibri"/>
        <scheme val="minor"/>
      </font>
      <numFmt numFmtId="170" formatCode="0.00\ %"/>
    </dxf>
    <dxf>
      <font>
        <strike val="0"/>
        <outline val="0"/>
        <shadow val="0"/>
        <u val="none"/>
        <vertAlign val="baseline"/>
        <sz val="8"/>
        <color rgb="FF00B050"/>
        <name val="Calibri"/>
        <scheme val="minor"/>
      </font>
      <numFmt numFmtId="170" formatCode="0.00\ %"/>
    </dxf>
    <dxf>
      <font>
        <strike val="0"/>
        <outline val="0"/>
        <shadow val="0"/>
        <u val="none"/>
        <vertAlign val="baseline"/>
        <sz val="8"/>
        <color rgb="FF00B050"/>
        <name val="Calibri"/>
        <scheme val="minor"/>
      </font>
      <numFmt numFmtId="170" formatCode="0.00\ %"/>
    </dxf>
    <dxf>
      <font>
        <b val="0"/>
        <i val="0"/>
        <strike val="0"/>
        <condense val="0"/>
        <extend val="0"/>
        <outline val="0"/>
        <shadow val="0"/>
        <u val="none"/>
        <vertAlign val="baseline"/>
        <sz val="8"/>
        <color rgb="FF00B050"/>
        <name val="Calibri"/>
        <scheme val="minor"/>
      </font>
      <numFmt numFmtId="2" formatCode="0.00"/>
    </dxf>
    <dxf>
      <font>
        <b val="0"/>
        <i val="0"/>
        <strike val="0"/>
        <condense val="0"/>
        <extend val="0"/>
        <outline val="0"/>
        <shadow val="0"/>
        <u val="none"/>
        <vertAlign val="baseline"/>
        <sz val="8"/>
        <color rgb="FF00B050"/>
        <name val="Calibri"/>
        <scheme val="minor"/>
      </font>
      <numFmt numFmtId="2" formatCode="0.00"/>
    </dxf>
    <dxf>
      <font>
        <strike val="0"/>
        <outline val="0"/>
        <shadow val="0"/>
        <u val="none"/>
        <vertAlign val="baseline"/>
        <sz val="8"/>
        <color rgb="FF00B050"/>
        <name val="Calibri"/>
        <scheme val="minor"/>
      </font>
      <numFmt numFmtId="2" formatCode="0.00"/>
    </dxf>
    <dxf>
      <font>
        <strike val="0"/>
        <outline val="0"/>
        <shadow val="0"/>
        <u val="none"/>
        <vertAlign val="baseline"/>
        <sz val="8"/>
        <color rgb="FF00B050"/>
        <name val="Calibri"/>
        <scheme val="minor"/>
      </font>
      <numFmt numFmtId="2" formatCode="0.00"/>
    </dxf>
    <dxf>
      <font>
        <strike val="0"/>
        <outline val="0"/>
        <shadow val="0"/>
        <u val="none"/>
        <vertAlign val="baseline"/>
        <sz val="8"/>
        <color rgb="FF00B050"/>
        <name val="Calibri"/>
        <scheme val="minor"/>
      </font>
      <numFmt numFmtId="2" formatCode="0.00"/>
    </dxf>
    <dxf>
      <font>
        <strike val="0"/>
        <outline val="0"/>
        <shadow val="0"/>
        <u val="none"/>
        <vertAlign val="baseline"/>
        <sz val="8"/>
        <color theme="3" tint="0.39997558519241921"/>
        <name val="Calibri"/>
        <scheme val="minor"/>
      </font>
      <numFmt numFmtId="165" formatCode="0.0"/>
    </dxf>
    <dxf>
      <font>
        <b val="0"/>
        <i val="0"/>
        <strike val="0"/>
        <condense val="0"/>
        <extend val="0"/>
        <outline val="0"/>
        <shadow val="0"/>
        <u val="none"/>
        <vertAlign val="baseline"/>
        <sz val="8"/>
        <color theme="1"/>
        <name val="Calibri"/>
        <scheme val="minor"/>
      </font>
    </dxf>
    <dxf>
      <font>
        <b val="0"/>
        <i val="0"/>
        <strike val="0"/>
        <condense val="0"/>
        <extend val="0"/>
        <outline val="0"/>
        <shadow val="0"/>
        <u val="none"/>
        <vertAlign val="baseline"/>
        <sz val="8"/>
        <color theme="1"/>
        <name val="Calibri"/>
        <scheme val="minor"/>
      </font>
    </dxf>
    <dxf>
      <font>
        <b val="0"/>
        <i val="0"/>
        <strike val="0"/>
        <condense val="0"/>
        <extend val="0"/>
        <outline val="0"/>
        <shadow val="0"/>
        <u val="none"/>
        <vertAlign val="baseline"/>
        <sz val="8"/>
        <color theme="0" tint="-0.34998626667073579"/>
        <name val="Calibri"/>
        <scheme val="minor"/>
      </font>
      <numFmt numFmtId="170" formatCode="0.00\ %"/>
    </dxf>
    <dxf>
      <font>
        <strike val="0"/>
        <outline val="0"/>
        <shadow val="0"/>
        <u val="none"/>
        <vertAlign val="baseline"/>
        <sz val="8"/>
        <color theme="0" tint="-0.34998626667073579"/>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2" formatCode="0.00"/>
    </dxf>
    <dxf>
      <font>
        <strike val="0"/>
        <outline val="0"/>
        <shadow val="0"/>
        <u val="none"/>
        <vertAlign val="baseline"/>
        <sz val="8"/>
        <name val="Calibri"/>
        <scheme val="minor"/>
      </font>
      <numFmt numFmtId="164" formatCode="0.000"/>
    </dxf>
    <dxf>
      <font>
        <strike val="0"/>
        <outline val="0"/>
        <shadow val="0"/>
        <u val="none"/>
        <vertAlign val="baseline"/>
        <sz val="8"/>
        <name val="Calibri"/>
        <scheme val="minor"/>
      </font>
      <numFmt numFmtId="164" formatCode="0.000"/>
    </dxf>
    <dxf>
      <font>
        <strike val="0"/>
        <outline val="0"/>
        <shadow val="0"/>
        <u val="none"/>
        <vertAlign val="baseline"/>
        <sz val="8"/>
        <name val="Calibri"/>
        <scheme val="minor"/>
      </font>
      <numFmt numFmtId="30" formatCode="@"/>
    </dxf>
    <dxf>
      <font>
        <strike val="0"/>
        <outline val="0"/>
        <shadow val="0"/>
        <u val="none"/>
        <vertAlign val="baseline"/>
        <sz val="8"/>
        <name val="Calibri"/>
        <scheme val="minor"/>
      </font>
      <numFmt numFmtId="30" formatCode="@"/>
      <alignment horizontal="left" vertical="bottom" textRotation="0" wrapText="0" indent="0" justifyLastLine="0" shrinkToFit="0" readingOrder="0"/>
    </dxf>
    <dxf>
      <font>
        <strike val="0"/>
        <outline val="0"/>
        <shadow val="0"/>
        <u val="none"/>
        <vertAlign val="baseline"/>
        <sz val="8"/>
        <name val="Calibri"/>
        <scheme val="minor"/>
      </font>
      <numFmt numFmtId="170" formatCode="0.00\ %"/>
      <alignment horizontal="right" vertical="bottom" textRotation="0" wrapText="0" relativeIndent="0" justifyLastLine="0" shrinkToFit="0" readingOrder="0"/>
      <protection locked="0" hidden="0"/>
    </dxf>
    <dxf>
      <font>
        <strike val="0"/>
        <outline val="0"/>
        <shadow val="0"/>
        <u val="none"/>
        <vertAlign val="baseline"/>
        <sz val="8"/>
        <name val="Calibri"/>
        <scheme val="minor"/>
      </font>
      <alignment horizontal="right" vertical="bottom" textRotation="0" wrapText="0" relativeIndent="0" justifyLastLine="0" shrinkToFit="0" readingOrder="0"/>
      <protection locked="0" hidden="0"/>
    </dxf>
    <dxf>
      <font>
        <strike val="0"/>
        <outline val="0"/>
        <shadow val="0"/>
        <u val="none"/>
        <vertAlign val="baseline"/>
        <sz val="8"/>
        <name val="Calibri"/>
        <scheme val="minor"/>
      </font>
      <numFmt numFmtId="170" formatCode="0.00\ %"/>
      <alignment horizontal="right" vertical="bottom" textRotation="0" wrapText="0" relativeIndent="0" justifyLastLine="0" shrinkToFit="0" readingOrder="0"/>
      <protection locked="0" hidden="0"/>
    </dxf>
    <dxf>
      <font>
        <strike val="0"/>
        <outline val="0"/>
        <shadow val="0"/>
        <u val="none"/>
        <vertAlign val="baseline"/>
        <sz val="8"/>
        <name val="Calibri"/>
        <scheme val="minor"/>
      </font>
      <alignment horizontal="right" vertical="bottom" textRotation="0" wrapText="0" relativeIndent="0" justifyLastLine="0" shrinkToFit="0" readingOrder="0"/>
      <protection locked="0" hidden="0"/>
    </dxf>
    <dxf>
      <font>
        <strike val="0"/>
        <outline val="0"/>
        <shadow val="0"/>
        <u val="none"/>
        <vertAlign val="baseline"/>
        <sz val="8"/>
        <name val="Calibri"/>
        <scheme val="minor"/>
      </font>
      <protection locked="0" hidden="0"/>
    </dxf>
    <dxf>
      <font>
        <strike val="0"/>
        <outline val="0"/>
        <shadow val="0"/>
        <u val="none"/>
        <vertAlign val="baseline"/>
        <sz val="8"/>
        <name val="Calibri"/>
        <scheme val="minor"/>
      </font>
      <numFmt numFmtId="30" formatCode="@"/>
    </dxf>
    <dxf>
      <font>
        <strike val="0"/>
        <outline val="0"/>
        <shadow val="0"/>
        <u val="none"/>
        <vertAlign val="baseline"/>
        <sz val="8"/>
        <name val="Calibri"/>
        <scheme val="minor"/>
      </font>
    </dxf>
    <dxf>
      <font>
        <strike val="0"/>
        <outline val="0"/>
        <shadow val="0"/>
        <u val="none"/>
        <vertAlign val="baseline"/>
        <sz val="8"/>
        <name val="Calibri"/>
        <scheme val="minor"/>
      </font>
    </dxf>
    <dxf>
      <font>
        <strike val="0"/>
        <outline val="0"/>
        <shadow val="0"/>
        <u val="none"/>
        <vertAlign val="baseline"/>
        <sz val="8"/>
        <name val="Calibri"/>
        <scheme val="minor"/>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5" tint="0.39994506668294322"/>
      </font>
    </dxf>
    <dxf>
      <fill>
        <patternFill>
          <bgColor rgb="FFFFFF00"/>
        </patternFill>
      </fill>
    </dxf>
    <dxf>
      <font>
        <color theme="5" tint="0.39994506668294322"/>
      </font>
    </dxf>
    <dxf>
      <fill>
        <patternFill>
          <bgColor rgb="FFFFFF00"/>
        </patternFill>
      </fill>
    </dxf>
    <dxf>
      <fill>
        <patternFill patternType="solid">
          <fgColor rgb="FFB8CCE4"/>
          <bgColor rgb="FFB8CCE4"/>
        </patternFill>
      </fill>
    </dxf>
    <dxf>
      <fill>
        <patternFill patternType="solid">
          <fgColor rgb="FFB8CCE4"/>
          <bgColor rgb="FFB8CCE4"/>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font>
        <b/>
        <color rgb="FFFFFFFF"/>
      </font>
      <fill>
        <patternFill patternType="solid">
          <fgColor rgb="FF4F81BD"/>
          <bgColor rgb="FF4F81BD"/>
        </patternFill>
      </fill>
      <border>
        <top style="thick">
          <color rgb="FFFFFFFF"/>
        </top>
      </border>
    </dxf>
    <dxf>
      <font>
        <b/>
        <color rgb="FFFFFFFF"/>
      </font>
      <fill>
        <patternFill patternType="solid">
          <fgColor rgb="FF4F81BD"/>
          <bgColor rgb="FF4F81BD"/>
        </patternFill>
      </fill>
      <border>
        <bottom style="thick">
          <color rgb="FFFFFFFF"/>
        </bottom>
      </border>
    </dxf>
    <dxf>
      <font>
        <color rgb="FF000000"/>
      </font>
      <fill>
        <patternFill patternType="solid">
          <fgColor rgb="FFDBE5F1"/>
          <bgColor rgb="FFDBE5F1"/>
        </patternFill>
      </fill>
      <border>
        <vertical style="thin">
          <color rgb="FFFFFFFF"/>
        </vertical>
        <horizontal style="thin">
          <color rgb="FFFFFFFF"/>
        </horizontal>
      </border>
    </dxf>
    <dxf>
      <fill>
        <patternFill patternType="solid">
          <fgColor rgb="FFDBE5F1"/>
          <bgColor rgb="FFDBE5F1"/>
        </patternFill>
      </fill>
    </dxf>
    <dxf>
      <fill>
        <patternFill patternType="solid">
          <fgColor rgb="FFDBE5F1"/>
          <bgColor rgb="FFDBE5F1"/>
        </patternFill>
      </fill>
    </dxf>
    <dxf>
      <font>
        <b/>
        <color rgb="FF000000"/>
      </font>
    </dxf>
    <dxf>
      <font>
        <b/>
        <color rgb="FF000000"/>
      </font>
    </dxf>
    <dxf>
      <font>
        <b/>
        <color rgb="FF000000"/>
      </font>
      <border>
        <top style="double">
          <color rgb="FF4F81BD"/>
        </top>
      </border>
    </dxf>
    <dxf>
      <font>
        <b/>
        <color rgb="FFFFFFFF"/>
      </font>
      <fill>
        <patternFill patternType="solid">
          <fgColor rgb="FF4F81BD"/>
          <bgColor rgb="FF4F81BD"/>
        </patternFill>
      </fill>
    </dxf>
    <dxf>
      <font>
        <color rgb="FF000000"/>
      </font>
      <border>
        <left style="thin">
          <color rgb="FF95B3D7"/>
        </left>
        <right style="thin">
          <color rgb="FF95B3D7"/>
        </right>
        <top style="thin">
          <color rgb="FF95B3D7"/>
        </top>
        <bottom style="thin">
          <color rgb="FF95B3D7"/>
        </bottom>
        <horizontal style="thin">
          <color rgb="FF95B3D7"/>
        </horizontal>
      </border>
    </dxf>
  </dxfs>
  <tableStyles count="3" defaultTableStyle="TableStyleMedium2" defaultPivotStyle="PivotStyleLight16">
    <tableStyle name="Pivottabellformat 1" table="0" count="0" xr9:uid="{00000000-0011-0000-FFFF-FFFF00000000}"/>
    <tableStyle name="TableStyleMedium2 2" pivot="0" count="7" xr9:uid="{00000000-0011-0000-FFFF-FFFF01000000}">
      <tableStyleElement type="wholeTable" dxfId="267"/>
      <tableStyleElement type="headerRow" dxfId="266"/>
      <tableStyleElement type="totalRow" dxfId="265"/>
      <tableStyleElement type="firstColumn" dxfId="264"/>
      <tableStyleElement type="lastColumn" dxfId="263"/>
      <tableStyleElement type="firstRowStripe" dxfId="262"/>
      <tableStyleElement type="firstColumnStripe" dxfId="261"/>
    </tableStyle>
    <tableStyle name="TableStyleMedium9 2" pivot="0" count="7" xr9:uid="{00000000-0011-0000-FFFF-FFFF02000000}">
      <tableStyleElement type="wholeTable" dxfId="260"/>
      <tableStyleElement type="headerRow" dxfId="259"/>
      <tableStyleElement type="totalRow" dxfId="258"/>
      <tableStyleElement type="firstColumn" dxfId="257"/>
      <tableStyleElement type="lastColumn" dxfId="256"/>
      <tableStyleElement type="firstRowStripe" dxfId="255"/>
      <tableStyleElement type="firstColumnStripe" dxfId="254"/>
    </tableStyle>
  </tableStyles>
  <colors>
    <mruColors>
      <color rgb="FF52AE9B"/>
      <color rgb="FF4BFE02"/>
      <color rgb="FF09813B"/>
      <color rgb="FFE7B9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MB profitt utvikling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Graf!$E$1</c:f>
              <c:strCache>
                <c:ptCount val="1"/>
                <c:pt idx="0">
                  <c:v>Cum Sum</c:v>
                </c:pt>
              </c:strCache>
            </c:strRef>
          </c:tx>
          <c:spPr>
            <a:ln w="28575" cap="rnd">
              <a:solidFill>
                <a:schemeClr val="accent1"/>
              </a:solidFill>
              <a:round/>
            </a:ln>
            <a:effectLst/>
          </c:spPr>
          <c:marker>
            <c:symbol val="none"/>
          </c:marker>
          <c:cat>
            <c:numRef>
              <c:f>Graf!$A$2:$A$828</c:f>
              <c:numCache>
                <c:formatCode>m/d/yy</c:formatCode>
                <c:ptCount val="827"/>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numCache>
            </c:numRef>
          </c:cat>
          <c:val>
            <c:numRef>
              <c:f>Graf!$E$2:$E$828</c:f>
              <c:numCache>
                <c:formatCode>General</c:formatCode>
                <c:ptCount val="827"/>
                <c:pt idx="0">
                  <c:v>168.91219999999998</c:v>
                </c:pt>
                <c:pt idx="1">
                  <c:v>168.91219999999998</c:v>
                </c:pt>
                <c:pt idx="2">
                  <c:v>168.91219999999998</c:v>
                </c:pt>
                <c:pt idx="3">
                  <c:v>168.91219999999998</c:v>
                </c:pt>
                <c:pt idx="4">
                  <c:v>708.91219999999998</c:v>
                </c:pt>
                <c:pt idx="5">
                  <c:v>862.41219999999998</c:v>
                </c:pt>
                <c:pt idx="6">
                  <c:v>862.41219999999998</c:v>
                </c:pt>
                <c:pt idx="7">
                  <c:v>862.41219999999998</c:v>
                </c:pt>
                <c:pt idx="8">
                  <c:v>862.41219999999998</c:v>
                </c:pt>
                <c:pt idx="9">
                  <c:v>862.41219999999998</c:v>
                </c:pt>
                <c:pt idx="10">
                  <c:v>862.41219999999998</c:v>
                </c:pt>
                <c:pt idx="11">
                  <c:v>862.41219999999998</c:v>
                </c:pt>
                <c:pt idx="12">
                  <c:v>862.41219999999998</c:v>
                </c:pt>
                <c:pt idx="13">
                  <c:v>862.41219999999998</c:v>
                </c:pt>
                <c:pt idx="14">
                  <c:v>862.41219999999998</c:v>
                </c:pt>
                <c:pt idx="15">
                  <c:v>862.41219999999998</c:v>
                </c:pt>
                <c:pt idx="16">
                  <c:v>862.41219999999998</c:v>
                </c:pt>
                <c:pt idx="17">
                  <c:v>862.41219999999998</c:v>
                </c:pt>
                <c:pt idx="18">
                  <c:v>862.41219999999998</c:v>
                </c:pt>
                <c:pt idx="19">
                  <c:v>862.41219999999998</c:v>
                </c:pt>
                <c:pt idx="20">
                  <c:v>862.41219999999998</c:v>
                </c:pt>
                <c:pt idx="21">
                  <c:v>862.41219999999998</c:v>
                </c:pt>
                <c:pt idx="22">
                  <c:v>862.41219999999998</c:v>
                </c:pt>
                <c:pt idx="23">
                  <c:v>862.41219999999998</c:v>
                </c:pt>
                <c:pt idx="24">
                  <c:v>862.41219999999998</c:v>
                </c:pt>
                <c:pt idx="25">
                  <c:v>862.41219999999998</c:v>
                </c:pt>
                <c:pt idx="26">
                  <c:v>862.41219999999998</c:v>
                </c:pt>
                <c:pt idx="27">
                  <c:v>862.41219999999998</c:v>
                </c:pt>
                <c:pt idx="28">
                  <c:v>862.41219999999998</c:v>
                </c:pt>
                <c:pt idx="29">
                  <c:v>862.41219999999998</c:v>
                </c:pt>
                <c:pt idx="30">
                  <c:v>862.41219999999998</c:v>
                </c:pt>
                <c:pt idx="31">
                  <c:v>862.41219999999998</c:v>
                </c:pt>
                <c:pt idx="32">
                  <c:v>862.41219999999998</c:v>
                </c:pt>
                <c:pt idx="33">
                  <c:v>862.41219999999998</c:v>
                </c:pt>
                <c:pt idx="34">
                  <c:v>862.41219999999998</c:v>
                </c:pt>
                <c:pt idx="35">
                  <c:v>862.41219999999998</c:v>
                </c:pt>
                <c:pt idx="36">
                  <c:v>862.41219999999998</c:v>
                </c:pt>
                <c:pt idx="37">
                  <c:v>862.41219999999998</c:v>
                </c:pt>
                <c:pt idx="38">
                  <c:v>862.41219999999998</c:v>
                </c:pt>
                <c:pt idx="39">
                  <c:v>862.41219999999998</c:v>
                </c:pt>
                <c:pt idx="40">
                  <c:v>862.41219999999998</c:v>
                </c:pt>
                <c:pt idx="41">
                  <c:v>862.41219999999998</c:v>
                </c:pt>
                <c:pt idx="42">
                  <c:v>862.41219999999998</c:v>
                </c:pt>
                <c:pt idx="43">
                  <c:v>862.41219999999998</c:v>
                </c:pt>
                <c:pt idx="44">
                  <c:v>862.41219999999998</c:v>
                </c:pt>
                <c:pt idx="45">
                  <c:v>862.41219999999998</c:v>
                </c:pt>
                <c:pt idx="46">
                  <c:v>862.41219999999998</c:v>
                </c:pt>
                <c:pt idx="47">
                  <c:v>862.41219999999998</c:v>
                </c:pt>
                <c:pt idx="48">
                  <c:v>862.41219999999998</c:v>
                </c:pt>
                <c:pt idx="49">
                  <c:v>862.41219999999998</c:v>
                </c:pt>
                <c:pt idx="50">
                  <c:v>862.41219999999998</c:v>
                </c:pt>
                <c:pt idx="51">
                  <c:v>862.41219999999998</c:v>
                </c:pt>
                <c:pt idx="52">
                  <c:v>862.41219999999998</c:v>
                </c:pt>
                <c:pt idx="53">
                  <c:v>862.41219999999998</c:v>
                </c:pt>
                <c:pt idx="54">
                  <c:v>862.41219999999998</c:v>
                </c:pt>
                <c:pt idx="55">
                  <c:v>862.41219999999998</c:v>
                </c:pt>
                <c:pt idx="56">
                  <c:v>862.41219999999998</c:v>
                </c:pt>
                <c:pt idx="57">
                  <c:v>862.41219999999998</c:v>
                </c:pt>
                <c:pt idx="58">
                  <c:v>862.41219999999998</c:v>
                </c:pt>
                <c:pt idx="59">
                  <c:v>862.41219999999998</c:v>
                </c:pt>
                <c:pt idx="60">
                  <c:v>862.41219999999998</c:v>
                </c:pt>
                <c:pt idx="61">
                  <c:v>862.41219999999998</c:v>
                </c:pt>
                <c:pt idx="62">
                  <c:v>862.41219999999998</c:v>
                </c:pt>
                <c:pt idx="63">
                  <c:v>862.41219999999998</c:v>
                </c:pt>
                <c:pt idx="64">
                  <c:v>862.41219999999998</c:v>
                </c:pt>
                <c:pt idx="65">
                  <c:v>862.41219999999998</c:v>
                </c:pt>
                <c:pt idx="66">
                  <c:v>862.41219999999998</c:v>
                </c:pt>
                <c:pt idx="67">
                  <c:v>862.41219999999998</c:v>
                </c:pt>
                <c:pt idx="68">
                  <c:v>862.41219999999998</c:v>
                </c:pt>
                <c:pt idx="69">
                  <c:v>862.41219999999998</c:v>
                </c:pt>
                <c:pt idx="70">
                  <c:v>862.41219999999998</c:v>
                </c:pt>
                <c:pt idx="71">
                  <c:v>862.41219999999998</c:v>
                </c:pt>
                <c:pt idx="72">
                  <c:v>862.41219999999998</c:v>
                </c:pt>
                <c:pt idx="73">
                  <c:v>862.41219999999998</c:v>
                </c:pt>
                <c:pt idx="74">
                  <c:v>862.41219999999998</c:v>
                </c:pt>
                <c:pt idx="75">
                  <c:v>862.41219999999998</c:v>
                </c:pt>
                <c:pt idx="76">
                  <c:v>862.41219999999998</c:v>
                </c:pt>
                <c:pt idx="77">
                  <c:v>862.41219999999998</c:v>
                </c:pt>
                <c:pt idx="78">
                  <c:v>862.41219999999998</c:v>
                </c:pt>
                <c:pt idx="79">
                  <c:v>862.41219999999998</c:v>
                </c:pt>
                <c:pt idx="80">
                  <c:v>862.41219999999998</c:v>
                </c:pt>
                <c:pt idx="81">
                  <c:v>862.41219999999998</c:v>
                </c:pt>
                <c:pt idx="82">
                  <c:v>862.41219999999998</c:v>
                </c:pt>
                <c:pt idx="83">
                  <c:v>862.41219999999998</c:v>
                </c:pt>
                <c:pt idx="84">
                  <c:v>862.41219999999998</c:v>
                </c:pt>
                <c:pt idx="85">
                  <c:v>862.41219999999998</c:v>
                </c:pt>
                <c:pt idx="86">
                  <c:v>862.41219999999998</c:v>
                </c:pt>
                <c:pt idx="87">
                  <c:v>862.41219999999998</c:v>
                </c:pt>
                <c:pt idx="88">
                  <c:v>862.41219999999998</c:v>
                </c:pt>
                <c:pt idx="89">
                  <c:v>862.41219999999998</c:v>
                </c:pt>
                <c:pt idx="90">
                  <c:v>862.41219999999998</c:v>
                </c:pt>
                <c:pt idx="91">
                  <c:v>862.41219999999998</c:v>
                </c:pt>
                <c:pt idx="92">
                  <c:v>862.41219999999998</c:v>
                </c:pt>
                <c:pt idx="93">
                  <c:v>862.41219999999998</c:v>
                </c:pt>
                <c:pt idx="94">
                  <c:v>862.41219999999998</c:v>
                </c:pt>
                <c:pt idx="95">
                  <c:v>862.41219999999998</c:v>
                </c:pt>
                <c:pt idx="96">
                  <c:v>862.41219999999998</c:v>
                </c:pt>
                <c:pt idx="97">
                  <c:v>862.41219999999998</c:v>
                </c:pt>
                <c:pt idx="98">
                  <c:v>862.41219999999998</c:v>
                </c:pt>
                <c:pt idx="99">
                  <c:v>862.41219999999998</c:v>
                </c:pt>
                <c:pt idx="100">
                  <c:v>862.41219999999998</c:v>
                </c:pt>
                <c:pt idx="101">
                  <c:v>862.41219999999998</c:v>
                </c:pt>
                <c:pt idx="102">
                  <c:v>862.41219999999998</c:v>
                </c:pt>
                <c:pt idx="103">
                  <c:v>862.41219999999998</c:v>
                </c:pt>
                <c:pt idx="104">
                  <c:v>862.41219999999998</c:v>
                </c:pt>
                <c:pt idx="105">
                  <c:v>862.41219999999998</c:v>
                </c:pt>
                <c:pt idx="106">
                  <c:v>862.41219999999998</c:v>
                </c:pt>
                <c:pt idx="107">
                  <c:v>862.41219999999998</c:v>
                </c:pt>
                <c:pt idx="108">
                  <c:v>862.41219999999998</c:v>
                </c:pt>
                <c:pt idx="109">
                  <c:v>862.41219999999998</c:v>
                </c:pt>
                <c:pt idx="110">
                  <c:v>862.41219999999998</c:v>
                </c:pt>
                <c:pt idx="111">
                  <c:v>862.41219999999998</c:v>
                </c:pt>
                <c:pt idx="112">
                  <c:v>862.41219999999998</c:v>
                </c:pt>
                <c:pt idx="113">
                  <c:v>862.41219999999998</c:v>
                </c:pt>
                <c:pt idx="114">
                  <c:v>862.41219999999998</c:v>
                </c:pt>
                <c:pt idx="115">
                  <c:v>862.41219999999998</c:v>
                </c:pt>
                <c:pt idx="116">
                  <c:v>862.41219999999998</c:v>
                </c:pt>
                <c:pt idx="117">
                  <c:v>862.41219999999998</c:v>
                </c:pt>
                <c:pt idx="118">
                  <c:v>862.41219999999998</c:v>
                </c:pt>
                <c:pt idx="119">
                  <c:v>862.41219999999998</c:v>
                </c:pt>
                <c:pt idx="120">
                  <c:v>862.41219999999998</c:v>
                </c:pt>
                <c:pt idx="121">
                  <c:v>862.41219999999998</c:v>
                </c:pt>
                <c:pt idx="122">
                  <c:v>862.41219999999998</c:v>
                </c:pt>
                <c:pt idx="123">
                  <c:v>862.41219999999998</c:v>
                </c:pt>
                <c:pt idx="124">
                  <c:v>862.41219999999998</c:v>
                </c:pt>
                <c:pt idx="125">
                  <c:v>862.41219999999998</c:v>
                </c:pt>
                <c:pt idx="126">
                  <c:v>862.41219999999998</c:v>
                </c:pt>
                <c:pt idx="127">
                  <c:v>862.41219999999998</c:v>
                </c:pt>
                <c:pt idx="128">
                  <c:v>862.41219999999998</c:v>
                </c:pt>
                <c:pt idx="129">
                  <c:v>862.41219999999998</c:v>
                </c:pt>
                <c:pt idx="130">
                  <c:v>862.41219999999998</c:v>
                </c:pt>
                <c:pt idx="131">
                  <c:v>862.41219999999998</c:v>
                </c:pt>
                <c:pt idx="132">
                  <c:v>862.41219999999998</c:v>
                </c:pt>
                <c:pt idx="133">
                  <c:v>862.41219999999998</c:v>
                </c:pt>
                <c:pt idx="134">
                  <c:v>862.41219999999998</c:v>
                </c:pt>
                <c:pt idx="135">
                  <c:v>862.41219999999998</c:v>
                </c:pt>
                <c:pt idx="136">
                  <c:v>862.41219999999998</c:v>
                </c:pt>
                <c:pt idx="137">
                  <c:v>862.41219999999998</c:v>
                </c:pt>
                <c:pt idx="138">
                  <c:v>862.41219999999998</c:v>
                </c:pt>
                <c:pt idx="139">
                  <c:v>862.41219999999998</c:v>
                </c:pt>
                <c:pt idx="140">
                  <c:v>862.41219999999998</c:v>
                </c:pt>
                <c:pt idx="141">
                  <c:v>862.41219999999998</c:v>
                </c:pt>
                <c:pt idx="142">
                  <c:v>862.41219999999998</c:v>
                </c:pt>
                <c:pt idx="143">
                  <c:v>862.41219999999998</c:v>
                </c:pt>
                <c:pt idx="144">
                  <c:v>862.41219999999998</c:v>
                </c:pt>
                <c:pt idx="145">
                  <c:v>862.41219999999998</c:v>
                </c:pt>
                <c:pt idx="146">
                  <c:v>862.41219999999998</c:v>
                </c:pt>
                <c:pt idx="147">
                  <c:v>862.41219999999998</c:v>
                </c:pt>
                <c:pt idx="148">
                  <c:v>862.41219999999998</c:v>
                </c:pt>
                <c:pt idx="149">
                  <c:v>862.41219999999998</c:v>
                </c:pt>
                <c:pt idx="150">
                  <c:v>862.41219999999998</c:v>
                </c:pt>
                <c:pt idx="151">
                  <c:v>862.41219999999998</c:v>
                </c:pt>
                <c:pt idx="152">
                  <c:v>862.41219999999998</c:v>
                </c:pt>
                <c:pt idx="153">
                  <c:v>862.41219999999998</c:v>
                </c:pt>
                <c:pt idx="154">
                  <c:v>862.41219999999998</c:v>
                </c:pt>
                <c:pt idx="155">
                  <c:v>862.41219999999998</c:v>
                </c:pt>
                <c:pt idx="156">
                  <c:v>862.41219999999998</c:v>
                </c:pt>
                <c:pt idx="157">
                  <c:v>862.41219999999998</c:v>
                </c:pt>
                <c:pt idx="158">
                  <c:v>862.41219999999998</c:v>
                </c:pt>
                <c:pt idx="159">
                  <c:v>862.41219999999998</c:v>
                </c:pt>
                <c:pt idx="160">
                  <c:v>862.41219999999998</c:v>
                </c:pt>
                <c:pt idx="161">
                  <c:v>862.41219999999998</c:v>
                </c:pt>
                <c:pt idx="162">
                  <c:v>862.41219999999998</c:v>
                </c:pt>
                <c:pt idx="163">
                  <c:v>862.41219999999998</c:v>
                </c:pt>
                <c:pt idx="164">
                  <c:v>862.41219999999998</c:v>
                </c:pt>
                <c:pt idx="165">
                  <c:v>862.41219999999998</c:v>
                </c:pt>
                <c:pt idx="166">
                  <c:v>862.41219999999998</c:v>
                </c:pt>
                <c:pt idx="167">
                  <c:v>862.41219999999998</c:v>
                </c:pt>
                <c:pt idx="168">
                  <c:v>862.41219999999998</c:v>
                </c:pt>
                <c:pt idx="169">
                  <c:v>862.41219999999998</c:v>
                </c:pt>
                <c:pt idx="170">
                  <c:v>862.41219999999998</c:v>
                </c:pt>
                <c:pt idx="171">
                  <c:v>862.41219999999998</c:v>
                </c:pt>
                <c:pt idx="172">
                  <c:v>862.41219999999998</c:v>
                </c:pt>
                <c:pt idx="173">
                  <c:v>862.41219999999998</c:v>
                </c:pt>
                <c:pt idx="174">
                  <c:v>862.41219999999998</c:v>
                </c:pt>
                <c:pt idx="175">
                  <c:v>862.41219999999998</c:v>
                </c:pt>
                <c:pt idx="176">
                  <c:v>862.41219999999998</c:v>
                </c:pt>
                <c:pt idx="177">
                  <c:v>862.41219999999998</c:v>
                </c:pt>
                <c:pt idx="178">
                  <c:v>862.41219999999998</c:v>
                </c:pt>
                <c:pt idx="179">
                  <c:v>862.41219999999998</c:v>
                </c:pt>
                <c:pt idx="180">
                  <c:v>862.41219999999998</c:v>
                </c:pt>
                <c:pt idx="181">
                  <c:v>862.41219999999998</c:v>
                </c:pt>
                <c:pt idx="182">
                  <c:v>862.41219999999998</c:v>
                </c:pt>
                <c:pt idx="183">
                  <c:v>862.41219999999998</c:v>
                </c:pt>
                <c:pt idx="184">
                  <c:v>862.41219999999998</c:v>
                </c:pt>
                <c:pt idx="185">
                  <c:v>862.41219999999998</c:v>
                </c:pt>
                <c:pt idx="186">
                  <c:v>862.41219999999998</c:v>
                </c:pt>
                <c:pt idx="187">
                  <c:v>862.41219999999998</c:v>
                </c:pt>
                <c:pt idx="188">
                  <c:v>862.41219999999998</c:v>
                </c:pt>
                <c:pt idx="189">
                  <c:v>862.41219999999998</c:v>
                </c:pt>
                <c:pt idx="190">
                  <c:v>862.41219999999998</c:v>
                </c:pt>
                <c:pt idx="191">
                  <c:v>862.41219999999998</c:v>
                </c:pt>
                <c:pt idx="192">
                  <c:v>862.41219999999998</c:v>
                </c:pt>
                <c:pt idx="193">
                  <c:v>862.41219999999998</c:v>
                </c:pt>
                <c:pt idx="194">
                  <c:v>862.41219999999998</c:v>
                </c:pt>
                <c:pt idx="195">
                  <c:v>862.41219999999998</c:v>
                </c:pt>
                <c:pt idx="196">
                  <c:v>862.41219999999998</c:v>
                </c:pt>
                <c:pt idx="197">
                  <c:v>862.41219999999998</c:v>
                </c:pt>
                <c:pt idx="198">
                  <c:v>862.41219999999998</c:v>
                </c:pt>
                <c:pt idx="199">
                  <c:v>862.41219999999998</c:v>
                </c:pt>
                <c:pt idx="200">
                  <c:v>862.41219999999998</c:v>
                </c:pt>
                <c:pt idx="201">
                  <c:v>862.41219999999998</c:v>
                </c:pt>
                <c:pt idx="202">
                  <c:v>862.41219999999998</c:v>
                </c:pt>
                <c:pt idx="203">
                  <c:v>862.41219999999998</c:v>
                </c:pt>
                <c:pt idx="204">
                  <c:v>862.41219999999998</c:v>
                </c:pt>
                <c:pt idx="205">
                  <c:v>862.41219999999998</c:v>
                </c:pt>
                <c:pt idx="206">
                  <c:v>862.41219999999998</c:v>
                </c:pt>
                <c:pt idx="207">
                  <c:v>862.41219999999998</c:v>
                </c:pt>
                <c:pt idx="208">
                  <c:v>862.41219999999998</c:v>
                </c:pt>
                <c:pt idx="209">
                  <c:v>862.41219999999998</c:v>
                </c:pt>
                <c:pt idx="210">
                  <c:v>862.41219999999998</c:v>
                </c:pt>
                <c:pt idx="211">
                  <c:v>862.41219999999998</c:v>
                </c:pt>
                <c:pt idx="212">
                  <c:v>862.41219999999998</c:v>
                </c:pt>
                <c:pt idx="213">
                  <c:v>862.41219999999998</c:v>
                </c:pt>
                <c:pt idx="214">
                  <c:v>862.41219999999998</c:v>
                </c:pt>
                <c:pt idx="215">
                  <c:v>862.41219999999998</c:v>
                </c:pt>
                <c:pt idx="216">
                  <c:v>862.41219999999998</c:v>
                </c:pt>
                <c:pt idx="217">
                  <c:v>862.41219999999998</c:v>
                </c:pt>
                <c:pt idx="218">
                  <c:v>862.41219999999998</c:v>
                </c:pt>
                <c:pt idx="219">
                  <c:v>862.41219999999998</c:v>
                </c:pt>
                <c:pt idx="220">
                  <c:v>862.41219999999998</c:v>
                </c:pt>
                <c:pt idx="221">
                  <c:v>862.41219999999998</c:v>
                </c:pt>
                <c:pt idx="222">
                  <c:v>862.41219999999998</c:v>
                </c:pt>
                <c:pt idx="223">
                  <c:v>862.41219999999998</c:v>
                </c:pt>
                <c:pt idx="224">
                  <c:v>862.41219999999998</c:v>
                </c:pt>
                <c:pt idx="225">
                  <c:v>862.41219999999998</c:v>
                </c:pt>
                <c:pt idx="226">
                  <c:v>862.41219999999998</c:v>
                </c:pt>
                <c:pt idx="227">
                  <c:v>862.41219999999998</c:v>
                </c:pt>
                <c:pt idx="228">
                  <c:v>862.41219999999998</c:v>
                </c:pt>
                <c:pt idx="229">
                  <c:v>862.41219999999998</c:v>
                </c:pt>
                <c:pt idx="230">
                  <c:v>862.41219999999998</c:v>
                </c:pt>
                <c:pt idx="231">
                  <c:v>862.41219999999998</c:v>
                </c:pt>
                <c:pt idx="232">
                  <c:v>862.41219999999998</c:v>
                </c:pt>
                <c:pt idx="233">
                  <c:v>862.41219999999998</c:v>
                </c:pt>
                <c:pt idx="234">
                  <c:v>862.41219999999998</c:v>
                </c:pt>
                <c:pt idx="235">
                  <c:v>862.41219999999998</c:v>
                </c:pt>
                <c:pt idx="236">
                  <c:v>862.41219999999998</c:v>
                </c:pt>
                <c:pt idx="237">
                  <c:v>862.41219999999998</c:v>
                </c:pt>
                <c:pt idx="238">
                  <c:v>862.41219999999998</c:v>
                </c:pt>
                <c:pt idx="239">
                  <c:v>862.41219999999998</c:v>
                </c:pt>
                <c:pt idx="240">
                  <c:v>862.41219999999998</c:v>
                </c:pt>
                <c:pt idx="241">
                  <c:v>862.41219999999998</c:v>
                </c:pt>
                <c:pt idx="242">
                  <c:v>862.41219999999998</c:v>
                </c:pt>
                <c:pt idx="243">
                  <c:v>862.41219999999998</c:v>
                </c:pt>
                <c:pt idx="244">
                  <c:v>862.41219999999998</c:v>
                </c:pt>
                <c:pt idx="245">
                  <c:v>862.41219999999998</c:v>
                </c:pt>
                <c:pt idx="246">
                  <c:v>862.41219999999998</c:v>
                </c:pt>
                <c:pt idx="247">
                  <c:v>862.41219999999998</c:v>
                </c:pt>
                <c:pt idx="248">
                  <c:v>862.41219999999998</c:v>
                </c:pt>
                <c:pt idx="249">
                  <c:v>862.41219999999998</c:v>
                </c:pt>
                <c:pt idx="250">
                  <c:v>862.41219999999998</c:v>
                </c:pt>
                <c:pt idx="251">
                  <c:v>862.41219999999998</c:v>
                </c:pt>
                <c:pt idx="252">
                  <c:v>862.41219999999998</c:v>
                </c:pt>
                <c:pt idx="253">
                  <c:v>862.41219999999998</c:v>
                </c:pt>
                <c:pt idx="254">
                  <c:v>862.41219999999998</c:v>
                </c:pt>
                <c:pt idx="255">
                  <c:v>862.41219999999998</c:v>
                </c:pt>
                <c:pt idx="256">
                  <c:v>862.41219999999998</c:v>
                </c:pt>
                <c:pt idx="257">
                  <c:v>862.41219999999998</c:v>
                </c:pt>
                <c:pt idx="258">
                  <c:v>862.41219999999998</c:v>
                </c:pt>
                <c:pt idx="259">
                  <c:v>862.41219999999998</c:v>
                </c:pt>
                <c:pt idx="260">
                  <c:v>862.41219999999998</c:v>
                </c:pt>
                <c:pt idx="261">
                  <c:v>862.41219999999998</c:v>
                </c:pt>
                <c:pt idx="262">
                  <c:v>862.41219999999998</c:v>
                </c:pt>
                <c:pt idx="263">
                  <c:v>862.41219999999998</c:v>
                </c:pt>
                <c:pt idx="264">
                  <c:v>862.41219999999998</c:v>
                </c:pt>
                <c:pt idx="265">
                  <c:v>862.41219999999998</c:v>
                </c:pt>
                <c:pt idx="266">
                  <c:v>862.41219999999998</c:v>
                </c:pt>
                <c:pt idx="267">
                  <c:v>862.41219999999998</c:v>
                </c:pt>
                <c:pt idx="268">
                  <c:v>862.41219999999998</c:v>
                </c:pt>
                <c:pt idx="269">
                  <c:v>862.41219999999998</c:v>
                </c:pt>
                <c:pt idx="270">
                  <c:v>862.41219999999998</c:v>
                </c:pt>
                <c:pt idx="271">
                  <c:v>862.41219999999998</c:v>
                </c:pt>
                <c:pt idx="272">
                  <c:v>862.41219999999998</c:v>
                </c:pt>
                <c:pt idx="273">
                  <c:v>862.41219999999998</c:v>
                </c:pt>
                <c:pt idx="274">
                  <c:v>862.41219999999998</c:v>
                </c:pt>
                <c:pt idx="275">
                  <c:v>862.41219999999998</c:v>
                </c:pt>
                <c:pt idx="276">
                  <c:v>862.41219999999998</c:v>
                </c:pt>
                <c:pt idx="277">
                  <c:v>862.41219999999998</c:v>
                </c:pt>
                <c:pt idx="278">
                  <c:v>862.41219999999998</c:v>
                </c:pt>
                <c:pt idx="279">
                  <c:v>862.41219999999998</c:v>
                </c:pt>
                <c:pt idx="280">
                  <c:v>862.41219999999998</c:v>
                </c:pt>
                <c:pt idx="281">
                  <c:v>862.41219999999998</c:v>
                </c:pt>
                <c:pt idx="282">
                  <c:v>862.41219999999998</c:v>
                </c:pt>
                <c:pt idx="283">
                  <c:v>862.41219999999998</c:v>
                </c:pt>
                <c:pt idx="284">
                  <c:v>862.41219999999998</c:v>
                </c:pt>
                <c:pt idx="285">
                  <c:v>862.41219999999998</c:v>
                </c:pt>
                <c:pt idx="286">
                  <c:v>862.41219999999998</c:v>
                </c:pt>
                <c:pt idx="287">
                  <c:v>862.41219999999998</c:v>
                </c:pt>
                <c:pt idx="288">
                  <c:v>862.41219999999998</c:v>
                </c:pt>
                <c:pt idx="289">
                  <c:v>862.41219999999998</c:v>
                </c:pt>
                <c:pt idx="290">
                  <c:v>862.41219999999998</c:v>
                </c:pt>
                <c:pt idx="291">
                  <c:v>862.41219999999998</c:v>
                </c:pt>
                <c:pt idx="292">
                  <c:v>862.41219999999998</c:v>
                </c:pt>
                <c:pt idx="293">
                  <c:v>862.41219999999998</c:v>
                </c:pt>
                <c:pt idx="294">
                  <c:v>862.41219999999998</c:v>
                </c:pt>
                <c:pt idx="295">
                  <c:v>862.41219999999998</c:v>
                </c:pt>
                <c:pt idx="296">
                  <c:v>862.41219999999998</c:v>
                </c:pt>
                <c:pt idx="297">
                  <c:v>862.41219999999998</c:v>
                </c:pt>
                <c:pt idx="298">
                  <c:v>862.41219999999998</c:v>
                </c:pt>
                <c:pt idx="299">
                  <c:v>862.41219999999998</c:v>
                </c:pt>
                <c:pt idx="300">
                  <c:v>862.41219999999998</c:v>
                </c:pt>
                <c:pt idx="301">
                  <c:v>862.41219999999998</c:v>
                </c:pt>
                <c:pt idx="302">
                  <c:v>862.41219999999998</c:v>
                </c:pt>
                <c:pt idx="303">
                  <c:v>862.41219999999998</c:v>
                </c:pt>
                <c:pt idx="304">
                  <c:v>862.41219999999998</c:v>
                </c:pt>
                <c:pt idx="305">
                  <c:v>862.41219999999998</c:v>
                </c:pt>
                <c:pt idx="306">
                  <c:v>862.41219999999998</c:v>
                </c:pt>
                <c:pt idx="307">
                  <c:v>862.41219999999998</c:v>
                </c:pt>
                <c:pt idx="308">
                  <c:v>862.41219999999998</c:v>
                </c:pt>
                <c:pt idx="309">
                  <c:v>862.41219999999998</c:v>
                </c:pt>
                <c:pt idx="310">
                  <c:v>862.41219999999998</c:v>
                </c:pt>
                <c:pt idx="311">
                  <c:v>862.41219999999998</c:v>
                </c:pt>
                <c:pt idx="312">
                  <c:v>862.41219999999998</c:v>
                </c:pt>
                <c:pt idx="313">
                  <c:v>862.41219999999998</c:v>
                </c:pt>
                <c:pt idx="314">
                  <c:v>862.41219999999998</c:v>
                </c:pt>
                <c:pt idx="315">
                  <c:v>862.41219999999998</c:v>
                </c:pt>
                <c:pt idx="316">
                  <c:v>862.41219999999998</c:v>
                </c:pt>
                <c:pt idx="317">
                  <c:v>862.41219999999998</c:v>
                </c:pt>
                <c:pt idx="318">
                  <c:v>862.41219999999998</c:v>
                </c:pt>
                <c:pt idx="319">
                  <c:v>862.41219999999998</c:v>
                </c:pt>
                <c:pt idx="320">
                  <c:v>862.41219999999998</c:v>
                </c:pt>
                <c:pt idx="321">
                  <c:v>862.41219999999998</c:v>
                </c:pt>
                <c:pt idx="322">
                  <c:v>862.41219999999998</c:v>
                </c:pt>
                <c:pt idx="323">
                  <c:v>862.41219999999998</c:v>
                </c:pt>
                <c:pt idx="324">
                  <c:v>862.41219999999998</c:v>
                </c:pt>
                <c:pt idx="325">
                  <c:v>862.41219999999998</c:v>
                </c:pt>
                <c:pt idx="326">
                  <c:v>862.41219999999998</c:v>
                </c:pt>
                <c:pt idx="327">
                  <c:v>862.41219999999998</c:v>
                </c:pt>
                <c:pt idx="328">
                  <c:v>862.41219999999998</c:v>
                </c:pt>
                <c:pt idx="329">
                  <c:v>862.41219999999998</c:v>
                </c:pt>
                <c:pt idx="330">
                  <c:v>862.41219999999998</c:v>
                </c:pt>
                <c:pt idx="331">
                  <c:v>862.41219999999998</c:v>
                </c:pt>
                <c:pt idx="332">
                  <c:v>862.41219999999998</c:v>
                </c:pt>
                <c:pt idx="333">
                  <c:v>862.41219999999998</c:v>
                </c:pt>
                <c:pt idx="334">
                  <c:v>862.41219999999998</c:v>
                </c:pt>
                <c:pt idx="335">
                  <c:v>862.41219999999998</c:v>
                </c:pt>
                <c:pt idx="336">
                  <c:v>862.41219999999998</c:v>
                </c:pt>
                <c:pt idx="337">
                  <c:v>862.41219999999998</c:v>
                </c:pt>
                <c:pt idx="338">
                  <c:v>862.41219999999998</c:v>
                </c:pt>
                <c:pt idx="339">
                  <c:v>862.41219999999998</c:v>
                </c:pt>
                <c:pt idx="340">
                  <c:v>862.41219999999998</c:v>
                </c:pt>
                <c:pt idx="341">
                  <c:v>862.41219999999998</c:v>
                </c:pt>
                <c:pt idx="342">
                  <c:v>862.41219999999998</c:v>
                </c:pt>
                <c:pt idx="343">
                  <c:v>862.41219999999998</c:v>
                </c:pt>
                <c:pt idx="344">
                  <c:v>862.41219999999998</c:v>
                </c:pt>
                <c:pt idx="345">
                  <c:v>862.41219999999998</c:v>
                </c:pt>
                <c:pt idx="346">
                  <c:v>862.41219999999998</c:v>
                </c:pt>
                <c:pt idx="347">
                  <c:v>862.41219999999998</c:v>
                </c:pt>
                <c:pt idx="348">
                  <c:v>862.41219999999998</c:v>
                </c:pt>
                <c:pt idx="349">
                  <c:v>862.41219999999998</c:v>
                </c:pt>
                <c:pt idx="350">
                  <c:v>862.41219999999998</c:v>
                </c:pt>
                <c:pt idx="351">
                  <c:v>862.41219999999998</c:v>
                </c:pt>
                <c:pt idx="352">
                  <c:v>862.41219999999998</c:v>
                </c:pt>
                <c:pt idx="353">
                  <c:v>862.41219999999998</c:v>
                </c:pt>
                <c:pt idx="354">
                  <c:v>862.41219999999998</c:v>
                </c:pt>
                <c:pt idx="355">
                  <c:v>862.41219999999998</c:v>
                </c:pt>
                <c:pt idx="356">
                  <c:v>862.41219999999998</c:v>
                </c:pt>
                <c:pt idx="357">
                  <c:v>862.41219999999998</c:v>
                </c:pt>
                <c:pt idx="358">
                  <c:v>862.41219999999998</c:v>
                </c:pt>
                <c:pt idx="359">
                  <c:v>862.41219999999998</c:v>
                </c:pt>
                <c:pt idx="360">
                  <c:v>862.41219999999998</c:v>
                </c:pt>
                <c:pt idx="361">
                  <c:v>862.41219999999998</c:v>
                </c:pt>
                <c:pt idx="362">
                  <c:v>862.41219999999998</c:v>
                </c:pt>
                <c:pt idx="363">
                  <c:v>862.41219999999998</c:v>
                </c:pt>
                <c:pt idx="364">
                  <c:v>862.41219999999998</c:v>
                </c:pt>
                <c:pt idx="365">
                  <c:v>862.41219999999998</c:v>
                </c:pt>
              </c:numCache>
            </c:numRef>
          </c:val>
          <c:smooth val="0"/>
          <c:extLst>
            <c:ext xmlns:c16="http://schemas.microsoft.com/office/drawing/2014/chart" uri="{C3380CC4-5D6E-409C-BE32-E72D297353CC}">
              <c16:uniqueId val="{00000000-4CC7-4BD9-9CBC-6B040D42CF5B}"/>
            </c:ext>
          </c:extLst>
        </c:ser>
        <c:dLbls>
          <c:showLegendKey val="0"/>
          <c:showVal val="0"/>
          <c:showCatName val="0"/>
          <c:showSerName val="0"/>
          <c:showPercent val="0"/>
          <c:showBubbleSize val="0"/>
        </c:dLbls>
        <c:smooth val="0"/>
        <c:axId val="2119939231"/>
        <c:axId val="1127590447"/>
      </c:lineChart>
      <c:dateAx>
        <c:axId val="2119939231"/>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27590447"/>
        <c:crosses val="autoZero"/>
        <c:auto val="1"/>
        <c:lblOffset val="100"/>
        <c:baseTimeUnit val="days"/>
      </c:dateAx>
      <c:valAx>
        <c:axId val="112759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11993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barChart>
        <c:barDir val="col"/>
        <c:grouping val="clustered"/>
        <c:varyColors val="0"/>
        <c:ser>
          <c:idx val="0"/>
          <c:order val="0"/>
          <c:tx>
            <c:strRef>
              <c:f>Graf!$K$2</c:f>
              <c:strCache>
                <c:ptCount val="1"/>
                <c:pt idx="0">
                  <c:v>Total sum</c:v>
                </c:pt>
              </c:strCache>
            </c:strRef>
          </c:tx>
          <c:spPr>
            <a:solidFill>
              <a:schemeClr val="accent1"/>
            </a:solidFill>
            <a:ln>
              <a:noFill/>
            </a:ln>
            <a:effectLst/>
          </c:spPr>
          <c:invertIfNegative val="0"/>
          <c:cat>
            <c:numRef>
              <c:f>Graf!$H$3:$H$14</c:f>
              <c:numCache>
                <c:formatCode>mmmm</c:formatCode>
                <c:ptCount val="12"/>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numCache>
            </c:numRef>
          </c:cat>
          <c:val>
            <c:numRef>
              <c:f>Graf!$K$3:$K$14</c:f>
              <c:numCache>
                <c:formatCode>General</c:formatCode>
                <c:ptCount val="12"/>
                <c:pt idx="0">
                  <c:v>862.41219999999998</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C39-4066-A3BD-E73FFB66701D}"/>
            </c:ext>
          </c:extLst>
        </c:ser>
        <c:dLbls>
          <c:showLegendKey val="0"/>
          <c:showVal val="0"/>
          <c:showCatName val="0"/>
          <c:showSerName val="0"/>
          <c:showPercent val="0"/>
          <c:showBubbleSize val="0"/>
        </c:dLbls>
        <c:gapWidth val="219"/>
        <c:overlap val="-27"/>
        <c:axId val="2120120031"/>
        <c:axId val="2067806143"/>
      </c:barChart>
      <c:dateAx>
        <c:axId val="2120120031"/>
        <c:scaling>
          <c:orientation val="minMax"/>
        </c:scaling>
        <c:delete val="0"/>
        <c:axPos val="b"/>
        <c:numFmt formatCode="m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067806143"/>
        <c:crosses val="autoZero"/>
        <c:auto val="1"/>
        <c:lblOffset val="100"/>
        <c:baseTimeUnit val="months"/>
      </c:dateAx>
      <c:valAx>
        <c:axId val="206780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12012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bit.ly/Sofapenger" TargetMode="Externa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22</xdr:row>
      <xdr:rowOff>0</xdr:rowOff>
    </xdr:from>
    <xdr:to>
      <xdr:col>7</xdr:col>
      <xdr:colOff>304800</xdr:colOff>
      <xdr:row>23</xdr:row>
      <xdr:rowOff>114300</xdr:rowOff>
    </xdr:to>
    <xdr:sp macro="" textlink="">
      <xdr:nvSpPr>
        <xdr:cNvPr id="2" name="AutoShape 7"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0AD5862E-1FA3-4840-B85D-69DE54EFBD39}"/>
            </a:ext>
          </a:extLst>
        </xdr:cNvPr>
        <xdr:cNvSpPr>
          <a:spLocks noChangeAspect="1" noChangeArrowheads="1"/>
        </xdr:cNvSpPr>
      </xdr:nvSpPr>
      <xdr:spPr bwMode="auto">
        <a:xfrm>
          <a:off x="60833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302846</xdr:colOff>
      <xdr:row>26</xdr:row>
      <xdr:rowOff>114300</xdr:rowOff>
    </xdr:to>
    <xdr:sp macro="" textlink="">
      <xdr:nvSpPr>
        <xdr:cNvPr id="3" name="AutoShape 8"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61C68D67-FBA2-E34B-88CE-030B2C087055}"/>
            </a:ext>
          </a:extLst>
        </xdr:cNvPr>
        <xdr:cNvSpPr>
          <a:spLocks noChangeAspect="1" noChangeArrowheads="1"/>
        </xdr:cNvSpPr>
      </xdr:nvSpPr>
      <xdr:spPr bwMode="auto">
        <a:xfrm>
          <a:off x="7429500"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xdr:row>
      <xdr:rowOff>0</xdr:rowOff>
    </xdr:from>
    <xdr:to>
      <xdr:col>7</xdr:col>
      <xdr:colOff>304800</xdr:colOff>
      <xdr:row>23</xdr:row>
      <xdr:rowOff>114300</xdr:rowOff>
    </xdr:to>
    <xdr:sp macro="" textlink="">
      <xdr:nvSpPr>
        <xdr:cNvPr id="4" name="AutoShape 9"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B83430A9-7FC3-FD40-B4FD-2848DF9464EF}"/>
            </a:ext>
          </a:extLst>
        </xdr:cNvPr>
        <xdr:cNvSpPr>
          <a:spLocks noChangeAspect="1" noChangeArrowheads="1"/>
        </xdr:cNvSpPr>
      </xdr:nvSpPr>
      <xdr:spPr bwMode="auto">
        <a:xfrm>
          <a:off x="60833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20</xdr:row>
      <xdr:rowOff>0</xdr:rowOff>
    </xdr:from>
    <xdr:to>
      <xdr:col>10</xdr:col>
      <xdr:colOff>304800</xdr:colOff>
      <xdr:row>21</xdr:row>
      <xdr:rowOff>114300</xdr:rowOff>
    </xdr:to>
    <xdr:sp macro="" textlink="">
      <xdr:nvSpPr>
        <xdr:cNvPr id="2067" name="AutoShape 19" descr="data:image/png;base64,iVBORw0KGgoAAAANSUhEUgAAAOEAAADhCAMAAAAJbSJIAAABX1BMVEUAAAC8Bn2TyT8BAQEAAwC8Bn8AAAO9Bn2Tyj+Tyju8Bny8B3rBBoCVzECXz0C/BH0AAAhDBSy3CH2TyESRCWO+CIKUyT11njiZ0Ea8BYOWzj2czkZoiDKYykaMvEEABgCxC3Q7TiBJYyYjAxc5CCenDHCFCVudC2ZjCEKGC1aiDGpnCkt+CVUyBh50Ck58DU9WBzdwCkVKBjBbeys1RBpSaydzlDSJtEEYGhAeKRVsiztbdS0ADgAhBRIdDR1FDy4oBiUTAQ+SCV0vCBUoBhs/BC8TBBNaBD0TBQZzCVKfDWVTBjFMCjovBCUeAQaoC3hlCTs3Bh1GWigmMxAuQBouOBwcKhB+qjxQZys/TSoeIxVpkDRMYDAoMBaQvEpJZSg2Oxx5lkVagSg6UBRdbjkjGxMWGBgfKRuEqEdIcyUAFQMwNiAAIwMWNgmaC3FMHSdjky+BVkJ0QkYzUR91jkVhYyiYAAAgAElEQVR4nO19i3vaxrbvgCSQ0EgCgUBIgPEDG2NMsAkmfiU1dWunTerUdowTt2mzs0+3T3tu77533///u2utkQDbOHEav+qP1SYBPec36z2PBWNjGtOYxjSmMY1pTGMa05jGNKYxjWlMY/rbkgR01224WZLYQ0fInrKHjvDZg0e48NAR7j5/6AinMw8d4XblwSPMP3SE087MXTfhhmnXadx1E26alMpdt+CGSao4X7EHHblJs87sw0YoN3lkU37ICNlWROk+WHwiN+xypSnJ7EHmiYRJmuZO/KuHipDJSI94vrwrP0yEEnv2NZNZjevlrx+kPQVMqfJTWYqVnXykyeSHN2YDeBbzdopJWxUr4nQ3H55flCRZ0hVrfprJs06e20vfgk19UCRJMXnPsh0n8z17Wctzbte377pN100Sm1WsSJw7dmZhXolEeH6uusmAtTEpoLtu4ZeSxJp5KxKJOPG8Y9vwIa5YVqXxDWbFDwMhY0k9ErEty9YVBXgYiVh2RNGtcqbR3I4x5ObfH+M8j+h2zXESCR0R2sBSy1IUhyfKtfnm5l0378tJXuRKhGeaGd3iDjKQOBmJ6LqC+skr9eVv4arY31diJbnrANdqM7Gd+YrlcMeJRxBkiFThPF+ryuzvG7dKbBfYZSuRLjiK5DevZucqtu5wHiJE68O5Pjsjy7G7butfI2BNFeQ0YnMnsyyRDd19ubz0aK7sAM4QpMPj3Ym/bTQgs4xAwnl5/hs8gOIoy9PLz+d0AGnHQStBV8szciz0IPi3PHiAJMXus2+RZLkiICaUPC9ndqbxaAwwgtimGrZjEULbScz0YQD+VPX5fLf73Vx3/tHOTIj6jqFcStKibglpTETQUZTr38dYP9XYqXAlnlB0W9GTyN7YTHW+YqMMO074tz5XfSruuGssoykmzzgBwoQVsRKKo0MUJ1KNGICqQhAAXIw487tNlFwH7JBlob1Fe6Qo8ThYXLu7fH9zEzAw3/eNSmg/HWvuBRPSx14ENgf4xZXIaAKUlR0Q33vJR2zUjnOuwXbE4rVnklCvqjMaFpEdfuC80ryffCQQS+e5Y+UjXFkAIZXBbNrnYVEvxME42XFrmPV7y0y6f7NZwvbPnuMTWB/O52UwqanZcuICONDGBOgt+sphCVecuXs6mQVcrPAzOGyeqIO1kasVR4mfA8jt8mw1Nb0FN27NVDO2kw9zE8TY/eo+jvkAFxedIWZYVjwzLbPpup234hcAzu7SHYCDYjmpWnb0ECGw3pmdvn/6iF0+P4RQKYPxf5mxeDyfv6CAyhzrjwJQaCOzeYXrAxnW+fzWfcOICF8OEPIuqF/GUUA3E9YFhBHUz+DGrZc7C43nC4uNyFD/JOKWXr+PuSUNZOg6CNoOm+k6/CK0PkTQw2q1Uc/YCU6kVCrnrBF35nd+wHH1+xSxVgAbuu7yS6meH5K6EQQJcxzSSUvYUxBcS78QC1ic781WKcy9NwjjEGMr1pz0yuYjZPM8KZfFNwOC3NLae7Qs35Pxnh84ZhHW7HbNUayRPv6zERI5eTRbd004Olx1MKKuV/MfUcC/RgqvNbbuWB/Ru5XzipKozznn3d91kMPtH+92rAfeXYdcN14rXzsDiRSdV5gcu9OxnhRBUz6WRXwB4TjIM3ZXCGMx8FrT5StYzy8iXr2zKAd7VqpcCK+vHeGSfFd+EeOOipO4GH9eK8Wdu+OhxH6AzOmGAQLCl3diS9EPsqZ90xIKpNt3M5MlsYmtWUiRbhxgIt+4m3wKGAiGXPlolH0dxBV9+27sjDSL0eXFvOC6yeb1W5ZRkZ/LMxUeqiCyMciEbMuKxwdxtXKlOPxywhnXuC3f8syOiIKXhhPzPObmOEofsW27XE4knGCWDRLjL4wGFEX5/rZn55CBcmZ4IDABGau9N9topn7YFdckXzYXZsvc0eNXzZMuwxfh9VvPgnE9FDjBkDfAu0StsSyh859g/ZUmMvy33djTnashjOOo3IWROUDIZ9mtxjNiiGzZDuGBNNrd5q4spmIG60z6+dzyHBcYE7auD1QyMRiZURI8r0B6CdJt29AhVpzsl/CzNi60vlUSKqiEALk+15SD1QgjLsQZRjaT0TkGrmAzBjpJADlqbrmSqTeXt8XomvT0q2YjU+ZcF69QQERv3crIrC400LZ4uT7NBr54Y3Vyf6p9/NPkATUq1ge6Wa0pFtjYYOxCsRyFW068XKtXU9MBgjM9NNPY4wqknNxu3oWnz3BHdG+5ipPAdGx1qtBLF33TMzzPMN1i6bQwGTRcksSM8PNMBaQwAVQu17rPqzNPGSrr0E7Uo8e/tFqt9ocD/JLKWIrT3brd3F5KojGZs0DewDWUd7B1yKjHhY5rGoaqRgdkmKabm2JnrDyKM87WhGKHmisJ9WUf1ntpF25Ccosd7J+Z2dStSygg3K1YoE26E2ng4DwcPDwpmmk1HT1Dmmaafid3sv526G6gWIwMVaijAXdW13tF18z2O0iLRrNeceUQrrh1Pyjt7ilgEcGC74rWtTumgS3LDuNTNbfUOgzvGb7/7Jo+av7rVsctGmr0PKmembt9P8h2yzwBcVglJdYAtdK+dqFpIKC5w9H3n1+1+GRqpWR6F9EFnHRXb90P7uLSEq48F4fW0+7FxmnQ9Ufi/Ov1tVyv01sprH84uvC8jcP2Sck1RzBvQOb+7SKEv2pKAgz4M9L/45IXTV9slZfeJ/F7vJI2TUPTDPzjmlFC2m5PTbXb64WVTqnoG95Z2b5zhGyCdZ2Ek+9CIpNkBx1vZPO80yR4Bvahc447KjoRgOyivUSz+zHe9R/2ht2ipQEezqKjb7AJeGvB1aLpERw01wAe2+i5We2cgoqrNe388Y8R6OGtIUQlbDiKnm+iAX/9zrykSW1k9qRrXB3FeRrugdJtwWMUdzS5btkzqBfHvncJwGNkddu/igReJCG4Q5JhFm4RoCQ/jSjO3iJ+yY3EB33vrePpY/Mz5DC8N6t5oKmeZ5qeiRZIS8P/6Cxuy9IAwpqTKG+DDX1bugyA9x615tjXRujn5aQahhl106XcSav90/7k5P5P64WSjwiNAsZ0twSQSXUeL2Ok/CZ6iY6p2Q5e+rP7CQ8woGza07xitHOyPrl67oWPS5rqvbvViO0Z120EuH8pANX9DS+8lMMXyDD80slxEPycnVeKsdWi9+7JLeKTWZnnUQePzUuNCJrRGCtcYoPOs091SytTqwEc6fxoL3x5d5K8VW9ft5RnoIPHrnoZi4weNmzVvxr3Oi1CFyOSRiAEliZvTQeBtjmHXJAdX84gz/0VL84Z6aiaplwjq2HcEnaIqoK9DATcXPn1dpp+RcJEYA7H89gvH2GQt4Iy9bqYLqXTBqZ3qpEuAaV9hAUGBb9EScazOWLeXeMaEDiKZV6BrHXyI34u7f+M0VowoFFwo17vsbh9smNqfuE1fZ5oFbNRzX19z9at48pK/VuZHRTTlyP0cpD/w8VJZE2Std0e3ioY1fGO4ZDg2aSrmcfsnu0SktgyBKOxWCn6EU8utBDt4sYTxPLuCIVW3vgNo9R34sTGBPRBzlw/9/zDk5M1sqbs9drK2uhIO3ajOzKAhV14bw9Cq0sRGh3RshjL+WYRbnkDlpCt+667D3wkTO98F/89Pj7//LbpuTSSzKZczx+tnqPs7TUiXIwkZda6JJkQBIwRI0tsxcgWyZ9BBlL0oiYC+o1aH3U3khITHmL4+ceeViQU4GyjRdTmEW0Q2G5KsmerEEWNGK4ICQLL4kSI8EQlhChRACpqUjYloRvRTsUQzXmErahWwiuA10Y0PRoFSHChs3ZTCLcy8FfpYjBKMps1XbPU6b1nIcI1D1opEPSyxajREg9Jull3ctBCxBl+PvG0nLj3xNR6Z68J5RJkw/VObwphM8XYe+9iZp4Gj665nbYITqQ+QuAhtf6tDw7fCDK8dVMtsdEIe4ZXEPf2DO3kUoSGcXJTCHdIRrMjrIxqdITTi9HCKGoJSJorDq2ZWlo1VgIY2eg6C0eBh6VUYumi9k9xR1r124MzdFVwJRg6U2vd0Pi+PC2xUlZNX0wpVHMtaMfB5FHY3hAhY0Wt+A/DIAHEcNXdGNjCJ4dvXm8En5N+1hX5xW++ar4eenPy9eNBdlFUzQ83gE5AxFafpyyGMcc4zM8mc+AU3HQLI+UYm4JslmKyX1zjZMrM9qjj102ha3hicqUEN5huKYeyHTs0s2nxoklTDcwwDuUfd3zTdUvkXHodsANaqdPprNyEpILVv6CDyFCKTdCFe1nf1SCcJg+BCJ8gZ3uafwgIO9QLJc3/IJ71pAcqrRlGNGuUAvDZYLxp3VBL4W6wtx1X81w3q5kgwUcmRvyaZxje+xvRxRGuUEtrbgsRTbzz1PTa/lTHUEHWJGQEIpTYkat1IEYT9uXQDEfNJn1oeOekUOioGOhJZEICXT0xoJcQYSz2uuh5pdZ+u1SMusD1Tq8EVqsHPLyREeKke9HGaGmvh1EL66hqbwLtQTHq/ZMQugLhmulOsdeukLsTz2sFAKPZd6R1K2a2RXA6hhl4FPqEh5L/ldbMEzx06KVNurzQ74drRogmsjVyZAleLCEOryNeWyKEEnviRn2cUCtqoF1PIE4AOwsnATVw/Lei5omQnIEQ7FNzwWDtC4tZ1MxJYZQ7qr9CRizpa/4feK4U9oPUp+tCiC++iDAdxYw+duBmi6ukjb8aafcgRPgvDMXQE8qG6v/G2AcXPDledaqlS8LcSEUczwaEP7tR83dC+DPY298J4ZQJUU4S3w0WqijQqziF0Ue1u3tdvIRn/uSO4CD2toTSlxXe4Bj05j1dPlFUXUDYM/0j5FTU/BkjNnMK+fYa4lQx8x3aTYn9YqgCAw4Bpcm6sncmJiAIsJiFzEtCYfDQfrH2WgFobWL72uoXk8RcBBjFuAXOFT33MZMn10peFmKqJIkOITxw1R4KQDoK9idJ9gbzDk0NchBgjiH8yJoHdxKtmao49Br6FLLl/ZW0kUWXCw/dR/SAPY2GGNj67NrW8ZEUkXPIZtFlgMCS58DoChK/YjTbK7mGYbildtgjvgo5fCHtvcHvJc3YZ23PWKOmQ5ga5CCsp0Kohh2Sy3prIlDvGXAZUgvg5NI4s+iX9kU7Wl60A3e+NcHPeGaJVbeuBx+2uGAQQBXXHRSBTJpT89rYPMh2oqZXNIu5/XBlCYPQy/0AzH0ngGggZT3DfUud5UfNcE63qBkiigPUU4iQJHqKzq2Ad896vlHCeXwRDeZUD6PSJy2k9X3W2L0uhGAGwShqmlkqTB38DgdWJ9u9oqF6j8mSelo012rT0pBYiLCk+pPHfpBT5KLe+oav0kAjpLphzMKOQf7oEbKpimEb4E/U/JfoFvD8K//4QBE9YQf0WfNM5ty9vmz4ralGVfdUBI6IAv7faBXdI3xFQdM6QUcMITSMx72sO0En/u17rXUPrQVFL6BMgoclNe1v4Mc3wmOiyJuhyelhGsEYC0Yu4MHfqlERsQo3IcUq1xeDr6tZs3fIzvkh6fQtig9oR1GMC/bzBYl1sv5/+14QP4K/LHSiQcsLJqaOMRLvrCqCnJZpdATqwadTQ+uF+SZlzJDb4PBGkEvFJn5Pda8PYU/1W+zMqh18ZxJ36Ejsg4+qQwj7Z1kPUuC0fygOYaipaUGOCNGfT4r1tqhqqsh135tGTkjcSf8TJNHG2/4jEeGxkca+CY79wRrz1yelxeIHGoaYXpj9s1LLPGrKkhyMxEPEUVSj6WBF0FGgNuD8xMAU8bStwRXmkeDvsRbVUJvelrwTCtQZukrKryA4h/i0J57w2lPVTvD+PyZQRtbNqIFWQDznDatVr42HB2gGGHsxp3OLKwpX8vrzmBwgpDd7xZX21Hqh458ECE8MGp0RCKd8Nap1gr7f8CGeLbRPfHP/xAtMEdhNb61VYIgwarxvraHXg07y4MJf1k9KmMDEwB1G1Xet1nsxk3MsxVPXhrCNsfy3GYtHRJUOXC+5Ny33M+8TMEQGra3wOsEM0okX1aLg/XEvOvsD2GEcC4Qx9h6+aVEP8soVNwjFf/U9cHE+I13Lal6RGNUz1WzUdOG5Yp47+U5L+54BsTDI+P5/dvj11c/AqDdF6zx1Hdeo44pEy94N9BK6e79TxJV2xdLKZICwBU5zDcvTTM/MxFbhSzg+A7x470NwcArepZAu0iAqGJ2SiyEPpswl3y8GYet6yfBdfGzhgLT8yWkRsmwQKPi2wjJl6RrnhuVlx6HqOlhHRlQs45nhpz95PDl5GA5J0HuxOs2zrs25fu5ZMXCnZ2d7UZafPJkIbvz9rczCKQ24cvJAdIKgtwdv6frVU5afvb4RG4nNOLhfJOHo3VfVxh4tnLXyqf75/mBYLFwtS+uFtixHseNzwoP2x53EJxqhD0auxGiaGLOPhU+UBmNVyfAFdDaGx0//84I26l0bwjKtleUZIZkNbmGNvfkh9yh88FDOhv8sO6CzyiPpPA0wDCgWG3XNYJXf8Gg+zg+xDN8e9ZzLjn2CGlSVhT8Kq8rN8YitOzo7gysIA4YQLiFC3pRHvvHM9xAhCx/RH78fhTDGOmubvDL8mKEPFyF+GuDTiKLbcacb7gaYqFpYhcSB9ExKytQSiYpb7M683A0qy+ClGQfXcm/h9/5uHoxCxXn6m27/YXOL6grF4Oju5g9SGFvIbNDiM3nSL+b/NGi2lk7JYOi3FxeZFMY7oplgh6jimDRyDuQsPXJwT4D9bWid5W0Fd/nwZVpLW9uzK5VFONqoKFY8MbdJ7XuZyXRttLyJTLfbzcxIUr2bIVqi86lKuVz5DoBt1cvgXytNhsCWarbj7D0KEFaDO2ZpLr+V61Mxx2znmSzYLG0+ryUSTr7c/THokeVy2a5koFd/rJf35j61ghr7CItbWMrg9w/kXXIYYk/uLta04ktseS+oA5WYQX/1yOG0Gwp7AijFtvNU+8LiYt9EleN+yW1WjTt4HW0OfVYmbYjzP5EbsmQrol5GRWRY4DIFRb2DBcsOZFF+ZIm7FIc3RLyzxHF/xjRr6Dyu259a9Qc9CzKJW0Y2JwbHIgOEm0pcUZxXy1yPW7Q1wrGBM6wWbBpB3xK3raesGdRz41Xq0x386kw/D70POJVUf/cb38HmL1pitwlHt8AeD5bJaadg+uqiQM92hXaOx2lfFBdlF5YcRLhVx5oxTvlTCMEy17AxfG4ItSy2yRDCGSwuYM3nLd2xMeLR6TgDdjgCkcLz8BrpebA/Kv+jFPLQUuBvR0QQtvMC9w3RLk3FIVe3zJ2IE7yHxaZMVaXlqJrm/68F7rwkPi/m4+insWIPWIY8WR/pOVaLUZbofXz+UyMdMbZL23L4q6GDu9aAh8+ofAKH/8pB7UDrT3jo3Hd/lumiSq02V2uAJHw3h6+MO2JnxiNuWzZcze0aPT+Bu/jzolaB4sxR39Vq4hEpNB3tUkBRyBttq0ZbBHZtqjL1aHG7ifWJ8vq3+OxZJQHPtnkcRbz5KYQS+174wsWh5GjRwSqszjdYxGsB22SBem3hykySs7K4bI5cTBjbwf+2OEn2al5wC3pJloVA684sXNslmasFb6JqjM7u8L7KFkStdcUS7r4GNiCvz+A7ZjnufsSdJ2TDE3md2/PV5s4nd4NJJE/QsOHVV00HNy7xaXzccyEMuGZYYl36olMFKFYWgPqz77sYs8czwnPUBEOXsIakqLyE3khmL4ZUAh6Bcl8WdwjXNul67U3QLozpsUfBkonaZ/PcBotPuHGdfT7BM2TVrxC70qJn6NWhKxsc94hG6G7o5kQCzR1eIGrSOZv4eduiMKgfAcjLxO2GcOBY1ytu14LGYUyISwIl7DzQXWFvJRkRJDKs/wxc89hhmTz0DEGJ4xvIz2xCZ9i8S34Z7Lmi8z05dP2fQpjRh1tKNEcIa4QQ3gLeSAQugcEUCKnIIPjlfozTIIS0RUveVWxA6OzQXRlECBETfl4ghMIzSTMYWYg+ETyNlaLm0Y4FLMSnpLA/+TM89wJ9Fddpt/4PFvhvbqX6sdTH8QGEiIjYhmI+m1SPggqJ7IQeXEs6G1dEzEYeb6d/n1Aq/pJOkn1SyhTJyLhlT+Ffy7iFb5aDrXK+p+fJFDvRWjqS9SR7p/qtZEK3nhOv5tGuleWZZh0MlC1MH1z3QqjVVfdKBerEG4OWshTKn+WQ8/k6TxwOrg10lkDMEsKZwX0V6gsqosOqTiBg8HkLWye0TQYdQoTT4uWzxMOXAUIaQe6x78C/yISwArxK2Lrl5IFlESXflAghyQp/ftW8AzRGIOzbM1loZkSnPmo6Ar9AQVUFqeExAKQouj6IxCkQileE4JBxEfmP0E9y69Bq2vdeDrof+wQkQtyfZD0vm95oOIrTFJGqsNxKJB5X9LyT2QxidDJ3ZH+uiJC6njf68izLuiM0DKlBn3eCJpXJQSwQ35wEWIk9ORnq0DYP0WN2QlXctwkV9bkjtO1rbLVTESMkkuiToB3sVFPdw28s4S0xmgoQQlyoV5Y2g5JnIHTYYGfr6nMaNbKJs31tn6AWkd4wSqQgM34p3rnsQJvyfBPbvY3vt/q/qif1uU1XkgvU2UA/QeZBwiaagXkihNvUt5mgfmLHU93/noY4wflatGWRokR9rl5NJeUwuwLWUgmZvc8YaZynALrW95wUKOGPA8VCjxVxgopxxG7gAH5pYklvtIMhQoqiRD7Ctvp+Pbwrvk0jBI1Aegnh985Aet6WtLS5xsqW41RlkUstYrU0lG5QnP46R4n9mBce9ep6uCR884wscsMtsq2RyDRptdCFCvk79kgEc1R2VsaBgIiyMHgO6qjCt6glTSf0JKif8dA6BfzM/yj6pYE74Z1lHHs+TEezXo5VlARZNbqWIgjIMQYZMo6FCGvXt4xXQbgtgpaKSC2ekZSDrk0QwmfIqcBBNzj+fIASaNos9XA3fA5YvjyaDTE+tkQIq5RwbouIQu778LgTjGvP53UbIyccNdfS3imrWHlrj1FD8Ck26cRCOFC0SzWYIeLFZzevvHcfuDEHEQKkvOWlVOpVN4+Rlw0dSVo4QR0Wn9/afPqqgtUhbG5v0VgxJIjk/KtfLS4vol7K+BMRIhyLQeQIj1Se0VDUED+Z7AjbIglvoCQS+YiEa1myarbH/sQQpzmTSqVm6LclugkMHnWaZEsuzyoiVp2DqxLO1X/VB+6ZgVswW89DApFH3xUXsT/+oQ3reXix41iYv0Sc1AStO5Sr+SBb5A6ORYF6WFgJWvRaWUGEEs17BKpHQxY/5gf2NibB6/KQ/eynvXTW623aWP0jEWTFaFJm8ojQdhTI6bllOTVCWMZ29L3UVRCC+OUjotBv3Cb/A+YtjBcqYXkHkR84uOcLTBDcNd0vKiAiR+B2Ig8pAT5zi6xxqHqUAy4Swld97wpfXjq2nl/4n55nRFXz39/gby5AMGwFddugXfK8qDwJGTpl+TZl5BQn19hn8JBhnbmwCgLGRvkFUVQeSB6Uf8AfYsl3kzLGHm9Q7+ph3T3iCatjRqNQHCSl+oEBqh59EWpIoo06hN92nPze//6366WNrLdex1wZK4DHCeGssCrzom6MJWppcIiHGcYPCSoS8hljqTJLVbAKS8KKQ8ba+EFYUcofyOfakM8rkJBnZvBMjBVKNChfLWNNUvhDoxA1EGPOaeYdckqHJ8QPX0oQP+ic7+FnHE5AWhTQH9X+z6nYl//u/5b5EMG7qkHTmhUHAzYHUvxEeQn3CTQ4Pq96CZTL+Ah9mlqaz1Rq3fqyLNaCiMRLFCkvz1UymUfff0vl/8Hwud5PIo5MVZcaz6svtvDEs2WwECkh3S+rjXqjShUwpFh1ofH8VUogbDbq9YWdIBVcfLP/YRLpP18v080D+mZLyJeEhSXmM7W5zCMs5Y+R5Qy8c6n5mWsYzmotWYEk+3+47kBY5oWhc4ytuFG1+OTsTWfV/tLP/THVTyY9QawbTAsM33ZlVGceJ24N0y18yM8dn+x1PHTx4cMfl3AFoVd6e3FwvX/N+c/9iEu6OLrfz+5HPufi1cPn/yJO3C2yuuLjyjRJFgkR/WgeSe5hzhSrUA2aNwumVsRc6nDLhuUC/w3nYMRsTIj0L7HjCyh84VG752bFyhZJTLQFLPi11XEHm77M0sn+75c/ajTCu6QYS/7ay+VyOBeKbDLb0M5FnBXGcZQYy5Vc18wOL7JVDdeNpgWFI4Gdk+PJy2AzXBe931orFGhFUKuwfoUJh2skDBULnqeF1Su8QxDSHURo1XEABXfNZrNnqyNo6WBdeFbswFdVzfQMt9TrFVrt/cnJ1aPV1aOjgzcf9tutk5UeFlgwTbjOo83OnaPrWrX2GXSq9nc94YoRjAQg2Afrzg5GLLC9jFTDEAVo3IDwM85HhMP22TS8pj1638zNUpK98wI5NHCqnf2p63oex5ZoZ8y1URbyiNU72ZsosY1SwEJajSzj5JCjY4mawmdvvv8IQAMXI/5V1/ZlCCX2r0CzaM1Z8tVsvV6v4m6nf15WXebzyXALpPZ3gRDpqOhFAYyRY2fiCTZJmxUu3QF9JdLSWdUwc+d35d8yxZ680wChWqQ55dhgH+hGz1SjI/bUfAZlVdXvvb7NSi2jCIB1PLT9uGo5NthjR+uxjS9hIdzrdh6z2B34iDOEI7MrGLmYnWOxXC9GVh2hbpy6fx2iqtI6qetc5/QF1PbTWOjKj2KcovUGVQFwy/Zf4F46qnrFwsUiUndGMfZzCfcIZYE0LaoOVroytt8xP7vujmb4nfaVZvpukwr+wKiYvbA2IlXN65npq9dI0rKqXyrQ+up7hI9SpcNO3wVqRuk3cVx4kNVCaVRtuYuEa//Ta7g/M3YX2dIn6Z+lvtKp6cPgl3+Cc29OSi7tqVVHlvPC+hgQnBZ7rYM7hfAxIolspQM+ZqNGexCHiH8O1yHTTi8AAADUSURBVHuYUV0oNicCb7+Ua9Hm2vvHuYCEVE200mawN9jE/XkCIcqq8JMHU//AqnOu6/lAlEcUi6XTk/XJt0NPuZ/Uj2baHU9wSSu2h87FYlK/YOXG6uPJKaRjyAkHy2zvaKzicwlQ/HpS8kFaQbPIZf/VcaD7SrEYVUdcK/mukY26OZS+h4UQSZiXqUIn7Zp+7iBA/ZCIRsvo08HkeiHX+uNejJ2NaUxjGtOYxjSmMY1pTGMa05jGNKYxjWlMYxrTmMY0pjGNaUxjGtOYxjSmMd05/X+fIClXoUgbbAAAAABJRU5ErkJggg==">
          <a:extLst>
            <a:ext uri="{FF2B5EF4-FFF2-40B4-BE49-F238E27FC236}">
              <a16:creationId xmlns:a16="http://schemas.microsoft.com/office/drawing/2014/main" id="{5B6E8BC6-00C9-544C-B172-1E582431AAEB}"/>
            </a:ext>
          </a:extLst>
        </xdr:cNvPr>
        <xdr:cNvSpPr>
          <a:spLocks noChangeAspect="1" noChangeArrowheads="1"/>
        </xdr:cNvSpPr>
      </xdr:nvSpPr>
      <xdr:spPr bwMode="auto">
        <a:xfrm>
          <a:off x="80899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xdr:row>
      <xdr:rowOff>0</xdr:rowOff>
    </xdr:from>
    <xdr:to>
      <xdr:col>7</xdr:col>
      <xdr:colOff>304800</xdr:colOff>
      <xdr:row>28</xdr:row>
      <xdr:rowOff>114300</xdr:rowOff>
    </xdr:to>
    <xdr:sp macro="" textlink="">
      <xdr:nvSpPr>
        <xdr:cNvPr id="2068" name="AutoShape 20" descr="data:image/png;base64,iVBORw0KGgoAAAANSUhEUgAAAOEAAADhCAMAAAAJbSJIAAABX1BMVEUAAAC8Bn2TyT8BAQEAAwC8Bn8AAAO9Bn2Tyj+Tyju8Bny8B3rBBoCVzECXz0C/BH0AAAhDBSy3CH2TyESRCWO+CIKUyT11njiZ0Ea8BYOWzj2czkZoiDKYykaMvEEABgCxC3Q7TiBJYyYjAxc5CCenDHCFCVudC2ZjCEKGC1aiDGpnCkt+CVUyBh50Ck58DU9WBzdwCkVKBjBbeys1RBpSaydzlDSJtEEYGhAeKRVsiztbdS0ADgAhBRIdDR1FDy4oBiUTAQ+SCV0vCBUoBhs/BC8TBBNaBD0TBQZzCVKfDWVTBjFMCjovBCUeAQaoC3hlCTs3Bh1GWigmMxAuQBouOBwcKhB+qjxQZys/TSoeIxVpkDRMYDAoMBaQvEpJZSg2Oxx5lkVagSg6UBRdbjkjGxMWGBgfKRuEqEdIcyUAFQMwNiAAIwMWNgmaC3FMHSdjky+BVkJ0QkYzUR91jkVhYyiYAAAgAElEQVR4nO19i3vaxrbvgCSQ0EgCgUBIgPEDG2NMsAkmfiU1dWunTerUdowTt2mzs0+3T3tu77533///u2utkQDbOHEav+qP1SYBPec36z2PBWNjGtOYxjSmMY1pTGMa05jGNKYxjWlMY/rbkgR01224WZLYQ0fInrKHjvDZg0e48NAR7j5/6AinMw8d4XblwSPMP3SE087MXTfhhmnXadx1E26alMpdt+CGSao4X7EHHblJs87sw0YoN3lkU37ICNlWROk+WHwiN+xypSnJ7EHmiYRJmuZO/KuHipDJSI94vrwrP0yEEnv2NZNZjevlrx+kPQVMqfJTWYqVnXykyeSHN2YDeBbzdopJWxUr4nQ3H55flCRZ0hVrfprJs06e20vfgk19UCRJMXnPsh0n8z17Wctzbte377pN100Sm1WsSJw7dmZhXolEeH6uusmAtTEpoLtu4ZeSxJp5KxKJOPG8Y9vwIa5YVqXxDWbFDwMhY0k9ErEty9YVBXgYiVh2RNGtcqbR3I4x5ObfH+M8j+h2zXESCR0R2sBSy1IUhyfKtfnm5l0378tJXuRKhGeaGd3iDjKQOBmJ6LqC+skr9eVv4arY31diJbnrANdqM7Gd+YrlcMeJRxBkiFThPF+ryuzvG7dKbBfYZSuRLjiK5DevZucqtu5wHiJE68O5Pjsjy7G7butfI2BNFeQ0YnMnsyyRDd19ubz0aK7sAM4QpMPj3Ym/bTQgs4xAwnl5/hs8gOIoy9PLz+d0AGnHQStBV8szciz0IPi3PHiAJMXus2+RZLkiICaUPC9ndqbxaAwwgtimGrZjEULbScz0YQD+VPX5fLf73Vx3/tHOTIj6jqFcStKibglpTETQUZTr38dYP9XYqXAlnlB0W9GTyN7YTHW+YqMMO074tz5XfSruuGssoykmzzgBwoQVsRKKo0MUJ1KNGICqQhAAXIw487tNlFwH7JBlob1Fe6Qo8ThYXLu7fH9zEzAw3/eNSmg/HWvuBRPSx14ENgf4xZXIaAKUlR0Q33vJR2zUjnOuwXbE4rVnklCvqjMaFpEdfuC80ryffCQQS+e5Y+UjXFkAIZXBbNrnYVEvxME42XFrmPV7y0y6f7NZwvbPnuMTWB/O52UwqanZcuICONDGBOgt+sphCVecuXs6mQVcrPAzOGyeqIO1kasVR4mfA8jt8mw1Nb0FN27NVDO2kw9zE8TY/eo+jvkAFxedIWZYVjwzLbPpup234hcAzu7SHYCDYjmpWnb0ECGw3pmdvn/6iF0+P4RQKYPxf5mxeDyfv6CAyhzrjwJQaCOzeYXrAxnW+fzWfcOICF8OEPIuqF/GUUA3E9YFhBHUz+DGrZc7C43nC4uNyFD/JOKWXr+PuSUNZOg6CNoOm+k6/CK0PkTQw2q1Uc/YCU6kVCrnrBF35nd+wHH1+xSxVgAbuu7yS6meH5K6EQQJcxzSSUvYUxBcS78QC1ic781WKcy9NwjjEGMr1pz0yuYjZPM8KZfFNwOC3NLae7Qs35Pxnh84ZhHW7HbNUayRPv6zERI5eTRbd004Olx1MKKuV/MfUcC/RgqvNbbuWB/Ru5XzipKozznn3d91kMPtH+92rAfeXYdcN14rXzsDiRSdV5gcu9OxnhRBUz6WRXwB4TjIM3ZXCGMx8FrT5StYzy8iXr2zKAd7VqpcCK+vHeGSfFd+EeOOipO4GH9eK8Wdu+OhxH6AzOmGAQLCl3diS9EPsqZ90xIKpNt3M5MlsYmtWUiRbhxgIt+4m3wKGAiGXPlolH0dxBV9+27sjDSL0eXFvOC6yeb1W5ZRkZ/LMxUeqiCyMciEbMuKxwdxtXKlOPxywhnXuC3f8syOiIKXhhPzPObmOEofsW27XE4knGCWDRLjL4wGFEX5/rZn55CBcmZ4IDABGau9N9topn7YFdckXzYXZsvc0eNXzZMuwxfh9VvPgnE9FDjBkDfAu0StsSyh859g/ZUmMvy33djTnashjOOo3IWROUDIZ9mtxjNiiGzZDuGBNNrd5q4spmIG60z6+dzyHBcYE7auD1QyMRiZURI8r0B6CdJt29AhVpzsl/CzNi60vlUSKqiEALk+15SD1QgjLsQZRjaT0TkGrmAzBjpJADlqbrmSqTeXt8XomvT0q2YjU+ZcF69QQERv3crIrC400LZ4uT7NBr54Y3Vyf6p9/NPkATUq1ge6Wa0pFtjYYOxCsRyFW068XKtXU9MBgjM9NNPY4wqknNxu3oWnz3BHdG+5ipPAdGx1qtBLF33TMzzPMN1i6bQwGTRcksSM8PNMBaQwAVQu17rPqzNPGSrr0E7Uo8e/tFqt9ocD/JLKWIrT3brd3F5KojGZs0DewDWUd7B1yKjHhY5rGoaqRgdkmKabm2JnrDyKM87WhGKHmisJ9WUf1ntpF25Ccosd7J+Z2dStSygg3K1YoE26E2ng4DwcPDwpmmk1HT1Dmmaafid3sv526G6gWIwMVaijAXdW13tF18z2O0iLRrNeceUQrrh1Pyjt7ilgEcGC74rWtTumgS3LDuNTNbfUOgzvGb7/7Jo+av7rVsctGmr0PKmembt9P8h2yzwBcVglJdYAtdK+dqFpIKC5w9H3n1+1+GRqpWR6F9EFnHRXb90P7uLSEq48F4fW0+7FxmnQ9Ufi/Ov1tVyv01sprH84uvC8jcP2Sck1RzBvQOb+7SKEv2pKAgz4M9L/45IXTV9slZfeJ/F7vJI2TUPTDPzjmlFC2m5PTbXb64WVTqnoG95Z2b5zhGyCdZ2Ek+9CIpNkBx1vZPO80yR4Bvahc447KjoRgOyivUSz+zHe9R/2ht2ipQEezqKjb7AJeGvB1aLpERw01wAe2+i5We2cgoqrNe388Y8R6OGtIUQlbDiKnm+iAX/9zrykSW1k9qRrXB3FeRrugdJtwWMUdzS5btkzqBfHvncJwGNkddu/igReJCG4Q5JhFm4RoCQ/jSjO3iJ+yY3EB33vrePpY/Mz5DC8N6t5oKmeZ5qeiRZIS8P/6Cxuy9IAwpqTKG+DDX1bugyA9x615tjXRujn5aQahhl106XcSav90/7k5P5P64WSjwiNAsZ0twSQSXUeL2Ok/CZ6iY6p2Q5e+rP7CQ8woGza07xitHOyPrl67oWPS5rqvbvViO0Z120EuH8pANX9DS+8lMMXyDD80slxEPycnVeKsdWi9+7JLeKTWZnnUQePzUuNCJrRGCtcYoPOs091SytTqwEc6fxoL3x5d5K8VW9ft5RnoIPHrnoZi4weNmzVvxr3Oi1CFyOSRiAEliZvTQeBtjmHXJAdX84gz/0VL84Z6aiaplwjq2HcEnaIqoK9DATcXPn1dpp+RcJEYA7H89gvH2GQt4Iy9bqYLqXTBqZ3qpEuAaV9hAUGBb9EScazOWLeXeMaEDiKZV6BrHXyI34u7f+M0VowoFFwo17vsbh9smNqfuE1fZ5oFbNRzX19z9at48pK/VuZHRTTlyP0cpD/w8VJZE2Std0e3ioY1fGO4ZDg2aSrmcfsnu0SktgyBKOxWCn6EU8utBDt4sYTxPLuCIVW3vgNo9R34sTGBPRBzlw/9/zDk5M1sqbs9drK2uhIO3ajOzKAhV14bw9Cq0sRGh3RshjL+WYRbnkDlpCt+667D3wkTO98F/89Pj7//LbpuTSSzKZczx+tnqPs7TUiXIwkZda6JJkQBIwRI0tsxcgWyZ9BBlL0oiYC+o1aH3U3khITHmL4+ceeViQU4GyjRdTmEW0Q2G5KsmerEEWNGK4ICQLL4kSI8EQlhChRACpqUjYloRvRTsUQzXmErahWwiuA10Y0PRoFSHChs3ZTCLcy8FfpYjBKMps1XbPU6b1nIcI1D1opEPSyxajREg9Jull3ctBCxBl+PvG0nLj3xNR6Z68J5RJkw/VObwphM8XYe+9iZp4Gj665nbYITqQ+QuAhtf6tDw7fCDK8dVMtsdEIe4ZXEPf2DO3kUoSGcXJTCHdIRrMjrIxqdITTi9HCKGoJSJorDq2ZWlo1VgIY2eg6C0eBh6VUYumi9k9xR1r124MzdFVwJRg6U2vd0Pi+PC2xUlZNX0wpVHMtaMfB5FHY3hAhY0Wt+A/DIAHEcNXdGNjCJ4dvXm8En5N+1hX5xW++ar4eenPy9eNBdlFUzQ83gE5AxFafpyyGMcc4zM8mc+AU3HQLI+UYm4JslmKyX1zjZMrM9qjj102ha3hicqUEN5huKYeyHTs0s2nxoklTDcwwDuUfd3zTdUvkXHodsANaqdPprNyEpILVv6CDyFCKTdCFe1nf1SCcJg+BCJ8gZ3uafwgIO9QLJc3/IJ71pAcqrRlGNGuUAvDZYLxp3VBL4W6wtx1X81w3q5kgwUcmRvyaZxje+xvRxRGuUEtrbgsRTbzz1PTa/lTHUEHWJGQEIpTYkat1IEYT9uXQDEfNJn1oeOekUOioGOhJZEICXT0xoJcQYSz2uuh5pdZ+u1SMusD1Tq8EVqsHPLyREeKke9HGaGmvh1EL66hqbwLtQTHq/ZMQugLhmulOsdeukLsTz2sFAKPZd6R1K2a2RXA6hhl4FPqEh5L/ldbMEzx06KVNurzQ74drRogmsjVyZAleLCEOryNeWyKEEnviRn2cUCtqoF1PIE4AOwsnATVw/Lei5omQnIEQ7FNzwWDtC4tZ1MxJYZQ7qr9CRizpa/4feK4U9oPUp+tCiC++iDAdxYw+duBmi6ukjb8aafcgRPgvDMXQE8qG6v/G2AcXPDledaqlS8LcSEUczwaEP7tR83dC+DPY298J4ZQJUU4S3w0WqijQqziF0Ue1u3tdvIRn/uSO4CD2toTSlxXe4Bj05j1dPlFUXUDYM/0j5FTU/BkjNnMK+fYa4lQx8x3aTYn9YqgCAw4Bpcm6sncmJiAIsJiFzEtCYfDQfrH2WgFobWL72uoXk8RcBBjFuAXOFT33MZMn10peFmKqJIkOITxw1R4KQDoK9idJ9gbzDk0NchBgjiH8yJoHdxKtmao49Br6FLLl/ZW0kUWXCw/dR/SAPY2GGNj67NrW8ZEUkXPIZtFlgMCS58DoChK/YjTbK7mGYbildtgjvgo5fCHtvcHvJc3YZ23PWKOmQ5ga5CCsp0Kohh2Sy3prIlDvGXAZUgvg5NI4s+iX9kU7Wl60A3e+NcHPeGaJVbeuBx+2uGAQQBXXHRSBTJpT89rYPMh2oqZXNIu5/XBlCYPQy/0AzH0ngGggZT3DfUud5UfNcE63qBkiigPUU4iQJHqKzq2Ad896vlHCeXwRDeZUD6PSJy2k9X3W2L0uhGAGwShqmlkqTB38DgdWJ9u9oqF6j8mSelo012rT0pBYiLCk+pPHfpBT5KLe+oav0kAjpLphzMKOQf7oEbKpimEb4E/U/JfoFvD8K//4QBE9YQf0WfNM5ty9vmz4ralGVfdUBI6IAv7faBXdI3xFQdM6QUcMITSMx72sO0En/u17rXUPrQVFL6BMgoclNe1v4Mc3wmOiyJuhyelhGsEYC0Yu4MHfqlERsQo3IcUq1xeDr6tZs3fIzvkh6fQtig9oR1GMC/bzBYl1sv5/+14QP4K/LHSiQcsLJqaOMRLvrCqCnJZpdATqwadTQ+uF+SZlzJDb4PBGkEvFJn5Pda8PYU/1W+zMqh18ZxJ36Ejsg4+qQwj7Z1kPUuC0fygOYaipaUGOCNGfT4r1tqhqqsh135tGTkjcSf8TJNHG2/4jEeGxkca+CY79wRrz1yelxeIHGoaYXpj9s1LLPGrKkhyMxEPEUVSj6WBF0FGgNuD8xMAU8bStwRXmkeDvsRbVUJvelrwTCtQZukrKryA4h/i0J57w2lPVTvD+PyZQRtbNqIFWQDznDatVr42HB2gGGHsxp3OLKwpX8vrzmBwgpDd7xZX21Hqh458ECE8MGp0RCKd8Nap1gr7f8CGeLbRPfHP/xAtMEdhNb61VYIgwarxvraHXg07y4MJf1k9KmMDEwB1G1Xet1nsxk3MsxVPXhrCNsfy3GYtHRJUOXC+5Ny33M+8TMEQGra3wOsEM0okX1aLg/XEvOvsD2GEcC4Qx9h6+aVEP8soVNwjFf/U9cHE+I13Lal6RGNUz1WzUdOG5Yp47+U5L+54BsTDI+P5/dvj11c/AqDdF6zx1Hdeo44pEy94N9BK6e79TxJV2xdLKZICwBU5zDcvTTM/MxFbhSzg+A7x470NwcArepZAu0iAqGJ2SiyEPpswl3y8GYet6yfBdfGzhgLT8yWkRsmwQKPi2wjJl6RrnhuVlx6HqOlhHRlQs45nhpz95PDl5GA5J0HuxOs2zrs25fu5ZMXCnZ2d7UZafPJkIbvz9rczCKQ24cvJAdIKgtwdv6frVU5afvb4RG4nNOLhfJOHo3VfVxh4tnLXyqf75/mBYLFwtS+uFtixHseNzwoP2x53EJxqhD0auxGiaGLOPhU+UBmNVyfAFdDaGx0//84I26l0bwjKtleUZIZkNbmGNvfkh9yh88FDOhv8sO6CzyiPpPA0wDCgWG3XNYJXf8Gg+zg+xDN8e9ZzLjn2CGlSVhT8Kq8rN8YitOzo7gysIA4YQLiFC3pRHvvHM9xAhCx/RH78fhTDGOmubvDL8mKEPFyF+GuDTiKLbcacb7gaYqFpYhcSB9ExKytQSiYpb7M683A0qy+ClGQfXcm/h9/5uHoxCxXn6m27/YXOL6grF4Oju5g9SGFvIbNDiM3nSL+b/NGi2lk7JYOi3FxeZFMY7oplgh6jimDRyDuQsPXJwT4D9bWid5W0Fd/nwZVpLW9uzK5VFONqoKFY8MbdJ7XuZyXRttLyJTLfbzcxIUr2bIVqi86lKuVz5DoBt1cvgXytNhsCWarbj7D0KEFaDO2ZpLr+V61Mxx2znmSzYLG0+ryUSTr7c/THokeVy2a5koFd/rJf35j61ghr7CItbWMrg9w/kXXIYYk/uLta04ktseS+oA5WYQX/1yOG0Gwp7AijFtvNU+8LiYt9EleN+yW1WjTt4HW0OfVYmbYjzP5EbsmQrol5GRWRY4DIFRb2DBcsOZFF+ZIm7FIc3RLyzxHF/xjRr6Dyu259a9Qc9CzKJW0Y2JwbHIgOEm0pcUZxXy1yPW7Q1wrGBM6wWbBpB3xK3raesGdRz41Xq0x386kw/D70POJVUf/cb38HmL1pitwlHt8AeD5bJaadg+uqiQM92hXaOx2lfFBdlF5YcRLhVx5oxTvlTCMEy17AxfG4ItSy2yRDCGSwuYM3nLd2xMeLR6TgDdjgCkcLz8BrpebA/Kv+jFPLQUuBvR0QQtvMC9w3RLk3FIVe3zJ2IE7yHxaZMVaXlqJrm/68F7rwkPi/m4+insWIPWIY8WR/pOVaLUZbofXz+UyMdMbZL23L4q6GDu9aAh8+ofAKH/8pB7UDrT3jo3Hd/lumiSq02V2uAJHw3h6+MO2JnxiNuWzZcze0aPT+Bu/jzolaB4sxR39Vq4hEpNB3tUkBRyBttq0ZbBHZtqjL1aHG7ifWJ8vq3+OxZJQHPtnkcRbz5KYQS+174wsWh5GjRwSqszjdYxGsB22SBem3hykySs7K4bI5cTBjbwf+2OEn2al5wC3pJloVA684sXNslmasFb6JqjM7u8L7KFkStdcUS7r4GNiCvz+A7ZjnufsSdJ2TDE3md2/PV5s4nd4NJJE/QsOHVV00HNy7xaXzccyEMuGZYYl36olMFKFYWgPqz77sYs8czwnPUBEOXsIakqLyE3khmL4ZUAh6Bcl8WdwjXNul67U3QLozpsUfBkonaZ/PcBotPuHGdfT7BM2TVrxC70qJn6NWhKxsc94hG6G7o5kQCzR1eIGrSOZv4eduiMKgfAcjLxO2GcOBY1ytu14LGYUyISwIl7DzQXWFvJRkRJDKs/wxc89hhmTz0DEGJ4xvIz2xCZ9i8S34Z7Lmi8z05dP2fQpjRh1tKNEcIa4QQ3gLeSAQugcEUCKnIIPjlfozTIIS0RUveVWxA6OzQXRlECBETfl4ghMIzSTMYWYg+ETyNlaLm0Y4FLMSnpLA/+TM89wJ9Fddpt/4PFvhvbqX6sdTH8QGEiIjYhmI+m1SPggqJ7IQeXEs6G1dEzEYeb6d/n1Aq/pJOkn1SyhTJyLhlT+Ffy7iFb5aDrXK+p+fJFDvRWjqS9SR7p/qtZEK3nhOv5tGuleWZZh0MlC1MH1z3QqjVVfdKBerEG4OWshTKn+WQ8/k6TxwOrg10lkDMEsKZwX0V6gsqosOqTiBg8HkLWye0TQYdQoTT4uWzxMOXAUIaQe6x78C/yISwArxK2Lrl5IFlESXflAghyQp/ftW8AzRGIOzbM1loZkSnPmo6Ar9AQVUFqeExAKQouj6IxCkQileE4JBxEfmP0E9y69Bq2vdeDrof+wQkQtyfZD0vm95oOIrTFJGqsNxKJB5X9LyT2QxidDJ3ZH+uiJC6njf68izLuiM0DKlBn3eCJpXJQSwQ35wEWIk9ORnq0DYP0WN2QlXctwkV9bkjtO1rbLVTESMkkuiToB3sVFPdw28s4S0xmgoQQlyoV5Y2g5JnIHTYYGfr6nMaNbKJs31tn6AWkd4wSqQgM34p3rnsQJvyfBPbvY3vt/q/qif1uU1XkgvU2UA/QeZBwiaagXkihNvUt5mgfmLHU93/noY4wflatGWRokR9rl5NJeUwuwLWUgmZvc8YaZynALrW95wUKOGPA8VCjxVxgopxxG7gAH5pYklvtIMhQoqiRD7Ctvp+Pbwrvk0jBI1Aegnh985Aet6WtLS5xsqW41RlkUstYrU0lG5QnP46R4n9mBce9ep6uCR884wscsMtsq2RyDRptdCFCvk79kgEc1R2VsaBgIiyMHgO6qjCt6glTSf0JKif8dA6BfzM/yj6pYE74Z1lHHs+TEezXo5VlARZNbqWIgjIMQYZMo6FCGvXt4xXQbgtgpaKSC2ekZSDrk0QwmfIqcBBNzj+fIASaNos9XA3fA5YvjyaDTE+tkQIq5RwbouIQu778LgTjGvP53UbIyccNdfS3imrWHlrj1FD8Ck26cRCOFC0SzWYIeLFZzevvHcfuDEHEQKkvOWlVOpVN4+Rlw0dSVo4QR0Wn9/afPqqgtUhbG5v0VgxJIjk/KtfLS4vol7K+BMRIhyLQeQIj1Se0VDUED+Z7AjbIglvoCQS+YiEa1myarbH/sQQpzmTSqVm6LclugkMHnWaZEsuzyoiVp2DqxLO1X/VB+6ZgVswW89DApFH3xUXsT/+oQ3reXix41iYv0Sc1AStO5Sr+SBb5A6ORYF6WFgJWvRaWUGEEs17BKpHQxY/5gf2NibB6/KQ/eynvXTW623aWP0jEWTFaFJm8ojQdhTI6bllOTVCWMZ29L3UVRCC+OUjotBv3Cb/A+YtjBcqYXkHkR84uOcLTBDcNd0vKiAiR+B2Ig8pAT5zi6xxqHqUAy4Swld97wpfXjq2nl/4n55nRFXz39/gby5AMGwFddugXfK8qDwJGTpl+TZl5BQn19hn8JBhnbmwCgLGRvkFUVQeSB6Uf8AfYsl3kzLGHm9Q7+ph3T3iCatjRqNQHCSl+oEBqh59EWpIoo06hN92nPze//6366WNrLdex1wZK4DHCeGssCrzom6MJWppcIiHGcYPCSoS8hljqTJLVbAKS8KKQ8ba+EFYUcofyOfakM8rkJBnZvBMjBVKNChfLWNNUvhDoxA1EGPOaeYdckqHJ8QPX0oQP+ic7+FnHE5AWhTQH9X+z6nYl//u/5b5EMG7qkHTmhUHAzYHUvxEeQn3CTQ4Pq96CZTL+Ah9mlqaz1Rq3fqyLNaCiMRLFCkvz1UymUfff0vl/8Hwud5PIo5MVZcaz6svtvDEs2WwECkh3S+rjXqjShUwpFh1ofH8VUogbDbq9YWdIBVcfLP/YRLpP18v080D+mZLyJeEhSXmM7W5zCMs5Y+R5Qy8c6n5mWsYzmotWYEk+3+47kBY5oWhc4ytuFG1+OTsTWfV/tLP/THVTyY9QawbTAsM33ZlVGceJ24N0y18yM8dn+x1PHTx4cMfl3AFoVd6e3FwvX/N+c/9iEu6OLrfz+5HPufi1cPn/yJO3C2yuuLjyjRJFgkR/WgeSe5hzhSrUA2aNwumVsRc6nDLhuUC/w3nYMRsTIj0L7HjCyh84VG752bFyhZJTLQFLPi11XEHm77M0sn+75c/ajTCu6QYS/7ay+VyOBeKbDLb0M5FnBXGcZQYy5Vc18wOL7JVDdeNpgWFI4Gdk+PJy2AzXBe931orFGhFUKuwfoUJh2skDBULnqeF1Su8QxDSHURo1XEABXfNZrNnqyNo6WBdeFbswFdVzfQMt9TrFVrt/cnJ1aPV1aOjgzcf9tutk5UeFlgwTbjOo83OnaPrWrX2GXSq9nc94YoRjAQg2Afrzg5GLLC9jFTDEAVo3IDwM85HhMP22TS8pj1638zNUpK98wI5NHCqnf2p63oex5ZoZ8y1URbyiNU72ZsosY1SwEJajSzj5JCjY4mawmdvvv8IQAMXI/5V1/ZlCCX2r0CzaM1Z8tVsvV6v4m6nf15WXebzyXALpPZ3gRDpqOhFAYyRY2fiCTZJmxUu3QF9JdLSWdUwc+d35d8yxZ680wChWqQ55dhgH+hGz1SjI/bUfAZlVdXvvb7NSi2jCIB1PLT9uGo5NthjR+uxjS9hIdzrdh6z2B34iDOEI7MrGLmYnWOxXC9GVh2hbpy6fx2iqtI6qetc5/QF1PbTWOjKj2KcovUGVQFwy/Zf4F46qnrFwsUiUndGMfZzCfcIZYE0LaoOVroytt8xP7vujmb4nfaVZvpukwr+wKiYvbA2IlXN65npq9dI0rKqXyrQ+up7hI9SpcNO3wVqRuk3cVx4kNVCaVRtuYuEa//Ta7g/M3YX2dIn6Z+lvtKp6cPgl3+Cc29OSi7tqVVHlvPC+hgQnBZ7rYM7hfAxIolspQM+ZqNGexCHiH8O1yHTTi8AAADUSURBVHuYUV0oNicCb7+Ua9Hm2vvHuYCEVE200mawN9jE/XkCIcqq8JMHU//AqnOu6/lAlEcUi6XTk/XJt0NPuZ/Uj2baHU9wSSu2h87FYlK/YOXG6uPJKaRjyAkHy2zvaKzicwlQ/HpS8kFaQbPIZf/VcaD7SrEYVUdcK/mukY26OZS+h4UQSZiXqUIn7Zp+7iBA/ZCIRsvo08HkeiHX+uNejJ2NaUxjGtOYxjSmMY1pTGMa05jGNKYxjWlMYxrTmMY0pjGNaUxjGtOYxjSmMd05/X+fIClXoUgbbAAAAABJRU5ErkJggg==">
          <a:extLst>
            <a:ext uri="{FF2B5EF4-FFF2-40B4-BE49-F238E27FC236}">
              <a16:creationId xmlns:a16="http://schemas.microsoft.com/office/drawing/2014/main" id="{BC922227-117F-614B-8FF2-90C5839B90E1}"/>
            </a:ext>
          </a:extLst>
        </xdr:cNvPr>
        <xdr:cNvSpPr>
          <a:spLocks noChangeAspect="1" noChangeArrowheads="1"/>
        </xdr:cNvSpPr>
      </xdr:nvSpPr>
      <xdr:spPr bwMode="auto">
        <a:xfrm>
          <a:off x="6032500" y="52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6</xdr:row>
      <xdr:rowOff>0</xdr:rowOff>
    </xdr:from>
    <xdr:to>
      <xdr:col>17</xdr:col>
      <xdr:colOff>304800</xdr:colOff>
      <xdr:row>7</xdr:row>
      <xdr:rowOff>114300</xdr:rowOff>
    </xdr:to>
    <xdr:sp macro="" textlink="">
      <xdr:nvSpPr>
        <xdr:cNvPr id="3079" name="AutoShape 7"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3F287BCA-CA31-B74D-8A87-2D007BDEE32B}"/>
            </a:ext>
          </a:extLst>
        </xdr:cNvPr>
        <xdr:cNvSpPr>
          <a:spLocks noChangeAspect="1" noChangeArrowheads="1"/>
        </xdr:cNvSpPr>
      </xdr:nvSpPr>
      <xdr:spPr bwMode="auto">
        <a:xfrm>
          <a:off x="60833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xdr:row>
      <xdr:rowOff>0</xdr:rowOff>
    </xdr:from>
    <xdr:to>
      <xdr:col>19</xdr:col>
      <xdr:colOff>304800</xdr:colOff>
      <xdr:row>10</xdr:row>
      <xdr:rowOff>114300</xdr:rowOff>
    </xdr:to>
    <xdr:sp macro="" textlink="">
      <xdr:nvSpPr>
        <xdr:cNvPr id="3080" name="AutoShape 8"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B4E7CFE7-C263-D84C-8F9D-9E8CFA3F9E2F}"/>
            </a:ext>
          </a:extLst>
        </xdr:cNvPr>
        <xdr:cNvSpPr>
          <a:spLocks noChangeAspect="1" noChangeArrowheads="1"/>
        </xdr:cNvSpPr>
      </xdr:nvSpPr>
      <xdr:spPr bwMode="auto">
        <a:xfrm>
          <a:off x="7429500"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xdr:row>
      <xdr:rowOff>0</xdr:rowOff>
    </xdr:from>
    <xdr:to>
      <xdr:col>17</xdr:col>
      <xdr:colOff>304800</xdr:colOff>
      <xdr:row>7</xdr:row>
      <xdr:rowOff>114300</xdr:rowOff>
    </xdr:to>
    <xdr:sp macro="" textlink="">
      <xdr:nvSpPr>
        <xdr:cNvPr id="3081" name="AutoShape 9" descr="data:image/jpeg;base64,/9j/4AAQSkZJRgABAQAAAQABAAD/2wCEAAkGBw0QDQ0NDRAODQ0NDg4PDQ4QDhAQEA0NFxgYFhURFRUaHykgGCYxHBUVLT0tJSk3LjAvFx8zODYsNygtLysBCgoKDQ0NGRAPFzQlHyU3Nys3MC0rNzcuNzc1Ljc3NzUrNzc0Nzg3MzU3NzA3OCs4NTgrMi0vNzc4NysrLys3K//AABEIAJ8BPgMBIgACEQEDEQH/xAAbAAEBAAMBAQEAAAAAAAAAAAAAAQIFBgcEA//EAD4QAAICAQIFAgMEBggHAQAAAAABAgMEBREGEhMhMQdBFCJRMmGBoRUjMzVCclJicXN0kbKzNjd1gpKxtAj/xAAWAQEBAQAAAAAAAAAAAAAAAAAAAwT/xAAiEQEBAAECBQUAAAAAAAAAAAAAAQIDIRFBYXGRBBIjMTL/2gAMAwEAAhEDEQA/APKwAAMWysxAEZTEAARgCAADFlZABGGQARlMQABGAICMAwCMCMAACMEYEAIwBAABGGQAAABi2VmLYEZAAAAA3xCmLYEYBGAZAAIyFIADBGBGARgRgEYBkAAjIUgBkAAhCsgAAjAjZAAIyFIADBGBAAAIUxbANmBWQAAAAAA3rMSsgAxKyACMMgAAMCMgAEZAwAMSsgAjDIAIysgAjBAAAAhGGyACMMgAAMCNkDAAAgBmLZWzAAAAAAAAADdkZTEAARgCAACMNkAEYZAB+mPj2WzVdUZWTlvtGK3b2W7/ACR3PBXpbmajQsy22GDiSTdVk4Oyy2K/jUN4pR892+/lLbudJL0wy9PhbnaddTqrVM10uR1WpeW62pSjN7pdns2lsu/knq3OYW6c43lHj1tcoylCS5ZRbjKL8xkuzTMRzN/M3u5d235bfdsjCk6hAGBGARgRgAAfXpWlZWXb0MSmzIu5XPp1reXItt5fmv8AM+M9H9Af36/8Fkf6qwPPs/Cux7p0ZFcqbqntZXNbSg9k9n+DR851vqx/xBqn99D/AG4HIsAQAARs2vDGkfHZ+Lg9To/E2qvq8nPydm9+Xdb+Pqff6g8KfonO+C6/xX6mu3qdLpfacly8vNL+j9fcDmgAAI2GYyYEZAAAAAAAAAAN0yAARkKQAGCMCMAjAjJNdnt52exSSeyb+i3A9w48qeocK6ffp1tcMXGhj9fGc+RT5YqqOP27OUbHFKL7N7fRb8vp3EF+gWQeJQ76niwqzU+eGO8ltOFkpJNKeysW3upL6I+WnhPO0uzEtz7YQwcuTmujfOVE74R6lXVTSjv5cfPeB0fpBxXLKzMvSr8aq3FzviMiTcOaSSUY8lye8ZR5FGPjyl53DJl78vVST84zj3t2njdyfpvhY2o8QcmXRXOjJ+Nvlj9+SDe84xXh9t/yO917A4O0fKsjl4/xGRdtYsaNcr4YtTSSSg3yx35W++8u79mkaHgXS6sTjW7Eo/Y0fGRqW7fLB1qShv77c234HLerbb4h1Pfv+spX4KmtINb07M9N+Hs6vG1XDsWJp+07srpzcarMeKlzfa/YtSjs9ttkpdk+58+h5HBGbdHS6MSClZvCi2dFtbuaTfy3N86eyf2mm/7T5+H5tcA5mzf7PNX4O57r82eVcGfvfSf+pYP+9ADa8Y8E24mtLSsbmu+JlS8JyfzOu1uKU2vpKM039I7no+Rw5wtoFFK1WKzs22G7U63dKf1cKd+WEd/Dfd/V7H68X5FdfHWhytaUXhwrTfjqTeXCC/8AKUf8zjPXvT8ivWXk2qTxsiilY89nyR5FtOrf677vb+uB3HDvD3COr3RycGmMJ4+7ycJxnUpwlFxi5Vb7dm094e62ZzGncL6dLjPK02WNW8GFcnDH+bki+hXLfzv5k3+J8HoFgZE9YeTWpLHox7o32bfI3PZQr3+u+z2/qnTaV/zBzP7qX/z1AbXUuEeDcHLlHOePXbkuMqce2+yNdFeyj2intFNxb5p+7ezRo+AI6THi26vRlJYleDfBy6rsrncpQ5nU3u3Hx33e+za7bHD+skm+ItS3e+0sZL7l0KuxtfQD9+v/AAWR/qrA6+fp1HN1/VNT1LavS6blKKnLkWU41x5m5e0Fs9377NezPMeOc7TsrOjj6Jh10Y0J9OqcIy6ubbJ8ql3fyx322Xnvu/KUfdtbysPWlqvD0rp4mXjyW3LL9pFKM4WKPbqR3aUov8uzXg+m6XdpfEGBRqMFU8fPxJTk3+rlV1FtdGXvH33+5p7NNAejR4V4d0DEot1yPx+oXxb6Si7Fv25o11tqOy3S5p+fbbfZZ4ei8LcQ1XV6ZVLTNQqg5xj01VJR8Kcq4ycLI7tb7d1uvG5v/VPWdJw8iizU9Jef1aeWrK6dMorllJuneT3TW+//AHf2nK6R6l8PY85ZOHottM6o7Tupqoj04y7bSkn2Tf1A1vpNZpmJqH6O1HEsnrEdQlXj3xinChxio7OXOu3NGXiL8o6D1s1XQ4WZONk4ltmrTw4fD5ShFwrTcuTd86a2af8AD7nGaLrVWfxljZ1MJVV5GZVKMJ7c0dq1F77dvMW/xP1//QX79X+Cx/8AVMDq8fQdB0LRsPP1LE/SWRmKlScq4XRVk4OzkjGb5IxST7+X/wCuZ9RaOG8nTqtT0idGJl80ergKUYTnBvladKe0ZJ9949mt/PZm4weM9V0bCxcDiDTI5OFOHSxpuymUnTBL5JRXNGeycUt9u312Lxjwzo2o6DZr2k47wLKVKUquVVQshCfJODhFuCflpx8+H9weKtmBWQAAAAAAAAAAANyRhkAABgRkDAEIGABiysjQHrmg8cRxNLxMHXcaOfhW1JUKMYTtrqjs4V2VT2jJJOO0k012Wza3P0l6n6Jg1WrQdNdWTbHbq2VV1QX0cnGTnNJ+3ZfejyfOz773GV83Y4R5Y7qK5Y/RJJI+UJ6U1Jh8l36fTpuDeK3g6t+lMiM8qcviHalKMZ2W27809/Hls+HjHWo5+o5edGuVMcmcJKuUlKUdoRh3a/l/M04jCT7pSaX0TewUdzp3H1dXDt2hvHslZar0shWR5Fzz518u25yOiZyxszDynFzWLlY97gns5qucZuKft9k+OcWns0015TTTX4CNcmpNRk4wSc2otqCb2Tk/bv8AUDqvUfi+Oq59ObVVZi9LGrpUZTUpc8bLJ86lHx9tf5HY6D60J46xtZw1mqKSd0FW3bt4dlU/l3+9P8EeRAD2WXrfVXdTDE0/o4Fbm7K1KuNtu8WoqMYrlguZp+7e3t78rieoNVfEl+uvHsddsHFY/Ujzx/VQr35ttv4N/wATgmyyrkoxk4yUZ78knFqM9uz2fvsBuuNtdjqGp5WfCuVMch1NVykpSjy1wh3a/l/M+v064qhpWoPNsqnfF0WVckJKL3k4vfd/ynLsgHQ8QcUW3axdq+J1MS2d0bafmTnVJRjHu/D8Pt4aezOn4y9RcPVsCunNwZw1CqH6vKqsjyxt9/la35Hst4t9vrutzzcbgep8Mer/ACYkcDWcSOp0QioKx8kpygvsxshNctj+/dPt33e7M+IfVjCeDfgaRpdGLVkwlCyVlVMYLfs2qYLlk/vb7NeGeURi34Teybeyb2S7tkaaez7Ndmn5TA23CWrxwdRxM2UHbHGtVjgmk5rZrZN/2my9R+KoatqHxldUqI9CurknJSe8XJ77r+Y5cAeqcN+r8Y4Ven6zhQ1KmqMYQsfJKUoRSUFZXNOM2v6W68Ls3uzW8eeqdmfiLTcLGhp+B8qnCLi5WQi94w2SUYR3Sey+i77bp+dtmAAAAAAAAAAAAAABuCAACMMgAjBABGUxAAEYAgIwDPswc6dVWXCNllfWoUYKMpJOzq1S77ePkjPv+HufGRgdFdqWFZdzzjBv9coTdSUV8lKhKz5Jc/eN/mMtnJeFs18eDm46d8JxjGm7MonycjsjCiKvW6bXNsupX7Jte3lGoAG9pycNQnS3W63LF+boSfNJY8q52J8vMkrXzeza32Tb2MasnAg64uMLI89fVn0n3UaIR5k5R35espN9t2t+z32ekMWBtq78b4i+S6FalXBUSnVK2iNidfPJw6a8pWfwJJy7Jdmrk52PO7D5IwWPQrI8lsH8sHfdOMZuKk5fJKHlSW/lPunpyMDpciWBGqDfTsrt55csaVDIm1kLdxmopQSgpr+Hft8q3XL+N+fiQSlCNFt6nVvKvF5a+kp2SajCcUk+Xprd+e3lpt8+ANzrmRj2Vzdcqna8myS6VTh1KpOb5pN1xcWt4LZS2f0TTb+rK1HEsujLelKy22yyfwsd4Q6UOlW062l8/OntF/Xujm2QDpp52DH4p0OuCsWZFR6MnOanVGNarlyfIlJ2du3n3WyVjk4V2VGvkrlXbcmnKtqU7ZZm/wA03823Qf12/E5gAbXiWlQvikq0ujX9irottbxcp18seRtpvbbw13a2ZqWwYyYEZAAAAAAAAAAAAAAADbhgjAjAIwIwCMAyAARkKQAQMAQhWQAARgRkAAMxKQAGCNgRgAAQpGBGzArZAAAAAAAAAAAAAAAAANsyBgCEDAAxKyACMrMQAYIAIwQAAABiw2QARlZiAAABmIYAAACMxkytmAAAAAAAAAAAAAAAAAAAAbUjBABGUxAAEYAgDAjAIwDIAAIymLAgBGAIAAIysxAAAARsMxkwIyAAAAAAAAAAAAAAAAAAAAB//9k=">
          <a:extLst>
            <a:ext uri="{FF2B5EF4-FFF2-40B4-BE49-F238E27FC236}">
              <a16:creationId xmlns:a16="http://schemas.microsoft.com/office/drawing/2014/main" id="{98FFEF05-7366-E544-90CC-E3F325F1E7F9}"/>
            </a:ext>
          </a:extLst>
        </xdr:cNvPr>
        <xdr:cNvSpPr>
          <a:spLocks noChangeAspect="1" noChangeArrowheads="1"/>
        </xdr:cNvSpPr>
      </xdr:nvSpPr>
      <xdr:spPr bwMode="auto">
        <a:xfrm>
          <a:off x="60833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428625</xdr:colOff>
      <xdr:row>1</xdr:row>
      <xdr:rowOff>152400</xdr:rowOff>
    </xdr:from>
    <xdr:to>
      <xdr:col>25</xdr:col>
      <xdr:colOff>409575</xdr:colOff>
      <xdr:row>24</xdr:row>
      <xdr:rowOff>47625</xdr:rowOff>
    </xdr:to>
    <xdr:graphicFrame macro="">
      <xdr:nvGraphicFramePr>
        <xdr:cNvPr id="2" name="Chart 1">
          <a:extLst>
            <a:ext uri="{FF2B5EF4-FFF2-40B4-BE49-F238E27FC236}">
              <a16:creationId xmlns:a16="http://schemas.microsoft.com/office/drawing/2014/main" id="{74958FB3-98E2-4421-9F6E-E3DD94F29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542925</xdr:colOff>
      <xdr:row>14</xdr:row>
      <xdr:rowOff>138112</xdr:rowOff>
    </xdr:from>
    <xdr:to>
      <xdr:col>12</xdr:col>
      <xdr:colOff>390525</xdr:colOff>
      <xdr:row>29</xdr:row>
      <xdr:rowOff>23812</xdr:rowOff>
    </xdr:to>
    <xdr:graphicFrame macro="">
      <xdr:nvGraphicFramePr>
        <xdr:cNvPr id="3" name="Chart 2">
          <a:extLst>
            <a:ext uri="{FF2B5EF4-FFF2-40B4-BE49-F238E27FC236}">
              <a16:creationId xmlns:a16="http://schemas.microsoft.com/office/drawing/2014/main" id="{9453AB71-A019-4321-B041-4B9F44DB5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47625</xdr:colOff>
      <xdr:row>13</xdr:row>
      <xdr:rowOff>66675</xdr:rowOff>
    </xdr:from>
    <xdr:to>
      <xdr:col>1</xdr:col>
      <xdr:colOff>209550</xdr:colOff>
      <xdr:row>13</xdr:row>
      <xdr:rowOff>142875</xdr:rowOff>
    </xdr:to>
    <xdr:sp macro="" textlink="">
      <xdr:nvSpPr>
        <xdr:cNvPr id="3" name="Höger 2">
          <a:extLst>
            <a:ext uri="{FF2B5EF4-FFF2-40B4-BE49-F238E27FC236}">
              <a16:creationId xmlns:a16="http://schemas.microsoft.com/office/drawing/2014/main" id="{00000000-0008-0000-1000-000003000000}"/>
            </a:ext>
          </a:extLst>
        </xdr:cNvPr>
        <xdr:cNvSpPr/>
      </xdr:nvSpPr>
      <xdr:spPr>
        <a:xfrm>
          <a:off x="47625" y="2390775"/>
          <a:ext cx="161925" cy="76200"/>
        </a:xfrm>
        <a:prstGeom prst="rightArrow">
          <a:avLst/>
        </a:prstGeom>
        <a:solidFill>
          <a:srgbClr val="FF0000"/>
        </a:solidFill>
      </xdr:spPr>
      <xdr:style>
        <a:lnRef idx="1">
          <a:schemeClr val="accent2"/>
        </a:lnRef>
        <a:fillRef idx="3">
          <a:schemeClr val="accent2"/>
        </a:fillRef>
        <a:effectRef idx="2">
          <a:schemeClr val="accent2"/>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sv-SE" sz="1100"/>
        </a:p>
      </xdr:txBody>
    </xdr:sp>
    <xdr:clientData/>
  </xdr:twoCellAnchor>
  <xdr:twoCellAnchor>
    <xdr:from>
      <xdr:col>1</xdr:col>
      <xdr:colOff>57150</xdr:colOff>
      <xdr:row>16</xdr:row>
      <xdr:rowOff>57150</xdr:rowOff>
    </xdr:from>
    <xdr:to>
      <xdr:col>1</xdr:col>
      <xdr:colOff>219075</xdr:colOff>
      <xdr:row>16</xdr:row>
      <xdr:rowOff>133350</xdr:rowOff>
    </xdr:to>
    <xdr:sp macro="" textlink="">
      <xdr:nvSpPr>
        <xdr:cNvPr id="4" name="Höger 3">
          <a:extLst>
            <a:ext uri="{FF2B5EF4-FFF2-40B4-BE49-F238E27FC236}">
              <a16:creationId xmlns:a16="http://schemas.microsoft.com/office/drawing/2014/main" id="{00000000-0008-0000-1000-000004000000}"/>
            </a:ext>
          </a:extLst>
        </xdr:cNvPr>
        <xdr:cNvSpPr/>
      </xdr:nvSpPr>
      <xdr:spPr>
        <a:xfrm>
          <a:off x="57150" y="3333750"/>
          <a:ext cx="161925" cy="76200"/>
        </a:xfrm>
        <a:prstGeom prst="rightArrow">
          <a:avLst/>
        </a:prstGeom>
        <a:solidFill>
          <a:srgbClr val="FF0000"/>
        </a:solidFill>
      </xdr:spPr>
      <xdr:style>
        <a:lnRef idx="1">
          <a:schemeClr val="accent2"/>
        </a:lnRef>
        <a:fillRef idx="3">
          <a:schemeClr val="accent2"/>
        </a:fillRef>
        <a:effectRef idx="2">
          <a:schemeClr val="accent2"/>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sv-SE" sz="1100"/>
        </a:p>
      </xdr:txBody>
    </xdr:sp>
    <xdr:clientData/>
  </xdr:twoCellAnchor>
  <xdr:twoCellAnchor>
    <xdr:from>
      <xdr:col>1</xdr:col>
      <xdr:colOff>57150</xdr:colOff>
      <xdr:row>20</xdr:row>
      <xdr:rowOff>69850</xdr:rowOff>
    </xdr:from>
    <xdr:to>
      <xdr:col>1</xdr:col>
      <xdr:colOff>219075</xdr:colOff>
      <xdr:row>20</xdr:row>
      <xdr:rowOff>146050</xdr:rowOff>
    </xdr:to>
    <xdr:sp macro="" textlink="">
      <xdr:nvSpPr>
        <xdr:cNvPr id="5" name="Höger 4">
          <a:extLst>
            <a:ext uri="{FF2B5EF4-FFF2-40B4-BE49-F238E27FC236}">
              <a16:creationId xmlns:a16="http://schemas.microsoft.com/office/drawing/2014/main" id="{00000000-0008-0000-1000-000005000000}"/>
            </a:ext>
          </a:extLst>
        </xdr:cNvPr>
        <xdr:cNvSpPr/>
      </xdr:nvSpPr>
      <xdr:spPr>
        <a:xfrm>
          <a:off x="298450" y="3740150"/>
          <a:ext cx="161925" cy="76200"/>
        </a:xfrm>
        <a:prstGeom prst="rightArrow">
          <a:avLst/>
        </a:prstGeom>
        <a:solidFill>
          <a:srgbClr val="FF0000"/>
        </a:solidFill>
      </xdr:spPr>
      <xdr:style>
        <a:lnRef idx="1">
          <a:schemeClr val="accent2"/>
        </a:lnRef>
        <a:fillRef idx="3">
          <a:schemeClr val="accent2"/>
        </a:fillRef>
        <a:effectRef idx="2">
          <a:schemeClr val="accent2"/>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sv-SE" sz="1100"/>
        </a:p>
      </xdr:txBody>
    </xdr:sp>
    <xdr:clientData/>
  </xdr:twoCellAnchor>
  <xdr:twoCellAnchor>
    <xdr:from>
      <xdr:col>1</xdr:col>
      <xdr:colOff>66675</xdr:colOff>
      <xdr:row>25</xdr:row>
      <xdr:rowOff>79375</xdr:rowOff>
    </xdr:from>
    <xdr:to>
      <xdr:col>1</xdr:col>
      <xdr:colOff>228600</xdr:colOff>
      <xdr:row>25</xdr:row>
      <xdr:rowOff>155575</xdr:rowOff>
    </xdr:to>
    <xdr:sp macro="" textlink="">
      <xdr:nvSpPr>
        <xdr:cNvPr id="10" name="Höger 9">
          <a:extLst>
            <a:ext uri="{FF2B5EF4-FFF2-40B4-BE49-F238E27FC236}">
              <a16:creationId xmlns:a16="http://schemas.microsoft.com/office/drawing/2014/main" id="{00000000-0008-0000-1000-00000A000000}"/>
            </a:ext>
          </a:extLst>
        </xdr:cNvPr>
        <xdr:cNvSpPr/>
      </xdr:nvSpPr>
      <xdr:spPr>
        <a:xfrm>
          <a:off x="307975" y="4702175"/>
          <a:ext cx="161925" cy="76200"/>
        </a:xfrm>
        <a:prstGeom prst="rightArrow">
          <a:avLst/>
        </a:prstGeom>
        <a:solidFill>
          <a:srgbClr val="FF0000"/>
        </a:solidFill>
      </xdr:spPr>
      <xdr:style>
        <a:lnRef idx="1">
          <a:schemeClr val="accent2"/>
        </a:lnRef>
        <a:fillRef idx="3">
          <a:schemeClr val="accent2"/>
        </a:fillRef>
        <a:effectRef idx="2">
          <a:schemeClr val="accent2"/>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sv-SE" sz="1100"/>
        </a:p>
      </xdr:txBody>
    </xdr:sp>
    <xdr:clientData/>
  </xdr:twoCellAnchor>
  <xdr:twoCellAnchor editAs="oneCell">
    <xdr:from>
      <xdr:col>1</xdr:col>
      <xdr:colOff>291436</xdr:colOff>
      <xdr:row>0</xdr:row>
      <xdr:rowOff>0</xdr:rowOff>
    </xdr:from>
    <xdr:to>
      <xdr:col>5</xdr:col>
      <xdr:colOff>228599</xdr:colOff>
      <xdr:row>6</xdr:row>
      <xdr:rowOff>164519</xdr:rowOff>
    </xdr:to>
    <xdr:pic>
      <xdr:nvPicPr>
        <xdr:cNvPr id="2" name="Picture 1">
          <a:hlinkClick xmlns:r="http://schemas.openxmlformats.org/officeDocument/2006/relationships" r:id="rId1"/>
          <a:extLst>
            <a:ext uri="{FF2B5EF4-FFF2-40B4-BE49-F238E27FC236}">
              <a16:creationId xmlns:a16="http://schemas.microsoft.com/office/drawing/2014/main" id="{A9ECA296-A7D2-F84F-B5B2-269F2A1AB998}"/>
            </a:ext>
          </a:extLst>
        </xdr:cNvPr>
        <xdr:cNvPicPr>
          <a:picLocks noChangeAspect="1"/>
        </xdr:cNvPicPr>
      </xdr:nvPicPr>
      <xdr:blipFill>
        <a:blip xmlns:r="http://schemas.openxmlformats.org/officeDocument/2006/relationships" r:embed="rId2"/>
        <a:stretch>
          <a:fillRect/>
        </a:stretch>
      </xdr:blipFill>
      <xdr:spPr>
        <a:xfrm>
          <a:off x="532736" y="0"/>
          <a:ext cx="2261263" cy="1307519"/>
        </a:xfrm>
        <a:prstGeom prst="rect">
          <a:avLst/>
        </a:prstGeom>
      </xdr:spPr>
    </xdr:pic>
    <xdr:clientData/>
  </xdr:twoCellAnchor>
  <xdr:twoCellAnchor editAs="oneCell">
    <xdr:from>
      <xdr:col>0</xdr:col>
      <xdr:colOff>190500</xdr:colOff>
      <xdr:row>38</xdr:row>
      <xdr:rowOff>76200</xdr:rowOff>
    </xdr:from>
    <xdr:to>
      <xdr:col>12</xdr:col>
      <xdr:colOff>0</xdr:colOff>
      <xdr:row>42</xdr:row>
      <xdr:rowOff>171880</xdr:rowOff>
    </xdr:to>
    <xdr:pic>
      <xdr:nvPicPr>
        <xdr:cNvPr id="11" name="Picture 10">
          <a:extLst>
            <a:ext uri="{FF2B5EF4-FFF2-40B4-BE49-F238E27FC236}">
              <a16:creationId xmlns:a16="http://schemas.microsoft.com/office/drawing/2014/main" id="{B52BA6CE-9AD6-9245-AA34-2D91D0DD571A}"/>
            </a:ext>
          </a:extLst>
        </xdr:cNvPr>
        <xdr:cNvPicPr>
          <a:picLocks noChangeAspect="1"/>
        </xdr:cNvPicPr>
      </xdr:nvPicPr>
      <xdr:blipFill>
        <a:blip xmlns:r="http://schemas.openxmlformats.org/officeDocument/2006/relationships" r:embed="rId3"/>
        <a:stretch>
          <a:fillRect/>
        </a:stretch>
      </xdr:blipFill>
      <xdr:spPr>
        <a:xfrm>
          <a:off x="190500" y="7607300"/>
          <a:ext cx="15798800" cy="857680"/>
        </a:xfrm>
        <a:prstGeom prst="rect">
          <a:avLst/>
        </a:prstGeom>
      </xdr:spPr>
    </xdr:pic>
    <xdr:clientData/>
  </xdr:twoCellAnchor>
  <xdr:twoCellAnchor editAs="oneCell">
    <xdr:from>
      <xdr:col>0</xdr:col>
      <xdr:colOff>152399</xdr:colOff>
      <xdr:row>102</xdr:row>
      <xdr:rowOff>139700</xdr:rowOff>
    </xdr:from>
    <xdr:to>
      <xdr:col>10</xdr:col>
      <xdr:colOff>1557558</xdr:colOff>
      <xdr:row>107</xdr:row>
      <xdr:rowOff>165100</xdr:rowOff>
    </xdr:to>
    <xdr:pic>
      <xdr:nvPicPr>
        <xdr:cNvPr id="15" name="Picture 14">
          <a:extLst>
            <a:ext uri="{FF2B5EF4-FFF2-40B4-BE49-F238E27FC236}">
              <a16:creationId xmlns:a16="http://schemas.microsoft.com/office/drawing/2014/main" id="{B4A7C3C7-C1FE-1941-9E31-0DAB68D71F9A}"/>
            </a:ext>
          </a:extLst>
        </xdr:cNvPr>
        <xdr:cNvPicPr>
          <a:picLocks noChangeAspect="1"/>
        </xdr:cNvPicPr>
      </xdr:nvPicPr>
      <xdr:blipFill>
        <a:blip xmlns:r="http://schemas.openxmlformats.org/officeDocument/2006/relationships" r:embed="rId4"/>
        <a:stretch>
          <a:fillRect/>
        </a:stretch>
      </xdr:blipFill>
      <xdr:spPr>
        <a:xfrm>
          <a:off x="152399" y="19951700"/>
          <a:ext cx="13851159" cy="977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wner/Downloads/Sofapenger%20logg+sta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udvigloite/OneDrive%20-%20NTNU/Lagres_p&#229;_Mac/Annet/Prosjekter/Betting/2020_BettingRegnska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ill"/>
      <sheetName val="Regnskap"/>
      <sheetName val="Penger"/>
      <sheetName val="BookieNavn"/>
      <sheetName val="Stats"/>
      <sheetName val="Data"/>
      <sheetName val="TurnOver"/>
      <sheetName val="LogBackBets"/>
      <sheetName val="LES MEG"/>
    </sheetNames>
    <sheetDataSet>
      <sheetData sheetId="0" refreshError="1"/>
      <sheetData sheetId="1" refreshError="1"/>
      <sheetData sheetId="2" refreshError="1"/>
      <sheetData sheetId="3">
        <row r="1">
          <cell r="D1" t="str">
            <v>Sport</v>
          </cell>
          <cell r="H1" t="str">
            <v>Bookie</v>
          </cell>
          <cell r="K1" t="str">
            <v>Type</v>
          </cell>
          <cell r="M1" t="str">
            <v>Type</v>
          </cell>
        </row>
        <row r="2">
          <cell r="D2" t="str">
            <v>FB</v>
          </cell>
          <cell r="H2" t="str">
            <v>Smarkets</v>
          </cell>
          <cell r="K2" t="str">
            <v>Deposit</v>
          </cell>
          <cell r="M2" t="str">
            <v>Bonus</v>
          </cell>
        </row>
        <row r="3">
          <cell r="D3" t="str">
            <v>AF</v>
          </cell>
          <cell r="H3" t="str">
            <v>888Sports</v>
          </cell>
          <cell r="K3" t="str">
            <v>Withdrawal</v>
          </cell>
          <cell r="M3" t="str">
            <v>Other</v>
          </cell>
        </row>
        <row r="4">
          <cell r="D4" t="str">
            <v>IH</v>
          </cell>
          <cell r="H4" t="str">
            <v>Bet365</v>
          </cell>
        </row>
        <row r="5">
          <cell r="D5" t="str">
            <v>GO</v>
          </cell>
          <cell r="H5" t="str">
            <v>Bet90</v>
          </cell>
        </row>
        <row r="6">
          <cell r="D6" t="str">
            <v>TE</v>
          </cell>
          <cell r="H6" t="str">
            <v>Betfinal</v>
          </cell>
        </row>
        <row r="7">
          <cell r="D7" t="str">
            <v>BB</v>
          </cell>
          <cell r="H7" t="str">
            <v>Bethard</v>
          </cell>
        </row>
        <row r="8">
          <cell r="D8"/>
          <cell r="H8" t="str">
            <v>Betive</v>
          </cell>
        </row>
        <row r="9">
          <cell r="D9"/>
          <cell r="H9" t="str">
            <v>Betsafe</v>
          </cell>
        </row>
        <row r="10">
          <cell r="D10"/>
          <cell r="H10" t="str">
            <v>Betser</v>
          </cell>
        </row>
        <row r="11">
          <cell r="D11"/>
          <cell r="H11" t="str">
            <v>Betsson</v>
          </cell>
        </row>
        <row r="12">
          <cell r="D12"/>
          <cell r="H12" t="str">
            <v>BetVictor</v>
          </cell>
        </row>
        <row r="13">
          <cell r="D13"/>
          <cell r="H13" t="str">
            <v>BetWay</v>
          </cell>
        </row>
        <row r="14">
          <cell r="D14"/>
          <cell r="H14" t="str">
            <v>Casinostugan</v>
          </cell>
        </row>
        <row r="15">
          <cell r="D15"/>
          <cell r="H15" t="str">
            <v>CherryCasino</v>
          </cell>
        </row>
        <row r="16">
          <cell r="D16"/>
          <cell r="H16" t="str">
            <v>Comeon</v>
          </cell>
        </row>
        <row r="17">
          <cell r="D17"/>
          <cell r="H17" t="str">
            <v>Coolbet</v>
          </cell>
        </row>
        <row r="18">
          <cell r="D18"/>
          <cell r="H18" t="str">
            <v>ExclusiveBet</v>
          </cell>
        </row>
        <row r="19">
          <cell r="D19"/>
          <cell r="H19" t="str">
            <v>Expekt</v>
          </cell>
        </row>
        <row r="20">
          <cell r="D20"/>
          <cell r="H20" t="str">
            <v>Fansbet</v>
          </cell>
        </row>
        <row r="21">
          <cell r="D21"/>
          <cell r="H21" t="str">
            <v>Feelbet</v>
          </cell>
        </row>
        <row r="22">
          <cell r="D22"/>
          <cell r="H22" t="str">
            <v>Folkeautomaten</v>
          </cell>
        </row>
        <row r="23">
          <cell r="D23"/>
          <cell r="H23" t="str">
            <v>Guts</v>
          </cell>
        </row>
        <row r="24">
          <cell r="D24"/>
          <cell r="H24" t="str">
            <v>LeoVegas</v>
          </cell>
        </row>
        <row r="25">
          <cell r="D25"/>
          <cell r="H25" t="str">
            <v>LSBet</v>
          </cell>
        </row>
        <row r="26">
          <cell r="D26"/>
          <cell r="H26" t="str">
            <v>Mobilebet</v>
          </cell>
        </row>
        <row r="27">
          <cell r="D27"/>
          <cell r="H27" t="str">
            <v>MrGreen</v>
          </cell>
        </row>
        <row r="28">
          <cell r="D28"/>
          <cell r="H28" t="str">
            <v>MrWin</v>
          </cell>
        </row>
        <row r="29">
          <cell r="D29"/>
          <cell r="H29" t="str">
            <v>NetBet</v>
          </cell>
        </row>
        <row r="30">
          <cell r="D30"/>
          <cell r="H30" t="str">
            <v>NordicBet</v>
          </cell>
        </row>
        <row r="31">
          <cell r="D31"/>
          <cell r="H31" t="str">
            <v>Norgesspill</v>
          </cell>
        </row>
        <row r="32">
          <cell r="D32"/>
          <cell r="H32" t="str">
            <v>NorgeVegas</v>
          </cell>
        </row>
        <row r="33">
          <cell r="D33"/>
          <cell r="H33" t="str">
            <v>NorskTipping</v>
          </cell>
        </row>
        <row r="34">
          <cell r="D34"/>
          <cell r="H34" t="str">
            <v>Oddsautomaten</v>
          </cell>
        </row>
        <row r="35">
          <cell r="D35"/>
          <cell r="H35" t="str">
            <v>Olybet</v>
          </cell>
        </row>
        <row r="36">
          <cell r="D36"/>
          <cell r="H36" t="str">
            <v>Onebet</v>
          </cell>
        </row>
        <row r="37">
          <cell r="D37"/>
          <cell r="H37" t="str">
            <v>Paddypower</v>
          </cell>
        </row>
        <row r="38">
          <cell r="D38"/>
          <cell r="H38" t="str">
            <v>Pinnacle</v>
          </cell>
        </row>
        <row r="39">
          <cell r="D39"/>
          <cell r="H39" t="str">
            <v>Racebets</v>
          </cell>
        </row>
        <row r="40">
          <cell r="D40"/>
          <cell r="H40" t="str">
            <v>RealDealBet</v>
          </cell>
        </row>
        <row r="41">
          <cell r="D41"/>
          <cell r="H41" t="str">
            <v>Redarmybet</v>
          </cell>
        </row>
        <row r="42">
          <cell r="D42"/>
          <cell r="H42" t="str">
            <v>Redbet</v>
          </cell>
        </row>
        <row r="43">
          <cell r="D43"/>
          <cell r="H43" t="str">
            <v>Redsbet</v>
          </cell>
        </row>
        <row r="44">
          <cell r="D44"/>
          <cell r="H44" t="str">
            <v>Rivalo</v>
          </cell>
        </row>
        <row r="45">
          <cell r="D45"/>
          <cell r="H45" t="str">
            <v>Rizk</v>
          </cell>
        </row>
        <row r="46">
          <cell r="D46"/>
          <cell r="H46" t="str">
            <v>SBOBet</v>
          </cell>
        </row>
        <row r="47">
          <cell r="D47"/>
          <cell r="H47" t="str">
            <v>Scandibet</v>
          </cell>
        </row>
        <row r="48">
          <cell r="D48"/>
          <cell r="H48" t="str">
            <v>Spilleautomater</v>
          </cell>
        </row>
        <row r="49">
          <cell r="D49"/>
          <cell r="H49" t="str">
            <v>Sportmarket</v>
          </cell>
        </row>
        <row r="50">
          <cell r="D50"/>
          <cell r="H50" t="str">
            <v>Sunmaker</v>
          </cell>
        </row>
        <row r="51">
          <cell r="D51"/>
          <cell r="H51" t="str">
            <v>Superlenny</v>
          </cell>
        </row>
        <row r="52">
          <cell r="H52" t="str">
            <v>Titanbet</v>
          </cell>
        </row>
        <row r="53">
          <cell r="H53" t="str">
            <v>Unibet</v>
          </cell>
        </row>
        <row r="54">
          <cell r="H54" t="str">
            <v>VonBets</v>
          </cell>
        </row>
        <row r="55">
          <cell r="H55" t="str">
            <v>Xtip</v>
          </cell>
        </row>
        <row r="56">
          <cell r="H56"/>
        </row>
        <row r="57">
          <cell r="H57"/>
        </row>
        <row r="58">
          <cell r="H58"/>
        </row>
        <row r="59">
          <cell r="H59"/>
        </row>
        <row r="60">
          <cell r="H60"/>
        </row>
        <row r="61">
          <cell r="H61"/>
        </row>
        <row r="62">
          <cell r="H62"/>
        </row>
        <row r="63">
          <cell r="H63"/>
        </row>
        <row r="64">
          <cell r="H64"/>
        </row>
        <row r="65">
          <cell r="H65"/>
        </row>
        <row r="66">
          <cell r="H66"/>
        </row>
        <row r="67">
          <cell r="H67"/>
        </row>
        <row r="68">
          <cell r="H68"/>
        </row>
        <row r="69">
          <cell r="H69"/>
        </row>
        <row r="70">
          <cell r="H70"/>
        </row>
        <row r="71">
          <cell r="H71"/>
        </row>
        <row r="72">
          <cell r="H72"/>
        </row>
        <row r="73">
          <cell r="H73"/>
        </row>
        <row r="74">
          <cell r="H74"/>
        </row>
        <row r="75">
          <cell r="H75"/>
        </row>
        <row r="76">
          <cell r="H76"/>
        </row>
        <row r="77">
          <cell r="H77"/>
        </row>
        <row r="78">
          <cell r="H78"/>
        </row>
        <row r="79">
          <cell r="H79"/>
        </row>
        <row r="80">
          <cell r="H80"/>
        </row>
        <row r="81">
          <cell r="H81"/>
        </row>
        <row r="82">
          <cell r="H82"/>
        </row>
        <row r="83">
          <cell r="H83"/>
        </row>
        <row r="84">
          <cell r="H84"/>
        </row>
        <row r="85">
          <cell r="H85"/>
        </row>
        <row r="86">
          <cell r="H86"/>
        </row>
        <row r="87">
          <cell r="H87"/>
        </row>
        <row r="88">
          <cell r="H88"/>
        </row>
        <row r="89">
          <cell r="H89"/>
        </row>
        <row r="90">
          <cell r="H90"/>
        </row>
        <row r="91">
          <cell r="H91"/>
        </row>
        <row r="92">
          <cell r="H92"/>
        </row>
        <row r="93">
          <cell r="H93"/>
        </row>
        <row r="94">
          <cell r="H94"/>
        </row>
        <row r="95">
          <cell r="H95"/>
        </row>
        <row r="96">
          <cell r="H96"/>
        </row>
        <row r="97">
          <cell r="H97"/>
        </row>
        <row r="98">
          <cell r="H98"/>
        </row>
        <row r="99">
          <cell r="H99"/>
        </row>
        <row r="100">
          <cell r="H100"/>
        </row>
        <row r="101">
          <cell r="H101"/>
        </row>
        <row r="102">
          <cell r="H102"/>
        </row>
        <row r="103">
          <cell r="H103"/>
        </row>
        <row r="109">
          <cell r="H109"/>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eNavn"/>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2000000}" name="LayTable" displayName="LayTable" ref="A1:AF2275" headerRowDxfId="206" dataDxfId="205" totalsRowDxfId="204">
  <autoFilter ref="A1:AF2275" xr:uid="{7DAFDBCB-A0AE-41B2-895C-151A8C305884}"/>
  <tableColumns count="32">
    <tableColumn id="1" xr3:uid="{00000000-0010-0000-0200-000001000000}" name="Dato" totalsRowLabel="Totalt" dataDxfId="203"/>
    <tableColumn id="3" xr3:uid="{00000000-0010-0000-0200-000003000000}" name="Sport" dataDxfId="202"/>
    <tableColumn id="4" xr3:uid="{00000000-0010-0000-0200-000004000000}" name="Bookmaker" dataDxfId="201"/>
    <tableColumn id="38" xr3:uid="{00000000-0010-0000-0200-000026000000}" name="C% Bookie" dataDxfId="200"/>
    <tableColumn id="6" xr3:uid="{00000000-0010-0000-0200-000006000000}" name="Lay-bookie" dataDxfId="199"/>
    <tableColumn id="26" xr3:uid="{00000000-0010-0000-0200-00001A000000}" name="C% Lay" dataDxfId="198"/>
    <tableColumn id="8" xr3:uid="{00000000-0010-0000-0200-000008000000}" name="Spill" dataDxfId="197"/>
    <tableColumn id="25" xr3:uid="{00000000-0010-0000-0200-000019000000}" name="Spilt på" dataDxfId="196"/>
    <tableColumn id="9" xr3:uid="{00000000-0010-0000-0200-000009000000}" name="BookieOdds" dataDxfId="195"/>
    <tableColumn id="11" xr3:uid="{00000000-0010-0000-0200-00000B000000}" name="LayOdds" dataDxfId="194"/>
    <tableColumn id="12" xr3:uid="{00000000-0010-0000-0200-00000C000000}" name="BookieInnsats" dataDxfId="193"/>
    <tableColumn id="14" xr3:uid="{00000000-0010-0000-0200-00000E000000}" name="LayInnsats" dataDxfId="192"/>
    <tableColumn id="7" xr3:uid="{00000000-0010-0000-0200-000007000000}" name="LayLiability" dataDxfId="191">
      <calculatedColumnFormula>IF(LayTable[[#This Row],[Sport]]="","",LayTable[[#This Row],[LayInnsats]]*(LayTable[[#This Row],[LayOdds]]-1))</calculatedColumnFormula>
    </tableColumn>
    <tableColumn id="39" xr3:uid="{00000000-0010-0000-0200-000027000000}" name="Arb%" dataDxfId="190">
      <calculatedColumnFormula>IF(LayTable[[#This Row],[Sport]]="","",1/((1/LayTable[[#This Row],[BookieOdds]])+(1/((1/((1+((LayTable[[#This Row],[LayOdds]]-1)*(1+LayTable[[#This Row],[C% Lay]])))-1))+1)))-1)</calculatedColumnFormula>
    </tableColumn>
    <tableColumn id="41" xr3:uid="{00000000-0010-0000-0200-000029000000}" name="Utfall bookie" dataDxfId="189"/>
    <tableColumn id="42" xr3:uid="{00000000-0010-0000-0200-00002A000000}" name="Utfall lay" dataDxfId="188"/>
    <tableColumn id="16" xr3:uid="{00000000-0010-0000-0200-000010000000}" name="Total inns" dataDxfId="187">
      <calculatedColumnFormula>IF(LayTable[[#This Row],[Sport]]="","",LayTable[[#This Row],[BookieInnsats]]+LayTable[[#This Row],[LayLiability]])</calculatedColumnFormula>
    </tableColumn>
    <tableColumn id="17" xr3:uid="{00000000-0010-0000-0200-000011000000}" name="Rback" dataDxfId="186">
      <calculatedColumnFormula>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calculatedColumnFormula>
    </tableColumn>
    <tableColumn id="19" xr3:uid="{00000000-0010-0000-0200-000013000000}" name="Rlay" dataDxfId="185">
      <calculatedColumnFormula>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calculatedColumnFormula>
    </tableColumn>
    <tableColumn id="20" xr3:uid="{00000000-0010-0000-0200-000014000000}" name="Faktisk res" dataDxfId="184">
      <calculatedColumnFormula>IF(LayTable[[#This Row],[Utfall bookie]]="","",LayTable[[#This Row],[WBABack]]+LayTable[[#This Row],[WBALay]]-LayTable[[#This Row],[Total inns]])</calculatedColumnFormula>
    </tableColumn>
    <tableColumn id="43" xr3:uid="{00000000-0010-0000-0200-00002B000000}" name="WBABack" dataDxfId="183">
      <calculatedColumnFormula>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calculatedColumnFormula>
    </tableColumn>
    <tableColumn id="44" xr3:uid="{00000000-0010-0000-0200-00002C000000}" name="WBALay" dataDxfId="182">
      <calculatedColumnFormula>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calculatedColumnFormula>
    </tableColumn>
    <tableColumn id="21" xr3:uid="{00000000-0010-0000-0200-000015000000}" name="% if back" dataDxfId="181">
      <calculatedColumnFormula>IFERROR(IF(LayTable[[#This Row],[Total inns]]="","",LayTable[[#This Row],[Rback]]/LayTable[[#This Row],[Total inns]]),"")</calculatedColumnFormula>
    </tableColumn>
    <tableColumn id="23" xr3:uid="{00000000-0010-0000-0200-000017000000}" name="% if lay" dataDxfId="180">
      <calculatedColumnFormula>IFERROR(IF(LayTable[[#This Row],[Total inns]]="","",LayTable[[#This Row],[Rlay]]/LayTable[[#This Row],[Total inns]]),"")</calculatedColumnFormula>
    </tableColumn>
    <tableColumn id="24" xr3:uid="{00000000-0010-0000-0200-000018000000}" name="% gevinst" dataDxfId="179">
      <calculatedColumnFormula>IFERROR(LayTable[[#This Row],[Faktisk res]]/LayTable[[#This Row],[Total inns]],"")</calculatedColumnFormula>
    </tableColumn>
    <tableColumn id="40" xr3:uid="{00000000-0010-0000-0200-000028000000}" name="BackWin-Commission" dataDxfId="178">
      <calculatedColumnFormula>(LayTable[[#This Row],[BookieInnsats]]*LayTable[[#This Row],[BookieOdds]]-LayTable[[#This Row],[BookieInnsats]])*(1-LayTable[[#This Row],[C% Bookie]])</calculatedColumnFormula>
    </tableColumn>
    <tableColumn id="30" xr3:uid="{00000000-0010-0000-0200-00001E000000}" name="LayWin-Commission" dataDxfId="177">
      <calculatedColumnFormula>LayTable[[#This Row],[LayInnsats]]*(1-LayTable[[#This Row],[C% Lay]])</calculatedColumnFormula>
    </tableColumn>
    <tableColumn id="29" xr3:uid="{00000000-0010-0000-0200-00001D000000}" name="0" dataDxfId="176">
      <calculatedColumnFormula>IFERROR(IF(LayTable[[#This Row],[Sport]]="",AB1,LayTable[[#This Row],[Faktisk res]]+AB1),"")</calculatedColumnFormula>
    </tableColumn>
    <tableColumn id="2" xr3:uid="{00000000-0010-0000-0200-000002000000}" name="IfBack" dataDxfId="175">
      <calculatedColumnFormula>(LayTable[[#This Row],[BackWin-Commission]]+LayTable[[#This Row],[BookieInnsats]])</calculatedColumnFormula>
    </tableColumn>
    <tableColumn id="5" xr3:uid="{00000000-0010-0000-0200-000005000000}" name="IfLay" dataDxfId="174">
      <calculatedColumnFormula>(LayTable[[#This Row],[LayWin-Commission]])+LayTable[[#This Row],[LayLiability]]</calculatedColumnFormula>
    </tableColumn>
    <tableColumn id="37" xr3:uid="{00000000-0010-0000-0200-000025000000}" name="Kommentarer" dataDxfId="173"/>
    <tableColumn id="10" xr3:uid="{FD40F831-8610-0545-858C-34F0BF1741E8}" name="Dato spilles" dataDxfId="172" totalsRowDxfId="171"/>
  </tableColumns>
  <tableStyleInfo name="TableStyleMedium2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BookBalance" displayName="BookBalance" ref="A1:F111" totalsRowShown="0" headerRowDxfId="161" dataDxfId="160">
  <sortState xmlns:xlrd2="http://schemas.microsoft.com/office/spreadsheetml/2017/richdata2" ref="A2:B93">
    <sortCondition descending="1" ref="B1:B93"/>
  </sortState>
  <tableColumns count="6">
    <tableColumn id="1" xr3:uid="{00000000-0010-0000-0000-000001000000}" name="Bookie" dataDxfId="159">
      <calculatedColumnFormula>IFERROR(VLOOKUP(ROW()-1,BookieName[],3,FALSE),"")</calculatedColumnFormula>
    </tableColumn>
    <tableColumn id="2" xr3:uid="{00000000-0010-0000-0000-000002000000}" name="Saldo" dataDxfId="158">
      <calculatedColumnFormula>VLOOKUP(ROW()-1,Data[],3,FALSE)+BookBalance[[#This Row],[Saldo 31.12.19]]</calculatedColumnFormula>
    </tableColumn>
    <tableColumn id="4" xr3:uid="{00000000-0010-0000-0000-000004000000}" name="%" dataDxfId="157">
      <calculatedColumnFormula>IFERROR(IF(BookBalance[[#This Row],[Saldo]]="","",BookBalance[[#This Row],[Saldo]]/H$7),"")</calculatedColumnFormula>
    </tableColumn>
    <tableColumn id="3" xr3:uid="{00000000-0010-0000-0000-000003000000}" name="In-play spill" dataDxfId="156">
      <calculatedColumnFormula>VLOOKUP(ROW()-1,Data[],16,FALSE)</calculatedColumnFormula>
    </tableColumn>
    <tableColumn id="6" xr3:uid="{90DE8A3B-7196-BF4F-8437-DA360CF29990}" name="Saldo 31.12.19" dataDxfId="155"/>
    <tableColumn id="5" xr3:uid="{762BB596-BB7D-1D41-844A-47275DA5728D}" name="Sjekket saldo ok" dataDxfId="15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otalBalance" displayName="TotalBalance" ref="G1:Q14" totalsRowShown="0">
  <tableColumns count="11">
    <tableColumn id="1" xr3:uid="{00000000-0010-0000-0100-000001000000}" name="Type"/>
    <tableColumn id="2" xr3:uid="{00000000-0010-0000-0100-000002000000}" name="Sum" dataDxfId="153"/>
    <tableColumn id="3" xr3:uid="{00000000-0010-0000-0100-000003000000}" name="%" dataDxfId="152">
      <calculatedColumnFormula>IFERROR(TotalBalance[[#This Row],[Sum]]/$H$7,"")</calculatedColumnFormula>
    </tableColumn>
    <tableColumn id="4" xr3:uid="{48D46F52-330C-0D4B-8BF2-0A2C01486D93}" name=" "/>
    <tableColumn id="5" xr3:uid="{E082A389-39C8-4B4B-BE0C-4296713BF49B}" name="E-Wallet" dataDxfId="151"/>
    <tableColumn id="6" xr3:uid="{ABA8C73F-DB63-774B-8990-776390541930}" name="Saldo" dataDxfId="150"/>
    <tableColumn id="7" xr3:uid="{CA90F4E0-A0AF-7441-8DCB-432B13937050}" name="%%" dataDxfId="149"/>
    <tableColumn id="8" xr3:uid="{A60B17B1-8424-E747-9149-5FC083101126}" name="Beholdning 05.03.20"/>
    <tableColumn id="9" xr3:uid="{EAED649F-8682-D140-89B6-41748BD66746}" name="Kommentar" dataDxfId="148">
      <calculatedColumnFormula>SUMIFS(DWbooks[Sum],DWbooks[E-Wallet],"Rapid")</calculatedColumnFormula>
    </tableColumn>
    <tableColumn id="11" xr3:uid="{13CE05C3-41A2-0E48-8F14-79E064142C41}" name="Transfer loss"/>
    <tableColumn id="10" xr3:uid="{30907F51-A8CA-DE4E-A20F-CD3590313413}" name="Beholdning 31.12.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3000000}" name="DWbooks" displayName="DWbooks" ref="A1:G500" totalsRowShown="0" headerRowDxfId="127" dataDxfId="126">
  <autoFilter ref="A1:G500" xr:uid="{B7E86C53-43C2-41D9-B239-3A324C813B6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5" xr3:uid="{00000000-0010-0000-0300-000005000000}" name="Key" dataDxfId="125">
      <calculatedColumnFormula>ROW()-1</calculatedColumnFormula>
    </tableColumn>
    <tableColumn id="1" xr3:uid="{00000000-0010-0000-0300-000001000000}" name="Dato" dataDxfId="124"/>
    <tableColumn id="2" xr3:uid="{00000000-0010-0000-0300-000002000000}" name="Type" dataDxfId="123"/>
    <tableColumn id="3" xr3:uid="{00000000-0010-0000-0300-000003000000}" name="Bookmaker" dataDxfId="122"/>
    <tableColumn id="8" xr3:uid="{61AC9718-4CB1-0449-9E70-C52772464295}" name="E-Wallet" dataDxfId="121"/>
    <tableColumn id="4" xr3:uid="{00000000-0010-0000-0300-000004000000}" name="Sum" dataDxfId="120"/>
    <tableColumn id="6" xr3:uid="{00000000-0010-0000-0300-000006000000}" name="Kommentarer" dataDxfId="1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4000000}" name="DWroll" displayName="DWroll" ref="I1:O148" totalsRowShown="0" headerRowDxfId="118" dataDxfId="117">
  <tableColumns count="7">
    <tableColumn id="1" xr3:uid="{00000000-0010-0000-0400-000001000000}" name="Key" dataDxfId="116"/>
    <tableColumn id="2" xr3:uid="{00000000-0010-0000-0400-000002000000}" name="Dato" dataDxfId="115"/>
    <tableColumn id="3" xr3:uid="{00000000-0010-0000-0400-000003000000}" name="Type" dataDxfId="114"/>
    <tableColumn id="7" xr3:uid="{A543544B-FC41-4643-9BBF-788AAF5013A5}" name="Innskuddsmetode" dataDxfId="113"/>
    <tableColumn id="6" xr3:uid="{0E7D7C45-37B1-434C-AFD1-87BBF0C0B04C}" name="E-Wallet" dataDxfId="112"/>
    <tableColumn id="4" xr3:uid="{00000000-0010-0000-0400-000004000000}" name="Sum" dataDxfId="111"/>
    <tableColumn id="5" xr3:uid="{00000000-0010-0000-0400-000005000000}" name="Kommentarer" dataDxfId="1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5000000}" name="DWbonus" displayName="DWbonus" ref="Q1:V148" totalsRowShown="0" headerRowDxfId="109" dataDxfId="108">
  <autoFilter ref="Q1:V148" xr:uid="{C6A16A25-1552-4A4F-BB87-EC92DD89DD6D}">
    <filterColumn colId="0" hiddenButton="1"/>
    <filterColumn colId="1" hiddenButton="1"/>
    <filterColumn colId="2" hiddenButton="1"/>
    <filterColumn colId="3" hiddenButton="1"/>
    <filterColumn colId="4" hiddenButton="1"/>
    <filterColumn colId="5" hiddenButton="1"/>
  </autoFilter>
  <tableColumns count="6">
    <tableColumn id="1" xr3:uid="{00000000-0010-0000-0500-000001000000}" name="Key" dataDxfId="107"/>
    <tableColumn id="2" xr3:uid="{00000000-0010-0000-0500-000002000000}" name="Dato" dataDxfId="106"/>
    <tableColumn id="3" xr3:uid="{00000000-0010-0000-0500-000003000000}" name="Type" dataDxfId="105"/>
    <tableColumn id="6" xr3:uid="{00000000-0010-0000-0500-000006000000}" name="Bookie" dataDxfId="104"/>
    <tableColumn id="5" xr3:uid="{00000000-0010-0000-0500-000005000000}" name="Sum" dataDxfId="103"/>
    <tableColumn id="4" xr3:uid="{00000000-0010-0000-0500-000004000000}" name="Kommentarer" dataDxfId="10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Outcome" displayName="Outcome" ref="A1:A12" totalsRowShown="0" dataDxfId="101">
  <tableColumns count="1">
    <tableColumn id="1" xr3:uid="{00000000-0010-0000-0600-000001000000}" name="Outcome" dataDxfId="10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ypeOfSport" displayName="TypeOfSport" ref="C1:E13" totalsRowShown="0" headerRowDxfId="99">
  <sortState xmlns:xlrd2="http://schemas.microsoft.com/office/spreadsheetml/2017/richdata2" ref="D2:E14">
    <sortCondition ref="D1:D14"/>
  </sortState>
  <tableColumns count="3">
    <tableColumn id="3" xr3:uid="{00000000-0010-0000-0700-000003000000}" name="Key">
      <calculatedColumnFormula>ROW()-1</calculatedColumnFormula>
    </tableColumn>
    <tableColumn id="1" xr3:uid="{00000000-0010-0000-0700-000001000000}" name="Sport"/>
    <tableColumn id="2" xr3:uid="{00000000-0010-0000-0700-000002000000}" name="Navn"/>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8000000}" name="BookieName" displayName="BookieName" ref="G1:I133" totalsRowShown="0">
  <sortState xmlns:xlrd2="http://schemas.microsoft.com/office/spreadsheetml/2017/richdata2" ref="G2:I113">
    <sortCondition ref="I108"/>
  </sortState>
  <tableColumns count="3">
    <tableColumn id="3" xr3:uid="{00000000-0010-0000-0800-000003000000}" name="Key" dataDxfId="98">
      <calculatedColumnFormula>ROW()-1</calculatedColumnFormula>
    </tableColumn>
    <tableColumn id="1" xr3:uid="{00000000-0010-0000-0800-000001000000}" name="Bookie"/>
    <tableColumn id="2" xr3:uid="{00000000-0010-0000-0800-000002000000}" name="Navn"/>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DW" displayName="DW" ref="K1:K3" totalsRowShown="0">
  <tableColumns count="1">
    <tableColumn id="1" xr3:uid="{00000000-0010-0000-0900-000001000000}" name="Typ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A000000}" name="bonus" displayName="bonus" ref="M1:M3" totalsRowShown="0">
  <autoFilter ref="M1:M3" xr:uid="{00000000-0009-0000-0100-000013000000}"/>
  <tableColumns count="1">
    <tableColumn id="1" xr3:uid="{00000000-0010-0000-0A00-000001000000}" name="Type"/>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B000000}" name="LayBetOutcome" displayName="LayBetOutcome" ref="O1:O11" totalsRowShown="0">
  <autoFilter ref="O1:O11" xr:uid="{00000000-0009-0000-0100-00000F000000}"/>
  <tableColumns count="1">
    <tableColumn id="1" xr3:uid="{00000000-0010-0000-0B00-000001000000}" name="LayBet outcome"/>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C000000}" name="Data" displayName="Data" ref="A3:U183" totalsRowShown="0" headerRowDxfId="85" dataDxfId="83" headerRowBorderDxfId="84" tableBorderDxfId="82">
  <autoFilter ref="A3:U183" xr:uid="{00000000-0009-0000-0100-000016000000}"/>
  <tableColumns count="21">
    <tableColumn id="1" xr3:uid="{00000000-0010-0000-0C00-000001000000}" name="Key" dataDxfId="81">
      <calculatedColumnFormula>ROW()-3</calculatedColumnFormula>
    </tableColumn>
    <tableColumn id="2" xr3:uid="{00000000-0010-0000-0C00-000002000000}" name="Bookie" dataDxfId="80">
      <calculatedColumnFormula>IFERROR(VLOOKUP(ROW()-3,BookieName[],3,FALSE),"")</calculatedColumnFormula>
    </tableColumn>
    <tableColumn id="3" xr3:uid="{00000000-0010-0000-0C00-000003000000}" name="BR" dataDxfId="79">
      <calculatedColumnFormula>IF(Data[[#This Row],[Bookie]]="","",SUM(Data[[#This Row],[D/W]:[Bonus and Adjustments]],))</calculatedColumnFormula>
    </tableColumn>
    <tableColumn id="4" xr3:uid="{00000000-0010-0000-0C00-000004000000}" name="D/W" dataDxfId="78">
      <calculatedColumnFormula>IF(Data[[#This Row],[Bookie]]="","",SUMIF(DWbooks[Bookmaker],(VLOOKUP(ROW()-3,BookieName[],2,FALSE)),DWbooks[Sum]))</calculatedColumnFormula>
    </tableColumn>
    <tableColumn id="5" xr3:uid="{00000000-0010-0000-0C00-000005000000}" name="Total Stake S1" dataDxfId="77">
      <calculatedColumnFormula>IF(Data[[#This Row],[Bookie]]="","",SUMIF(BetTable[B1],(VLOOKUP(ROW()-3,BookieName[],2,FALSE)),BetTable[S1])*-1)</calculatedColumnFormula>
    </tableColumn>
    <tableColumn id="6" xr3:uid="{00000000-0010-0000-0C00-000006000000}" name="Total Stake S2" dataDxfId="76">
      <calculatedColumnFormula>IF(Data[[#This Row],[Bookie]]="","",SUMIF(BetTable[B2],(VLOOKUP(ROW()-3,BookieName[],2,FALSE)),BetTable[S2])*-1)</calculatedColumnFormula>
    </tableColumn>
    <tableColumn id="7" xr3:uid="{00000000-0010-0000-0C00-000007000000}" name="Total Stake S3" dataDxfId="75">
      <calculatedColumnFormula>IF(Data[[#This Row],[Bookie]]="","",SUMIF(BetTable[B3],(VLOOKUP(ROW()-3,BookieName[],2,FALSE)),BetTable[S3])*-1)</calculatedColumnFormula>
    </tableColumn>
    <tableColumn id="8" xr3:uid="{00000000-0010-0000-0C00-000008000000}" name="WinningBookieAmount1" dataDxfId="74">
      <calculatedColumnFormula>IF(Data[[#This Row],[Bookie]]="","",SUMIF(BetTable[B1],(VLOOKUP(ROW()-3,BookieName[],2,FALSE)),BetTable[WBA1]))</calculatedColumnFormula>
    </tableColumn>
    <tableColumn id="9" xr3:uid="{00000000-0010-0000-0C00-000009000000}" name="WinningBookieAmount2" dataDxfId="73">
      <calculatedColumnFormula>IF(Data[[#This Row],[Bookie]]="","",SUMIF(BetTable[B2],(VLOOKUP(ROW()-3,BookieName[],2,FALSE)),BetTable[WBA2]))</calculatedColumnFormula>
    </tableColumn>
    <tableColumn id="10" xr3:uid="{00000000-0010-0000-0C00-00000A000000}" name="WinningBookieAmount3" dataDxfId="72">
      <calculatedColumnFormula>IF(Data[[#This Row],[Bookie]]="","",SUMIF(BetTable[B3],(VLOOKUP(ROW()-3,BookieName[],2,FALSE)),BetTable[WBA3]))</calculatedColumnFormula>
    </tableColumn>
    <tableColumn id="12" xr3:uid="{00000000-0010-0000-0C00-00000C000000}" name="Total Stake Back" dataDxfId="71">
      <calculatedColumnFormula>IF(Data[[#This Row],[Bookie]]="","",SUMIF(LayTable[Bookmaker],(VLOOKUP(ROW()-3,BookieName[],2,FALSE)),LayTable[BookieInnsats])*-1)</calculatedColumnFormula>
    </tableColumn>
    <tableColumn id="13" xr3:uid="{00000000-0010-0000-0C00-00000D000000}" name="Total Stake Lay" dataDxfId="70">
      <calculatedColumnFormula>IF(Data[[#This Row],[Bookie]]="","",SUMIF(LayTable[Lay-bookie],(VLOOKUP(ROW()-3,BookieName[],2,FALSE)),LayTable[LayLiability])*-1)</calculatedColumnFormula>
    </tableColumn>
    <tableColumn id="14" xr3:uid="{00000000-0010-0000-0C00-00000E000000}" name="WinningBookieAmountBack" dataDxfId="69">
      <calculatedColumnFormula>IF(Data[[#This Row],[Bookie]]="","",SUMIF(LayTable[Bookmaker],(VLOOKUP(ROW()-3,BookieName[],2,FALSE)),LayTable[WBABack]))</calculatedColumnFormula>
    </tableColumn>
    <tableColumn id="15" xr3:uid="{00000000-0010-0000-0C00-00000F000000}" name="WinningBookieAmountLay" dataDxfId="68">
      <calculatedColumnFormula>IF(Data[[#This Row],[Bookie]]="","",SUMIF(LayTable[Lay-bookie],(VLOOKUP(ROW()-3,BookieName[],2,FALSE)),LayTable[WBALay]))</calculatedColumnFormula>
    </tableColumn>
    <tableColumn id="11" xr3:uid="{00000000-0010-0000-0C00-00000B000000}" name="Bonus and Adjustments" dataDxfId="67">
      <calculatedColumnFormula>IF(Data[[#This Row],[Bookie]]="","",SUMIF(DWbonus[Bookie],(VLOOKUP(ROW()-3,BookieName[],2,FALSE)),DWbonus[Sum]))</calculatedColumnFormula>
    </tableColumn>
    <tableColumn id="16" xr3:uid="{00000000-0010-0000-0C00-000010000000}" name="Pending" dataDxfId="66">
      <calculatedColumnFormula>IF(Data[[#This Row],[Bookie]]="","",SUM(Data[[#This Row],[Pending 1]:[PendingL2]]))</calculatedColumnFormula>
    </tableColumn>
    <tableColumn id="17" xr3:uid="{00000000-0010-0000-0C00-000011000000}" name="Pending 1" dataDxfId="65">
      <calculatedColumnFormula>IF(Data[[#This Row],[Bookie]]="","",SUMIFS(BetTable[S1],BetTable[B1],(VLOOKUP(ROW()-3,BookieName[],2,FALSE)),BetTable[AR],""))</calculatedColumnFormula>
    </tableColumn>
    <tableColumn id="18" xr3:uid="{00000000-0010-0000-0C00-000012000000}" name="Pending 2" dataDxfId="64">
      <calculatedColumnFormula>IF(Data[[#This Row],[Bookie]]="","",SUMIFS(BetTable[S2],BetTable[B2],(VLOOKUP(ROW()-3,BookieName[],2,FALSE)),BetTable[AR],""))</calculatedColumnFormula>
    </tableColumn>
    <tableColumn id="19" xr3:uid="{00000000-0010-0000-0C00-000013000000}" name="Pending 3" dataDxfId="63">
      <calculatedColumnFormula>IF(Data[[#This Row],[Bookie]]="","",SUMIFS(BetTable[S3],BetTable[B3],(VLOOKUP(ROW()-3,BookieName[],2,FALSE)),BetTable[AR],""))</calculatedColumnFormula>
    </tableColumn>
    <tableColumn id="20" xr3:uid="{00000000-0010-0000-0C00-000014000000}" name="PendingL1" dataDxfId="62">
      <calculatedColumnFormula>IF(Data[[#This Row],[Bookie]]="","",SUMIFS(LayTable[BookieInnsats],LayTable[Bookmaker],(VLOOKUP(ROW()-3,BookieName[],2,FALSE)),LayTable[Faktisk res],""))</calculatedColumnFormula>
    </tableColumn>
    <tableColumn id="21" xr3:uid="{00000000-0010-0000-0C00-000015000000}" name="PendingL2" dataDxfId="61">
      <calculatedColumnFormula>IF(Data[[#This Row],[Bookie]]="","",SUMIFS(LayTable[LayLiability],LayTable[Lay-bookie],(VLOOKUP(ROW()-3,BookieName[],2,FALSE)),LayTable[Faktisk res],""))</calculatedColumnFormula>
    </tableColumn>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0000000}" name="BetTable" displayName="BetTable" ref="A1:AK233" headerRowDxfId="52" dataDxfId="50" totalsRowDxfId="48" headerRowBorderDxfId="51" tableBorderDxfId="49">
  <tableColumns count="37">
    <tableColumn id="1" xr3:uid="{00000000-0010-0000-1000-000001000000}" name="Date" totalsRowLabel="Totalt" dataDxfId="47"/>
    <tableColumn id="2" xr3:uid="{00000000-0010-0000-1000-000002000000}" name="Sp" dataDxfId="46"/>
    <tableColumn id="3" xr3:uid="{00000000-0010-0000-1000-000003000000}" name="B1" dataDxfId="45"/>
    <tableColumn id="4" xr3:uid="{00000000-0010-0000-1000-000004000000}" name="B2" dataDxfId="44"/>
    <tableColumn id="5" xr3:uid="{00000000-0010-0000-1000-000005000000}" name="B3" dataDxfId="43"/>
    <tableColumn id="38" xr3:uid="{00000000-0010-0000-1000-000026000000}" name="C% 1" dataDxfId="42"/>
    <tableColumn id="40" xr3:uid="{00000000-0010-0000-1000-000028000000}" name="C% 2" dataDxfId="41"/>
    <tableColumn id="41" xr3:uid="{00000000-0010-0000-1000-000029000000}" name="C% 3" dataDxfId="40"/>
    <tableColumn id="6" xr3:uid="{00000000-0010-0000-1000-000006000000}" name="Participants" dataDxfId="39"/>
    <tableColumn id="8" xr3:uid="{00000000-0010-0000-1000-000008000000}" name="O1" dataDxfId="38"/>
    <tableColumn id="9" xr3:uid="{00000000-0010-0000-1000-000009000000}" name="O2" dataDxfId="37"/>
    <tableColumn id="10" xr3:uid="{00000000-0010-0000-1000-00000A000000}" name="O3" dataDxfId="36"/>
    <tableColumn id="11" xr3:uid="{00000000-0010-0000-1000-00000B000000}" name="S1" dataDxfId="35"/>
    <tableColumn id="12" xr3:uid="{00000000-0010-0000-1000-00000C000000}" name="S2" dataDxfId="34"/>
    <tableColumn id="13" xr3:uid="{00000000-0010-0000-1000-00000D000000}" name="S3" dataDxfId="33"/>
    <tableColumn id="39" xr3:uid="{00000000-0010-0000-1000-000027000000}" name="Outcome1" dataDxfId="32"/>
    <tableColumn id="42" xr3:uid="{00000000-0010-0000-1000-00002A000000}" name="Outcome2" dataDxfId="31"/>
    <tableColumn id="43" xr3:uid="{00000000-0010-0000-1000-00002B000000}" name="Outcome3" dataDxfId="30"/>
    <tableColumn id="14" xr3:uid="{00000000-0010-0000-1000-00000E000000}" name="TS" dataDxfId="29">
      <calculatedColumnFormula>IF(BetTable[[#This Row],[Sp]]="","",BetTable[[#This Row],[S1]]+BetTable[[#This Row],[S2]]+BetTable[[#This Row],[S3]])</calculatedColumnFormula>
    </tableColumn>
    <tableColumn id="15" xr3:uid="{00000000-0010-0000-1000-00000F000000}" name="R1" dataDxfId="28">
      <calculatedColumnFormula>IF(BetTable[[#This Row],[O1]]="","",(BetTable[[#This Row],[WBA1-Commission]])-BetTable[[#This Row],[TS]])</calculatedColumnFormula>
    </tableColumn>
    <tableColumn id="16" xr3:uid="{00000000-0010-0000-1000-000010000000}" name="R2" dataDxfId="27">
      <calculatedColumnFormula>IF(BetTable[[#This Row],[O2]]="","",(BetTable[[#This Row],[WBA2-Commission]])-BetTable[[#This Row],[TS]])</calculatedColumnFormula>
    </tableColumn>
    <tableColumn id="17" xr3:uid="{00000000-0010-0000-1000-000011000000}" name="R3" dataDxfId="26">
      <calculatedColumnFormula>IF(BetTable[[#This Row],[O3]]="","",(BetTable[[#This Row],[WBA3-Commission]])-BetTable[[#This Row],[TS]])</calculatedColumnFormula>
    </tableColumn>
    <tableColumn id="7" xr3:uid="{EB43129E-1E8F-431B-BEBB-598B17D4D7EB}" name="NumBookies" dataDxfId="25">
      <calculatedColumnFormula>IF(NOT(ISBLANK(BetTable[[#This Row],[B1]])),1,0)+IF(NOT(ISBLANK(BetTable[[#This Row],[B2]])),1,0)+IF(NOT(ISBLANK(BetTable[[#This Row],[B3]])),1,0)</calculatedColumnFormula>
    </tableColumn>
    <tableColumn id="24" xr3:uid="{00000000-0010-0000-1000-000018000000}" name="AR" dataDxfId="24">
      <calculatedColumnFormula>IF(BetTable[[#This Row],[Outcome1]]="","",BetTable[[#This Row],[WBA1]]+BetTable[[#This Row],[WBA2]]+BetTable[[#This Row],[WBA3]]-BetTable[[#This Row],[TS]])</calculatedColumnFormula>
    </tableColumn>
    <tableColumn id="30" xr3:uid="{B91C7946-A739-4799-8BFF-C1012F31F57C}" name="AR_per_bookie" dataDxfId="23">
      <calculatedColumnFormula>IF(BetTable[[#This Row],[AR]]="","",BetTable[[#This Row],[AR]]/BetTable[[#This Row],[NumBookies]])</calculatedColumnFormula>
    </tableColumn>
    <tableColumn id="18" xr3:uid="{00000000-0010-0000-1000-000012000000}" name="WBA1-Commission" dataDxfId="22">
      <calculatedColumnFormula>(((BetTable[[#This Row],[O1]]-1)*BetTable[[#This Row],[S1]])*(1-(BetTable[[#This Row],[C% 1]]))+BetTable[[#This Row],[S1]])</calculatedColumnFormula>
    </tableColumn>
    <tableColumn id="26" xr3:uid="{00000000-0010-0000-1000-00001A000000}" name="WBA2-Commission" dataDxfId="21">
      <calculatedColumnFormula>(((BetTable[[#This Row],[O2]]-1)*BetTable[[#This Row],[S2]])*(1-(BetTable[[#This Row],[C% 2]]))+BetTable[[#This Row],[S2]])</calculatedColumnFormula>
    </tableColumn>
    <tableColumn id="28" xr3:uid="{00000000-0010-0000-1000-00001C000000}" name="WBA3-Commission" dataDxfId="20">
      <calculatedColumnFormula>(((BetTable[[#This Row],[O3]]-1)*BetTable[[#This Row],[S3]])*(1-(BetTable[[#This Row],[C% 3]]))+BetTable[[#This Row],[S3]])</calculatedColumnFormula>
    </tableColumn>
    <tableColumn id="21" xr3:uid="{00000000-0010-0000-1000-000015000000}" name="% if 1" dataDxfId="19">
      <calculatedColumnFormula>IFERROR(IF(BetTable[[#This Row],[Sp]]="","",BetTable[[#This Row],[R1]]/BetTable[[#This Row],[TS]]),"")</calculatedColumnFormula>
    </tableColumn>
    <tableColumn id="22" xr3:uid="{00000000-0010-0000-1000-000016000000}" name="% if 2" dataDxfId="18">
      <calculatedColumnFormula>IF(BetTable[[#This Row],[O2]]="","",BetTable[[#This Row],[R2]]/BetTable[[#This Row],[TS]])</calculatedColumnFormula>
    </tableColumn>
    <tableColumn id="23" xr3:uid="{00000000-0010-0000-1000-000017000000}" name="% if 3" dataDxfId="17">
      <calculatedColumnFormula>IFERROR(IF(BetTable[[#This Row],[Sp]]="","",BetTable[[#This Row],[R3]]/BetTable[[#This Row],[TS]]),"")</calculatedColumnFormula>
    </tableColumn>
    <tableColumn id="20" xr3:uid="{00000000-0010-0000-1000-000014000000}" name="A%" dataDxfId="16">
      <calculatedColumnFormula>IFERROR(IF(BetTable[[#This Row],[Outcome1]]="","",BetTable[[#This Row],[AR]]/BetTable[[#This Row],[TS]]),"")</calculatedColumnFormula>
    </tableColumn>
    <tableColumn id="25" xr3:uid="{00000000-0010-0000-1000-000019000000}" name="WBA1" dataDxfId="15">
      <calculatedColumnFormula>IF(BetTable[[#This Row],[Outcome1]]="Win",BetTable[WBA1-Commission],IF(BetTable[[#This Row],[Outcome1]]="Win Half Stake",(BetTable[[#This Row],[S1]]/2)+BetTable[[#This Row],[WBA1-Commission]]/2,IF(BetTable[[#This Row],[Outcome1]]="Lose Half Stake",BetTable[[#This Row],[S1]]/2,IF(BetTable[[#This Row],[Outcome1]]="Lose",0,IF(BetTable[[#This Row],[Outcome1]]="Void",BetTable[S1],)))))</calculatedColumnFormula>
    </tableColumn>
    <tableColumn id="45" xr3:uid="{00000000-0010-0000-1000-00002D000000}" name="WBA2" dataDxfId="14">
      <calculatedColumnFormula>IF(BetTable[[#This Row],[Outcome2]]="Win",BetTable[WBA2-Commission],IF(BetTable[[#This Row],[Outcome2]]="Win Half Stake",(BetTable[[#This Row],[S2]]/2)+BetTable[[#This Row],[WBA2-Commission]]/2,IF(BetTable[[#This Row],[Outcome2]]="Lose Half Stake",BetTable[[#This Row],[S2]]/2,IF(BetTable[[#This Row],[Outcome2]]="Lose",0,IF(BetTable[[#This Row],[Outcome2]]="Void",BetTable[S2],)))))</calculatedColumnFormula>
    </tableColumn>
    <tableColumn id="46" xr3:uid="{00000000-0010-0000-1000-00002E000000}" name="WBA3" dataDxfId="13">
      <calculatedColumnFormula>IF(BetTable[[#This Row],[Outcome3]]="Win",BetTable[WBA3-Commission],IF(BetTable[[#This Row],[Outcome3]]="Win Half Stake",(BetTable[[#This Row],[S3]]/2)+BetTable[[#This Row],[WBA3-Commission]]/2,IF(BetTable[[#This Row],[Outcome3]]="Lose Half Stake",BetTable[[#This Row],[S3]]/2,IF(BetTable[[#This Row],[Outcome3]]="Lose",0,IF(BetTable[[#This Row],[Outcome3]]="Void",BetTable[S3],)))))</calculatedColumnFormula>
    </tableColumn>
    <tableColumn id="27" xr3:uid="{00000000-0010-0000-1000-00001B000000}" name="0" dataDxfId="12">
      <calculatedColumnFormula>IF(BetTable[[#This Row],[Outcome1]]="",AJ1,BetTable[[#This Row],[AR]]+AJ1)</calculatedColumnFormula>
    </tableColumn>
    <tableColumn id="19" xr3:uid="{00000000-0010-0000-1000-000013000000}" name="Comments" totalsRowFunction="count" dataDxfId="11"/>
  </tableColumns>
  <tableStyleInfo name="TableStyleLight1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D000000}" name="BookieTurnoverBackBets" displayName="BookieTurnoverBackBets" ref="B3:C159" totalsRowShown="0">
  <autoFilter ref="B3:C159" xr:uid="{00000000-0009-0000-0100-00002B000000}"/>
  <tableColumns count="2">
    <tableColumn id="1" xr3:uid="{00000000-0010-0000-0D00-000001000000}" name="Bookie" dataDxfId="10">
      <calculatedColumnFormula>IFERROR(VLOOKUP(ROW()-3,BookieName[#Data],3,FALSE),"")</calculatedColumnFormula>
    </tableColumn>
    <tableColumn id="2" xr3:uid="{00000000-0010-0000-0D00-000002000000}" name="Turnover" dataDxfId="9">
      <calculatedColumnFormula>SUMIF(BetTable[B1],VLOOKUP(ROW()-3,BookieName[#Data],2,FALSE),BetTable[S1])+SUMIF(BetTable[B2],VLOOKUP(ROW()-3,BookieName[#Data],2,FALSE),BetTable[S2])+SUMIF(BetTable[B3],VLOOKUP(ROW()-3,BookieName[#Data],2,FALSE),BetTable[S3])</calculatedColumnFormula>
    </tableColumn>
  </tableColumns>
  <tableStyleInfo name="TableStyleMedium2 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E000000}" name="BookieTurnoverLayBets" displayName="BookieTurnoverLayBets" ref="E3:F159" totalsRowShown="0">
  <autoFilter ref="E3:F159" xr:uid="{00000000-0009-0000-0100-00002C000000}"/>
  <tableColumns count="2">
    <tableColumn id="1" xr3:uid="{00000000-0010-0000-0E00-000001000000}" name="Bookie" dataDxfId="8">
      <calculatedColumnFormula>IFERROR(VLOOKUP(ROW()-3,BookieName[#Data],3,FALSE),"")</calculatedColumnFormula>
    </tableColumn>
    <tableColumn id="2" xr3:uid="{00000000-0010-0000-0E00-000002000000}" name="Turnover" dataDxfId="7">
      <calculatedColumnFormula>SUMIF(LayTable[Bookmaker],VLOOKUP(ROW()-3,BookieName[#Data],2,FALSE),LayTable[BookieInnsats])+SUMIF(LayTable[Lay-bookie],VLOOKUP(ROW()-3,BookieName[#Data],2,FALSE),LayTable[LayLiability])</calculatedColumnFormula>
    </tableColumn>
  </tableColumns>
  <tableStyleInfo name="TableStyleMedium9 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F000000}" name="Tabell10" displayName="Tabell10" ref="H3:I159" totalsRowShown="0">
  <autoFilter ref="H3:I159" xr:uid="{00000000-0009-0000-0100-00002D000000}"/>
  <tableColumns count="2">
    <tableColumn id="1" xr3:uid="{00000000-0010-0000-0F00-000001000000}" name="Bookie" dataDxfId="6">
      <calculatedColumnFormula>IFERROR(VLOOKUP(ROW()-3,BookieName[#Data],3,FALSE),"")</calculatedColumnFormula>
    </tableColumn>
    <tableColumn id="2" xr3:uid="{00000000-0010-0000-0F00-000002000000}" name="Total Turnover" dataDxfId="5">
      <calculatedColumnFormula>BookieTurnoverBackBets[[#This Row],[Turnover]]+BookieTurnoverLayBets[[#This Row],[Turnover]]</calculatedColumnFormula>
    </tableColumn>
  </tableColumns>
  <tableStyleInfo name="TableStyleMedium9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3.bin"/><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vmlDrawing" Target="../drawings/vmlDrawing3.vml"/><Relationship Id="rId1" Type="http://schemas.openxmlformats.org/officeDocument/2006/relationships/drawing" Target="../drawings/drawing2.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 Id="rId9"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hyperlink" Target="mailto:seb1929_1@outlook.com"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hyperlink" Target="http://bit.ly/MB-Trinn-for-trinn" TargetMode="External"/><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13.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L2275"/>
  <sheetViews>
    <sheetView showRowColHeaders="0" zoomScale="144" zoomScaleNormal="145" zoomScalePageLayoutView="125" workbookViewId="0">
      <selection activeCell="AE9" sqref="AE9"/>
    </sheetView>
  </sheetViews>
  <sheetFormatPr baseColWidth="10" defaultColWidth="8.83203125" defaultRowHeight="11"/>
  <cols>
    <col min="1" max="2" width="7.83203125" style="37" customWidth="1"/>
    <col min="3" max="3" width="9" style="37" customWidth="1"/>
    <col min="4" max="4" width="6.33203125" style="37" bestFit="1" customWidth="1"/>
    <col min="5" max="5" width="6.5" style="37" bestFit="1" customWidth="1"/>
    <col min="6" max="6" width="6.83203125" style="37" bestFit="1" customWidth="1"/>
    <col min="7" max="7" width="23.6640625" style="37" customWidth="1"/>
    <col min="8" max="8" width="8.83203125" style="37"/>
    <col min="9" max="10" width="8.33203125" style="37" bestFit="1" customWidth="1"/>
    <col min="11" max="11" width="8.83203125" style="37" customWidth="1"/>
    <col min="12" max="12" width="8.33203125" style="37" bestFit="1" customWidth="1"/>
    <col min="13" max="13" width="8.5" style="37" bestFit="1" customWidth="1"/>
    <col min="14" max="14" width="7.83203125" style="37" hidden="1" customWidth="1"/>
    <col min="15" max="15" width="11.1640625" style="37" bestFit="1" customWidth="1"/>
    <col min="16" max="16" width="10.83203125" style="37" bestFit="1" customWidth="1"/>
    <col min="17" max="17" width="5.83203125" style="37" customWidth="1"/>
    <col min="18" max="18" width="4.83203125" style="37" hidden="1" customWidth="1"/>
    <col min="19" max="19" width="6.33203125" style="37" hidden="1" customWidth="1"/>
    <col min="20" max="20" width="6.83203125" style="37" customWidth="1"/>
    <col min="21" max="21" width="7.33203125" style="37" hidden="1" customWidth="1"/>
    <col min="22" max="23" width="6.5" style="37" hidden="1" customWidth="1"/>
    <col min="24" max="24" width="6" style="37" hidden="1" customWidth="1"/>
    <col min="25" max="25" width="6.33203125" style="37" customWidth="1"/>
    <col min="26" max="26" width="15.33203125" style="37" hidden="1" customWidth="1"/>
    <col min="27" max="27" width="14.5" style="37" hidden="1" customWidth="1"/>
    <col min="28" max="28" width="4.83203125" style="37" hidden="1" customWidth="1"/>
    <col min="29" max="29" width="5.6640625" style="37" hidden="1" customWidth="1"/>
    <col min="30" max="30" width="8.6640625" style="37" hidden="1" customWidth="1"/>
    <col min="31" max="31" width="40.6640625" style="37" customWidth="1"/>
    <col min="32" max="16384" width="8.83203125" style="37"/>
  </cols>
  <sheetData>
    <row r="1" spans="1:32">
      <c r="A1" s="26" t="s">
        <v>102</v>
      </c>
      <c r="B1" s="26" t="s">
        <v>16</v>
      </c>
      <c r="C1" s="26" t="s">
        <v>94</v>
      </c>
      <c r="D1" s="27" t="s">
        <v>103</v>
      </c>
      <c r="E1" s="26" t="s">
        <v>104</v>
      </c>
      <c r="F1" s="27" t="s">
        <v>46</v>
      </c>
      <c r="G1" s="26" t="s">
        <v>105</v>
      </c>
      <c r="H1" s="26" t="s">
        <v>106</v>
      </c>
      <c r="I1" s="26" t="s">
        <v>107</v>
      </c>
      <c r="J1" s="26" t="s">
        <v>34</v>
      </c>
      <c r="K1" s="26" t="s">
        <v>108</v>
      </c>
      <c r="L1" s="26" t="s">
        <v>109</v>
      </c>
      <c r="M1" s="28" t="s">
        <v>39</v>
      </c>
      <c r="N1" s="28" t="s">
        <v>43</v>
      </c>
      <c r="O1" s="26" t="s">
        <v>110</v>
      </c>
      <c r="P1" s="26" t="s">
        <v>111</v>
      </c>
      <c r="Q1" s="29" t="s">
        <v>112</v>
      </c>
      <c r="R1" s="29" t="s">
        <v>35</v>
      </c>
      <c r="S1" s="29" t="s">
        <v>36</v>
      </c>
      <c r="T1" s="30" t="s">
        <v>113</v>
      </c>
      <c r="U1" s="31" t="s">
        <v>67</v>
      </c>
      <c r="V1" s="31" t="s">
        <v>68</v>
      </c>
      <c r="W1" s="32" t="s">
        <v>37</v>
      </c>
      <c r="X1" s="32" t="s">
        <v>38</v>
      </c>
      <c r="Y1" s="33" t="s">
        <v>114</v>
      </c>
      <c r="Z1" s="34" t="s">
        <v>47</v>
      </c>
      <c r="AA1" s="34" t="s">
        <v>42</v>
      </c>
      <c r="AB1" s="35" t="s">
        <v>26</v>
      </c>
      <c r="AC1" s="36" t="s">
        <v>40</v>
      </c>
      <c r="AD1" s="36" t="s">
        <v>41</v>
      </c>
      <c r="AE1" s="26" t="s">
        <v>115</v>
      </c>
      <c r="AF1" s="37" t="s">
        <v>491</v>
      </c>
    </row>
    <row r="2" spans="1:32">
      <c r="A2" s="183">
        <v>43831</v>
      </c>
      <c r="B2" s="144">
        <v>43832</v>
      </c>
      <c r="C2" s="178" t="s">
        <v>232</v>
      </c>
      <c r="D2" s="179"/>
      <c r="E2" s="178" t="s">
        <v>92</v>
      </c>
      <c r="F2" s="179">
        <v>0</v>
      </c>
      <c r="G2" s="183" t="s">
        <v>322</v>
      </c>
      <c r="H2" s="176" t="s">
        <v>323</v>
      </c>
      <c r="I2" s="180">
        <v>2.0499999999999998</v>
      </c>
      <c r="J2" s="180">
        <v>2.04</v>
      </c>
      <c r="K2" s="181">
        <v>2000</v>
      </c>
      <c r="L2" s="181">
        <v>2009.77</v>
      </c>
      <c r="M2" s="44">
        <f>IF(LayTable[[#This Row],[Sport]]="","",LayTable[[#This Row],[LayInnsats]]*(LayTable[[#This Row],[LayOdds]]-1))</f>
        <v>2090.1608000000001</v>
      </c>
      <c r="N2" s="45">
        <f>IF(LayTable[[#This Row],[Sport]]="","",1/((1/LayTable[[#This Row],[BookieOdds]])+(1/((1/((1+((LayTable[[#This Row],[LayOdds]]-1)*(1+LayTable[[#This Row],[C% Lay]])))-1))+1)))-1)</f>
        <v>2.3969319271330836E-3</v>
      </c>
      <c r="O2" s="37" t="s">
        <v>321</v>
      </c>
      <c r="P2" s="37" t="s">
        <v>320</v>
      </c>
      <c r="Q2" s="46">
        <f>IF(LayTable[[#This Row],[Sport]]="","",LayTable[[#This Row],[BookieInnsats]]+LayTable[[#This Row],[LayLiability]])</f>
        <v>4090.1608000000001</v>
      </c>
      <c r="R2" s="47">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9.8391999999998916</v>
      </c>
      <c r="S2" s="47">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9.7699999999999818</v>
      </c>
      <c r="T2" s="47">
        <f>IF(LayTable[[#This Row],[Utfall bookie]]="","",LayTable[[#This Row],[WBABack]]+LayTable[[#This Row],[WBALay]]-LayTable[[#This Row],[Total inns]])</f>
        <v>9.7699999999999818</v>
      </c>
      <c r="U2" s="47">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0</v>
      </c>
      <c r="V2" s="47">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4099.9308000000001</v>
      </c>
      <c r="W2" s="48">
        <f>IFERROR(IF(LayTable[[#This Row],[Total inns]]="","",LayTable[[#This Row],[Rback]]/LayTable[[#This Row],[Total inns]]),"")</f>
        <v>2.4055777953766247E-3</v>
      </c>
      <c r="X2" s="48">
        <f>IFERROR(IF(LayTable[[#This Row],[Total inns]]="","",LayTable[[#This Row],[Rlay]]/LayTable[[#This Row],[Total inns]]),"")</f>
        <v>2.3886591451367832E-3</v>
      </c>
      <c r="Y2" s="48">
        <f>IFERROR(LayTable[[#This Row],[Faktisk res]]/LayTable[[#This Row],[Total inns]],"")</f>
        <v>2.3886591451367832E-3</v>
      </c>
      <c r="Z2" s="47">
        <f>(LayTable[[#This Row],[BookieInnsats]]*LayTable[[#This Row],[BookieOdds]]-LayTable[[#This Row],[BookieInnsats]])*(1-LayTable[[#This Row],[C% Bookie]])</f>
        <v>2100</v>
      </c>
      <c r="AA2" s="43">
        <f>LayTable[[#This Row],[LayInnsats]]*(1-LayTable[[#This Row],[C% Lay]])</f>
        <v>2009.77</v>
      </c>
      <c r="AB2" s="43">
        <f>IFERROR(IF(LayTable[[#This Row],[Sport]]="",AB1,LayTable[[#This Row],[Faktisk res]]+AB1),"")</f>
        <v>9.7699999999999818</v>
      </c>
      <c r="AC2" s="43">
        <f>(LayTable[[#This Row],[BackWin-Commission]]+LayTable[[#This Row],[BookieInnsats]])</f>
        <v>4100</v>
      </c>
      <c r="AD2" s="43">
        <f>(LayTable[[#This Row],[LayWin-Commission]])+LayTable[[#This Row],[LayLiability]]</f>
        <v>4099.9308000000001</v>
      </c>
      <c r="AE2" s="181" t="s">
        <v>492</v>
      </c>
      <c r="AF2" s="183">
        <f ca="1">TODAY()</f>
        <v>44106</v>
      </c>
    </row>
    <row r="3" spans="1:32">
      <c r="A3" s="183">
        <v>43831</v>
      </c>
      <c r="B3" s="144">
        <v>43833</v>
      </c>
      <c r="C3" s="178" t="s">
        <v>232</v>
      </c>
      <c r="D3" s="179"/>
      <c r="E3" s="178" t="s">
        <v>263</v>
      </c>
      <c r="F3" s="179">
        <v>0.02</v>
      </c>
      <c r="G3" s="183" t="s">
        <v>324</v>
      </c>
      <c r="H3" s="176" t="s">
        <v>325</v>
      </c>
      <c r="I3" s="180">
        <v>4.8</v>
      </c>
      <c r="J3" s="180">
        <v>4.6900000000000004</v>
      </c>
      <c r="K3" s="181">
        <v>200</v>
      </c>
      <c r="L3" s="181">
        <v>162.38999999999999</v>
      </c>
      <c r="M3" s="44">
        <f>IF(LayTable[[#This Row],[Sport]]="","",LayTable[[#This Row],[LayInnsats]]*(LayTable[[#This Row],[LayOdds]]-1))</f>
        <v>599.21910000000003</v>
      </c>
      <c r="N3" s="45">
        <f>IF(LayTable[[#This Row],[Sport]]="","",1/((1/LayTable[[#This Row],[BookieOdds]])+(1/((1/((1+((LayTable[[#This Row],[LayOdds]]-1)*(1+LayTable[[#This Row],[C% Lay]])))-1))+1)))-1)</f>
        <v>1.5856301609633583E-3</v>
      </c>
      <c r="O3" s="37" t="s">
        <v>326</v>
      </c>
      <c r="P3" s="37" t="s">
        <v>320</v>
      </c>
      <c r="Q3" s="46">
        <f>IF(LayTable[[#This Row],[Sport]]="","",LayTable[[#This Row],[BookieInnsats]]+LayTable[[#This Row],[LayLiability]])</f>
        <v>799.21910000000003</v>
      </c>
      <c r="R3" s="47">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160.78089999999997</v>
      </c>
      <c r="S3" s="47">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-40.857800000000026</v>
      </c>
      <c r="T3" s="47">
        <f>IF(LayTable[[#This Row],[Utfall bookie]]="","",LayTable[[#This Row],[WBABack]]+LayTable[[#This Row],[WBALay]]-LayTable[[#This Row],[Total inns]])</f>
        <v>159.1422</v>
      </c>
      <c r="U3" s="47">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200</v>
      </c>
      <c r="V3" s="47">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758.36130000000003</v>
      </c>
      <c r="W3" s="48">
        <f>IFERROR(IF(LayTable[[#This Row],[Total inns]]="","",LayTable[[#This Row],[Rback]]/LayTable[[#This Row],[Total inns]]),"")</f>
        <v>0.20117249450119495</v>
      </c>
      <c r="X3" s="48">
        <f>IFERROR(IF(LayTable[[#This Row],[Total inns]]="","",LayTable[[#This Row],[Rlay]]/LayTable[[#This Row],[Total inns]]),"")</f>
        <v>-5.1122151610240578E-2</v>
      </c>
      <c r="Y3" s="48">
        <f>IFERROR(LayTable[[#This Row],[Faktisk res]]/LayTable[[#This Row],[Total inns]],"")</f>
        <v>0.1991221180775084</v>
      </c>
      <c r="Z3" s="47">
        <f>(LayTable[[#This Row],[BookieInnsats]]*LayTable[[#This Row],[BookieOdds]]-LayTable[[#This Row],[BookieInnsats]])*(1-LayTable[[#This Row],[C% Bookie]])</f>
        <v>760</v>
      </c>
      <c r="AA3" s="43">
        <f>LayTable[[#This Row],[LayInnsats]]*(1-LayTable[[#This Row],[C% Lay]])</f>
        <v>159.14219999999997</v>
      </c>
      <c r="AB3" s="43">
        <f>IFERROR(IF(LayTable[[#This Row],[Sport]]="",AB2,LayTable[[#This Row],[Faktisk res]]+AB2),"")</f>
        <v>168.91219999999998</v>
      </c>
      <c r="AC3" s="43">
        <f>(LayTable[[#This Row],[BackWin-Commission]]+LayTable[[#This Row],[BookieInnsats]])</f>
        <v>960</v>
      </c>
      <c r="AD3" s="43">
        <f>(LayTable[[#This Row],[LayWin-Commission]])+LayTable[[#This Row],[LayLiability]]</f>
        <v>758.36130000000003</v>
      </c>
      <c r="AE3" s="181" t="s">
        <v>352</v>
      </c>
      <c r="AF3" s="181"/>
    </row>
    <row r="4" spans="1:32">
      <c r="A4" s="183"/>
      <c r="B4" s="177"/>
      <c r="C4" s="178"/>
      <c r="D4" s="179"/>
      <c r="E4" s="178"/>
      <c r="F4" s="179"/>
      <c r="G4" s="183"/>
      <c r="H4" s="176"/>
      <c r="I4" s="180"/>
      <c r="J4" s="180"/>
      <c r="K4" s="181"/>
      <c r="L4" s="181"/>
      <c r="M4" s="44" t="str">
        <f>IF(LayTable[[#This Row],[Sport]]="","",LayTable[[#This Row],[LayInnsats]]*(LayTable[[#This Row],[LayOdds]]-1))</f>
        <v/>
      </c>
      <c r="N4" s="45" t="str">
        <f>IF(LayTable[[#This Row],[Sport]]="","",1/((1/LayTable[[#This Row],[BookieOdds]])+(1/((1/((1+((LayTable[[#This Row],[LayOdds]]-1)*(1+LayTable[[#This Row],[C% Lay]])))-1))+1)))-1)</f>
        <v/>
      </c>
      <c r="Q4" s="46" t="str">
        <f>IF(LayTable[[#This Row],[Sport]]="","",LayTable[[#This Row],[BookieInnsats]]+LayTable[[#This Row],[LayLiability]])</f>
        <v/>
      </c>
      <c r="R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 s="47" t="str">
        <f>IF(LayTable[[#This Row],[Utfall bookie]]="","",LayTable[[#This Row],[WBABack]]+LayTable[[#This Row],[WBALay]]-LayTable[[#This Row],[Total inns]])</f>
        <v/>
      </c>
      <c r="U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 s="48" t="str">
        <f>IFERROR(IF(LayTable[[#This Row],[Total inns]]="","",LayTable[[#This Row],[Rback]]/LayTable[[#This Row],[Total inns]]),"")</f>
        <v/>
      </c>
      <c r="X4" s="48" t="str">
        <f>IFERROR(IF(LayTable[[#This Row],[Total inns]]="","",LayTable[[#This Row],[Rlay]]/LayTable[[#This Row],[Total inns]]),"")</f>
        <v/>
      </c>
      <c r="Y4" s="48" t="str">
        <f>IFERROR(LayTable[[#This Row],[Faktisk res]]/LayTable[[#This Row],[Total inns]],"")</f>
        <v/>
      </c>
      <c r="Z4" s="47">
        <f>(LayTable[[#This Row],[BookieInnsats]]*LayTable[[#This Row],[BookieOdds]]-LayTable[[#This Row],[BookieInnsats]])*(1-LayTable[[#This Row],[C% Bookie]])</f>
        <v>0</v>
      </c>
      <c r="AA4" s="43">
        <f>LayTable[[#This Row],[LayInnsats]]*(1-LayTable[[#This Row],[C% Lay]])</f>
        <v>0</v>
      </c>
      <c r="AB4" s="43">
        <f>IFERROR(IF(LayTable[[#This Row],[Sport]]="",AB3,LayTable[[#This Row],[Faktisk res]]+AB3),"")</f>
        <v>168.91219999999998</v>
      </c>
      <c r="AC4" s="43">
        <f>(LayTable[[#This Row],[BackWin-Commission]]+LayTable[[#This Row],[BookieInnsats]])</f>
        <v>0</v>
      </c>
      <c r="AD4" s="43" t="e">
        <f>(LayTable[[#This Row],[LayWin-Commission]])+LayTable[[#This Row],[LayLiability]]</f>
        <v>#VALUE!</v>
      </c>
      <c r="AE4" s="181"/>
      <c r="AF4" s="181"/>
    </row>
    <row r="5" spans="1:32">
      <c r="A5" s="183"/>
      <c r="B5" s="177"/>
      <c r="C5" s="178"/>
      <c r="D5" s="179"/>
      <c r="E5" s="178"/>
      <c r="F5" s="179"/>
      <c r="G5" s="183"/>
      <c r="H5" s="176"/>
      <c r="I5" s="180"/>
      <c r="J5" s="180"/>
      <c r="K5" s="181"/>
      <c r="L5" s="181"/>
      <c r="M5" s="44" t="str">
        <f>IF(LayTable[[#This Row],[Sport]]="","",LayTable[[#This Row],[LayInnsats]]*(LayTable[[#This Row],[LayOdds]]-1))</f>
        <v/>
      </c>
      <c r="N5" s="45" t="str">
        <f>IF(LayTable[[#This Row],[Sport]]="","",1/((1/LayTable[[#This Row],[BookieOdds]])+(1/((1/((1+((LayTable[[#This Row],[LayOdds]]-1)*(1+LayTable[[#This Row],[C% Lay]])))-1))+1)))-1)</f>
        <v/>
      </c>
      <c r="Q5" s="46" t="str">
        <f>IF(LayTable[[#This Row],[Sport]]="","",LayTable[[#This Row],[BookieInnsats]]+LayTable[[#This Row],[LayLiability]])</f>
        <v/>
      </c>
      <c r="R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 s="47" t="str">
        <f>IF(LayTable[[#This Row],[Utfall bookie]]="","",LayTable[[#This Row],[WBABack]]+LayTable[[#This Row],[WBALay]]-LayTable[[#This Row],[Total inns]])</f>
        <v/>
      </c>
      <c r="U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 s="48" t="str">
        <f>IFERROR(IF(LayTable[[#This Row],[Total inns]]="","",LayTable[[#This Row],[Rback]]/LayTable[[#This Row],[Total inns]]),"")</f>
        <v/>
      </c>
      <c r="X5" s="48" t="str">
        <f>IFERROR(IF(LayTable[[#This Row],[Total inns]]="","",LayTable[[#This Row],[Rlay]]/LayTable[[#This Row],[Total inns]]),"")</f>
        <v/>
      </c>
      <c r="Y5" s="48" t="str">
        <f>IFERROR(LayTable[[#This Row],[Faktisk res]]/LayTable[[#This Row],[Total inns]],"")</f>
        <v/>
      </c>
      <c r="Z5" s="47">
        <f>(LayTable[[#This Row],[BookieInnsats]]*LayTable[[#This Row],[BookieOdds]]-LayTable[[#This Row],[BookieInnsats]])*(1-LayTable[[#This Row],[C% Bookie]])</f>
        <v>0</v>
      </c>
      <c r="AA5" s="43">
        <f>LayTable[[#This Row],[LayInnsats]]*(1-LayTable[[#This Row],[C% Lay]])</f>
        <v>0</v>
      </c>
      <c r="AB5" s="43">
        <f>IFERROR(IF(LayTable[[#This Row],[Sport]]="",AB4,LayTable[[#This Row],[Faktisk res]]+AB4),"")</f>
        <v>168.91219999999998</v>
      </c>
      <c r="AC5" s="43">
        <f>(LayTable[[#This Row],[BackWin-Commission]]+LayTable[[#This Row],[BookieInnsats]])</f>
        <v>0</v>
      </c>
      <c r="AD5" s="43" t="e">
        <f>(LayTable[[#This Row],[LayWin-Commission]])+LayTable[[#This Row],[LayLiability]]</f>
        <v>#VALUE!</v>
      </c>
      <c r="AE5" s="181"/>
      <c r="AF5" s="181"/>
    </row>
    <row r="6" spans="1:32">
      <c r="A6" s="183"/>
      <c r="B6" s="177"/>
      <c r="C6" s="178"/>
      <c r="D6" s="179"/>
      <c r="E6" s="178"/>
      <c r="F6" s="179"/>
      <c r="G6" s="183"/>
      <c r="H6" s="176"/>
      <c r="I6" s="180"/>
      <c r="J6" s="180"/>
      <c r="K6" s="181"/>
      <c r="L6" s="181"/>
      <c r="M6" s="44" t="str">
        <f>IF(LayTable[[#This Row],[Sport]]="","",LayTable[[#This Row],[LayInnsats]]*(LayTable[[#This Row],[LayOdds]]-1))</f>
        <v/>
      </c>
      <c r="N6" s="45" t="str">
        <f>IF(LayTable[[#This Row],[Sport]]="","",1/((1/LayTable[[#This Row],[BookieOdds]])+(1/((1/((1+((LayTable[[#This Row],[LayOdds]]-1)*(1+LayTable[[#This Row],[C% Lay]])))-1))+1)))-1)</f>
        <v/>
      </c>
      <c r="Q6" s="46" t="str">
        <f>IF(LayTable[[#This Row],[Sport]]="","",LayTable[[#This Row],[BookieInnsats]]+LayTable[[#This Row],[LayLiability]])</f>
        <v/>
      </c>
      <c r="R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 s="47" t="str">
        <f>IF(LayTable[[#This Row],[Utfall bookie]]="","",LayTable[[#This Row],[WBABack]]+LayTable[[#This Row],[WBALay]]-LayTable[[#This Row],[Total inns]])</f>
        <v/>
      </c>
      <c r="U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 s="48" t="str">
        <f>IFERROR(IF(LayTable[[#This Row],[Total inns]]="","",LayTable[[#This Row],[Rback]]/LayTable[[#This Row],[Total inns]]),"")</f>
        <v/>
      </c>
      <c r="X6" s="48" t="str">
        <f>IFERROR(IF(LayTable[[#This Row],[Total inns]]="","",LayTable[[#This Row],[Rlay]]/LayTable[[#This Row],[Total inns]]),"")</f>
        <v/>
      </c>
      <c r="Y6" s="48" t="str">
        <f>IFERROR(LayTable[[#This Row],[Faktisk res]]/LayTable[[#This Row],[Total inns]],"")</f>
        <v/>
      </c>
      <c r="Z6" s="47">
        <f>(LayTable[[#This Row],[BookieInnsats]]*LayTable[[#This Row],[BookieOdds]]-LayTable[[#This Row],[BookieInnsats]])*(1-LayTable[[#This Row],[C% Bookie]])</f>
        <v>0</v>
      </c>
      <c r="AA6" s="43">
        <f>LayTable[[#This Row],[LayInnsats]]*(1-LayTable[[#This Row],[C% Lay]])</f>
        <v>0</v>
      </c>
      <c r="AB6" s="43">
        <f>IFERROR(IF(LayTable[[#This Row],[Sport]]="",AB5,LayTable[[#This Row],[Faktisk res]]+AB5),"")</f>
        <v>168.91219999999998</v>
      </c>
      <c r="AC6" s="43">
        <f>(LayTable[[#This Row],[BackWin-Commission]]+LayTable[[#This Row],[BookieInnsats]])</f>
        <v>0</v>
      </c>
      <c r="AD6" s="43" t="e">
        <f>(LayTable[[#This Row],[LayWin-Commission]])+LayTable[[#This Row],[LayLiability]]</f>
        <v>#VALUE!</v>
      </c>
      <c r="AE6" s="181"/>
      <c r="AF6" s="181"/>
    </row>
    <row r="7" spans="1:32">
      <c r="A7" s="183"/>
      <c r="B7" s="177"/>
      <c r="C7" s="178"/>
      <c r="D7" s="179"/>
      <c r="E7" s="178"/>
      <c r="F7" s="179"/>
      <c r="G7" s="183"/>
      <c r="H7" s="176"/>
      <c r="I7" s="180"/>
      <c r="J7" s="180"/>
      <c r="K7" s="181"/>
      <c r="L7" s="181"/>
      <c r="M7" s="44" t="str">
        <f>IF(LayTable[[#This Row],[Sport]]="","",LayTable[[#This Row],[LayInnsats]]*(LayTable[[#This Row],[LayOdds]]-1))</f>
        <v/>
      </c>
      <c r="N7" s="45" t="str">
        <f>IF(LayTable[[#This Row],[Sport]]="","",1/((1/LayTable[[#This Row],[BookieOdds]])+(1/((1/((1+((LayTable[[#This Row],[LayOdds]]-1)*(1+LayTable[[#This Row],[C% Lay]])))-1))+1)))-1)</f>
        <v/>
      </c>
      <c r="Q7" s="46" t="str">
        <f>IF(LayTable[[#This Row],[Sport]]="","",LayTable[[#This Row],[BookieInnsats]]+LayTable[[#This Row],[LayLiability]])</f>
        <v/>
      </c>
      <c r="R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 s="47" t="str">
        <f>IF(LayTable[[#This Row],[Utfall bookie]]="","",LayTable[[#This Row],[WBABack]]+LayTable[[#This Row],[WBALay]]-LayTable[[#This Row],[Total inns]])</f>
        <v/>
      </c>
      <c r="U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 s="48" t="str">
        <f>IFERROR(IF(LayTable[[#This Row],[Total inns]]="","",LayTable[[#This Row],[Rback]]/LayTable[[#This Row],[Total inns]]),"")</f>
        <v/>
      </c>
      <c r="X7" s="48" t="str">
        <f>IFERROR(IF(LayTable[[#This Row],[Total inns]]="","",LayTable[[#This Row],[Rlay]]/LayTable[[#This Row],[Total inns]]),"")</f>
        <v/>
      </c>
      <c r="Y7" s="48" t="str">
        <f>IFERROR(LayTable[[#This Row],[Faktisk res]]/LayTable[[#This Row],[Total inns]],"")</f>
        <v/>
      </c>
      <c r="Z7" s="47">
        <f>(LayTable[[#This Row],[BookieInnsats]]*LayTable[[#This Row],[BookieOdds]]-LayTable[[#This Row],[BookieInnsats]])*(1-LayTable[[#This Row],[C% Bookie]])</f>
        <v>0</v>
      </c>
      <c r="AA7" s="43">
        <f>LayTable[[#This Row],[LayInnsats]]*(1-LayTable[[#This Row],[C% Lay]])</f>
        <v>0</v>
      </c>
      <c r="AB7" s="43">
        <f>IFERROR(IF(LayTable[[#This Row],[Sport]]="",AB6,LayTable[[#This Row],[Faktisk res]]+AB6),"")</f>
        <v>168.91219999999998</v>
      </c>
      <c r="AC7" s="43">
        <f>(LayTable[[#This Row],[BackWin-Commission]]+LayTable[[#This Row],[BookieInnsats]])</f>
        <v>0</v>
      </c>
      <c r="AD7" s="43" t="e">
        <f>(LayTable[[#This Row],[LayWin-Commission]])+LayTable[[#This Row],[LayLiability]]</f>
        <v>#VALUE!</v>
      </c>
      <c r="AE7" s="181"/>
      <c r="AF7" s="181"/>
    </row>
    <row r="8" spans="1:32">
      <c r="A8" s="183"/>
      <c r="B8" s="177"/>
      <c r="C8" s="178"/>
      <c r="D8" s="179"/>
      <c r="E8" s="178"/>
      <c r="F8" s="179"/>
      <c r="G8" s="183"/>
      <c r="H8" s="176"/>
      <c r="I8" s="180"/>
      <c r="J8" s="180"/>
      <c r="K8" s="181"/>
      <c r="L8" s="181"/>
      <c r="M8" s="44" t="str">
        <f>IF(LayTable[[#This Row],[Sport]]="","",LayTable[[#This Row],[LayInnsats]]*(LayTable[[#This Row],[LayOdds]]-1))</f>
        <v/>
      </c>
      <c r="N8" s="45" t="str">
        <f>IF(LayTable[[#This Row],[Sport]]="","",1/((1/LayTable[[#This Row],[BookieOdds]])+(1/((1/((1+((LayTable[[#This Row],[LayOdds]]-1)*(1+LayTable[[#This Row],[C% Lay]])))-1))+1)))-1)</f>
        <v/>
      </c>
      <c r="Q8" s="46" t="str">
        <f>IF(LayTable[[#This Row],[Sport]]="","",LayTable[[#This Row],[BookieInnsats]]+LayTable[[#This Row],[LayLiability]])</f>
        <v/>
      </c>
      <c r="R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 s="47" t="str">
        <f>IF(LayTable[[#This Row],[Utfall bookie]]="","",LayTable[[#This Row],[WBABack]]+LayTable[[#This Row],[WBALay]]-LayTable[[#This Row],[Total inns]])</f>
        <v/>
      </c>
      <c r="U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 s="48" t="str">
        <f>IFERROR(IF(LayTable[[#This Row],[Total inns]]="","",LayTable[[#This Row],[Rback]]/LayTable[[#This Row],[Total inns]]),"")</f>
        <v/>
      </c>
      <c r="X8" s="48" t="str">
        <f>IFERROR(IF(LayTable[[#This Row],[Total inns]]="","",LayTable[[#This Row],[Rlay]]/LayTable[[#This Row],[Total inns]]),"")</f>
        <v/>
      </c>
      <c r="Y8" s="48" t="str">
        <f>IFERROR(LayTable[[#This Row],[Faktisk res]]/LayTable[[#This Row],[Total inns]],"")</f>
        <v/>
      </c>
      <c r="Z8" s="47">
        <f>(LayTable[[#This Row],[BookieInnsats]]*LayTable[[#This Row],[BookieOdds]]-LayTable[[#This Row],[BookieInnsats]])*(1-LayTable[[#This Row],[C% Bookie]])</f>
        <v>0</v>
      </c>
      <c r="AA8" s="43">
        <f>LayTable[[#This Row],[LayInnsats]]*(1-LayTable[[#This Row],[C% Lay]])</f>
        <v>0</v>
      </c>
      <c r="AB8" s="43">
        <f>IFERROR(IF(LayTable[[#This Row],[Sport]]="",AB7,LayTable[[#This Row],[Faktisk res]]+AB7),"")</f>
        <v>168.91219999999998</v>
      </c>
      <c r="AC8" s="43">
        <f>(LayTable[[#This Row],[BackWin-Commission]]+LayTable[[#This Row],[BookieInnsats]])</f>
        <v>0</v>
      </c>
      <c r="AD8" s="43" t="e">
        <f>(LayTable[[#This Row],[LayWin-Commission]])+LayTable[[#This Row],[LayLiability]]</f>
        <v>#VALUE!</v>
      </c>
      <c r="AE8" s="181"/>
      <c r="AF8" s="181"/>
    </row>
    <row r="9" spans="1:32">
      <c r="A9" s="183"/>
      <c r="B9" s="177"/>
      <c r="C9" s="178"/>
      <c r="D9" s="179"/>
      <c r="E9" s="178"/>
      <c r="F9" s="179"/>
      <c r="G9" s="183"/>
      <c r="H9" s="176"/>
      <c r="I9" s="180"/>
      <c r="J9" s="180"/>
      <c r="K9" s="181"/>
      <c r="L9" s="181"/>
      <c r="M9" s="44" t="str">
        <f>IF(LayTable[[#This Row],[Sport]]="","",LayTable[[#This Row],[LayInnsats]]*(LayTable[[#This Row],[LayOdds]]-1))</f>
        <v/>
      </c>
      <c r="N9" s="45" t="str">
        <f>IF(LayTable[[#This Row],[Sport]]="","",1/((1/LayTable[[#This Row],[BookieOdds]])+(1/((1/((1+((LayTable[[#This Row],[LayOdds]]-1)*(1+LayTable[[#This Row],[C% Lay]])))-1))+1)))-1)</f>
        <v/>
      </c>
      <c r="Q9" s="46" t="str">
        <f>IF(LayTable[[#This Row],[Sport]]="","",LayTable[[#This Row],[BookieInnsats]]+LayTable[[#This Row],[LayLiability]])</f>
        <v/>
      </c>
      <c r="R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 s="47" t="str">
        <f>IF(LayTable[[#This Row],[Utfall bookie]]="","",LayTable[[#This Row],[WBABack]]+LayTable[[#This Row],[WBALay]]-LayTable[[#This Row],[Total inns]])</f>
        <v/>
      </c>
      <c r="U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 s="48" t="str">
        <f>IFERROR(IF(LayTable[[#This Row],[Total inns]]="","",LayTable[[#This Row],[Rback]]/LayTable[[#This Row],[Total inns]]),"")</f>
        <v/>
      </c>
      <c r="X9" s="48" t="str">
        <f>IFERROR(IF(LayTable[[#This Row],[Total inns]]="","",LayTable[[#This Row],[Rlay]]/LayTable[[#This Row],[Total inns]]),"")</f>
        <v/>
      </c>
      <c r="Y9" s="48" t="str">
        <f>IFERROR(LayTable[[#This Row],[Faktisk res]]/LayTable[[#This Row],[Total inns]],"")</f>
        <v/>
      </c>
      <c r="Z9" s="47">
        <f>(LayTable[[#This Row],[BookieInnsats]]*LayTable[[#This Row],[BookieOdds]]-LayTable[[#This Row],[BookieInnsats]])*(1-LayTable[[#This Row],[C% Bookie]])</f>
        <v>0</v>
      </c>
      <c r="AA9" s="43">
        <f>LayTable[[#This Row],[LayInnsats]]*(1-LayTable[[#This Row],[C% Lay]])</f>
        <v>0</v>
      </c>
      <c r="AB9" s="43">
        <f>IFERROR(IF(LayTable[[#This Row],[Sport]]="",AB8,LayTable[[#This Row],[Faktisk res]]+AB8),"")</f>
        <v>168.91219999999998</v>
      </c>
      <c r="AC9" s="43">
        <f>(LayTable[[#This Row],[BackWin-Commission]]+LayTable[[#This Row],[BookieInnsats]])</f>
        <v>0</v>
      </c>
      <c r="AD9" s="43" t="e">
        <f>(LayTable[[#This Row],[LayWin-Commission]])+LayTable[[#This Row],[LayLiability]]</f>
        <v>#VALUE!</v>
      </c>
      <c r="AE9" s="181"/>
      <c r="AF9" s="181"/>
    </row>
    <row r="10" spans="1:32">
      <c r="A10" s="183"/>
      <c r="B10" s="177"/>
      <c r="C10" s="178"/>
      <c r="D10" s="179"/>
      <c r="E10" s="178"/>
      <c r="F10" s="179"/>
      <c r="G10" s="183"/>
      <c r="H10" s="176"/>
      <c r="I10" s="180"/>
      <c r="J10" s="180"/>
      <c r="K10" s="181"/>
      <c r="L10" s="181"/>
      <c r="M10" s="44" t="str">
        <f>IF(LayTable[[#This Row],[Sport]]="","",LayTable[[#This Row],[LayInnsats]]*(LayTable[[#This Row],[LayOdds]]-1))</f>
        <v/>
      </c>
      <c r="N10" s="45" t="str">
        <f>IF(LayTable[[#This Row],[Sport]]="","",1/((1/LayTable[[#This Row],[BookieOdds]])+(1/((1/((1+((LayTable[[#This Row],[LayOdds]]-1)*(1+LayTable[[#This Row],[C% Lay]])))-1))+1)))-1)</f>
        <v/>
      </c>
      <c r="Q10" s="46" t="str">
        <f>IF(LayTable[[#This Row],[Sport]]="","",LayTable[[#This Row],[BookieInnsats]]+LayTable[[#This Row],[LayLiability]])</f>
        <v/>
      </c>
      <c r="R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 s="47" t="str">
        <f>IF(LayTable[[#This Row],[Utfall bookie]]="","",LayTable[[#This Row],[WBABack]]+LayTable[[#This Row],[WBALay]]-LayTable[[#This Row],[Total inns]])</f>
        <v/>
      </c>
      <c r="U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 s="48" t="str">
        <f>IFERROR(IF(LayTable[[#This Row],[Total inns]]="","",LayTable[[#This Row],[Rback]]/LayTable[[#This Row],[Total inns]]),"")</f>
        <v/>
      </c>
      <c r="X10" s="48" t="str">
        <f>IFERROR(IF(LayTable[[#This Row],[Total inns]]="","",LayTable[[#This Row],[Rlay]]/LayTable[[#This Row],[Total inns]]),"")</f>
        <v/>
      </c>
      <c r="Y10" s="48" t="str">
        <f>IFERROR(LayTable[[#This Row],[Faktisk res]]/LayTable[[#This Row],[Total inns]],"")</f>
        <v/>
      </c>
      <c r="Z10" s="47">
        <f>(LayTable[[#This Row],[BookieInnsats]]*LayTable[[#This Row],[BookieOdds]]-LayTable[[#This Row],[BookieInnsats]])*(1-LayTable[[#This Row],[C% Bookie]])</f>
        <v>0</v>
      </c>
      <c r="AA10" s="43">
        <f>LayTable[[#This Row],[LayInnsats]]*(1-LayTable[[#This Row],[C% Lay]])</f>
        <v>0</v>
      </c>
      <c r="AB10" s="43">
        <f>IFERROR(IF(LayTable[[#This Row],[Sport]]="",AB9,LayTable[[#This Row],[Faktisk res]]+AB9),"")</f>
        <v>168.91219999999998</v>
      </c>
      <c r="AC10" s="43">
        <f>(LayTable[[#This Row],[BackWin-Commission]]+LayTable[[#This Row],[BookieInnsats]])</f>
        <v>0</v>
      </c>
      <c r="AD10" s="43" t="e">
        <f>(LayTable[[#This Row],[LayWin-Commission]])+LayTable[[#This Row],[LayLiability]]</f>
        <v>#VALUE!</v>
      </c>
      <c r="AE10" s="181"/>
      <c r="AF10" s="181"/>
    </row>
    <row r="11" spans="1:32">
      <c r="A11" s="183"/>
      <c r="B11" s="177"/>
      <c r="C11" s="178"/>
      <c r="D11" s="179"/>
      <c r="E11" s="178"/>
      <c r="F11" s="179"/>
      <c r="G11" s="183"/>
      <c r="H11" s="176"/>
      <c r="I11" s="180"/>
      <c r="J11" s="180"/>
      <c r="K11" s="181"/>
      <c r="L11" s="181"/>
      <c r="M11" s="44" t="str">
        <f>IF(LayTable[[#This Row],[Sport]]="","",LayTable[[#This Row],[LayInnsats]]*(LayTable[[#This Row],[LayOdds]]-1))</f>
        <v/>
      </c>
      <c r="N11" s="45" t="str">
        <f>IF(LayTable[[#This Row],[Sport]]="","",1/((1/LayTable[[#This Row],[BookieOdds]])+(1/((1/((1+((LayTable[[#This Row],[LayOdds]]-1)*(1+LayTable[[#This Row],[C% Lay]])))-1))+1)))-1)</f>
        <v/>
      </c>
      <c r="Q11" s="46" t="str">
        <f>IF(LayTable[[#This Row],[Sport]]="","",LayTable[[#This Row],[BookieInnsats]]+LayTable[[#This Row],[LayLiability]])</f>
        <v/>
      </c>
      <c r="R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 s="47" t="str">
        <f>IF(LayTable[[#This Row],[Utfall bookie]]="","",LayTable[[#This Row],[WBABack]]+LayTable[[#This Row],[WBALay]]-LayTable[[#This Row],[Total inns]])</f>
        <v/>
      </c>
      <c r="U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 s="48" t="str">
        <f>IFERROR(IF(LayTable[[#This Row],[Total inns]]="","",LayTable[[#This Row],[Rback]]/LayTable[[#This Row],[Total inns]]),"")</f>
        <v/>
      </c>
      <c r="X11" s="48" t="str">
        <f>IFERROR(IF(LayTable[[#This Row],[Total inns]]="","",LayTable[[#This Row],[Rlay]]/LayTable[[#This Row],[Total inns]]),"")</f>
        <v/>
      </c>
      <c r="Y11" s="48" t="str">
        <f>IFERROR(LayTable[[#This Row],[Faktisk res]]/LayTable[[#This Row],[Total inns]],"")</f>
        <v/>
      </c>
      <c r="Z11" s="47">
        <f>(LayTable[[#This Row],[BookieInnsats]]*LayTable[[#This Row],[BookieOdds]]-LayTable[[#This Row],[BookieInnsats]])*(1-LayTable[[#This Row],[C% Bookie]])</f>
        <v>0</v>
      </c>
      <c r="AA11" s="43">
        <f>LayTable[[#This Row],[LayInnsats]]*(1-LayTable[[#This Row],[C% Lay]])</f>
        <v>0</v>
      </c>
      <c r="AB11" s="43">
        <f>IFERROR(IF(LayTable[[#This Row],[Sport]]="",AB10,LayTable[[#This Row],[Faktisk res]]+AB10),"")</f>
        <v>168.91219999999998</v>
      </c>
      <c r="AC11" s="43">
        <f>(LayTable[[#This Row],[BackWin-Commission]]+LayTable[[#This Row],[BookieInnsats]])</f>
        <v>0</v>
      </c>
      <c r="AD11" s="43" t="e">
        <f>(LayTable[[#This Row],[LayWin-Commission]])+LayTable[[#This Row],[LayLiability]]</f>
        <v>#VALUE!</v>
      </c>
      <c r="AE11" s="181"/>
      <c r="AF11" s="181"/>
    </row>
    <row r="12" spans="1:32">
      <c r="A12" s="183"/>
      <c r="B12" s="177"/>
      <c r="C12" s="178"/>
      <c r="D12" s="179"/>
      <c r="E12" s="178"/>
      <c r="F12" s="179"/>
      <c r="G12" s="183"/>
      <c r="H12" s="176"/>
      <c r="I12" s="180"/>
      <c r="J12" s="180"/>
      <c r="K12" s="181"/>
      <c r="L12" s="181"/>
      <c r="M12" s="44" t="str">
        <f>IF(LayTable[[#This Row],[Sport]]="","",LayTable[[#This Row],[LayInnsats]]*(LayTable[[#This Row],[LayOdds]]-1))</f>
        <v/>
      </c>
      <c r="N12" s="45" t="str">
        <f>IF(LayTable[[#This Row],[Sport]]="","",1/((1/LayTable[[#This Row],[BookieOdds]])+(1/((1/((1+((LayTable[[#This Row],[LayOdds]]-1)*(1+LayTable[[#This Row],[C% Lay]])))-1))+1)))-1)</f>
        <v/>
      </c>
      <c r="Q12" s="46" t="str">
        <f>IF(LayTable[[#This Row],[Sport]]="","",LayTable[[#This Row],[BookieInnsats]]+LayTable[[#This Row],[LayLiability]])</f>
        <v/>
      </c>
      <c r="R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 s="47" t="str">
        <f>IF(LayTable[[#This Row],[Utfall bookie]]="","",LayTable[[#This Row],[WBABack]]+LayTable[[#This Row],[WBALay]]-LayTable[[#This Row],[Total inns]])</f>
        <v/>
      </c>
      <c r="U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 s="48" t="str">
        <f>IFERROR(IF(LayTable[[#This Row],[Total inns]]="","",LayTable[[#This Row],[Rback]]/LayTable[[#This Row],[Total inns]]),"")</f>
        <v/>
      </c>
      <c r="X12" s="48" t="str">
        <f>IFERROR(IF(LayTable[[#This Row],[Total inns]]="","",LayTable[[#This Row],[Rlay]]/LayTable[[#This Row],[Total inns]]),"")</f>
        <v/>
      </c>
      <c r="Y12" s="48" t="str">
        <f>IFERROR(LayTable[[#This Row],[Faktisk res]]/LayTable[[#This Row],[Total inns]],"")</f>
        <v/>
      </c>
      <c r="Z12" s="47">
        <f>(LayTable[[#This Row],[BookieInnsats]]*LayTable[[#This Row],[BookieOdds]]-LayTable[[#This Row],[BookieInnsats]])*(1-LayTable[[#This Row],[C% Bookie]])</f>
        <v>0</v>
      </c>
      <c r="AA12" s="43">
        <f>LayTable[[#This Row],[LayInnsats]]*(1-LayTable[[#This Row],[C% Lay]])</f>
        <v>0</v>
      </c>
      <c r="AB12" s="43">
        <f>IFERROR(IF(LayTable[[#This Row],[Sport]]="",AB11,LayTable[[#This Row],[Faktisk res]]+AB11),"")</f>
        <v>168.91219999999998</v>
      </c>
      <c r="AC12" s="43">
        <f>(LayTable[[#This Row],[BackWin-Commission]]+LayTable[[#This Row],[BookieInnsats]])</f>
        <v>0</v>
      </c>
      <c r="AD12" s="43" t="e">
        <f>(LayTable[[#This Row],[LayWin-Commission]])+LayTable[[#This Row],[LayLiability]]</f>
        <v>#VALUE!</v>
      </c>
      <c r="AE12" s="181"/>
      <c r="AF12" s="181"/>
    </row>
    <row r="13" spans="1:32">
      <c r="A13" s="183"/>
      <c r="B13" s="177"/>
      <c r="C13" s="178"/>
      <c r="D13" s="179"/>
      <c r="E13" s="178"/>
      <c r="F13" s="179"/>
      <c r="G13" s="183"/>
      <c r="H13" s="176"/>
      <c r="I13" s="180"/>
      <c r="J13" s="180"/>
      <c r="K13" s="181"/>
      <c r="L13" s="181"/>
      <c r="M13" s="44" t="str">
        <f>IF(LayTable[[#This Row],[Sport]]="","",LayTable[[#This Row],[LayInnsats]]*(LayTable[[#This Row],[LayOdds]]-1))</f>
        <v/>
      </c>
      <c r="N13" s="45" t="str">
        <f>IF(LayTable[[#This Row],[Sport]]="","",1/((1/LayTable[[#This Row],[BookieOdds]])+(1/((1/((1+((LayTable[[#This Row],[LayOdds]]-1)*(1+LayTable[[#This Row],[C% Lay]])))-1))+1)))-1)</f>
        <v/>
      </c>
      <c r="Q13" s="46" t="str">
        <f>IF(LayTable[[#This Row],[Sport]]="","",LayTable[[#This Row],[BookieInnsats]]+LayTable[[#This Row],[LayLiability]])</f>
        <v/>
      </c>
      <c r="R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 s="47" t="str">
        <f>IF(LayTable[[#This Row],[Utfall bookie]]="","",LayTable[[#This Row],[WBABack]]+LayTable[[#This Row],[WBALay]]-LayTable[[#This Row],[Total inns]])</f>
        <v/>
      </c>
      <c r="U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 s="48" t="str">
        <f>IFERROR(IF(LayTable[[#This Row],[Total inns]]="","",LayTable[[#This Row],[Rback]]/LayTable[[#This Row],[Total inns]]),"")</f>
        <v/>
      </c>
      <c r="X13" s="48" t="str">
        <f>IFERROR(IF(LayTable[[#This Row],[Total inns]]="","",LayTable[[#This Row],[Rlay]]/LayTable[[#This Row],[Total inns]]),"")</f>
        <v/>
      </c>
      <c r="Y13" s="48" t="str">
        <f>IFERROR(LayTable[[#This Row],[Faktisk res]]/LayTable[[#This Row],[Total inns]],"")</f>
        <v/>
      </c>
      <c r="Z13" s="47">
        <f>(LayTable[[#This Row],[BookieInnsats]]*LayTable[[#This Row],[BookieOdds]]-LayTable[[#This Row],[BookieInnsats]])*(1-LayTable[[#This Row],[C% Bookie]])</f>
        <v>0</v>
      </c>
      <c r="AA13" s="43">
        <f>LayTable[[#This Row],[LayInnsats]]*(1-LayTable[[#This Row],[C% Lay]])</f>
        <v>0</v>
      </c>
      <c r="AB13" s="43">
        <f>IFERROR(IF(LayTable[[#This Row],[Sport]]="",AB12,LayTable[[#This Row],[Faktisk res]]+AB12),"")</f>
        <v>168.91219999999998</v>
      </c>
      <c r="AC13" s="43">
        <f>(LayTable[[#This Row],[BackWin-Commission]]+LayTable[[#This Row],[BookieInnsats]])</f>
        <v>0</v>
      </c>
      <c r="AD13" s="43" t="e">
        <f>(LayTable[[#This Row],[LayWin-Commission]])+LayTable[[#This Row],[LayLiability]]</f>
        <v>#VALUE!</v>
      </c>
      <c r="AE13" s="181"/>
      <c r="AF13" s="181"/>
    </row>
    <row r="14" spans="1:32">
      <c r="A14" s="183"/>
      <c r="B14" s="177"/>
      <c r="C14" s="178"/>
      <c r="D14" s="179"/>
      <c r="E14" s="178"/>
      <c r="F14" s="179"/>
      <c r="G14" s="183"/>
      <c r="H14" s="176"/>
      <c r="I14" s="180"/>
      <c r="J14" s="180"/>
      <c r="K14" s="181"/>
      <c r="L14" s="181"/>
      <c r="M14" s="44" t="str">
        <f>IF(LayTable[[#This Row],[Sport]]="","",LayTable[[#This Row],[LayInnsats]]*(LayTable[[#This Row],[LayOdds]]-1))</f>
        <v/>
      </c>
      <c r="N14" s="45" t="str">
        <f>IF(LayTable[[#This Row],[Sport]]="","",1/((1/LayTable[[#This Row],[BookieOdds]])+(1/((1/((1+((LayTable[[#This Row],[LayOdds]]-1)*(1+LayTable[[#This Row],[C% Lay]])))-1))+1)))-1)</f>
        <v/>
      </c>
      <c r="Q14" s="46" t="str">
        <f>IF(LayTable[[#This Row],[Sport]]="","",LayTable[[#This Row],[BookieInnsats]]+LayTable[[#This Row],[LayLiability]])</f>
        <v/>
      </c>
      <c r="R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 s="47" t="str">
        <f>IF(LayTable[[#This Row],[Utfall bookie]]="","",LayTable[[#This Row],[WBABack]]+LayTable[[#This Row],[WBALay]]-LayTable[[#This Row],[Total inns]])</f>
        <v/>
      </c>
      <c r="U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 s="48" t="str">
        <f>IFERROR(IF(LayTable[[#This Row],[Total inns]]="","",LayTable[[#This Row],[Rback]]/LayTable[[#This Row],[Total inns]]),"")</f>
        <v/>
      </c>
      <c r="X14" s="48" t="str">
        <f>IFERROR(IF(LayTable[[#This Row],[Total inns]]="","",LayTable[[#This Row],[Rlay]]/LayTable[[#This Row],[Total inns]]),"")</f>
        <v/>
      </c>
      <c r="Y14" s="48" t="str">
        <f>IFERROR(LayTable[[#This Row],[Faktisk res]]/LayTable[[#This Row],[Total inns]],"")</f>
        <v/>
      </c>
      <c r="Z14" s="47">
        <f>(LayTable[[#This Row],[BookieInnsats]]*LayTable[[#This Row],[BookieOdds]]-LayTable[[#This Row],[BookieInnsats]])*(1-LayTable[[#This Row],[C% Bookie]])</f>
        <v>0</v>
      </c>
      <c r="AA14" s="43">
        <f>LayTable[[#This Row],[LayInnsats]]*(1-LayTable[[#This Row],[C% Lay]])</f>
        <v>0</v>
      </c>
      <c r="AB14" s="43">
        <f>IFERROR(IF(LayTable[[#This Row],[Sport]]="",AB13,LayTable[[#This Row],[Faktisk res]]+AB13),"")</f>
        <v>168.91219999999998</v>
      </c>
      <c r="AC14" s="43">
        <f>(LayTable[[#This Row],[BackWin-Commission]]+LayTable[[#This Row],[BookieInnsats]])</f>
        <v>0</v>
      </c>
      <c r="AD14" s="43" t="e">
        <f>(LayTable[[#This Row],[LayWin-Commission]])+LayTable[[#This Row],[LayLiability]]</f>
        <v>#VALUE!</v>
      </c>
      <c r="AE14" s="181"/>
      <c r="AF14" s="181"/>
    </row>
    <row r="15" spans="1:32">
      <c r="A15" s="183"/>
      <c r="B15" s="177"/>
      <c r="C15" s="178"/>
      <c r="D15" s="179"/>
      <c r="E15" s="178"/>
      <c r="F15" s="179"/>
      <c r="G15" s="183"/>
      <c r="H15" s="176"/>
      <c r="I15" s="180"/>
      <c r="J15" s="180"/>
      <c r="K15" s="181"/>
      <c r="L15" s="181"/>
      <c r="M15" s="44" t="str">
        <f>IF(LayTable[[#This Row],[Sport]]="","",LayTable[[#This Row],[LayInnsats]]*(LayTable[[#This Row],[LayOdds]]-1))</f>
        <v/>
      </c>
      <c r="N15" s="45" t="str">
        <f>IF(LayTable[[#This Row],[Sport]]="","",1/((1/LayTable[[#This Row],[BookieOdds]])+(1/((1/((1+((LayTable[[#This Row],[LayOdds]]-1)*(1+LayTable[[#This Row],[C% Lay]])))-1))+1)))-1)</f>
        <v/>
      </c>
      <c r="Q15" s="46" t="str">
        <f>IF(LayTable[[#This Row],[Sport]]="","",LayTable[[#This Row],[BookieInnsats]]+LayTable[[#This Row],[LayLiability]])</f>
        <v/>
      </c>
      <c r="R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 s="47" t="str">
        <f>IF(LayTable[[#This Row],[Utfall bookie]]="","",LayTable[[#This Row],[WBABack]]+LayTable[[#This Row],[WBALay]]-LayTable[[#This Row],[Total inns]])</f>
        <v/>
      </c>
      <c r="U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 s="48" t="str">
        <f>IFERROR(IF(LayTable[[#This Row],[Total inns]]="","",LayTable[[#This Row],[Rback]]/LayTable[[#This Row],[Total inns]]),"")</f>
        <v/>
      </c>
      <c r="X15" s="48" t="str">
        <f>IFERROR(IF(LayTable[[#This Row],[Total inns]]="","",LayTable[[#This Row],[Rlay]]/LayTable[[#This Row],[Total inns]]),"")</f>
        <v/>
      </c>
      <c r="Y15" s="48" t="str">
        <f>IFERROR(LayTable[[#This Row],[Faktisk res]]/LayTable[[#This Row],[Total inns]],"")</f>
        <v/>
      </c>
      <c r="Z15" s="47">
        <f>(LayTable[[#This Row],[BookieInnsats]]*LayTable[[#This Row],[BookieOdds]]-LayTable[[#This Row],[BookieInnsats]])*(1-LayTable[[#This Row],[C% Bookie]])</f>
        <v>0</v>
      </c>
      <c r="AA15" s="43">
        <f>LayTable[[#This Row],[LayInnsats]]*(1-LayTable[[#This Row],[C% Lay]])</f>
        <v>0</v>
      </c>
      <c r="AB15" s="43">
        <f>IFERROR(IF(LayTable[[#This Row],[Sport]]="",AB14,LayTable[[#This Row],[Faktisk res]]+AB14),"")</f>
        <v>168.91219999999998</v>
      </c>
      <c r="AC15" s="43">
        <f>(LayTable[[#This Row],[BackWin-Commission]]+LayTable[[#This Row],[BookieInnsats]])</f>
        <v>0</v>
      </c>
      <c r="AD15" s="43" t="e">
        <f>(LayTable[[#This Row],[LayWin-Commission]])+LayTable[[#This Row],[LayLiability]]</f>
        <v>#VALUE!</v>
      </c>
      <c r="AE15" s="181"/>
      <c r="AF15" s="181"/>
    </row>
    <row r="16" spans="1:32">
      <c r="A16" s="183"/>
      <c r="B16" s="177"/>
      <c r="C16" s="178"/>
      <c r="D16" s="179"/>
      <c r="E16" s="178"/>
      <c r="F16" s="179"/>
      <c r="G16" s="183"/>
      <c r="H16" s="176"/>
      <c r="I16" s="180"/>
      <c r="J16" s="180"/>
      <c r="K16" s="181"/>
      <c r="L16" s="181"/>
      <c r="M16" s="44" t="str">
        <f>IF(LayTable[[#This Row],[Sport]]="","",LayTable[[#This Row],[LayInnsats]]*(LayTable[[#This Row],[LayOdds]]-1))</f>
        <v/>
      </c>
      <c r="N16" s="45" t="str">
        <f>IF(LayTable[[#This Row],[Sport]]="","",1/((1/LayTable[[#This Row],[BookieOdds]])+(1/((1/((1+((LayTable[[#This Row],[LayOdds]]-1)*(1+LayTable[[#This Row],[C% Lay]])))-1))+1)))-1)</f>
        <v/>
      </c>
      <c r="Q16" s="46" t="str">
        <f>IF(LayTable[[#This Row],[Sport]]="","",LayTable[[#This Row],[BookieInnsats]]+LayTable[[#This Row],[LayLiability]])</f>
        <v/>
      </c>
      <c r="R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 s="47" t="str">
        <f>IF(LayTable[[#This Row],[Utfall bookie]]="","",LayTable[[#This Row],[WBABack]]+LayTable[[#This Row],[WBALay]]-LayTable[[#This Row],[Total inns]])</f>
        <v/>
      </c>
      <c r="U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 s="48" t="str">
        <f>IFERROR(IF(LayTable[[#This Row],[Total inns]]="","",LayTable[[#This Row],[Rback]]/LayTable[[#This Row],[Total inns]]),"")</f>
        <v/>
      </c>
      <c r="X16" s="48" t="str">
        <f>IFERROR(IF(LayTable[[#This Row],[Total inns]]="","",LayTable[[#This Row],[Rlay]]/LayTable[[#This Row],[Total inns]]),"")</f>
        <v/>
      </c>
      <c r="Y16" s="48" t="str">
        <f>IFERROR(LayTable[[#This Row],[Faktisk res]]/LayTable[[#This Row],[Total inns]],"")</f>
        <v/>
      </c>
      <c r="Z16" s="47">
        <f>(LayTable[[#This Row],[BookieInnsats]]*LayTable[[#This Row],[BookieOdds]]-LayTable[[#This Row],[BookieInnsats]])*(1-LayTable[[#This Row],[C% Bookie]])</f>
        <v>0</v>
      </c>
      <c r="AA16" s="43">
        <f>LayTable[[#This Row],[LayInnsats]]*(1-LayTable[[#This Row],[C% Lay]])</f>
        <v>0</v>
      </c>
      <c r="AB16" s="43">
        <f>IFERROR(IF(LayTable[[#This Row],[Sport]]="",AB15,LayTable[[#This Row],[Faktisk res]]+AB15),"")</f>
        <v>168.91219999999998</v>
      </c>
      <c r="AC16" s="43">
        <f>(LayTable[[#This Row],[BackWin-Commission]]+LayTable[[#This Row],[BookieInnsats]])</f>
        <v>0</v>
      </c>
      <c r="AD16" s="43" t="e">
        <f>(LayTable[[#This Row],[LayWin-Commission]])+LayTable[[#This Row],[LayLiability]]</f>
        <v>#VALUE!</v>
      </c>
      <c r="AE16" s="181"/>
      <c r="AF16" s="181"/>
    </row>
    <row r="17" spans="1:32">
      <c r="A17" s="183"/>
      <c r="B17" s="177"/>
      <c r="C17" s="178"/>
      <c r="D17" s="179"/>
      <c r="E17" s="178"/>
      <c r="F17" s="179"/>
      <c r="G17" s="183"/>
      <c r="H17" s="176"/>
      <c r="I17" s="180"/>
      <c r="J17" s="180"/>
      <c r="K17" s="181"/>
      <c r="L17" s="181"/>
      <c r="M17" s="44" t="str">
        <f>IF(LayTable[[#This Row],[Sport]]="","",LayTable[[#This Row],[LayInnsats]]*(LayTable[[#This Row],[LayOdds]]-1))</f>
        <v/>
      </c>
      <c r="N17" s="45" t="str">
        <f>IF(LayTable[[#This Row],[Sport]]="","",1/((1/LayTable[[#This Row],[BookieOdds]])+(1/((1/((1+((LayTable[[#This Row],[LayOdds]]-1)*(1+LayTable[[#This Row],[C% Lay]])))-1))+1)))-1)</f>
        <v/>
      </c>
      <c r="Q17" s="46" t="str">
        <f>IF(LayTable[[#This Row],[Sport]]="","",LayTable[[#This Row],[BookieInnsats]]+LayTable[[#This Row],[LayLiability]])</f>
        <v/>
      </c>
      <c r="R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 s="47" t="str">
        <f>IF(LayTable[[#This Row],[Utfall bookie]]="","",LayTable[[#This Row],[WBABack]]+LayTable[[#This Row],[WBALay]]-LayTable[[#This Row],[Total inns]])</f>
        <v/>
      </c>
      <c r="U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 s="48" t="str">
        <f>IFERROR(IF(LayTable[[#This Row],[Total inns]]="","",LayTable[[#This Row],[Rback]]/LayTable[[#This Row],[Total inns]]),"")</f>
        <v/>
      </c>
      <c r="X17" s="48" t="str">
        <f>IFERROR(IF(LayTable[[#This Row],[Total inns]]="","",LayTable[[#This Row],[Rlay]]/LayTable[[#This Row],[Total inns]]),"")</f>
        <v/>
      </c>
      <c r="Y17" s="48" t="str">
        <f>IFERROR(LayTable[[#This Row],[Faktisk res]]/LayTable[[#This Row],[Total inns]],"")</f>
        <v/>
      </c>
      <c r="Z17" s="47">
        <f>(LayTable[[#This Row],[BookieInnsats]]*LayTable[[#This Row],[BookieOdds]]-LayTable[[#This Row],[BookieInnsats]])*(1-LayTable[[#This Row],[C% Bookie]])</f>
        <v>0</v>
      </c>
      <c r="AA17" s="43">
        <f>LayTable[[#This Row],[LayInnsats]]*(1-LayTable[[#This Row],[C% Lay]])</f>
        <v>0</v>
      </c>
      <c r="AB17" s="43">
        <f>IFERROR(IF(LayTable[[#This Row],[Sport]]="",AB16,LayTable[[#This Row],[Faktisk res]]+AB16),"")</f>
        <v>168.91219999999998</v>
      </c>
      <c r="AC17" s="43">
        <f>(LayTable[[#This Row],[BackWin-Commission]]+LayTable[[#This Row],[BookieInnsats]])</f>
        <v>0</v>
      </c>
      <c r="AD17" s="43" t="e">
        <f>(LayTable[[#This Row],[LayWin-Commission]])+LayTable[[#This Row],[LayLiability]]</f>
        <v>#VALUE!</v>
      </c>
      <c r="AE17" s="181"/>
      <c r="AF17" s="181"/>
    </row>
    <row r="18" spans="1:32">
      <c r="A18" s="183"/>
      <c r="B18" s="177"/>
      <c r="C18" s="178"/>
      <c r="D18" s="179"/>
      <c r="E18" s="178"/>
      <c r="F18" s="179"/>
      <c r="G18" s="183"/>
      <c r="H18" s="176"/>
      <c r="I18" s="180"/>
      <c r="J18" s="180"/>
      <c r="K18" s="181"/>
      <c r="L18" s="181"/>
      <c r="M18" s="44" t="str">
        <f>IF(LayTable[[#This Row],[Sport]]="","",LayTable[[#This Row],[LayInnsats]]*(LayTable[[#This Row],[LayOdds]]-1))</f>
        <v/>
      </c>
      <c r="N18" s="45" t="str">
        <f>IF(LayTable[[#This Row],[Sport]]="","",1/((1/LayTable[[#This Row],[BookieOdds]])+(1/((1/((1+((LayTable[[#This Row],[LayOdds]]-1)*(1+LayTable[[#This Row],[C% Lay]])))-1))+1)))-1)</f>
        <v/>
      </c>
      <c r="Q18" s="46" t="str">
        <f>IF(LayTable[[#This Row],[Sport]]="","",LayTable[[#This Row],[BookieInnsats]]+LayTable[[#This Row],[LayLiability]])</f>
        <v/>
      </c>
      <c r="R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 s="47" t="str">
        <f>IF(LayTable[[#This Row],[Utfall bookie]]="","",LayTable[[#This Row],[WBABack]]+LayTable[[#This Row],[WBALay]]-LayTable[[#This Row],[Total inns]])</f>
        <v/>
      </c>
      <c r="U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 s="48" t="str">
        <f>IFERROR(IF(LayTable[[#This Row],[Total inns]]="","",LayTable[[#This Row],[Rback]]/LayTable[[#This Row],[Total inns]]),"")</f>
        <v/>
      </c>
      <c r="X18" s="48" t="str">
        <f>IFERROR(IF(LayTable[[#This Row],[Total inns]]="","",LayTable[[#This Row],[Rlay]]/LayTable[[#This Row],[Total inns]]),"")</f>
        <v/>
      </c>
      <c r="Y18" s="48" t="str">
        <f>IFERROR(LayTable[[#This Row],[Faktisk res]]/LayTable[[#This Row],[Total inns]],"")</f>
        <v/>
      </c>
      <c r="Z18" s="47">
        <f>(LayTable[[#This Row],[BookieInnsats]]*LayTable[[#This Row],[BookieOdds]]-LayTable[[#This Row],[BookieInnsats]])*(1-LayTable[[#This Row],[C% Bookie]])</f>
        <v>0</v>
      </c>
      <c r="AA18" s="43">
        <f>LayTable[[#This Row],[LayInnsats]]*(1-LayTable[[#This Row],[C% Lay]])</f>
        <v>0</v>
      </c>
      <c r="AB18" s="43">
        <f>IFERROR(IF(LayTable[[#This Row],[Sport]]="",AB17,LayTable[[#This Row],[Faktisk res]]+AB17),"")</f>
        <v>168.91219999999998</v>
      </c>
      <c r="AC18" s="43">
        <f>(LayTable[[#This Row],[BackWin-Commission]]+LayTable[[#This Row],[BookieInnsats]])</f>
        <v>0</v>
      </c>
      <c r="AD18" s="43" t="e">
        <f>(LayTable[[#This Row],[LayWin-Commission]])+LayTable[[#This Row],[LayLiability]]</f>
        <v>#VALUE!</v>
      </c>
      <c r="AE18" s="181"/>
      <c r="AF18" s="181"/>
    </row>
    <row r="19" spans="1:32">
      <c r="A19" s="183"/>
      <c r="B19" s="177"/>
      <c r="C19" s="178"/>
      <c r="D19" s="179"/>
      <c r="E19" s="178"/>
      <c r="F19" s="179"/>
      <c r="G19" s="183"/>
      <c r="H19" s="176"/>
      <c r="I19" s="180"/>
      <c r="J19" s="180"/>
      <c r="K19" s="181"/>
      <c r="L19" s="181"/>
      <c r="M19" s="44" t="str">
        <f>IF(LayTable[[#This Row],[Sport]]="","",LayTable[[#This Row],[LayInnsats]]*(LayTable[[#This Row],[LayOdds]]-1))</f>
        <v/>
      </c>
      <c r="N19" s="45" t="str">
        <f>IF(LayTable[[#This Row],[Sport]]="","",1/((1/LayTable[[#This Row],[BookieOdds]])+(1/((1/((1+((LayTable[[#This Row],[LayOdds]]-1)*(1+LayTable[[#This Row],[C% Lay]])))-1))+1)))-1)</f>
        <v/>
      </c>
      <c r="Q19" s="46" t="str">
        <f>IF(LayTable[[#This Row],[Sport]]="","",LayTable[[#This Row],[BookieInnsats]]+LayTable[[#This Row],[LayLiability]])</f>
        <v/>
      </c>
      <c r="R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 s="47" t="str">
        <f>IF(LayTable[[#This Row],[Utfall bookie]]="","",LayTable[[#This Row],[WBABack]]+LayTable[[#This Row],[WBALay]]-LayTable[[#This Row],[Total inns]])</f>
        <v/>
      </c>
      <c r="U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 s="48" t="str">
        <f>IFERROR(IF(LayTable[[#This Row],[Total inns]]="","",LayTable[[#This Row],[Rback]]/LayTable[[#This Row],[Total inns]]),"")</f>
        <v/>
      </c>
      <c r="X19" s="48" t="str">
        <f>IFERROR(IF(LayTable[[#This Row],[Total inns]]="","",LayTable[[#This Row],[Rlay]]/LayTable[[#This Row],[Total inns]]),"")</f>
        <v/>
      </c>
      <c r="Y19" s="48" t="str">
        <f>IFERROR(LayTable[[#This Row],[Faktisk res]]/LayTable[[#This Row],[Total inns]],"")</f>
        <v/>
      </c>
      <c r="Z19" s="47">
        <f>(LayTable[[#This Row],[BookieInnsats]]*LayTable[[#This Row],[BookieOdds]]-LayTable[[#This Row],[BookieInnsats]])*(1-LayTable[[#This Row],[C% Bookie]])</f>
        <v>0</v>
      </c>
      <c r="AA19" s="43">
        <f>LayTable[[#This Row],[LayInnsats]]*(1-LayTable[[#This Row],[C% Lay]])</f>
        <v>0</v>
      </c>
      <c r="AB19" s="43">
        <f>IFERROR(IF(LayTable[[#This Row],[Sport]]="",AB18,LayTable[[#This Row],[Faktisk res]]+AB18),"")</f>
        <v>168.91219999999998</v>
      </c>
      <c r="AC19" s="43">
        <f>(LayTable[[#This Row],[BackWin-Commission]]+LayTable[[#This Row],[BookieInnsats]])</f>
        <v>0</v>
      </c>
      <c r="AD19" s="43" t="e">
        <f>(LayTable[[#This Row],[LayWin-Commission]])+LayTable[[#This Row],[LayLiability]]</f>
        <v>#VALUE!</v>
      </c>
      <c r="AE19" s="198" t="s">
        <v>350</v>
      </c>
      <c r="AF19" s="181"/>
    </row>
    <row r="20" spans="1:32">
      <c r="A20" s="183"/>
      <c r="B20" s="177"/>
      <c r="C20" s="178"/>
      <c r="D20" s="179"/>
      <c r="E20" s="178"/>
      <c r="F20" s="179"/>
      <c r="G20" s="183"/>
      <c r="H20" s="176"/>
      <c r="I20" s="180"/>
      <c r="J20" s="180"/>
      <c r="K20" s="181"/>
      <c r="L20" s="181"/>
      <c r="M20" s="44" t="str">
        <f>IF(LayTable[[#This Row],[Sport]]="","",LayTable[[#This Row],[LayInnsats]]*(LayTable[[#This Row],[LayOdds]]-1))</f>
        <v/>
      </c>
      <c r="N20" s="45" t="str">
        <f>IF(LayTable[[#This Row],[Sport]]="","",1/((1/LayTable[[#This Row],[BookieOdds]])+(1/((1/((1+((LayTable[[#This Row],[LayOdds]]-1)*(1+LayTable[[#This Row],[C% Lay]])))-1))+1)))-1)</f>
        <v/>
      </c>
      <c r="Q20" s="46" t="str">
        <f>IF(LayTable[[#This Row],[Sport]]="","",LayTable[[#This Row],[BookieInnsats]]+LayTable[[#This Row],[LayLiability]])</f>
        <v/>
      </c>
      <c r="R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 s="47" t="str">
        <f>IF(LayTable[[#This Row],[Utfall bookie]]="","",LayTable[[#This Row],[WBABack]]+LayTable[[#This Row],[WBALay]]-LayTable[[#This Row],[Total inns]])</f>
        <v/>
      </c>
      <c r="U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 s="48" t="str">
        <f>IFERROR(IF(LayTable[[#This Row],[Total inns]]="","",LayTable[[#This Row],[Rback]]/LayTable[[#This Row],[Total inns]]),"")</f>
        <v/>
      </c>
      <c r="X20" s="48" t="str">
        <f>IFERROR(IF(LayTable[[#This Row],[Total inns]]="","",LayTable[[#This Row],[Rlay]]/LayTable[[#This Row],[Total inns]]),"")</f>
        <v/>
      </c>
      <c r="Y20" s="48" t="str">
        <f>IFERROR(LayTable[[#This Row],[Faktisk res]]/LayTable[[#This Row],[Total inns]],"")</f>
        <v/>
      </c>
      <c r="Z20" s="47">
        <f>(LayTable[[#This Row],[BookieInnsats]]*LayTable[[#This Row],[BookieOdds]]-LayTable[[#This Row],[BookieInnsats]])*(1-LayTable[[#This Row],[C% Bookie]])</f>
        <v>0</v>
      </c>
      <c r="AA20" s="43">
        <f>LayTable[[#This Row],[LayInnsats]]*(1-LayTable[[#This Row],[C% Lay]])</f>
        <v>0</v>
      </c>
      <c r="AB20" s="43">
        <f>IFERROR(IF(LayTable[[#This Row],[Sport]]="",AB19,LayTable[[#This Row],[Faktisk res]]+AB19),"")</f>
        <v>168.91219999999998</v>
      </c>
      <c r="AC20" s="43">
        <f>(LayTable[[#This Row],[BackWin-Commission]]+LayTable[[#This Row],[BookieInnsats]])</f>
        <v>0</v>
      </c>
      <c r="AD20" s="43" t="e">
        <f>(LayTable[[#This Row],[LayWin-Commission]])+LayTable[[#This Row],[LayLiability]]</f>
        <v>#VALUE!</v>
      </c>
      <c r="AE20" s="181"/>
      <c r="AF20" s="181"/>
    </row>
    <row r="21" spans="1:32">
      <c r="A21" s="183"/>
      <c r="B21" s="177"/>
      <c r="C21" s="178"/>
      <c r="D21" s="179"/>
      <c r="E21" s="178"/>
      <c r="F21" s="179"/>
      <c r="G21" s="183"/>
      <c r="H21" s="176"/>
      <c r="I21" s="180"/>
      <c r="J21" s="180"/>
      <c r="K21" s="181"/>
      <c r="L21" s="181"/>
      <c r="M21" s="44" t="str">
        <f>IF(LayTable[[#This Row],[Sport]]="","",LayTable[[#This Row],[LayInnsats]]*(LayTable[[#This Row],[LayOdds]]-1))</f>
        <v/>
      </c>
      <c r="N21" s="45" t="str">
        <f>IF(LayTable[[#This Row],[Sport]]="","",1/((1/LayTable[[#This Row],[BookieOdds]])+(1/((1/((1+((LayTable[[#This Row],[LayOdds]]-1)*(1+LayTable[[#This Row],[C% Lay]])))-1))+1)))-1)</f>
        <v/>
      </c>
      <c r="Q21" s="46" t="str">
        <f>IF(LayTable[[#This Row],[Sport]]="","",LayTable[[#This Row],[BookieInnsats]]+LayTable[[#This Row],[LayLiability]])</f>
        <v/>
      </c>
      <c r="R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 s="47" t="str">
        <f>IF(LayTable[[#This Row],[Utfall bookie]]="","",LayTable[[#This Row],[WBABack]]+LayTable[[#This Row],[WBALay]]-LayTable[[#This Row],[Total inns]])</f>
        <v/>
      </c>
      <c r="U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 s="48" t="str">
        <f>IFERROR(IF(LayTable[[#This Row],[Total inns]]="","",LayTable[[#This Row],[Rback]]/LayTable[[#This Row],[Total inns]]),"")</f>
        <v/>
      </c>
      <c r="X21" s="48" t="str">
        <f>IFERROR(IF(LayTable[[#This Row],[Total inns]]="","",LayTable[[#This Row],[Rlay]]/LayTable[[#This Row],[Total inns]]),"")</f>
        <v/>
      </c>
      <c r="Y21" s="48" t="str">
        <f>IFERROR(LayTable[[#This Row],[Faktisk res]]/LayTable[[#This Row],[Total inns]],"")</f>
        <v/>
      </c>
      <c r="Z21" s="47">
        <f>(LayTable[[#This Row],[BookieInnsats]]*LayTable[[#This Row],[BookieOdds]]-LayTable[[#This Row],[BookieInnsats]])*(1-LayTable[[#This Row],[C% Bookie]])</f>
        <v>0</v>
      </c>
      <c r="AA21" s="43">
        <f>LayTable[[#This Row],[LayInnsats]]*(1-LayTable[[#This Row],[C% Lay]])</f>
        <v>0</v>
      </c>
      <c r="AB21" s="43">
        <f>IFERROR(IF(LayTable[[#This Row],[Sport]]="",AB20,LayTable[[#This Row],[Faktisk res]]+AB20),"")</f>
        <v>168.91219999999998</v>
      </c>
      <c r="AC21" s="43">
        <f>(LayTable[[#This Row],[BackWin-Commission]]+LayTable[[#This Row],[BookieInnsats]])</f>
        <v>0</v>
      </c>
      <c r="AD21" s="43" t="e">
        <f>(LayTable[[#This Row],[LayWin-Commission]])+LayTable[[#This Row],[LayLiability]]</f>
        <v>#VALUE!</v>
      </c>
      <c r="AE21" s="181"/>
      <c r="AF21" s="181"/>
    </row>
    <row r="22" spans="1:32">
      <c r="A22" s="183"/>
      <c r="B22" s="177"/>
      <c r="C22" s="178"/>
      <c r="D22" s="179"/>
      <c r="E22" s="178"/>
      <c r="F22" s="179"/>
      <c r="G22" s="183"/>
      <c r="H22" s="176"/>
      <c r="I22" s="180"/>
      <c r="J22" s="180"/>
      <c r="K22" s="181"/>
      <c r="L22" s="181"/>
      <c r="M22" s="44" t="str">
        <f>IF(LayTable[[#This Row],[Sport]]="","",LayTable[[#This Row],[LayInnsats]]*(LayTable[[#This Row],[LayOdds]]-1))</f>
        <v/>
      </c>
      <c r="N22" s="45" t="str">
        <f>IF(LayTable[[#This Row],[Sport]]="","",1/((1/LayTable[[#This Row],[BookieOdds]])+(1/((1/((1+((LayTable[[#This Row],[LayOdds]]-1)*(1+LayTable[[#This Row],[C% Lay]])))-1))+1)))-1)</f>
        <v/>
      </c>
      <c r="Q22" s="46" t="str">
        <f>IF(LayTable[[#This Row],[Sport]]="","",LayTable[[#This Row],[BookieInnsats]]+LayTable[[#This Row],[LayLiability]])</f>
        <v/>
      </c>
      <c r="R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 s="47" t="str">
        <f>IF(LayTable[[#This Row],[Utfall bookie]]="","",LayTable[[#This Row],[WBABack]]+LayTable[[#This Row],[WBALay]]-LayTable[[#This Row],[Total inns]])</f>
        <v/>
      </c>
      <c r="U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 s="48" t="str">
        <f>IFERROR(IF(LayTable[[#This Row],[Total inns]]="","",LayTable[[#This Row],[Rback]]/LayTable[[#This Row],[Total inns]]),"")</f>
        <v/>
      </c>
      <c r="X22" s="48" t="str">
        <f>IFERROR(IF(LayTable[[#This Row],[Total inns]]="","",LayTable[[#This Row],[Rlay]]/LayTable[[#This Row],[Total inns]]),"")</f>
        <v/>
      </c>
      <c r="Y22" s="48" t="str">
        <f>IFERROR(LayTable[[#This Row],[Faktisk res]]/LayTable[[#This Row],[Total inns]],"")</f>
        <v/>
      </c>
      <c r="Z22" s="47">
        <f>(LayTable[[#This Row],[BookieInnsats]]*LayTable[[#This Row],[BookieOdds]]-LayTable[[#This Row],[BookieInnsats]])*(1-LayTable[[#This Row],[C% Bookie]])</f>
        <v>0</v>
      </c>
      <c r="AA22" s="43">
        <f>LayTable[[#This Row],[LayInnsats]]*(1-LayTable[[#This Row],[C% Lay]])</f>
        <v>0</v>
      </c>
      <c r="AB22" s="43">
        <f>IFERROR(IF(LayTable[[#This Row],[Sport]]="",AB21,LayTable[[#This Row],[Faktisk res]]+AB21),"")</f>
        <v>168.91219999999998</v>
      </c>
      <c r="AC22" s="43">
        <f>(LayTable[[#This Row],[BackWin-Commission]]+LayTable[[#This Row],[BookieInnsats]])</f>
        <v>0</v>
      </c>
      <c r="AD22" s="43" t="e">
        <f>(LayTable[[#This Row],[LayWin-Commission]])+LayTable[[#This Row],[LayLiability]]</f>
        <v>#VALUE!</v>
      </c>
      <c r="AE22" s="181"/>
      <c r="AF22" s="181"/>
    </row>
    <row r="23" spans="1:32">
      <c r="A23" s="183"/>
      <c r="B23" s="177"/>
      <c r="C23" s="178"/>
      <c r="D23" s="179"/>
      <c r="E23" s="178"/>
      <c r="F23" s="179"/>
      <c r="G23" s="183"/>
      <c r="H23" s="176"/>
      <c r="I23" s="180"/>
      <c r="J23" s="180"/>
      <c r="K23" s="181"/>
      <c r="L23" s="181"/>
      <c r="M23" s="44" t="str">
        <f>IF(LayTable[[#This Row],[Sport]]="","",LayTable[[#This Row],[LayInnsats]]*(LayTable[[#This Row],[LayOdds]]-1))</f>
        <v/>
      </c>
      <c r="N23" s="45" t="str">
        <f>IF(LayTable[[#This Row],[Sport]]="","",1/((1/LayTable[[#This Row],[BookieOdds]])+(1/((1/((1+((LayTable[[#This Row],[LayOdds]]-1)*(1+LayTable[[#This Row],[C% Lay]])))-1))+1)))-1)</f>
        <v/>
      </c>
      <c r="Q23" s="46" t="str">
        <f>IF(LayTable[[#This Row],[Sport]]="","",LayTable[[#This Row],[BookieInnsats]]+LayTable[[#This Row],[LayLiability]])</f>
        <v/>
      </c>
      <c r="R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 s="47" t="str">
        <f>IF(LayTable[[#This Row],[Utfall bookie]]="","",LayTable[[#This Row],[WBABack]]+LayTable[[#This Row],[WBALay]]-LayTable[[#This Row],[Total inns]])</f>
        <v/>
      </c>
      <c r="U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 s="48" t="str">
        <f>IFERROR(IF(LayTable[[#This Row],[Total inns]]="","",LayTable[[#This Row],[Rback]]/LayTable[[#This Row],[Total inns]]),"")</f>
        <v/>
      </c>
      <c r="X23" s="48" t="str">
        <f>IFERROR(IF(LayTable[[#This Row],[Total inns]]="","",LayTable[[#This Row],[Rlay]]/LayTable[[#This Row],[Total inns]]),"")</f>
        <v/>
      </c>
      <c r="Y23" s="48" t="str">
        <f>IFERROR(LayTable[[#This Row],[Faktisk res]]/LayTable[[#This Row],[Total inns]],"")</f>
        <v/>
      </c>
      <c r="Z23" s="47">
        <f>(LayTable[[#This Row],[BookieInnsats]]*LayTable[[#This Row],[BookieOdds]]-LayTable[[#This Row],[BookieInnsats]])*(1-LayTable[[#This Row],[C% Bookie]])</f>
        <v>0</v>
      </c>
      <c r="AA23" s="43">
        <f>LayTable[[#This Row],[LayInnsats]]*(1-LayTable[[#This Row],[C% Lay]])</f>
        <v>0</v>
      </c>
      <c r="AB23" s="43">
        <f>IFERROR(IF(LayTable[[#This Row],[Sport]]="",AB22,LayTable[[#This Row],[Faktisk res]]+AB22),"")</f>
        <v>168.91219999999998</v>
      </c>
      <c r="AC23" s="43">
        <f>(LayTable[[#This Row],[BackWin-Commission]]+LayTable[[#This Row],[BookieInnsats]])</f>
        <v>0</v>
      </c>
      <c r="AD23" s="43" t="e">
        <f>(LayTable[[#This Row],[LayWin-Commission]])+LayTable[[#This Row],[LayLiability]]</f>
        <v>#VALUE!</v>
      </c>
      <c r="AE23" s="181"/>
      <c r="AF23" s="181"/>
    </row>
    <row r="24" spans="1:32">
      <c r="A24" s="183"/>
      <c r="B24" s="177"/>
      <c r="C24" s="178"/>
      <c r="D24" s="179"/>
      <c r="E24" s="178"/>
      <c r="F24" s="179"/>
      <c r="G24" s="183"/>
      <c r="H24" s="176"/>
      <c r="I24" s="180"/>
      <c r="J24" s="180"/>
      <c r="K24" s="181"/>
      <c r="L24" s="181"/>
      <c r="M24" s="44" t="str">
        <f>IF(LayTable[[#This Row],[Sport]]="","",LayTable[[#This Row],[LayInnsats]]*(LayTable[[#This Row],[LayOdds]]-1))</f>
        <v/>
      </c>
      <c r="N24" s="45" t="str">
        <f>IF(LayTable[[#This Row],[Sport]]="","",1/((1/LayTable[[#This Row],[BookieOdds]])+(1/((1/((1+((LayTable[[#This Row],[LayOdds]]-1)*(1+LayTable[[#This Row],[C% Lay]])))-1))+1)))-1)</f>
        <v/>
      </c>
      <c r="Q24" s="46" t="str">
        <f>IF(LayTable[[#This Row],[Sport]]="","",LayTable[[#This Row],[BookieInnsats]]+LayTable[[#This Row],[LayLiability]])</f>
        <v/>
      </c>
      <c r="R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 s="47" t="str">
        <f>IF(LayTable[[#This Row],[Utfall bookie]]="","",LayTable[[#This Row],[WBABack]]+LayTable[[#This Row],[WBALay]]-LayTable[[#This Row],[Total inns]])</f>
        <v/>
      </c>
      <c r="U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 s="48" t="str">
        <f>IFERROR(IF(LayTable[[#This Row],[Total inns]]="","",LayTable[[#This Row],[Rback]]/LayTable[[#This Row],[Total inns]]),"")</f>
        <v/>
      </c>
      <c r="X24" s="48" t="str">
        <f>IFERROR(IF(LayTable[[#This Row],[Total inns]]="","",LayTable[[#This Row],[Rlay]]/LayTable[[#This Row],[Total inns]]),"")</f>
        <v/>
      </c>
      <c r="Y24" s="48" t="str">
        <f>IFERROR(LayTable[[#This Row],[Faktisk res]]/LayTable[[#This Row],[Total inns]],"")</f>
        <v/>
      </c>
      <c r="Z24" s="47">
        <f>(LayTable[[#This Row],[BookieInnsats]]*LayTable[[#This Row],[BookieOdds]]-LayTable[[#This Row],[BookieInnsats]])*(1-LayTable[[#This Row],[C% Bookie]])</f>
        <v>0</v>
      </c>
      <c r="AA24" s="43">
        <f>LayTable[[#This Row],[LayInnsats]]*(1-LayTable[[#This Row],[C% Lay]])</f>
        <v>0</v>
      </c>
      <c r="AB24" s="43">
        <f>IFERROR(IF(LayTable[[#This Row],[Sport]]="",AB23,LayTable[[#This Row],[Faktisk res]]+AB23),"")</f>
        <v>168.91219999999998</v>
      </c>
      <c r="AC24" s="43">
        <f>(LayTable[[#This Row],[BackWin-Commission]]+LayTable[[#This Row],[BookieInnsats]])</f>
        <v>0</v>
      </c>
      <c r="AD24" s="43" t="e">
        <f>(LayTable[[#This Row],[LayWin-Commission]])+LayTable[[#This Row],[LayLiability]]</f>
        <v>#VALUE!</v>
      </c>
      <c r="AE24" s="181"/>
      <c r="AF24" s="181"/>
    </row>
    <row r="25" spans="1:32">
      <c r="A25" s="183"/>
      <c r="B25" s="177"/>
      <c r="C25" s="178"/>
      <c r="D25" s="179"/>
      <c r="E25" s="178"/>
      <c r="F25" s="179"/>
      <c r="G25" s="183"/>
      <c r="H25" s="176"/>
      <c r="I25" s="180"/>
      <c r="J25" s="180"/>
      <c r="K25" s="181"/>
      <c r="L25" s="181"/>
      <c r="M25" s="44" t="str">
        <f>IF(LayTable[[#This Row],[Sport]]="","",LayTable[[#This Row],[LayInnsats]]*(LayTable[[#This Row],[LayOdds]]-1))</f>
        <v/>
      </c>
      <c r="N25" s="45" t="str">
        <f>IF(LayTable[[#This Row],[Sport]]="","",1/((1/LayTable[[#This Row],[BookieOdds]])+(1/((1/((1+((LayTable[[#This Row],[LayOdds]]-1)*(1+LayTable[[#This Row],[C% Lay]])))-1))+1)))-1)</f>
        <v/>
      </c>
      <c r="Q25" s="46" t="str">
        <f>IF(LayTable[[#This Row],[Sport]]="","",LayTable[[#This Row],[BookieInnsats]]+LayTable[[#This Row],[LayLiability]])</f>
        <v/>
      </c>
      <c r="R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 s="47" t="str">
        <f>IF(LayTable[[#This Row],[Utfall bookie]]="","",LayTable[[#This Row],[WBABack]]+LayTable[[#This Row],[WBALay]]-LayTable[[#This Row],[Total inns]])</f>
        <v/>
      </c>
      <c r="U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 s="48" t="str">
        <f>IFERROR(IF(LayTable[[#This Row],[Total inns]]="","",LayTable[[#This Row],[Rback]]/LayTable[[#This Row],[Total inns]]),"")</f>
        <v/>
      </c>
      <c r="X25" s="48" t="str">
        <f>IFERROR(IF(LayTable[[#This Row],[Total inns]]="","",LayTable[[#This Row],[Rlay]]/LayTable[[#This Row],[Total inns]]),"")</f>
        <v/>
      </c>
      <c r="Y25" s="48" t="str">
        <f>IFERROR(LayTable[[#This Row],[Faktisk res]]/LayTable[[#This Row],[Total inns]],"")</f>
        <v/>
      </c>
      <c r="Z25" s="47">
        <f>(LayTable[[#This Row],[BookieInnsats]]*LayTable[[#This Row],[BookieOdds]]-LayTable[[#This Row],[BookieInnsats]])*(1-LayTable[[#This Row],[C% Bookie]])</f>
        <v>0</v>
      </c>
      <c r="AA25" s="43">
        <f>LayTable[[#This Row],[LayInnsats]]*(1-LayTable[[#This Row],[C% Lay]])</f>
        <v>0</v>
      </c>
      <c r="AB25" s="43">
        <f>IFERROR(IF(LayTable[[#This Row],[Sport]]="",AB24,LayTable[[#This Row],[Faktisk res]]+AB24),"")</f>
        <v>168.91219999999998</v>
      </c>
      <c r="AC25" s="43">
        <f>(LayTable[[#This Row],[BackWin-Commission]]+LayTable[[#This Row],[BookieInnsats]])</f>
        <v>0</v>
      </c>
      <c r="AD25" s="43" t="e">
        <f>(LayTable[[#This Row],[LayWin-Commission]])+LayTable[[#This Row],[LayLiability]]</f>
        <v>#VALUE!</v>
      </c>
      <c r="AE25" s="318"/>
      <c r="AF25" s="181"/>
    </row>
    <row r="26" spans="1:32">
      <c r="A26" s="183"/>
      <c r="B26" s="177"/>
      <c r="C26" s="178"/>
      <c r="D26" s="179"/>
      <c r="E26" s="178"/>
      <c r="F26" s="179"/>
      <c r="G26" s="183"/>
      <c r="H26" s="176"/>
      <c r="I26" s="180"/>
      <c r="J26" s="180"/>
      <c r="K26" s="181"/>
      <c r="L26" s="181"/>
      <c r="M26" s="44" t="str">
        <f>IF(LayTable[[#This Row],[Sport]]="","",LayTable[[#This Row],[LayInnsats]]*(LayTable[[#This Row],[LayOdds]]-1))</f>
        <v/>
      </c>
      <c r="N26" s="45" t="str">
        <f>IF(LayTable[[#This Row],[Sport]]="","",1/((1/LayTable[[#This Row],[BookieOdds]])+(1/((1/((1+((LayTable[[#This Row],[LayOdds]]-1)*(1+LayTable[[#This Row],[C% Lay]])))-1))+1)))-1)</f>
        <v/>
      </c>
      <c r="Q26" s="46" t="str">
        <f>IF(LayTable[[#This Row],[Sport]]="","",LayTable[[#This Row],[BookieInnsats]]+LayTable[[#This Row],[LayLiability]])</f>
        <v/>
      </c>
      <c r="R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 s="47" t="str">
        <f>IF(LayTable[[#This Row],[Utfall bookie]]="","",LayTable[[#This Row],[WBABack]]+LayTable[[#This Row],[WBALay]]-LayTable[[#This Row],[Total inns]])</f>
        <v/>
      </c>
      <c r="U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 s="48" t="str">
        <f>IFERROR(IF(LayTable[[#This Row],[Total inns]]="","",LayTable[[#This Row],[Rback]]/LayTable[[#This Row],[Total inns]]),"")</f>
        <v/>
      </c>
      <c r="X26" s="48" t="str">
        <f>IFERROR(IF(LayTable[[#This Row],[Total inns]]="","",LayTable[[#This Row],[Rlay]]/LayTable[[#This Row],[Total inns]]),"")</f>
        <v/>
      </c>
      <c r="Y26" s="48" t="str">
        <f>IFERROR(LayTable[[#This Row],[Faktisk res]]/LayTable[[#This Row],[Total inns]],"")</f>
        <v/>
      </c>
      <c r="Z26" s="47">
        <f>(LayTable[[#This Row],[BookieInnsats]]*LayTable[[#This Row],[BookieOdds]]-LayTable[[#This Row],[BookieInnsats]])*(1-LayTable[[#This Row],[C% Bookie]])</f>
        <v>0</v>
      </c>
      <c r="AA26" s="43">
        <f>LayTable[[#This Row],[LayInnsats]]*(1-LayTable[[#This Row],[C% Lay]])</f>
        <v>0</v>
      </c>
      <c r="AB26" s="43">
        <f>IFERROR(IF(LayTable[[#This Row],[Sport]]="",AB25,LayTable[[#This Row],[Faktisk res]]+AB25),"")</f>
        <v>168.91219999999998</v>
      </c>
      <c r="AC26" s="43">
        <f>(LayTable[[#This Row],[BackWin-Commission]]+LayTable[[#This Row],[BookieInnsats]])</f>
        <v>0</v>
      </c>
      <c r="AD26" s="43" t="e">
        <f>(LayTable[[#This Row],[LayWin-Commission]])+LayTable[[#This Row],[LayLiability]]</f>
        <v>#VALUE!</v>
      </c>
      <c r="AE26" s="181"/>
      <c r="AF26" s="181"/>
    </row>
    <row r="27" spans="1:32">
      <c r="A27" s="183"/>
      <c r="B27" s="177"/>
      <c r="C27" s="178"/>
      <c r="D27" s="179"/>
      <c r="E27" s="178"/>
      <c r="F27" s="179"/>
      <c r="G27" s="183"/>
      <c r="H27" s="176"/>
      <c r="I27" s="180"/>
      <c r="J27" s="180"/>
      <c r="K27" s="181"/>
      <c r="L27" s="181"/>
      <c r="M27" s="44" t="str">
        <f>IF(LayTable[[#This Row],[Sport]]="","",LayTable[[#This Row],[LayInnsats]]*(LayTable[[#This Row],[LayOdds]]-1))</f>
        <v/>
      </c>
      <c r="N27" s="45" t="str">
        <f>IF(LayTable[[#This Row],[Sport]]="","",1/((1/LayTable[[#This Row],[BookieOdds]])+(1/((1/((1+((LayTable[[#This Row],[LayOdds]]-1)*(1+LayTable[[#This Row],[C% Lay]])))-1))+1)))-1)</f>
        <v/>
      </c>
      <c r="Q27" s="46" t="str">
        <f>IF(LayTable[[#This Row],[Sport]]="","",LayTable[[#This Row],[BookieInnsats]]+LayTable[[#This Row],[LayLiability]])</f>
        <v/>
      </c>
      <c r="R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 s="47" t="str">
        <f>IF(LayTable[[#This Row],[Utfall bookie]]="","",LayTable[[#This Row],[WBABack]]+LayTable[[#This Row],[WBALay]]-LayTable[[#This Row],[Total inns]])</f>
        <v/>
      </c>
      <c r="U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 s="48" t="str">
        <f>IFERROR(IF(LayTable[[#This Row],[Total inns]]="","",LayTable[[#This Row],[Rback]]/LayTable[[#This Row],[Total inns]]),"")</f>
        <v/>
      </c>
      <c r="X27" s="48" t="str">
        <f>IFERROR(IF(LayTable[[#This Row],[Total inns]]="","",LayTable[[#This Row],[Rlay]]/LayTable[[#This Row],[Total inns]]),"")</f>
        <v/>
      </c>
      <c r="Y27" s="48" t="str">
        <f>IFERROR(LayTable[[#This Row],[Faktisk res]]/LayTable[[#This Row],[Total inns]],"")</f>
        <v/>
      </c>
      <c r="Z27" s="47">
        <f>(LayTable[[#This Row],[BookieInnsats]]*LayTable[[#This Row],[BookieOdds]]-LayTable[[#This Row],[BookieInnsats]])*(1-LayTable[[#This Row],[C% Bookie]])</f>
        <v>0</v>
      </c>
      <c r="AA27" s="43">
        <f>LayTable[[#This Row],[LayInnsats]]*(1-LayTable[[#This Row],[C% Lay]])</f>
        <v>0</v>
      </c>
      <c r="AB27" s="43">
        <f>IFERROR(IF(LayTable[[#This Row],[Sport]]="",AB26,LayTable[[#This Row],[Faktisk res]]+AB26),"")</f>
        <v>168.91219999999998</v>
      </c>
      <c r="AC27" s="43">
        <f>(LayTable[[#This Row],[BackWin-Commission]]+LayTable[[#This Row],[BookieInnsats]])</f>
        <v>0</v>
      </c>
      <c r="AD27" s="43" t="e">
        <f>(LayTable[[#This Row],[LayWin-Commission]])+LayTable[[#This Row],[LayLiability]]</f>
        <v>#VALUE!</v>
      </c>
      <c r="AE27" s="181"/>
      <c r="AF27" s="181"/>
    </row>
    <row r="28" spans="1:32">
      <c r="A28" s="183"/>
      <c r="B28" s="177"/>
      <c r="C28" s="178"/>
      <c r="D28" s="179"/>
      <c r="E28" s="178"/>
      <c r="F28" s="179"/>
      <c r="G28" s="183"/>
      <c r="H28" s="176"/>
      <c r="I28" s="180"/>
      <c r="J28" s="180"/>
      <c r="K28" s="181"/>
      <c r="L28" s="181"/>
      <c r="M28" s="44" t="str">
        <f>IF(LayTable[[#This Row],[Sport]]="","",LayTable[[#This Row],[LayInnsats]]*(LayTable[[#This Row],[LayOdds]]-1))</f>
        <v/>
      </c>
      <c r="N28" s="45" t="str">
        <f>IF(LayTable[[#This Row],[Sport]]="","",1/((1/LayTable[[#This Row],[BookieOdds]])+(1/((1/((1+((LayTable[[#This Row],[LayOdds]]-1)*(1+LayTable[[#This Row],[C% Lay]])))-1))+1)))-1)</f>
        <v/>
      </c>
      <c r="Q28" s="46" t="str">
        <f>IF(LayTable[[#This Row],[Sport]]="","",LayTable[[#This Row],[BookieInnsats]]+LayTable[[#This Row],[LayLiability]])</f>
        <v/>
      </c>
      <c r="R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 s="47" t="str">
        <f>IF(LayTable[[#This Row],[Utfall bookie]]="","",LayTable[[#This Row],[WBABack]]+LayTable[[#This Row],[WBALay]]-LayTable[[#This Row],[Total inns]])</f>
        <v/>
      </c>
      <c r="U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 s="48" t="str">
        <f>IFERROR(IF(LayTable[[#This Row],[Total inns]]="","",LayTable[[#This Row],[Rback]]/LayTable[[#This Row],[Total inns]]),"")</f>
        <v/>
      </c>
      <c r="X28" s="48" t="str">
        <f>IFERROR(IF(LayTable[[#This Row],[Total inns]]="","",LayTable[[#This Row],[Rlay]]/LayTable[[#This Row],[Total inns]]),"")</f>
        <v/>
      </c>
      <c r="Y28" s="48" t="str">
        <f>IFERROR(LayTable[[#This Row],[Faktisk res]]/LayTable[[#This Row],[Total inns]],"")</f>
        <v/>
      </c>
      <c r="Z28" s="47">
        <f>(LayTable[[#This Row],[BookieInnsats]]*LayTable[[#This Row],[BookieOdds]]-LayTable[[#This Row],[BookieInnsats]])*(1-LayTable[[#This Row],[C% Bookie]])</f>
        <v>0</v>
      </c>
      <c r="AA28" s="43">
        <f>LayTable[[#This Row],[LayInnsats]]*(1-LayTable[[#This Row],[C% Lay]])</f>
        <v>0</v>
      </c>
      <c r="AB28" s="43">
        <f>IFERROR(IF(LayTable[[#This Row],[Sport]]="",AB27,LayTable[[#This Row],[Faktisk res]]+AB27),"")</f>
        <v>168.91219999999998</v>
      </c>
      <c r="AC28" s="43">
        <f>(LayTable[[#This Row],[BackWin-Commission]]+LayTable[[#This Row],[BookieInnsats]])</f>
        <v>0</v>
      </c>
      <c r="AD28" s="43" t="e">
        <f>(LayTable[[#This Row],[LayWin-Commission]])+LayTable[[#This Row],[LayLiability]]</f>
        <v>#VALUE!</v>
      </c>
      <c r="AE28" s="318"/>
      <c r="AF28" s="181"/>
    </row>
    <row r="29" spans="1:32">
      <c r="A29" s="183"/>
      <c r="B29" s="177"/>
      <c r="C29" s="178"/>
      <c r="D29" s="179"/>
      <c r="E29" s="178"/>
      <c r="F29" s="179"/>
      <c r="G29" s="183"/>
      <c r="H29" s="176"/>
      <c r="I29" s="180"/>
      <c r="J29" s="180"/>
      <c r="K29" s="181"/>
      <c r="L29" s="181"/>
      <c r="M29" s="44" t="str">
        <f>IF(LayTable[[#This Row],[Sport]]="","",LayTable[[#This Row],[LayInnsats]]*(LayTable[[#This Row],[LayOdds]]-1))</f>
        <v/>
      </c>
      <c r="N29" s="45" t="str">
        <f>IF(LayTable[[#This Row],[Sport]]="","",1/((1/LayTable[[#This Row],[BookieOdds]])+(1/((1/((1+((LayTable[[#This Row],[LayOdds]]-1)*(1+LayTable[[#This Row],[C% Lay]])))-1))+1)))-1)</f>
        <v/>
      </c>
      <c r="Q29" s="46" t="str">
        <f>IF(LayTable[[#This Row],[Sport]]="","",LayTable[[#This Row],[BookieInnsats]]+LayTable[[#This Row],[LayLiability]])</f>
        <v/>
      </c>
      <c r="R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 s="47" t="str">
        <f>IF(LayTable[[#This Row],[Utfall bookie]]="","",LayTable[[#This Row],[WBABack]]+LayTable[[#This Row],[WBALay]]-LayTable[[#This Row],[Total inns]])</f>
        <v/>
      </c>
      <c r="U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 s="48" t="str">
        <f>IFERROR(IF(LayTable[[#This Row],[Total inns]]="","",LayTable[[#This Row],[Rback]]/LayTable[[#This Row],[Total inns]]),"")</f>
        <v/>
      </c>
      <c r="X29" s="48" t="str">
        <f>IFERROR(IF(LayTable[[#This Row],[Total inns]]="","",LayTable[[#This Row],[Rlay]]/LayTable[[#This Row],[Total inns]]),"")</f>
        <v/>
      </c>
      <c r="Y29" s="48" t="str">
        <f>IFERROR(LayTable[[#This Row],[Faktisk res]]/LayTable[[#This Row],[Total inns]],"")</f>
        <v/>
      </c>
      <c r="Z29" s="47">
        <f>(LayTable[[#This Row],[BookieInnsats]]*LayTable[[#This Row],[BookieOdds]]-LayTable[[#This Row],[BookieInnsats]])*(1-LayTable[[#This Row],[C% Bookie]])</f>
        <v>0</v>
      </c>
      <c r="AA29" s="43">
        <f>LayTable[[#This Row],[LayInnsats]]*(1-LayTable[[#This Row],[C% Lay]])</f>
        <v>0</v>
      </c>
      <c r="AB29" s="43">
        <f>IFERROR(IF(LayTable[[#This Row],[Sport]]="",AB28,LayTable[[#This Row],[Faktisk res]]+AB28),"")</f>
        <v>168.91219999999998</v>
      </c>
      <c r="AC29" s="43">
        <f>(LayTable[[#This Row],[BackWin-Commission]]+LayTable[[#This Row],[BookieInnsats]])</f>
        <v>0</v>
      </c>
      <c r="AD29" s="43" t="e">
        <f>(LayTable[[#This Row],[LayWin-Commission]])+LayTable[[#This Row],[LayLiability]]</f>
        <v>#VALUE!</v>
      </c>
      <c r="AE29" s="303"/>
      <c r="AF29" s="181"/>
    </row>
    <row r="30" spans="1:32">
      <c r="A30" s="183"/>
      <c r="B30" s="177"/>
      <c r="C30" s="178"/>
      <c r="D30" s="179"/>
      <c r="E30" s="178"/>
      <c r="F30" s="179"/>
      <c r="G30" s="183"/>
      <c r="H30" s="176"/>
      <c r="I30" s="180"/>
      <c r="J30" s="180"/>
      <c r="K30" s="181"/>
      <c r="L30" s="181"/>
      <c r="M30" s="44" t="str">
        <f>IF(LayTable[[#This Row],[Sport]]="","",LayTable[[#This Row],[LayInnsats]]*(LayTable[[#This Row],[LayOdds]]-1))</f>
        <v/>
      </c>
      <c r="N30" s="45" t="str">
        <f>IF(LayTable[[#This Row],[Sport]]="","",1/((1/LayTable[[#This Row],[BookieOdds]])+(1/((1/((1+((LayTable[[#This Row],[LayOdds]]-1)*(1+LayTable[[#This Row],[C% Lay]])))-1))+1)))-1)</f>
        <v/>
      </c>
      <c r="Q30" s="46" t="str">
        <f>IF(LayTable[[#This Row],[Sport]]="","",LayTable[[#This Row],[BookieInnsats]]+LayTable[[#This Row],[LayLiability]])</f>
        <v/>
      </c>
      <c r="R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 s="47" t="str">
        <f>IF(LayTable[[#This Row],[Utfall bookie]]="","",LayTable[[#This Row],[WBABack]]+LayTable[[#This Row],[WBALay]]-LayTable[[#This Row],[Total inns]])</f>
        <v/>
      </c>
      <c r="U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 s="48" t="str">
        <f>IFERROR(IF(LayTable[[#This Row],[Total inns]]="","",LayTable[[#This Row],[Rback]]/LayTable[[#This Row],[Total inns]]),"")</f>
        <v/>
      </c>
      <c r="X30" s="48" t="str">
        <f>IFERROR(IF(LayTable[[#This Row],[Total inns]]="","",LayTable[[#This Row],[Rlay]]/LayTable[[#This Row],[Total inns]]),"")</f>
        <v/>
      </c>
      <c r="Y30" s="48" t="str">
        <f>IFERROR(LayTable[[#This Row],[Faktisk res]]/LayTable[[#This Row],[Total inns]],"")</f>
        <v/>
      </c>
      <c r="Z30" s="47">
        <f>(LayTable[[#This Row],[BookieInnsats]]*LayTable[[#This Row],[BookieOdds]]-LayTable[[#This Row],[BookieInnsats]])*(1-LayTable[[#This Row],[C% Bookie]])</f>
        <v>0</v>
      </c>
      <c r="AA30" s="43">
        <f>LayTable[[#This Row],[LayInnsats]]*(1-LayTable[[#This Row],[C% Lay]])</f>
        <v>0</v>
      </c>
      <c r="AB30" s="43">
        <f>IFERROR(IF(LayTable[[#This Row],[Sport]]="",AB29,LayTable[[#This Row],[Faktisk res]]+AB29),"")</f>
        <v>168.91219999999998</v>
      </c>
      <c r="AC30" s="43">
        <f>(LayTable[[#This Row],[BackWin-Commission]]+LayTable[[#This Row],[BookieInnsats]])</f>
        <v>0</v>
      </c>
      <c r="AD30" s="43" t="e">
        <f>(LayTable[[#This Row],[LayWin-Commission]])+LayTable[[#This Row],[LayLiability]]</f>
        <v>#VALUE!</v>
      </c>
      <c r="AE30" s="305" t="s">
        <v>349</v>
      </c>
      <c r="AF30" s="181"/>
    </row>
    <row r="31" spans="1:32">
      <c r="A31" s="183"/>
      <c r="B31" s="177"/>
      <c r="C31" s="178"/>
      <c r="D31" s="179"/>
      <c r="E31" s="178"/>
      <c r="F31" s="179"/>
      <c r="G31" s="183"/>
      <c r="H31" s="176"/>
      <c r="I31" s="180"/>
      <c r="J31" s="180"/>
      <c r="K31" s="181"/>
      <c r="L31" s="181"/>
      <c r="M31" s="44" t="str">
        <f>IF(LayTable[[#This Row],[Sport]]="","",LayTable[[#This Row],[LayInnsats]]*(LayTable[[#This Row],[LayOdds]]-1))</f>
        <v/>
      </c>
      <c r="N31" s="45" t="str">
        <f>IF(LayTable[[#This Row],[Sport]]="","",1/((1/LayTable[[#This Row],[BookieOdds]])+(1/((1/((1+((LayTable[[#This Row],[LayOdds]]-1)*(1+LayTable[[#This Row],[C% Lay]])))-1))+1)))-1)</f>
        <v/>
      </c>
      <c r="Q31" s="46" t="str">
        <f>IF(LayTable[[#This Row],[Sport]]="","",LayTable[[#This Row],[BookieInnsats]]+LayTable[[#This Row],[LayLiability]])</f>
        <v/>
      </c>
      <c r="R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 s="47" t="str">
        <f>IF(LayTable[[#This Row],[Utfall bookie]]="","",LayTable[[#This Row],[WBABack]]+LayTable[[#This Row],[WBALay]]-LayTable[[#This Row],[Total inns]])</f>
        <v/>
      </c>
      <c r="U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 s="48" t="str">
        <f>IFERROR(IF(LayTable[[#This Row],[Total inns]]="","",LayTable[[#This Row],[Rback]]/LayTable[[#This Row],[Total inns]]),"")</f>
        <v/>
      </c>
      <c r="X31" s="48" t="str">
        <f>IFERROR(IF(LayTable[[#This Row],[Total inns]]="","",LayTable[[#This Row],[Rlay]]/LayTable[[#This Row],[Total inns]]),"")</f>
        <v/>
      </c>
      <c r="Y31" s="48" t="str">
        <f>IFERROR(LayTable[[#This Row],[Faktisk res]]/LayTable[[#This Row],[Total inns]],"")</f>
        <v/>
      </c>
      <c r="Z31" s="47">
        <f>(LayTable[[#This Row],[BookieInnsats]]*LayTable[[#This Row],[BookieOdds]]-LayTable[[#This Row],[BookieInnsats]])*(1-LayTable[[#This Row],[C% Bookie]])</f>
        <v>0</v>
      </c>
      <c r="AA31" s="43">
        <f>LayTable[[#This Row],[LayInnsats]]*(1-LayTable[[#This Row],[C% Lay]])</f>
        <v>0</v>
      </c>
      <c r="AB31" s="43">
        <f>IFERROR(IF(LayTable[[#This Row],[Sport]]="",AB30,LayTable[[#This Row],[Faktisk res]]+AB30),"")</f>
        <v>168.91219999999998</v>
      </c>
      <c r="AC31" s="43">
        <f>(LayTable[[#This Row],[BackWin-Commission]]+LayTable[[#This Row],[BookieInnsats]])</f>
        <v>0</v>
      </c>
      <c r="AD31" s="43" t="e">
        <f>(LayTable[[#This Row],[LayWin-Commission]])+LayTable[[#This Row],[LayLiability]]</f>
        <v>#VALUE!</v>
      </c>
      <c r="AE31" s="181"/>
      <c r="AF31" s="181"/>
    </row>
    <row r="32" spans="1:32">
      <c r="A32" s="183"/>
      <c r="B32" s="177"/>
      <c r="C32" s="178"/>
      <c r="D32" s="179"/>
      <c r="E32" s="178"/>
      <c r="F32" s="179"/>
      <c r="G32" s="183"/>
      <c r="H32" s="176"/>
      <c r="I32" s="180"/>
      <c r="J32" s="180"/>
      <c r="K32" s="181"/>
      <c r="L32" s="181"/>
      <c r="M32" s="44" t="str">
        <f>IF(LayTable[[#This Row],[Sport]]="","",LayTable[[#This Row],[LayInnsats]]*(LayTable[[#This Row],[LayOdds]]-1))</f>
        <v/>
      </c>
      <c r="N32" s="45" t="str">
        <f>IF(LayTable[[#This Row],[Sport]]="","",1/((1/LayTable[[#This Row],[BookieOdds]])+(1/((1/((1+((LayTable[[#This Row],[LayOdds]]-1)*(1+LayTable[[#This Row],[C% Lay]])))-1))+1)))-1)</f>
        <v/>
      </c>
      <c r="Q32" s="46" t="str">
        <f>IF(LayTable[[#This Row],[Sport]]="","",LayTable[[#This Row],[BookieInnsats]]+LayTable[[#This Row],[LayLiability]])</f>
        <v/>
      </c>
      <c r="R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 s="47" t="str">
        <f>IF(LayTable[[#This Row],[Utfall bookie]]="","",LayTable[[#This Row],[WBABack]]+LayTable[[#This Row],[WBALay]]-LayTable[[#This Row],[Total inns]])</f>
        <v/>
      </c>
      <c r="U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 s="48" t="str">
        <f>IFERROR(IF(LayTable[[#This Row],[Total inns]]="","",LayTable[[#This Row],[Rback]]/LayTable[[#This Row],[Total inns]]),"")</f>
        <v/>
      </c>
      <c r="X32" s="48" t="str">
        <f>IFERROR(IF(LayTable[[#This Row],[Total inns]]="","",LayTable[[#This Row],[Rlay]]/LayTable[[#This Row],[Total inns]]),"")</f>
        <v/>
      </c>
      <c r="Y32" s="48" t="str">
        <f>IFERROR(LayTable[[#This Row],[Faktisk res]]/LayTable[[#This Row],[Total inns]],"")</f>
        <v/>
      </c>
      <c r="Z32" s="47">
        <f>(LayTable[[#This Row],[BookieInnsats]]*LayTable[[#This Row],[BookieOdds]]-LayTable[[#This Row],[BookieInnsats]])*(1-LayTable[[#This Row],[C% Bookie]])</f>
        <v>0</v>
      </c>
      <c r="AA32" s="43">
        <f>LayTable[[#This Row],[LayInnsats]]*(1-LayTable[[#This Row],[C% Lay]])</f>
        <v>0</v>
      </c>
      <c r="AB32" s="43">
        <f>IFERROR(IF(LayTable[[#This Row],[Sport]]="",AB31,LayTable[[#This Row],[Faktisk res]]+AB31),"")</f>
        <v>168.91219999999998</v>
      </c>
      <c r="AC32" s="43">
        <f>(LayTable[[#This Row],[BackWin-Commission]]+LayTable[[#This Row],[BookieInnsats]])</f>
        <v>0</v>
      </c>
      <c r="AD32" s="43" t="e">
        <f>(LayTable[[#This Row],[LayWin-Commission]])+LayTable[[#This Row],[LayLiability]]</f>
        <v>#VALUE!</v>
      </c>
      <c r="AE32" s="181"/>
      <c r="AF32" s="181"/>
    </row>
    <row r="33" spans="1:32">
      <c r="A33" s="183"/>
      <c r="B33" s="177"/>
      <c r="C33" s="178"/>
      <c r="D33" s="179"/>
      <c r="E33" s="178"/>
      <c r="F33" s="179"/>
      <c r="G33" s="183"/>
      <c r="H33" s="176"/>
      <c r="I33" s="180"/>
      <c r="J33" s="180"/>
      <c r="K33" s="181"/>
      <c r="L33" s="181"/>
      <c r="M33" s="44" t="str">
        <f>IF(LayTable[[#This Row],[Sport]]="","",LayTable[[#This Row],[LayInnsats]]*(LayTable[[#This Row],[LayOdds]]-1))</f>
        <v/>
      </c>
      <c r="N33" s="45" t="str">
        <f>IF(LayTable[[#This Row],[Sport]]="","",1/((1/LayTable[[#This Row],[BookieOdds]])+(1/((1/((1+((LayTable[[#This Row],[LayOdds]]-1)*(1+LayTable[[#This Row],[C% Lay]])))-1))+1)))-1)</f>
        <v/>
      </c>
      <c r="Q33" s="46" t="str">
        <f>IF(LayTable[[#This Row],[Sport]]="","",LayTable[[#This Row],[BookieInnsats]]+LayTable[[#This Row],[LayLiability]])</f>
        <v/>
      </c>
      <c r="R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 s="47" t="str">
        <f>IF(LayTable[[#This Row],[Utfall bookie]]="","",LayTable[[#This Row],[WBABack]]+LayTable[[#This Row],[WBALay]]-LayTable[[#This Row],[Total inns]])</f>
        <v/>
      </c>
      <c r="U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 s="48" t="str">
        <f>IFERROR(IF(LayTable[[#This Row],[Total inns]]="","",LayTable[[#This Row],[Rback]]/LayTable[[#This Row],[Total inns]]),"")</f>
        <v/>
      </c>
      <c r="X33" s="48" t="str">
        <f>IFERROR(IF(LayTable[[#This Row],[Total inns]]="","",LayTable[[#This Row],[Rlay]]/LayTable[[#This Row],[Total inns]]),"")</f>
        <v/>
      </c>
      <c r="Y33" s="48" t="str">
        <f>IFERROR(LayTable[[#This Row],[Faktisk res]]/LayTable[[#This Row],[Total inns]],"")</f>
        <v/>
      </c>
      <c r="Z33" s="47">
        <f>(LayTable[[#This Row],[BookieInnsats]]*LayTable[[#This Row],[BookieOdds]]-LayTable[[#This Row],[BookieInnsats]])*(1-LayTable[[#This Row],[C% Bookie]])</f>
        <v>0</v>
      </c>
      <c r="AA33" s="43">
        <f>LayTable[[#This Row],[LayInnsats]]*(1-LayTable[[#This Row],[C% Lay]])</f>
        <v>0</v>
      </c>
      <c r="AB33" s="43">
        <f>IFERROR(IF(LayTable[[#This Row],[Sport]]="",AB32,LayTable[[#This Row],[Faktisk res]]+AB32),"")</f>
        <v>168.91219999999998</v>
      </c>
      <c r="AC33" s="43">
        <f>(LayTable[[#This Row],[BackWin-Commission]]+LayTable[[#This Row],[BookieInnsats]])</f>
        <v>0</v>
      </c>
      <c r="AD33" s="43" t="e">
        <f>(LayTable[[#This Row],[LayWin-Commission]])+LayTable[[#This Row],[LayLiability]]</f>
        <v>#VALUE!</v>
      </c>
      <c r="AE33" s="198" t="s">
        <v>495</v>
      </c>
      <c r="AF33" s="181"/>
    </row>
    <row r="34" spans="1:32">
      <c r="A34" s="183"/>
      <c r="B34" s="177"/>
      <c r="C34" s="178"/>
      <c r="D34" s="179"/>
      <c r="E34" s="178"/>
      <c r="F34" s="179"/>
      <c r="G34" s="183"/>
      <c r="H34" s="176"/>
      <c r="I34" s="180"/>
      <c r="J34" s="180"/>
      <c r="K34" s="181"/>
      <c r="L34" s="181"/>
      <c r="M34" s="44" t="str">
        <f>IF(LayTable[[#This Row],[Sport]]="","",LayTable[[#This Row],[LayInnsats]]*(LayTable[[#This Row],[LayOdds]]-1))</f>
        <v/>
      </c>
      <c r="N34" s="45" t="str">
        <f>IF(LayTable[[#This Row],[Sport]]="","",1/((1/LayTable[[#This Row],[BookieOdds]])+(1/((1/((1+((LayTable[[#This Row],[LayOdds]]-1)*(1+LayTable[[#This Row],[C% Lay]])))-1))+1)))-1)</f>
        <v/>
      </c>
      <c r="Q34" s="46" t="str">
        <f>IF(LayTable[[#This Row],[Sport]]="","",LayTable[[#This Row],[BookieInnsats]]+LayTable[[#This Row],[LayLiability]])</f>
        <v/>
      </c>
      <c r="R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 s="47" t="str">
        <f>IF(LayTable[[#This Row],[Utfall bookie]]="","",LayTable[[#This Row],[WBABack]]+LayTable[[#This Row],[WBALay]]-LayTable[[#This Row],[Total inns]])</f>
        <v/>
      </c>
      <c r="U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 s="48" t="str">
        <f>IFERROR(IF(LayTable[[#This Row],[Total inns]]="","",LayTable[[#This Row],[Rback]]/LayTable[[#This Row],[Total inns]]),"")</f>
        <v/>
      </c>
      <c r="X34" s="48" t="str">
        <f>IFERROR(IF(LayTable[[#This Row],[Total inns]]="","",LayTable[[#This Row],[Rlay]]/LayTable[[#This Row],[Total inns]]),"")</f>
        <v/>
      </c>
      <c r="Y34" s="48" t="str">
        <f>IFERROR(LayTable[[#This Row],[Faktisk res]]/LayTable[[#This Row],[Total inns]],"")</f>
        <v/>
      </c>
      <c r="Z34" s="47">
        <f>(LayTable[[#This Row],[BookieInnsats]]*LayTable[[#This Row],[BookieOdds]]-LayTable[[#This Row],[BookieInnsats]])*(1-LayTable[[#This Row],[C% Bookie]])</f>
        <v>0</v>
      </c>
      <c r="AA34" s="43">
        <f>LayTable[[#This Row],[LayInnsats]]*(1-LayTable[[#This Row],[C% Lay]])</f>
        <v>0</v>
      </c>
      <c r="AB34" s="43">
        <f>IFERROR(IF(LayTable[[#This Row],[Sport]]="",AB33,LayTable[[#This Row],[Faktisk res]]+AB33),"")</f>
        <v>168.91219999999998</v>
      </c>
      <c r="AC34" s="43">
        <f>(LayTable[[#This Row],[BackWin-Commission]]+LayTable[[#This Row],[BookieInnsats]])</f>
        <v>0</v>
      </c>
      <c r="AD34" s="43" t="e">
        <f>(LayTable[[#This Row],[LayWin-Commission]])+LayTable[[#This Row],[LayLiability]]</f>
        <v>#VALUE!</v>
      </c>
      <c r="AE34" s="181"/>
      <c r="AF34" s="181"/>
    </row>
    <row r="35" spans="1:32">
      <c r="A35" s="183"/>
      <c r="B35" s="177"/>
      <c r="C35" s="178"/>
      <c r="D35" s="179"/>
      <c r="E35" s="178"/>
      <c r="F35" s="179"/>
      <c r="G35" s="183"/>
      <c r="H35" s="176"/>
      <c r="I35" s="180"/>
      <c r="J35" s="180"/>
      <c r="K35" s="181"/>
      <c r="L35" s="181"/>
      <c r="M35" s="44" t="str">
        <f>IF(LayTable[[#This Row],[Sport]]="","",LayTable[[#This Row],[LayInnsats]]*(LayTable[[#This Row],[LayOdds]]-1))</f>
        <v/>
      </c>
      <c r="N35" s="45" t="str">
        <f>IF(LayTable[[#This Row],[Sport]]="","",1/((1/LayTable[[#This Row],[BookieOdds]])+(1/((1/((1+((LayTable[[#This Row],[LayOdds]]-1)*(1+LayTable[[#This Row],[C% Lay]])))-1))+1)))-1)</f>
        <v/>
      </c>
      <c r="Q35" s="46" t="str">
        <f>IF(LayTable[[#This Row],[Sport]]="","",LayTable[[#This Row],[BookieInnsats]]+LayTable[[#This Row],[LayLiability]])</f>
        <v/>
      </c>
      <c r="R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 s="47" t="str">
        <f>IF(LayTable[[#This Row],[Utfall bookie]]="","",LayTable[[#This Row],[WBABack]]+LayTable[[#This Row],[WBALay]]-LayTable[[#This Row],[Total inns]])</f>
        <v/>
      </c>
      <c r="U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 s="48" t="str">
        <f>IFERROR(IF(LayTable[[#This Row],[Total inns]]="","",LayTable[[#This Row],[Rback]]/LayTable[[#This Row],[Total inns]]),"")</f>
        <v/>
      </c>
      <c r="X35" s="48" t="str">
        <f>IFERROR(IF(LayTable[[#This Row],[Total inns]]="","",LayTable[[#This Row],[Rlay]]/LayTable[[#This Row],[Total inns]]),"")</f>
        <v/>
      </c>
      <c r="Y35" s="48" t="str">
        <f>IFERROR(LayTable[[#This Row],[Faktisk res]]/LayTable[[#This Row],[Total inns]],"")</f>
        <v/>
      </c>
      <c r="Z35" s="47">
        <f>(LayTable[[#This Row],[BookieInnsats]]*LayTable[[#This Row],[BookieOdds]]-LayTable[[#This Row],[BookieInnsats]])*(1-LayTable[[#This Row],[C% Bookie]])</f>
        <v>0</v>
      </c>
      <c r="AA35" s="43">
        <f>LayTable[[#This Row],[LayInnsats]]*(1-LayTable[[#This Row],[C% Lay]])</f>
        <v>0</v>
      </c>
      <c r="AB35" s="43">
        <f>IFERROR(IF(LayTable[[#This Row],[Sport]]="",AB34,LayTable[[#This Row],[Faktisk res]]+AB34),"")</f>
        <v>168.91219999999998</v>
      </c>
      <c r="AC35" s="43">
        <f>(LayTable[[#This Row],[BackWin-Commission]]+LayTable[[#This Row],[BookieInnsats]])</f>
        <v>0</v>
      </c>
      <c r="AD35" s="43" t="e">
        <f>(LayTable[[#This Row],[LayWin-Commission]])+LayTable[[#This Row],[LayLiability]]</f>
        <v>#VALUE!</v>
      </c>
      <c r="AE35" s="198" t="s">
        <v>351</v>
      </c>
      <c r="AF35" s="181"/>
    </row>
    <row r="36" spans="1:32">
      <c r="A36" s="183"/>
      <c r="B36" s="177"/>
      <c r="C36" s="178"/>
      <c r="D36" s="179"/>
      <c r="E36" s="178"/>
      <c r="F36" s="179"/>
      <c r="G36" s="183"/>
      <c r="H36" s="176"/>
      <c r="I36" s="180"/>
      <c r="J36" s="180"/>
      <c r="K36" s="181"/>
      <c r="L36" s="181"/>
      <c r="M36" s="44" t="str">
        <f>IF(LayTable[[#This Row],[Sport]]="","",LayTable[[#This Row],[LayInnsats]]*(LayTable[[#This Row],[LayOdds]]-1))</f>
        <v/>
      </c>
      <c r="N36" s="45" t="str">
        <f>IF(LayTable[[#This Row],[Sport]]="","",1/((1/LayTable[[#This Row],[BookieOdds]])+(1/((1/((1+((LayTable[[#This Row],[LayOdds]]-1)*(1+LayTable[[#This Row],[C% Lay]])))-1))+1)))-1)</f>
        <v/>
      </c>
      <c r="Q36" s="46" t="str">
        <f>IF(LayTable[[#This Row],[Sport]]="","",LayTable[[#This Row],[BookieInnsats]]+LayTable[[#This Row],[LayLiability]])</f>
        <v/>
      </c>
      <c r="R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 s="47" t="str">
        <f>IF(LayTable[[#This Row],[Utfall bookie]]="","",LayTable[[#This Row],[WBABack]]+LayTable[[#This Row],[WBALay]]-LayTable[[#This Row],[Total inns]])</f>
        <v/>
      </c>
      <c r="U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 s="48" t="str">
        <f>IFERROR(IF(LayTable[[#This Row],[Total inns]]="","",LayTable[[#This Row],[Rback]]/LayTable[[#This Row],[Total inns]]),"")</f>
        <v/>
      </c>
      <c r="X36" s="48" t="str">
        <f>IFERROR(IF(LayTable[[#This Row],[Total inns]]="","",LayTable[[#This Row],[Rlay]]/LayTable[[#This Row],[Total inns]]),"")</f>
        <v/>
      </c>
      <c r="Y36" s="48" t="str">
        <f>IFERROR(LayTable[[#This Row],[Faktisk res]]/LayTable[[#This Row],[Total inns]],"")</f>
        <v/>
      </c>
      <c r="Z36" s="47">
        <f>(LayTable[[#This Row],[BookieInnsats]]*LayTable[[#This Row],[BookieOdds]]-LayTable[[#This Row],[BookieInnsats]])*(1-LayTable[[#This Row],[C% Bookie]])</f>
        <v>0</v>
      </c>
      <c r="AA36" s="43">
        <f>LayTable[[#This Row],[LayInnsats]]*(1-LayTable[[#This Row],[C% Lay]])</f>
        <v>0</v>
      </c>
      <c r="AB36" s="43">
        <f>IFERROR(IF(LayTable[[#This Row],[Sport]]="",AB35,LayTable[[#This Row],[Faktisk res]]+AB35),"")</f>
        <v>168.91219999999998</v>
      </c>
      <c r="AC36" s="43">
        <f>(LayTable[[#This Row],[BackWin-Commission]]+LayTable[[#This Row],[BookieInnsats]])</f>
        <v>0</v>
      </c>
      <c r="AD36" s="43" t="e">
        <f>(LayTable[[#This Row],[LayWin-Commission]])+LayTable[[#This Row],[LayLiability]]</f>
        <v>#VALUE!</v>
      </c>
      <c r="AE36" s="181"/>
      <c r="AF36" s="181"/>
    </row>
    <row r="37" spans="1:32">
      <c r="A37" s="183"/>
      <c r="B37" s="177"/>
      <c r="C37" s="178"/>
      <c r="D37" s="179"/>
      <c r="E37" s="178"/>
      <c r="F37" s="179"/>
      <c r="G37" s="183"/>
      <c r="H37" s="176"/>
      <c r="I37" s="180"/>
      <c r="J37" s="180"/>
      <c r="K37" s="181"/>
      <c r="L37" s="181"/>
      <c r="M37" s="44" t="str">
        <f>IF(LayTable[[#This Row],[Sport]]="","",LayTable[[#This Row],[LayInnsats]]*(LayTable[[#This Row],[LayOdds]]-1))</f>
        <v/>
      </c>
      <c r="N37" s="45" t="str">
        <f>IF(LayTable[[#This Row],[Sport]]="","",1/((1/LayTable[[#This Row],[BookieOdds]])+(1/((1/((1+((LayTable[[#This Row],[LayOdds]]-1)*(1+LayTable[[#This Row],[C% Lay]])))-1))+1)))-1)</f>
        <v/>
      </c>
      <c r="Q37" s="46" t="str">
        <f>IF(LayTable[[#This Row],[Sport]]="","",LayTable[[#This Row],[BookieInnsats]]+LayTable[[#This Row],[LayLiability]])</f>
        <v/>
      </c>
      <c r="R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 s="47" t="str">
        <f>IF(LayTable[[#This Row],[Utfall bookie]]="","",LayTable[[#This Row],[WBABack]]+LayTable[[#This Row],[WBALay]]-LayTable[[#This Row],[Total inns]])</f>
        <v/>
      </c>
      <c r="U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 s="48" t="str">
        <f>IFERROR(IF(LayTable[[#This Row],[Total inns]]="","",LayTable[[#This Row],[Rback]]/LayTable[[#This Row],[Total inns]]),"")</f>
        <v/>
      </c>
      <c r="X37" s="48" t="str">
        <f>IFERROR(IF(LayTable[[#This Row],[Total inns]]="","",LayTable[[#This Row],[Rlay]]/LayTable[[#This Row],[Total inns]]),"")</f>
        <v/>
      </c>
      <c r="Y37" s="48" t="str">
        <f>IFERROR(LayTable[[#This Row],[Faktisk res]]/LayTable[[#This Row],[Total inns]],"")</f>
        <v/>
      </c>
      <c r="Z37" s="47">
        <f>(LayTable[[#This Row],[BookieInnsats]]*LayTable[[#This Row],[BookieOdds]]-LayTable[[#This Row],[BookieInnsats]])*(1-LayTable[[#This Row],[C% Bookie]])</f>
        <v>0</v>
      </c>
      <c r="AA37" s="43">
        <f>LayTable[[#This Row],[LayInnsats]]*(1-LayTable[[#This Row],[C% Lay]])</f>
        <v>0</v>
      </c>
      <c r="AB37" s="43">
        <f>IFERROR(IF(LayTable[[#This Row],[Sport]]="",AB36,LayTable[[#This Row],[Faktisk res]]+AB36),"")</f>
        <v>168.91219999999998</v>
      </c>
      <c r="AC37" s="43">
        <f>(LayTable[[#This Row],[BackWin-Commission]]+LayTable[[#This Row],[BookieInnsats]])</f>
        <v>0</v>
      </c>
      <c r="AD37" s="43" t="e">
        <f>(LayTable[[#This Row],[LayWin-Commission]])+LayTable[[#This Row],[LayLiability]]</f>
        <v>#VALUE!</v>
      </c>
      <c r="AE37" s="181"/>
      <c r="AF37" s="181"/>
    </row>
    <row r="38" spans="1:32">
      <c r="A38" s="183"/>
      <c r="B38" s="177"/>
      <c r="C38" s="178"/>
      <c r="D38" s="179"/>
      <c r="E38" s="178"/>
      <c r="F38" s="179"/>
      <c r="G38" s="183"/>
      <c r="H38" s="176"/>
      <c r="I38" s="180"/>
      <c r="J38" s="180"/>
      <c r="K38" s="181"/>
      <c r="L38" s="181"/>
      <c r="M38" s="44" t="str">
        <f>IF(LayTable[[#This Row],[Sport]]="","",LayTable[[#This Row],[LayInnsats]]*(LayTable[[#This Row],[LayOdds]]-1))</f>
        <v/>
      </c>
      <c r="N38" s="45" t="str">
        <f>IF(LayTable[[#This Row],[Sport]]="","",1/((1/LayTable[[#This Row],[BookieOdds]])+(1/((1/((1+((LayTable[[#This Row],[LayOdds]]-1)*(1+LayTable[[#This Row],[C% Lay]])))-1))+1)))-1)</f>
        <v/>
      </c>
      <c r="Q38" s="46" t="str">
        <f>IF(LayTable[[#This Row],[Sport]]="","",LayTable[[#This Row],[BookieInnsats]]+LayTable[[#This Row],[LayLiability]])</f>
        <v/>
      </c>
      <c r="R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 s="47" t="str">
        <f>IF(LayTable[[#This Row],[Utfall bookie]]="","",LayTable[[#This Row],[WBABack]]+LayTable[[#This Row],[WBALay]]-LayTable[[#This Row],[Total inns]])</f>
        <v/>
      </c>
      <c r="U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 s="48" t="str">
        <f>IFERROR(IF(LayTable[[#This Row],[Total inns]]="","",LayTable[[#This Row],[Rback]]/LayTable[[#This Row],[Total inns]]),"")</f>
        <v/>
      </c>
      <c r="X38" s="48" t="str">
        <f>IFERROR(IF(LayTable[[#This Row],[Total inns]]="","",LayTable[[#This Row],[Rlay]]/LayTable[[#This Row],[Total inns]]),"")</f>
        <v/>
      </c>
      <c r="Y38" s="48" t="str">
        <f>IFERROR(LayTable[[#This Row],[Faktisk res]]/LayTable[[#This Row],[Total inns]],"")</f>
        <v/>
      </c>
      <c r="Z38" s="47">
        <f>(LayTable[[#This Row],[BookieInnsats]]*LayTable[[#This Row],[BookieOdds]]-LayTable[[#This Row],[BookieInnsats]])*(1-LayTable[[#This Row],[C% Bookie]])</f>
        <v>0</v>
      </c>
      <c r="AA38" s="43">
        <f>LayTable[[#This Row],[LayInnsats]]*(1-LayTable[[#This Row],[C% Lay]])</f>
        <v>0</v>
      </c>
      <c r="AB38" s="43">
        <f>IFERROR(IF(LayTable[[#This Row],[Sport]]="",AB37,LayTable[[#This Row],[Faktisk res]]+AB37),"")</f>
        <v>168.91219999999998</v>
      </c>
      <c r="AC38" s="43">
        <f>(LayTable[[#This Row],[BackWin-Commission]]+LayTable[[#This Row],[BookieInnsats]])</f>
        <v>0</v>
      </c>
      <c r="AD38" s="43" t="e">
        <f>(LayTable[[#This Row],[LayWin-Commission]])+LayTable[[#This Row],[LayLiability]]</f>
        <v>#VALUE!</v>
      </c>
      <c r="AE38" s="181"/>
      <c r="AF38" s="181"/>
    </row>
    <row r="39" spans="1:32">
      <c r="A39" s="183"/>
      <c r="B39" s="177"/>
      <c r="C39" s="178"/>
      <c r="D39" s="179"/>
      <c r="E39" s="178"/>
      <c r="F39" s="179"/>
      <c r="G39" s="183"/>
      <c r="H39" s="176"/>
      <c r="I39" s="180"/>
      <c r="J39" s="180"/>
      <c r="K39" s="181"/>
      <c r="L39" s="181"/>
      <c r="M39" s="44" t="str">
        <f>IF(LayTable[[#This Row],[Sport]]="","",LayTable[[#This Row],[LayInnsats]]*(LayTable[[#This Row],[LayOdds]]-1))</f>
        <v/>
      </c>
      <c r="N39" s="45" t="str">
        <f>IF(LayTable[[#This Row],[Sport]]="","",1/((1/LayTable[[#This Row],[BookieOdds]])+(1/((1/((1+((LayTable[[#This Row],[LayOdds]]-1)*(1+LayTable[[#This Row],[C% Lay]])))-1))+1)))-1)</f>
        <v/>
      </c>
      <c r="Q39" s="46" t="str">
        <f>IF(LayTable[[#This Row],[Sport]]="","",LayTable[[#This Row],[BookieInnsats]]+LayTable[[#This Row],[LayLiability]])</f>
        <v/>
      </c>
      <c r="R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 s="47" t="str">
        <f>IF(LayTable[[#This Row],[Utfall bookie]]="","",LayTable[[#This Row],[WBABack]]+LayTable[[#This Row],[WBALay]]-LayTable[[#This Row],[Total inns]])</f>
        <v/>
      </c>
      <c r="U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 s="48" t="str">
        <f>IFERROR(IF(LayTable[[#This Row],[Total inns]]="","",LayTable[[#This Row],[Rback]]/LayTable[[#This Row],[Total inns]]),"")</f>
        <v/>
      </c>
      <c r="X39" s="48" t="str">
        <f>IFERROR(IF(LayTable[[#This Row],[Total inns]]="","",LayTable[[#This Row],[Rlay]]/LayTable[[#This Row],[Total inns]]),"")</f>
        <v/>
      </c>
      <c r="Y39" s="48" t="str">
        <f>IFERROR(LayTable[[#This Row],[Faktisk res]]/LayTable[[#This Row],[Total inns]],"")</f>
        <v/>
      </c>
      <c r="Z39" s="47">
        <f>(LayTable[[#This Row],[BookieInnsats]]*LayTable[[#This Row],[BookieOdds]]-LayTable[[#This Row],[BookieInnsats]])*(1-LayTable[[#This Row],[C% Bookie]])</f>
        <v>0</v>
      </c>
      <c r="AA39" s="43">
        <f>LayTable[[#This Row],[LayInnsats]]*(1-LayTable[[#This Row],[C% Lay]])</f>
        <v>0</v>
      </c>
      <c r="AB39" s="43">
        <f>IFERROR(IF(LayTable[[#This Row],[Sport]]="",AB38,LayTable[[#This Row],[Faktisk res]]+AB38),"")</f>
        <v>168.91219999999998</v>
      </c>
      <c r="AC39" s="43">
        <f>(LayTable[[#This Row],[BackWin-Commission]]+LayTable[[#This Row],[BookieInnsats]])</f>
        <v>0</v>
      </c>
      <c r="AD39" s="43" t="e">
        <f>(LayTable[[#This Row],[LayWin-Commission]])+LayTable[[#This Row],[LayLiability]]</f>
        <v>#VALUE!</v>
      </c>
      <c r="AE39" s="181"/>
      <c r="AF39" s="181"/>
    </row>
    <row r="40" spans="1:32">
      <c r="A40" s="183"/>
      <c r="B40" s="177"/>
      <c r="C40" s="178"/>
      <c r="D40" s="179"/>
      <c r="E40" s="178"/>
      <c r="F40" s="179"/>
      <c r="G40" s="183"/>
      <c r="H40" s="176"/>
      <c r="I40" s="180"/>
      <c r="J40" s="180"/>
      <c r="K40" s="181"/>
      <c r="L40" s="181"/>
      <c r="M40" s="44" t="str">
        <f>IF(LayTable[[#This Row],[Sport]]="","",LayTable[[#This Row],[LayInnsats]]*(LayTable[[#This Row],[LayOdds]]-1))</f>
        <v/>
      </c>
      <c r="N40" s="45" t="str">
        <f>IF(LayTable[[#This Row],[Sport]]="","",1/((1/LayTable[[#This Row],[BookieOdds]])+(1/((1/((1+((LayTable[[#This Row],[LayOdds]]-1)*(1+LayTable[[#This Row],[C% Lay]])))-1))+1)))-1)</f>
        <v/>
      </c>
      <c r="Q40" s="46" t="str">
        <f>IF(LayTable[[#This Row],[Sport]]="","",LayTable[[#This Row],[BookieInnsats]]+LayTable[[#This Row],[LayLiability]])</f>
        <v/>
      </c>
      <c r="R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 s="47" t="str">
        <f>IF(LayTable[[#This Row],[Utfall bookie]]="","",LayTable[[#This Row],[WBABack]]+LayTable[[#This Row],[WBALay]]-LayTable[[#This Row],[Total inns]])</f>
        <v/>
      </c>
      <c r="U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 s="48" t="str">
        <f>IFERROR(IF(LayTable[[#This Row],[Total inns]]="","",LayTable[[#This Row],[Rback]]/LayTable[[#This Row],[Total inns]]),"")</f>
        <v/>
      </c>
      <c r="X40" s="48" t="str">
        <f>IFERROR(IF(LayTable[[#This Row],[Total inns]]="","",LayTable[[#This Row],[Rlay]]/LayTable[[#This Row],[Total inns]]),"")</f>
        <v/>
      </c>
      <c r="Y40" s="48" t="str">
        <f>IFERROR(LayTable[[#This Row],[Faktisk res]]/LayTable[[#This Row],[Total inns]],"")</f>
        <v/>
      </c>
      <c r="Z40" s="47">
        <f>(LayTable[[#This Row],[BookieInnsats]]*LayTable[[#This Row],[BookieOdds]]-LayTable[[#This Row],[BookieInnsats]])*(1-LayTable[[#This Row],[C% Bookie]])</f>
        <v>0</v>
      </c>
      <c r="AA40" s="43">
        <f>LayTable[[#This Row],[LayInnsats]]*(1-LayTable[[#This Row],[C% Lay]])</f>
        <v>0</v>
      </c>
      <c r="AB40" s="43">
        <f>IFERROR(IF(LayTable[[#This Row],[Sport]]="",AB39,LayTable[[#This Row],[Faktisk res]]+AB39),"")</f>
        <v>168.91219999999998</v>
      </c>
      <c r="AC40" s="43">
        <f>(LayTable[[#This Row],[BackWin-Commission]]+LayTable[[#This Row],[BookieInnsats]])</f>
        <v>0</v>
      </c>
      <c r="AD40" s="43" t="e">
        <f>(LayTable[[#This Row],[LayWin-Commission]])+LayTable[[#This Row],[LayLiability]]</f>
        <v>#VALUE!</v>
      </c>
      <c r="AE40" s="181"/>
      <c r="AF40" s="181"/>
    </row>
    <row r="41" spans="1:32">
      <c r="A41" s="183"/>
      <c r="B41" s="177"/>
      <c r="C41" s="178"/>
      <c r="D41" s="179"/>
      <c r="E41" s="178"/>
      <c r="F41" s="179"/>
      <c r="G41" s="183"/>
      <c r="H41" s="176"/>
      <c r="I41" s="180"/>
      <c r="J41" s="180"/>
      <c r="K41" s="181"/>
      <c r="L41" s="181"/>
      <c r="M41" s="44" t="str">
        <f>IF(LayTable[[#This Row],[Sport]]="","",LayTable[[#This Row],[LayInnsats]]*(LayTable[[#This Row],[LayOdds]]-1))</f>
        <v/>
      </c>
      <c r="N41" s="45" t="str">
        <f>IF(LayTable[[#This Row],[Sport]]="","",1/((1/LayTable[[#This Row],[BookieOdds]])+(1/((1/((1+((LayTable[[#This Row],[LayOdds]]-1)*(1+LayTable[[#This Row],[C% Lay]])))-1))+1)))-1)</f>
        <v/>
      </c>
      <c r="Q41" s="46" t="str">
        <f>IF(LayTable[[#This Row],[Sport]]="","",LayTable[[#This Row],[BookieInnsats]]+LayTable[[#This Row],[LayLiability]])</f>
        <v/>
      </c>
      <c r="R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 s="47" t="str">
        <f>IF(LayTable[[#This Row],[Utfall bookie]]="","",LayTable[[#This Row],[WBABack]]+LayTable[[#This Row],[WBALay]]-LayTable[[#This Row],[Total inns]])</f>
        <v/>
      </c>
      <c r="U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 s="48" t="str">
        <f>IFERROR(IF(LayTable[[#This Row],[Total inns]]="","",LayTable[[#This Row],[Rback]]/LayTable[[#This Row],[Total inns]]),"")</f>
        <v/>
      </c>
      <c r="X41" s="48" t="str">
        <f>IFERROR(IF(LayTable[[#This Row],[Total inns]]="","",LayTable[[#This Row],[Rlay]]/LayTable[[#This Row],[Total inns]]),"")</f>
        <v/>
      </c>
      <c r="Y41" s="48" t="str">
        <f>IFERROR(LayTable[[#This Row],[Faktisk res]]/LayTable[[#This Row],[Total inns]],"")</f>
        <v/>
      </c>
      <c r="Z41" s="47">
        <f>(LayTable[[#This Row],[BookieInnsats]]*LayTable[[#This Row],[BookieOdds]]-LayTable[[#This Row],[BookieInnsats]])*(1-LayTable[[#This Row],[C% Bookie]])</f>
        <v>0</v>
      </c>
      <c r="AA41" s="43">
        <f>LayTable[[#This Row],[LayInnsats]]*(1-LayTable[[#This Row],[C% Lay]])</f>
        <v>0</v>
      </c>
      <c r="AB41" s="43">
        <f>IFERROR(IF(LayTable[[#This Row],[Sport]]="",AB40,LayTable[[#This Row],[Faktisk res]]+AB40),"")</f>
        <v>168.91219999999998</v>
      </c>
      <c r="AC41" s="43">
        <f>(LayTable[[#This Row],[BackWin-Commission]]+LayTable[[#This Row],[BookieInnsats]])</f>
        <v>0</v>
      </c>
      <c r="AD41" s="43" t="e">
        <f>(LayTable[[#This Row],[LayWin-Commission]])+LayTable[[#This Row],[LayLiability]]</f>
        <v>#VALUE!</v>
      </c>
      <c r="AE41" s="181"/>
      <c r="AF41" s="181"/>
    </row>
    <row r="42" spans="1:32">
      <c r="A42" s="183"/>
      <c r="B42" s="177"/>
      <c r="C42" s="178"/>
      <c r="D42" s="179"/>
      <c r="E42" s="178"/>
      <c r="F42" s="179"/>
      <c r="G42" s="183"/>
      <c r="H42" s="176"/>
      <c r="I42" s="180"/>
      <c r="J42" s="180"/>
      <c r="K42" s="181"/>
      <c r="L42" s="181"/>
      <c r="M42" s="44" t="str">
        <f>IF(LayTable[[#This Row],[Sport]]="","",LayTable[[#This Row],[LayInnsats]]*(LayTable[[#This Row],[LayOdds]]-1))</f>
        <v/>
      </c>
      <c r="N42" s="45" t="str">
        <f>IF(LayTable[[#This Row],[Sport]]="","",1/((1/LayTable[[#This Row],[BookieOdds]])+(1/((1/((1+((LayTable[[#This Row],[LayOdds]]-1)*(1+LayTable[[#This Row],[C% Lay]])))-1))+1)))-1)</f>
        <v/>
      </c>
      <c r="Q42" s="46" t="str">
        <f>IF(LayTable[[#This Row],[Sport]]="","",LayTable[[#This Row],[BookieInnsats]]+LayTable[[#This Row],[LayLiability]])</f>
        <v/>
      </c>
      <c r="R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 s="47" t="str">
        <f>IF(LayTable[[#This Row],[Utfall bookie]]="","",LayTable[[#This Row],[WBABack]]+LayTable[[#This Row],[WBALay]]-LayTable[[#This Row],[Total inns]])</f>
        <v/>
      </c>
      <c r="U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 s="48" t="str">
        <f>IFERROR(IF(LayTable[[#This Row],[Total inns]]="","",LayTable[[#This Row],[Rback]]/LayTable[[#This Row],[Total inns]]),"")</f>
        <v/>
      </c>
      <c r="X42" s="48" t="str">
        <f>IFERROR(IF(LayTable[[#This Row],[Total inns]]="","",LayTable[[#This Row],[Rlay]]/LayTable[[#This Row],[Total inns]]),"")</f>
        <v/>
      </c>
      <c r="Y42" s="48" t="str">
        <f>IFERROR(LayTable[[#This Row],[Faktisk res]]/LayTable[[#This Row],[Total inns]],"")</f>
        <v/>
      </c>
      <c r="Z42" s="47">
        <f>(LayTable[[#This Row],[BookieInnsats]]*LayTable[[#This Row],[BookieOdds]]-LayTable[[#This Row],[BookieInnsats]])*(1-LayTable[[#This Row],[C% Bookie]])</f>
        <v>0</v>
      </c>
      <c r="AA42" s="43">
        <f>LayTable[[#This Row],[LayInnsats]]*(1-LayTable[[#This Row],[C% Lay]])</f>
        <v>0</v>
      </c>
      <c r="AB42" s="43">
        <f>IFERROR(IF(LayTable[[#This Row],[Sport]]="",AB41,LayTable[[#This Row],[Faktisk res]]+AB41),"")</f>
        <v>168.91219999999998</v>
      </c>
      <c r="AC42" s="43">
        <f>(LayTable[[#This Row],[BackWin-Commission]]+LayTable[[#This Row],[BookieInnsats]])</f>
        <v>0</v>
      </c>
      <c r="AD42" s="43" t="e">
        <f>(LayTable[[#This Row],[LayWin-Commission]])+LayTable[[#This Row],[LayLiability]]</f>
        <v>#VALUE!</v>
      </c>
      <c r="AE42" s="181"/>
      <c r="AF42" s="181"/>
    </row>
    <row r="43" spans="1:32">
      <c r="A43" s="183"/>
      <c r="B43" s="177"/>
      <c r="C43" s="178"/>
      <c r="D43" s="179"/>
      <c r="E43" s="178"/>
      <c r="F43" s="179"/>
      <c r="G43" s="183"/>
      <c r="H43" s="176"/>
      <c r="I43" s="180"/>
      <c r="J43" s="180"/>
      <c r="K43" s="181"/>
      <c r="L43" s="181"/>
      <c r="M43" s="44" t="str">
        <f>IF(LayTable[[#This Row],[Sport]]="","",LayTable[[#This Row],[LayInnsats]]*(LayTable[[#This Row],[LayOdds]]-1))</f>
        <v/>
      </c>
      <c r="N43" s="45" t="str">
        <f>IF(LayTable[[#This Row],[Sport]]="","",1/((1/LayTable[[#This Row],[BookieOdds]])+(1/((1/((1+((LayTable[[#This Row],[LayOdds]]-1)*(1+LayTable[[#This Row],[C% Lay]])))-1))+1)))-1)</f>
        <v/>
      </c>
      <c r="Q43" s="46" t="str">
        <f>IF(LayTable[[#This Row],[Sport]]="","",LayTable[[#This Row],[BookieInnsats]]+LayTable[[#This Row],[LayLiability]])</f>
        <v/>
      </c>
      <c r="R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 s="47" t="str">
        <f>IF(LayTable[[#This Row],[Utfall bookie]]="","",LayTable[[#This Row],[WBABack]]+LayTable[[#This Row],[WBALay]]-LayTable[[#This Row],[Total inns]])</f>
        <v/>
      </c>
      <c r="U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 s="48" t="str">
        <f>IFERROR(IF(LayTable[[#This Row],[Total inns]]="","",LayTable[[#This Row],[Rback]]/LayTable[[#This Row],[Total inns]]),"")</f>
        <v/>
      </c>
      <c r="X43" s="48" t="str">
        <f>IFERROR(IF(LayTable[[#This Row],[Total inns]]="","",LayTable[[#This Row],[Rlay]]/LayTable[[#This Row],[Total inns]]),"")</f>
        <v/>
      </c>
      <c r="Y43" s="48" t="str">
        <f>IFERROR(LayTable[[#This Row],[Faktisk res]]/LayTable[[#This Row],[Total inns]],"")</f>
        <v/>
      </c>
      <c r="Z43" s="47">
        <f>(LayTable[[#This Row],[BookieInnsats]]*LayTable[[#This Row],[BookieOdds]]-LayTable[[#This Row],[BookieInnsats]])*(1-LayTable[[#This Row],[C% Bookie]])</f>
        <v>0</v>
      </c>
      <c r="AA43" s="43">
        <f>LayTable[[#This Row],[LayInnsats]]*(1-LayTable[[#This Row],[C% Lay]])</f>
        <v>0</v>
      </c>
      <c r="AB43" s="43">
        <f>IFERROR(IF(LayTable[[#This Row],[Sport]]="",AB42,LayTable[[#This Row],[Faktisk res]]+AB42),"")</f>
        <v>168.91219999999998</v>
      </c>
      <c r="AC43" s="43">
        <f>(LayTable[[#This Row],[BackWin-Commission]]+LayTable[[#This Row],[BookieInnsats]])</f>
        <v>0</v>
      </c>
      <c r="AD43" s="43" t="e">
        <f>(LayTable[[#This Row],[LayWin-Commission]])+LayTable[[#This Row],[LayLiability]]</f>
        <v>#VALUE!</v>
      </c>
      <c r="AE43" s="181"/>
      <c r="AF43" s="181"/>
    </row>
    <row r="44" spans="1:32">
      <c r="A44" s="183"/>
      <c r="B44" s="177"/>
      <c r="C44" s="178"/>
      <c r="D44" s="179"/>
      <c r="E44" s="178"/>
      <c r="F44" s="179"/>
      <c r="G44" s="183"/>
      <c r="H44" s="176"/>
      <c r="I44" s="180"/>
      <c r="J44" s="180"/>
      <c r="K44" s="181"/>
      <c r="L44" s="181"/>
      <c r="M44" s="44" t="str">
        <f>IF(LayTable[[#This Row],[Sport]]="","",LayTable[[#This Row],[LayInnsats]]*(LayTable[[#This Row],[LayOdds]]-1))</f>
        <v/>
      </c>
      <c r="N44" s="45" t="str">
        <f>IF(LayTable[[#This Row],[Sport]]="","",1/((1/LayTable[[#This Row],[BookieOdds]])+(1/((1/((1+((LayTable[[#This Row],[LayOdds]]-1)*(1+LayTable[[#This Row],[C% Lay]])))-1))+1)))-1)</f>
        <v/>
      </c>
      <c r="Q44" s="46" t="str">
        <f>IF(LayTable[[#This Row],[Sport]]="","",LayTable[[#This Row],[BookieInnsats]]+LayTable[[#This Row],[LayLiability]])</f>
        <v/>
      </c>
      <c r="R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 s="47" t="str">
        <f>IF(LayTable[[#This Row],[Utfall bookie]]="","",LayTable[[#This Row],[WBABack]]+LayTable[[#This Row],[WBALay]]-LayTable[[#This Row],[Total inns]])</f>
        <v/>
      </c>
      <c r="U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 s="48" t="str">
        <f>IFERROR(IF(LayTable[[#This Row],[Total inns]]="","",LayTable[[#This Row],[Rback]]/LayTable[[#This Row],[Total inns]]),"")</f>
        <v/>
      </c>
      <c r="X44" s="48" t="str">
        <f>IFERROR(IF(LayTable[[#This Row],[Total inns]]="","",LayTable[[#This Row],[Rlay]]/LayTable[[#This Row],[Total inns]]),"")</f>
        <v/>
      </c>
      <c r="Y44" s="48" t="str">
        <f>IFERROR(LayTable[[#This Row],[Faktisk res]]/LayTable[[#This Row],[Total inns]],"")</f>
        <v/>
      </c>
      <c r="Z44" s="47">
        <f>(LayTable[[#This Row],[BookieInnsats]]*LayTable[[#This Row],[BookieOdds]]-LayTable[[#This Row],[BookieInnsats]])*(1-LayTable[[#This Row],[C% Bookie]])</f>
        <v>0</v>
      </c>
      <c r="AA44" s="43">
        <f>LayTable[[#This Row],[LayInnsats]]*(1-LayTable[[#This Row],[C% Lay]])</f>
        <v>0</v>
      </c>
      <c r="AB44" s="43">
        <f>IFERROR(IF(LayTable[[#This Row],[Sport]]="",AB43,LayTable[[#This Row],[Faktisk res]]+AB43),"")</f>
        <v>168.91219999999998</v>
      </c>
      <c r="AC44" s="43">
        <f>(LayTable[[#This Row],[BackWin-Commission]]+LayTable[[#This Row],[BookieInnsats]])</f>
        <v>0</v>
      </c>
      <c r="AD44" s="43" t="e">
        <f>(LayTable[[#This Row],[LayWin-Commission]])+LayTable[[#This Row],[LayLiability]]</f>
        <v>#VALUE!</v>
      </c>
      <c r="AE44" s="181"/>
      <c r="AF44" s="181"/>
    </row>
    <row r="45" spans="1:32">
      <c r="A45" s="183"/>
      <c r="B45" s="177"/>
      <c r="C45" s="178"/>
      <c r="D45" s="179"/>
      <c r="E45" s="178"/>
      <c r="F45" s="179"/>
      <c r="G45" s="183"/>
      <c r="H45" s="176"/>
      <c r="I45" s="180"/>
      <c r="J45" s="180"/>
      <c r="K45" s="181"/>
      <c r="L45" s="181"/>
      <c r="M45" s="44" t="str">
        <f>IF(LayTable[[#This Row],[Sport]]="","",LayTable[[#This Row],[LayInnsats]]*(LayTable[[#This Row],[LayOdds]]-1))</f>
        <v/>
      </c>
      <c r="N45" s="45" t="str">
        <f>IF(LayTable[[#This Row],[Sport]]="","",1/((1/LayTable[[#This Row],[BookieOdds]])+(1/((1/((1+((LayTable[[#This Row],[LayOdds]]-1)*(1+LayTable[[#This Row],[C% Lay]])))-1))+1)))-1)</f>
        <v/>
      </c>
      <c r="Q45" s="46" t="str">
        <f>IF(LayTable[[#This Row],[Sport]]="","",LayTable[[#This Row],[BookieInnsats]]+LayTable[[#This Row],[LayLiability]])</f>
        <v/>
      </c>
      <c r="R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 s="47" t="str">
        <f>IF(LayTable[[#This Row],[Utfall bookie]]="","",LayTable[[#This Row],[WBABack]]+LayTable[[#This Row],[WBALay]]-LayTable[[#This Row],[Total inns]])</f>
        <v/>
      </c>
      <c r="U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 s="48" t="str">
        <f>IFERROR(IF(LayTable[[#This Row],[Total inns]]="","",LayTable[[#This Row],[Rback]]/LayTable[[#This Row],[Total inns]]),"")</f>
        <v/>
      </c>
      <c r="X45" s="48" t="str">
        <f>IFERROR(IF(LayTable[[#This Row],[Total inns]]="","",LayTable[[#This Row],[Rlay]]/LayTable[[#This Row],[Total inns]]),"")</f>
        <v/>
      </c>
      <c r="Y45" s="48" t="str">
        <f>IFERROR(LayTable[[#This Row],[Faktisk res]]/LayTable[[#This Row],[Total inns]],"")</f>
        <v/>
      </c>
      <c r="Z45" s="47">
        <f>(LayTable[[#This Row],[BookieInnsats]]*LayTable[[#This Row],[BookieOdds]]-LayTable[[#This Row],[BookieInnsats]])*(1-LayTable[[#This Row],[C% Bookie]])</f>
        <v>0</v>
      </c>
      <c r="AA45" s="43">
        <f>LayTable[[#This Row],[LayInnsats]]*(1-LayTable[[#This Row],[C% Lay]])</f>
        <v>0</v>
      </c>
      <c r="AB45" s="43">
        <f>IFERROR(IF(LayTable[[#This Row],[Sport]]="",AB44,LayTable[[#This Row],[Faktisk res]]+AB44),"")</f>
        <v>168.91219999999998</v>
      </c>
      <c r="AC45" s="43">
        <f>(LayTable[[#This Row],[BackWin-Commission]]+LayTable[[#This Row],[BookieInnsats]])</f>
        <v>0</v>
      </c>
      <c r="AD45" s="43" t="e">
        <f>(LayTable[[#This Row],[LayWin-Commission]])+LayTable[[#This Row],[LayLiability]]</f>
        <v>#VALUE!</v>
      </c>
      <c r="AE45" s="181"/>
      <c r="AF45" s="181"/>
    </row>
    <row r="46" spans="1:32">
      <c r="A46" s="183"/>
      <c r="B46" s="177"/>
      <c r="C46" s="178"/>
      <c r="D46" s="179"/>
      <c r="E46" s="178"/>
      <c r="F46" s="179"/>
      <c r="G46" s="183"/>
      <c r="H46" s="176"/>
      <c r="I46" s="180"/>
      <c r="J46" s="180"/>
      <c r="K46" s="181"/>
      <c r="L46" s="181"/>
      <c r="M46" s="44" t="str">
        <f>IF(LayTable[[#This Row],[Sport]]="","",LayTable[[#This Row],[LayInnsats]]*(LayTable[[#This Row],[LayOdds]]-1))</f>
        <v/>
      </c>
      <c r="N46" s="45" t="str">
        <f>IF(LayTable[[#This Row],[Sport]]="","",1/((1/LayTable[[#This Row],[BookieOdds]])+(1/((1/((1+((LayTable[[#This Row],[LayOdds]]-1)*(1+LayTable[[#This Row],[C% Lay]])))-1))+1)))-1)</f>
        <v/>
      </c>
      <c r="Q46" s="46" t="str">
        <f>IF(LayTable[[#This Row],[Sport]]="","",LayTable[[#This Row],[BookieInnsats]]+LayTable[[#This Row],[LayLiability]])</f>
        <v/>
      </c>
      <c r="R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 s="47" t="str">
        <f>IF(LayTable[[#This Row],[Utfall bookie]]="","",LayTable[[#This Row],[WBABack]]+LayTable[[#This Row],[WBALay]]-LayTable[[#This Row],[Total inns]])</f>
        <v/>
      </c>
      <c r="U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 s="48" t="str">
        <f>IFERROR(IF(LayTable[[#This Row],[Total inns]]="","",LayTable[[#This Row],[Rback]]/LayTable[[#This Row],[Total inns]]),"")</f>
        <v/>
      </c>
      <c r="X46" s="48" t="str">
        <f>IFERROR(IF(LayTable[[#This Row],[Total inns]]="","",LayTable[[#This Row],[Rlay]]/LayTable[[#This Row],[Total inns]]),"")</f>
        <v/>
      </c>
      <c r="Y46" s="48" t="str">
        <f>IFERROR(LayTable[[#This Row],[Faktisk res]]/LayTable[[#This Row],[Total inns]],"")</f>
        <v/>
      </c>
      <c r="Z46" s="47">
        <f>(LayTable[[#This Row],[BookieInnsats]]*LayTable[[#This Row],[BookieOdds]]-LayTable[[#This Row],[BookieInnsats]])*(1-LayTable[[#This Row],[C% Bookie]])</f>
        <v>0</v>
      </c>
      <c r="AA46" s="43">
        <f>LayTable[[#This Row],[LayInnsats]]*(1-LayTable[[#This Row],[C% Lay]])</f>
        <v>0</v>
      </c>
      <c r="AB46" s="43">
        <f>IFERROR(IF(LayTable[[#This Row],[Sport]]="",AB45,LayTable[[#This Row],[Faktisk res]]+AB45),"")</f>
        <v>168.91219999999998</v>
      </c>
      <c r="AC46" s="43">
        <f>(LayTable[[#This Row],[BackWin-Commission]]+LayTable[[#This Row],[BookieInnsats]])</f>
        <v>0</v>
      </c>
      <c r="AD46" s="43" t="e">
        <f>(LayTable[[#This Row],[LayWin-Commission]])+LayTable[[#This Row],[LayLiability]]</f>
        <v>#VALUE!</v>
      </c>
      <c r="AE46" s="181"/>
      <c r="AF46" s="181"/>
    </row>
    <row r="47" spans="1:32">
      <c r="A47" s="183"/>
      <c r="B47" s="177"/>
      <c r="C47" s="178"/>
      <c r="D47" s="179"/>
      <c r="E47" s="178"/>
      <c r="F47" s="179"/>
      <c r="G47" s="183"/>
      <c r="H47" s="176"/>
      <c r="I47" s="180"/>
      <c r="J47" s="180"/>
      <c r="K47" s="181"/>
      <c r="L47" s="181"/>
      <c r="M47" s="44" t="str">
        <f>IF(LayTable[[#This Row],[Sport]]="","",LayTable[[#This Row],[LayInnsats]]*(LayTable[[#This Row],[LayOdds]]-1))</f>
        <v/>
      </c>
      <c r="N47" s="45" t="str">
        <f>IF(LayTable[[#This Row],[Sport]]="","",1/((1/LayTable[[#This Row],[BookieOdds]])+(1/((1/((1+((LayTable[[#This Row],[LayOdds]]-1)*(1+LayTable[[#This Row],[C% Lay]])))-1))+1)))-1)</f>
        <v/>
      </c>
      <c r="Q47" s="46" t="str">
        <f>IF(LayTable[[#This Row],[Sport]]="","",LayTable[[#This Row],[BookieInnsats]]+LayTable[[#This Row],[LayLiability]])</f>
        <v/>
      </c>
      <c r="R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 s="47" t="str">
        <f>IF(LayTable[[#This Row],[Utfall bookie]]="","",LayTable[[#This Row],[WBABack]]+LayTable[[#This Row],[WBALay]]-LayTable[[#This Row],[Total inns]])</f>
        <v/>
      </c>
      <c r="U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 s="48" t="str">
        <f>IFERROR(IF(LayTable[[#This Row],[Total inns]]="","",LayTable[[#This Row],[Rback]]/LayTable[[#This Row],[Total inns]]),"")</f>
        <v/>
      </c>
      <c r="X47" s="48" t="str">
        <f>IFERROR(IF(LayTable[[#This Row],[Total inns]]="","",LayTable[[#This Row],[Rlay]]/LayTable[[#This Row],[Total inns]]),"")</f>
        <v/>
      </c>
      <c r="Y47" s="48" t="str">
        <f>IFERROR(LayTable[[#This Row],[Faktisk res]]/LayTable[[#This Row],[Total inns]],"")</f>
        <v/>
      </c>
      <c r="Z47" s="47">
        <f>(LayTable[[#This Row],[BookieInnsats]]*LayTable[[#This Row],[BookieOdds]]-LayTable[[#This Row],[BookieInnsats]])*(1-LayTable[[#This Row],[C% Bookie]])</f>
        <v>0</v>
      </c>
      <c r="AA47" s="43">
        <f>LayTable[[#This Row],[LayInnsats]]*(1-LayTable[[#This Row],[C% Lay]])</f>
        <v>0</v>
      </c>
      <c r="AB47" s="43">
        <f>IFERROR(IF(LayTable[[#This Row],[Sport]]="",AB46,LayTable[[#This Row],[Faktisk res]]+AB46),"")</f>
        <v>168.91219999999998</v>
      </c>
      <c r="AC47" s="43">
        <f>(LayTable[[#This Row],[BackWin-Commission]]+LayTable[[#This Row],[BookieInnsats]])</f>
        <v>0</v>
      </c>
      <c r="AD47" s="43" t="e">
        <f>(LayTable[[#This Row],[LayWin-Commission]])+LayTable[[#This Row],[LayLiability]]</f>
        <v>#VALUE!</v>
      </c>
      <c r="AE47" s="181"/>
      <c r="AF47" s="181"/>
    </row>
    <row r="48" spans="1:32">
      <c r="A48" s="183"/>
      <c r="B48" s="177"/>
      <c r="C48" s="178"/>
      <c r="D48" s="179"/>
      <c r="E48" s="178"/>
      <c r="F48" s="179"/>
      <c r="G48" s="183"/>
      <c r="H48" s="176"/>
      <c r="I48" s="180"/>
      <c r="J48" s="180"/>
      <c r="K48" s="181"/>
      <c r="L48" s="181"/>
      <c r="M48" s="44" t="str">
        <f>IF(LayTable[[#This Row],[Sport]]="","",LayTable[[#This Row],[LayInnsats]]*(LayTable[[#This Row],[LayOdds]]-1))</f>
        <v/>
      </c>
      <c r="N48" s="45" t="str">
        <f>IF(LayTable[[#This Row],[Sport]]="","",1/((1/LayTable[[#This Row],[BookieOdds]])+(1/((1/((1+((LayTable[[#This Row],[LayOdds]]-1)*(1+LayTable[[#This Row],[C% Lay]])))-1))+1)))-1)</f>
        <v/>
      </c>
      <c r="Q48" s="46" t="str">
        <f>IF(LayTable[[#This Row],[Sport]]="","",LayTable[[#This Row],[BookieInnsats]]+LayTable[[#This Row],[LayLiability]])</f>
        <v/>
      </c>
      <c r="R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 s="47" t="str">
        <f>IF(LayTable[[#This Row],[Utfall bookie]]="","",LayTable[[#This Row],[WBABack]]+LayTable[[#This Row],[WBALay]]-LayTable[[#This Row],[Total inns]])</f>
        <v/>
      </c>
      <c r="U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 s="48" t="str">
        <f>IFERROR(IF(LayTable[[#This Row],[Total inns]]="","",LayTable[[#This Row],[Rback]]/LayTable[[#This Row],[Total inns]]),"")</f>
        <v/>
      </c>
      <c r="X48" s="48" t="str">
        <f>IFERROR(IF(LayTable[[#This Row],[Total inns]]="","",LayTable[[#This Row],[Rlay]]/LayTable[[#This Row],[Total inns]]),"")</f>
        <v/>
      </c>
      <c r="Y48" s="48" t="str">
        <f>IFERROR(LayTable[[#This Row],[Faktisk res]]/LayTable[[#This Row],[Total inns]],"")</f>
        <v/>
      </c>
      <c r="Z48" s="47">
        <f>(LayTable[[#This Row],[BookieInnsats]]*LayTable[[#This Row],[BookieOdds]]-LayTable[[#This Row],[BookieInnsats]])*(1-LayTable[[#This Row],[C% Bookie]])</f>
        <v>0</v>
      </c>
      <c r="AA48" s="43">
        <f>LayTable[[#This Row],[LayInnsats]]*(1-LayTable[[#This Row],[C% Lay]])</f>
        <v>0</v>
      </c>
      <c r="AB48" s="43">
        <f>IFERROR(IF(LayTable[[#This Row],[Sport]]="",AB47,LayTable[[#This Row],[Faktisk res]]+AB47),"")</f>
        <v>168.91219999999998</v>
      </c>
      <c r="AC48" s="43">
        <f>(LayTable[[#This Row],[BackWin-Commission]]+LayTable[[#This Row],[BookieInnsats]])</f>
        <v>0</v>
      </c>
      <c r="AD48" s="43" t="e">
        <f>(LayTable[[#This Row],[LayWin-Commission]])+LayTable[[#This Row],[LayLiability]]</f>
        <v>#VALUE!</v>
      </c>
      <c r="AE48" s="181"/>
      <c r="AF48" s="181"/>
    </row>
    <row r="49" spans="1:32">
      <c r="A49" s="183"/>
      <c r="B49" s="177"/>
      <c r="C49" s="178"/>
      <c r="D49" s="179"/>
      <c r="E49" s="178"/>
      <c r="F49" s="179"/>
      <c r="G49" s="183"/>
      <c r="H49" s="176"/>
      <c r="I49" s="180"/>
      <c r="J49" s="180"/>
      <c r="K49" s="181"/>
      <c r="L49" s="181"/>
      <c r="M49" s="44" t="str">
        <f>IF(LayTable[[#This Row],[Sport]]="","",LayTable[[#This Row],[LayInnsats]]*(LayTable[[#This Row],[LayOdds]]-1))</f>
        <v/>
      </c>
      <c r="N49" s="45" t="str">
        <f>IF(LayTable[[#This Row],[Sport]]="","",1/((1/LayTable[[#This Row],[BookieOdds]])+(1/((1/((1+((LayTable[[#This Row],[LayOdds]]-1)*(1+LayTable[[#This Row],[C% Lay]])))-1))+1)))-1)</f>
        <v/>
      </c>
      <c r="Q49" s="46" t="str">
        <f>IF(LayTable[[#This Row],[Sport]]="","",LayTable[[#This Row],[BookieInnsats]]+LayTable[[#This Row],[LayLiability]])</f>
        <v/>
      </c>
      <c r="R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 s="47" t="str">
        <f>IF(LayTable[[#This Row],[Utfall bookie]]="","",LayTable[[#This Row],[WBABack]]+LayTable[[#This Row],[WBALay]]-LayTable[[#This Row],[Total inns]])</f>
        <v/>
      </c>
      <c r="U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 s="48" t="str">
        <f>IFERROR(IF(LayTable[[#This Row],[Total inns]]="","",LayTable[[#This Row],[Rback]]/LayTable[[#This Row],[Total inns]]),"")</f>
        <v/>
      </c>
      <c r="X49" s="48" t="str">
        <f>IFERROR(IF(LayTable[[#This Row],[Total inns]]="","",LayTable[[#This Row],[Rlay]]/LayTable[[#This Row],[Total inns]]),"")</f>
        <v/>
      </c>
      <c r="Y49" s="48" t="str">
        <f>IFERROR(LayTable[[#This Row],[Faktisk res]]/LayTable[[#This Row],[Total inns]],"")</f>
        <v/>
      </c>
      <c r="Z49" s="47">
        <f>(LayTable[[#This Row],[BookieInnsats]]*LayTable[[#This Row],[BookieOdds]]-LayTable[[#This Row],[BookieInnsats]])*(1-LayTable[[#This Row],[C% Bookie]])</f>
        <v>0</v>
      </c>
      <c r="AA49" s="43">
        <f>LayTable[[#This Row],[LayInnsats]]*(1-LayTable[[#This Row],[C% Lay]])</f>
        <v>0</v>
      </c>
      <c r="AB49" s="43">
        <f>IFERROR(IF(LayTable[[#This Row],[Sport]]="",AB48,LayTable[[#This Row],[Faktisk res]]+AB48),"")</f>
        <v>168.91219999999998</v>
      </c>
      <c r="AC49" s="43">
        <f>(LayTable[[#This Row],[BackWin-Commission]]+LayTable[[#This Row],[BookieInnsats]])</f>
        <v>0</v>
      </c>
      <c r="AD49" s="43" t="e">
        <f>(LayTable[[#This Row],[LayWin-Commission]])+LayTable[[#This Row],[LayLiability]]</f>
        <v>#VALUE!</v>
      </c>
      <c r="AE49" s="181"/>
      <c r="AF49" s="181"/>
    </row>
    <row r="50" spans="1:32">
      <c r="A50" s="183"/>
      <c r="B50" s="177"/>
      <c r="C50" s="178"/>
      <c r="D50" s="179"/>
      <c r="E50" s="178"/>
      <c r="F50" s="179"/>
      <c r="G50" s="183"/>
      <c r="H50" s="176"/>
      <c r="I50" s="180"/>
      <c r="J50" s="180"/>
      <c r="K50" s="181"/>
      <c r="L50" s="181"/>
      <c r="M50" s="44" t="str">
        <f>IF(LayTable[[#This Row],[Sport]]="","",LayTable[[#This Row],[LayInnsats]]*(LayTable[[#This Row],[LayOdds]]-1))</f>
        <v/>
      </c>
      <c r="N50" s="45" t="str">
        <f>IF(LayTable[[#This Row],[Sport]]="","",1/((1/LayTable[[#This Row],[BookieOdds]])+(1/((1/((1+((LayTable[[#This Row],[LayOdds]]-1)*(1+LayTable[[#This Row],[C% Lay]])))-1))+1)))-1)</f>
        <v/>
      </c>
      <c r="Q50" s="46" t="str">
        <f>IF(LayTable[[#This Row],[Sport]]="","",LayTable[[#This Row],[BookieInnsats]]+LayTable[[#This Row],[LayLiability]])</f>
        <v/>
      </c>
      <c r="R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 s="47" t="str">
        <f>IF(LayTable[[#This Row],[Utfall bookie]]="","",LayTable[[#This Row],[WBABack]]+LayTable[[#This Row],[WBALay]]-LayTable[[#This Row],[Total inns]])</f>
        <v/>
      </c>
      <c r="U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 s="48" t="str">
        <f>IFERROR(IF(LayTable[[#This Row],[Total inns]]="","",LayTable[[#This Row],[Rback]]/LayTable[[#This Row],[Total inns]]),"")</f>
        <v/>
      </c>
      <c r="X50" s="48" t="str">
        <f>IFERROR(IF(LayTable[[#This Row],[Total inns]]="","",LayTable[[#This Row],[Rlay]]/LayTable[[#This Row],[Total inns]]),"")</f>
        <v/>
      </c>
      <c r="Y50" s="48" t="str">
        <f>IFERROR(LayTable[[#This Row],[Faktisk res]]/LayTable[[#This Row],[Total inns]],"")</f>
        <v/>
      </c>
      <c r="Z50" s="47">
        <f>(LayTable[[#This Row],[BookieInnsats]]*LayTable[[#This Row],[BookieOdds]]-LayTable[[#This Row],[BookieInnsats]])*(1-LayTable[[#This Row],[C% Bookie]])</f>
        <v>0</v>
      </c>
      <c r="AA50" s="43">
        <f>LayTable[[#This Row],[LayInnsats]]*(1-LayTable[[#This Row],[C% Lay]])</f>
        <v>0</v>
      </c>
      <c r="AB50" s="43">
        <f>IFERROR(IF(LayTable[[#This Row],[Sport]]="",AB49,LayTable[[#This Row],[Faktisk res]]+AB49),"")</f>
        <v>168.91219999999998</v>
      </c>
      <c r="AC50" s="43">
        <f>(LayTable[[#This Row],[BackWin-Commission]]+LayTable[[#This Row],[BookieInnsats]])</f>
        <v>0</v>
      </c>
      <c r="AD50" s="43" t="e">
        <f>(LayTable[[#This Row],[LayWin-Commission]])+LayTable[[#This Row],[LayLiability]]</f>
        <v>#VALUE!</v>
      </c>
      <c r="AE50" s="181"/>
      <c r="AF50" s="181"/>
    </row>
    <row r="51" spans="1:32">
      <c r="A51" s="183"/>
      <c r="B51" s="177"/>
      <c r="C51" s="178"/>
      <c r="D51" s="179"/>
      <c r="E51" s="178"/>
      <c r="F51" s="179"/>
      <c r="G51" s="183"/>
      <c r="H51" s="176"/>
      <c r="I51" s="180"/>
      <c r="J51" s="180"/>
      <c r="K51" s="181"/>
      <c r="L51" s="181"/>
      <c r="M51" s="44" t="str">
        <f>IF(LayTable[[#This Row],[Sport]]="","",LayTable[[#This Row],[LayInnsats]]*(LayTable[[#This Row],[LayOdds]]-1))</f>
        <v/>
      </c>
      <c r="N51" s="45" t="str">
        <f>IF(LayTable[[#This Row],[Sport]]="","",1/((1/LayTable[[#This Row],[BookieOdds]])+(1/((1/((1+((LayTable[[#This Row],[LayOdds]]-1)*(1+LayTable[[#This Row],[C% Lay]])))-1))+1)))-1)</f>
        <v/>
      </c>
      <c r="Q51" s="46" t="str">
        <f>IF(LayTable[[#This Row],[Sport]]="","",LayTable[[#This Row],[BookieInnsats]]+LayTable[[#This Row],[LayLiability]])</f>
        <v/>
      </c>
      <c r="R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 s="47" t="str">
        <f>IF(LayTable[[#This Row],[Utfall bookie]]="","",LayTable[[#This Row],[WBABack]]+LayTable[[#This Row],[WBALay]]-LayTable[[#This Row],[Total inns]])</f>
        <v/>
      </c>
      <c r="U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 s="48" t="str">
        <f>IFERROR(IF(LayTable[[#This Row],[Total inns]]="","",LayTable[[#This Row],[Rback]]/LayTable[[#This Row],[Total inns]]),"")</f>
        <v/>
      </c>
      <c r="X51" s="48" t="str">
        <f>IFERROR(IF(LayTable[[#This Row],[Total inns]]="","",LayTable[[#This Row],[Rlay]]/LayTable[[#This Row],[Total inns]]),"")</f>
        <v/>
      </c>
      <c r="Y51" s="48" t="str">
        <f>IFERROR(LayTable[[#This Row],[Faktisk res]]/LayTable[[#This Row],[Total inns]],"")</f>
        <v/>
      </c>
      <c r="Z51" s="47">
        <f>(LayTable[[#This Row],[BookieInnsats]]*LayTable[[#This Row],[BookieOdds]]-LayTable[[#This Row],[BookieInnsats]])*(1-LayTable[[#This Row],[C% Bookie]])</f>
        <v>0</v>
      </c>
      <c r="AA51" s="43">
        <f>LayTable[[#This Row],[LayInnsats]]*(1-LayTable[[#This Row],[C% Lay]])</f>
        <v>0</v>
      </c>
      <c r="AB51" s="43">
        <f>IFERROR(IF(LayTable[[#This Row],[Sport]]="",AB50,LayTable[[#This Row],[Faktisk res]]+AB50),"")</f>
        <v>168.91219999999998</v>
      </c>
      <c r="AC51" s="43">
        <f>(LayTable[[#This Row],[BackWin-Commission]]+LayTable[[#This Row],[BookieInnsats]])</f>
        <v>0</v>
      </c>
      <c r="AD51" s="43" t="e">
        <f>(LayTable[[#This Row],[LayWin-Commission]])+LayTable[[#This Row],[LayLiability]]</f>
        <v>#VALUE!</v>
      </c>
      <c r="AE51" s="181"/>
      <c r="AF51" s="181"/>
    </row>
    <row r="52" spans="1:32">
      <c r="A52" s="183"/>
      <c r="B52" s="177"/>
      <c r="C52" s="178"/>
      <c r="D52" s="179"/>
      <c r="E52" s="178"/>
      <c r="F52" s="179"/>
      <c r="G52" s="183"/>
      <c r="H52" s="176"/>
      <c r="I52" s="180"/>
      <c r="J52" s="180"/>
      <c r="K52" s="181"/>
      <c r="L52" s="181"/>
      <c r="M52" s="44" t="str">
        <f>IF(LayTable[[#This Row],[Sport]]="","",LayTable[[#This Row],[LayInnsats]]*(LayTable[[#This Row],[LayOdds]]-1))</f>
        <v/>
      </c>
      <c r="N52" s="45" t="str">
        <f>IF(LayTable[[#This Row],[Sport]]="","",1/((1/LayTable[[#This Row],[BookieOdds]])+(1/((1/((1+((LayTable[[#This Row],[LayOdds]]-1)*(1+LayTable[[#This Row],[C% Lay]])))-1))+1)))-1)</f>
        <v/>
      </c>
      <c r="Q52" s="46" t="str">
        <f>IF(LayTable[[#This Row],[Sport]]="","",LayTable[[#This Row],[BookieInnsats]]+LayTable[[#This Row],[LayLiability]])</f>
        <v/>
      </c>
      <c r="R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 s="47" t="str">
        <f>IF(LayTable[[#This Row],[Utfall bookie]]="","",LayTable[[#This Row],[WBABack]]+LayTable[[#This Row],[WBALay]]-LayTable[[#This Row],[Total inns]])</f>
        <v/>
      </c>
      <c r="U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 s="48" t="str">
        <f>IFERROR(IF(LayTable[[#This Row],[Total inns]]="","",LayTable[[#This Row],[Rback]]/LayTable[[#This Row],[Total inns]]),"")</f>
        <v/>
      </c>
      <c r="X52" s="48" t="str">
        <f>IFERROR(IF(LayTable[[#This Row],[Total inns]]="","",LayTable[[#This Row],[Rlay]]/LayTable[[#This Row],[Total inns]]),"")</f>
        <v/>
      </c>
      <c r="Y52" s="48" t="str">
        <f>IFERROR(LayTable[[#This Row],[Faktisk res]]/LayTable[[#This Row],[Total inns]],"")</f>
        <v/>
      </c>
      <c r="Z52" s="47">
        <f>(LayTable[[#This Row],[BookieInnsats]]*LayTable[[#This Row],[BookieOdds]]-LayTable[[#This Row],[BookieInnsats]])*(1-LayTable[[#This Row],[C% Bookie]])</f>
        <v>0</v>
      </c>
      <c r="AA52" s="43">
        <f>LayTable[[#This Row],[LayInnsats]]*(1-LayTable[[#This Row],[C% Lay]])</f>
        <v>0</v>
      </c>
      <c r="AB52" s="43">
        <f>IFERROR(IF(LayTable[[#This Row],[Sport]]="",AB51,LayTable[[#This Row],[Faktisk res]]+AB51),"")</f>
        <v>168.91219999999998</v>
      </c>
      <c r="AC52" s="43">
        <f>(LayTable[[#This Row],[BackWin-Commission]]+LayTable[[#This Row],[BookieInnsats]])</f>
        <v>0</v>
      </c>
      <c r="AD52" s="43" t="e">
        <f>(LayTable[[#This Row],[LayWin-Commission]])+LayTable[[#This Row],[LayLiability]]</f>
        <v>#VALUE!</v>
      </c>
      <c r="AE52" s="181"/>
      <c r="AF52" s="181"/>
    </row>
    <row r="53" spans="1:32">
      <c r="A53" s="183"/>
      <c r="B53" s="177"/>
      <c r="C53" s="178"/>
      <c r="D53" s="179"/>
      <c r="E53" s="178"/>
      <c r="F53" s="179"/>
      <c r="G53" s="183"/>
      <c r="H53" s="176"/>
      <c r="I53" s="180"/>
      <c r="J53" s="180"/>
      <c r="K53" s="181"/>
      <c r="L53" s="181"/>
      <c r="M53" s="44" t="str">
        <f>IF(LayTable[[#This Row],[Sport]]="","",LayTable[[#This Row],[LayInnsats]]*(LayTable[[#This Row],[LayOdds]]-1))</f>
        <v/>
      </c>
      <c r="N53" s="45" t="str">
        <f>IF(LayTable[[#This Row],[Sport]]="","",1/((1/LayTable[[#This Row],[BookieOdds]])+(1/((1/((1+((LayTable[[#This Row],[LayOdds]]-1)*(1+LayTable[[#This Row],[C% Lay]])))-1))+1)))-1)</f>
        <v/>
      </c>
      <c r="Q53" s="46" t="str">
        <f>IF(LayTable[[#This Row],[Sport]]="","",LayTable[[#This Row],[BookieInnsats]]+LayTable[[#This Row],[LayLiability]])</f>
        <v/>
      </c>
      <c r="R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 s="47" t="str">
        <f>IF(LayTable[[#This Row],[Utfall bookie]]="","",LayTable[[#This Row],[WBABack]]+LayTable[[#This Row],[WBALay]]-LayTable[[#This Row],[Total inns]])</f>
        <v/>
      </c>
      <c r="U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 s="48" t="str">
        <f>IFERROR(IF(LayTable[[#This Row],[Total inns]]="","",LayTable[[#This Row],[Rback]]/LayTable[[#This Row],[Total inns]]),"")</f>
        <v/>
      </c>
      <c r="X53" s="48" t="str">
        <f>IFERROR(IF(LayTable[[#This Row],[Total inns]]="","",LayTable[[#This Row],[Rlay]]/LayTable[[#This Row],[Total inns]]),"")</f>
        <v/>
      </c>
      <c r="Y53" s="48" t="str">
        <f>IFERROR(LayTable[[#This Row],[Faktisk res]]/LayTable[[#This Row],[Total inns]],"")</f>
        <v/>
      </c>
      <c r="Z53" s="47">
        <f>(LayTable[[#This Row],[BookieInnsats]]*LayTable[[#This Row],[BookieOdds]]-LayTable[[#This Row],[BookieInnsats]])*(1-LayTable[[#This Row],[C% Bookie]])</f>
        <v>0</v>
      </c>
      <c r="AA53" s="43">
        <f>LayTable[[#This Row],[LayInnsats]]*(1-LayTable[[#This Row],[C% Lay]])</f>
        <v>0</v>
      </c>
      <c r="AB53" s="43">
        <f>IFERROR(IF(LayTable[[#This Row],[Sport]]="",AB52,LayTable[[#This Row],[Faktisk res]]+AB52),"")</f>
        <v>168.91219999999998</v>
      </c>
      <c r="AC53" s="43">
        <f>(LayTable[[#This Row],[BackWin-Commission]]+LayTable[[#This Row],[BookieInnsats]])</f>
        <v>0</v>
      </c>
      <c r="AD53" s="43" t="e">
        <f>(LayTable[[#This Row],[LayWin-Commission]])+LayTable[[#This Row],[LayLiability]]</f>
        <v>#VALUE!</v>
      </c>
      <c r="AE53" s="181"/>
      <c r="AF53" s="181"/>
    </row>
    <row r="54" spans="1:32">
      <c r="A54" s="183"/>
      <c r="B54" s="177"/>
      <c r="C54" s="178"/>
      <c r="D54" s="179"/>
      <c r="E54" s="178"/>
      <c r="F54" s="179"/>
      <c r="G54" s="183"/>
      <c r="H54" s="176"/>
      <c r="I54" s="180"/>
      <c r="J54" s="180"/>
      <c r="K54" s="181"/>
      <c r="L54" s="181"/>
      <c r="M54" s="44" t="str">
        <f>IF(LayTable[[#This Row],[Sport]]="","",LayTable[[#This Row],[LayInnsats]]*(LayTable[[#This Row],[LayOdds]]-1))</f>
        <v/>
      </c>
      <c r="N54" s="45" t="str">
        <f>IF(LayTable[[#This Row],[Sport]]="","",1/((1/LayTable[[#This Row],[BookieOdds]])+(1/((1/((1+((LayTable[[#This Row],[LayOdds]]-1)*(1+LayTable[[#This Row],[C% Lay]])))-1))+1)))-1)</f>
        <v/>
      </c>
      <c r="Q54" s="46" t="str">
        <f>IF(LayTable[[#This Row],[Sport]]="","",LayTable[[#This Row],[BookieInnsats]]+LayTable[[#This Row],[LayLiability]])</f>
        <v/>
      </c>
      <c r="R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 s="47" t="str">
        <f>IF(LayTable[[#This Row],[Utfall bookie]]="","",LayTable[[#This Row],[WBABack]]+LayTable[[#This Row],[WBALay]]-LayTable[[#This Row],[Total inns]])</f>
        <v/>
      </c>
      <c r="U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 s="48" t="str">
        <f>IFERROR(IF(LayTable[[#This Row],[Total inns]]="","",LayTable[[#This Row],[Rback]]/LayTable[[#This Row],[Total inns]]),"")</f>
        <v/>
      </c>
      <c r="X54" s="48" t="str">
        <f>IFERROR(IF(LayTable[[#This Row],[Total inns]]="","",LayTable[[#This Row],[Rlay]]/LayTable[[#This Row],[Total inns]]),"")</f>
        <v/>
      </c>
      <c r="Y54" s="48" t="str">
        <f>IFERROR(LayTable[[#This Row],[Faktisk res]]/LayTable[[#This Row],[Total inns]],"")</f>
        <v/>
      </c>
      <c r="Z54" s="47">
        <f>(LayTable[[#This Row],[BookieInnsats]]*LayTable[[#This Row],[BookieOdds]]-LayTable[[#This Row],[BookieInnsats]])*(1-LayTable[[#This Row],[C% Bookie]])</f>
        <v>0</v>
      </c>
      <c r="AA54" s="43">
        <f>LayTable[[#This Row],[LayInnsats]]*(1-LayTable[[#This Row],[C% Lay]])</f>
        <v>0</v>
      </c>
      <c r="AB54" s="43">
        <f>IFERROR(IF(LayTable[[#This Row],[Sport]]="",AB53,LayTable[[#This Row],[Faktisk res]]+AB53),"")</f>
        <v>168.91219999999998</v>
      </c>
      <c r="AC54" s="43">
        <f>(LayTable[[#This Row],[BackWin-Commission]]+LayTable[[#This Row],[BookieInnsats]])</f>
        <v>0</v>
      </c>
      <c r="AD54" s="43" t="e">
        <f>(LayTable[[#This Row],[LayWin-Commission]])+LayTable[[#This Row],[LayLiability]]</f>
        <v>#VALUE!</v>
      </c>
      <c r="AE54" s="181"/>
      <c r="AF54" s="181"/>
    </row>
    <row r="55" spans="1:32">
      <c r="A55" s="183"/>
      <c r="B55" s="177"/>
      <c r="C55" s="178"/>
      <c r="D55" s="179"/>
      <c r="E55" s="178"/>
      <c r="F55" s="179"/>
      <c r="G55" s="183"/>
      <c r="H55" s="176"/>
      <c r="I55" s="180"/>
      <c r="J55" s="180"/>
      <c r="K55" s="181"/>
      <c r="L55" s="181"/>
      <c r="M55" s="44" t="str">
        <f>IF(LayTable[[#This Row],[Sport]]="","",LayTable[[#This Row],[LayInnsats]]*(LayTable[[#This Row],[LayOdds]]-1))</f>
        <v/>
      </c>
      <c r="N55" s="45" t="str">
        <f>IF(LayTable[[#This Row],[Sport]]="","",1/((1/LayTable[[#This Row],[BookieOdds]])+(1/((1/((1+((LayTable[[#This Row],[LayOdds]]-1)*(1+LayTable[[#This Row],[C% Lay]])))-1))+1)))-1)</f>
        <v/>
      </c>
      <c r="Q55" s="46" t="str">
        <f>IF(LayTable[[#This Row],[Sport]]="","",LayTable[[#This Row],[BookieInnsats]]+LayTable[[#This Row],[LayLiability]])</f>
        <v/>
      </c>
      <c r="R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 s="47" t="str">
        <f>IF(LayTable[[#This Row],[Utfall bookie]]="","",LayTable[[#This Row],[WBABack]]+LayTable[[#This Row],[WBALay]]-LayTable[[#This Row],[Total inns]])</f>
        <v/>
      </c>
      <c r="U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 s="48" t="str">
        <f>IFERROR(IF(LayTable[[#This Row],[Total inns]]="","",LayTable[[#This Row],[Rback]]/LayTable[[#This Row],[Total inns]]),"")</f>
        <v/>
      </c>
      <c r="X55" s="48" t="str">
        <f>IFERROR(IF(LayTable[[#This Row],[Total inns]]="","",LayTable[[#This Row],[Rlay]]/LayTable[[#This Row],[Total inns]]),"")</f>
        <v/>
      </c>
      <c r="Y55" s="48" t="str">
        <f>IFERROR(LayTable[[#This Row],[Faktisk res]]/LayTable[[#This Row],[Total inns]],"")</f>
        <v/>
      </c>
      <c r="Z55" s="47">
        <f>(LayTable[[#This Row],[BookieInnsats]]*LayTable[[#This Row],[BookieOdds]]-LayTable[[#This Row],[BookieInnsats]])*(1-LayTable[[#This Row],[C% Bookie]])</f>
        <v>0</v>
      </c>
      <c r="AA55" s="43">
        <f>LayTable[[#This Row],[LayInnsats]]*(1-LayTable[[#This Row],[C% Lay]])</f>
        <v>0</v>
      </c>
      <c r="AB55" s="43">
        <f>IFERROR(IF(LayTable[[#This Row],[Sport]]="",AB54,LayTable[[#This Row],[Faktisk res]]+AB54),"")</f>
        <v>168.91219999999998</v>
      </c>
      <c r="AC55" s="43">
        <f>(LayTable[[#This Row],[BackWin-Commission]]+LayTable[[#This Row],[BookieInnsats]])</f>
        <v>0</v>
      </c>
      <c r="AD55" s="43" t="e">
        <f>(LayTable[[#This Row],[LayWin-Commission]])+LayTable[[#This Row],[LayLiability]]</f>
        <v>#VALUE!</v>
      </c>
      <c r="AE55" s="181"/>
      <c r="AF55" s="181"/>
    </row>
    <row r="56" spans="1:32">
      <c r="A56" s="183"/>
      <c r="B56" s="177"/>
      <c r="C56" s="178"/>
      <c r="D56" s="179"/>
      <c r="E56" s="178"/>
      <c r="F56" s="179"/>
      <c r="G56" s="183"/>
      <c r="H56" s="176"/>
      <c r="I56" s="180"/>
      <c r="J56" s="180"/>
      <c r="K56" s="181"/>
      <c r="L56" s="181"/>
      <c r="M56" s="44" t="str">
        <f>IF(LayTable[[#This Row],[Sport]]="","",LayTable[[#This Row],[LayInnsats]]*(LayTable[[#This Row],[LayOdds]]-1))</f>
        <v/>
      </c>
      <c r="N56" s="45" t="str">
        <f>IF(LayTable[[#This Row],[Sport]]="","",1/((1/LayTable[[#This Row],[BookieOdds]])+(1/((1/((1+((LayTable[[#This Row],[LayOdds]]-1)*(1+LayTable[[#This Row],[C% Lay]])))-1))+1)))-1)</f>
        <v/>
      </c>
      <c r="Q56" s="46" t="str">
        <f>IF(LayTable[[#This Row],[Sport]]="","",LayTable[[#This Row],[BookieInnsats]]+LayTable[[#This Row],[LayLiability]])</f>
        <v/>
      </c>
      <c r="R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 s="47" t="str">
        <f>IF(LayTable[[#This Row],[Utfall bookie]]="","",LayTable[[#This Row],[WBABack]]+LayTable[[#This Row],[WBALay]]-LayTable[[#This Row],[Total inns]])</f>
        <v/>
      </c>
      <c r="U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 s="48" t="str">
        <f>IFERROR(IF(LayTable[[#This Row],[Total inns]]="","",LayTable[[#This Row],[Rback]]/LayTable[[#This Row],[Total inns]]),"")</f>
        <v/>
      </c>
      <c r="X56" s="48" t="str">
        <f>IFERROR(IF(LayTable[[#This Row],[Total inns]]="","",LayTable[[#This Row],[Rlay]]/LayTable[[#This Row],[Total inns]]),"")</f>
        <v/>
      </c>
      <c r="Y56" s="48" t="str">
        <f>IFERROR(LayTable[[#This Row],[Faktisk res]]/LayTable[[#This Row],[Total inns]],"")</f>
        <v/>
      </c>
      <c r="Z56" s="47">
        <f>(LayTable[[#This Row],[BookieInnsats]]*LayTable[[#This Row],[BookieOdds]]-LayTable[[#This Row],[BookieInnsats]])*(1-LayTable[[#This Row],[C% Bookie]])</f>
        <v>0</v>
      </c>
      <c r="AA56" s="43">
        <f>LayTable[[#This Row],[LayInnsats]]*(1-LayTable[[#This Row],[C% Lay]])</f>
        <v>0</v>
      </c>
      <c r="AB56" s="43">
        <f>IFERROR(IF(LayTable[[#This Row],[Sport]]="",AB55,LayTable[[#This Row],[Faktisk res]]+AB55),"")</f>
        <v>168.91219999999998</v>
      </c>
      <c r="AC56" s="43">
        <f>(LayTable[[#This Row],[BackWin-Commission]]+LayTable[[#This Row],[BookieInnsats]])</f>
        <v>0</v>
      </c>
      <c r="AD56" s="43" t="e">
        <f>(LayTable[[#This Row],[LayWin-Commission]])+LayTable[[#This Row],[LayLiability]]</f>
        <v>#VALUE!</v>
      </c>
      <c r="AE56" s="181"/>
      <c r="AF56" s="181"/>
    </row>
    <row r="57" spans="1:32">
      <c r="A57" s="183"/>
      <c r="B57" s="177"/>
      <c r="C57" s="178"/>
      <c r="D57" s="179"/>
      <c r="E57" s="178"/>
      <c r="F57" s="179"/>
      <c r="G57" s="183"/>
      <c r="H57" s="176"/>
      <c r="I57" s="180"/>
      <c r="J57" s="180"/>
      <c r="K57" s="181"/>
      <c r="L57" s="181"/>
      <c r="M57" s="44" t="str">
        <f>IF(LayTable[[#This Row],[Sport]]="","",LayTable[[#This Row],[LayInnsats]]*(LayTable[[#This Row],[LayOdds]]-1))</f>
        <v/>
      </c>
      <c r="N57" s="45" t="str">
        <f>IF(LayTable[[#This Row],[Sport]]="","",1/((1/LayTable[[#This Row],[BookieOdds]])+(1/((1/((1+((LayTable[[#This Row],[LayOdds]]-1)*(1+LayTable[[#This Row],[C% Lay]])))-1))+1)))-1)</f>
        <v/>
      </c>
      <c r="Q57" s="46" t="str">
        <f>IF(LayTable[[#This Row],[Sport]]="","",LayTable[[#This Row],[BookieInnsats]]+LayTable[[#This Row],[LayLiability]])</f>
        <v/>
      </c>
      <c r="R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 s="47" t="str">
        <f>IF(LayTable[[#This Row],[Utfall bookie]]="","",LayTable[[#This Row],[WBABack]]+LayTable[[#This Row],[WBALay]]-LayTable[[#This Row],[Total inns]])</f>
        <v/>
      </c>
      <c r="U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 s="48" t="str">
        <f>IFERROR(IF(LayTable[[#This Row],[Total inns]]="","",LayTable[[#This Row],[Rback]]/LayTable[[#This Row],[Total inns]]),"")</f>
        <v/>
      </c>
      <c r="X57" s="48" t="str">
        <f>IFERROR(IF(LayTable[[#This Row],[Total inns]]="","",LayTable[[#This Row],[Rlay]]/LayTable[[#This Row],[Total inns]]),"")</f>
        <v/>
      </c>
      <c r="Y57" s="48" t="str">
        <f>IFERROR(LayTable[[#This Row],[Faktisk res]]/LayTable[[#This Row],[Total inns]],"")</f>
        <v/>
      </c>
      <c r="Z57" s="47">
        <f>(LayTable[[#This Row],[BookieInnsats]]*LayTable[[#This Row],[BookieOdds]]-LayTable[[#This Row],[BookieInnsats]])*(1-LayTable[[#This Row],[C% Bookie]])</f>
        <v>0</v>
      </c>
      <c r="AA57" s="43">
        <f>LayTable[[#This Row],[LayInnsats]]*(1-LayTable[[#This Row],[C% Lay]])</f>
        <v>0</v>
      </c>
      <c r="AB57" s="43">
        <f>IFERROR(IF(LayTable[[#This Row],[Sport]]="",AB56,LayTable[[#This Row],[Faktisk res]]+AB56),"")</f>
        <v>168.91219999999998</v>
      </c>
      <c r="AC57" s="43">
        <f>(LayTable[[#This Row],[BackWin-Commission]]+LayTable[[#This Row],[BookieInnsats]])</f>
        <v>0</v>
      </c>
      <c r="AD57" s="43" t="e">
        <f>(LayTable[[#This Row],[LayWin-Commission]])+LayTable[[#This Row],[LayLiability]]</f>
        <v>#VALUE!</v>
      </c>
      <c r="AE57" s="181"/>
      <c r="AF57" s="181"/>
    </row>
    <row r="58" spans="1:32">
      <c r="A58" s="183"/>
      <c r="B58" s="177"/>
      <c r="C58" s="178"/>
      <c r="D58" s="179"/>
      <c r="E58" s="178"/>
      <c r="F58" s="179"/>
      <c r="G58" s="183"/>
      <c r="H58" s="176"/>
      <c r="I58" s="180"/>
      <c r="J58" s="180"/>
      <c r="K58" s="181"/>
      <c r="L58" s="181"/>
      <c r="M58" s="44" t="str">
        <f>IF(LayTable[[#This Row],[Sport]]="","",LayTable[[#This Row],[LayInnsats]]*(LayTable[[#This Row],[LayOdds]]-1))</f>
        <v/>
      </c>
      <c r="N58" s="45" t="str">
        <f>IF(LayTable[[#This Row],[Sport]]="","",1/((1/LayTable[[#This Row],[BookieOdds]])+(1/((1/((1+((LayTable[[#This Row],[LayOdds]]-1)*(1+LayTable[[#This Row],[C% Lay]])))-1))+1)))-1)</f>
        <v/>
      </c>
      <c r="Q58" s="46" t="str">
        <f>IF(LayTable[[#This Row],[Sport]]="","",LayTable[[#This Row],[BookieInnsats]]+LayTable[[#This Row],[LayLiability]])</f>
        <v/>
      </c>
      <c r="R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 s="47" t="str">
        <f>IF(LayTable[[#This Row],[Utfall bookie]]="","",LayTable[[#This Row],[WBABack]]+LayTable[[#This Row],[WBALay]]-LayTable[[#This Row],[Total inns]])</f>
        <v/>
      </c>
      <c r="U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 s="48" t="str">
        <f>IFERROR(IF(LayTable[[#This Row],[Total inns]]="","",LayTable[[#This Row],[Rback]]/LayTable[[#This Row],[Total inns]]),"")</f>
        <v/>
      </c>
      <c r="X58" s="48" t="str">
        <f>IFERROR(IF(LayTable[[#This Row],[Total inns]]="","",LayTable[[#This Row],[Rlay]]/LayTable[[#This Row],[Total inns]]),"")</f>
        <v/>
      </c>
      <c r="Y58" s="48" t="str">
        <f>IFERROR(LayTable[[#This Row],[Faktisk res]]/LayTable[[#This Row],[Total inns]],"")</f>
        <v/>
      </c>
      <c r="Z58" s="47">
        <f>(LayTable[[#This Row],[BookieInnsats]]*LayTable[[#This Row],[BookieOdds]]-LayTable[[#This Row],[BookieInnsats]])*(1-LayTable[[#This Row],[C% Bookie]])</f>
        <v>0</v>
      </c>
      <c r="AA58" s="43">
        <f>LayTable[[#This Row],[LayInnsats]]*(1-LayTable[[#This Row],[C% Lay]])</f>
        <v>0</v>
      </c>
      <c r="AB58" s="43">
        <f>IFERROR(IF(LayTable[[#This Row],[Sport]]="",AB57,LayTable[[#This Row],[Faktisk res]]+AB57),"")</f>
        <v>168.91219999999998</v>
      </c>
      <c r="AC58" s="43">
        <f>(LayTable[[#This Row],[BackWin-Commission]]+LayTable[[#This Row],[BookieInnsats]])</f>
        <v>0</v>
      </c>
      <c r="AD58" s="43" t="e">
        <f>(LayTable[[#This Row],[LayWin-Commission]])+LayTable[[#This Row],[LayLiability]]</f>
        <v>#VALUE!</v>
      </c>
      <c r="AE58" s="181"/>
      <c r="AF58" s="181"/>
    </row>
    <row r="59" spans="1:32">
      <c r="A59" s="183"/>
      <c r="B59" s="177"/>
      <c r="C59" s="178"/>
      <c r="D59" s="179"/>
      <c r="E59" s="178"/>
      <c r="F59" s="179"/>
      <c r="G59" s="183"/>
      <c r="H59" s="176"/>
      <c r="I59" s="180"/>
      <c r="J59" s="180"/>
      <c r="K59" s="181"/>
      <c r="L59" s="181"/>
      <c r="M59" s="44" t="str">
        <f>IF(LayTable[[#This Row],[Sport]]="","",LayTable[[#This Row],[LayInnsats]]*(LayTable[[#This Row],[LayOdds]]-1))</f>
        <v/>
      </c>
      <c r="N59" s="45" t="str">
        <f>IF(LayTable[[#This Row],[Sport]]="","",1/((1/LayTable[[#This Row],[BookieOdds]])+(1/((1/((1+((LayTable[[#This Row],[LayOdds]]-1)*(1+LayTable[[#This Row],[C% Lay]])))-1))+1)))-1)</f>
        <v/>
      </c>
      <c r="Q59" s="46" t="str">
        <f>IF(LayTable[[#This Row],[Sport]]="","",LayTable[[#This Row],[BookieInnsats]]+LayTable[[#This Row],[LayLiability]])</f>
        <v/>
      </c>
      <c r="R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 s="47" t="str">
        <f>IF(LayTable[[#This Row],[Utfall bookie]]="","",LayTable[[#This Row],[WBABack]]+LayTable[[#This Row],[WBALay]]-LayTable[[#This Row],[Total inns]])</f>
        <v/>
      </c>
      <c r="U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 s="48" t="str">
        <f>IFERROR(IF(LayTable[[#This Row],[Total inns]]="","",LayTable[[#This Row],[Rback]]/LayTable[[#This Row],[Total inns]]),"")</f>
        <v/>
      </c>
      <c r="X59" s="48" t="str">
        <f>IFERROR(IF(LayTable[[#This Row],[Total inns]]="","",LayTable[[#This Row],[Rlay]]/LayTable[[#This Row],[Total inns]]),"")</f>
        <v/>
      </c>
      <c r="Y59" s="48" t="str">
        <f>IFERROR(LayTable[[#This Row],[Faktisk res]]/LayTable[[#This Row],[Total inns]],"")</f>
        <v/>
      </c>
      <c r="Z59" s="47">
        <f>(LayTable[[#This Row],[BookieInnsats]]*LayTable[[#This Row],[BookieOdds]]-LayTable[[#This Row],[BookieInnsats]])*(1-LayTable[[#This Row],[C% Bookie]])</f>
        <v>0</v>
      </c>
      <c r="AA59" s="43">
        <f>LayTable[[#This Row],[LayInnsats]]*(1-LayTable[[#This Row],[C% Lay]])</f>
        <v>0</v>
      </c>
      <c r="AB59" s="43">
        <f>IFERROR(IF(LayTable[[#This Row],[Sport]]="",AB58,LayTable[[#This Row],[Faktisk res]]+AB58),"")</f>
        <v>168.91219999999998</v>
      </c>
      <c r="AC59" s="43">
        <f>(LayTable[[#This Row],[BackWin-Commission]]+LayTable[[#This Row],[BookieInnsats]])</f>
        <v>0</v>
      </c>
      <c r="AD59" s="43" t="e">
        <f>(LayTable[[#This Row],[LayWin-Commission]])+LayTable[[#This Row],[LayLiability]]</f>
        <v>#VALUE!</v>
      </c>
      <c r="AE59" s="181"/>
      <c r="AF59" s="181"/>
    </row>
    <row r="60" spans="1:32">
      <c r="A60" s="183"/>
      <c r="B60" s="177"/>
      <c r="C60" s="178"/>
      <c r="D60" s="179"/>
      <c r="E60" s="178"/>
      <c r="F60" s="179"/>
      <c r="G60" s="183"/>
      <c r="H60" s="176"/>
      <c r="I60" s="180"/>
      <c r="J60" s="180"/>
      <c r="K60" s="181"/>
      <c r="L60" s="181"/>
      <c r="M60" s="44" t="str">
        <f>IF(LayTable[[#This Row],[Sport]]="","",LayTable[[#This Row],[LayInnsats]]*(LayTable[[#This Row],[LayOdds]]-1))</f>
        <v/>
      </c>
      <c r="N60" s="45" t="str">
        <f>IF(LayTable[[#This Row],[Sport]]="","",1/((1/LayTable[[#This Row],[BookieOdds]])+(1/((1/((1+((LayTable[[#This Row],[LayOdds]]-1)*(1+LayTable[[#This Row],[C% Lay]])))-1))+1)))-1)</f>
        <v/>
      </c>
      <c r="Q60" s="46" t="str">
        <f>IF(LayTable[[#This Row],[Sport]]="","",LayTable[[#This Row],[BookieInnsats]]+LayTable[[#This Row],[LayLiability]])</f>
        <v/>
      </c>
      <c r="R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 s="47" t="str">
        <f>IF(LayTable[[#This Row],[Utfall bookie]]="","",LayTable[[#This Row],[WBABack]]+LayTable[[#This Row],[WBALay]]-LayTable[[#This Row],[Total inns]])</f>
        <v/>
      </c>
      <c r="U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 s="48" t="str">
        <f>IFERROR(IF(LayTable[[#This Row],[Total inns]]="","",LayTable[[#This Row],[Rback]]/LayTable[[#This Row],[Total inns]]),"")</f>
        <v/>
      </c>
      <c r="X60" s="48" t="str">
        <f>IFERROR(IF(LayTable[[#This Row],[Total inns]]="","",LayTable[[#This Row],[Rlay]]/LayTable[[#This Row],[Total inns]]),"")</f>
        <v/>
      </c>
      <c r="Y60" s="48" t="str">
        <f>IFERROR(LayTable[[#This Row],[Faktisk res]]/LayTable[[#This Row],[Total inns]],"")</f>
        <v/>
      </c>
      <c r="Z60" s="47">
        <f>(LayTable[[#This Row],[BookieInnsats]]*LayTable[[#This Row],[BookieOdds]]-LayTable[[#This Row],[BookieInnsats]])*(1-LayTable[[#This Row],[C% Bookie]])</f>
        <v>0</v>
      </c>
      <c r="AA60" s="43">
        <f>LayTable[[#This Row],[LayInnsats]]*(1-LayTable[[#This Row],[C% Lay]])</f>
        <v>0</v>
      </c>
      <c r="AB60" s="43">
        <f>IFERROR(IF(LayTable[[#This Row],[Sport]]="",AB59,LayTable[[#This Row],[Faktisk res]]+AB59),"")</f>
        <v>168.91219999999998</v>
      </c>
      <c r="AC60" s="43">
        <f>(LayTable[[#This Row],[BackWin-Commission]]+LayTable[[#This Row],[BookieInnsats]])</f>
        <v>0</v>
      </c>
      <c r="AD60" s="43" t="e">
        <f>(LayTable[[#This Row],[LayWin-Commission]])+LayTable[[#This Row],[LayLiability]]</f>
        <v>#VALUE!</v>
      </c>
      <c r="AE60" s="181"/>
      <c r="AF60" s="181"/>
    </row>
    <row r="61" spans="1:32">
      <c r="A61" s="183"/>
      <c r="B61" s="177"/>
      <c r="C61" s="178"/>
      <c r="D61" s="179"/>
      <c r="E61" s="178"/>
      <c r="F61" s="179"/>
      <c r="G61" s="183"/>
      <c r="H61" s="176"/>
      <c r="I61" s="180"/>
      <c r="J61" s="180"/>
      <c r="K61" s="181"/>
      <c r="L61" s="181"/>
      <c r="M61" s="44" t="str">
        <f>IF(LayTable[[#This Row],[Sport]]="","",LayTable[[#This Row],[LayInnsats]]*(LayTable[[#This Row],[LayOdds]]-1))</f>
        <v/>
      </c>
      <c r="N61" s="45" t="str">
        <f>IF(LayTable[[#This Row],[Sport]]="","",1/((1/LayTable[[#This Row],[BookieOdds]])+(1/((1/((1+((LayTable[[#This Row],[LayOdds]]-1)*(1+LayTable[[#This Row],[C% Lay]])))-1))+1)))-1)</f>
        <v/>
      </c>
      <c r="Q61" s="46" t="str">
        <f>IF(LayTable[[#This Row],[Sport]]="","",LayTable[[#This Row],[BookieInnsats]]+LayTable[[#This Row],[LayLiability]])</f>
        <v/>
      </c>
      <c r="R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 s="47" t="str">
        <f>IF(LayTable[[#This Row],[Utfall bookie]]="","",LayTable[[#This Row],[WBABack]]+LayTable[[#This Row],[WBALay]]-LayTable[[#This Row],[Total inns]])</f>
        <v/>
      </c>
      <c r="U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 s="48" t="str">
        <f>IFERROR(IF(LayTable[[#This Row],[Total inns]]="","",LayTable[[#This Row],[Rback]]/LayTable[[#This Row],[Total inns]]),"")</f>
        <v/>
      </c>
      <c r="X61" s="48" t="str">
        <f>IFERROR(IF(LayTable[[#This Row],[Total inns]]="","",LayTable[[#This Row],[Rlay]]/LayTable[[#This Row],[Total inns]]),"")</f>
        <v/>
      </c>
      <c r="Y61" s="48" t="str">
        <f>IFERROR(LayTable[[#This Row],[Faktisk res]]/LayTable[[#This Row],[Total inns]],"")</f>
        <v/>
      </c>
      <c r="Z61" s="47">
        <f>(LayTable[[#This Row],[BookieInnsats]]*LayTable[[#This Row],[BookieOdds]]-LayTable[[#This Row],[BookieInnsats]])*(1-LayTable[[#This Row],[C% Bookie]])</f>
        <v>0</v>
      </c>
      <c r="AA61" s="43">
        <f>LayTable[[#This Row],[LayInnsats]]*(1-LayTable[[#This Row],[C% Lay]])</f>
        <v>0</v>
      </c>
      <c r="AB61" s="43">
        <f>IFERROR(IF(LayTable[[#This Row],[Sport]]="",AB60,LayTable[[#This Row],[Faktisk res]]+AB60),"")</f>
        <v>168.91219999999998</v>
      </c>
      <c r="AC61" s="43">
        <f>(LayTable[[#This Row],[BackWin-Commission]]+LayTable[[#This Row],[BookieInnsats]])</f>
        <v>0</v>
      </c>
      <c r="AD61" s="43" t="e">
        <f>(LayTable[[#This Row],[LayWin-Commission]])+LayTable[[#This Row],[LayLiability]]</f>
        <v>#VALUE!</v>
      </c>
      <c r="AE61" s="181"/>
      <c r="AF61" s="181"/>
    </row>
    <row r="62" spans="1:32">
      <c r="A62" s="183"/>
      <c r="B62" s="177"/>
      <c r="C62" s="178"/>
      <c r="D62" s="179"/>
      <c r="E62" s="178"/>
      <c r="F62" s="179"/>
      <c r="G62" s="183"/>
      <c r="H62" s="176"/>
      <c r="I62" s="180"/>
      <c r="J62" s="180"/>
      <c r="K62" s="181"/>
      <c r="L62" s="181"/>
      <c r="M62" s="44" t="str">
        <f>IF(LayTable[[#This Row],[Sport]]="","",LayTable[[#This Row],[LayInnsats]]*(LayTable[[#This Row],[LayOdds]]-1))</f>
        <v/>
      </c>
      <c r="N62" s="45" t="str">
        <f>IF(LayTable[[#This Row],[Sport]]="","",1/((1/LayTable[[#This Row],[BookieOdds]])+(1/((1/((1+((LayTable[[#This Row],[LayOdds]]-1)*(1+LayTable[[#This Row],[C% Lay]])))-1))+1)))-1)</f>
        <v/>
      </c>
      <c r="Q62" s="46" t="str">
        <f>IF(LayTable[[#This Row],[Sport]]="","",LayTable[[#This Row],[BookieInnsats]]+LayTable[[#This Row],[LayLiability]])</f>
        <v/>
      </c>
      <c r="R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 s="47" t="str">
        <f>IF(LayTable[[#This Row],[Utfall bookie]]="","",LayTable[[#This Row],[WBABack]]+LayTable[[#This Row],[WBALay]]-LayTable[[#This Row],[Total inns]])</f>
        <v/>
      </c>
      <c r="U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 s="48" t="str">
        <f>IFERROR(IF(LayTable[[#This Row],[Total inns]]="","",LayTable[[#This Row],[Rback]]/LayTable[[#This Row],[Total inns]]),"")</f>
        <v/>
      </c>
      <c r="X62" s="48" t="str">
        <f>IFERROR(IF(LayTable[[#This Row],[Total inns]]="","",LayTable[[#This Row],[Rlay]]/LayTable[[#This Row],[Total inns]]),"")</f>
        <v/>
      </c>
      <c r="Y62" s="48" t="str">
        <f>IFERROR(LayTable[[#This Row],[Faktisk res]]/LayTable[[#This Row],[Total inns]],"")</f>
        <v/>
      </c>
      <c r="Z62" s="47">
        <f>(LayTable[[#This Row],[BookieInnsats]]*LayTable[[#This Row],[BookieOdds]]-LayTable[[#This Row],[BookieInnsats]])*(1-LayTable[[#This Row],[C% Bookie]])</f>
        <v>0</v>
      </c>
      <c r="AA62" s="43">
        <f>LayTable[[#This Row],[LayInnsats]]*(1-LayTable[[#This Row],[C% Lay]])</f>
        <v>0</v>
      </c>
      <c r="AB62" s="43">
        <f>IFERROR(IF(LayTable[[#This Row],[Sport]]="",AB61,LayTable[[#This Row],[Faktisk res]]+AB61),"")</f>
        <v>168.91219999999998</v>
      </c>
      <c r="AC62" s="43">
        <f>(LayTable[[#This Row],[BackWin-Commission]]+LayTable[[#This Row],[BookieInnsats]])</f>
        <v>0</v>
      </c>
      <c r="AD62" s="43" t="e">
        <f>(LayTable[[#This Row],[LayWin-Commission]])+LayTable[[#This Row],[LayLiability]]</f>
        <v>#VALUE!</v>
      </c>
      <c r="AE62" s="181"/>
      <c r="AF62" s="181"/>
    </row>
    <row r="63" spans="1:32">
      <c r="A63" s="183"/>
      <c r="B63" s="177"/>
      <c r="C63" s="178"/>
      <c r="D63" s="179"/>
      <c r="E63" s="178"/>
      <c r="F63" s="179"/>
      <c r="G63" s="183"/>
      <c r="H63" s="176"/>
      <c r="I63" s="180"/>
      <c r="J63" s="180"/>
      <c r="K63" s="181"/>
      <c r="L63" s="181"/>
      <c r="M63" s="44" t="str">
        <f>IF(LayTable[[#This Row],[Sport]]="","",LayTable[[#This Row],[LayInnsats]]*(LayTable[[#This Row],[LayOdds]]-1))</f>
        <v/>
      </c>
      <c r="N63" s="45" t="str">
        <f>IF(LayTable[[#This Row],[Sport]]="","",1/((1/LayTable[[#This Row],[BookieOdds]])+(1/((1/((1+((LayTable[[#This Row],[LayOdds]]-1)*(1+LayTable[[#This Row],[C% Lay]])))-1))+1)))-1)</f>
        <v/>
      </c>
      <c r="Q63" s="46" t="str">
        <f>IF(LayTable[[#This Row],[Sport]]="","",LayTable[[#This Row],[BookieInnsats]]+LayTable[[#This Row],[LayLiability]])</f>
        <v/>
      </c>
      <c r="R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 s="47" t="str">
        <f>IF(LayTable[[#This Row],[Utfall bookie]]="","",LayTable[[#This Row],[WBABack]]+LayTable[[#This Row],[WBALay]]-LayTable[[#This Row],[Total inns]])</f>
        <v/>
      </c>
      <c r="U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 s="48" t="str">
        <f>IFERROR(IF(LayTable[[#This Row],[Total inns]]="","",LayTable[[#This Row],[Rback]]/LayTable[[#This Row],[Total inns]]),"")</f>
        <v/>
      </c>
      <c r="X63" s="48" t="str">
        <f>IFERROR(IF(LayTable[[#This Row],[Total inns]]="","",LayTable[[#This Row],[Rlay]]/LayTable[[#This Row],[Total inns]]),"")</f>
        <v/>
      </c>
      <c r="Y63" s="48" t="str">
        <f>IFERROR(LayTable[[#This Row],[Faktisk res]]/LayTable[[#This Row],[Total inns]],"")</f>
        <v/>
      </c>
      <c r="Z63" s="47">
        <f>(LayTable[[#This Row],[BookieInnsats]]*LayTable[[#This Row],[BookieOdds]]-LayTable[[#This Row],[BookieInnsats]])*(1-LayTable[[#This Row],[C% Bookie]])</f>
        <v>0</v>
      </c>
      <c r="AA63" s="43">
        <f>LayTable[[#This Row],[LayInnsats]]*(1-LayTable[[#This Row],[C% Lay]])</f>
        <v>0</v>
      </c>
      <c r="AB63" s="43">
        <f>IFERROR(IF(LayTable[[#This Row],[Sport]]="",AB62,LayTable[[#This Row],[Faktisk res]]+AB62),"")</f>
        <v>168.91219999999998</v>
      </c>
      <c r="AC63" s="43">
        <f>(LayTable[[#This Row],[BackWin-Commission]]+LayTable[[#This Row],[BookieInnsats]])</f>
        <v>0</v>
      </c>
      <c r="AD63" s="43" t="e">
        <f>(LayTable[[#This Row],[LayWin-Commission]])+LayTable[[#This Row],[LayLiability]]</f>
        <v>#VALUE!</v>
      </c>
      <c r="AE63" s="181"/>
      <c r="AF63" s="181"/>
    </row>
    <row r="64" spans="1:32">
      <c r="A64" s="183"/>
      <c r="B64" s="177"/>
      <c r="C64" s="178"/>
      <c r="D64" s="179"/>
      <c r="E64" s="178"/>
      <c r="F64" s="179"/>
      <c r="G64" s="183"/>
      <c r="H64" s="176"/>
      <c r="I64" s="180"/>
      <c r="J64" s="180"/>
      <c r="K64" s="181"/>
      <c r="L64" s="181"/>
      <c r="M64" s="44" t="str">
        <f>IF(LayTable[[#This Row],[Sport]]="","",LayTable[[#This Row],[LayInnsats]]*(LayTable[[#This Row],[LayOdds]]-1))</f>
        <v/>
      </c>
      <c r="N64" s="45" t="str">
        <f>IF(LayTable[[#This Row],[Sport]]="","",1/((1/LayTable[[#This Row],[BookieOdds]])+(1/((1/((1+((LayTable[[#This Row],[LayOdds]]-1)*(1+LayTable[[#This Row],[C% Lay]])))-1))+1)))-1)</f>
        <v/>
      </c>
      <c r="Q64" s="46" t="str">
        <f>IF(LayTable[[#This Row],[Sport]]="","",LayTable[[#This Row],[BookieInnsats]]+LayTable[[#This Row],[LayLiability]])</f>
        <v/>
      </c>
      <c r="R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 s="47" t="str">
        <f>IF(LayTable[[#This Row],[Utfall bookie]]="","",LayTable[[#This Row],[WBABack]]+LayTable[[#This Row],[WBALay]]-LayTable[[#This Row],[Total inns]])</f>
        <v/>
      </c>
      <c r="U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 s="48" t="str">
        <f>IFERROR(IF(LayTable[[#This Row],[Total inns]]="","",LayTable[[#This Row],[Rback]]/LayTable[[#This Row],[Total inns]]),"")</f>
        <v/>
      </c>
      <c r="X64" s="48" t="str">
        <f>IFERROR(IF(LayTable[[#This Row],[Total inns]]="","",LayTable[[#This Row],[Rlay]]/LayTable[[#This Row],[Total inns]]),"")</f>
        <v/>
      </c>
      <c r="Y64" s="48" t="str">
        <f>IFERROR(LayTable[[#This Row],[Faktisk res]]/LayTable[[#This Row],[Total inns]],"")</f>
        <v/>
      </c>
      <c r="Z64" s="47">
        <f>(LayTable[[#This Row],[BookieInnsats]]*LayTable[[#This Row],[BookieOdds]]-LayTable[[#This Row],[BookieInnsats]])*(1-LayTable[[#This Row],[C% Bookie]])</f>
        <v>0</v>
      </c>
      <c r="AA64" s="43">
        <f>LayTable[[#This Row],[LayInnsats]]*(1-LayTable[[#This Row],[C% Lay]])</f>
        <v>0</v>
      </c>
      <c r="AB64" s="43">
        <f>IFERROR(IF(LayTable[[#This Row],[Sport]]="",AB63,LayTable[[#This Row],[Faktisk res]]+AB63),"")</f>
        <v>168.91219999999998</v>
      </c>
      <c r="AC64" s="43">
        <f>(LayTable[[#This Row],[BackWin-Commission]]+LayTable[[#This Row],[BookieInnsats]])</f>
        <v>0</v>
      </c>
      <c r="AD64" s="43" t="e">
        <f>(LayTable[[#This Row],[LayWin-Commission]])+LayTable[[#This Row],[LayLiability]]</f>
        <v>#VALUE!</v>
      </c>
      <c r="AE64" s="181"/>
      <c r="AF64" s="181"/>
    </row>
    <row r="65" spans="1:32">
      <c r="A65" s="183"/>
      <c r="B65" s="177"/>
      <c r="C65" s="178"/>
      <c r="D65" s="179"/>
      <c r="E65" s="178"/>
      <c r="F65" s="179"/>
      <c r="G65" s="183"/>
      <c r="H65" s="176"/>
      <c r="I65" s="180"/>
      <c r="J65" s="180"/>
      <c r="K65" s="181"/>
      <c r="L65" s="181"/>
      <c r="M65" s="44" t="str">
        <f>IF(LayTable[[#This Row],[Sport]]="","",LayTable[[#This Row],[LayInnsats]]*(LayTable[[#This Row],[LayOdds]]-1))</f>
        <v/>
      </c>
      <c r="N65" s="45" t="str">
        <f>IF(LayTable[[#This Row],[Sport]]="","",1/((1/LayTable[[#This Row],[BookieOdds]])+(1/((1/((1+((LayTable[[#This Row],[LayOdds]]-1)*(1+LayTable[[#This Row],[C% Lay]])))-1))+1)))-1)</f>
        <v/>
      </c>
      <c r="Q65" s="46" t="str">
        <f>IF(LayTable[[#This Row],[Sport]]="","",LayTable[[#This Row],[BookieInnsats]]+LayTable[[#This Row],[LayLiability]])</f>
        <v/>
      </c>
      <c r="R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 s="47" t="str">
        <f>IF(LayTable[[#This Row],[Utfall bookie]]="","",LayTable[[#This Row],[WBABack]]+LayTable[[#This Row],[WBALay]]-LayTable[[#This Row],[Total inns]])</f>
        <v/>
      </c>
      <c r="U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 s="48" t="str">
        <f>IFERROR(IF(LayTable[[#This Row],[Total inns]]="","",LayTable[[#This Row],[Rback]]/LayTable[[#This Row],[Total inns]]),"")</f>
        <v/>
      </c>
      <c r="X65" s="48" t="str">
        <f>IFERROR(IF(LayTable[[#This Row],[Total inns]]="","",LayTable[[#This Row],[Rlay]]/LayTable[[#This Row],[Total inns]]),"")</f>
        <v/>
      </c>
      <c r="Y65" s="48" t="str">
        <f>IFERROR(LayTable[[#This Row],[Faktisk res]]/LayTable[[#This Row],[Total inns]],"")</f>
        <v/>
      </c>
      <c r="Z65" s="47">
        <f>(LayTable[[#This Row],[BookieInnsats]]*LayTable[[#This Row],[BookieOdds]]-LayTable[[#This Row],[BookieInnsats]])*(1-LayTable[[#This Row],[C% Bookie]])</f>
        <v>0</v>
      </c>
      <c r="AA65" s="43">
        <f>LayTable[[#This Row],[LayInnsats]]*(1-LayTable[[#This Row],[C% Lay]])</f>
        <v>0</v>
      </c>
      <c r="AB65" s="43">
        <f>IFERROR(IF(LayTable[[#This Row],[Sport]]="",AB64,LayTable[[#This Row],[Faktisk res]]+AB64),"")</f>
        <v>168.91219999999998</v>
      </c>
      <c r="AC65" s="43">
        <f>(LayTable[[#This Row],[BackWin-Commission]]+LayTable[[#This Row],[BookieInnsats]])</f>
        <v>0</v>
      </c>
      <c r="AD65" s="43" t="e">
        <f>(LayTable[[#This Row],[LayWin-Commission]])+LayTable[[#This Row],[LayLiability]]</f>
        <v>#VALUE!</v>
      </c>
      <c r="AE65" s="181"/>
      <c r="AF65" s="181"/>
    </row>
    <row r="66" spans="1:32">
      <c r="A66" s="183"/>
      <c r="B66" s="177"/>
      <c r="C66" s="178"/>
      <c r="D66" s="179"/>
      <c r="E66" s="178"/>
      <c r="F66" s="179"/>
      <c r="G66" s="183"/>
      <c r="H66" s="176"/>
      <c r="I66" s="180"/>
      <c r="J66" s="180"/>
      <c r="K66" s="181"/>
      <c r="L66" s="181"/>
      <c r="M66" s="44" t="str">
        <f>IF(LayTable[[#This Row],[Sport]]="","",LayTable[[#This Row],[LayInnsats]]*(LayTable[[#This Row],[LayOdds]]-1))</f>
        <v/>
      </c>
      <c r="N66" s="45" t="str">
        <f>IF(LayTable[[#This Row],[Sport]]="","",1/((1/LayTable[[#This Row],[BookieOdds]])+(1/((1/((1+((LayTable[[#This Row],[LayOdds]]-1)*(1+LayTable[[#This Row],[C% Lay]])))-1))+1)))-1)</f>
        <v/>
      </c>
      <c r="Q66" s="46" t="str">
        <f>IF(LayTable[[#This Row],[Sport]]="","",LayTable[[#This Row],[BookieInnsats]]+LayTable[[#This Row],[LayLiability]])</f>
        <v/>
      </c>
      <c r="R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 s="47" t="str">
        <f>IF(LayTable[[#This Row],[Utfall bookie]]="","",LayTable[[#This Row],[WBABack]]+LayTable[[#This Row],[WBALay]]-LayTable[[#This Row],[Total inns]])</f>
        <v/>
      </c>
      <c r="U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 s="48" t="str">
        <f>IFERROR(IF(LayTable[[#This Row],[Total inns]]="","",LayTable[[#This Row],[Rback]]/LayTable[[#This Row],[Total inns]]),"")</f>
        <v/>
      </c>
      <c r="X66" s="48" t="str">
        <f>IFERROR(IF(LayTable[[#This Row],[Total inns]]="","",LayTable[[#This Row],[Rlay]]/LayTable[[#This Row],[Total inns]]),"")</f>
        <v/>
      </c>
      <c r="Y66" s="48" t="str">
        <f>IFERROR(LayTable[[#This Row],[Faktisk res]]/LayTable[[#This Row],[Total inns]],"")</f>
        <v/>
      </c>
      <c r="Z66" s="47">
        <f>(LayTable[[#This Row],[BookieInnsats]]*LayTable[[#This Row],[BookieOdds]]-LayTable[[#This Row],[BookieInnsats]])*(1-LayTable[[#This Row],[C% Bookie]])</f>
        <v>0</v>
      </c>
      <c r="AA66" s="43">
        <f>LayTable[[#This Row],[LayInnsats]]*(1-LayTable[[#This Row],[C% Lay]])</f>
        <v>0</v>
      </c>
      <c r="AB66" s="43">
        <f>IFERROR(IF(LayTable[[#This Row],[Sport]]="",AB65,LayTable[[#This Row],[Faktisk res]]+AB65),"")</f>
        <v>168.91219999999998</v>
      </c>
      <c r="AC66" s="43">
        <f>(LayTable[[#This Row],[BackWin-Commission]]+LayTable[[#This Row],[BookieInnsats]])</f>
        <v>0</v>
      </c>
      <c r="AD66" s="43" t="e">
        <f>(LayTable[[#This Row],[LayWin-Commission]])+LayTable[[#This Row],[LayLiability]]</f>
        <v>#VALUE!</v>
      </c>
      <c r="AE66" s="181"/>
      <c r="AF66" s="181"/>
    </row>
    <row r="67" spans="1:32">
      <c r="A67" s="183"/>
      <c r="B67" s="177"/>
      <c r="C67" s="178"/>
      <c r="D67" s="179"/>
      <c r="E67" s="178"/>
      <c r="F67" s="179"/>
      <c r="G67" s="183"/>
      <c r="H67" s="176"/>
      <c r="I67" s="180"/>
      <c r="J67" s="180"/>
      <c r="K67" s="181"/>
      <c r="L67" s="181"/>
      <c r="M67" s="44" t="str">
        <f>IF(LayTable[[#This Row],[Sport]]="","",LayTable[[#This Row],[LayInnsats]]*(LayTable[[#This Row],[LayOdds]]-1))</f>
        <v/>
      </c>
      <c r="N67" s="45" t="str">
        <f>IF(LayTable[[#This Row],[Sport]]="","",1/((1/LayTable[[#This Row],[BookieOdds]])+(1/((1/((1+((LayTable[[#This Row],[LayOdds]]-1)*(1+LayTable[[#This Row],[C% Lay]])))-1))+1)))-1)</f>
        <v/>
      </c>
      <c r="Q67" s="46" t="str">
        <f>IF(LayTable[[#This Row],[Sport]]="","",LayTable[[#This Row],[BookieInnsats]]+LayTable[[#This Row],[LayLiability]])</f>
        <v/>
      </c>
      <c r="R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 s="47" t="str">
        <f>IF(LayTable[[#This Row],[Utfall bookie]]="","",LayTable[[#This Row],[WBABack]]+LayTable[[#This Row],[WBALay]]-LayTable[[#This Row],[Total inns]])</f>
        <v/>
      </c>
      <c r="U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 s="48" t="str">
        <f>IFERROR(IF(LayTable[[#This Row],[Total inns]]="","",LayTable[[#This Row],[Rback]]/LayTable[[#This Row],[Total inns]]),"")</f>
        <v/>
      </c>
      <c r="X67" s="48" t="str">
        <f>IFERROR(IF(LayTable[[#This Row],[Total inns]]="","",LayTable[[#This Row],[Rlay]]/LayTable[[#This Row],[Total inns]]),"")</f>
        <v/>
      </c>
      <c r="Y67" s="48" t="str">
        <f>IFERROR(LayTable[[#This Row],[Faktisk res]]/LayTable[[#This Row],[Total inns]],"")</f>
        <v/>
      </c>
      <c r="Z67" s="47">
        <f>(LayTable[[#This Row],[BookieInnsats]]*LayTable[[#This Row],[BookieOdds]]-LayTable[[#This Row],[BookieInnsats]])*(1-LayTable[[#This Row],[C% Bookie]])</f>
        <v>0</v>
      </c>
      <c r="AA67" s="43">
        <f>LayTable[[#This Row],[LayInnsats]]*(1-LayTable[[#This Row],[C% Lay]])</f>
        <v>0</v>
      </c>
      <c r="AB67" s="43">
        <f>IFERROR(IF(LayTable[[#This Row],[Sport]]="",AB66,LayTable[[#This Row],[Faktisk res]]+AB66),"")</f>
        <v>168.91219999999998</v>
      </c>
      <c r="AC67" s="43">
        <f>(LayTable[[#This Row],[BackWin-Commission]]+LayTable[[#This Row],[BookieInnsats]])</f>
        <v>0</v>
      </c>
      <c r="AD67" s="43" t="e">
        <f>(LayTable[[#This Row],[LayWin-Commission]])+LayTable[[#This Row],[LayLiability]]</f>
        <v>#VALUE!</v>
      </c>
      <c r="AE67" s="181"/>
      <c r="AF67" s="181"/>
    </row>
    <row r="68" spans="1:32">
      <c r="A68" s="183"/>
      <c r="B68" s="177"/>
      <c r="C68" s="178"/>
      <c r="D68" s="179"/>
      <c r="E68" s="178"/>
      <c r="F68" s="179"/>
      <c r="G68" s="183"/>
      <c r="H68" s="176"/>
      <c r="I68" s="180"/>
      <c r="J68" s="180"/>
      <c r="K68" s="181"/>
      <c r="L68" s="181"/>
      <c r="M68" s="44" t="str">
        <f>IF(LayTable[[#This Row],[Sport]]="","",LayTable[[#This Row],[LayInnsats]]*(LayTable[[#This Row],[LayOdds]]-1))</f>
        <v/>
      </c>
      <c r="N68" s="45" t="str">
        <f>IF(LayTable[[#This Row],[Sport]]="","",1/((1/LayTable[[#This Row],[BookieOdds]])+(1/((1/((1+((LayTable[[#This Row],[LayOdds]]-1)*(1+LayTable[[#This Row],[C% Lay]])))-1))+1)))-1)</f>
        <v/>
      </c>
      <c r="Q68" s="46" t="str">
        <f>IF(LayTable[[#This Row],[Sport]]="","",LayTable[[#This Row],[BookieInnsats]]+LayTable[[#This Row],[LayLiability]])</f>
        <v/>
      </c>
      <c r="R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 s="47" t="str">
        <f>IF(LayTable[[#This Row],[Utfall bookie]]="","",LayTable[[#This Row],[WBABack]]+LayTable[[#This Row],[WBALay]]-LayTable[[#This Row],[Total inns]])</f>
        <v/>
      </c>
      <c r="U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 s="48" t="str">
        <f>IFERROR(IF(LayTable[[#This Row],[Total inns]]="","",LayTable[[#This Row],[Rback]]/LayTable[[#This Row],[Total inns]]),"")</f>
        <v/>
      </c>
      <c r="X68" s="48" t="str">
        <f>IFERROR(IF(LayTable[[#This Row],[Total inns]]="","",LayTable[[#This Row],[Rlay]]/LayTable[[#This Row],[Total inns]]),"")</f>
        <v/>
      </c>
      <c r="Y68" s="48" t="str">
        <f>IFERROR(LayTable[[#This Row],[Faktisk res]]/LayTable[[#This Row],[Total inns]],"")</f>
        <v/>
      </c>
      <c r="Z68" s="47">
        <f>(LayTable[[#This Row],[BookieInnsats]]*LayTable[[#This Row],[BookieOdds]]-LayTable[[#This Row],[BookieInnsats]])*(1-LayTable[[#This Row],[C% Bookie]])</f>
        <v>0</v>
      </c>
      <c r="AA68" s="43">
        <f>LayTable[[#This Row],[LayInnsats]]*(1-LayTable[[#This Row],[C% Lay]])</f>
        <v>0</v>
      </c>
      <c r="AB68" s="43">
        <f>IFERROR(IF(LayTable[[#This Row],[Sport]]="",AB67,LayTable[[#This Row],[Faktisk res]]+AB67),"")</f>
        <v>168.91219999999998</v>
      </c>
      <c r="AC68" s="43">
        <f>(LayTable[[#This Row],[BackWin-Commission]]+LayTable[[#This Row],[BookieInnsats]])</f>
        <v>0</v>
      </c>
      <c r="AD68" s="43" t="e">
        <f>(LayTable[[#This Row],[LayWin-Commission]])+LayTable[[#This Row],[LayLiability]]</f>
        <v>#VALUE!</v>
      </c>
      <c r="AE68" s="181"/>
      <c r="AF68" s="181"/>
    </row>
    <row r="69" spans="1:32">
      <c r="A69" s="183"/>
      <c r="B69" s="177"/>
      <c r="C69" s="178"/>
      <c r="D69" s="179"/>
      <c r="E69" s="178"/>
      <c r="F69" s="179"/>
      <c r="G69" s="183"/>
      <c r="H69" s="176"/>
      <c r="I69" s="180"/>
      <c r="J69" s="180"/>
      <c r="K69" s="181"/>
      <c r="L69" s="181"/>
      <c r="M69" s="44" t="str">
        <f>IF(LayTable[[#This Row],[Sport]]="","",LayTable[[#This Row],[LayInnsats]]*(LayTable[[#This Row],[LayOdds]]-1))</f>
        <v/>
      </c>
      <c r="N69" s="45" t="str">
        <f>IF(LayTable[[#This Row],[Sport]]="","",1/((1/LayTable[[#This Row],[BookieOdds]])+(1/((1/((1+((LayTable[[#This Row],[LayOdds]]-1)*(1+LayTable[[#This Row],[C% Lay]])))-1))+1)))-1)</f>
        <v/>
      </c>
      <c r="Q69" s="46" t="str">
        <f>IF(LayTable[[#This Row],[Sport]]="","",LayTable[[#This Row],[BookieInnsats]]+LayTable[[#This Row],[LayLiability]])</f>
        <v/>
      </c>
      <c r="R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 s="47" t="str">
        <f>IF(LayTable[[#This Row],[Utfall bookie]]="","",LayTable[[#This Row],[WBABack]]+LayTable[[#This Row],[WBALay]]-LayTable[[#This Row],[Total inns]])</f>
        <v/>
      </c>
      <c r="U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 s="48" t="str">
        <f>IFERROR(IF(LayTable[[#This Row],[Total inns]]="","",LayTable[[#This Row],[Rback]]/LayTable[[#This Row],[Total inns]]),"")</f>
        <v/>
      </c>
      <c r="X69" s="48" t="str">
        <f>IFERROR(IF(LayTable[[#This Row],[Total inns]]="","",LayTable[[#This Row],[Rlay]]/LayTable[[#This Row],[Total inns]]),"")</f>
        <v/>
      </c>
      <c r="Y69" s="48" t="str">
        <f>IFERROR(LayTable[[#This Row],[Faktisk res]]/LayTable[[#This Row],[Total inns]],"")</f>
        <v/>
      </c>
      <c r="Z69" s="47">
        <f>(LayTable[[#This Row],[BookieInnsats]]*LayTable[[#This Row],[BookieOdds]]-LayTable[[#This Row],[BookieInnsats]])*(1-LayTable[[#This Row],[C% Bookie]])</f>
        <v>0</v>
      </c>
      <c r="AA69" s="43">
        <f>LayTable[[#This Row],[LayInnsats]]*(1-LayTable[[#This Row],[C% Lay]])</f>
        <v>0</v>
      </c>
      <c r="AB69" s="43">
        <f>IFERROR(IF(LayTable[[#This Row],[Sport]]="",AB68,LayTable[[#This Row],[Faktisk res]]+AB68),"")</f>
        <v>168.91219999999998</v>
      </c>
      <c r="AC69" s="43">
        <f>(LayTable[[#This Row],[BackWin-Commission]]+LayTable[[#This Row],[BookieInnsats]])</f>
        <v>0</v>
      </c>
      <c r="AD69" s="43" t="e">
        <f>(LayTable[[#This Row],[LayWin-Commission]])+LayTable[[#This Row],[LayLiability]]</f>
        <v>#VALUE!</v>
      </c>
      <c r="AE69" s="181"/>
      <c r="AF69" s="181"/>
    </row>
    <row r="70" spans="1:32">
      <c r="A70" s="183"/>
      <c r="B70" s="177"/>
      <c r="C70" s="178"/>
      <c r="D70" s="179"/>
      <c r="E70" s="178"/>
      <c r="F70" s="179"/>
      <c r="G70" s="183"/>
      <c r="H70" s="176"/>
      <c r="I70" s="180"/>
      <c r="J70" s="180"/>
      <c r="K70" s="181"/>
      <c r="L70" s="181"/>
      <c r="M70" s="44" t="str">
        <f>IF(LayTable[[#This Row],[Sport]]="","",LayTable[[#This Row],[LayInnsats]]*(LayTable[[#This Row],[LayOdds]]-1))</f>
        <v/>
      </c>
      <c r="N70" s="45" t="str">
        <f>IF(LayTable[[#This Row],[Sport]]="","",1/((1/LayTable[[#This Row],[BookieOdds]])+(1/((1/((1+((LayTable[[#This Row],[LayOdds]]-1)*(1+LayTable[[#This Row],[C% Lay]])))-1))+1)))-1)</f>
        <v/>
      </c>
      <c r="Q70" s="46" t="str">
        <f>IF(LayTable[[#This Row],[Sport]]="","",LayTable[[#This Row],[BookieInnsats]]+LayTable[[#This Row],[LayLiability]])</f>
        <v/>
      </c>
      <c r="R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 s="47" t="str">
        <f>IF(LayTable[[#This Row],[Utfall bookie]]="","",LayTable[[#This Row],[WBABack]]+LayTable[[#This Row],[WBALay]]-LayTable[[#This Row],[Total inns]])</f>
        <v/>
      </c>
      <c r="U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 s="48" t="str">
        <f>IFERROR(IF(LayTable[[#This Row],[Total inns]]="","",LayTable[[#This Row],[Rback]]/LayTable[[#This Row],[Total inns]]),"")</f>
        <v/>
      </c>
      <c r="X70" s="48" t="str">
        <f>IFERROR(IF(LayTable[[#This Row],[Total inns]]="","",LayTable[[#This Row],[Rlay]]/LayTable[[#This Row],[Total inns]]),"")</f>
        <v/>
      </c>
      <c r="Y70" s="48" t="str">
        <f>IFERROR(LayTable[[#This Row],[Faktisk res]]/LayTable[[#This Row],[Total inns]],"")</f>
        <v/>
      </c>
      <c r="Z70" s="47">
        <f>(LayTable[[#This Row],[BookieInnsats]]*LayTable[[#This Row],[BookieOdds]]-LayTable[[#This Row],[BookieInnsats]])*(1-LayTable[[#This Row],[C% Bookie]])</f>
        <v>0</v>
      </c>
      <c r="AA70" s="43">
        <f>LayTable[[#This Row],[LayInnsats]]*(1-LayTable[[#This Row],[C% Lay]])</f>
        <v>0</v>
      </c>
      <c r="AB70" s="43">
        <f>IFERROR(IF(LayTable[[#This Row],[Sport]]="",AB69,LayTable[[#This Row],[Faktisk res]]+AB69),"")</f>
        <v>168.91219999999998</v>
      </c>
      <c r="AC70" s="43">
        <f>(LayTable[[#This Row],[BackWin-Commission]]+LayTable[[#This Row],[BookieInnsats]])</f>
        <v>0</v>
      </c>
      <c r="AD70" s="43" t="e">
        <f>(LayTable[[#This Row],[LayWin-Commission]])+LayTable[[#This Row],[LayLiability]]</f>
        <v>#VALUE!</v>
      </c>
      <c r="AE70" s="181"/>
      <c r="AF70" s="181"/>
    </row>
    <row r="71" spans="1:32">
      <c r="A71" s="183"/>
      <c r="B71" s="177"/>
      <c r="C71" s="178"/>
      <c r="D71" s="179"/>
      <c r="E71" s="178"/>
      <c r="F71" s="179"/>
      <c r="G71" s="183"/>
      <c r="H71" s="176"/>
      <c r="I71" s="180"/>
      <c r="J71" s="180"/>
      <c r="K71" s="181"/>
      <c r="L71" s="181"/>
      <c r="M71" s="44" t="str">
        <f>IF(LayTable[[#This Row],[Sport]]="","",LayTable[[#This Row],[LayInnsats]]*(LayTable[[#This Row],[LayOdds]]-1))</f>
        <v/>
      </c>
      <c r="N71" s="45" t="str">
        <f>IF(LayTable[[#This Row],[Sport]]="","",1/((1/LayTable[[#This Row],[BookieOdds]])+(1/((1/((1+((LayTable[[#This Row],[LayOdds]]-1)*(1+LayTable[[#This Row],[C% Lay]])))-1))+1)))-1)</f>
        <v/>
      </c>
      <c r="Q71" s="46" t="str">
        <f>IF(LayTable[[#This Row],[Sport]]="","",LayTable[[#This Row],[BookieInnsats]]+LayTable[[#This Row],[LayLiability]])</f>
        <v/>
      </c>
      <c r="R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 s="47" t="str">
        <f>IF(LayTable[[#This Row],[Utfall bookie]]="","",LayTable[[#This Row],[WBABack]]+LayTable[[#This Row],[WBALay]]-LayTable[[#This Row],[Total inns]])</f>
        <v/>
      </c>
      <c r="U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 s="48" t="str">
        <f>IFERROR(IF(LayTable[[#This Row],[Total inns]]="","",LayTable[[#This Row],[Rback]]/LayTable[[#This Row],[Total inns]]),"")</f>
        <v/>
      </c>
      <c r="X71" s="48" t="str">
        <f>IFERROR(IF(LayTable[[#This Row],[Total inns]]="","",LayTable[[#This Row],[Rlay]]/LayTable[[#This Row],[Total inns]]),"")</f>
        <v/>
      </c>
      <c r="Y71" s="48" t="str">
        <f>IFERROR(LayTable[[#This Row],[Faktisk res]]/LayTable[[#This Row],[Total inns]],"")</f>
        <v/>
      </c>
      <c r="Z71" s="47">
        <f>(LayTable[[#This Row],[BookieInnsats]]*LayTable[[#This Row],[BookieOdds]]-LayTable[[#This Row],[BookieInnsats]])*(1-LayTable[[#This Row],[C% Bookie]])</f>
        <v>0</v>
      </c>
      <c r="AA71" s="43">
        <f>LayTable[[#This Row],[LayInnsats]]*(1-LayTable[[#This Row],[C% Lay]])</f>
        <v>0</v>
      </c>
      <c r="AB71" s="43">
        <f>IFERROR(IF(LayTable[[#This Row],[Sport]]="",AB70,LayTable[[#This Row],[Faktisk res]]+AB70),"")</f>
        <v>168.91219999999998</v>
      </c>
      <c r="AC71" s="43">
        <f>(LayTable[[#This Row],[BackWin-Commission]]+LayTable[[#This Row],[BookieInnsats]])</f>
        <v>0</v>
      </c>
      <c r="AD71" s="43" t="e">
        <f>(LayTable[[#This Row],[LayWin-Commission]])+LayTable[[#This Row],[LayLiability]]</f>
        <v>#VALUE!</v>
      </c>
      <c r="AE71" s="181"/>
      <c r="AF71" s="181"/>
    </row>
    <row r="72" spans="1:32">
      <c r="A72" s="183"/>
      <c r="B72" s="177"/>
      <c r="C72" s="178"/>
      <c r="D72" s="179"/>
      <c r="E72" s="178"/>
      <c r="F72" s="179"/>
      <c r="G72" s="183"/>
      <c r="H72" s="176"/>
      <c r="I72" s="180"/>
      <c r="J72" s="180"/>
      <c r="K72" s="181"/>
      <c r="L72" s="181"/>
      <c r="M72" s="44" t="str">
        <f>IF(LayTable[[#This Row],[Sport]]="","",LayTable[[#This Row],[LayInnsats]]*(LayTable[[#This Row],[LayOdds]]-1))</f>
        <v/>
      </c>
      <c r="N72" s="45" t="str">
        <f>IF(LayTable[[#This Row],[Sport]]="","",1/((1/LayTable[[#This Row],[BookieOdds]])+(1/((1/((1+((LayTable[[#This Row],[LayOdds]]-1)*(1+LayTable[[#This Row],[C% Lay]])))-1))+1)))-1)</f>
        <v/>
      </c>
      <c r="Q72" s="46" t="str">
        <f>IF(LayTable[[#This Row],[Sport]]="","",LayTable[[#This Row],[BookieInnsats]]+LayTable[[#This Row],[LayLiability]])</f>
        <v/>
      </c>
      <c r="R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 s="47" t="str">
        <f>IF(LayTable[[#This Row],[Utfall bookie]]="","",LayTable[[#This Row],[WBABack]]+LayTable[[#This Row],[WBALay]]-LayTable[[#This Row],[Total inns]])</f>
        <v/>
      </c>
      <c r="U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 s="48" t="str">
        <f>IFERROR(IF(LayTable[[#This Row],[Total inns]]="","",LayTable[[#This Row],[Rback]]/LayTable[[#This Row],[Total inns]]),"")</f>
        <v/>
      </c>
      <c r="X72" s="48" t="str">
        <f>IFERROR(IF(LayTable[[#This Row],[Total inns]]="","",LayTable[[#This Row],[Rlay]]/LayTable[[#This Row],[Total inns]]),"")</f>
        <v/>
      </c>
      <c r="Y72" s="48" t="str">
        <f>IFERROR(LayTable[[#This Row],[Faktisk res]]/LayTable[[#This Row],[Total inns]],"")</f>
        <v/>
      </c>
      <c r="Z72" s="47">
        <f>(LayTable[[#This Row],[BookieInnsats]]*LayTable[[#This Row],[BookieOdds]]-LayTable[[#This Row],[BookieInnsats]])*(1-LayTable[[#This Row],[C% Bookie]])</f>
        <v>0</v>
      </c>
      <c r="AA72" s="43">
        <f>LayTable[[#This Row],[LayInnsats]]*(1-LayTable[[#This Row],[C% Lay]])</f>
        <v>0</v>
      </c>
      <c r="AB72" s="43">
        <f>IFERROR(IF(LayTable[[#This Row],[Sport]]="",AB71,LayTable[[#This Row],[Faktisk res]]+AB71),"")</f>
        <v>168.91219999999998</v>
      </c>
      <c r="AC72" s="43">
        <f>(LayTable[[#This Row],[BackWin-Commission]]+LayTable[[#This Row],[BookieInnsats]])</f>
        <v>0</v>
      </c>
      <c r="AD72" s="43" t="e">
        <f>(LayTable[[#This Row],[LayWin-Commission]])+LayTable[[#This Row],[LayLiability]]</f>
        <v>#VALUE!</v>
      </c>
      <c r="AE72" s="181"/>
      <c r="AF72" s="181"/>
    </row>
    <row r="73" spans="1:32">
      <c r="A73" s="183"/>
      <c r="B73" s="177"/>
      <c r="C73" s="178"/>
      <c r="D73" s="179"/>
      <c r="E73" s="178"/>
      <c r="F73" s="179"/>
      <c r="G73" s="183"/>
      <c r="H73" s="176"/>
      <c r="I73" s="180"/>
      <c r="J73" s="180"/>
      <c r="K73" s="181"/>
      <c r="L73" s="181"/>
      <c r="M73" s="44" t="str">
        <f>IF(LayTable[[#This Row],[Sport]]="","",LayTable[[#This Row],[LayInnsats]]*(LayTable[[#This Row],[LayOdds]]-1))</f>
        <v/>
      </c>
      <c r="N73" s="45" t="str">
        <f>IF(LayTable[[#This Row],[Sport]]="","",1/((1/LayTable[[#This Row],[BookieOdds]])+(1/((1/((1+((LayTable[[#This Row],[LayOdds]]-1)*(1+LayTable[[#This Row],[C% Lay]])))-1))+1)))-1)</f>
        <v/>
      </c>
      <c r="Q73" s="46" t="str">
        <f>IF(LayTable[[#This Row],[Sport]]="","",LayTable[[#This Row],[BookieInnsats]]+LayTable[[#This Row],[LayLiability]])</f>
        <v/>
      </c>
      <c r="R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 s="47" t="str">
        <f>IF(LayTable[[#This Row],[Utfall bookie]]="","",LayTable[[#This Row],[WBABack]]+LayTable[[#This Row],[WBALay]]-LayTable[[#This Row],[Total inns]])</f>
        <v/>
      </c>
      <c r="U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 s="48" t="str">
        <f>IFERROR(IF(LayTable[[#This Row],[Total inns]]="","",LayTable[[#This Row],[Rback]]/LayTable[[#This Row],[Total inns]]),"")</f>
        <v/>
      </c>
      <c r="X73" s="48" t="str">
        <f>IFERROR(IF(LayTable[[#This Row],[Total inns]]="","",LayTable[[#This Row],[Rlay]]/LayTable[[#This Row],[Total inns]]),"")</f>
        <v/>
      </c>
      <c r="Y73" s="48" t="str">
        <f>IFERROR(LayTable[[#This Row],[Faktisk res]]/LayTable[[#This Row],[Total inns]],"")</f>
        <v/>
      </c>
      <c r="Z73" s="47">
        <f>(LayTable[[#This Row],[BookieInnsats]]*LayTable[[#This Row],[BookieOdds]]-LayTable[[#This Row],[BookieInnsats]])*(1-LayTable[[#This Row],[C% Bookie]])</f>
        <v>0</v>
      </c>
      <c r="AA73" s="43">
        <f>LayTable[[#This Row],[LayInnsats]]*(1-LayTable[[#This Row],[C% Lay]])</f>
        <v>0</v>
      </c>
      <c r="AB73" s="43">
        <f>IFERROR(IF(LayTable[[#This Row],[Sport]]="",AB72,LayTable[[#This Row],[Faktisk res]]+AB72),"")</f>
        <v>168.91219999999998</v>
      </c>
      <c r="AC73" s="43">
        <f>(LayTable[[#This Row],[BackWin-Commission]]+LayTable[[#This Row],[BookieInnsats]])</f>
        <v>0</v>
      </c>
      <c r="AD73" s="43" t="e">
        <f>(LayTable[[#This Row],[LayWin-Commission]])+LayTable[[#This Row],[LayLiability]]</f>
        <v>#VALUE!</v>
      </c>
      <c r="AE73" s="181"/>
      <c r="AF73" s="181"/>
    </row>
    <row r="74" spans="1:32">
      <c r="A74" s="183"/>
      <c r="B74" s="177"/>
      <c r="C74" s="178"/>
      <c r="D74" s="179"/>
      <c r="E74" s="178"/>
      <c r="F74" s="179"/>
      <c r="G74" s="183"/>
      <c r="H74" s="176"/>
      <c r="I74" s="180"/>
      <c r="J74" s="180"/>
      <c r="K74" s="181"/>
      <c r="L74" s="181"/>
      <c r="M74" s="44" t="str">
        <f>IF(LayTable[[#This Row],[Sport]]="","",LayTable[[#This Row],[LayInnsats]]*(LayTable[[#This Row],[LayOdds]]-1))</f>
        <v/>
      </c>
      <c r="N74" s="45" t="str">
        <f>IF(LayTable[[#This Row],[Sport]]="","",1/((1/LayTable[[#This Row],[BookieOdds]])+(1/((1/((1+((LayTable[[#This Row],[LayOdds]]-1)*(1+LayTable[[#This Row],[C% Lay]])))-1))+1)))-1)</f>
        <v/>
      </c>
      <c r="Q74" s="46" t="str">
        <f>IF(LayTable[[#This Row],[Sport]]="","",LayTable[[#This Row],[BookieInnsats]]+LayTable[[#This Row],[LayLiability]])</f>
        <v/>
      </c>
      <c r="R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 s="47" t="str">
        <f>IF(LayTable[[#This Row],[Utfall bookie]]="","",LayTable[[#This Row],[WBABack]]+LayTable[[#This Row],[WBALay]]-LayTable[[#This Row],[Total inns]])</f>
        <v/>
      </c>
      <c r="U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 s="48" t="str">
        <f>IFERROR(IF(LayTable[[#This Row],[Total inns]]="","",LayTable[[#This Row],[Rback]]/LayTable[[#This Row],[Total inns]]),"")</f>
        <v/>
      </c>
      <c r="X74" s="48" t="str">
        <f>IFERROR(IF(LayTable[[#This Row],[Total inns]]="","",LayTable[[#This Row],[Rlay]]/LayTable[[#This Row],[Total inns]]),"")</f>
        <v/>
      </c>
      <c r="Y74" s="48" t="str">
        <f>IFERROR(LayTable[[#This Row],[Faktisk res]]/LayTable[[#This Row],[Total inns]],"")</f>
        <v/>
      </c>
      <c r="Z74" s="47">
        <f>(LayTable[[#This Row],[BookieInnsats]]*LayTable[[#This Row],[BookieOdds]]-LayTable[[#This Row],[BookieInnsats]])*(1-LayTable[[#This Row],[C% Bookie]])</f>
        <v>0</v>
      </c>
      <c r="AA74" s="43">
        <f>LayTable[[#This Row],[LayInnsats]]*(1-LayTable[[#This Row],[C% Lay]])</f>
        <v>0</v>
      </c>
      <c r="AB74" s="43">
        <f>IFERROR(IF(LayTable[[#This Row],[Sport]]="",AB73,LayTable[[#This Row],[Faktisk res]]+AB73),"")</f>
        <v>168.91219999999998</v>
      </c>
      <c r="AC74" s="43">
        <f>(LayTable[[#This Row],[BackWin-Commission]]+LayTable[[#This Row],[BookieInnsats]])</f>
        <v>0</v>
      </c>
      <c r="AD74" s="43" t="e">
        <f>(LayTable[[#This Row],[LayWin-Commission]])+LayTable[[#This Row],[LayLiability]]</f>
        <v>#VALUE!</v>
      </c>
      <c r="AE74" s="181"/>
      <c r="AF74" s="181"/>
    </row>
    <row r="75" spans="1:32">
      <c r="A75" s="183"/>
      <c r="B75" s="177"/>
      <c r="C75" s="178"/>
      <c r="D75" s="179"/>
      <c r="E75" s="178"/>
      <c r="F75" s="179"/>
      <c r="G75" s="183"/>
      <c r="H75" s="176"/>
      <c r="I75" s="180"/>
      <c r="J75" s="180"/>
      <c r="K75" s="181"/>
      <c r="L75" s="181"/>
      <c r="M75" s="44" t="str">
        <f>IF(LayTable[[#This Row],[Sport]]="","",LayTable[[#This Row],[LayInnsats]]*(LayTable[[#This Row],[LayOdds]]-1))</f>
        <v/>
      </c>
      <c r="N75" s="45" t="str">
        <f>IF(LayTable[[#This Row],[Sport]]="","",1/((1/LayTable[[#This Row],[BookieOdds]])+(1/((1/((1+((LayTable[[#This Row],[LayOdds]]-1)*(1+LayTable[[#This Row],[C% Lay]])))-1))+1)))-1)</f>
        <v/>
      </c>
      <c r="Q75" s="46" t="str">
        <f>IF(LayTable[[#This Row],[Sport]]="","",LayTable[[#This Row],[BookieInnsats]]+LayTable[[#This Row],[LayLiability]])</f>
        <v/>
      </c>
      <c r="R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 s="47" t="str">
        <f>IF(LayTable[[#This Row],[Utfall bookie]]="","",LayTable[[#This Row],[WBABack]]+LayTable[[#This Row],[WBALay]]-LayTable[[#This Row],[Total inns]])</f>
        <v/>
      </c>
      <c r="U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 s="48" t="str">
        <f>IFERROR(IF(LayTable[[#This Row],[Total inns]]="","",LayTable[[#This Row],[Rback]]/LayTable[[#This Row],[Total inns]]),"")</f>
        <v/>
      </c>
      <c r="X75" s="48" t="str">
        <f>IFERROR(IF(LayTable[[#This Row],[Total inns]]="","",LayTable[[#This Row],[Rlay]]/LayTable[[#This Row],[Total inns]]),"")</f>
        <v/>
      </c>
      <c r="Y75" s="48" t="str">
        <f>IFERROR(LayTable[[#This Row],[Faktisk res]]/LayTable[[#This Row],[Total inns]],"")</f>
        <v/>
      </c>
      <c r="Z75" s="47">
        <f>(LayTable[[#This Row],[BookieInnsats]]*LayTable[[#This Row],[BookieOdds]]-LayTable[[#This Row],[BookieInnsats]])*(1-LayTable[[#This Row],[C% Bookie]])</f>
        <v>0</v>
      </c>
      <c r="AA75" s="43">
        <f>LayTable[[#This Row],[LayInnsats]]*(1-LayTable[[#This Row],[C% Lay]])</f>
        <v>0</v>
      </c>
      <c r="AB75" s="43">
        <f>IFERROR(IF(LayTable[[#This Row],[Sport]]="",AB74,LayTable[[#This Row],[Faktisk res]]+AB74),"")</f>
        <v>168.91219999999998</v>
      </c>
      <c r="AC75" s="43">
        <f>(LayTable[[#This Row],[BackWin-Commission]]+LayTable[[#This Row],[BookieInnsats]])</f>
        <v>0</v>
      </c>
      <c r="AD75" s="43" t="e">
        <f>(LayTable[[#This Row],[LayWin-Commission]])+LayTable[[#This Row],[LayLiability]]</f>
        <v>#VALUE!</v>
      </c>
      <c r="AE75" s="181"/>
      <c r="AF75" s="181"/>
    </row>
    <row r="76" spans="1:32">
      <c r="A76" s="183"/>
      <c r="B76" s="177"/>
      <c r="C76" s="178"/>
      <c r="D76" s="179"/>
      <c r="E76" s="178"/>
      <c r="F76" s="179"/>
      <c r="G76" s="183"/>
      <c r="H76" s="176"/>
      <c r="I76" s="180"/>
      <c r="J76" s="180"/>
      <c r="K76" s="181"/>
      <c r="L76" s="181"/>
      <c r="M76" s="44" t="str">
        <f>IF(LayTable[[#This Row],[Sport]]="","",LayTable[[#This Row],[LayInnsats]]*(LayTable[[#This Row],[LayOdds]]-1))</f>
        <v/>
      </c>
      <c r="N76" s="45" t="str">
        <f>IF(LayTable[[#This Row],[Sport]]="","",1/((1/LayTable[[#This Row],[BookieOdds]])+(1/((1/((1+((LayTable[[#This Row],[LayOdds]]-1)*(1+LayTable[[#This Row],[C% Lay]])))-1))+1)))-1)</f>
        <v/>
      </c>
      <c r="Q76" s="46" t="str">
        <f>IF(LayTable[[#This Row],[Sport]]="","",LayTable[[#This Row],[BookieInnsats]]+LayTable[[#This Row],[LayLiability]])</f>
        <v/>
      </c>
      <c r="R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 s="47" t="str">
        <f>IF(LayTable[[#This Row],[Utfall bookie]]="","",LayTable[[#This Row],[WBABack]]+LayTable[[#This Row],[WBALay]]-LayTable[[#This Row],[Total inns]])</f>
        <v/>
      </c>
      <c r="U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 s="48" t="str">
        <f>IFERROR(IF(LayTable[[#This Row],[Total inns]]="","",LayTable[[#This Row],[Rback]]/LayTable[[#This Row],[Total inns]]),"")</f>
        <v/>
      </c>
      <c r="X76" s="48" t="str">
        <f>IFERROR(IF(LayTable[[#This Row],[Total inns]]="","",LayTable[[#This Row],[Rlay]]/LayTable[[#This Row],[Total inns]]),"")</f>
        <v/>
      </c>
      <c r="Y76" s="48" t="str">
        <f>IFERROR(LayTable[[#This Row],[Faktisk res]]/LayTable[[#This Row],[Total inns]],"")</f>
        <v/>
      </c>
      <c r="Z76" s="47">
        <f>(LayTable[[#This Row],[BookieInnsats]]*LayTable[[#This Row],[BookieOdds]]-LayTable[[#This Row],[BookieInnsats]])*(1-LayTable[[#This Row],[C% Bookie]])</f>
        <v>0</v>
      </c>
      <c r="AA76" s="43">
        <f>LayTable[[#This Row],[LayInnsats]]*(1-LayTable[[#This Row],[C% Lay]])</f>
        <v>0</v>
      </c>
      <c r="AB76" s="43">
        <f>IFERROR(IF(LayTable[[#This Row],[Sport]]="",AB75,LayTable[[#This Row],[Faktisk res]]+AB75),"")</f>
        <v>168.91219999999998</v>
      </c>
      <c r="AC76" s="43">
        <f>(LayTable[[#This Row],[BackWin-Commission]]+LayTable[[#This Row],[BookieInnsats]])</f>
        <v>0</v>
      </c>
      <c r="AD76" s="43" t="e">
        <f>(LayTable[[#This Row],[LayWin-Commission]])+LayTable[[#This Row],[LayLiability]]</f>
        <v>#VALUE!</v>
      </c>
      <c r="AE76" s="181"/>
      <c r="AF76" s="181"/>
    </row>
    <row r="77" spans="1:32">
      <c r="A77" s="183"/>
      <c r="B77" s="177"/>
      <c r="C77" s="178"/>
      <c r="D77" s="179"/>
      <c r="E77" s="178"/>
      <c r="F77" s="179"/>
      <c r="G77" s="183"/>
      <c r="H77" s="176"/>
      <c r="I77" s="180"/>
      <c r="J77" s="180"/>
      <c r="K77" s="181"/>
      <c r="L77" s="181"/>
      <c r="M77" s="44" t="str">
        <f>IF(LayTable[[#This Row],[Sport]]="","",LayTable[[#This Row],[LayInnsats]]*(LayTable[[#This Row],[LayOdds]]-1))</f>
        <v/>
      </c>
      <c r="N77" s="45" t="str">
        <f>IF(LayTable[[#This Row],[Sport]]="","",1/((1/LayTable[[#This Row],[BookieOdds]])+(1/((1/((1+((LayTable[[#This Row],[LayOdds]]-1)*(1+LayTable[[#This Row],[C% Lay]])))-1))+1)))-1)</f>
        <v/>
      </c>
      <c r="Q77" s="46" t="str">
        <f>IF(LayTable[[#This Row],[Sport]]="","",LayTable[[#This Row],[BookieInnsats]]+LayTable[[#This Row],[LayLiability]])</f>
        <v/>
      </c>
      <c r="R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 s="47" t="str">
        <f>IF(LayTable[[#This Row],[Utfall bookie]]="","",LayTable[[#This Row],[WBABack]]+LayTable[[#This Row],[WBALay]]-LayTable[[#This Row],[Total inns]])</f>
        <v/>
      </c>
      <c r="U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 s="48" t="str">
        <f>IFERROR(IF(LayTable[[#This Row],[Total inns]]="","",LayTable[[#This Row],[Rback]]/LayTable[[#This Row],[Total inns]]),"")</f>
        <v/>
      </c>
      <c r="X77" s="48" t="str">
        <f>IFERROR(IF(LayTable[[#This Row],[Total inns]]="","",LayTable[[#This Row],[Rlay]]/LayTable[[#This Row],[Total inns]]),"")</f>
        <v/>
      </c>
      <c r="Y77" s="48" t="str">
        <f>IFERROR(LayTable[[#This Row],[Faktisk res]]/LayTable[[#This Row],[Total inns]],"")</f>
        <v/>
      </c>
      <c r="Z77" s="47">
        <f>(LayTable[[#This Row],[BookieInnsats]]*LayTable[[#This Row],[BookieOdds]]-LayTable[[#This Row],[BookieInnsats]])*(1-LayTable[[#This Row],[C% Bookie]])</f>
        <v>0</v>
      </c>
      <c r="AA77" s="43">
        <f>LayTable[[#This Row],[LayInnsats]]*(1-LayTable[[#This Row],[C% Lay]])</f>
        <v>0</v>
      </c>
      <c r="AB77" s="43">
        <f>IFERROR(IF(LayTable[[#This Row],[Sport]]="",AB76,LayTable[[#This Row],[Faktisk res]]+AB76),"")</f>
        <v>168.91219999999998</v>
      </c>
      <c r="AC77" s="43">
        <f>(LayTable[[#This Row],[BackWin-Commission]]+LayTable[[#This Row],[BookieInnsats]])</f>
        <v>0</v>
      </c>
      <c r="AD77" s="43" t="e">
        <f>(LayTable[[#This Row],[LayWin-Commission]])+LayTable[[#This Row],[LayLiability]]</f>
        <v>#VALUE!</v>
      </c>
      <c r="AE77" s="181"/>
      <c r="AF77" s="181"/>
    </row>
    <row r="78" spans="1:32">
      <c r="A78" s="183"/>
      <c r="B78" s="177"/>
      <c r="C78" s="178"/>
      <c r="D78" s="179"/>
      <c r="E78" s="178"/>
      <c r="F78" s="179"/>
      <c r="G78" s="183"/>
      <c r="H78" s="176"/>
      <c r="I78" s="180"/>
      <c r="J78" s="180"/>
      <c r="K78" s="181"/>
      <c r="L78" s="181"/>
      <c r="M78" s="44" t="str">
        <f>IF(LayTable[[#This Row],[Sport]]="","",LayTable[[#This Row],[LayInnsats]]*(LayTable[[#This Row],[LayOdds]]-1))</f>
        <v/>
      </c>
      <c r="N78" s="45" t="str">
        <f>IF(LayTable[[#This Row],[Sport]]="","",1/((1/LayTable[[#This Row],[BookieOdds]])+(1/((1/((1+((LayTable[[#This Row],[LayOdds]]-1)*(1+LayTable[[#This Row],[C% Lay]])))-1))+1)))-1)</f>
        <v/>
      </c>
      <c r="Q78" s="46" t="str">
        <f>IF(LayTable[[#This Row],[Sport]]="","",LayTable[[#This Row],[BookieInnsats]]+LayTable[[#This Row],[LayLiability]])</f>
        <v/>
      </c>
      <c r="R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 s="47" t="str">
        <f>IF(LayTable[[#This Row],[Utfall bookie]]="","",LayTable[[#This Row],[WBABack]]+LayTable[[#This Row],[WBALay]]-LayTable[[#This Row],[Total inns]])</f>
        <v/>
      </c>
      <c r="U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 s="48" t="str">
        <f>IFERROR(IF(LayTable[[#This Row],[Total inns]]="","",LayTable[[#This Row],[Rback]]/LayTable[[#This Row],[Total inns]]),"")</f>
        <v/>
      </c>
      <c r="X78" s="48" t="str">
        <f>IFERROR(IF(LayTable[[#This Row],[Total inns]]="","",LayTable[[#This Row],[Rlay]]/LayTable[[#This Row],[Total inns]]),"")</f>
        <v/>
      </c>
      <c r="Y78" s="48" t="str">
        <f>IFERROR(LayTable[[#This Row],[Faktisk res]]/LayTable[[#This Row],[Total inns]],"")</f>
        <v/>
      </c>
      <c r="Z78" s="47">
        <f>(LayTable[[#This Row],[BookieInnsats]]*LayTable[[#This Row],[BookieOdds]]-LayTable[[#This Row],[BookieInnsats]])*(1-LayTable[[#This Row],[C% Bookie]])</f>
        <v>0</v>
      </c>
      <c r="AA78" s="43">
        <f>LayTable[[#This Row],[LayInnsats]]*(1-LayTable[[#This Row],[C% Lay]])</f>
        <v>0</v>
      </c>
      <c r="AB78" s="43">
        <f>IFERROR(IF(LayTable[[#This Row],[Sport]]="",AB77,LayTable[[#This Row],[Faktisk res]]+AB77),"")</f>
        <v>168.91219999999998</v>
      </c>
      <c r="AC78" s="43">
        <f>(LayTable[[#This Row],[BackWin-Commission]]+LayTable[[#This Row],[BookieInnsats]])</f>
        <v>0</v>
      </c>
      <c r="AD78" s="43" t="e">
        <f>(LayTable[[#This Row],[LayWin-Commission]])+LayTable[[#This Row],[LayLiability]]</f>
        <v>#VALUE!</v>
      </c>
      <c r="AE78" s="181"/>
      <c r="AF78" s="181"/>
    </row>
    <row r="79" spans="1:32">
      <c r="A79" s="183"/>
      <c r="B79" s="177"/>
      <c r="C79" s="178"/>
      <c r="D79" s="179"/>
      <c r="E79" s="178"/>
      <c r="F79" s="179"/>
      <c r="G79" s="183"/>
      <c r="H79" s="176"/>
      <c r="I79" s="180"/>
      <c r="J79" s="180"/>
      <c r="K79" s="181"/>
      <c r="L79" s="181"/>
      <c r="M79" s="44" t="str">
        <f>IF(LayTable[[#This Row],[Sport]]="","",LayTable[[#This Row],[LayInnsats]]*(LayTable[[#This Row],[LayOdds]]-1))</f>
        <v/>
      </c>
      <c r="N79" s="45" t="str">
        <f>IF(LayTable[[#This Row],[Sport]]="","",1/((1/LayTable[[#This Row],[BookieOdds]])+(1/((1/((1+((LayTable[[#This Row],[LayOdds]]-1)*(1+LayTable[[#This Row],[C% Lay]])))-1))+1)))-1)</f>
        <v/>
      </c>
      <c r="Q79" s="46" t="str">
        <f>IF(LayTable[[#This Row],[Sport]]="","",LayTable[[#This Row],[BookieInnsats]]+LayTable[[#This Row],[LayLiability]])</f>
        <v/>
      </c>
      <c r="R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 s="47" t="str">
        <f>IF(LayTable[[#This Row],[Utfall bookie]]="","",LayTable[[#This Row],[WBABack]]+LayTable[[#This Row],[WBALay]]-LayTable[[#This Row],[Total inns]])</f>
        <v/>
      </c>
      <c r="U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 s="48" t="str">
        <f>IFERROR(IF(LayTable[[#This Row],[Total inns]]="","",LayTable[[#This Row],[Rback]]/LayTable[[#This Row],[Total inns]]),"")</f>
        <v/>
      </c>
      <c r="X79" s="48" t="str">
        <f>IFERROR(IF(LayTable[[#This Row],[Total inns]]="","",LayTable[[#This Row],[Rlay]]/LayTable[[#This Row],[Total inns]]),"")</f>
        <v/>
      </c>
      <c r="Y79" s="48" t="str">
        <f>IFERROR(LayTable[[#This Row],[Faktisk res]]/LayTable[[#This Row],[Total inns]],"")</f>
        <v/>
      </c>
      <c r="Z79" s="47">
        <f>(LayTable[[#This Row],[BookieInnsats]]*LayTable[[#This Row],[BookieOdds]]-LayTable[[#This Row],[BookieInnsats]])*(1-LayTable[[#This Row],[C% Bookie]])</f>
        <v>0</v>
      </c>
      <c r="AA79" s="43">
        <f>LayTable[[#This Row],[LayInnsats]]*(1-LayTable[[#This Row],[C% Lay]])</f>
        <v>0</v>
      </c>
      <c r="AB79" s="43">
        <f>IFERROR(IF(LayTable[[#This Row],[Sport]]="",AB78,LayTable[[#This Row],[Faktisk res]]+AB78),"")</f>
        <v>168.91219999999998</v>
      </c>
      <c r="AC79" s="43">
        <f>(LayTable[[#This Row],[BackWin-Commission]]+LayTable[[#This Row],[BookieInnsats]])</f>
        <v>0</v>
      </c>
      <c r="AD79" s="43" t="e">
        <f>(LayTable[[#This Row],[LayWin-Commission]])+LayTable[[#This Row],[LayLiability]]</f>
        <v>#VALUE!</v>
      </c>
      <c r="AE79" s="181"/>
      <c r="AF79" s="181"/>
    </row>
    <row r="80" spans="1:32">
      <c r="A80" s="183"/>
      <c r="B80" s="177"/>
      <c r="C80" s="178"/>
      <c r="D80" s="179"/>
      <c r="E80" s="178"/>
      <c r="F80" s="179"/>
      <c r="G80" s="183"/>
      <c r="H80" s="176"/>
      <c r="I80" s="180"/>
      <c r="J80" s="180"/>
      <c r="K80" s="181"/>
      <c r="L80" s="181"/>
      <c r="M80" s="44" t="str">
        <f>IF(LayTable[[#This Row],[Sport]]="","",LayTable[[#This Row],[LayInnsats]]*(LayTable[[#This Row],[LayOdds]]-1))</f>
        <v/>
      </c>
      <c r="N80" s="45" t="str">
        <f>IF(LayTable[[#This Row],[Sport]]="","",1/((1/LayTable[[#This Row],[BookieOdds]])+(1/((1/((1+((LayTable[[#This Row],[LayOdds]]-1)*(1+LayTable[[#This Row],[C% Lay]])))-1))+1)))-1)</f>
        <v/>
      </c>
      <c r="Q80" s="46" t="str">
        <f>IF(LayTable[[#This Row],[Sport]]="","",LayTable[[#This Row],[BookieInnsats]]+LayTable[[#This Row],[LayLiability]])</f>
        <v/>
      </c>
      <c r="R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 s="47" t="str">
        <f>IF(LayTable[[#This Row],[Utfall bookie]]="","",LayTable[[#This Row],[WBABack]]+LayTable[[#This Row],[WBALay]]-LayTable[[#This Row],[Total inns]])</f>
        <v/>
      </c>
      <c r="U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 s="48" t="str">
        <f>IFERROR(IF(LayTable[[#This Row],[Total inns]]="","",LayTable[[#This Row],[Rback]]/LayTable[[#This Row],[Total inns]]),"")</f>
        <v/>
      </c>
      <c r="X80" s="48" t="str">
        <f>IFERROR(IF(LayTable[[#This Row],[Total inns]]="","",LayTable[[#This Row],[Rlay]]/LayTable[[#This Row],[Total inns]]),"")</f>
        <v/>
      </c>
      <c r="Y80" s="48" t="str">
        <f>IFERROR(LayTable[[#This Row],[Faktisk res]]/LayTable[[#This Row],[Total inns]],"")</f>
        <v/>
      </c>
      <c r="Z80" s="47">
        <f>(LayTable[[#This Row],[BookieInnsats]]*LayTable[[#This Row],[BookieOdds]]-LayTable[[#This Row],[BookieInnsats]])*(1-LayTable[[#This Row],[C% Bookie]])</f>
        <v>0</v>
      </c>
      <c r="AA80" s="43">
        <f>LayTable[[#This Row],[LayInnsats]]*(1-LayTable[[#This Row],[C% Lay]])</f>
        <v>0</v>
      </c>
      <c r="AB80" s="43">
        <f>IFERROR(IF(LayTable[[#This Row],[Sport]]="",AB79,LayTable[[#This Row],[Faktisk res]]+AB79),"")</f>
        <v>168.91219999999998</v>
      </c>
      <c r="AC80" s="43">
        <f>(LayTable[[#This Row],[BackWin-Commission]]+LayTable[[#This Row],[BookieInnsats]])</f>
        <v>0</v>
      </c>
      <c r="AD80" s="43" t="e">
        <f>(LayTable[[#This Row],[LayWin-Commission]])+LayTable[[#This Row],[LayLiability]]</f>
        <v>#VALUE!</v>
      </c>
      <c r="AE80" s="181"/>
      <c r="AF80" s="181"/>
    </row>
    <row r="81" spans="1:32">
      <c r="A81" s="183"/>
      <c r="B81" s="177"/>
      <c r="C81" s="178"/>
      <c r="D81" s="179"/>
      <c r="E81" s="178"/>
      <c r="F81" s="179"/>
      <c r="G81" s="183"/>
      <c r="H81" s="176"/>
      <c r="I81" s="180"/>
      <c r="J81" s="180"/>
      <c r="K81" s="181"/>
      <c r="L81" s="181"/>
      <c r="M81" s="44" t="str">
        <f>IF(LayTable[[#This Row],[Sport]]="","",LayTable[[#This Row],[LayInnsats]]*(LayTable[[#This Row],[LayOdds]]-1))</f>
        <v/>
      </c>
      <c r="N81" s="45" t="str">
        <f>IF(LayTable[[#This Row],[Sport]]="","",1/((1/LayTable[[#This Row],[BookieOdds]])+(1/((1/((1+((LayTable[[#This Row],[LayOdds]]-1)*(1+LayTable[[#This Row],[C% Lay]])))-1))+1)))-1)</f>
        <v/>
      </c>
      <c r="Q81" s="46" t="str">
        <f>IF(LayTable[[#This Row],[Sport]]="","",LayTable[[#This Row],[BookieInnsats]]+LayTable[[#This Row],[LayLiability]])</f>
        <v/>
      </c>
      <c r="R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 s="47" t="str">
        <f>IF(LayTable[[#This Row],[Utfall bookie]]="","",LayTable[[#This Row],[WBABack]]+LayTable[[#This Row],[WBALay]]-LayTable[[#This Row],[Total inns]])</f>
        <v/>
      </c>
      <c r="U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 s="48" t="str">
        <f>IFERROR(IF(LayTable[[#This Row],[Total inns]]="","",LayTable[[#This Row],[Rback]]/LayTable[[#This Row],[Total inns]]),"")</f>
        <v/>
      </c>
      <c r="X81" s="48" t="str">
        <f>IFERROR(IF(LayTable[[#This Row],[Total inns]]="","",LayTable[[#This Row],[Rlay]]/LayTable[[#This Row],[Total inns]]),"")</f>
        <v/>
      </c>
      <c r="Y81" s="48" t="str">
        <f>IFERROR(LayTable[[#This Row],[Faktisk res]]/LayTable[[#This Row],[Total inns]],"")</f>
        <v/>
      </c>
      <c r="Z81" s="47">
        <f>(LayTable[[#This Row],[BookieInnsats]]*LayTable[[#This Row],[BookieOdds]]-LayTable[[#This Row],[BookieInnsats]])*(1-LayTable[[#This Row],[C% Bookie]])</f>
        <v>0</v>
      </c>
      <c r="AA81" s="43">
        <f>LayTable[[#This Row],[LayInnsats]]*(1-LayTable[[#This Row],[C% Lay]])</f>
        <v>0</v>
      </c>
      <c r="AB81" s="43">
        <f>IFERROR(IF(LayTable[[#This Row],[Sport]]="",AB80,LayTable[[#This Row],[Faktisk res]]+AB80),"")</f>
        <v>168.91219999999998</v>
      </c>
      <c r="AC81" s="43">
        <f>(LayTable[[#This Row],[BackWin-Commission]]+LayTable[[#This Row],[BookieInnsats]])</f>
        <v>0</v>
      </c>
      <c r="AD81" s="43" t="e">
        <f>(LayTable[[#This Row],[LayWin-Commission]])+LayTable[[#This Row],[LayLiability]]</f>
        <v>#VALUE!</v>
      </c>
      <c r="AE81" s="181"/>
      <c r="AF81" s="181"/>
    </row>
    <row r="82" spans="1:32">
      <c r="A82" s="183"/>
      <c r="B82" s="177"/>
      <c r="C82" s="178"/>
      <c r="D82" s="179"/>
      <c r="E82" s="178"/>
      <c r="F82" s="179"/>
      <c r="G82" s="183"/>
      <c r="H82" s="176"/>
      <c r="I82" s="180"/>
      <c r="J82" s="180"/>
      <c r="K82" s="181"/>
      <c r="L82" s="181"/>
      <c r="M82" s="44" t="str">
        <f>IF(LayTable[[#This Row],[Sport]]="","",LayTable[[#This Row],[LayInnsats]]*(LayTable[[#This Row],[LayOdds]]-1))</f>
        <v/>
      </c>
      <c r="N82" s="45" t="str">
        <f>IF(LayTable[[#This Row],[Sport]]="","",1/((1/LayTable[[#This Row],[BookieOdds]])+(1/((1/((1+((LayTable[[#This Row],[LayOdds]]-1)*(1+LayTable[[#This Row],[C% Lay]])))-1))+1)))-1)</f>
        <v/>
      </c>
      <c r="Q82" s="46" t="str">
        <f>IF(LayTable[[#This Row],[Sport]]="","",LayTable[[#This Row],[BookieInnsats]]+LayTable[[#This Row],[LayLiability]])</f>
        <v/>
      </c>
      <c r="R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 s="47" t="str">
        <f>IF(LayTable[[#This Row],[Utfall bookie]]="","",LayTable[[#This Row],[WBABack]]+LayTable[[#This Row],[WBALay]]-LayTable[[#This Row],[Total inns]])</f>
        <v/>
      </c>
      <c r="U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 s="48" t="str">
        <f>IFERROR(IF(LayTable[[#This Row],[Total inns]]="","",LayTable[[#This Row],[Rback]]/LayTable[[#This Row],[Total inns]]),"")</f>
        <v/>
      </c>
      <c r="X82" s="48" t="str">
        <f>IFERROR(IF(LayTable[[#This Row],[Total inns]]="","",LayTable[[#This Row],[Rlay]]/LayTable[[#This Row],[Total inns]]),"")</f>
        <v/>
      </c>
      <c r="Y82" s="48" t="str">
        <f>IFERROR(LayTable[[#This Row],[Faktisk res]]/LayTable[[#This Row],[Total inns]],"")</f>
        <v/>
      </c>
      <c r="Z82" s="47">
        <f>(LayTable[[#This Row],[BookieInnsats]]*LayTable[[#This Row],[BookieOdds]]-LayTable[[#This Row],[BookieInnsats]])*(1-LayTable[[#This Row],[C% Bookie]])</f>
        <v>0</v>
      </c>
      <c r="AA82" s="43">
        <f>LayTable[[#This Row],[LayInnsats]]*(1-LayTable[[#This Row],[C% Lay]])</f>
        <v>0</v>
      </c>
      <c r="AB82" s="43">
        <f>IFERROR(IF(LayTable[[#This Row],[Sport]]="",AB81,LayTable[[#This Row],[Faktisk res]]+AB81),"")</f>
        <v>168.91219999999998</v>
      </c>
      <c r="AC82" s="43">
        <f>(LayTable[[#This Row],[BackWin-Commission]]+LayTable[[#This Row],[BookieInnsats]])</f>
        <v>0</v>
      </c>
      <c r="AD82" s="43" t="e">
        <f>(LayTable[[#This Row],[LayWin-Commission]])+LayTable[[#This Row],[LayLiability]]</f>
        <v>#VALUE!</v>
      </c>
      <c r="AE82" s="181"/>
      <c r="AF82" s="181"/>
    </row>
    <row r="83" spans="1:32">
      <c r="A83" s="183"/>
      <c r="B83" s="177"/>
      <c r="C83" s="178"/>
      <c r="D83" s="179"/>
      <c r="E83" s="178"/>
      <c r="F83" s="179"/>
      <c r="G83" s="183"/>
      <c r="H83" s="176"/>
      <c r="I83" s="180"/>
      <c r="J83" s="180"/>
      <c r="K83" s="181"/>
      <c r="L83" s="181"/>
      <c r="M83" s="44" t="str">
        <f>IF(LayTable[[#This Row],[Sport]]="","",LayTable[[#This Row],[LayInnsats]]*(LayTable[[#This Row],[LayOdds]]-1))</f>
        <v/>
      </c>
      <c r="N83" s="45" t="str">
        <f>IF(LayTable[[#This Row],[Sport]]="","",1/((1/LayTable[[#This Row],[BookieOdds]])+(1/((1/((1+((LayTable[[#This Row],[LayOdds]]-1)*(1+LayTable[[#This Row],[C% Lay]])))-1))+1)))-1)</f>
        <v/>
      </c>
      <c r="Q83" s="46" t="str">
        <f>IF(LayTable[[#This Row],[Sport]]="","",LayTable[[#This Row],[BookieInnsats]]+LayTable[[#This Row],[LayLiability]])</f>
        <v/>
      </c>
      <c r="R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 s="47" t="str">
        <f>IF(LayTable[[#This Row],[Utfall bookie]]="","",LayTable[[#This Row],[WBABack]]+LayTable[[#This Row],[WBALay]]-LayTable[[#This Row],[Total inns]])</f>
        <v/>
      </c>
      <c r="U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 s="48" t="str">
        <f>IFERROR(IF(LayTable[[#This Row],[Total inns]]="","",LayTable[[#This Row],[Rback]]/LayTable[[#This Row],[Total inns]]),"")</f>
        <v/>
      </c>
      <c r="X83" s="48" t="str">
        <f>IFERROR(IF(LayTable[[#This Row],[Total inns]]="","",LayTable[[#This Row],[Rlay]]/LayTable[[#This Row],[Total inns]]),"")</f>
        <v/>
      </c>
      <c r="Y83" s="48" t="str">
        <f>IFERROR(LayTable[[#This Row],[Faktisk res]]/LayTable[[#This Row],[Total inns]],"")</f>
        <v/>
      </c>
      <c r="Z83" s="47">
        <f>(LayTable[[#This Row],[BookieInnsats]]*LayTable[[#This Row],[BookieOdds]]-LayTable[[#This Row],[BookieInnsats]])*(1-LayTable[[#This Row],[C% Bookie]])</f>
        <v>0</v>
      </c>
      <c r="AA83" s="43">
        <f>LayTable[[#This Row],[LayInnsats]]*(1-LayTable[[#This Row],[C% Lay]])</f>
        <v>0</v>
      </c>
      <c r="AB83" s="43">
        <f>IFERROR(IF(LayTable[[#This Row],[Sport]]="",AB82,LayTable[[#This Row],[Faktisk res]]+AB82),"")</f>
        <v>168.91219999999998</v>
      </c>
      <c r="AC83" s="43">
        <f>(LayTable[[#This Row],[BackWin-Commission]]+LayTable[[#This Row],[BookieInnsats]])</f>
        <v>0</v>
      </c>
      <c r="AD83" s="43" t="e">
        <f>(LayTable[[#This Row],[LayWin-Commission]])+LayTable[[#This Row],[LayLiability]]</f>
        <v>#VALUE!</v>
      </c>
      <c r="AE83" s="181"/>
      <c r="AF83" s="181"/>
    </row>
    <row r="84" spans="1:32">
      <c r="A84" s="183"/>
      <c r="B84" s="177"/>
      <c r="C84" s="178"/>
      <c r="D84" s="179"/>
      <c r="E84" s="178"/>
      <c r="F84" s="179"/>
      <c r="G84" s="183"/>
      <c r="H84" s="176"/>
      <c r="I84" s="180"/>
      <c r="J84" s="180"/>
      <c r="K84" s="181"/>
      <c r="L84" s="181"/>
      <c r="M84" s="44" t="str">
        <f>IF(LayTable[[#This Row],[Sport]]="","",LayTable[[#This Row],[LayInnsats]]*(LayTable[[#This Row],[LayOdds]]-1))</f>
        <v/>
      </c>
      <c r="N84" s="45" t="str">
        <f>IF(LayTable[[#This Row],[Sport]]="","",1/((1/LayTable[[#This Row],[BookieOdds]])+(1/((1/((1+((LayTable[[#This Row],[LayOdds]]-1)*(1+LayTable[[#This Row],[C% Lay]])))-1))+1)))-1)</f>
        <v/>
      </c>
      <c r="Q84" s="46" t="str">
        <f>IF(LayTable[[#This Row],[Sport]]="","",LayTable[[#This Row],[BookieInnsats]]+LayTable[[#This Row],[LayLiability]])</f>
        <v/>
      </c>
      <c r="R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 s="47" t="str">
        <f>IF(LayTable[[#This Row],[Utfall bookie]]="","",LayTable[[#This Row],[WBABack]]+LayTable[[#This Row],[WBALay]]-LayTable[[#This Row],[Total inns]])</f>
        <v/>
      </c>
      <c r="U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 s="48" t="str">
        <f>IFERROR(IF(LayTable[[#This Row],[Total inns]]="","",LayTable[[#This Row],[Rback]]/LayTable[[#This Row],[Total inns]]),"")</f>
        <v/>
      </c>
      <c r="X84" s="48" t="str">
        <f>IFERROR(IF(LayTable[[#This Row],[Total inns]]="","",LayTable[[#This Row],[Rlay]]/LayTable[[#This Row],[Total inns]]),"")</f>
        <v/>
      </c>
      <c r="Y84" s="48" t="str">
        <f>IFERROR(LayTable[[#This Row],[Faktisk res]]/LayTable[[#This Row],[Total inns]],"")</f>
        <v/>
      </c>
      <c r="Z84" s="47">
        <f>(LayTable[[#This Row],[BookieInnsats]]*LayTable[[#This Row],[BookieOdds]]-LayTable[[#This Row],[BookieInnsats]])*(1-LayTable[[#This Row],[C% Bookie]])</f>
        <v>0</v>
      </c>
      <c r="AA84" s="43">
        <f>LayTable[[#This Row],[LayInnsats]]*(1-LayTable[[#This Row],[C% Lay]])</f>
        <v>0</v>
      </c>
      <c r="AB84" s="43">
        <f>IFERROR(IF(LayTable[[#This Row],[Sport]]="",AB83,LayTable[[#This Row],[Faktisk res]]+AB83),"")</f>
        <v>168.91219999999998</v>
      </c>
      <c r="AC84" s="43">
        <f>(LayTable[[#This Row],[BackWin-Commission]]+LayTable[[#This Row],[BookieInnsats]])</f>
        <v>0</v>
      </c>
      <c r="AD84" s="43" t="e">
        <f>(LayTable[[#This Row],[LayWin-Commission]])+LayTable[[#This Row],[LayLiability]]</f>
        <v>#VALUE!</v>
      </c>
      <c r="AE84" s="181"/>
      <c r="AF84" s="181"/>
    </row>
    <row r="85" spans="1:32">
      <c r="A85" s="183"/>
      <c r="B85" s="177"/>
      <c r="C85" s="178"/>
      <c r="D85" s="179"/>
      <c r="E85" s="178"/>
      <c r="F85" s="179"/>
      <c r="G85" s="183"/>
      <c r="H85" s="176"/>
      <c r="I85" s="180"/>
      <c r="J85" s="180"/>
      <c r="K85" s="181"/>
      <c r="L85" s="181"/>
      <c r="M85" s="44" t="str">
        <f>IF(LayTable[[#This Row],[Sport]]="","",LayTable[[#This Row],[LayInnsats]]*(LayTable[[#This Row],[LayOdds]]-1))</f>
        <v/>
      </c>
      <c r="N85" s="45" t="str">
        <f>IF(LayTable[[#This Row],[Sport]]="","",1/((1/LayTable[[#This Row],[BookieOdds]])+(1/((1/((1+((LayTable[[#This Row],[LayOdds]]-1)*(1+LayTable[[#This Row],[C% Lay]])))-1))+1)))-1)</f>
        <v/>
      </c>
      <c r="Q85" s="46" t="str">
        <f>IF(LayTable[[#This Row],[Sport]]="","",LayTable[[#This Row],[BookieInnsats]]+LayTable[[#This Row],[LayLiability]])</f>
        <v/>
      </c>
      <c r="R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 s="47" t="str">
        <f>IF(LayTable[[#This Row],[Utfall bookie]]="","",LayTable[[#This Row],[WBABack]]+LayTable[[#This Row],[WBALay]]-LayTable[[#This Row],[Total inns]])</f>
        <v/>
      </c>
      <c r="U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 s="48" t="str">
        <f>IFERROR(IF(LayTable[[#This Row],[Total inns]]="","",LayTable[[#This Row],[Rback]]/LayTable[[#This Row],[Total inns]]),"")</f>
        <v/>
      </c>
      <c r="X85" s="48" t="str">
        <f>IFERROR(IF(LayTable[[#This Row],[Total inns]]="","",LayTable[[#This Row],[Rlay]]/LayTable[[#This Row],[Total inns]]),"")</f>
        <v/>
      </c>
      <c r="Y85" s="48" t="str">
        <f>IFERROR(LayTable[[#This Row],[Faktisk res]]/LayTable[[#This Row],[Total inns]],"")</f>
        <v/>
      </c>
      <c r="Z85" s="47">
        <f>(LayTable[[#This Row],[BookieInnsats]]*LayTable[[#This Row],[BookieOdds]]-LayTable[[#This Row],[BookieInnsats]])*(1-LayTable[[#This Row],[C% Bookie]])</f>
        <v>0</v>
      </c>
      <c r="AA85" s="43">
        <f>LayTable[[#This Row],[LayInnsats]]*(1-LayTable[[#This Row],[C% Lay]])</f>
        <v>0</v>
      </c>
      <c r="AB85" s="43">
        <f>IFERROR(IF(LayTable[[#This Row],[Sport]]="",AB84,LayTable[[#This Row],[Faktisk res]]+AB84),"")</f>
        <v>168.91219999999998</v>
      </c>
      <c r="AC85" s="43">
        <f>(LayTable[[#This Row],[BackWin-Commission]]+LayTable[[#This Row],[BookieInnsats]])</f>
        <v>0</v>
      </c>
      <c r="AD85" s="43" t="e">
        <f>(LayTable[[#This Row],[LayWin-Commission]])+LayTable[[#This Row],[LayLiability]]</f>
        <v>#VALUE!</v>
      </c>
      <c r="AE85" s="181"/>
      <c r="AF85" s="181"/>
    </row>
    <row r="86" spans="1:32">
      <c r="A86" s="183"/>
      <c r="B86" s="177"/>
      <c r="C86" s="178"/>
      <c r="D86" s="179"/>
      <c r="E86" s="178"/>
      <c r="F86" s="179"/>
      <c r="G86" s="183"/>
      <c r="H86" s="176"/>
      <c r="I86" s="180"/>
      <c r="J86" s="180"/>
      <c r="K86" s="181"/>
      <c r="L86" s="181"/>
      <c r="M86" s="44" t="str">
        <f>IF(LayTable[[#This Row],[Sport]]="","",LayTable[[#This Row],[LayInnsats]]*(LayTable[[#This Row],[LayOdds]]-1))</f>
        <v/>
      </c>
      <c r="N86" s="45" t="str">
        <f>IF(LayTable[[#This Row],[Sport]]="","",1/((1/LayTable[[#This Row],[BookieOdds]])+(1/((1/((1+((LayTable[[#This Row],[LayOdds]]-1)*(1+LayTable[[#This Row],[C% Lay]])))-1))+1)))-1)</f>
        <v/>
      </c>
      <c r="Q86" s="46" t="str">
        <f>IF(LayTable[[#This Row],[Sport]]="","",LayTable[[#This Row],[BookieInnsats]]+LayTable[[#This Row],[LayLiability]])</f>
        <v/>
      </c>
      <c r="R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 s="47" t="str">
        <f>IF(LayTable[[#This Row],[Utfall bookie]]="","",LayTable[[#This Row],[WBABack]]+LayTable[[#This Row],[WBALay]]-LayTable[[#This Row],[Total inns]])</f>
        <v/>
      </c>
      <c r="U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 s="48" t="str">
        <f>IFERROR(IF(LayTable[[#This Row],[Total inns]]="","",LayTable[[#This Row],[Rback]]/LayTable[[#This Row],[Total inns]]),"")</f>
        <v/>
      </c>
      <c r="X86" s="48" t="str">
        <f>IFERROR(IF(LayTable[[#This Row],[Total inns]]="","",LayTable[[#This Row],[Rlay]]/LayTable[[#This Row],[Total inns]]),"")</f>
        <v/>
      </c>
      <c r="Y86" s="48" t="str">
        <f>IFERROR(LayTable[[#This Row],[Faktisk res]]/LayTable[[#This Row],[Total inns]],"")</f>
        <v/>
      </c>
      <c r="Z86" s="47">
        <f>(LayTable[[#This Row],[BookieInnsats]]*LayTable[[#This Row],[BookieOdds]]-LayTable[[#This Row],[BookieInnsats]])*(1-LayTable[[#This Row],[C% Bookie]])</f>
        <v>0</v>
      </c>
      <c r="AA86" s="43">
        <f>LayTable[[#This Row],[LayInnsats]]*(1-LayTable[[#This Row],[C% Lay]])</f>
        <v>0</v>
      </c>
      <c r="AB86" s="43" t="str">
        <f>IFERROR(IF(LayTable[[#This Row],[Sport]]="",#REF!,LayTable[[#This Row],[Faktisk res]]+#REF!),"")</f>
        <v/>
      </c>
      <c r="AC86" s="43">
        <f>(LayTable[[#This Row],[BackWin-Commission]]+LayTable[[#This Row],[BookieInnsats]])</f>
        <v>0</v>
      </c>
      <c r="AD86" s="43" t="e">
        <f>(LayTable[[#This Row],[LayWin-Commission]])+LayTable[[#This Row],[LayLiability]]</f>
        <v>#VALUE!</v>
      </c>
      <c r="AE86" s="181"/>
      <c r="AF86" s="181"/>
    </row>
    <row r="87" spans="1:32">
      <c r="A87" s="183"/>
      <c r="B87" s="177"/>
      <c r="C87" s="178"/>
      <c r="D87" s="179"/>
      <c r="E87" s="178"/>
      <c r="F87" s="179"/>
      <c r="G87" s="183"/>
      <c r="H87" s="176"/>
      <c r="I87" s="180"/>
      <c r="J87" s="180"/>
      <c r="K87" s="181"/>
      <c r="L87" s="181"/>
      <c r="M87" s="44" t="str">
        <f>IF(LayTable[[#This Row],[Sport]]="","",LayTable[[#This Row],[LayInnsats]]*(LayTable[[#This Row],[LayOdds]]-1))</f>
        <v/>
      </c>
      <c r="N87" s="45" t="str">
        <f>IF(LayTable[[#This Row],[Sport]]="","",1/((1/LayTable[[#This Row],[BookieOdds]])+(1/((1/((1+((LayTable[[#This Row],[LayOdds]]-1)*(1+LayTable[[#This Row],[C% Lay]])))-1))+1)))-1)</f>
        <v/>
      </c>
      <c r="Q87" s="46" t="str">
        <f>IF(LayTable[[#This Row],[Sport]]="","",LayTable[[#This Row],[BookieInnsats]]+LayTable[[#This Row],[LayLiability]])</f>
        <v/>
      </c>
      <c r="R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 s="47" t="str">
        <f>IF(LayTable[[#This Row],[Utfall bookie]]="","",LayTable[[#This Row],[WBABack]]+LayTable[[#This Row],[WBALay]]-LayTable[[#This Row],[Total inns]])</f>
        <v/>
      </c>
      <c r="U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 s="48" t="str">
        <f>IFERROR(IF(LayTable[[#This Row],[Total inns]]="","",LayTable[[#This Row],[Rback]]/LayTable[[#This Row],[Total inns]]),"")</f>
        <v/>
      </c>
      <c r="X87" s="48" t="str">
        <f>IFERROR(IF(LayTable[[#This Row],[Total inns]]="","",LayTable[[#This Row],[Rlay]]/LayTable[[#This Row],[Total inns]]),"")</f>
        <v/>
      </c>
      <c r="Y87" s="48" t="str">
        <f>IFERROR(LayTable[[#This Row],[Faktisk res]]/LayTable[[#This Row],[Total inns]],"")</f>
        <v/>
      </c>
      <c r="Z87" s="47">
        <f>(LayTable[[#This Row],[BookieInnsats]]*LayTable[[#This Row],[BookieOdds]]-LayTable[[#This Row],[BookieInnsats]])*(1-LayTable[[#This Row],[C% Bookie]])</f>
        <v>0</v>
      </c>
      <c r="AA87" s="43">
        <f>LayTable[[#This Row],[LayInnsats]]*(1-LayTable[[#This Row],[C% Lay]])</f>
        <v>0</v>
      </c>
      <c r="AB87" s="43" t="str">
        <f>IFERROR(IF(LayTable[[#This Row],[Sport]]="",AB86,LayTable[[#This Row],[Faktisk res]]+AB86),"")</f>
        <v/>
      </c>
      <c r="AC87" s="43">
        <f>(LayTable[[#This Row],[BackWin-Commission]]+LayTable[[#This Row],[BookieInnsats]])</f>
        <v>0</v>
      </c>
      <c r="AD87" s="43" t="e">
        <f>(LayTable[[#This Row],[LayWin-Commission]])+LayTable[[#This Row],[LayLiability]]</f>
        <v>#VALUE!</v>
      </c>
      <c r="AE87" s="181"/>
      <c r="AF87" s="181"/>
    </row>
    <row r="88" spans="1:32">
      <c r="A88" s="183"/>
      <c r="B88" s="177"/>
      <c r="C88" s="178"/>
      <c r="D88" s="179"/>
      <c r="E88" s="178"/>
      <c r="F88" s="179"/>
      <c r="G88" s="183"/>
      <c r="H88" s="176"/>
      <c r="I88" s="180"/>
      <c r="J88" s="180"/>
      <c r="K88" s="181"/>
      <c r="L88" s="181"/>
      <c r="M88" s="44" t="str">
        <f>IF(LayTable[[#This Row],[Sport]]="","",LayTable[[#This Row],[LayInnsats]]*(LayTable[[#This Row],[LayOdds]]-1))</f>
        <v/>
      </c>
      <c r="N88" s="45" t="str">
        <f>IF(LayTable[[#This Row],[Sport]]="","",1/((1/LayTable[[#This Row],[BookieOdds]])+(1/((1/((1+((LayTable[[#This Row],[LayOdds]]-1)*(1+LayTable[[#This Row],[C% Lay]])))-1))+1)))-1)</f>
        <v/>
      </c>
      <c r="Q88" s="46" t="str">
        <f>IF(LayTable[[#This Row],[Sport]]="","",LayTable[[#This Row],[BookieInnsats]]+LayTable[[#This Row],[LayLiability]])</f>
        <v/>
      </c>
      <c r="R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 s="47" t="str">
        <f>IF(LayTable[[#This Row],[Utfall bookie]]="","",LayTable[[#This Row],[WBABack]]+LayTable[[#This Row],[WBALay]]-LayTable[[#This Row],[Total inns]])</f>
        <v/>
      </c>
      <c r="U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 s="48" t="str">
        <f>IFERROR(IF(LayTable[[#This Row],[Total inns]]="","",LayTable[[#This Row],[Rback]]/LayTable[[#This Row],[Total inns]]),"")</f>
        <v/>
      </c>
      <c r="X88" s="48" t="str">
        <f>IFERROR(IF(LayTable[[#This Row],[Total inns]]="","",LayTable[[#This Row],[Rlay]]/LayTable[[#This Row],[Total inns]]),"")</f>
        <v/>
      </c>
      <c r="Y88" s="48" t="str">
        <f>IFERROR(LayTable[[#This Row],[Faktisk res]]/LayTable[[#This Row],[Total inns]],"")</f>
        <v/>
      </c>
      <c r="Z88" s="47">
        <f>(LayTable[[#This Row],[BookieInnsats]]*LayTable[[#This Row],[BookieOdds]]-LayTable[[#This Row],[BookieInnsats]])*(1-LayTable[[#This Row],[C% Bookie]])</f>
        <v>0</v>
      </c>
      <c r="AA88" s="43">
        <f>LayTable[[#This Row],[LayInnsats]]*(1-LayTable[[#This Row],[C% Lay]])</f>
        <v>0</v>
      </c>
      <c r="AB88" s="43" t="str">
        <f>IFERROR(IF(LayTable[[#This Row],[Sport]]="",AB87,LayTable[[#This Row],[Faktisk res]]+AB87),"")</f>
        <v/>
      </c>
      <c r="AC88" s="43">
        <f>(LayTable[[#This Row],[BackWin-Commission]]+LayTable[[#This Row],[BookieInnsats]])</f>
        <v>0</v>
      </c>
      <c r="AD88" s="43" t="e">
        <f>(LayTable[[#This Row],[LayWin-Commission]])+LayTable[[#This Row],[LayLiability]]</f>
        <v>#VALUE!</v>
      </c>
      <c r="AE88" s="181"/>
      <c r="AF88" s="181"/>
    </row>
    <row r="89" spans="1:32">
      <c r="A89" s="183"/>
      <c r="B89" s="177"/>
      <c r="C89" s="178"/>
      <c r="D89" s="179"/>
      <c r="E89" s="178"/>
      <c r="F89" s="179"/>
      <c r="G89" s="183"/>
      <c r="H89" s="176"/>
      <c r="I89" s="180"/>
      <c r="J89" s="180"/>
      <c r="K89" s="181"/>
      <c r="L89" s="181"/>
      <c r="M89" s="44" t="str">
        <f>IF(LayTable[[#This Row],[Sport]]="","",LayTable[[#This Row],[LayInnsats]]*(LayTable[[#This Row],[LayOdds]]-1))</f>
        <v/>
      </c>
      <c r="N89" s="45" t="str">
        <f>IF(LayTable[[#This Row],[Sport]]="","",1/((1/LayTable[[#This Row],[BookieOdds]])+(1/((1/((1+((LayTable[[#This Row],[LayOdds]]-1)*(1+LayTable[[#This Row],[C% Lay]])))-1))+1)))-1)</f>
        <v/>
      </c>
      <c r="Q89" s="46" t="str">
        <f>IF(LayTable[[#This Row],[Sport]]="","",LayTable[[#This Row],[BookieInnsats]]+LayTable[[#This Row],[LayLiability]])</f>
        <v/>
      </c>
      <c r="R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 s="47" t="str">
        <f>IF(LayTable[[#This Row],[Utfall bookie]]="","",LayTable[[#This Row],[WBABack]]+LayTable[[#This Row],[WBALay]]-LayTable[[#This Row],[Total inns]])</f>
        <v/>
      </c>
      <c r="U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 s="48" t="str">
        <f>IFERROR(IF(LayTable[[#This Row],[Total inns]]="","",LayTable[[#This Row],[Rback]]/LayTable[[#This Row],[Total inns]]),"")</f>
        <v/>
      </c>
      <c r="X89" s="48" t="str">
        <f>IFERROR(IF(LayTable[[#This Row],[Total inns]]="","",LayTable[[#This Row],[Rlay]]/LayTable[[#This Row],[Total inns]]),"")</f>
        <v/>
      </c>
      <c r="Y89" s="48" t="str">
        <f>IFERROR(LayTable[[#This Row],[Faktisk res]]/LayTable[[#This Row],[Total inns]],"")</f>
        <v/>
      </c>
      <c r="Z89" s="47">
        <f>(LayTable[[#This Row],[BookieInnsats]]*LayTable[[#This Row],[BookieOdds]]-LayTable[[#This Row],[BookieInnsats]])*(1-LayTable[[#This Row],[C% Bookie]])</f>
        <v>0</v>
      </c>
      <c r="AA89" s="43">
        <f>LayTable[[#This Row],[LayInnsats]]*(1-LayTable[[#This Row],[C% Lay]])</f>
        <v>0</v>
      </c>
      <c r="AB89" s="43" t="str">
        <f>IFERROR(IF(LayTable[[#This Row],[Sport]]="",AB88,LayTable[[#This Row],[Faktisk res]]+AB88),"")</f>
        <v/>
      </c>
      <c r="AC89" s="43">
        <f>(LayTable[[#This Row],[BackWin-Commission]]+LayTable[[#This Row],[BookieInnsats]])</f>
        <v>0</v>
      </c>
      <c r="AD89" s="43" t="e">
        <f>(LayTable[[#This Row],[LayWin-Commission]])+LayTable[[#This Row],[LayLiability]]</f>
        <v>#VALUE!</v>
      </c>
      <c r="AE89" s="181"/>
      <c r="AF89" s="181"/>
    </row>
    <row r="90" spans="1:32">
      <c r="A90" s="183"/>
      <c r="B90" s="177"/>
      <c r="C90" s="178"/>
      <c r="D90" s="179"/>
      <c r="E90" s="178"/>
      <c r="F90" s="179"/>
      <c r="G90" s="183"/>
      <c r="H90" s="176"/>
      <c r="I90" s="180"/>
      <c r="J90" s="180"/>
      <c r="K90" s="181"/>
      <c r="L90" s="181"/>
      <c r="M90" s="44" t="str">
        <f>IF(LayTable[[#This Row],[Sport]]="","",LayTable[[#This Row],[LayInnsats]]*(LayTable[[#This Row],[LayOdds]]-1))</f>
        <v/>
      </c>
      <c r="N90" s="45" t="str">
        <f>IF(LayTable[[#This Row],[Sport]]="","",1/((1/LayTable[[#This Row],[BookieOdds]])+(1/((1/((1+((LayTable[[#This Row],[LayOdds]]-1)*(1+LayTable[[#This Row],[C% Lay]])))-1))+1)))-1)</f>
        <v/>
      </c>
      <c r="Q90" s="46" t="str">
        <f>IF(LayTable[[#This Row],[Sport]]="","",LayTable[[#This Row],[BookieInnsats]]+LayTable[[#This Row],[LayLiability]])</f>
        <v/>
      </c>
      <c r="R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 s="47" t="str">
        <f>IF(LayTable[[#This Row],[Utfall bookie]]="","",LayTable[[#This Row],[WBABack]]+LayTable[[#This Row],[WBALay]]-LayTable[[#This Row],[Total inns]])</f>
        <v/>
      </c>
      <c r="U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 s="48" t="str">
        <f>IFERROR(IF(LayTable[[#This Row],[Total inns]]="","",LayTable[[#This Row],[Rback]]/LayTable[[#This Row],[Total inns]]),"")</f>
        <v/>
      </c>
      <c r="X90" s="48" t="str">
        <f>IFERROR(IF(LayTable[[#This Row],[Total inns]]="","",LayTable[[#This Row],[Rlay]]/LayTable[[#This Row],[Total inns]]),"")</f>
        <v/>
      </c>
      <c r="Y90" s="48" t="str">
        <f>IFERROR(LayTable[[#This Row],[Faktisk res]]/LayTable[[#This Row],[Total inns]],"")</f>
        <v/>
      </c>
      <c r="Z90" s="47">
        <f>(LayTable[[#This Row],[BookieInnsats]]*LayTable[[#This Row],[BookieOdds]]-LayTable[[#This Row],[BookieInnsats]])*(1-LayTable[[#This Row],[C% Bookie]])</f>
        <v>0</v>
      </c>
      <c r="AA90" s="43">
        <f>LayTable[[#This Row],[LayInnsats]]*(1-LayTable[[#This Row],[C% Lay]])</f>
        <v>0</v>
      </c>
      <c r="AB90" s="43" t="str">
        <f>IFERROR(IF(LayTable[[#This Row],[Sport]]="",AB89,LayTable[[#This Row],[Faktisk res]]+AB89),"")</f>
        <v/>
      </c>
      <c r="AC90" s="43">
        <f>(LayTable[[#This Row],[BackWin-Commission]]+LayTable[[#This Row],[BookieInnsats]])</f>
        <v>0</v>
      </c>
      <c r="AD90" s="43" t="e">
        <f>(LayTable[[#This Row],[LayWin-Commission]])+LayTable[[#This Row],[LayLiability]]</f>
        <v>#VALUE!</v>
      </c>
      <c r="AE90" s="181"/>
      <c r="AF90" s="181"/>
    </row>
    <row r="91" spans="1:32">
      <c r="A91" s="183"/>
      <c r="B91" s="177"/>
      <c r="C91" s="178"/>
      <c r="D91" s="179"/>
      <c r="E91" s="178"/>
      <c r="F91" s="179"/>
      <c r="G91" s="183"/>
      <c r="H91" s="176"/>
      <c r="I91" s="180"/>
      <c r="J91" s="180"/>
      <c r="K91" s="181"/>
      <c r="L91" s="181"/>
      <c r="M91" s="44" t="str">
        <f>IF(LayTable[[#This Row],[Sport]]="","",LayTable[[#This Row],[LayInnsats]]*(LayTable[[#This Row],[LayOdds]]-1))</f>
        <v/>
      </c>
      <c r="N91" s="45" t="str">
        <f>IF(LayTable[[#This Row],[Sport]]="","",1/((1/LayTable[[#This Row],[BookieOdds]])+(1/((1/((1+((LayTable[[#This Row],[LayOdds]]-1)*(1+LayTable[[#This Row],[C% Lay]])))-1))+1)))-1)</f>
        <v/>
      </c>
      <c r="Q91" s="46" t="str">
        <f>IF(LayTable[[#This Row],[Sport]]="","",LayTable[[#This Row],[BookieInnsats]]+LayTable[[#This Row],[LayLiability]])</f>
        <v/>
      </c>
      <c r="R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 s="47" t="str">
        <f>IF(LayTable[[#This Row],[Utfall bookie]]="","",LayTable[[#This Row],[WBABack]]+LayTable[[#This Row],[WBALay]]-LayTable[[#This Row],[Total inns]])</f>
        <v/>
      </c>
      <c r="U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 s="48" t="str">
        <f>IFERROR(IF(LayTable[[#This Row],[Total inns]]="","",LayTable[[#This Row],[Rback]]/LayTable[[#This Row],[Total inns]]),"")</f>
        <v/>
      </c>
      <c r="X91" s="48" t="str">
        <f>IFERROR(IF(LayTable[[#This Row],[Total inns]]="","",LayTable[[#This Row],[Rlay]]/LayTable[[#This Row],[Total inns]]),"")</f>
        <v/>
      </c>
      <c r="Y91" s="48" t="str">
        <f>IFERROR(LayTable[[#This Row],[Faktisk res]]/LayTable[[#This Row],[Total inns]],"")</f>
        <v/>
      </c>
      <c r="Z91" s="47">
        <f>(LayTable[[#This Row],[BookieInnsats]]*LayTable[[#This Row],[BookieOdds]]-LayTable[[#This Row],[BookieInnsats]])*(1-LayTable[[#This Row],[C% Bookie]])</f>
        <v>0</v>
      </c>
      <c r="AA91" s="43">
        <f>LayTable[[#This Row],[LayInnsats]]*(1-LayTable[[#This Row],[C% Lay]])</f>
        <v>0</v>
      </c>
      <c r="AB91" s="43" t="str">
        <f>IFERROR(IF(LayTable[[#This Row],[Sport]]="",AB90,LayTable[[#This Row],[Faktisk res]]+AB90),"")</f>
        <v/>
      </c>
      <c r="AC91" s="43">
        <f>(LayTable[[#This Row],[BackWin-Commission]]+LayTable[[#This Row],[BookieInnsats]])</f>
        <v>0</v>
      </c>
      <c r="AD91" s="43" t="e">
        <f>(LayTable[[#This Row],[LayWin-Commission]])+LayTable[[#This Row],[LayLiability]]</f>
        <v>#VALUE!</v>
      </c>
      <c r="AE91" s="181"/>
      <c r="AF91" s="181"/>
    </row>
    <row r="92" spans="1:32">
      <c r="A92" s="183"/>
      <c r="B92" s="177"/>
      <c r="C92" s="178"/>
      <c r="D92" s="179"/>
      <c r="E92" s="178"/>
      <c r="F92" s="179"/>
      <c r="G92" s="183"/>
      <c r="H92" s="176"/>
      <c r="I92" s="180"/>
      <c r="J92" s="180"/>
      <c r="K92" s="181"/>
      <c r="L92" s="181"/>
      <c r="M92" s="44" t="str">
        <f>IF(LayTable[[#This Row],[Sport]]="","",LayTable[[#This Row],[LayInnsats]]*(LayTable[[#This Row],[LayOdds]]-1))</f>
        <v/>
      </c>
      <c r="N92" s="45" t="str">
        <f>IF(LayTable[[#This Row],[Sport]]="","",1/((1/LayTable[[#This Row],[BookieOdds]])+(1/((1/((1+((LayTable[[#This Row],[LayOdds]]-1)*(1+LayTable[[#This Row],[C% Lay]])))-1))+1)))-1)</f>
        <v/>
      </c>
      <c r="Q92" s="46" t="str">
        <f>IF(LayTable[[#This Row],[Sport]]="","",LayTable[[#This Row],[BookieInnsats]]+LayTable[[#This Row],[LayLiability]])</f>
        <v/>
      </c>
      <c r="R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 s="47" t="str">
        <f>IF(LayTable[[#This Row],[Utfall bookie]]="","",LayTable[[#This Row],[WBABack]]+LayTable[[#This Row],[WBALay]]-LayTable[[#This Row],[Total inns]])</f>
        <v/>
      </c>
      <c r="U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 s="48" t="str">
        <f>IFERROR(IF(LayTable[[#This Row],[Total inns]]="","",LayTable[[#This Row],[Rback]]/LayTable[[#This Row],[Total inns]]),"")</f>
        <v/>
      </c>
      <c r="X92" s="48" t="str">
        <f>IFERROR(IF(LayTable[[#This Row],[Total inns]]="","",LayTable[[#This Row],[Rlay]]/LayTable[[#This Row],[Total inns]]),"")</f>
        <v/>
      </c>
      <c r="Y92" s="48" t="str">
        <f>IFERROR(LayTable[[#This Row],[Faktisk res]]/LayTable[[#This Row],[Total inns]],"")</f>
        <v/>
      </c>
      <c r="Z92" s="47">
        <f>(LayTable[[#This Row],[BookieInnsats]]*LayTable[[#This Row],[BookieOdds]]-LayTable[[#This Row],[BookieInnsats]])*(1-LayTable[[#This Row],[C% Bookie]])</f>
        <v>0</v>
      </c>
      <c r="AA92" s="43">
        <f>LayTable[[#This Row],[LayInnsats]]*(1-LayTable[[#This Row],[C% Lay]])</f>
        <v>0</v>
      </c>
      <c r="AB92" s="43" t="str">
        <f>IFERROR(IF(LayTable[[#This Row],[Sport]]="",AB91,LayTable[[#This Row],[Faktisk res]]+AB91),"")</f>
        <v/>
      </c>
      <c r="AC92" s="43">
        <f>(LayTable[[#This Row],[BackWin-Commission]]+LayTable[[#This Row],[BookieInnsats]])</f>
        <v>0</v>
      </c>
      <c r="AD92" s="43" t="e">
        <f>(LayTable[[#This Row],[LayWin-Commission]])+LayTable[[#This Row],[LayLiability]]</f>
        <v>#VALUE!</v>
      </c>
      <c r="AE92" s="181"/>
      <c r="AF92" s="181"/>
    </row>
    <row r="93" spans="1:32">
      <c r="A93" s="183"/>
      <c r="B93" s="177"/>
      <c r="C93" s="178"/>
      <c r="D93" s="179"/>
      <c r="E93" s="178"/>
      <c r="F93" s="179"/>
      <c r="G93" s="183"/>
      <c r="H93" s="176"/>
      <c r="I93" s="180"/>
      <c r="J93" s="180"/>
      <c r="K93" s="181"/>
      <c r="L93" s="181"/>
      <c r="M93" s="44" t="str">
        <f>IF(LayTable[[#This Row],[Sport]]="","",LayTable[[#This Row],[LayInnsats]]*(LayTable[[#This Row],[LayOdds]]-1))</f>
        <v/>
      </c>
      <c r="N93" s="45" t="str">
        <f>IF(LayTable[[#This Row],[Sport]]="","",1/((1/LayTable[[#This Row],[BookieOdds]])+(1/((1/((1+((LayTable[[#This Row],[LayOdds]]-1)*(1+LayTable[[#This Row],[C% Lay]])))-1))+1)))-1)</f>
        <v/>
      </c>
      <c r="Q93" s="46" t="str">
        <f>IF(LayTable[[#This Row],[Sport]]="","",LayTable[[#This Row],[BookieInnsats]]+LayTable[[#This Row],[LayLiability]])</f>
        <v/>
      </c>
      <c r="R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 s="47" t="str">
        <f>IF(LayTable[[#This Row],[Utfall bookie]]="","",LayTable[[#This Row],[WBABack]]+LayTable[[#This Row],[WBALay]]-LayTable[[#This Row],[Total inns]])</f>
        <v/>
      </c>
      <c r="U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 s="48" t="str">
        <f>IFERROR(IF(LayTable[[#This Row],[Total inns]]="","",LayTable[[#This Row],[Rback]]/LayTable[[#This Row],[Total inns]]),"")</f>
        <v/>
      </c>
      <c r="X93" s="48" t="str">
        <f>IFERROR(IF(LayTable[[#This Row],[Total inns]]="","",LayTable[[#This Row],[Rlay]]/LayTable[[#This Row],[Total inns]]),"")</f>
        <v/>
      </c>
      <c r="Y93" s="48" t="str">
        <f>IFERROR(LayTable[[#This Row],[Faktisk res]]/LayTable[[#This Row],[Total inns]],"")</f>
        <v/>
      </c>
      <c r="Z93" s="47">
        <f>(LayTable[[#This Row],[BookieInnsats]]*LayTable[[#This Row],[BookieOdds]]-LayTable[[#This Row],[BookieInnsats]])*(1-LayTable[[#This Row],[C% Bookie]])</f>
        <v>0</v>
      </c>
      <c r="AA93" s="43">
        <f>LayTable[[#This Row],[LayInnsats]]*(1-LayTable[[#This Row],[C% Lay]])</f>
        <v>0</v>
      </c>
      <c r="AB93" s="43" t="str">
        <f>IFERROR(IF(LayTable[[#This Row],[Sport]]="",AB92,LayTable[[#This Row],[Faktisk res]]+AB92),"")</f>
        <v/>
      </c>
      <c r="AC93" s="43">
        <f>(LayTable[[#This Row],[BackWin-Commission]]+LayTable[[#This Row],[BookieInnsats]])</f>
        <v>0</v>
      </c>
      <c r="AD93" s="43" t="e">
        <f>(LayTable[[#This Row],[LayWin-Commission]])+LayTable[[#This Row],[LayLiability]]</f>
        <v>#VALUE!</v>
      </c>
      <c r="AE93" s="181"/>
      <c r="AF93" s="181"/>
    </row>
    <row r="94" spans="1:32">
      <c r="A94" s="183"/>
      <c r="B94" s="177"/>
      <c r="C94" s="178"/>
      <c r="D94" s="179"/>
      <c r="E94" s="178"/>
      <c r="F94" s="179"/>
      <c r="G94" s="183"/>
      <c r="H94" s="176"/>
      <c r="I94" s="180"/>
      <c r="J94" s="180"/>
      <c r="K94" s="181"/>
      <c r="L94" s="181"/>
      <c r="M94" s="44" t="str">
        <f>IF(LayTable[[#This Row],[Sport]]="","",LayTable[[#This Row],[LayInnsats]]*(LayTable[[#This Row],[LayOdds]]-1))</f>
        <v/>
      </c>
      <c r="N94" s="45" t="str">
        <f>IF(LayTable[[#This Row],[Sport]]="","",1/((1/LayTable[[#This Row],[BookieOdds]])+(1/((1/((1+((LayTable[[#This Row],[LayOdds]]-1)*(1+LayTable[[#This Row],[C% Lay]])))-1))+1)))-1)</f>
        <v/>
      </c>
      <c r="Q94" s="46" t="str">
        <f>IF(LayTable[[#This Row],[Sport]]="","",LayTable[[#This Row],[BookieInnsats]]+LayTable[[#This Row],[LayLiability]])</f>
        <v/>
      </c>
      <c r="R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 s="47" t="str">
        <f>IF(LayTable[[#This Row],[Utfall bookie]]="","",LayTable[[#This Row],[WBABack]]+LayTable[[#This Row],[WBALay]]-LayTable[[#This Row],[Total inns]])</f>
        <v/>
      </c>
      <c r="U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 s="48" t="str">
        <f>IFERROR(IF(LayTable[[#This Row],[Total inns]]="","",LayTable[[#This Row],[Rback]]/LayTable[[#This Row],[Total inns]]),"")</f>
        <v/>
      </c>
      <c r="X94" s="48" t="str">
        <f>IFERROR(IF(LayTable[[#This Row],[Total inns]]="","",LayTable[[#This Row],[Rlay]]/LayTable[[#This Row],[Total inns]]),"")</f>
        <v/>
      </c>
      <c r="Y94" s="48" t="str">
        <f>IFERROR(LayTable[[#This Row],[Faktisk res]]/LayTable[[#This Row],[Total inns]],"")</f>
        <v/>
      </c>
      <c r="Z94" s="47">
        <f>(LayTable[[#This Row],[BookieInnsats]]*LayTable[[#This Row],[BookieOdds]]-LayTable[[#This Row],[BookieInnsats]])*(1-LayTable[[#This Row],[C% Bookie]])</f>
        <v>0</v>
      </c>
      <c r="AA94" s="43">
        <f>LayTable[[#This Row],[LayInnsats]]*(1-LayTable[[#This Row],[C% Lay]])</f>
        <v>0</v>
      </c>
      <c r="AB94" s="43" t="str">
        <f>IFERROR(IF(LayTable[[#This Row],[Sport]]="",AB93,LayTable[[#This Row],[Faktisk res]]+AB93),"")</f>
        <v/>
      </c>
      <c r="AC94" s="43">
        <f>(LayTable[[#This Row],[BackWin-Commission]]+LayTable[[#This Row],[BookieInnsats]])</f>
        <v>0</v>
      </c>
      <c r="AD94" s="43" t="e">
        <f>(LayTable[[#This Row],[LayWin-Commission]])+LayTable[[#This Row],[LayLiability]]</f>
        <v>#VALUE!</v>
      </c>
      <c r="AE94" s="181"/>
      <c r="AF94" s="181"/>
    </row>
    <row r="95" spans="1:32">
      <c r="A95" s="183"/>
      <c r="B95" s="177"/>
      <c r="C95" s="178"/>
      <c r="D95" s="179"/>
      <c r="E95" s="178"/>
      <c r="F95" s="179"/>
      <c r="G95" s="183"/>
      <c r="H95" s="176"/>
      <c r="I95" s="180"/>
      <c r="J95" s="180"/>
      <c r="K95" s="181"/>
      <c r="L95" s="181"/>
      <c r="M95" s="44" t="str">
        <f>IF(LayTable[[#This Row],[Sport]]="","",LayTable[[#This Row],[LayInnsats]]*(LayTable[[#This Row],[LayOdds]]-1))</f>
        <v/>
      </c>
      <c r="N95" s="45" t="str">
        <f>IF(LayTable[[#This Row],[Sport]]="","",1/((1/LayTable[[#This Row],[BookieOdds]])+(1/((1/((1+((LayTable[[#This Row],[LayOdds]]-1)*(1+LayTable[[#This Row],[C% Lay]])))-1))+1)))-1)</f>
        <v/>
      </c>
      <c r="Q95" s="46" t="str">
        <f>IF(LayTable[[#This Row],[Sport]]="","",LayTable[[#This Row],[BookieInnsats]]+LayTable[[#This Row],[LayLiability]])</f>
        <v/>
      </c>
      <c r="R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 s="47" t="str">
        <f>IF(LayTable[[#This Row],[Utfall bookie]]="","",LayTable[[#This Row],[WBABack]]+LayTable[[#This Row],[WBALay]]-LayTable[[#This Row],[Total inns]])</f>
        <v/>
      </c>
      <c r="U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 s="48" t="str">
        <f>IFERROR(IF(LayTable[[#This Row],[Total inns]]="","",LayTable[[#This Row],[Rback]]/LayTable[[#This Row],[Total inns]]),"")</f>
        <v/>
      </c>
      <c r="X95" s="48" t="str">
        <f>IFERROR(IF(LayTable[[#This Row],[Total inns]]="","",LayTable[[#This Row],[Rlay]]/LayTable[[#This Row],[Total inns]]),"")</f>
        <v/>
      </c>
      <c r="Y95" s="48" t="str">
        <f>IFERROR(LayTable[[#This Row],[Faktisk res]]/LayTable[[#This Row],[Total inns]],"")</f>
        <v/>
      </c>
      <c r="Z95" s="47">
        <f>(LayTable[[#This Row],[BookieInnsats]]*LayTable[[#This Row],[BookieOdds]]-LayTable[[#This Row],[BookieInnsats]])*(1-LayTable[[#This Row],[C% Bookie]])</f>
        <v>0</v>
      </c>
      <c r="AA95" s="43">
        <f>LayTable[[#This Row],[LayInnsats]]*(1-LayTable[[#This Row],[C% Lay]])</f>
        <v>0</v>
      </c>
      <c r="AB95" s="43" t="str">
        <f>IFERROR(IF(LayTable[[#This Row],[Sport]]="",AB94,LayTable[[#This Row],[Faktisk res]]+AB94),"")</f>
        <v/>
      </c>
      <c r="AC95" s="43">
        <f>(LayTable[[#This Row],[BackWin-Commission]]+LayTable[[#This Row],[BookieInnsats]])</f>
        <v>0</v>
      </c>
      <c r="AD95" s="43" t="e">
        <f>(LayTable[[#This Row],[LayWin-Commission]])+LayTable[[#This Row],[LayLiability]]</f>
        <v>#VALUE!</v>
      </c>
      <c r="AE95" s="181"/>
      <c r="AF95" s="181"/>
    </row>
    <row r="96" spans="1:32">
      <c r="A96" s="183"/>
      <c r="B96" s="177"/>
      <c r="C96" s="178"/>
      <c r="D96" s="179"/>
      <c r="E96" s="178"/>
      <c r="F96" s="179"/>
      <c r="G96" s="183"/>
      <c r="H96" s="176"/>
      <c r="I96" s="180"/>
      <c r="J96" s="180"/>
      <c r="K96" s="181"/>
      <c r="L96" s="181"/>
      <c r="M96" s="44" t="str">
        <f>IF(LayTable[[#This Row],[Sport]]="","",LayTable[[#This Row],[LayInnsats]]*(LayTable[[#This Row],[LayOdds]]-1))</f>
        <v/>
      </c>
      <c r="N96" s="45" t="str">
        <f>IF(LayTable[[#This Row],[Sport]]="","",1/((1/LayTable[[#This Row],[BookieOdds]])+(1/((1/((1+((LayTable[[#This Row],[LayOdds]]-1)*(1+LayTable[[#This Row],[C% Lay]])))-1))+1)))-1)</f>
        <v/>
      </c>
      <c r="Q96" s="46" t="str">
        <f>IF(LayTable[[#This Row],[Sport]]="","",LayTable[[#This Row],[BookieInnsats]]+LayTable[[#This Row],[LayLiability]])</f>
        <v/>
      </c>
      <c r="R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 s="47" t="str">
        <f>IF(LayTable[[#This Row],[Utfall bookie]]="","",LayTable[[#This Row],[WBABack]]+LayTable[[#This Row],[WBALay]]-LayTable[[#This Row],[Total inns]])</f>
        <v/>
      </c>
      <c r="U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 s="48" t="str">
        <f>IFERROR(IF(LayTable[[#This Row],[Total inns]]="","",LayTable[[#This Row],[Rback]]/LayTable[[#This Row],[Total inns]]),"")</f>
        <v/>
      </c>
      <c r="X96" s="48" t="str">
        <f>IFERROR(IF(LayTable[[#This Row],[Total inns]]="","",LayTable[[#This Row],[Rlay]]/LayTable[[#This Row],[Total inns]]),"")</f>
        <v/>
      </c>
      <c r="Y96" s="48" t="str">
        <f>IFERROR(LayTable[[#This Row],[Faktisk res]]/LayTable[[#This Row],[Total inns]],"")</f>
        <v/>
      </c>
      <c r="Z96" s="47">
        <f>(LayTable[[#This Row],[BookieInnsats]]*LayTable[[#This Row],[BookieOdds]]-LayTable[[#This Row],[BookieInnsats]])*(1-LayTable[[#This Row],[C% Bookie]])</f>
        <v>0</v>
      </c>
      <c r="AA96" s="43">
        <f>LayTable[[#This Row],[LayInnsats]]*(1-LayTable[[#This Row],[C% Lay]])</f>
        <v>0</v>
      </c>
      <c r="AB96" s="43" t="str">
        <f>IFERROR(IF(LayTable[[#This Row],[Sport]]="",AB95,LayTable[[#This Row],[Faktisk res]]+AB95),"")</f>
        <v/>
      </c>
      <c r="AC96" s="43">
        <f>(LayTable[[#This Row],[BackWin-Commission]]+LayTable[[#This Row],[BookieInnsats]])</f>
        <v>0</v>
      </c>
      <c r="AD96" s="43" t="e">
        <f>(LayTable[[#This Row],[LayWin-Commission]])+LayTable[[#This Row],[LayLiability]]</f>
        <v>#VALUE!</v>
      </c>
      <c r="AE96" s="181"/>
      <c r="AF96" s="181"/>
    </row>
    <row r="97" spans="1:32">
      <c r="A97" s="183"/>
      <c r="B97" s="177"/>
      <c r="C97" s="178"/>
      <c r="D97" s="179"/>
      <c r="E97" s="178"/>
      <c r="F97" s="179"/>
      <c r="G97" s="183"/>
      <c r="H97" s="176"/>
      <c r="I97" s="180"/>
      <c r="J97" s="180"/>
      <c r="K97" s="181"/>
      <c r="L97" s="181"/>
      <c r="M97" s="44" t="str">
        <f>IF(LayTable[[#This Row],[Sport]]="","",LayTable[[#This Row],[LayInnsats]]*(LayTable[[#This Row],[LayOdds]]-1))</f>
        <v/>
      </c>
      <c r="N97" s="45" t="str">
        <f>IF(LayTable[[#This Row],[Sport]]="","",1/((1/LayTable[[#This Row],[BookieOdds]])+(1/((1/((1+((LayTable[[#This Row],[LayOdds]]-1)*(1+LayTable[[#This Row],[C% Lay]])))-1))+1)))-1)</f>
        <v/>
      </c>
      <c r="Q97" s="46" t="str">
        <f>IF(LayTable[[#This Row],[Sport]]="","",LayTable[[#This Row],[BookieInnsats]]+LayTable[[#This Row],[LayLiability]])</f>
        <v/>
      </c>
      <c r="R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 s="47" t="str">
        <f>IF(LayTable[[#This Row],[Utfall bookie]]="","",LayTable[[#This Row],[WBABack]]+LayTable[[#This Row],[WBALay]]-LayTable[[#This Row],[Total inns]])</f>
        <v/>
      </c>
      <c r="U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 s="48" t="str">
        <f>IFERROR(IF(LayTable[[#This Row],[Total inns]]="","",LayTable[[#This Row],[Rback]]/LayTable[[#This Row],[Total inns]]),"")</f>
        <v/>
      </c>
      <c r="X97" s="48" t="str">
        <f>IFERROR(IF(LayTable[[#This Row],[Total inns]]="","",LayTable[[#This Row],[Rlay]]/LayTable[[#This Row],[Total inns]]),"")</f>
        <v/>
      </c>
      <c r="Y97" s="48" t="str">
        <f>IFERROR(LayTable[[#This Row],[Faktisk res]]/LayTable[[#This Row],[Total inns]],"")</f>
        <v/>
      </c>
      <c r="Z97" s="47">
        <f>(LayTable[[#This Row],[BookieInnsats]]*LayTable[[#This Row],[BookieOdds]]-LayTable[[#This Row],[BookieInnsats]])*(1-LayTable[[#This Row],[C% Bookie]])</f>
        <v>0</v>
      </c>
      <c r="AA97" s="43">
        <f>LayTable[[#This Row],[LayInnsats]]*(1-LayTable[[#This Row],[C% Lay]])</f>
        <v>0</v>
      </c>
      <c r="AB97" s="43" t="str">
        <f>IFERROR(IF(LayTable[[#This Row],[Sport]]="",AB96,LayTable[[#This Row],[Faktisk res]]+AB96),"")</f>
        <v/>
      </c>
      <c r="AC97" s="43">
        <f>(LayTable[[#This Row],[BackWin-Commission]]+LayTable[[#This Row],[BookieInnsats]])</f>
        <v>0</v>
      </c>
      <c r="AD97" s="43" t="e">
        <f>(LayTable[[#This Row],[LayWin-Commission]])+LayTable[[#This Row],[LayLiability]]</f>
        <v>#VALUE!</v>
      </c>
      <c r="AE97" s="181"/>
      <c r="AF97" s="181"/>
    </row>
    <row r="98" spans="1:32">
      <c r="A98" s="183"/>
      <c r="B98" s="177"/>
      <c r="C98" s="178"/>
      <c r="D98" s="179"/>
      <c r="E98" s="178"/>
      <c r="F98" s="179"/>
      <c r="G98" s="183"/>
      <c r="H98" s="176"/>
      <c r="I98" s="180"/>
      <c r="J98" s="180"/>
      <c r="K98" s="181"/>
      <c r="L98" s="181"/>
      <c r="M98" s="44" t="str">
        <f>IF(LayTable[[#This Row],[Sport]]="","",LayTable[[#This Row],[LayInnsats]]*(LayTable[[#This Row],[LayOdds]]-1))</f>
        <v/>
      </c>
      <c r="N98" s="45" t="str">
        <f>IF(LayTable[[#This Row],[Sport]]="","",1/((1/LayTable[[#This Row],[BookieOdds]])+(1/((1/((1+((LayTable[[#This Row],[LayOdds]]-1)*(1+LayTable[[#This Row],[C% Lay]])))-1))+1)))-1)</f>
        <v/>
      </c>
      <c r="Q98" s="46" t="str">
        <f>IF(LayTable[[#This Row],[Sport]]="","",LayTable[[#This Row],[BookieInnsats]]+LayTable[[#This Row],[LayLiability]])</f>
        <v/>
      </c>
      <c r="R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 s="47" t="str">
        <f>IF(LayTable[[#This Row],[Utfall bookie]]="","",LayTable[[#This Row],[WBABack]]+LayTable[[#This Row],[WBALay]]-LayTable[[#This Row],[Total inns]])</f>
        <v/>
      </c>
      <c r="U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 s="48" t="str">
        <f>IFERROR(IF(LayTable[[#This Row],[Total inns]]="","",LayTable[[#This Row],[Rback]]/LayTable[[#This Row],[Total inns]]),"")</f>
        <v/>
      </c>
      <c r="X98" s="48" t="str">
        <f>IFERROR(IF(LayTable[[#This Row],[Total inns]]="","",LayTable[[#This Row],[Rlay]]/LayTable[[#This Row],[Total inns]]),"")</f>
        <v/>
      </c>
      <c r="Y98" s="48" t="str">
        <f>IFERROR(LayTable[[#This Row],[Faktisk res]]/LayTable[[#This Row],[Total inns]],"")</f>
        <v/>
      </c>
      <c r="Z98" s="47">
        <f>(LayTable[[#This Row],[BookieInnsats]]*LayTable[[#This Row],[BookieOdds]]-LayTable[[#This Row],[BookieInnsats]])*(1-LayTable[[#This Row],[C% Bookie]])</f>
        <v>0</v>
      </c>
      <c r="AA98" s="43">
        <f>LayTable[[#This Row],[LayInnsats]]*(1-LayTable[[#This Row],[C% Lay]])</f>
        <v>0</v>
      </c>
      <c r="AB98" s="43" t="str">
        <f>IFERROR(IF(LayTable[[#This Row],[Sport]]="",AB97,LayTable[[#This Row],[Faktisk res]]+AB97),"")</f>
        <v/>
      </c>
      <c r="AC98" s="43">
        <f>(LayTable[[#This Row],[BackWin-Commission]]+LayTable[[#This Row],[BookieInnsats]])</f>
        <v>0</v>
      </c>
      <c r="AD98" s="43" t="e">
        <f>(LayTable[[#This Row],[LayWin-Commission]])+LayTable[[#This Row],[LayLiability]]</f>
        <v>#VALUE!</v>
      </c>
      <c r="AE98" s="181"/>
      <c r="AF98" s="181"/>
    </row>
    <row r="99" spans="1:32">
      <c r="A99" s="84"/>
      <c r="B99" s="177"/>
      <c r="C99" s="40"/>
      <c r="D99" s="41"/>
      <c r="E99" s="40"/>
      <c r="F99" s="41"/>
      <c r="G99" s="183"/>
      <c r="H99" s="38"/>
      <c r="I99" s="42"/>
      <c r="J99" s="42"/>
      <c r="K99" s="43"/>
      <c r="L99" s="43"/>
      <c r="M99" s="44" t="str">
        <f>IF(LayTable[[#This Row],[Sport]]="","",LayTable[[#This Row],[LayInnsats]]*(LayTable[[#This Row],[LayOdds]]-1))</f>
        <v/>
      </c>
      <c r="N99" s="45" t="str">
        <f>IF(LayTable[[#This Row],[Sport]]="","",1/((1/LayTable[[#This Row],[BookieOdds]])+(1/((1/((1+((LayTable[[#This Row],[LayOdds]]-1)*(1+LayTable[[#This Row],[C% Lay]])))-1))+1)))-1)</f>
        <v/>
      </c>
      <c r="Q99" s="46" t="str">
        <f>IF(LayTable[[#This Row],[Sport]]="","",LayTable[[#This Row],[BookieInnsats]]+LayTable[[#This Row],[LayLiability]])</f>
        <v/>
      </c>
      <c r="R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 s="47" t="str">
        <f>IF(LayTable[[#This Row],[Utfall bookie]]="","",LayTable[[#This Row],[WBABack]]+LayTable[[#This Row],[WBALay]]-LayTable[[#This Row],[Total inns]])</f>
        <v/>
      </c>
      <c r="U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 s="48" t="str">
        <f>IFERROR(IF(LayTable[[#This Row],[Total inns]]="","",LayTable[[#This Row],[Rback]]/LayTable[[#This Row],[Total inns]]),"")</f>
        <v/>
      </c>
      <c r="X99" s="48" t="str">
        <f>IFERROR(IF(LayTable[[#This Row],[Total inns]]="","",LayTable[[#This Row],[Rlay]]/LayTable[[#This Row],[Total inns]]),"")</f>
        <v/>
      </c>
      <c r="Y99" s="48" t="str">
        <f>IFERROR(LayTable[[#This Row],[Faktisk res]]/LayTable[[#This Row],[Total inns]],"")</f>
        <v/>
      </c>
      <c r="Z99" s="47">
        <f>(LayTable[[#This Row],[BookieInnsats]]*LayTable[[#This Row],[BookieOdds]]-LayTable[[#This Row],[BookieInnsats]])*(1-LayTable[[#This Row],[C% Bookie]])</f>
        <v>0</v>
      </c>
      <c r="AA99" s="43">
        <f>LayTable[[#This Row],[LayInnsats]]*(1-LayTable[[#This Row],[C% Lay]])</f>
        <v>0</v>
      </c>
      <c r="AB99" s="43" t="str">
        <f>IFERROR(IF(LayTable[[#This Row],[Sport]]="",AB98,LayTable[[#This Row],[Faktisk res]]+AB98),"")</f>
        <v/>
      </c>
      <c r="AC99" s="43">
        <f>(LayTable[[#This Row],[BackWin-Commission]]+LayTable[[#This Row],[BookieInnsats]])</f>
        <v>0</v>
      </c>
      <c r="AD99" s="43" t="e">
        <f>(LayTable[[#This Row],[LayWin-Commission]])+LayTable[[#This Row],[LayLiability]]</f>
        <v>#VALUE!</v>
      </c>
      <c r="AE99" s="43"/>
      <c r="AF99" s="181"/>
    </row>
    <row r="100" spans="1:32">
      <c r="A100" s="183"/>
      <c r="B100" s="177"/>
      <c r="C100" s="178"/>
      <c r="D100" s="203"/>
      <c r="E100" s="178"/>
      <c r="F100" s="203"/>
      <c r="G100" s="183"/>
      <c r="H100" s="176"/>
      <c r="I100" s="204"/>
      <c r="J100" s="204"/>
      <c r="K100" s="205"/>
      <c r="L100" s="205"/>
      <c r="M100" s="44" t="str">
        <f>IF(LayTable[[#This Row],[Sport]]="","",LayTable[[#This Row],[LayInnsats]]*(LayTable[[#This Row],[LayOdds]]-1))</f>
        <v/>
      </c>
      <c r="N100" s="45" t="str">
        <f>IF(LayTable[[#This Row],[Sport]]="","",1/((1/LayTable[[#This Row],[BookieOdds]])+(1/((1/((1+((LayTable[[#This Row],[LayOdds]]-1)*(1+LayTable[[#This Row],[C% Lay]])))-1))+1)))-1)</f>
        <v/>
      </c>
      <c r="Q100" s="46" t="str">
        <f>IF(LayTable[[#This Row],[Sport]]="","",LayTable[[#This Row],[BookieInnsats]]+LayTable[[#This Row],[LayLiability]])</f>
        <v/>
      </c>
      <c r="R1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 s="47" t="str">
        <f>IF(LayTable[[#This Row],[Utfall bookie]]="","",LayTable[[#This Row],[WBABack]]+LayTable[[#This Row],[WBALay]]-LayTable[[#This Row],[Total inns]])</f>
        <v/>
      </c>
      <c r="U1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 s="48" t="str">
        <f>IFERROR(IF(LayTable[[#This Row],[Total inns]]="","",LayTable[[#This Row],[Rback]]/LayTable[[#This Row],[Total inns]]),"")</f>
        <v/>
      </c>
      <c r="X100" s="48" t="str">
        <f>IFERROR(IF(LayTable[[#This Row],[Total inns]]="","",LayTable[[#This Row],[Rlay]]/LayTable[[#This Row],[Total inns]]),"")</f>
        <v/>
      </c>
      <c r="Y100" s="48" t="str">
        <f>IFERROR(LayTable[[#This Row],[Faktisk res]]/LayTable[[#This Row],[Total inns]],"")</f>
        <v/>
      </c>
      <c r="Z100" s="47">
        <f>(LayTable[[#This Row],[BookieInnsats]]*LayTable[[#This Row],[BookieOdds]]-LayTable[[#This Row],[BookieInnsats]])*(1-LayTable[[#This Row],[C% Bookie]])</f>
        <v>0</v>
      </c>
      <c r="AA100" s="43">
        <f>LayTable[[#This Row],[LayInnsats]]*(1-LayTable[[#This Row],[C% Lay]])</f>
        <v>0</v>
      </c>
      <c r="AB100" s="43" t="str">
        <f>IFERROR(IF(LayTable[[#This Row],[Sport]]="",AB99,LayTable[[#This Row],[Faktisk res]]+AB99),"")</f>
        <v/>
      </c>
      <c r="AC100" s="43">
        <f>(LayTable[[#This Row],[BackWin-Commission]]+LayTable[[#This Row],[BookieInnsats]])</f>
        <v>0</v>
      </c>
      <c r="AD100" s="43" t="e">
        <f>(LayTable[[#This Row],[LayWin-Commission]])+LayTable[[#This Row],[LayLiability]]</f>
        <v>#VALUE!</v>
      </c>
      <c r="AE100" s="43"/>
      <c r="AF100" s="181"/>
    </row>
    <row r="101" spans="1:32">
      <c r="A101" s="183"/>
      <c r="B101" s="201"/>
      <c r="C101" s="202"/>
      <c r="D101" s="203"/>
      <c r="E101" s="202"/>
      <c r="F101" s="203"/>
      <c r="G101" s="183"/>
      <c r="H101" s="200"/>
      <c r="I101" s="204"/>
      <c r="J101" s="204"/>
      <c r="K101" s="205"/>
      <c r="L101" s="205"/>
      <c r="M101" s="44" t="str">
        <f>IF(LayTable[[#This Row],[Sport]]="","",LayTable[[#This Row],[LayInnsats]]*(LayTable[[#This Row],[LayOdds]]-1))</f>
        <v/>
      </c>
      <c r="N101" s="45" t="str">
        <f>IF(LayTable[[#This Row],[Sport]]="","",1/((1/LayTable[[#This Row],[BookieOdds]])+(1/((1/((1+((LayTable[[#This Row],[LayOdds]]-1)*(1+LayTable[[#This Row],[C% Lay]])))-1))+1)))-1)</f>
        <v/>
      </c>
      <c r="Q101" s="46" t="str">
        <f>IF(LayTable[[#This Row],[Sport]]="","",LayTable[[#This Row],[BookieInnsats]]+LayTable[[#This Row],[LayLiability]])</f>
        <v/>
      </c>
      <c r="R1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 s="47" t="str">
        <f>IF(LayTable[[#This Row],[Utfall bookie]]="","",LayTable[[#This Row],[WBABack]]+LayTable[[#This Row],[WBALay]]-LayTable[[#This Row],[Total inns]])</f>
        <v/>
      </c>
      <c r="U1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 s="48" t="str">
        <f>IFERROR(IF(LayTable[[#This Row],[Total inns]]="","",LayTable[[#This Row],[Rback]]/LayTable[[#This Row],[Total inns]]),"")</f>
        <v/>
      </c>
      <c r="X101" s="48" t="str">
        <f>IFERROR(IF(LayTable[[#This Row],[Total inns]]="","",LayTable[[#This Row],[Rlay]]/LayTable[[#This Row],[Total inns]]),"")</f>
        <v/>
      </c>
      <c r="Y101" s="48" t="str">
        <f>IFERROR(LayTable[[#This Row],[Faktisk res]]/LayTable[[#This Row],[Total inns]],"")</f>
        <v/>
      </c>
      <c r="Z101" s="47">
        <f>(LayTable[[#This Row],[BookieInnsats]]*LayTable[[#This Row],[BookieOdds]]-LayTable[[#This Row],[BookieInnsats]])*(1-LayTable[[#This Row],[C% Bookie]])</f>
        <v>0</v>
      </c>
      <c r="AA101" s="43">
        <f>LayTable[[#This Row],[LayInnsats]]*(1-LayTable[[#This Row],[C% Lay]])</f>
        <v>0</v>
      </c>
      <c r="AB101" s="43" t="str">
        <f>IFERROR(IF(LayTable[[#This Row],[Sport]]="",AB100,LayTable[[#This Row],[Faktisk res]]+AB100),"")</f>
        <v/>
      </c>
      <c r="AC101" s="43">
        <f>(LayTable[[#This Row],[BackWin-Commission]]+LayTable[[#This Row],[BookieInnsats]])</f>
        <v>0</v>
      </c>
      <c r="AD101" s="43" t="e">
        <f>(LayTable[[#This Row],[LayWin-Commission]])+LayTable[[#This Row],[LayLiability]]</f>
        <v>#VALUE!</v>
      </c>
      <c r="AE101" s="43"/>
      <c r="AF101" s="181"/>
    </row>
    <row r="102" spans="1:32">
      <c r="A102" s="183"/>
      <c r="B102" s="201"/>
      <c r="C102" s="202"/>
      <c r="D102" s="203"/>
      <c r="E102" s="202"/>
      <c r="F102" s="203"/>
      <c r="G102" s="183"/>
      <c r="H102" s="200"/>
      <c r="I102" s="204"/>
      <c r="J102" s="204"/>
      <c r="K102" s="205"/>
      <c r="L102" s="205"/>
      <c r="M102" s="44" t="str">
        <f>IF(LayTable[[#This Row],[Sport]]="","",LayTable[[#This Row],[LayInnsats]]*(LayTable[[#This Row],[LayOdds]]-1))</f>
        <v/>
      </c>
      <c r="N102" s="45" t="str">
        <f>IF(LayTable[[#This Row],[Sport]]="","",1/((1/LayTable[[#This Row],[BookieOdds]])+(1/((1/((1+((LayTable[[#This Row],[LayOdds]]-1)*(1+LayTable[[#This Row],[C% Lay]])))-1))+1)))-1)</f>
        <v/>
      </c>
      <c r="Q102" s="46" t="str">
        <f>IF(LayTable[[#This Row],[Sport]]="","",LayTable[[#This Row],[BookieInnsats]]+LayTable[[#This Row],[LayLiability]])</f>
        <v/>
      </c>
      <c r="R1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 s="47" t="str">
        <f>IF(LayTable[[#This Row],[Utfall bookie]]="","",LayTable[[#This Row],[WBABack]]+LayTable[[#This Row],[WBALay]]-LayTable[[#This Row],[Total inns]])</f>
        <v/>
      </c>
      <c r="U1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 s="48" t="str">
        <f>IFERROR(IF(LayTable[[#This Row],[Total inns]]="","",LayTable[[#This Row],[Rback]]/LayTable[[#This Row],[Total inns]]),"")</f>
        <v/>
      </c>
      <c r="X102" s="48" t="str">
        <f>IFERROR(IF(LayTable[[#This Row],[Total inns]]="","",LayTable[[#This Row],[Rlay]]/LayTable[[#This Row],[Total inns]]),"")</f>
        <v/>
      </c>
      <c r="Y102" s="48" t="str">
        <f>IFERROR(LayTable[[#This Row],[Faktisk res]]/LayTable[[#This Row],[Total inns]],"")</f>
        <v/>
      </c>
      <c r="Z102" s="47">
        <f>(LayTable[[#This Row],[BookieInnsats]]*LayTable[[#This Row],[BookieOdds]]-LayTable[[#This Row],[BookieInnsats]])*(1-LayTable[[#This Row],[C% Bookie]])</f>
        <v>0</v>
      </c>
      <c r="AA102" s="43">
        <f>LayTable[[#This Row],[LayInnsats]]*(1-LayTable[[#This Row],[C% Lay]])</f>
        <v>0</v>
      </c>
      <c r="AB102" s="43" t="str">
        <f>IFERROR(IF(LayTable[[#This Row],[Sport]]="",AB101,LayTable[[#This Row],[Faktisk res]]+AB101),"")</f>
        <v/>
      </c>
      <c r="AC102" s="43">
        <f>(LayTable[[#This Row],[BackWin-Commission]]+LayTable[[#This Row],[BookieInnsats]])</f>
        <v>0</v>
      </c>
      <c r="AD102" s="43" t="e">
        <f>(LayTable[[#This Row],[LayWin-Commission]])+LayTable[[#This Row],[LayLiability]]</f>
        <v>#VALUE!</v>
      </c>
      <c r="AE102" s="43"/>
      <c r="AF102" s="183"/>
    </row>
    <row r="103" spans="1:32">
      <c r="A103" s="183"/>
      <c r="B103" s="177"/>
      <c r="C103" s="40"/>
      <c r="D103" s="41"/>
      <c r="E103" s="40"/>
      <c r="F103" s="41"/>
      <c r="G103" s="183"/>
      <c r="H103" s="38"/>
      <c r="I103" s="42"/>
      <c r="J103" s="42"/>
      <c r="K103" s="43"/>
      <c r="L103" s="43"/>
      <c r="M103" s="44" t="str">
        <f>IF(LayTable[[#This Row],[Sport]]="","",LayTable[[#This Row],[LayInnsats]]*(LayTable[[#This Row],[LayOdds]]-1))</f>
        <v/>
      </c>
      <c r="N103" s="45" t="str">
        <f>IF(LayTable[[#This Row],[Sport]]="","",1/((1/LayTable[[#This Row],[BookieOdds]])+(1/((1/((1+((LayTable[[#This Row],[LayOdds]]-1)*(1+LayTable[[#This Row],[C% Lay]])))-1))+1)))-1)</f>
        <v/>
      </c>
      <c r="Q103" s="46" t="str">
        <f>IF(LayTable[[#This Row],[Sport]]="","",LayTable[[#This Row],[BookieInnsats]]+LayTable[[#This Row],[LayLiability]])</f>
        <v/>
      </c>
      <c r="R1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 s="47" t="str">
        <f>IF(LayTable[[#This Row],[Utfall bookie]]="","",LayTable[[#This Row],[WBABack]]+LayTable[[#This Row],[WBALay]]-LayTable[[#This Row],[Total inns]])</f>
        <v/>
      </c>
      <c r="U1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 s="48" t="str">
        <f>IFERROR(IF(LayTable[[#This Row],[Total inns]]="","",LayTable[[#This Row],[Rback]]/LayTable[[#This Row],[Total inns]]),"")</f>
        <v/>
      </c>
      <c r="X103" s="48" t="str">
        <f>IFERROR(IF(LayTable[[#This Row],[Total inns]]="","",LayTable[[#This Row],[Rlay]]/LayTable[[#This Row],[Total inns]]),"")</f>
        <v/>
      </c>
      <c r="Y103" s="48" t="str">
        <f>IFERROR(LayTable[[#This Row],[Faktisk res]]/LayTable[[#This Row],[Total inns]],"")</f>
        <v/>
      </c>
      <c r="Z103" s="47">
        <f>(LayTable[[#This Row],[BookieInnsats]]*LayTable[[#This Row],[BookieOdds]]-LayTable[[#This Row],[BookieInnsats]])*(1-LayTable[[#This Row],[C% Bookie]])</f>
        <v>0</v>
      </c>
      <c r="AA103" s="43">
        <f>LayTable[[#This Row],[LayInnsats]]*(1-LayTable[[#This Row],[C% Lay]])</f>
        <v>0</v>
      </c>
      <c r="AB103" s="43" t="str">
        <f>IFERROR(IF(LayTable[[#This Row],[Sport]]="",AB102,LayTable[[#This Row],[Faktisk res]]+AB102),"")</f>
        <v/>
      </c>
      <c r="AC103" s="43">
        <f>(LayTable[[#This Row],[BackWin-Commission]]+LayTable[[#This Row],[BookieInnsats]])</f>
        <v>0</v>
      </c>
      <c r="AD103" s="43" t="e">
        <f>(LayTable[[#This Row],[LayWin-Commission]])+LayTable[[#This Row],[LayLiability]]</f>
        <v>#VALUE!</v>
      </c>
      <c r="AE103" s="43"/>
      <c r="AF103" s="183"/>
    </row>
    <row r="104" spans="1:32">
      <c r="A104" s="183"/>
      <c r="B104" s="177"/>
      <c r="C104" s="40"/>
      <c r="D104" s="41"/>
      <c r="E104" s="40"/>
      <c r="F104" s="41"/>
      <c r="G104" s="183"/>
      <c r="H104" s="38"/>
      <c r="I104" s="42"/>
      <c r="J104" s="42"/>
      <c r="K104" s="43"/>
      <c r="L104" s="43"/>
      <c r="M104" s="44" t="str">
        <f>IF(LayTable[[#This Row],[Sport]]="","",LayTable[[#This Row],[LayInnsats]]*(LayTable[[#This Row],[LayOdds]]-1))</f>
        <v/>
      </c>
      <c r="N104" s="45" t="str">
        <f>IF(LayTable[[#This Row],[Sport]]="","",1/((1/LayTable[[#This Row],[BookieOdds]])+(1/((1/((1+((LayTable[[#This Row],[LayOdds]]-1)*(1+LayTable[[#This Row],[C% Lay]])))-1))+1)))-1)</f>
        <v/>
      </c>
      <c r="Q104" s="46" t="str">
        <f>IF(LayTable[[#This Row],[Sport]]="","",LayTable[[#This Row],[BookieInnsats]]+LayTable[[#This Row],[LayLiability]])</f>
        <v/>
      </c>
      <c r="R1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 s="47" t="str">
        <f>IF(LayTable[[#This Row],[Utfall bookie]]="","",LayTable[[#This Row],[WBABack]]+LayTable[[#This Row],[WBALay]]-LayTable[[#This Row],[Total inns]])</f>
        <v/>
      </c>
      <c r="U1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 s="48" t="str">
        <f>IFERROR(IF(LayTable[[#This Row],[Total inns]]="","",LayTable[[#This Row],[Rback]]/LayTable[[#This Row],[Total inns]]),"")</f>
        <v/>
      </c>
      <c r="X104" s="48" t="str">
        <f>IFERROR(IF(LayTable[[#This Row],[Total inns]]="","",LayTable[[#This Row],[Rlay]]/LayTable[[#This Row],[Total inns]]),"")</f>
        <v/>
      </c>
      <c r="Y104" s="48" t="str">
        <f>IFERROR(LayTable[[#This Row],[Faktisk res]]/LayTable[[#This Row],[Total inns]],"")</f>
        <v/>
      </c>
      <c r="Z104" s="47">
        <f>(LayTable[[#This Row],[BookieInnsats]]*LayTable[[#This Row],[BookieOdds]]-LayTable[[#This Row],[BookieInnsats]])*(1-LayTable[[#This Row],[C% Bookie]])</f>
        <v>0</v>
      </c>
      <c r="AA104" s="43">
        <f>LayTable[[#This Row],[LayInnsats]]*(1-LayTable[[#This Row],[C% Lay]])</f>
        <v>0</v>
      </c>
      <c r="AB104" s="43" t="str">
        <f>IFERROR(IF(LayTable[[#This Row],[Sport]]="",AB103,LayTable[[#This Row],[Faktisk res]]+AB103),"")</f>
        <v/>
      </c>
      <c r="AC104" s="43">
        <f>(LayTable[[#This Row],[BackWin-Commission]]+LayTable[[#This Row],[BookieInnsats]])</f>
        <v>0</v>
      </c>
      <c r="AD104" s="43" t="e">
        <f>(LayTable[[#This Row],[LayWin-Commission]])+LayTable[[#This Row],[LayLiability]]</f>
        <v>#VALUE!</v>
      </c>
      <c r="AE104" s="43"/>
      <c r="AF104" s="183"/>
    </row>
    <row r="105" spans="1:32">
      <c r="A105" s="183"/>
      <c r="B105" s="177"/>
      <c r="C105" s="40"/>
      <c r="D105" s="41"/>
      <c r="E105" s="40"/>
      <c r="F105" s="41"/>
      <c r="G105" s="183"/>
      <c r="H105" s="38"/>
      <c r="I105" s="42"/>
      <c r="J105" s="42"/>
      <c r="K105" s="43"/>
      <c r="L105" s="43"/>
      <c r="M105" s="44" t="str">
        <f>IF(LayTable[[#This Row],[Sport]]="","",LayTable[[#This Row],[LayInnsats]]*(LayTable[[#This Row],[LayOdds]]-1))</f>
        <v/>
      </c>
      <c r="N105" s="45" t="str">
        <f>IF(LayTable[[#This Row],[Sport]]="","",1/((1/LayTable[[#This Row],[BookieOdds]])+(1/((1/((1+((LayTable[[#This Row],[LayOdds]]-1)*(1+LayTable[[#This Row],[C% Lay]])))-1))+1)))-1)</f>
        <v/>
      </c>
      <c r="Q105" s="46" t="str">
        <f>IF(LayTable[[#This Row],[Sport]]="","",LayTable[[#This Row],[BookieInnsats]]+LayTable[[#This Row],[LayLiability]])</f>
        <v/>
      </c>
      <c r="R1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 s="47" t="str">
        <f>IF(LayTable[[#This Row],[Utfall bookie]]="","",LayTable[[#This Row],[WBABack]]+LayTable[[#This Row],[WBALay]]-LayTable[[#This Row],[Total inns]])</f>
        <v/>
      </c>
      <c r="U1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 s="48" t="str">
        <f>IFERROR(IF(LayTable[[#This Row],[Total inns]]="","",LayTable[[#This Row],[Rback]]/LayTable[[#This Row],[Total inns]]),"")</f>
        <v/>
      </c>
      <c r="X105" s="48" t="str">
        <f>IFERROR(IF(LayTable[[#This Row],[Total inns]]="","",LayTable[[#This Row],[Rlay]]/LayTable[[#This Row],[Total inns]]),"")</f>
        <v/>
      </c>
      <c r="Y105" s="48" t="str">
        <f>IFERROR(LayTable[[#This Row],[Faktisk res]]/LayTable[[#This Row],[Total inns]],"")</f>
        <v/>
      </c>
      <c r="Z105" s="47">
        <f>(LayTable[[#This Row],[BookieInnsats]]*LayTable[[#This Row],[BookieOdds]]-LayTable[[#This Row],[BookieInnsats]])*(1-LayTable[[#This Row],[C% Bookie]])</f>
        <v>0</v>
      </c>
      <c r="AA105" s="43">
        <f>LayTable[[#This Row],[LayInnsats]]*(1-LayTable[[#This Row],[C% Lay]])</f>
        <v>0</v>
      </c>
      <c r="AB105" s="43" t="str">
        <f>IFERROR(IF(LayTable[[#This Row],[Sport]]="",AB104,LayTable[[#This Row],[Faktisk res]]+AB104),"")</f>
        <v/>
      </c>
      <c r="AC105" s="43">
        <f>(LayTable[[#This Row],[BackWin-Commission]]+LayTable[[#This Row],[BookieInnsats]])</f>
        <v>0</v>
      </c>
      <c r="AD105" s="43" t="e">
        <f>(LayTable[[#This Row],[LayWin-Commission]])+LayTable[[#This Row],[LayLiability]]</f>
        <v>#VALUE!</v>
      </c>
      <c r="AE105" s="43"/>
      <c r="AF105" s="183"/>
    </row>
    <row r="106" spans="1:32">
      <c r="A106" s="183"/>
      <c r="B106" s="177"/>
      <c r="C106" s="40"/>
      <c r="D106" s="41"/>
      <c r="E106" s="40"/>
      <c r="F106" s="41"/>
      <c r="G106" s="183"/>
      <c r="H106" s="38"/>
      <c r="I106" s="42"/>
      <c r="J106" s="42"/>
      <c r="K106" s="43"/>
      <c r="L106" s="43"/>
      <c r="M106" s="44" t="str">
        <f>IF(LayTable[[#This Row],[Sport]]="","",LayTable[[#This Row],[LayInnsats]]*(LayTable[[#This Row],[LayOdds]]-1))</f>
        <v/>
      </c>
      <c r="N106" s="45" t="str">
        <f>IF(LayTable[[#This Row],[Sport]]="","",1/((1/LayTable[[#This Row],[BookieOdds]])+(1/((1/((1+((LayTable[[#This Row],[LayOdds]]-1)*(1+LayTable[[#This Row],[C% Lay]])))-1))+1)))-1)</f>
        <v/>
      </c>
      <c r="Q106" s="46" t="str">
        <f>IF(LayTable[[#This Row],[Sport]]="","",LayTable[[#This Row],[BookieInnsats]]+LayTable[[#This Row],[LayLiability]])</f>
        <v/>
      </c>
      <c r="R1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 s="47" t="str">
        <f>IF(LayTable[[#This Row],[Utfall bookie]]="","",LayTable[[#This Row],[WBABack]]+LayTable[[#This Row],[WBALay]]-LayTable[[#This Row],[Total inns]])</f>
        <v/>
      </c>
      <c r="U1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 s="48" t="str">
        <f>IFERROR(IF(LayTable[[#This Row],[Total inns]]="","",LayTable[[#This Row],[Rback]]/LayTable[[#This Row],[Total inns]]),"")</f>
        <v/>
      </c>
      <c r="X106" s="48" t="str">
        <f>IFERROR(IF(LayTable[[#This Row],[Total inns]]="","",LayTable[[#This Row],[Rlay]]/LayTable[[#This Row],[Total inns]]),"")</f>
        <v/>
      </c>
      <c r="Y106" s="48" t="str">
        <f>IFERROR(LayTable[[#This Row],[Faktisk res]]/LayTable[[#This Row],[Total inns]],"")</f>
        <v/>
      </c>
      <c r="Z106" s="47">
        <f>(LayTable[[#This Row],[BookieInnsats]]*LayTable[[#This Row],[BookieOdds]]-LayTable[[#This Row],[BookieInnsats]])*(1-LayTable[[#This Row],[C% Bookie]])</f>
        <v>0</v>
      </c>
      <c r="AA106" s="43">
        <f>LayTable[[#This Row],[LayInnsats]]*(1-LayTable[[#This Row],[C% Lay]])</f>
        <v>0</v>
      </c>
      <c r="AB106" s="43" t="str">
        <f>IFERROR(IF(LayTable[[#This Row],[Sport]]="",AB105,LayTable[[#This Row],[Faktisk res]]+AB105),"")</f>
        <v/>
      </c>
      <c r="AC106" s="43">
        <f>(LayTable[[#This Row],[BackWin-Commission]]+LayTable[[#This Row],[BookieInnsats]])</f>
        <v>0</v>
      </c>
      <c r="AD106" s="43" t="e">
        <f>(LayTable[[#This Row],[LayWin-Commission]])+LayTable[[#This Row],[LayLiability]]</f>
        <v>#VALUE!</v>
      </c>
      <c r="AE106" s="43"/>
      <c r="AF106" s="183"/>
    </row>
    <row r="107" spans="1:32">
      <c r="A107" s="183"/>
      <c r="B107" s="177"/>
      <c r="C107" s="40"/>
      <c r="D107" s="41"/>
      <c r="E107" s="40"/>
      <c r="F107" s="41"/>
      <c r="G107" s="183"/>
      <c r="H107" s="38"/>
      <c r="I107" s="42"/>
      <c r="J107" s="42"/>
      <c r="K107" s="43"/>
      <c r="L107" s="43"/>
      <c r="M107" s="44" t="str">
        <f>IF(LayTable[[#This Row],[Sport]]="","",LayTable[[#This Row],[LayInnsats]]*(LayTable[[#This Row],[LayOdds]]-1))</f>
        <v/>
      </c>
      <c r="N107" s="45" t="str">
        <f>IF(LayTable[[#This Row],[Sport]]="","",1/((1/LayTable[[#This Row],[BookieOdds]])+(1/((1/((1+((LayTable[[#This Row],[LayOdds]]-1)*(1+LayTable[[#This Row],[C% Lay]])))-1))+1)))-1)</f>
        <v/>
      </c>
      <c r="Q107" s="46" t="str">
        <f>IF(LayTable[[#This Row],[Sport]]="","",LayTable[[#This Row],[BookieInnsats]]+LayTable[[#This Row],[LayLiability]])</f>
        <v/>
      </c>
      <c r="R1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 s="47" t="str">
        <f>IF(LayTable[[#This Row],[Utfall bookie]]="","",LayTable[[#This Row],[WBABack]]+LayTable[[#This Row],[WBALay]]-LayTable[[#This Row],[Total inns]])</f>
        <v/>
      </c>
      <c r="U1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 s="48" t="str">
        <f>IFERROR(IF(LayTable[[#This Row],[Total inns]]="","",LayTable[[#This Row],[Rback]]/LayTable[[#This Row],[Total inns]]),"")</f>
        <v/>
      </c>
      <c r="X107" s="48" t="str">
        <f>IFERROR(IF(LayTable[[#This Row],[Total inns]]="","",LayTable[[#This Row],[Rlay]]/LayTable[[#This Row],[Total inns]]),"")</f>
        <v/>
      </c>
      <c r="Y107" s="48" t="str">
        <f>IFERROR(LayTable[[#This Row],[Faktisk res]]/LayTable[[#This Row],[Total inns]],"")</f>
        <v/>
      </c>
      <c r="Z107" s="47">
        <f>(LayTable[[#This Row],[BookieInnsats]]*LayTable[[#This Row],[BookieOdds]]-LayTable[[#This Row],[BookieInnsats]])*(1-LayTable[[#This Row],[C% Bookie]])</f>
        <v>0</v>
      </c>
      <c r="AA107" s="43">
        <f>LayTable[[#This Row],[LayInnsats]]*(1-LayTable[[#This Row],[C% Lay]])</f>
        <v>0</v>
      </c>
      <c r="AB107" s="43" t="str">
        <f>IFERROR(IF(LayTable[[#This Row],[Sport]]="",AB106,LayTable[[#This Row],[Faktisk res]]+AB106),"")</f>
        <v/>
      </c>
      <c r="AC107" s="43">
        <f>(LayTable[[#This Row],[BackWin-Commission]]+LayTable[[#This Row],[BookieInnsats]])</f>
        <v>0</v>
      </c>
      <c r="AD107" s="43" t="e">
        <f>(LayTable[[#This Row],[LayWin-Commission]])+LayTable[[#This Row],[LayLiability]]</f>
        <v>#VALUE!</v>
      </c>
      <c r="AE107" s="43"/>
      <c r="AF107" s="183"/>
    </row>
    <row r="108" spans="1:32">
      <c r="A108" s="183"/>
      <c r="B108" s="177"/>
      <c r="C108" s="40"/>
      <c r="D108" s="41"/>
      <c r="E108" s="40"/>
      <c r="F108" s="41"/>
      <c r="G108" s="183"/>
      <c r="H108" s="38"/>
      <c r="I108" s="42"/>
      <c r="J108" s="42"/>
      <c r="K108" s="43"/>
      <c r="L108" s="43"/>
      <c r="M108" s="44" t="str">
        <f>IF(LayTable[[#This Row],[Sport]]="","",LayTable[[#This Row],[LayInnsats]]*(LayTable[[#This Row],[LayOdds]]-1))</f>
        <v/>
      </c>
      <c r="N108" s="45" t="str">
        <f>IF(LayTable[[#This Row],[Sport]]="","",1/((1/LayTable[[#This Row],[BookieOdds]])+(1/((1/((1+((LayTable[[#This Row],[LayOdds]]-1)*(1+LayTable[[#This Row],[C% Lay]])))-1))+1)))-1)</f>
        <v/>
      </c>
      <c r="Q108" s="46" t="str">
        <f>IF(LayTable[[#This Row],[Sport]]="","",LayTable[[#This Row],[BookieInnsats]]+LayTable[[#This Row],[LayLiability]])</f>
        <v/>
      </c>
      <c r="R1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 s="47" t="str">
        <f>IF(LayTable[[#This Row],[Utfall bookie]]="","",LayTable[[#This Row],[WBABack]]+LayTable[[#This Row],[WBALay]]-LayTable[[#This Row],[Total inns]])</f>
        <v/>
      </c>
      <c r="U1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 s="48" t="str">
        <f>IFERROR(IF(LayTable[[#This Row],[Total inns]]="","",LayTable[[#This Row],[Rback]]/LayTable[[#This Row],[Total inns]]),"")</f>
        <v/>
      </c>
      <c r="X108" s="48" t="str">
        <f>IFERROR(IF(LayTable[[#This Row],[Total inns]]="","",LayTable[[#This Row],[Rlay]]/LayTable[[#This Row],[Total inns]]),"")</f>
        <v/>
      </c>
      <c r="Y108" s="48" t="str">
        <f>IFERROR(LayTable[[#This Row],[Faktisk res]]/LayTable[[#This Row],[Total inns]],"")</f>
        <v/>
      </c>
      <c r="Z108" s="47">
        <f>(LayTable[[#This Row],[BookieInnsats]]*LayTable[[#This Row],[BookieOdds]]-LayTable[[#This Row],[BookieInnsats]])*(1-LayTable[[#This Row],[C% Bookie]])</f>
        <v>0</v>
      </c>
      <c r="AA108" s="43">
        <f>LayTable[[#This Row],[LayInnsats]]*(1-LayTable[[#This Row],[C% Lay]])</f>
        <v>0</v>
      </c>
      <c r="AB108" s="43" t="str">
        <f>IFERROR(IF(LayTable[[#This Row],[Sport]]="",AB107,LayTable[[#This Row],[Faktisk res]]+AB107),"")</f>
        <v/>
      </c>
      <c r="AC108" s="43">
        <f>(LayTable[[#This Row],[BackWin-Commission]]+LayTable[[#This Row],[BookieInnsats]])</f>
        <v>0</v>
      </c>
      <c r="AD108" s="43" t="e">
        <f>(LayTable[[#This Row],[LayWin-Commission]])+LayTable[[#This Row],[LayLiability]]</f>
        <v>#VALUE!</v>
      </c>
      <c r="AE108" s="43"/>
      <c r="AF108" s="183"/>
    </row>
    <row r="109" spans="1:32">
      <c r="A109" s="183"/>
      <c r="B109" s="177"/>
      <c r="C109" s="40"/>
      <c r="D109" s="41"/>
      <c r="E109" s="40"/>
      <c r="F109" s="41"/>
      <c r="G109" s="183"/>
      <c r="H109" s="38"/>
      <c r="I109" s="42"/>
      <c r="J109" s="42"/>
      <c r="K109" s="43"/>
      <c r="L109" s="43"/>
      <c r="M109" s="44" t="str">
        <f>IF(LayTable[[#This Row],[Sport]]="","",LayTable[[#This Row],[LayInnsats]]*(LayTable[[#This Row],[LayOdds]]-1))</f>
        <v/>
      </c>
      <c r="N109" s="45" t="str">
        <f>IF(LayTable[[#This Row],[Sport]]="","",1/((1/LayTable[[#This Row],[BookieOdds]])+(1/((1/((1+((LayTable[[#This Row],[LayOdds]]-1)*(1+LayTable[[#This Row],[C% Lay]])))-1))+1)))-1)</f>
        <v/>
      </c>
      <c r="Q109" s="46" t="str">
        <f>IF(LayTable[[#This Row],[Sport]]="","",LayTable[[#This Row],[BookieInnsats]]+LayTable[[#This Row],[LayLiability]])</f>
        <v/>
      </c>
      <c r="R1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 s="47" t="str">
        <f>IF(LayTable[[#This Row],[Utfall bookie]]="","",LayTable[[#This Row],[WBABack]]+LayTable[[#This Row],[WBALay]]-LayTable[[#This Row],[Total inns]])</f>
        <v/>
      </c>
      <c r="U1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 s="48" t="str">
        <f>IFERROR(IF(LayTable[[#This Row],[Total inns]]="","",LayTable[[#This Row],[Rback]]/LayTable[[#This Row],[Total inns]]),"")</f>
        <v/>
      </c>
      <c r="X109" s="48" t="str">
        <f>IFERROR(IF(LayTable[[#This Row],[Total inns]]="","",LayTable[[#This Row],[Rlay]]/LayTable[[#This Row],[Total inns]]),"")</f>
        <v/>
      </c>
      <c r="Y109" s="48" t="str">
        <f>IFERROR(LayTable[[#This Row],[Faktisk res]]/LayTable[[#This Row],[Total inns]],"")</f>
        <v/>
      </c>
      <c r="Z109" s="47">
        <f>(LayTable[[#This Row],[BookieInnsats]]*LayTable[[#This Row],[BookieOdds]]-LayTable[[#This Row],[BookieInnsats]])*(1-LayTable[[#This Row],[C% Bookie]])</f>
        <v>0</v>
      </c>
      <c r="AA109" s="43">
        <f>LayTable[[#This Row],[LayInnsats]]*(1-LayTable[[#This Row],[C% Lay]])</f>
        <v>0</v>
      </c>
      <c r="AB109" s="43" t="str">
        <f>IFERROR(IF(LayTable[[#This Row],[Sport]]="",AB108,LayTable[[#This Row],[Faktisk res]]+AB108),"")</f>
        <v/>
      </c>
      <c r="AC109" s="43">
        <f>(LayTable[[#This Row],[BackWin-Commission]]+LayTable[[#This Row],[BookieInnsats]])</f>
        <v>0</v>
      </c>
      <c r="AD109" s="43" t="e">
        <f>(LayTable[[#This Row],[LayWin-Commission]])+LayTable[[#This Row],[LayLiability]]</f>
        <v>#VALUE!</v>
      </c>
      <c r="AE109" s="43"/>
      <c r="AF109" s="183"/>
    </row>
    <row r="110" spans="1:32">
      <c r="A110" s="84"/>
      <c r="B110" s="177"/>
      <c r="C110" s="40"/>
      <c r="D110" s="41"/>
      <c r="E110" s="40"/>
      <c r="F110" s="41"/>
      <c r="G110" s="183"/>
      <c r="H110" s="38"/>
      <c r="I110" s="42"/>
      <c r="J110" s="42"/>
      <c r="K110" s="43"/>
      <c r="L110" s="43"/>
      <c r="M110" s="44" t="str">
        <f>IF(LayTable[[#This Row],[Sport]]="","",LayTable[[#This Row],[LayInnsats]]*(LayTable[[#This Row],[LayOdds]]-1))</f>
        <v/>
      </c>
      <c r="N110" s="45" t="str">
        <f>IF(LayTable[[#This Row],[Sport]]="","",1/((1/LayTable[[#This Row],[BookieOdds]])+(1/((1/((1+((LayTable[[#This Row],[LayOdds]]-1)*(1+LayTable[[#This Row],[C% Lay]])))-1))+1)))-1)</f>
        <v/>
      </c>
      <c r="Q110" s="46" t="str">
        <f>IF(LayTable[[#This Row],[Sport]]="","",LayTable[[#This Row],[BookieInnsats]]+LayTable[[#This Row],[LayLiability]])</f>
        <v/>
      </c>
      <c r="R1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 s="47" t="str">
        <f>IF(LayTable[[#This Row],[Utfall bookie]]="","",LayTable[[#This Row],[WBABack]]+LayTable[[#This Row],[WBALay]]-LayTable[[#This Row],[Total inns]])</f>
        <v/>
      </c>
      <c r="U1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 s="48" t="str">
        <f>IFERROR(IF(LayTable[[#This Row],[Total inns]]="","",LayTable[[#This Row],[Rback]]/LayTable[[#This Row],[Total inns]]),"")</f>
        <v/>
      </c>
      <c r="X110" s="48" t="str">
        <f>IFERROR(IF(LayTable[[#This Row],[Total inns]]="","",LayTable[[#This Row],[Rlay]]/LayTable[[#This Row],[Total inns]]),"")</f>
        <v/>
      </c>
      <c r="Y110" s="48" t="str">
        <f>IFERROR(LayTable[[#This Row],[Faktisk res]]/LayTable[[#This Row],[Total inns]],"")</f>
        <v/>
      </c>
      <c r="Z110" s="47">
        <f>(LayTable[[#This Row],[BookieInnsats]]*LayTable[[#This Row],[BookieOdds]]-LayTable[[#This Row],[BookieInnsats]])*(1-LayTable[[#This Row],[C% Bookie]])</f>
        <v>0</v>
      </c>
      <c r="AA110" s="43">
        <f>LayTable[[#This Row],[LayInnsats]]*(1-LayTable[[#This Row],[C% Lay]])</f>
        <v>0</v>
      </c>
      <c r="AB110" s="43" t="str">
        <f>IFERROR(IF(LayTable[[#This Row],[Sport]]="",AB109,LayTable[[#This Row],[Faktisk res]]+AB109),"")</f>
        <v/>
      </c>
      <c r="AC110" s="43">
        <f>(LayTable[[#This Row],[BackWin-Commission]]+LayTable[[#This Row],[BookieInnsats]])</f>
        <v>0</v>
      </c>
      <c r="AD110" s="43" t="e">
        <f>(LayTable[[#This Row],[LayWin-Commission]])+LayTable[[#This Row],[LayLiability]]</f>
        <v>#VALUE!</v>
      </c>
      <c r="AE110" s="43"/>
      <c r="AF110" s="183"/>
    </row>
    <row r="111" spans="1:32">
      <c r="A111" s="84"/>
      <c r="B111" s="177"/>
      <c r="C111" s="40"/>
      <c r="D111" s="41"/>
      <c r="E111" s="40"/>
      <c r="F111" s="41"/>
      <c r="G111" s="183"/>
      <c r="H111" s="38"/>
      <c r="I111" s="42"/>
      <c r="J111" s="42"/>
      <c r="K111" s="43"/>
      <c r="L111" s="43"/>
      <c r="M111" s="44" t="str">
        <f>IF(LayTable[[#This Row],[Sport]]="","",LayTable[[#This Row],[LayInnsats]]*(LayTable[[#This Row],[LayOdds]]-1))</f>
        <v/>
      </c>
      <c r="N111" s="45" t="str">
        <f>IF(LayTable[[#This Row],[Sport]]="","",1/((1/LayTable[[#This Row],[BookieOdds]])+(1/((1/((1+((LayTable[[#This Row],[LayOdds]]-1)*(1+LayTable[[#This Row],[C% Lay]])))-1))+1)))-1)</f>
        <v/>
      </c>
      <c r="Q111" s="46" t="str">
        <f>IF(LayTable[[#This Row],[Sport]]="","",LayTable[[#This Row],[BookieInnsats]]+LayTable[[#This Row],[LayLiability]])</f>
        <v/>
      </c>
      <c r="R1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 s="47" t="str">
        <f>IF(LayTable[[#This Row],[Utfall bookie]]="","",LayTable[[#This Row],[WBABack]]+LayTable[[#This Row],[WBALay]]-LayTable[[#This Row],[Total inns]])</f>
        <v/>
      </c>
      <c r="U1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 s="48" t="str">
        <f>IFERROR(IF(LayTable[[#This Row],[Total inns]]="","",LayTable[[#This Row],[Rback]]/LayTable[[#This Row],[Total inns]]),"")</f>
        <v/>
      </c>
      <c r="X111" s="48" t="str">
        <f>IFERROR(IF(LayTable[[#This Row],[Total inns]]="","",LayTable[[#This Row],[Rlay]]/LayTable[[#This Row],[Total inns]]),"")</f>
        <v/>
      </c>
      <c r="Y111" s="48" t="str">
        <f>IFERROR(LayTable[[#This Row],[Faktisk res]]/LayTable[[#This Row],[Total inns]],"")</f>
        <v/>
      </c>
      <c r="Z111" s="47">
        <f>(LayTable[[#This Row],[BookieInnsats]]*LayTable[[#This Row],[BookieOdds]]-LayTable[[#This Row],[BookieInnsats]])*(1-LayTable[[#This Row],[C% Bookie]])</f>
        <v>0</v>
      </c>
      <c r="AA111" s="43">
        <f>LayTable[[#This Row],[LayInnsats]]*(1-LayTable[[#This Row],[C% Lay]])</f>
        <v>0</v>
      </c>
      <c r="AB111" s="43" t="str">
        <f>IFERROR(IF(LayTable[[#This Row],[Sport]]="",AB110,LayTable[[#This Row],[Faktisk res]]+AB110),"")</f>
        <v/>
      </c>
      <c r="AC111" s="43">
        <f>(LayTable[[#This Row],[BackWin-Commission]]+LayTable[[#This Row],[BookieInnsats]])</f>
        <v>0</v>
      </c>
      <c r="AD111" s="43" t="e">
        <f>(LayTable[[#This Row],[LayWin-Commission]])+LayTable[[#This Row],[LayLiability]]</f>
        <v>#VALUE!</v>
      </c>
      <c r="AE111" s="181"/>
      <c r="AF111" s="207"/>
    </row>
    <row r="112" spans="1:32">
      <c r="A112" s="183"/>
      <c r="B112" s="177"/>
      <c r="C112" s="40"/>
      <c r="D112" s="41"/>
      <c r="E112" s="40"/>
      <c r="F112" s="41"/>
      <c r="G112" s="183"/>
      <c r="H112" s="38"/>
      <c r="I112" s="42"/>
      <c r="J112" s="42"/>
      <c r="K112" s="43"/>
      <c r="L112" s="43"/>
      <c r="M112" s="44" t="str">
        <f>IF(LayTable[[#This Row],[Sport]]="","",LayTable[[#This Row],[LayInnsats]]*(LayTable[[#This Row],[LayOdds]]-1))</f>
        <v/>
      </c>
      <c r="N112" s="45" t="str">
        <f>IF(LayTable[[#This Row],[Sport]]="","",1/((1/LayTable[[#This Row],[BookieOdds]])+(1/((1/((1+((LayTable[[#This Row],[LayOdds]]-1)*(1+LayTable[[#This Row],[C% Lay]])))-1))+1)))-1)</f>
        <v/>
      </c>
      <c r="Q112" s="46" t="str">
        <f>IF(LayTable[[#This Row],[Sport]]="","",LayTable[[#This Row],[BookieInnsats]]+LayTable[[#This Row],[LayLiability]])</f>
        <v/>
      </c>
      <c r="R1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 s="47" t="str">
        <f>IF(LayTable[[#This Row],[Utfall bookie]]="","",LayTable[[#This Row],[WBABack]]+LayTable[[#This Row],[WBALay]]-LayTable[[#This Row],[Total inns]])</f>
        <v/>
      </c>
      <c r="U1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 s="48" t="str">
        <f>IFERROR(IF(LayTable[[#This Row],[Total inns]]="","",LayTable[[#This Row],[Rback]]/LayTable[[#This Row],[Total inns]]),"")</f>
        <v/>
      </c>
      <c r="X112" s="48" t="str">
        <f>IFERROR(IF(LayTable[[#This Row],[Total inns]]="","",LayTable[[#This Row],[Rlay]]/LayTable[[#This Row],[Total inns]]),"")</f>
        <v/>
      </c>
      <c r="Y112" s="48" t="str">
        <f>IFERROR(LayTable[[#This Row],[Faktisk res]]/LayTable[[#This Row],[Total inns]],"")</f>
        <v/>
      </c>
      <c r="Z112" s="47">
        <f>(LayTable[[#This Row],[BookieInnsats]]*LayTable[[#This Row],[BookieOdds]]-LayTable[[#This Row],[BookieInnsats]])*(1-LayTable[[#This Row],[C% Bookie]])</f>
        <v>0</v>
      </c>
      <c r="AA112" s="43">
        <f>LayTable[[#This Row],[LayInnsats]]*(1-LayTable[[#This Row],[C% Lay]])</f>
        <v>0</v>
      </c>
      <c r="AB112" s="43" t="str">
        <f>IFERROR(IF(LayTable[[#This Row],[Sport]]="",AB111,LayTable[[#This Row],[Faktisk res]]+AB111),"")</f>
        <v/>
      </c>
      <c r="AC112" s="43">
        <f>(LayTable[[#This Row],[BackWin-Commission]]+LayTable[[#This Row],[BookieInnsats]])</f>
        <v>0</v>
      </c>
      <c r="AD112" s="43" t="e">
        <f>(LayTable[[#This Row],[LayWin-Commission]])+LayTable[[#This Row],[LayLiability]]</f>
        <v>#VALUE!</v>
      </c>
      <c r="AE112" s="181"/>
      <c r="AF112" s="207"/>
    </row>
    <row r="113" spans="1:32">
      <c r="A113" s="183"/>
      <c r="B113" s="177"/>
      <c r="C113" s="40"/>
      <c r="D113" s="41"/>
      <c r="E113" s="40"/>
      <c r="F113" s="41"/>
      <c r="G113" s="183"/>
      <c r="H113" s="38"/>
      <c r="I113" s="42"/>
      <c r="J113" s="42"/>
      <c r="K113" s="43"/>
      <c r="L113" s="43"/>
      <c r="M113" s="44" t="str">
        <f>IF(LayTable[[#This Row],[Sport]]="","",LayTable[[#This Row],[LayInnsats]]*(LayTable[[#This Row],[LayOdds]]-1))</f>
        <v/>
      </c>
      <c r="N113" s="45" t="str">
        <f>IF(LayTable[[#This Row],[Sport]]="","",1/((1/LayTable[[#This Row],[BookieOdds]])+(1/((1/((1+((LayTable[[#This Row],[LayOdds]]-1)*(1+LayTable[[#This Row],[C% Lay]])))-1))+1)))-1)</f>
        <v/>
      </c>
      <c r="Q113" s="46" t="str">
        <f>IF(LayTable[[#This Row],[Sport]]="","",LayTable[[#This Row],[BookieInnsats]]+LayTable[[#This Row],[LayLiability]])</f>
        <v/>
      </c>
      <c r="R1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 s="47" t="str">
        <f>IF(LayTable[[#This Row],[Utfall bookie]]="","",LayTable[[#This Row],[WBABack]]+LayTable[[#This Row],[WBALay]]-LayTable[[#This Row],[Total inns]])</f>
        <v/>
      </c>
      <c r="U1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 s="48" t="str">
        <f>IFERROR(IF(LayTable[[#This Row],[Total inns]]="","",LayTable[[#This Row],[Rback]]/LayTable[[#This Row],[Total inns]]),"")</f>
        <v/>
      </c>
      <c r="X113" s="48" t="str">
        <f>IFERROR(IF(LayTable[[#This Row],[Total inns]]="","",LayTable[[#This Row],[Rlay]]/LayTable[[#This Row],[Total inns]]),"")</f>
        <v/>
      </c>
      <c r="Y113" s="48" t="str">
        <f>IFERROR(LayTable[[#This Row],[Faktisk res]]/LayTable[[#This Row],[Total inns]],"")</f>
        <v/>
      </c>
      <c r="Z113" s="47">
        <f>(LayTable[[#This Row],[BookieInnsats]]*LayTable[[#This Row],[BookieOdds]]-LayTable[[#This Row],[BookieInnsats]])*(1-LayTable[[#This Row],[C% Bookie]])</f>
        <v>0</v>
      </c>
      <c r="AA113" s="43">
        <f>LayTable[[#This Row],[LayInnsats]]*(1-LayTable[[#This Row],[C% Lay]])</f>
        <v>0</v>
      </c>
      <c r="AB113" s="43" t="str">
        <f>IFERROR(IF(LayTable[[#This Row],[Sport]]="",AB112,LayTable[[#This Row],[Faktisk res]]+AB112),"")</f>
        <v/>
      </c>
      <c r="AC113" s="43">
        <f>(LayTable[[#This Row],[BackWin-Commission]]+LayTable[[#This Row],[BookieInnsats]])</f>
        <v>0</v>
      </c>
      <c r="AD113" s="43" t="e">
        <f>(LayTable[[#This Row],[LayWin-Commission]])+LayTable[[#This Row],[LayLiability]]</f>
        <v>#VALUE!</v>
      </c>
      <c r="AE113" s="181"/>
      <c r="AF113" s="207"/>
    </row>
    <row r="114" spans="1:32">
      <c r="A114" s="183"/>
      <c r="B114" s="177"/>
      <c r="C114" s="40"/>
      <c r="D114" s="41"/>
      <c r="E114" s="40"/>
      <c r="F114" s="41"/>
      <c r="G114" s="183"/>
      <c r="H114" s="38"/>
      <c r="I114" s="42"/>
      <c r="J114" s="42"/>
      <c r="K114" s="43"/>
      <c r="L114" s="43"/>
      <c r="M114" s="44" t="str">
        <f>IF(LayTable[[#This Row],[Sport]]="","",LayTable[[#This Row],[LayInnsats]]*(LayTable[[#This Row],[LayOdds]]-1))</f>
        <v/>
      </c>
      <c r="N114" s="45" t="str">
        <f>IF(LayTable[[#This Row],[Sport]]="","",1/((1/LayTable[[#This Row],[BookieOdds]])+(1/((1/((1+((LayTable[[#This Row],[LayOdds]]-1)*(1+LayTable[[#This Row],[C% Lay]])))-1))+1)))-1)</f>
        <v/>
      </c>
      <c r="Q114" s="46" t="str">
        <f>IF(LayTable[[#This Row],[Sport]]="","",LayTable[[#This Row],[BookieInnsats]]+LayTable[[#This Row],[LayLiability]])</f>
        <v/>
      </c>
      <c r="R1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 s="47" t="str">
        <f>IF(LayTable[[#This Row],[Utfall bookie]]="","",LayTable[[#This Row],[WBABack]]+LayTable[[#This Row],[WBALay]]-LayTable[[#This Row],[Total inns]])</f>
        <v/>
      </c>
      <c r="U1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 s="48" t="str">
        <f>IFERROR(IF(LayTable[[#This Row],[Total inns]]="","",LayTable[[#This Row],[Rback]]/LayTable[[#This Row],[Total inns]]),"")</f>
        <v/>
      </c>
      <c r="X114" s="48" t="str">
        <f>IFERROR(IF(LayTable[[#This Row],[Total inns]]="","",LayTable[[#This Row],[Rlay]]/LayTable[[#This Row],[Total inns]]),"")</f>
        <v/>
      </c>
      <c r="Y114" s="48" t="str">
        <f>IFERROR(LayTable[[#This Row],[Faktisk res]]/LayTable[[#This Row],[Total inns]],"")</f>
        <v/>
      </c>
      <c r="Z114" s="47">
        <f>(LayTable[[#This Row],[BookieInnsats]]*LayTable[[#This Row],[BookieOdds]]-LayTable[[#This Row],[BookieInnsats]])*(1-LayTable[[#This Row],[C% Bookie]])</f>
        <v>0</v>
      </c>
      <c r="AA114" s="43">
        <f>LayTable[[#This Row],[LayInnsats]]*(1-LayTable[[#This Row],[C% Lay]])</f>
        <v>0</v>
      </c>
      <c r="AB114" s="43" t="str">
        <f>IFERROR(IF(LayTable[[#This Row],[Sport]]="",AB113,LayTable[[#This Row],[Faktisk res]]+AB113),"")</f>
        <v/>
      </c>
      <c r="AC114" s="43">
        <f>(LayTable[[#This Row],[BackWin-Commission]]+LayTable[[#This Row],[BookieInnsats]])</f>
        <v>0</v>
      </c>
      <c r="AD114" s="43" t="e">
        <f>(LayTable[[#This Row],[LayWin-Commission]])+LayTable[[#This Row],[LayLiability]]</f>
        <v>#VALUE!</v>
      </c>
      <c r="AE114" s="181"/>
      <c r="AF114" s="207"/>
    </row>
    <row r="115" spans="1:32">
      <c r="A115" s="183"/>
      <c r="B115" s="177"/>
      <c r="C115" s="40"/>
      <c r="D115" s="41"/>
      <c r="E115" s="40"/>
      <c r="F115" s="41"/>
      <c r="G115" s="183"/>
      <c r="H115" s="38"/>
      <c r="I115" s="42"/>
      <c r="J115" s="42"/>
      <c r="K115" s="43"/>
      <c r="L115" s="43"/>
      <c r="M115" s="44" t="str">
        <f>IF(LayTable[[#This Row],[Sport]]="","",LayTable[[#This Row],[LayInnsats]]*(LayTable[[#This Row],[LayOdds]]-1))</f>
        <v/>
      </c>
      <c r="N115" s="45" t="str">
        <f>IF(LayTable[[#This Row],[Sport]]="","",1/((1/LayTable[[#This Row],[BookieOdds]])+(1/((1/((1+((LayTable[[#This Row],[LayOdds]]-1)*(1+LayTable[[#This Row],[C% Lay]])))-1))+1)))-1)</f>
        <v/>
      </c>
      <c r="Q115" s="46" t="str">
        <f>IF(LayTable[[#This Row],[Sport]]="","",LayTable[[#This Row],[BookieInnsats]]+LayTable[[#This Row],[LayLiability]])</f>
        <v/>
      </c>
      <c r="R1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 s="47" t="str">
        <f>IF(LayTable[[#This Row],[Utfall bookie]]="","",LayTable[[#This Row],[WBABack]]+LayTable[[#This Row],[WBALay]]-LayTable[[#This Row],[Total inns]])</f>
        <v/>
      </c>
      <c r="U1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 s="48" t="str">
        <f>IFERROR(IF(LayTable[[#This Row],[Total inns]]="","",LayTable[[#This Row],[Rback]]/LayTable[[#This Row],[Total inns]]),"")</f>
        <v/>
      </c>
      <c r="X115" s="48" t="str">
        <f>IFERROR(IF(LayTable[[#This Row],[Total inns]]="","",LayTable[[#This Row],[Rlay]]/LayTable[[#This Row],[Total inns]]),"")</f>
        <v/>
      </c>
      <c r="Y115" s="48" t="str">
        <f>IFERROR(LayTable[[#This Row],[Faktisk res]]/LayTable[[#This Row],[Total inns]],"")</f>
        <v/>
      </c>
      <c r="Z115" s="47">
        <f>(LayTable[[#This Row],[BookieInnsats]]*LayTable[[#This Row],[BookieOdds]]-LayTable[[#This Row],[BookieInnsats]])*(1-LayTable[[#This Row],[C% Bookie]])</f>
        <v>0</v>
      </c>
      <c r="AA115" s="43">
        <f>LayTable[[#This Row],[LayInnsats]]*(1-LayTable[[#This Row],[C% Lay]])</f>
        <v>0</v>
      </c>
      <c r="AB115" s="43" t="str">
        <f>IFERROR(IF(LayTable[[#This Row],[Sport]]="",AB114,LayTable[[#This Row],[Faktisk res]]+AB114),"")</f>
        <v/>
      </c>
      <c r="AC115" s="43">
        <f>(LayTable[[#This Row],[BackWin-Commission]]+LayTable[[#This Row],[BookieInnsats]])</f>
        <v>0</v>
      </c>
      <c r="AD115" s="43" t="e">
        <f>(LayTable[[#This Row],[LayWin-Commission]])+LayTable[[#This Row],[LayLiability]]</f>
        <v>#VALUE!</v>
      </c>
      <c r="AE115" s="181"/>
      <c r="AF115" s="207"/>
    </row>
    <row r="116" spans="1:32">
      <c r="A116" s="183"/>
      <c r="B116" s="177"/>
      <c r="C116" s="40"/>
      <c r="D116" s="41"/>
      <c r="E116" s="40"/>
      <c r="F116" s="41"/>
      <c r="G116" s="183"/>
      <c r="H116" s="38"/>
      <c r="I116" s="42"/>
      <c r="J116" s="42"/>
      <c r="K116" s="43"/>
      <c r="L116" s="43"/>
      <c r="M116" s="44" t="str">
        <f>IF(LayTable[[#This Row],[Sport]]="","",LayTable[[#This Row],[LayInnsats]]*(LayTable[[#This Row],[LayOdds]]-1))</f>
        <v/>
      </c>
      <c r="N116" s="45" t="str">
        <f>IF(LayTable[[#This Row],[Sport]]="","",1/((1/LayTable[[#This Row],[BookieOdds]])+(1/((1/((1+((LayTable[[#This Row],[LayOdds]]-1)*(1+LayTable[[#This Row],[C% Lay]])))-1))+1)))-1)</f>
        <v/>
      </c>
      <c r="Q116" s="46" t="str">
        <f>IF(LayTable[[#This Row],[Sport]]="","",LayTable[[#This Row],[BookieInnsats]]+LayTable[[#This Row],[LayLiability]])</f>
        <v/>
      </c>
      <c r="R1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 s="47" t="str">
        <f>IF(LayTable[[#This Row],[Utfall bookie]]="","",LayTable[[#This Row],[WBABack]]+LayTable[[#This Row],[WBALay]]-LayTable[[#This Row],[Total inns]])</f>
        <v/>
      </c>
      <c r="U1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 s="48" t="str">
        <f>IFERROR(IF(LayTable[[#This Row],[Total inns]]="","",LayTable[[#This Row],[Rback]]/LayTable[[#This Row],[Total inns]]),"")</f>
        <v/>
      </c>
      <c r="X116" s="48" t="str">
        <f>IFERROR(IF(LayTable[[#This Row],[Total inns]]="","",LayTable[[#This Row],[Rlay]]/LayTable[[#This Row],[Total inns]]),"")</f>
        <v/>
      </c>
      <c r="Y116" s="48" t="str">
        <f>IFERROR(LayTable[[#This Row],[Faktisk res]]/LayTable[[#This Row],[Total inns]],"")</f>
        <v/>
      </c>
      <c r="Z116" s="47">
        <f>(LayTable[[#This Row],[BookieInnsats]]*LayTable[[#This Row],[BookieOdds]]-LayTable[[#This Row],[BookieInnsats]])*(1-LayTable[[#This Row],[C% Bookie]])</f>
        <v>0</v>
      </c>
      <c r="AA116" s="43">
        <f>LayTable[[#This Row],[LayInnsats]]*(1-LayTable[[#This Row],[C% Lay]])</f>
        <v>0</v>
      </c>
      <c r="AB116" s="43" t="str">
        <f>IFERROR(IF(LayTable[[#This Row],[Sport]]="",AB115,LayTable[[#This Row],[Faktisk res]]+AB115),"")</f>
        <v/>
      </c>
      <c r="AC116" s="43">
        <f>(LayTable[[#This Row],[BackWin-Commission]]+LayTable[[#This Row],[BookieInnsats]])</f>
        <v>0</v>
      </c>
      <c r="AD116" s="43" t="e">
        <f>(LayTable[[#This Row],[LayWin-Commission]])+LayTable[[#This Row],[LayLiability]]</f>
        <v>#VALUE!</v>
      </c>
      <c r="AE116" s="181"/>
      <c r="AF116" s="207"/>
    </row>
    <row r="117" spans="1:32">
      <c r="A117" s="183"/>
      <c r="B117" s="177"/>
      <c r="C117" s="40"/>
      <c r="D117" s="41"/>
      <c r="E117" s="40"/>
      <c r="F117" s="41"/>
      <c r="G117" s="183"/>
      <c r="H117" s="38"/>
      <c r="I117" s="42"/>
      <c r="J117" s="42"/>
      <c r="K117" s="43"/>
      <c r="L117" s="43"/>
      <c r="M117" s="44" t="str">
        <f>IF(LayTable[[#This Row],[Sport]]="","",LayTable[[#This Row],[LayInnsats]]*(LayTable[[#This Row],[LayOdds]]-1))</f>
        <v/>
      </c>
      <c r="N117" s="45" t="str">
        <f>IF(LayTable[[#This Row],[Sport]]="","",1/((1/LayTable[[#This Row],[BookieOdds]])+(1/((1/((1+((LayTable[[#This Row],[LayOdds]]-1)*(1+LayTable[[#This Row],[C% Lay]])))-1))+1)))-1)</f>
        <v/>
      </c>
      <c r="Q117" s="46" t="str">
        <f>IF(LayTable[[#This Row],[Sport]]="","",LayTable[[#This Row],[BookieInnsats]]+LayTable[[#This Row],[LayLiability]])</f>
        <v/>
      </c>
      <c r="R1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 s="47" t="str">
        <f>IF(LayTable[[#This Row],[Utfall bookie]]="","",LayTable[[#This Row],[WBABack]]+LayTable[[#This Row],[WBALay]]-LayTable[[#This Row],[Total inns]])</f>
        <v/>
      </c>
      <c r="U1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 s="48" t="str">
        <f>IFERROR(IF(LayTable[[#This Row],[Total inns]]="","",LayTable[[#This Row],[Rback]]/LayTable[[#This Row],[Total inns]]),"")</f>
        <v/>
      </c>
      <c r="X117" s="48" t="str">
        <f>IFERROR(IF(LayTable[[#This Row],[Total inns]]="","",LayTable[[#This Row],[Rlay]]/LayTable[[#This Row],[Total inns]]),"")</f>
        <v/>
      </c>
      <c r="Y117" s="48" t="str">
        <f>IFERROR(LayTable[[#This Row],[Faktisk res]]/LayTable[[#This Row],[Total inns]],"")</f>
        <v/>
      </c>
      <c r="Z117" s="47">
        <f>(LayTable[[#This Row],[BookieInnsats]]*LayTable[[#This Row],[BookieOdds]]-LayTable[[#This Row],[BookieInnsats]])*(1-LayTable[[#This Row],[C% Bookie]])</f>
        <v>0</v>
      </c>
      <c r="AA117" s="43">
        <f>LayTable[[#This Row],[LayInnsats]]*(1-LayTable[[#This Row],[C% Lay]])</f>
        <v>0</v>
      </c>
      <c r="AB117" s="43" t="str">
        <f>IFERROR(IF(LayTable[[#This Row],[Sport]]="",AB116,LayTable[[#This Row],[Faktisk res]]+AB116),"")</f>
        <v/>
      </c>
      <c r="AC117" s="43">
        <f>(LayTable[[#This Row],[BackWin-Commission]]+LayTable[[#This Row],[BookieInnsats]])</f>
        <v>0</v>
      </c>
      <c r="AD117" s="43" t="e">
        <f>(LayTable[[#This Row],[LayWin-Commission]])+LayTable[[#This Row],[LayLiability]]</f>
        <v>#VALUE!</v>
      </c>
      <c r="AE117" s="181"/>
      <c r="AF117" s="207"/>
    </row>
    <row r="118" spans="1:32">
      <c r="A118" s="183"/>
      <c r="B118" s="177"/>
      <c r="C118" s="40"/>
      <c r="D118" s="41"/>
      <c r="E118" s="40"/>
      <c r="F118" s="41"/>
      <c r="G118" s="183"/>
      <c r="H118" s="38"/>
      <c r="I118" s="42"/>
      <c r="J118" s="42"/>
      <c r="K118" s="43"/>
      <c r="L118" s="43"/>
      <c r="M118" s="44" t="str">
        <f>IF(LayTable[[#This Row],[Sport]]="","",LayTable[[#This Row],[LayInnsats]]*(LayTable[[#This Row],[LayOdds]]-1))</f>
        <v/>
      </c>
      <c r="N118" s="45" t="str">
        <f>IF(LayTable[[#This Row],[Sport]]="","",1/((1/LayTable[[#This Row],[BookieOdds]])+(1/((1/((1+((LayTable[[#This Row],[LayOdds]]-1)*(1+LayTable[[#This Row],[C% Lay]])))-1))+1)))-1)</f>
        <v/>
      </c>
      <c r="Q118" s="46" t="str">
        <f>IF(LayTable[[#This Row],[Sport]]="","",LayTable[[#This Row],[BookieInnsats]]+LayTable[[#This Row],[LayLiability]])</f>
        <v/>
      </c>
      <c r="R1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 s="47" t="str">
        <f>IF(LayTable[[#This Row],[Utfall bookie]]="","",LayTable[[#This Row],[WBABack]]+LayTable[[#This Row],[WBALay]]-LayTable[[#This Row],[Total inns]])</f>
        <v/>
      </c>
      <c r="U1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 s="48" t="str">
        <f>IFERROR(IF(LayTable[[#This Row],[Total inns]]="","",LayTable[[#This Row],[Rback]]/LayTable[[#This Row],[Total inns]]),"")</f>
        <v/>
      </c>
      <c r="X118" s="48" t="str">
        <f>IFERROR(IF(LayTable[[#This Row],[Total inns]]="","",LayTable[[#This Row],[Rlay]]/LayTable[[#This Row],[Total inns]]),"")</f>
        <v/>
      </c>
      <c r="Y118" s="48" t="str">
        <f>IFERROR(LayTable[[#This Row],[Faktisk res]]/LayTable[[#This Row],[Total inns]],"")</f>
        <v/>
      </c>
      <c r="Z118" s="47">
        <f>(LayTable[[#This Row],[BookieInnsats]]*LayTable[[#This Row],[BookieOdds]]-LayTable[[#This Row],[BookieInnsats]])*(1-LayTable[[#This Row],[C% Bookie]])</f>
        <v>0</v>
      </c>
      <c r="AA118" s="43">
        <f>LayTable[[#This Row],[LayInnsats]]*(1-LayTable[[#This Row],[C% Lay]])</f>
        <v>0</v>
      </c>
      <c r="AB118" s="43" t="str">
        <f>IFERROR(IF(LayTable[[#This Row],[Sport]]="",AB117,LayTable[[#This Row],[Faktisk res]]+AB117),"")</f>
        <v/>
      </c>
      <c r="AC118" s="43">
        <f>(LayTable[[#This Row],[BackWin-Commission]]+LayTable[[#This Row],[BookieInnsats]])</f>
        <v>0</v>
      </c>
      <c r="AD118" s="43" t="e">
        <f>(LayTable[[#This Row],[LayWin-Commission]])+LayTable[[#This Row],[LayLiability]]</f>
        <v>#VALUE!</v>
      </c>
      <c r="AE118" s="181"/>
      <c r="AF118" s="207"/>
    </row>
    <row r="119" spans="1:32">
      <c r="A119" s="183"/>
      <c r="B119" s="177"/>
      <c r="C119" s="40"/>
      <c r="D119" s="41"/>
      <c r="E119" s="40"/>
      <c r="F119" s="41"/>
      <c r="G119" s="183"/>
      <c r="H119" s="38"/>
      <c r="I119" s="42"/>
      <c r="J119" s="42"/>
      <c r="K119" s="43"/>
      <c r="L119" s="43"/>
      <c r="M119" s="44" t="str">
        <f>IF(LayTable[[#This Row],[Sport]]="","",LayTable[[#This Row],[LayInnsats]]*(LayTable[[#This Row],[LayOdds]]-1))</f>
        <v/>
      </c>
      <c r="N119" s="45" t="str">
        <f>IF(LayTable[[#This Row],[Sport]]="","",1/((1/LayTable[[#This Row],[BookieOdds]])+(1/((1/((1+((LayTable[[#This Row],[LayOdds]]-1)*(1+LayTable[[#This Row],[C% Lay]])))-1))+1)))-1)</f>
        <v/>
      </c>
      <c r="Q119" s="46" t="str">
        <f>IF(LayTable[[#This Row],[Sport]]="","",LayTable[[#This Row],[BookieInnsats]]+LayTable[[#This Row],[LayLiability]])</f>
        <v/>
      </c>
      <c r="R1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 s="47" t="str">
        <f>IF(LayTable[[#This Row],[Utfall bookie]]="","",LayTable[[#This Row],[WBABack]]+LayTable[[#This Row],[WBALay]]-LayTable[[#This Row],[Total inns]])</f>
        <v/>
      </c>
      <c r="U1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 s="48" t="str">
        <f>IFERROR(IF(LayTable[[#This Row],[Total inns]]="","",LayTable[[#This Row],[Rback]]/LayTable[[#This Row],[Total inns]]),"")</f>
        <v/>
      </c>
      <c r="X119" s="48" t="str">
        <f>IFERROR(IF(LayTable[[#This Row],[Total inns]]="","",LayTable[[#This Row],[Rlay]]/LayTable[[#This Row],[Total inns]]),"")</f>
        <v/>
      </c>
      <c r="Y119" s="48" t="str">
        <f>IFERROR(LayTable[[#This Row],[Faktisk res]]/LayTable[[#This Row],[Total inns]],"")</f>
        <v/>
      </c>
      <c r="Z119" s="47">
        <f>(LayTable[[#This Row],[BookieInnsats]]*LayTable[[#This Row],[BookieOdds]]-LayTable[[#This Row],[BookieInnsats]])*(1-LayTable[[#This Row],[C% Bookie]])</f>
        <v>0</v>
      </c>
      <c r="AA119" s="43">
        <f>LayTable[[#This Row],[LayInnsats]]*(1-LayTable[[#This Row],[C% Lay]])</f>
        <v>0</v>
      </c>
      <c r="AB119" s="43" t="str">
        <f>IFERROR(IF(LayTable[[#This Row],[Sport]]="",AB118,LayTable[[#This Row],[Faktisk res]]+AB118),"")</f>
        <v/>
      </c>
      <c r="AC119" s="43">
        <f>(LayTable[[#This Row],[BackWin-Commission]]+LayTable[[#This Row],[BookieInnsats]])</f>
        <v>0</v>
      </c>
      <c r="AD119" s="43" t="e">
        <f>(LayTable[[#This Row],[LayWin-Commission]])+LayTable[[#This Row],[LayLiability]]</f>
        <v>#VALUE!</v>
      </c>
      <c r="AE119" s="181"/>
      <c r="AF119" s="207"/>
    </row>
    <row r="120" spans="1:32">
      <c r="A120" s="183"/>
      <c r="B120" s="177"/>
      <c r="C120" s="40"/>
      <c r="D120" s="41"/>
      <c r="E120" s="40"/>
      <c r="F120" s="41"/>
      <c r="G120" s="183"/>
      <c r="H120" s="38"/>
      <c r="I120" s="42"/>
      <c r="J120" s="42"/>
      <c r="K120" s="43"/>
      <c r="L120" s="43"/>
      <c r="M120" s="44" t="str">
        <f>IF(LayTable[[#This Row],[Sport]]="","",LayTable[[#This Row],[LayInnsats]]*(LayTable[[#This Row],[LayOdds]]-1))</f>
        <v/>
      </c>
      <c r="N120" s="45" t="str">
        <f>IF(LayTable[[#This Row],[Sport]]="","",1/((1/LayTable[[#This Row],[BookieOdds]])+(1/((1/((1+((LayTable[[#This Row],[LayOdds]]-1)*(1+LayTable[[#This Row],[C% Lay]])))-1))+1)))-1)</f>
        <v/>
      </c>
      <c r="Q120" s="46" t="str">
        <f>IF(LayTable[[#This Row],[Sport]]="","",LayTable[[#This Row],[BookieInnsats]]+LayTable[[#This Row],[LayLiability]])</f>
        <v/>
      </c>
      <c r="R1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 s="47" t="str">
        <f>IF(LayTable[[#This Row],[Utfall bookie]]="","",LayTable[[#This Row],[WBABack]]+LayTable[[#This Row],[WBALay]]-LayTable[[#This Row],[Total inns]])</f>
        <v/>
      </c>
      <c r="U1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 s="48" t="str">
        <f>IFERROR(IF(LayTable[[#This Row],[Total inns]]="","",LayTable[[#This Row],[Rback]]/LayTable[[#This Row],[Total inns]]),"")</f>
        <v/>
      </c>
      <c r="X120" s="48" t="str">
        <f>IFERROR(IF(LayTable[[#This Row],[Total inns]]="","",LayTable[[#This Row],[Rlay]]/LayTable[[#This Row],[Total inns]]),"")</f>
        <v/>
      </c>
      <c r="Y120" s="48" t="str">
        <f>IFERROR(LayTable[[#This Row],[Faktisk res]]/LayTable[[#This Row],[Total inns]],"")</f>
        <v/>
      </c>
      <c r="Z120" s="47">
        <f>(LayTable[[#This Row],[BookieInnsats]]*LayTable[[#This Row],[BookieOdds]]-LayTable[[#This Row],[BookieInnsats]])*(1-LayTable[[#This Row],[C% Bookie]])</f>
        <v>0</v>
      </c>
      <c r="AA120" s="43">
        <f>LayTable[[#This Row],[LayInnsats]]*(1-LayTable[[#This Row],[C% Lay]])</f>
        <v>0</v>
      </c>
      <c r="AB120" s="43" t="str">
        <f>IFERROR(IF(LayTable[[#This Row],[Sport]]="",AB119,LayTable[[#This Row],[Faktisk res]]+AB119),"")</f>
        <v/>
      </c>
      <c r="AC120" s="43">
        <f>(LayTable[[#This Row],[BackWin-Commission]]+LayTable[[#This Row],[BookieInnsats]])</f>
        <v>0</v>
      </c>
      <c r="AD120" s="43" t="e">
        <f>(LayTable[[#This Row],[LayWin-Commission]])+LayTable[[#This Row],[LayLiability]]</f>
        <v>#VALUE!</v>
      </c>
      <c r="AE120" s="181"/>
      <c r="AF120" s="207"/>
    </row>
    <row r="121" spans="1:32">
      <c r="A121" s="183"/>
      <c r="B121" s="177"/>
      <c r="C121" s="40"/>
      <c r="D121" s="41"/>
      <c r="E121" s="40"/>
      <c r="F121" s="41"/>
      <c r="G121" s="183"/>
      <c r="H121" s="38"/>
      <c r="I121" s="42"/>
      <c r="J121" s="42"/>
      <c r="K121" s="43"/>
      <c r="L121" s="43"/>
      <c r="M121" s="44" t="str">
        <f>IF(LayTable[[#This Row],[Sport]]="","",LayTable[[#This Row],[LayInnsats]]*(LayTable[[#This Row],[LayOdds]]-1))</f>
        <v/>
      </c>
      <c r="N121" s="45" t="str">
        <f>IF(LayTable[[#This Row],[Sport]]="","",1/((1/LayTable[[#This Row],[BookieOdds]])+(1/((1/((1+((LayTable[[#This Row],[LayOdds]]-1)*(1+LayTable[[#This Row],[C% Lay]])))-1))+1)))-1)</f>
        <v/>
      </c>
      <c r="Q121" s="46" t="str">
        <f>IF(LayTable[[#This Row],[Sport]]="","",LayTable[[#This Row],[BookieInnsats]]+LayTable[[#This Row],[LayLiability]])</f>
        <v/>
      </c>
      <c r="R1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 s="47" t="str">
        <f>IF(LayTable[[#This Row],[Utfall bookie]]="","",LayTable[[#This Row],[WBABack]]+LayTable[[#This Row],[WBALay]]-LayTable[[#This Row],[Total inns]])</f>
        <v/>
      </c>
      <c r="U1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 s="48" t="str">
        <f>IFERROR(IF(LayTable[[#This Row],[Total inns]]="","",LayTable[[#This Row],[Rback]]/LayTable[[#This Row],[Total inns]]),"")</f>
        <v/>
      </c>
      <c r="X121" s="48" t="str">
        <f>IFERROR(IF(LayTable[[#This Row],[Total inns]]="","",LayTable[[#This Row],[Rlay]]/LayTable[[#This Row],[Total inns]]),"")</f>
        <v/>
      </c>
      <c r="Y121" s="48" t="str">
        <f>IFERROR(LayTable[[#This Row],[Faktisk res]]/LayTable[[#This Row],[Total inns]],"")</f>
        <v/>
      </c>
      <c r="Z121" s="47">
        <f>(LayTable[[#This Row],[BookieInnsats]]*LayTable[[#This Row],[BookieOdds]]-LayTable[[#This Row],[BookieInnsats]])*(1-LayTable[[#This Row],[C% Bookie]])</f>
        <v>0</v>
      </c>
      <c r="AA121" s="43">
        <f>LayTable[[#This Row],[LayInnsats]]*(1-LayTable[[#This Row],[C% Lay]])</f>
        <v>0</v>
      </c>
      <c r="AB121" s="43" t="str">
        <f>IFERROR(IF(LayTable[[#This Row],[Sport]]="",AB120,LayTable[[#This Row],[Faktisk res]]+AB120),"")</f>
        <v/>
      </c>
      <c r="AC121" s="43">
        <f>(LayTable[[#This Row],[BackWin-Commission]]+LayTable[[#This Row],[BookieInnsats]])</f>
        <v>0</v>
      </c>
      <c r="AD121" s="43" t="e">
        <f>(LayTable[[#This Row],[LayWin-Commission]])+LayTable[[#This Row],[LayLiability]]</f>
        <v>#VALUE!</v>
      </c>
      <c r="AE121" s="181"/>
      <c r="AF121" s="207"/>
    </row>
    <row r="122" spans="1:32">
      <c r="A122" s="183"/>
      <c r="B122" s="177"/>
      <c r="C122" s="40"/>
      <c r="D122" s="41"/>
      <c r="E122" s="40"/>
      <c r="F122" s="41"/>
      <c r="G122" s="183"/>
      <c r="H122" s="38"/>
      <c r="I122" s="42"/>
      <c r="J122" s="42"/>
      <c r="K122" s="43"/>
      <c r="L122" s="43"/>
      <c r="M122" s="44" t="str">
        <f>IF(LayTable[[#This Row],[Sport]]="","",LayTable[[#This Row],[LayInnsats]]*(LayTable[[#This Row],[LayOdds]]-1))</f>
        <v/>
      </c>
      <c r="N122" s="45" t="str">
        <f>IF(LayTable[[#This Row],[Sport]]="","",1/((1/LayTable[[#This Row],[BookieOdds]])+(1/((1/((1+((LayTable[[#This Row],[LayOdds]]-1)*(1+LayTable[[#This Row],[C% Lay]])))-1))+1)))-1)</f>
        <v/>
      </c>
      <c r="Q122" s="46" t="str">
        <f>IF(LayTable[[#This Row],[Sport]]="","",LayTable[[#This Row],[BookieInnsats]]+LayTable[[#This Row],[LayLiability]])</f>
        <v/>
      </c>
      <c r="R1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 s="47" t="str">
        <f>IF(LayTable[[#This Row],[Utfall bookie]]="","",LayTable[[#This Row],[WBABack]]+LayTable[[#This Row],[WBALay]]-LayTable[[#This Row],[Total inns]])</f>
        <v/>
      </c>
      <c r="U1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 s="48" t="str">
        <f>IFERROR(IF(LayTable[[#This Row],[Total inns]]="","",LayTable[[#This Row],[Rback]]/LayTable[[#This Row],[Total inns]]),"")</f>
        <v/>
      </c>
      <c r="X122" s="48" t="str">
        <f>IFERROR(IF(LayTable[[#This Row],[Total inns]]="","",LayTable[[#This Row],[Rlay]]/LayTable[[#This Row],[Total inns]]),"")</f>
        <v/>
      </c>
      <c r="Y122" s="48" t="str">
        <f>IFERROR(LayTable[[#This Row],[Faktisk res]]/LayTable[[#This Row],[Total inns]],"")</f>
        <v/>
      </c>
      <c r="Z122" s="47">
        <f>(LayTable[[#This Row],[BookieInnsats]]*LayTable[[#This Row],[BookieOdds]]-LayTable[[#This Row],[BookieInnsats]])*(1-LayTable[[#This Row],[C% Bookie]])</f>
        <v>0</v>
      </c>
      <c r="AA122" s="43">
        <f>LayTable[[#This Row],[LayInnsats]]*(1-LayTable[[#This Row],[C% Lay]])</f>
        <v>0</v>
      </c>
      <c r="AB122" s="43" t="str">
        <f>IFERROR(IF(LayTable[[#This Row],[Sport]]="",AB121,LayTable[[#This Row],[Faktisk res]]+AB121),"")</f>
        <v/>
      </c>
      <c r="AC122" s="43">
        <f>(LayTable[[#This Row],[BackWin-Commission]]+LayTable[[#This Row],[BookieInnsats]])</f>
        <v>0</v>
      </c>
      <c r="AD122" s="43" t="e">
        <f>(LayTable[[#This Row],[LayWin-Commission]])+LayTable[[#This Row],[LayLiability]]</f>
        <v>#VALUE!</v>
      </c>
      <c r="AE122" s="181"/>
      <c r="AF122" s="207"/>
    </row>
    <row r="123" spans="1:32">
      <c r="A123" s="183"/>
      <c r="B123" s="177"/>
      <c r="C123" s="178"/>
      <c r="D123" s="179"/>
      <c r="E123" s="178"/>
      <c r="F123" s="179"/>
      <c r="G123" s="183"/>
      <c r="H123" s="176"/>
      <c r="I123" s="180"/>
      <c r="J123" s="180"/>
      <c r="K123" s="181"/>
      <c r="L123" s="181"/>
      <c r="M123" s="44" t="str">
        <f>IF(LayTable[[#This Row],[Sport]]="","",LayTable[[#This Row],[LayInnsats]]*(LayTable[[#This Row],[LayOdds]]-1))</f>
        <v/>
      </c>
      <c r="N123" s="45" t="str">
        <f>IF(LayTable[[#This Row],[Sport]]="","",1/((1/LayTable[[#This Row],[BookieOdds]])+(1/((1/((1+((LayTable[[#This Row],[LayOdds]]-1)*(1+LayTable[[#This Row],[C% Lay]])))-1))+1)))-1)</f>
        <v/>
      </c>
      <c r="Q123" s="46" t="str">
        <f>IF(LayTable[[#This Row],[Sport]]="","",LayTable[[#This Row],[BookieInnsats]]+LayTable[[#This Row],[LayLiability]])</f>
        <v/>
      </c>
      <c r="R1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 s="47" t="str">
        <f>IF(LayTable[[#This Row],[Utfall bookie]]="","",LayTable[[#This Row],[WBABack]]+LayTable[[#This Row],[WBALay]]-LayTable[[#This Row],[Total inns]])</f>
        <v/>
      </c>
      <c r="U1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 s="48" t="str">
        <f>IFERROR(IF(LayTable[[#This Row],[Total inns]]="","",LayTable[[#This Row],[Rback]]/LayTable[[#This Row],[Total inns]]),"")</f>
        <v/>
      </c>
      <c r="X123" s="48" t="str">
        <f>IFERROR(IF(LayTable[[#This Row],[Total inns]]="","",LayTable[[#This Row],[Rlay]]/LayTable[[#This Row],[Total inns]]),"")</f>
        <v/>
      </c>
      <c r="Y123" s="48" t="str">
        <f>IFERROR(LayTable[[#This Row],[Faktisk res]]/LayTable[[#This Row],[Total inns]],"")</f>
        <v/>
      </c>
      <c r="Z123" s="47">
        <f>(LayTable[[#This Row],[BookieInnsats]]*LayTable[[#This Row],[BookieOdds]]-LayTable[[#This Row],[BookieInnsats]])*(1-LayTable[[#This Row],[C% Bookie]])</f>
        <v>0</v>
      </c>
      <c r="AA123" s="43">
        <f>LayTable[[#This Row],[LayInnsats]]*(1-LayTable[[#This Row],[C% Lay]])</f>
        <v>0</v>
      </c>
      <c r="AB123" s="43" t="str">
        <f>IFERROR(IF(LayTable[[#This Row],[Sport]]="",AB122,LayTable[[#This Row],[Faktisk res]]+AB122),"")</f>
        <v/>
      </c>
      <c r="AC123" s="43">
        <f>(LayTable[[#This Row],[BackWin-Commission]]+LayTable[[#This Row],[BookieInnsats]])</f>
        <v>0</v>
      </c>
      <c r="AD123" s="43" t="e">
        <f>(LayTable[[#This Row],[LayWin-Commission]])+LayTable[[#This Row],[LayLiability]]</f>
        <v>#VALUE!</v>
      </c>
      <c r="AE123" s="181"/>
      <c r="AF123" s="207"/>
    </row>
    <row r="124" spans="1:32">
      <c r="A124" s="183"/>
      <c r="B124" s="177"/>
      <c r="C124" s="40"/>
      <c r="D124" s="41"/>
      <c r="E124" s="40"/>
      <c r="F124" s="41"/>
      <c r="G124" s="183"/>
      <c r="H124" s="38"/>
      <c r="I124" s="42"/>
      <c r="J124" s="42"/>
      <c r="K124" s="43"/>
      <c r="L124" s="43"/>
      <c r="M124" s="44" t="str">
        <f>IF(LayTable[[#This Row],[Sport]]="","",LayTable[[#This Row],[LayInnsats]]*(LayTable[[#This Row],[LayOdds]]-1))</f>
        <v/>
      </c>
      <c r="N124" s="45" t="str">
        <f>IF(LayTable[[#This Row],[Sport]]="","",1/((1/LayTable[[#This Row],[BookieOdds]])+(1/((1/((1+((LayTable[[#This Row],[LayOdds]]-1)*(1+LayTable[[#This Row],[C% Lay]])))-1))+1)))-1)</f>
        <v/>
      </c>
      <c r="Q124" s="46" t="str">
        <f>IF(LayTable[[#This Row],[Sport]]="","",LayTable[[#This Row],[BookieInnsats]]+LayTable[[#This Row],[LayLiability]])</f>
        <v/>
      </c>
      <c r="R1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 s="47" t="str">
        <f>IF(LayTable[[#This Row],[Utfall bookie]]="","",LayTable[[#This Row],[WBABack]]+LayTable[[#This Row],[WBALay]]-LayTable[[#This Row],[Total inns]])</f>
        <v/>
      </c>
      <c r="U1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 s="48" t="str">
        <f>IFERROR(IF(LayTable[[#This Row],[Total inns]]="","",LayTable[[#This Row],[Rback]]/LayTable[[#This Row],[Total inns]]),"")</f>
        <v/>
      </c>
      <c r="X124" s="48" t="str">
        <f>IFERROR(IF(LayTable[[#This Row],[Total inns]]="","",LayTable[[#This Row],[Rlay]]/LayTable[[#This Row],[Total inns]]),"")</f>
        <v/>
      </c>
      <c r="Y124" s="48" t="str">
        <f>IFERROR(LayTable[[#This Row],[Faktisk res]]/LayTable[[#This Row],[Total inns]],"")</f>
        <v/>
      </c>
      <c r="Z124" s="47">
        <f>(LayTable[[#This Row],[BookieInnsats]]*LayTable[[#This Row],[BookieOdds]]-LayTable[[#This Row],[BookieInnsats]])*(1-LayTable[[#This Row],[C% Bookie]])</f>
        <v>0</v>
      </c>
      <c r="AA124" s="43">
        <f>LayTable[[#This Row],[LayInnsats]]*(1-LayTable[[#This Row],[C% Lay]])</f>
        <v>0</v>
      </c>
      <c r="AB124" s="43" t="str">
        <f>IFERROR(IF(LayTable[[#This Row],[Sport]]="",AB123,LayTable[[#This Row],[Faktisk res]]+AB123),"")</f>
        <v/>
      </c>
      <c r="AC124" s="43">
        <f>(LayTable[[#This Row],[BackWin-Commission]]+LayTable[[#This Row],[BookieInnsats]])</f>
        <v>0</v>
      </c>
      <c r="AD124" s="43" t="e">
        <f>(LayTable[[#This Row],[LayWin-Commission]])+LayTable[[#This Row],[LayLiability]]</f>
        <v>#VALUE!</v>
      </c>
      <c r="AE124" s="181"/>
      <c r="AF124" s="207"/>
    </row>
    <row r="125" spans="1:32">
      <c r="A125" s="84"/>
      <c r="B125" s="177"/>
      <c r="C125" s="40"/>
      <c r="D125" s="41"/>
      <c r="E125" s="40"/>
      <c r="F125" s="41"/>
      <c r="G125" s="183"/>
      <c r="H125" s="38"/>
      <c r="I125" s="42"/>
      <c r="J125" s="42"/>
      <c r="K125" s="43"/>
      <c r="L125" s="43"/>
      <c r="M125" s="44" t="str">
        <f>IF(LayTable[[#This Row],[Sport]]="","",LayTable[[#This Row],[LayInnsats]]*(LayTable[[#This Row],[LayOdds]]-1))</f>
        <v/>
      </c>
      <c r="N125" s="45" t="str">
        <f>IF(LayTable[[#This Row],[Sport]]="","",1/((1/LayTable[[#This Row],[BookieOdds]])+(1/((1/((1+((LayTable[[#This Row],[LayOdds]]-1)*(1+LayTable[[#This Row],[C% Lay]])))-1))+1)))-1)</f>
        <v/>
      </c>
      <c r="Q125" s="46" t="str">
        <f>IF(LayTable[[#This Row],[Sport]]="","",LayTable[[#This Row],[BookieInnsats]]+LayTable[[#This Row],[LayLiability]])</f>
        <v/>
      </c>
      <c r="R1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 s="47" t="str">
        <f>IF(LayTable[[#This Row],[Utfall bookie]]="","",LayTable[[#This Row],[WBABack]]+LayTable[[#This Row],[WBALay]]-LayTable[[#This Row],[Total inns]])</f>
        <v/>
      </c>
      <c r="U1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 s="48" t="str">
        <f>IFERROR(IF(LayTable[[#This Row],[Total inns]]="","",LayTable[[#This Row],[Rback]]/LayTable[[#This Row],[Total inns]]),"")</f>
        <v/>
      </c>
      <c r="X125" s="48" t="str">
        <f>IFERROR(IF(LayTable[[#This Row],[Total inns]]="","",LayTable[[#This Row],[Rlay]]/LayTable[[#This Row],[Total inns]]),"")</f>
        <v/>
      </c>
      <c r="Y125" s="48" t="str">
        <f>IFERROR(LayTable[[#This Row],[Faktisk res]]/LayTable[[#This Row],[Total inns]],"")</f>
        <v/>
      </c>
      <c r="Z125" s="47">
        <f>(LayTable[[#This Row],[BookieInnsats]]*LayTable[[#This Row],[BookieOdds]]-LayTable[[#This Row],[BookieInnsats]])*(1-LayTable[[#This Row],[C% Bookie]])</f>
        <v>0</v>
      </c>
      <c r="AA125" s="43">
        <f>LayTable[[#This Row],[LayInnsats]]*(1-LayTable[[#This Row],[C% Lay]])</f>
        <v>0</v>
      </c>
      <c r="AB125" s="43" t="str">
        <f>IFERROR(IF(LayTable[[#This Row],[Sport]]="",AB124,LayTable[[#This Row],[Faktisk res]]+AB124),"")</f>
        <v/>
      </c>
      <c r="AC125" s="43">
        <f>(LayTable[[#This Row],[BackWin-Commission]]+LayTable[[#This Row],[BookieInnsats]])</f>
        <v>0</v>
      </c>
      <c r="AD125" s="43" t="e">
        <f>(LayTable[[#This Row],[LayWin-Commission]])+LayTable[[#This Row],[LayLiability]]</f>
        <v>#VALUE!</v>
      </c>
      <c r="AE125" s="181"/>
      <c r="AF125" s="207"/>
    </row>
    <row r="126" spans="1:32">
      <c r="A126" s="84"/>
      <c r="B126" s="177"/>
      <c r="C126" s="40"/>
      <c r="D126" s="41"/>
      <c r="E126" s="40"/>
      <c r="F126" s="41"/>
      <c r="G126" s="183"/>
      <c r="H126" s="38"/>
      <c r="I126" s="42"/>
      <c r="J126" s="42"/>
      <c r="K126" s="43"/>
      <c r="L126" s="43"/>
      <c r="M126" s="44" t="str">
        <f>IF(LayTable[[#This Row],[Sport]]="","",LayTable[[#This Row],[LayInnsats]]*(LayTable[[#This Row],[LayOdds]]-1))</f>
        <v/>
      </c>
      <c r="N126" s="45" t="str">
        <f>IF(LayTable[[#This Row],[Sport]]="","",1/((1/LayTable[[#This Row],[BookieOdds]])+(1/((1/((1+((LayTable[[#This Row],[LayOdds]]-1)*(1+LayTable[[#This Row],[C% Lay]])))-1))+1)))-1)</f>
        <v/>
      </c>
      <c r="Q126" s="46" t="str">
        <f>IF(LayTable[[#This Row],[Sport]]="","",LayTable[[#This Row],[BookieInnsats]]+LayTable[[#This Row],[LayLiability]])</f>
        <v/>
      </c>
      <c r="R1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 s="47" t="str">
        <f>IF(LayTable[[#This Row],[Utfall bookie]]="","",LayTable[[#This Row],[WBABack]]+LayTable[[#This Row],[WBALay]]-LayTable[[#This Row],[Total inns]])</f>
        <v/>
      </c>
      <c r="U1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 s="48" t="str">
        <f>IFERROR(IF(LayTable[[#This Row],[Total inns]]="","",LayTable[[#This Row],[Rback]]/LayTable[[#This Row],[Total inns]]),"")</f>
        <v/>
      </c>
      <c r="X126" s="48" t="str">
        <f>IFERROR(IF(LayTable[[#This Row],[Total inns]]="","",LayTable[[#This Row],[Rlay]]/LayTable[[#This Row],[Total inns]]),"")</f>
        <v/>
      </c>
      <c r="Y126" s="48" t="str">
        <f>IFERROR(LayTable[[#This Row],[Faktisk res]]/LayTable[[#This Row],[Total inns]],"")</f>
        <v/>
      </c>
      <c r="Z126" s="47">
        <f>(LayTable[[#This Row],[BookieInnsats]]*LayTable[[#This Row],[BookieOdds]]-LayTable[[#This Row],[BookieInnsats]])*(1-LayTable[[#This Row],[C% Bookie]])</f>
        <v>0</v>
      </c>
      <c r="AA126" s="43">
        <f>LayTable[[#This Row],[LayInnsats]]*(1-LayTable[[#This Row],[C% Lay]])</f>
        <v>0</v>
      </c>
      <c r="AB126" s="43" t="str">
        <f>IFERROR(IF(LayTable[[#This Row],[Sport]]="",AB125,LayTable[[#This Row],[Faktisk res]]+AB125),"")</f>
        <v/>
      </c>
      <c r="AC126" s="43">
        <f>(LayTable[[#This Row],[BackWin-Commission]]+LayTable[[#This Row],[BookieInnsats]])</f>
        <v>0</v>
      </c>
      <c r="AD126" s="43" t="e">
        <f>(LayTable[[#This Row],[LayWin-Commission]])+LayTable[[#This Row],[LayLiability]]</f>
        <v>#VALUE!</v>
      </c>
      <c r="AE126" s="181"/>
      <c r="AF126" s="207"/>
    </row>
    <row r="127" spans="1:32">
      <c r="A127" s="84"/>
      <c r="B127" s="177"/>
      <c r="C127" s="40"/>
      <c r="D127" s="41"/>
      <c r="E127" s="40"/>
      <c r="F127" s="41"/>
      <c r="G127" s="183"/>
      <c r="H127" s="38"/>
      <c r="I127" s="42"/>
      <c r="J127" s="42"/>
      <c r="K127" s="43"/>
      <c r="L127" s="43"/>
      <c r="M127" s="44" t="str">
        <f>IF(LayTable[[#This Row],[Sport]]="","",LayTable[[#This Row],[LayInnsats]]*(LayTable[[#This Row],[LayOdds]]-1))</f>
        <v/>
      </c>
      <c r="N127" s="45" t="str">
        <f>IF(LayTable[[#This Row],[Sport]]="","",1/((1/LayTable[[#This Row],[BookieOdds]])+(1/((1/((1+((LayTable[[#This Row],[LayOdds]]-1)*(1+LayTable[[#This Row],[C% Lay]])))-1))+1)))-1)</f>
        <v/>
      </c>
      <c r="Q127" s="46" t="str">
        <f>IF(LayTable[[#This Row],[Sport]]="","",LayTable[[#This Row],[BookieInnsats]]+LayTable[[#This Row],[LayLiability]])</f>
        <v/>
      </c>
      <c r="R1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 s="47" t="str">
        <f>IF(LayTable[[#This Row],[Utfall bookie]]="","",LayTable[[#This Row],[WBABack]]+LayTable[[#This Row],[WBALay]]-LayTable[[#This Row],[Total inns]])</f>
        <v/>
      </c>
      <c r="U1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 s="48" t="str">
        <f>IFERROR(IF(LayTable[[#This Row],[Total inns]]="","",LayTable[[#This Row],[Rback]]/LayTable[[#This Row],[Total inns]]),"")</f>
        <v/>
      </c>
      <c r="X127" s="48" t="str">
        <f>IFERROR(IF(LayTable[[#This Row],[Total inns]]="","",LayTable[[#This Row],[Rlay]]/LayTable[[#This Row],[Total inns]]),"")</f>
        <v/>
      </c>
      <c r="Y127" s="48" t="str">
        <f>IFERROR(LayTable[[#This Row],[Faktisk res]]/LayTable[[#This Row],[Total inns]],"")</f>
        <v/>
      </c>
      <c r="Z127" s="47">
        <f>(LayTable[[#This Row],[BookieInnsats]]*LayTable[[#This Row],[BookieOdds]]-LayTable[[#This Row],[BookieInnsats]])*(1-LayTable[[#This Row],[C% Bookie]])</f>
        <v>0</v>
      </c>
      <c r="AA127" s="43">
        <f>LayTable[[#This Row],[LayInnsats]]*(1-LayTable[[#This Row],[C% Lay]])</f>
        <v>0</v>
      </c>
      <c r="AB127" s="43" t="str">
        <f>IFERROR(IF(LayTable[[#This Row],[Sport]]="",AB126,LayTable[[#This Row],[Faktisk res]]+AB126),"")</f>
        <v/>
      </c>
      <c r="AC127" s="43">
        <f>(LayTable[[#This Row],[BackWin-Commission]]+LayTable[[#This Row],[BookieInnsats]])</f>
        <v>0</v>
      </c>
      <c r="AD127" s="43" t="e">
        <f>(LayTable[[#This Row],[LayWin-Commission]])+LayTable[[#This Row],[LayLiability]]</f>
        <v>#VALUE!</v>
      </c>
      <c r="AE127" s="181"/>
      <c r="AF127" s="207"/>
    </row>
    <row r="128" spans="1:32">
      <c r="A128" s="84"/>
      <c r="B128" s="177"/>
      <c r="C128" s="40"/>
      <c r="D128" s="41"/>
      <c r="E128" s="40"/>
      <c r="F128" s="41"/>
      <c r="G128" s="183"/>
      <c r="H128" s="38"/>
      <c r="I128" s="42"/>
      <c r="J128" s="42"/>
      <c r="K128" s="43"/>
      <c r="L128" s="43"/>
      <c r="M128" s="44" t="str">
        <f>IF(LayTable[[#This Row],[Sport]]="","",LayTable[[#This Row],[LayInnsats]]*(LayTable[[#This Row],[LayOdds]]-1))</f>
        <v/>
      </c>
      <c r="N128" s="45" t="str">
        <f>IF(LayTable[[#This Row],[Sport]]="","",1/((1/LayTable[[#This Row],[BookieOdds]])+(1/((1/((1+((LayTable[[#This Row],[LayOdds]]-1)*(1+LayTable[[#This Row],[C% Lay]])))-1))+1)))-1)</f>
        <v/>
      </c>
      <c r="Q128" s="46" t="str">
        <f>IF(LayTable[[#This Row],[Sport]]="","",LayTable[[#This Row],[BookieInnsats]]+LayTable[[#This Row],[LayLiability]])</f>
        <v/>
      </c>
      <c r="R1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 s="47" t="str">
        <f>IF(LayTable[[#This Row],[Utfall bookie]]="","",LayTable[[#This Row],[WBABack]]+LayTable[[#This Row],[WBALay]]-LayTable[[#This Row],[Total inns]])</f>
        <v/>
      </c>
      <c r="U1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 s="48" t="str">
        <f>IFERROR(IF(LayTable[[#This Row],[Total inns]]="","",LayTable[[#This Row],[Rback]]/LayTable[[#This Row],[Total inns]]),"")</f>
        <v/>
      </c>
      <c r="X128" s="48" t="str">
        <f>IFERROR(IF(LayTable[[#This Row],[Total inns]]="","",LayTable[[#This Row],[Rlay]]/LayTable[[#This Row],[Total inns]]),"")</f>
        <v/>
      </c>
      <c r="Y128" s="48" t="str">
        <f>IFERROR(LayTable[[#This Row],[Faktisk res]]/LayTable[[#This Row],[Total inns]],"")</f>
        <v/>
      </c>
      <c r="Z128" s="47">
        <f>(LayTable[[#This Row],[BookieInnsats]]*LayTable[[#This Row],[BookieOdds]]-LayTable[[#This Row],[BookieInnsats]])*(1-LayTable[[#This Row],[C% Bookie]])</f>
        <v>0</v>
      </c>
      <c r="AA128" s="43">
        <f>LayTable[[#This Row],[LayInnsats]]*(1-LayTable[[#This Row],[C% Lay]])</f>
        <v>0</v>
      </c>
      <c r="AB128" s="43" t="str">
        <f>IFERROR(IF(LayTable[[#This Row],[Sport]]="",AB127,LayTable[[#This Row],[Faktisk res]]+AB127),"")</f>
        <v/>
      </c>
      <c r="AC128" s="43">
        <f>(LayTable[[#This Row],[BackWin-Commission]]+LayTable[[#This Row],[BookieInnsats]])</f>
        <v>0</v>
      </c>
      <c r="AD128" s="43" t="e">
        <f>(LayTable[[#This Row],[LayWin-Commission]])+LayTable[[#This Row],[LayLiability]]</f>
        <v>#VALUE!</v>
      </c>
      <c r="AE128" s="181"/>
      <c r="AF128" s="183"/>
    </row>
    <row r="129" spans="1:32">
      <c r="A129" s="183"/>
      <c r="B129" s="177"/>
      <c r="C129" s="40"/>
      <c r="D129" s="41"/>
      <c r="E129" s="40"/>
      <c r="F129" s="41"/>
      <c r="G129" s="183"/>
      <c r="H129" s="38"/>
      <c r="I129" s="42"/>
      <c r="J129" s="42"/>
      <c r="K129" s="43"/>
      <c r="L129" s="43"/>
      <c r="M129" s="44" t="str">
        <f>IF(LayTable[[#This Row],[Sport]]="","",LayTable[[#This Row],[LayInnsats]]*(LayTable[[#This Row],[LayOdds]]-1))</f>
        <v/>
      </c>
      <c r="N129" s="45" t="str">
        <f>IF(LayTable[[#This Row],[Sport]]="","",1/((1/LayTable[[#This Row],[BookieOdds]])+(1/((1/((1+((LayTable[[#This Row],[LayOdds]]-1)*(1+LayTable[[#This Row],[C% Lay]])))-1))+1)))-1)</f>
        <v/>
      </c>
      <c r="Q129" s="46" t="str">
        <f>IF(LayTable[[#This Row],[Sport]]="","",LayTable[[#This Row],[BookieInnsats]]+LayTable[[#This Row],[LayLiability]])</f>
        <v/>
      </c>
      <c r="R1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 s="47" t="str">
        <f>IF(LayTable[[#This Row],[Utfall bookie]]="","",LayTable[[#This Row],[WBABack]]+LayTable[[#This Row],[WBALay]]-LayTable[[#This Row],[Total inns]])</f>
        <v/>
      </c>
      <c r="U1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 s="48" t="str">
        <f>IFERROR(IF(LayTable[[#This Row],[Total inns]]="","",LayTable[[#This Row],[Rback]]/LayTable[[#This Row],[Total inns]]),"")</f>
        <v/>
      </c>
      <c r="X129" s="48" t="str">
        <f>IFERROR(IF(LayTable[[#This Row],[Total inns]]="","",LayTable[[#This Row],[Rlay]]/LayTable[[#This Row],[Total inns]]),"")</f>
        <v/>
      </c>
      <c r="Y129" s="48" t="str">
        <f>IFERROR(LayTable[[#This Row],[Faktisk res]]/LayTable[[#This Row],[Total inns]],"")</f>
        <v/>
      </c>
      <c r="Z129" s="47">
        <f>(LayTable[[#This Row],[BookieInnsats]]*LayTable[[#This Row],[BookieOdds]]-LayTable[[#This Row],[BookieInnsats]])*(1-LayTable[[#This Row],[C% Bookie]])</f>
        <v>0</v>
      </c>
      <c r="AA129" s="43">
        <f>LayTable[[#This Row],[LayInnsats]]*(1-LayTable[[#This Row],[C% Lay]])</f>
        <v>0</v>
      </c>
      <c r="AB129" s="43" t="str">
        <f>IFERROR(IF(LayTable[[#This Row],[Sport]]="",AB128,LayTable[[#This Row],[Faktisk res]]+AB128),"")</f>
        <v/>
      </c>
      <c r="AC129" s="43">
        <f>(LayTable[[#This Row],[BackWin-Commission]]+LayTable[[#This Row],[BookieInnsats]])</f>
        <v>0</v>
      </c>
      <c r="AD129" s="43" t="e">
        <f>(LayTable[[#This Row],[LayWin-Commission]])+LayTable[[#This Row],[LayLiability]]</f>
        <v>#VALUE!</v>
      </c>
      <c r="AE129" s="181"/>
      <c r="AF129" s="183"/>
    </row>
    <row r="130" spans="1:32">
      <c r="A130" s="183"/>
      <c r="B130" s="177"/>
      <c r="C130" s="40"/>
      <c r="D130" s="41"/>
      <c r="E130" s="40"/>
      <c r="F130" s="41"/>
      <c r="G130" s="183"/>
      <c r="H130" s="38"/>
      <c r="I130" s="42"/>
      <c r="J130" s="42"/>
      <c r="K130" s="43"/>
      <c r="L130" s="43"/>
      <c r="M130" s="44" t="str">
        <f>IF(LayTable[[#This Row],[Sport]]="","",LayTable[[#This Row],[LayInnsats]]*(LayTable[[#This Row],[LayOdds]]-1))</f>
        <v/>
      </c>
      <c r="N130" s="45" t="str">
        <f>IF(LayTable[[#This Row],[Sport]]="","",1/((1/LayTable[[#This Row],[BookieOdds]])+(1/((1/((1+((LayTable[[#This Row],[LayOdds]]-1)*(1+LayTable[[#This Row],[C% Lay]])))-1))+1)))-1)</f>
        <v/>
      </c>
      <c r="Q130" s="46" t="str">
        <f>IF(LayTable[[#This Row],[Sport]]="","",LayTable[[#This Row],[BookieInnsats]]+LayTable[[#This Row],[LayLiability]])</f>
        <v/>
      </c>
      <c r="R1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 s="47" t="str">
        <f>IF(LayTable[[#This Row],[Utfall bookie]]="","",LayTable[[#This Row],[WBABack]]+LayTable[[#This Row],[WBALay]]-LayTable[[#This Row],[Total inns]])</f>
        <v/>
      </c>
      <c r="U1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 s="48" t="str">
        <f>IFERROR(IF(LayTable[[#This Row],[Total inns]]="","",LayTable[[#This Row],[Rback]]/LayTable[[#This Row],[Total inns]]),"")</f>
        <v/>
      </c>
      <c r="X130" s="48" t="str">
        <f>IFERROR(IF(LayTable[[#This Row],[Total inns]]="","",LayTable[[#This Row],[Rlay]]/LayTable[[#This Row],[Total inns]]),"")</f>
        <v/>
      </c>
      <c r="Y130" s="48" t="str">
        <f>IFERROR(LayTable[[#This Row],[Faktisk res]]/LayTable[[#This Row],[Total inns]],"")</f>
        <v/>
      </c>
      <c r="Z130" s="47">
        <f>(LayTable[[#This Row],[BookieInnsats]]*LayTable[[#This Row],[BookieOdds]]-LayTable[[#This Row],[BookieInnsats]])*(1-LayTable[[#This Row],[C% Bookie]])</f>
        <v>0</v>
      </c>
      <c r="AA130" s="43">
        <f>LayTable[[#This Row],[LayInnsats]]*(1-LayTable[[#This Row],[C% Lay]])</f>
        <v>0</v>
      </c>
      <c r="AB130" s="43" t="str">
        <f>IFERROR(IF(LayTable[[#This Row],[Sport]]="",AB129,LayTable[[#This Row],[Faktisk res]]+AB129),"")</f>
        <v/>
      </c>
      <c r="AC130" s="43">
        <f>(LayTable[[#This Row],[BackWin-Commission]]+LayTable[[#This Row],[BookieInnsats]])</f>
        <v>0</v>
      </c>
      <c r="AD130" s="43" t="e">
        <f>(LayTable[[#This Row],[LayWin-Commission]])+LayTable[[#This Row],[LayLiability]]</f>
        <v>#VALUE!</v>
      </c>
      <c r="AE130" s="181"/>
      <c r="AF130" s="183"/>
    </row>
    <row r="131" spans="1:32">
      <c r="A131" s="183"/>
      <c r="B131" s="177"/>
      <c r="C131" s="40"/>
      <c r="D131" s="41"/>
      <c r="E131" s="40"/>
      <c r="F131" s="41"/>
      <c r="G131" s="183"/>
      <c r="H131" s="176"/>
      <c r="I131" s="42"/>
      <c r="J131" s="42"/>
      <c r="K131" s="43"/>
      <c r="L131" s="43"/>
      <c r="M131" s="44" t="str">
        <f>IF(LayTable[[#This Row],[Sport]]="","",LayTable[[#This Row],[LayInnsats]]*(LayTable[[#This Row],[LayOdds]]-1))</f>
        <v/>
      </c>
      <c r="N131" s="45" t="str">
        <f>IF(LayTable[[#This Row],[Sport]]="","",1/((1/LayTable[[#This Row],[BookieOdds]])+(1/((1/((1+((LayTable[[#This Row],[LayOdds]]-1)*(1+LayTable[[#This Row],[C% Lay]])))-1))+1)))-1)</f>
        <v/>
      </c>
      <c r="Q131" s="46" t="str">
        <f>IF(LayTable[[#This Row],[Sport]]="","",LayTable[[#This Row],[BookieInnsats]]+LayTable[[#This Row],[LayLiability]])</f>
        <v/>
      </c>
      <c r="R1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 s="47" t="str">
        <f>IF(LayTable[[#This Row],[Utfall bookie]]="","",LayTable[[#This Row],[WBABack]]+LayTable[[#This Row],[WBALay]]-LayTable[[#This Row],[Total inns]])</f>
        <v/>
      </c>
      <c r="U1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 s="48" t="str">
        <f>IFERROR(IF(LayTable[[#This Row],[Total inns]]="","",LayTable[[#This Row],[Rback]]/LayTable[[#This Row],[Total inns]]),"")</f>
        <v/>
      </c>
      <c r="X131" s="48" t="str">
        <f>IFERROR(IF(LayTable[[#This Row],[Total inns]]="","",LayTable[[#This Row],[Rlay]]/LayTable[[#This Row],[Total inns]]),"")</f>
        <v/>
      </c>
      <c r="Y131" s="48" t="str">
        <f>IFERROR(LayTable[[#This Row],[Faktisk res]]/LayTable[[#This Row],[Total inns]],"")</f>
        <v/>
      </c>
      <c r="Z131" s="47">
        <f>(LayTable[[#This Row],[BookieInnsats]]*LayTable[[#This Row],[BookieOdds]]-LayTable[[#This Row],[BookieInnsats]])*(1-LayTable[[#This Row],[C% Bookie]])</f>
        <v>0</v>
      </c>
      <c r="AA131" s="43">
        <f>LayTable[[#This Row],[LayInnsats]]*(1-LayTable[[#This Row],[C% Lay]])</f>
        <v>0</v>
      </c>
      <c r="AB131" s="43" t="str">
        <f>IFERROR(IF(LayTable[[#This Row],[Sport]]="",AB130,LayTable[[#This Row],[Faktisk res]]+AB130),"")</f>
        <v/>
      </c>
      <c r="AC131" s="43">
        <f>(LayTable[[#This Row],[BackWin-Commission]]+LayTable[[#This Row],[BookieInnsats]])</f>
        <v>0</v>
      </c>
      <c r="AD131" s="43" t="e">
        <f>(LayTable[[#This Row],[LayWin-Commission]])+LayTable[[#This Row],[LayLiability]]</f>
        <v>#VALUE!</v>
      </c>
      <c r="AE131" s="181"/>
      <c r="AF131" s="183"/>
    </row>
    <row r="132" spans="1:32">
      <c r="A132" s="183"/>
      <c r="B132" s="177"/>
      <c r="C132" s="40"/>
      <c r="D132" s="41"/>
      <c r="E132" s="40"/>
      <c r="F132" s="41"/>
      <c r="G132" s="183"/>
      <c r="H132" s="38"/>
      <c r="I132" s="42"/>
      <c r="J132" s="42"/>
      <c r="K132" s="43"/>
      <c r="L132" s="43"/>
      <c r="M132" s="44" t="str">
        <f>IF(LayTable[[#This Row],[Sport]]="","",LayTable[[#This Row],[LayInnsats]]*(LayTable[[#This Row],[LayOdds]]-1))</f>
        <v/>
      </c>
      <c r="N132" s="45" t="str">
        <f>IF(LayTable[[#This Row],[Sport]]="","",1/((1/LayTable[[#This Row],[BookieOdds]])+(1/((1/((1+((LayTable[[#This Row],[LayOdds]]-1)*(1+LayTable[[#This Row],[C% Lay]])))-1))+1)))-1)</f>
        <v/>
      </c>
      <c r="Q132" s="46" t="str">
        <f>IF(LayTable[[#This Row],[Sport]]="","",LayTable[[#This Row],[BookieInnsats]]+LayTable[[#This Row],[LayLiability]])</f>
        <v/>
      </c>
      <c r="R1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 s="47" t="str">
        <f>IF(LayTable[[#This Row],[Utfall bookie]]="","",LayTable[[#This Row],[WBABack]]+LayTable[[#This Row],[WBALay]]-LayTable[[#This Row],[Total inns]])</f>
        <v/>
      </c>
      <c r="U1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 s="48" t="str">
        <f>IFERROR(IF(LayTable[[#This Row],[Total inns]]="","",LayTable[[#This Row],[Rback]]/LayTable[[#This Row],[Total inns]]),"")</f>
        <v/>
      </c>
      <c r="X132" s="48" t="str">
        <f>IFERROR(IF(LayTable[[#This Row],[Total inns]]="","",LayTable[[#This Row],[Rlay]]/LayTable[[#This Row],[Total inns]]),"")</f>
        <v/>
      </c>
      <c r="Y132" s="48" t="str">
        <f>IFERROR(LayTable[[#This Row],[Faktisk res]]/LayTable[[#This Row],[Total inns]],"")</f>
        <v/>
      </c>
      <c r="Z132" s="47">
        <f>(LayTable[[#This Row],[BookieInnsats]]*LayTable[[#This Row],[BookieOdds]]-LayTable[[#This Row],[BookieInnsats]])*(1-LayTable[[#This Row],[C% Bookie]])</f>
        <v>0</v>
      </c>
      <c r="AA132" s="43">
        <f>LayTable[[#This Row],[LayInnsats]]*(1-LayTable[[#This Row],[C% Lay]])</f>
        <v>0</v>
      </c>
      <c r="AB132" s="43" t="str">
        <f>IFERROR(IF(LayTable[[#This Row],[Sport]]="",AB131,LayTable[[#This Row],[Faktisk res]]+AB131),"")</f>
        <v/>
      </c>
      <c r="AC132" s="43">
        <f>(LayTable[[#This Row],[BackWin-Commission]]+LayTable[[#This Row],[BookieInnsats]])</f>
        <v>0</v>
      </c>
      <c r="AD132" s="43" t="e">
        <f>(LayTable[[#This Row],[LayWin-Commission]])+LayTable[[#This Row],[LayLiability]]</f>
        <v>#VALUE!</v>
      </c>
      <c r="AE132" s="43"/>
      <c r="AF132" s="183"/>
    </row>
    <row r="133" spans="1:32">
      <c r="A133" s="183"/>
      <c r="B133" s="177"/>
      <c r="C133" s="40"/>
      <c r="D133" s="41"/>
      <c r="E133" s="40"/>
      <c r="F133" s="41"/>
      <c r="G133" s="183"/>
      <c r="H133" s="38"/>
      <c r="I133" s="42"/>
      <c r="J133" s="42"/>
      <c r="K133" s="43"/>
      <c r="L133" s="43"/>
      <c r="M133" s="44" t="str">
        <f>IF(LayTable[[#This Row],[Sport]]="","",LayTable[[#This Row],[LayInnsats]]*(LayTable[[#This Row],[LayOdds]]-1))</f>
        <v/>
      </c>
      <c r="N133" s="45" t="str">
        <f>IF(LayTable[[#This Row],[Sport]]="","",1/((1/LayTable[[#This Row],[BookieOdds]])+(1/((1/((1+((LayTable[[#This Row],[LayOdds]]-1)*(1+LayTable[[#This Row],[C% Lay]])))-1))+1)))-1)</f>
        <v/>
      </c>
      <c r="Q133" s="46" t="str">
        <f>IF(LayTable[[#This Row],[Sport]]="","",LayTable[[#This Row],[BookieInnsats]]+LayTable[[#This Row],[LayLiability]])</f>
        <v/>
      </c>
      <c r="R1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 s="47" t="str">
        <f>IF(LayTable[[#This Row],[Utfall bookie]]="","",LayTable[[#This Row],[WBABack]]+LayTable[[#This Row],[WBALay]]-LayTable[[#This Row],[Total inns]])</f>
        <v/>
      </c>
      <c r="U1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 s="48" t="str">
        <f>IFERROR(IF(LayTable[[#This Row],[Total inns]]="","",LayTable[[#This Row],[Rback]]/LayTable[[#This Row],[Total inns]]),"")</f>
        <v/>
      </c>
      <c r="X133" s="48" t="str">
        <f>IFERROR(IF(LayTable[[#This Row],[Total inns]]="","",LayTable[[#This Row],[Rlay]]/LayTable[[#This Row],[Total inns]]),"")</f>
        <v/>
      </c>
      <c r="Y133" s="48" t="str">
        <f>IFERROR(LayTable[[#This Row],[Faktisk res]]/LayTable[[#This Row],[Total inns]],"")</f>
        <v/>
      </c>
      <c r="Z133" s="47">
        <f>(LayTable[[#This Row],[BookieInnsats]]*LayTable[[#This Row],[BookieOdds]]-LayTable[[#This Row],[BookieInnsats]])*(1-LayTable[[#This Row],[C% Bookie]])</f>
        <v>0</v>
      </c>
      <c r="AA133" s="43">
        <f>LayTable[[#This Row],[LayInnsats]]*(1-LayTable[[#This Row],[C% Lay]])</f>
        <v>0</v>
      </c>
      <c r="AB133" s="43" t="str">
        <f>IFERROR(IF(LayTable[[#This Row],[Sport]]="",AB132,LayTable[[#This Row],[Faktisk res]]+AB132),"")</f>
        <v/>
      </c>
      <c r="AC133" s="43">
        <f>(LayTable[[#This Row],[BackWin-Commission]]+LayTable[[#This Row],[BookieInnsats]])</f>
        <v>0</v>
      </c>
      <c r="AD133" s="43" t="e">
        <f>(LayTable[[#This Row],[LayWin-Commission]])+LayTable[[#This Row],[LayLiability]]</f>
        <v>#VALUE!</v>
      </c>
      <c r="AE133" s="43"/>
      <c r="AF133" s="183"/>
    </row>
    <row r="134" spans="1:32">
      <c r="A134" s="183"/>
      <c r="B134" s="177"/>
      <c r="C134" s="40"/>
      <c r="D134" s="41"/>
      <c r="E134" s="40"/>
      <c r="F134" s="41"/>
      <c r="G134" s="183"/>
      <c r="H134" s="38"/>
      <c r="I134" s="42"/>
      <c r="J134" s="42"/>
      <c r="K134" s="43"/>
      <c r="L134" s="43"/>
      <c r="M134" s="44" t="str">
        <f>IF(LayTable[[#This Row],[Sport]]="","",LayTable[[#This Row],[LayInnsats]]*(LayTable[[#This Row],[LayOdds]]-1))</f>
        <v/>
      </c>
      <c r="N134" s="45" t="str">
        <f>IF(LayTable[[#This Row],[Sport]]="","",1/((1/LayTable[[#This Row],[BookieOdds]])+(1/((1/((1+((LayTable[[#This Row],[LayOdds]]-1)*(1+LayTable[[#This Row],[C% Lay]])))-1))+1)))-1)</f>
        <v/>
      </c>
      <c r="Q134" s="46" t="str">
        <f>IF(LayTable[[#This Row],[Sport]]="","",LayTable[[#This Row],[BookieInnsats]]+LayTable[[#This Row],[LayLiability]])</f>
        <v/>
      </c>
      <c r="R1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 s="47" t="str">
        <f>IF(LayTable[[#This Row],[Utfall bookie]]="","",LayTable[[#This Row],[WBABack]]+LayTable[[#This Row],[WBALay]]-LayTable[[#This Row],[Total inns]])</f>
        <v/>
      </c>
      <c r="U1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 s="48" t="str">
        <f>IFERROR(IF(LayTable[[#This Row],[Total inns]]="","",LayTable[[#This Row],[Rback]]/LayTable[[#This Row],[Total inns]]),"")</f>
        <v/>
      </c>
      <c r="X134" s="48" t="str">
        <f>IFERROR(IF(LayTable[[#This Row],[Total inns]]="","",LayTable[[#This Row],[Rlay]]/LayTable[[#This Row],[Total inns]]),"")</f>
        <v/>
      </c>
      <c r="Y134" s="48" t="str">
        <f>IFERROR(LayTable[[#This Row],[Faktisk res]]/LayTable[[#This Row],[Total inns]],"")</f>
        <v/>
      </c>
      <c r="Z134" s="47">
        <f>(LayTable[[#This Row],[BookieInnsats]]*LayTable[[#This Row],[BookieOdds]]-LayTable[[#This Row],[BookieInnsats]])*(1-LayTable[[#This Row],[C% Bookie]])</f>
        <v>0</v>
      </c>
      <c r="AA134" s="43">
        <f>LayTable[[#This Row],[LayInnsats]]*(1-LayTable[[#This Row],[C% Lay]])</f>
        <v>0</v>
      </c>
      <c r="AB134" s="43" t="str">
        <f>IFERROR(IF(LayTable[[#This Row],[Sport]]="",AB133,LayTable[[#This Row],[Faktisk res]]+AB133),"")</f>
        <v/>
      </c>
      <c r="AC134" s="43">
        <f>(LayTable[[#This Row],[BackWin-Commission]]+LayTable[[#This Row],[BookieInnsats]])</f>
        <v>0</v>
      </c>
      <c r="AD134" s="43" t="e">
        <f>(LayTable[[#This Row],[LayWin-Commission]])+LayTable[[#This Row],[LayLiability]]</f>
        <v>#VALUE!</v>
      </c>
      <c r="AE134" s="43"/>
      <c r="AF134" s="183"/>
    </row>
    <row r="135" spans="1:32">
      <c r="A135" s="183"/>
      <c r="B135" s="177"/>
      <c r="C135" s="40"/>
      <c r="D135" s="41"/>
      <c r="E135" s="40"/>
      <c r="F135" s="179"/>
      <c r="G135" s="183"/>
      <c r="H135" s="38"/>
      <c r="I135" s="42"/>
      <c r="J135" s="42"/>
      <c r="K135" s="43"/>
      <c r="L135" s="43"/>
      <c r="M135" s="44" t="str">
        <f>IF(LayTable[[#This Row],[Sport]]="","",LayTable[[#This Row],[LayInnsats]]*(LayTable[[#This Row],[LayOdds]]-1))</f>
        <v/>
      </c>
      <c r="N135" s="45" t="str">
        <f>IF(LayTable[[#This Row],[Sport]]="","",1/((1/LayTable[[#This Row],[BookieOdds]])+(1/((1/((1+((LayTable[[#This Row],[LayOdds]]-1)*(1+LayTable[[#This Row],[C% Lay]])))-1))+1)))-1)</f>
        <v/>
      </c>
      <c r="Q135" s="46" t="str">
        <f>IF(LayTable[[#This Row],[Sport]]="","",LayTable[[#This Row],[BookieInnsats]]+LayTable[[#This Row],[LayLiability]])</f>
        <v/>
      </c>
      <c r="R1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 s="47" t="str">
        <f>IF(LayTable[[#This Row],[Utfall bookie]]="","",LayTable[[#This Row],[WBABack]]+LayTable[[#This Row],[WBALay]]-LayTable[[#This Row],[Total inns]])</f>
        <v/>
      </c>
      <c r="U1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 s="48" t="str">
        <f>IFERROR(IF(LayTable[[#This Row],[Total inns]]="","",LayTable[[#This Row],[Rback]]/LayTable[[#This Row],[Total inns]]),"")</f>
        <v/>
      </c>
      <c r="X135" s="48" t="str">
        <f>IFERROR(IF(LayTable[[#This Row],[Total inns]]="","",LayTable[[#This Row],[Rlay]]/LayTable[[#This Row],[Total inns]]),"")</f>
        <v/>
      </c>
      <c r="Y135" s="48" t="str">
        <f>IFERROR(LayTable[[#This Row],[Faktisk res]]/LayTable[[#This Row],[Total inns]],"")</f>
        <v/>
      </c>
      <c r="Z135" s="47">
        <f>(LayTable[[#This Row],[BookieInnsats]]*LayTable[[#This Row],[BookieOdds]]-LayTable[[#This Row],[BookieInnsats]])*(1-LayTable[[#This Row],[C% Bookie]])</f>
        <v>0</v>
      </c>
      <c r="AA135" s="43">
        <f>LayTable[[#This Row],[LayInnsats]]*(1-LayTable[[#This Row],[C% Lay]])</f>
        <v>0</v>
      </c>
      <c r="AB135" s="43" t="str">
        <f>IFERROR(IF(LayTable[[#This Row],[Sport]]="",AB134,LayTable[[#This Row],[Faktisk res]]+AB134),"")</f>
        <v/>
      </c>
      <c r="AC135" s="43">
        <f>(LayTable[[#This Row],[BackWin-Commission]]+LayTable[[#This Row],[BookieInnsats]])</f>
        <v>0</v>
      </c>
      <c r="AD135" s="43" t="e">
        <f>(LayTable[[#This Row],[LayWin-Commission]])+LayTable[[#This Row],[LayLiability]]</f>
        <v>#VALUE!</v>
      </c>
      <c r="AE135" s="181"/>
      <c r="AF135" s="183"/>
    </row>
    <row r="136" spans="1:32">
      <c r="A136" s="183"/>
      <c r="B136" s="177"/>
      <c r="C136" s="40"/>
      <c r="D136" s="41"/>
      <c r="E136" s="40"/>
      <c r="F136" s="179"/>
      <c r="G136" s="183"/>
      <c r="H136" s="176"/>
      <c r="I136" s="180"/>
      <c r="J136" s="180"/>
      <c r="K136" s="43"/>
      <c r="L136" s="43"/>
      <c r="M136" s="44" t="str">
        <f>IF(LayTable[[#This Row],[Sport]]="","",LayTable[[#This Row],[LayInnsats]]*(LayTable[[#This Row],[LayOdds]]-1))</f>
        <v/>
      </c>
      <c r="N136" s="45" t="str">
        <f>IF(LayTable[[#This Row],[Sport]]="","",1/((1/LayTable[[#This Row],[BookieOdds]])+(1/((1/((1+((LayTable[[#This Row],[LayOdds]]-1)*(1+LayTable[[#This Row],[C% Lay]])))-1))+1)))-1)</f>
        <v/>
      </c>
      <c r="Q136" s="46" t="str">
        <f>IF(LayTable[[#This Row],[Sport]]="","",LayTable[[#This Row],[BookieInnsats]]+LayTable[[#This Row],[LayLiability]])</f>
        <v/>
      </c>
      <c r="R1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 s="47" t="str">
        <f>IF(LayTable[[#This Row],[Utfall bookie]]="","",LayTable[[#This Row],[WBABack]]+LayTable[[#This Row],[WBALay]]-LayTable[[#This Row],[Total inns]])</f>
        <v/>
      </c>
      <c r="U1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 s="48" t="str">
        <f>IFERROR(IF(LayTable[[#This Row],[Total inns]]="","",LayTable[[#This Row],[Rback]]/LayTable[[#This Row],[Total inns]]),"")</f>
        <v/>
      </c>
      <c r="X136" s="48" t="str">
        <f>IFERROR(IF(LayTable[[#This Row],[Total inns]]="","",LayTable[[#This Row],[Rlay]]/LayTable[[#This Row],[Total inns]]),"")</f>
        <v/>
      </c>
      <c r="Y136" s="48" t="str">
        <f>IFERROR(LayTable[[#This Row],[Faktisk res]]/LayTable[[#This Row],[Total inns]],"")</f>
        <v/>
      </c>
      <c r="Z136" s="47">
        <f>(LayTable[[#This Row],[BookieInnsats]]*LayTable[[#This Row],[BookieOdds]]-LayTable[[#This Row],[BookieInnsats]])*(1-LayTable[[#This Row],[C% Bookie]])</f>
        <v>0</v>
      </c>
      <c r="AA136" s="43">
        <f>LayTable[[#This Row],[LayInnsats]]*(1-LayTable[[#This Row],[C% Lay]])</f>
        <v>0</v>
      </c>
      <c r="AB136" s="43" t="str">
        <f>IFERROR(IF(LayTable[[#This Row],[Sport]]="",AB135,LayTable[[#This Row],[Faktisk res]]+AB135),"")</f>
        <v/>
      </c>
      <c r="AC136" s="43">
        <f>(LayTable[[#This Row],[BackWin-Commission]]+LayTable[[#This Row],[BookieInnsats]])</f>
        <v>0</v>
      </c>
      <c r="AD136" s="43" t="e">
        <f>(LayTable[[#This Row],[LayWin-Commission]])+LayTable[[#This Row],[LayLiability]]</f>
        <v>#VALUE!</v>
      </c>
      <c r="AE136" s="181"/>
      <c r="AF136" s="183"/>
    </row>
    <row r="137" spans="1:32">
      <c r="A137" s="183"/>
      <c r="B137" s="177"/>
      <c r="C137" s="178"/>
      <c r="D137" s="203"/>
      <c r="E137" s="178"/>
      <c r="F137" s="179"/>
      <c r="G137" s="183"/>
      <c r="H137" s="176"/>
      <c r="I137" s="204"/>
      <c r="J137" s="204"/>
      <c r="K137" s="205"/>
      <c r="L137" s="205"/>
      <c r="M137" s="44" t="str">
        <f>IF(LayTable[[#This Row],[Sport]]="","",LayTable[[#This Row],[LayInnsats]]*(LayTable[[#This Row],[LayOdds]]-1))</f>
        <v/>
      </c>
      <c r="N137" s="45" t="str">
        <f>IF(LayTable[[#This Row],[Sport]]="","",1/((1/LayTable[[#This Row],[BookieOdds]])+(1/((1/((1+((LayTable[[#This Row],[LayOdds]]-1)*(1+LayTable[[#This Row],[C% Lay]])))-1))+1)))-1)</f>
        <v/>
      </c>
      <c r="Q137" s="46" t="str">
        <f>IF(LayTable[[#This Row],[Sport]]="","",LayTable[[#This Row],[BookieInnsats]]+LayTable[[#This Row],[LayLiability]])</f>
        <v/>
      </c>
      <c r="R1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 s="47" t="str">
        <f>IF(LayTable[[#This Row],[Utfall bookie]]="","",LayTable[[#This Row],[WBABack]]+LayTable[[#This Row],[WBALay]]-LayTable[[#This Row],[Total inns]])</f>
        <v/>
      </c>
      <c r="U1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 s="48" t="str">
        <f>IFERROR(IF(LayTable[[#This Row],[Total inns]]="","",LayTable[[#This Row],[Rback]]/LayTable[[#This Row],[Total inns]]),"")</f>
        <v/>
      </c>
      <c r="X137" s="48" t="str">
        <f>IFERROR(IF(LayTable[[#This Row],[Total inns]]="","",LayTable[[#This Row],[Rlay]]/LayTable[[#This Row],[Total inns]]),"")</f>
        <v/>
      </c>
      <c r="Y137" s="48" t="str">
        <f>IFERROR(LayTable[[#This Row],[Faktisk res]]/LayTable[[#This Row],[Total inns]],"")</f>
        <v/>
      </c>
      <c r="Z137" s="47">
        <f>(LayTable[[#This Row],[BookieInnsats]]*LayTable[[#This Row],[BookieOdds]]-LayTable[[#This Row],[BookieInnsats]])*(1-LayTable[[#This Row],[C% Bookie]])</f>
        <v>0</v>
      </c>
      <c r="AA137" s="43">
        <f>LayTable[[#This Row],[LayInnsats]]*(1-LayTable[[#This Row],[C% Lay]])</f>
        <v>0</v>
      </c>
      <c r="AB137" s="43" t="str">
        <f>IFERROR(IF(LayTable[[#This Row],[Sport]]="",AB136,LayTable[[#This Row],[Faktisk res]]+AB136),"")</f>
        <v/>
      </c>
      <c r="AC137" s="43">
        <f>(LayTable[[#This Row],[BackWin-Commission]]+LayTable[[#This Row],[BookieInnsats]])</f>
        <v>0</v>
      </c>
      <c r="AD137" s="43" t="e">
        <f>(LayTable[[#This Row],[LayWin-Commission]])+LayTable[[#This Row],[LayLiability]]</f>
        <v>#VALUE!</v>
      </c>
      <c r="AE137" s="181"/>
      <c r="AF137" s="205"/>
    </row>
    <row r="138" spans="1:32">
      <c r="A138" s="183"/>
      <c r="B138" s="201"/>
      <c r="C138" s="202"/>
      <c r="D138" s="203"/>
      <c r="E138" s="202"/>
      <c r="F138" s="179"/>
      <c r="G138" s="183"/>
      <c r="H138" s="200"/>
      <c r="I138" s="204"/>
      <c r="J138" s="204"/>
      <c r="K138" s="205"/>
      <c r="L138" s="205"/>
      <c r="M138" s="44" t="str">
        <f>IF(LayTable[[#This Row],[Sport]]="","",LayTable[[#This Row],[LayInnsats]]*(LayTable[[#This Row],[LayOdds]]-1))</f>
        <v/>
      </c>
      <c r="N138" s="45" t="str">
        <f>IF(LayTable[[#This Row],[Sport]]="","",1/((1/LayTable[[#This Row],[BookieOdds]])+(1/((1/((1+((LayTable[[#This Row],[LayOdds]]-1)*(1+LayTable[[#This Row],[C% Lay]])))-1))+1)))-1)</f>
        <v/>
      </c>
      <c r="O138" s="199"/>
      <c r="P138" s="199"/>
      <c r="Q138" s="46" t="str">
        <f>IF(LayTable[[#This Row],[Sport]]="","",LayTable[[#This Row],[BookieInnsats]]+LayTable[[#This Row],[LayLiability]])</f>
        <v/>
      </c>
      <c r="R1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 s="47" t="str">
        <f>IF(LayTable[[#This Row],[Utfall bookie]]="","",LayTable[[#This Row],[WBABack]]+LayTable[[#This Row],[WBALay]]-LayTable[[#This Row],[Total inns]])</f>
        <v/>
      </c>
      <c r="U1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 s="48" t="str">
        <f>IFERROR(IF(LayTable[[#This Row],[Total inns]]="","",LayTable[[#This Row],[Rback]]/LayTable[[#This Row],[Total inns]]),"")</f>
        <v/>
      </c>
      <c r="X138" s="48" t="str">
        <f>IFERROR(IF(LayTable[[#This Row],[Total inns]]="","",LayTable[[#This Row],[Rlay]]/LayTable[[#This Row],[Total inns]]),"")</f>
        <v/>
      </c>
      <c r="Y138" s="48" t="str">
        <f>IFERROR(LayTable[[#This Row],[Faktisk res]]/LayTable[[#This Row],[Total inns]],"")</f>
        <v/>
      </c>
      <c r="Z138" s="47">
        <f>(LayTable[[#This Row],[BookieInnsats]]*LayTable[[#This Row],[BookieOdds]]-LayTable[[#This Row],[BookieInnsats]])*(1-LayTable[[#This Row],[C% Bookie]])</f>
        <v>0</v>
      </c>
      <c r="AA138" s="43">
        <f>LayTable[[#This Row],[LayInnsats]]*(1-LayTable[[#This Row],[C% Lay]])</f>
        <v>0</v>
      </c>
      <c r="AB138" s="43" t="str">
        <f>IFERROR(IF(LayTable[[#This Row],[Sport]]="",AB137,LayTable[[#This Row],[Faktisk res]]+AB137),"")</f>
        <v/>
      </c>
      <c r="AC138" s="43">
        <f>(LayTable[[#This Row],[BackWin-Commission]]+LayTable[[#This Row],[BookieInnsats]])</f>
        <v>0</v>
      </c>
      <c r="AD138" s="43" t="e">
        <f>(LayTable[[#This Row],[LayWin-Commission]])+LayTable[[#This Row],[LayLiability]]</f>
        <v>#VALUE!</v>
      </c>
      <c r="AE138" s="181"/>
      <c r="AF138" s="205"/>
    </row>
    <row r="139" spans="1:32">
      <c r="A139" s="183"/>
      <c r="B139" s="177"/>
      <c r="C139" s="40"/>
      <c r="D139" s="41"/>
      <c r="E139" s="40"/>
      <c r="F139" s="179"/>
      <c r="G139" s="183"/>
      <c r="H139" s="38"/>
      <c r="I139" s="42"/>
      <c r="J139" s="42"/>
      <c r="K139" s="43"/>
      <c r="L139" s="43"/>
      <c r="M139" s="44" t="str">
        <f>IF(LayTable[[#This Row],[Sport]]="","",LayTable[[#This Row],[LayInnsats]]*(LayTable[[#This Row],[LayOdds]]-1))</f>
        <v/>
      </c>
      <c r="N139" s="45" t="str">
        <f>IF(LayTable[[#This Row],[Sport]]="","",1/((1/LayTable[[#This Row],[BookieOdds]])+(1/((1/((1+((LayTable[[#This Row],[LayOdds]]-1)*(1+LayTable[[#This Row],[C% Lay]])))-1))+1)))-1)</f>
        <v/>
      </c>
      <c r="Q139" s="46" t="str">
        <f>IF(LayTable[[#This Row],[Sport]]="","",LayTable[[#This Row],[BookieInnsats]]+LayTable[[#This Row],[LayLiability]])</f>
        <v/>
      </c>
      <c r="R1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 s="47" t="str">
        <f>IF(LayTable[[#This Row],[Utfall bookie]]="","",LayTable[[#This Row],[WBABack]]+LayTable[[#This Row],[WBALay]]-LayTable[[#This Row],[Total inns]])</f>
        <v/>
      </c>
      <c r="U1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 s="48" t="str">
        <f>IFERROR(IF(LayTable[[#This Row],[Total inns]]="","",LayTable[[#This Row],[Rback]]/LayTable[[#This Row],[Total inns]]),"")</f>
        <v/>
      </c>
      <c r="X139" s="48" t="str">
        <f>IFERROR(IF(LayTable[[#This Row],[Total inns]]="","",LayTable[[#This Row],[Rlay]]/LayTable[[#This Row],[Total inns]]),"")</f>
        <v/>
      </c>
      <c r="Y139" s="48" t="str">
        <f>IFERROR(LayTable[[#This Row],[Faktisk res]]/LayTable[[#This Row],[Total inns]],"")</f>
        <v/>
      </c>
      <c r="Z139" s="47">
        <f>(LayTable[[#This Row],[BookieInnsats]]*LayTable[[#This Row],[BookieOdds]]-LayTable[[#This Row],[BookieInnsats]])*(1-LayTable[[#This Row],[C% Bookie]])</f>
        <v>0</v>
      </c>
      <c r="AA139" s="43">
        <f>LayTable[[#This Row],[LayInnsats]]*(1-LayTable[[#This Row],[C% Lay]])</f>
        <v>0</v>
      </c>
      <c r="AB139" s="43" t="str">
        <f>IFERROR(IF(LayTable[[#This Row],[Sport]]="",AB138,LayTable[[#This Row],[Faktisk res]]+AB138),"")</f>
        <v/>
      </c>
      <c r="AC139" s="43">
        <f>(LayTable[[#This Row],[BackWin-Commission]]+LayTable[[#This Row],[BookieInnsats]])</f>
        <v>0</v>
      </c>
      <c r="AD139" s="43" t="e">
        <f>(LayTable[[#This Row],[LayWin-Commission]])+LayTable[[#This Row],[LayLiability]]</f>
        <v>#VALUE!</v>
      </c>
      <c r="AE139" s="181"/>
      <c r="AF139" s="205"/>
    </row>
    <row r="140" spans="1:32">
      <c r="A140" s="183"/>
      <c r="B140" s="177"/>
      <c r="C140" s="40"/>
      <c r="D140" s="41"/>
      <c r="E140" s="40"/>
      <c r="F140" s="179"/>
      <c r="G140" s="183"/>
      <c r="H140" s="38"/>
      <c r="I140" s="42"/>
      <c r="J140" s="42"/>
      <c r="K140" s="43"/>
      <c r="L140" s="43"/>
      <c r="M140" s="44" t="str">
        <f>IF(LayTable[[#This Row],[Sport]]="","",LayTable[[#This Row],[LayInnsats]]*(LayTable[[#This Row],[LayOdds]]-1))</f>
        <v/>
      </c>
      <c r="N140" s="45" t="str">
        <f>IF(LayTable[[#This Row],[Sport]]="","",1/((1/LayTable[[#This Row],[BookieOdds]])+(1/((1/((1+((LayTable[[#This Row],[LayOdds]]-1)*(1+LayTable[[#This Row],[C% Lay]])))-1))+1)))-1)</f>
        <v/>
      </c>
      <c r="Q140" s="46" t="str">
        <f>IF(LayTable[[#This Row],[Sport]]="","",LayTable[[#This Row],[BookieInnsats]]+LayTable[[#This Row],[LayLiability]])</f>
        <v/>
      </c>
      <c r="R1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 s="47" t="str">
        <f>IF(LayTable[[#This Row],[Utfall bookie]]="","",LayTable[[#This Row],[WBABack]]+LayTable[[#This Row],[WBALay]]-LayTable[[#This Row],[Total inns]])</f>
        <v/>
      </c>
      <c r="U1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 s="48" t="str">
        <f>IFERROR(IF(LayTable[[#This Row],[Total inns]]="","",LayTable[[#This Row],[Rback]]/LayTable[[#This Row],[Total inns]]),"")</f>
        <v/>
      </c>
      <c r="X140" s="48" t="str">
        <f>IFERROR(IF(LayTable[[#This Row],[Total inns]]="","",LayTable[[#This Row],[Rlay]]/LayTable[[#This Row],[Total inns]]),"")</f>
        <v/>
      </c>
      <c r="Y140" s="48" t="str">
        <f>IFERROR(LayTable[[#This Row],[Faktisk res]]/LayTable[[#This Row],[Total inns]],"")</f>
        <v/>
      </c>
      <c r="Z140" s="47">
        <f>(LayTable[[#This Row],[BookieInnsats]]*LayTable[[#This Row],[BookieOdds]]-LayTable[[#This Row],[BookieInnsats]])*(1-LayTable[[#This Row],[C% Bookie]])</f>
        <v>0</v>
      </c>
      <c r="AA140" s="43">
        <f>LayTable[[#This Row],[LayInnsats]]*(1-LayTable[[#This Row],[C% Lay]])</f>
        <v>0</v>
      </c>
      <c r="AB140" s="43" t="str">
        <f>IFERROR(IF(LayTable[[#This Row],[Sport]]="",AB139,LayTable[[#This Row],[Faktisk res]]+AB139),"")</f>
        <v/>
      </c>
      <c r="AC140" s="43">
        <f>(LayTable[[#This Row],[BackWin-Commission]]+LayTable[[#This Row],[BookieInnsats]])</f>
        <v>0</v>
      </c>
      <c r="AD140" s="43" t="e">
        <f>(LayTable[[#This Row],[LayWin-Commission]])+LayTable[[#This Row],[LayLiability]]</f>
        <v>#VALUE!</v>
      </c>
      <c r="AE140" s="205"/>
      <c r="AF140" s="205"/>
    </row>
    <row r="141" spans="1:32">
      <c r="A141" s="183"/>
      <c r="B141" s="177"/>
      <c r="C141" s="40"/>
      <c r="D141" s="41"/>
      <c r="E141" s="40"/>
      <c r="F141" s="41"/>
      <c r="G141" s="183"/>
      <c r="H141" s="38"/>
      <c r="I141" s="42"/>
      <c r="J141" s="42"/>
      <c r="K141" s="43"/>
      <c r="L141" s="43"/>
      <c r="M141" s="44" t="str">
        <f>IF(LayTable[[#This Row],[Sport]]="","",LayTable[[#This Row],[LayInnsats]]*(LayTable[[#This Row],[LayOdds]]-1))</f>
        <v/>
      </c>
      <c r="N141" s="45" t="str">
        <f>IF(LayTable[[#This Row],[Sport]]="","",1/((1/LayTable[[#This Row],[BookieOdds]])+(1/((1/((1+((LayTable[[#This Row],[LayOdds]]-1)*(1+LayTable[[#This Row],[C% Lay]])))-1))+1)))-1)</f>
        <v/>
      </c>
      <c r="Q141" s="46" t="str">
        <f>IF(LayTable[[#This Row],[Sport]]="","",LayTable[[#This Row],[BookieInnsats]]+LayTable[[#This Row],[LayLiability]])</f>
        <v/>
      </c>
      <c r="R1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 s="47" t="str">
        <f>IF(LayTable[[#This Row],[Utfall bookie]]="","",LayTable[[#This Row],[WBABack]]+LayTable[[#This Row],[WBALay]]-LayTable[[#This Row],[Total inns]])</f>
        <v/>
      </c>
      <c r="U1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 s="48" t="str">
        <f>IFERROR(IF(LayTable[[#This Row],[Total inns]]="","",LayTable[[#This Row],[Rback]]/LayTable[[#This Row],[Total inns]]),"")</f>
        <v/>
      </c>
      <c r="X141" s="48" t="str">
        <f>IFERROR(IF(LayTable[[#This Row],[Total inns]]="","",LayTable[[#This Row],[Rlay]]/LayTable[[#This Row],[Total inns]]),"")</f>
        <v/>
      </c>
      <c r="Y141" s="48" t="str">
        <f>IFERROR(LayTable[[#This Row],[Faktisk res]]/LayTable[[#This Row],[Total inns]],"")</f>
        <v/>
      </c>
      <c r="Z141" s="47">
        <f>(LayTable[[#This Row],[BookieInnsats]]*LayTable[[#This Row],[BookieOdds]]-LayTable[[#This Row],[BookieInnsats]])*(1-LayTable[[#This Row],[C% Bookie]])</f>
        <v>0</v>
      </c>
      <c r="AA141" s="43">
        <f>LayTable[[#This Row],[LayInnsats]]*(1-LayTable[[#This Row],[C% Lay]])</f>
        <v>0</v>
      </c>
      <c r="AB141" s="43" t="str">
        <f>IFERROR(IF(LayTable[[#This Row],[Sport]]="",AB140,LayTable[[#This Row],[Faktisk res]]+AB140),"")</f>
        <v/>
      </c>
      <c r="AC141" s="43">
        <f>(LayTable[[#This Row],[BackWin-Commission]]+LayTable[[#This Row],[BookieInnsats]])</f>
        <v>0</v>
      </c>
      <c r="AD141" s="43" t="e">
        <f>(LayTable[[#This Row],[LayWin-Commission]])+LayTable[[#This Row],[LayLiability]]</f>
        <v>#VALUE!</v>
      </c>
      <c r="AE141" s="181"/>
      <c r="AF141" s="205"/>
    </row>
    <row r="142" spans="1:32">
      <c r="A142" s="183"/>
      <c r="B142" s="177"/>
      <c r="C142" s="40"/>
      <c r="D142" s="41"/>
      <c r="E142" s="40"/>
      <c r="F142" s="41"/>
      <c r="G142" s="183"/>
      <c r="H142" s="38"/>
      <c r="I142" s="42"/>
      <c r="J142" s="42"/>
      <c r="K142" s="43"/>
      <c r="L142" s="43"/>
      <c r="M142" s="44" t="str">
        <f>IF(LayTable[[#This Row],[Sport]]="","",LayTable[[#This Row],[LayInnsats]]*(LayTable[[#This Row],[LayOdds]]-1))</f>
        <v/>
      </c>
      <c r="N142" s="45" t="str">
        <f>IF(LayTable[[#This Row],[Sport]]="","",1/((1/LayTable[[#This Row],[BookieOdds]])+(1/((1/((1+((LayTable[[#This Row],[LayOdds]]-1)*(1+LayTable[[#This Row],[C% Lay]])))-1))+1)))-1)</f>
        <v/>
      </c>
      <c r="Q142" s="46" t="str">
        <f>IF(LayTable[[#This Row],[Sport]]="","",LayTable[[#This Row],[BookieInnsats]]+LayTable[[#This Row],[LayLiability]])</f>
        <v/>
      </c>
      <c r="R1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 s="47" t="str">
        <f>IF(LayTable[[#This Row],[Utfall bookie]]="","",LayTable[[#This Row],[WBABack]]+LayTable[[#This Row],[WBALay]]-LayTable[[#This Row],[Total inns]])</f>
        <v/>
      </c>
      <c r="U1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 s="48" t="str">
        <f>IFERROR(IF(LayTable[[#This Row],[Total inns]]="","",LayTable[[#This Row],[Rback]]/LayTable[[#This Row],[Total inns]]),"")</f>
        <v/>
      </c>
      <c r="X142" s="48" t="str">
        <f>IFERROR(IF(LayTable[[#This Row],[Total inns]]="","",LayTable[[#This Row],[Rlay]]/LayTable[[#This Row],[Total inns]]),"")</f>
        <v/>
      </c>
      <c r="Y142" s="48" t="str">
        <f>IFERROR(LayTable[[#This Row],[Faktisk res]]/LayTable[[#This Row],[Total inns]],"")</f>
        <v/>
      </c>
      <c r="Z142" s="47">
        <f>(LayTable[[#This Row],[BookieInnsats]]*LayTable[[#This Row],[BookieOdds]]-LayTable[[#This Row],[BookieInnsats]])*(1-LayTable[[#This Row],[C% Bookie]])</f>
        <v>0</v>
      </c>
      <c r="AA142" s="43">
        <f>LayTable[[#This Row],[LayInnsats]]*(1-LayTable[[#This Row],[C% Lay]])</f>
        <v>0</v>
      </c>
      <c r="AB142" s="43" t="str">
        <f>IFERROR(IF(LayTable[[#This Row],[Sport]]="",AB141,LayTable[[#This Row],[Faktisk res]]+AB141),"")</f>
        <v/>
      </c>
      <c r="AC142" s="43">
        <f>(LayTable[[#This Row],[BackWin-Commission]]+LayTable[[#This Row],[BookieInnsats]])</f>
        <v>0</v>
      </c>
      <c r="AD142" s="43" t="e">
        <f>(LayTable[[#This Row],[LayWin-Commission]])+LayTable[[#This Row],[LayLiability]]</f>
        <v>#VALUE!</v>
      </c>
      <c r="AE142" s="181"/>
      <c r="AF142" s="205"/>
    </row>
    <row r="143" spans="1:32">
      <c r="A143" s="183"/>
      <c r="B143" s="177"/>
      <c r="C143" s="40"/>
      <c r="D143" s="41"/>
      <c r="E143" s="40"/>
      <c r="F143" s="41"/>
      <c r="G143" s="183"/>
      <c r="H143" s="38"/>
      <c r="I143" s="42"/>
      <c r="J143" s="42"/>
      <c r="K143" s="43"/>
      <c r="L143" s="43"/>
      <c r="M143" s="44" t="str">
        <f>IF(LayTable[[#This Row],[Sport]]="","",LayTable[[#This Row],[LayInnsats]]*(LayTable[[#This Row],[LayOdds]]-1))</f>
        <v/>
      </c>
      <c r="N143" s="45" t="str">
        <f>IF(LayTable[[#This Row],[Sport]]="","",1/((1/LayTable[[#This Row],[BookieOdds]])+(1/((1/((1+((LayTable[[#This Row],[LayOdds]]-1)*(1+LayTable[[#This Row],[C% Lay]])))-1))+1)))-1)</f>
        <v/>
      </c>
      <c r="Q143" s="46" t="str">
        <f>IF(LayTable[[#This Row],[Sport]]="","",LayTable[[#This Row],[BookieInnsats]]+LayTable[[#This Row],[LayLiability]])</f>
        <v/>
      </c>
      <c r="R1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 s="47" t="str">
        <f>IF(LayTable[[#This Row],[Utfall bookie]]="","",LayTable[[#This Row],[WBABack]]+LayTable[[#This Row],[WBALay]]-LayTable[[#This Row],[Total inns]])</f>
        <v/>
      </c>
      <c r="U1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 s="48" t="str">
        <f>IFERROR(IF(LayTable[[#This Row],[Total inns]]="","",LayTable[[#This Row],[Rback]]/LayTable[[#This Row],[Total inns]]),"")</f>
        <v/>
      </c>
      <c r="X143" s="48" t="str">
        <f>IFERROR(IF(LayTable[[#This Row],[Total inns]]="","",LayTable[[#This Row],[Rlay]]/LayTable[[#This Row],[Total inns]]),"")</f>
        <v/>
      </c>
      <c r="Y143" s="48" t="str">
        <f>IFERROR(LayTable[[#This Row],[Faktisk res]]/LayTable[[#This Row],[Total inns]],"")</f>
        <v/>
      </c>
      <c r="Z143" s="47">
        <f>(LayTable[[#This Row],[BookieInnsats]]*LayTable[[#This Row],[BookieOdds]]-LayTable[[#This Row],[BookieInnsats]])*(1-LayTable[[#This Row],[C% Bookie]])</f>
        <v>0</v>
      </c>
      <c r="AA143" s="43">
        <f>LayTable[[#This Row],[LayInnsats]]*(1-LayTable[[#This Row],[C% Lay]])</f>
        <v>0</v>
      </c>
      <c r="AB143" s="43" t="str">
        <f>IFERROR(IF(LayTable[[#This Row],[Sport]]="",AB142,LayTable[[#This Row],[Faktisk res]]+AB142),"")</f>
        <v/>
      </c>
      <c r="AC143" s="43">
        <f>(LayTable[[#This Row],[BackWin-Commission]]+LayTable[[#This Row],[BookieInnsats]])</f>
        <v>0</v>
      </c>
      <c r="AD143" s="43" t="e">
        <f>(LayTable[[#This Row],[LayWin-Commission]])+LayTable[[#This Row],[LayLiability]]</f>
        <v>#VALUE!</v>
      </c>
      <c r="AE143" s="181"/>
      <c r="AF143" s="205"/>
    </row>
    <row r="144" spans="1:32">
      <c r="A144" s="183"/>
      <c r="B144" s="177"/>
      <c r="C144" s="40"/>
      <c r="D144" s="41"/>
      <c r="E144" s="40"/>
      <c r="F144" s="41"/>
      <c r="G144" s="183"/>
      <c r="H144" s="38"/>
      <c r="I144" s="42"/>
      <c r="J144" s="42"/>
      <c r="K144" s="43"/>
      <c r="L144" s="43"/>
      <c r="M144" s="44" t="str">
        <f>IF(LayTable[[#This Row],[Sport]]="","",LayTable[[#This Row],[LayInnsats]]*(LayTable[[#This Row],[LayOdds]]-1))</f>
        <v/>
      </c>
      <c r="N144" s="45" t="str">
        <f>IF(LayTable[[#This Row],[Sport]]="","",1/((1/LayTable[[#This Row],[BookieOdds]])+(1/((1/((1+((LayTable[[#This Row],[LayOdds]]-1)*(1+LayTable[[#This Row],[C% Lay]])))-1))+1)))-1)</f>
        <v/>
      </c>
      <c r="Q144" s="46" t="str">
        <f>IF(LayTable[[#This Row],[Sport]]="","",LayTable[[#This Row],[BookieInnsats]]+LayTable[[#This Row],[LayLiability]])</f>
        <v/>
      </c>
      <c r="R1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 s="47" t="str">
        <f>IF(LayTable[[#This Row],[Utfall bookie]]="","",LayTable[[#This Row],[WBABack]]+LayTable[[#This Row],[WBALay]]-LayTable[[#This Row],[Total inns]])</f>
        <v/>
      </c>
      <c r="U1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 s="48" t="str">
        <f>IFERROR(IF(LayTable[[#This Row],[Total inns]]="","",LayTable[[#This Row],[Rback]]/LayTable[[#This Row],[Total inns]]),"")</f>
        <v/>
      </c>
      <c r="X144" s="48" t="str">
        <f>IFERROR(IF(LayTable[[#This Row],[Total inns]]="","",LayTable[[#This Row],[Rlay]]/LayTable[[#This Row],[Total inns]]),"")</f>
        <v/>
      </c>
      <c r="Y144" s="48" t="str">
        <f>IFERROR(LayTable[[#This Row],[Faktisk res]]/LayTable[[#This Row],[Total inns]],"")</f>
        <v/>
      </c>
      <c r="Z144" s="47">
        <f>(LayTable[[#This Row],[BookieInnsats]]*LayTable[[#This Row],[BookieOdds]]-LayTable[[#This Row],[BookieInnsats]])*(1-LayTable[[#This Row],[C% Bookie]])</f>
        <v>0</v>
      </c>
      <c r="AA144" s="43">
        <f>LayTable[[#This Row],[LayInnsats]]*(1-LayTable[[#This Row],[C% Lay]])</f>
        <v>0</v>
      </c>
      <c r="AB144" s="43" t="str">
        <f>IFERROR(IF(LayTable[[#This Row],[Sport]]="",AB143,LayTable[[#This Row],[Faktisk res]]+AB143),"")</f>
        <v/>
      </c>
      <c r="AC144" s="43">
        <f>(LayTable[[#This Row],[BackWin-Commission]]+LayTable[[#This Row],[BookieInnsats]])</f>
        <v>0</v>
      </c>
      <c r="AD144" s="43" t="e">
        <f>(LayTable[[#This Row],[LayWin-Commission]])+LayTable[[#This Row],[LayLiability]]</f>
        <v>#VALUE!</v>
      </c>
      <c r="AE144" s="181"/>
      <c r="AF144" s="205"/>
    </row>
    <row r="145" spans="1:32">
      <c r="A145" s="183"/>
      <c r="B145" s="177"/>
      <c r="C145" s="40"/>
      <c r="D145" s="41"/>
      <c r="E145" s="40"/>
      <c r="F145" s="41"/>
      <c r="G145" s="183"/>
      <c r="H145" s="38"/>
      <c r="I145" s="42"/>
      <c r="J145" s="42"/>
      <c r="K145" s="43"/>
      <c r="L145" s="43"/>
      <c r="M145" s="44" t="str">
        <f>IF(LayTable[[#This Row],[Sport]]="","",LayTable[[#This Row],[LayInnsats]]*(LayTable[[#This Row],[LayOdds]]-1))</f>
        <v/>
      </c>
      <c r="N145" s="45" t="str">
        <f>IF(LayTable[[#This Row],[Sport]]="","",1/((1/LayTable[[#This Row],[BookieOdds]])+(1/((1/((1+((LayTable[[#This Row],[LayOdds]]-1)*(1+LayTable[[#This Row],[C% Lay]])))-1))+1)))-1)</f>
        <v/>
      </c>
      <c r="Q145" s="46" t="str">
        <f>IF(LayTable[[#This Row],[Sport]]="","",LayTable[[#This Row],[BookieInnsats]]+LayTable[[#This Row],[LayLiability]])</f>
        <v/>
      </c>
      <c r="R1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 s="47" t="str">
        <f>IF(LayTable[[#This Row],[Utfall bookie]]="","",LayTable[[#This Row],[WBABack]]+LayTable[[#This Row],[WBALay]]-LayTable[[#This Row],[Total inns]])</f>
        <v/>
      </c>
      <c r="U1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 s="48" t="str">
        <f>IFERROR(IF(LayTable[[#This Row],[Total inns]]="","",LayTable[[#This Row],[Rback]]/LayTable[[#This Row],[Total inns]]),"")</f>
        <v/>
      </c>
      <c r="X145" s="48" t="str">
        <f>IFERROR(IF(LayTable[[#This Row],[Total inns]]="","",LayTable[[#This Row],[Rlay]]/LayTable[[#This Row],[Total inns]]),"")</f>
        <v/>
      </c>
      <c r="Y145" s="48" t="str">
        <f>IFERROR(LayTable[[#This Row],[Faktisk res]]/LayTable[[#This Row],[Total inns]],"")</f>
        <v/>
      </c>
      <c r="Z145" s="47">
        <f>(LayTable[[#This Row],[BookieInnsats]]*LayTable[[#This Row],[BookieOdds]]-LayTable[[#This Row],[BookieInnsats]])*(1-LayTable[[#This Row],[C% Bookie]])</f>
        <v>0</v>
      </c>
      <c r="AA145" s="43">
        <f>LayTable[[#This Row],[LayInnsats]]*(1-LayTable[[#This Row],[C% Lay]])</f>
        <v>0</v>
      </c>
      <c r="AB145" s="43" t="str">
        <f>IFERROR(IF(LayTable[[#This Row],[Sport]]="",AB144,LayTable[[#This Row],[Faktisk res]]+AB144),"")</f>
        <v/>
      </c>
      <c r="AC145" s="43">
        <f>(LayTable[[#This Row],[BackWin-Commission]]+LayTable[[#This Row],[BookieInnsats]])</f>
        <v>0</v>
      </c>
      <c r="AD145" s="43" t="e">
        <f>(LayTable[[#This Row],[LayWin-Commission]])+LayTable[[#This Row],[LayLiability]]</f>
        <v>#VALUE!</v>
      </c>
      <c r="AE145" s="181"/>
      <c r="AF145" s="205"/>
    </row>
    <row r="146" spans="1:32">
      <c r="A146" s="84"/>
      <c r="B146" s="177"/>
      <c r="C146" s="40"/>
      <c r="D146" s="41"/>
      <c r="E146" s="40"/>
      <c r="F146" s="41"/>
      <c r="G146" s="183"/>
      <c r="H146" s="38"/>
      <c r="I146" s="42"/>
      <c r="J146" s="42"/>
      <c r="K146" s="43"/>
      <c r="L146" s="43"/>
      <c r="M146" s="44" t="str">
        <f>IF(LayTable[[#This Row],[Sport]]="","",LayTable[[#This Row],[LayInnsats]]*(LayTable[[#This Row],[LayOdds]]-1))</f>
        <v/>
      </c>
      <c r="N146" s="45" t="str">
        <f>IF(LayTable[[#This Row],[Sport]]="","",1/((1/LayTable[[#This Row],[BookieOdds]])+(1/((1/((1+((LayTable[[#This Row],[LayOdds]]-1)*(1+LayTable[[#This Row],[C% Lay]])))-1))+1)))-1)</f>
        <v/>
      </c>
      <c r="Q146" s="46" t="str">
        <f>IF(LayTable[[#This Row],[Sport]]="","",LayTable[[#This Row],[BookieInnsats]]+LayTable[[#This Row],[LayLiability]])</f>
        <v/>
      </c>
      <c r="R1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 s="47" t="str">
        <f>IF(LayTable[[#This Row],[Utfall bookie]]="","",LayTable[[#This Row],[WBABack]]+LayTable[[#This Row],[WBALay]]-LayTable[[#This Row],[Total inns]])</f>
        <v/>
      </c>
      <c r="U1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 s="48" t="str">
        <f>IFERROR(IF(LayTable[[#This Row],[Total inns]]="","",LayTable[[#This Row],[Rback]]/LayTable[[#This Row],[Total inns]]),"")</f>
        <v/>
      </c>
      <c r="X146" s="48" t="str">
        <f>IFERROR(IF(LayTable[[#This Row],[Total inns]]="","",LayTable[[#This Row],[Rlay]]/LayTable[[#This Row],[Total inns]]),"")</f>
        <v/>
      </c>
      <c r="Y146" s="48" t="str">
        <f>IFERROR(LayTable[[#This Row],[Faktisk res]]/LayTable[[#This Row],[Total inns]],"")</f>
        <v/>
      </c>
      <c r="Z146" s="47">
        <f>(LayTable[[#This Row],[BookieInnsats]]*LayTable[[#This Row],[BookieOdds]]-LayTable[[#This Row],[BookieInnsats]])*(1-LayTable[[#This Row],[C% Bookie]])</f>
        <v>0</v>
      </c>
      <c r="AA146" s="43">
        <f>LayTable[[#This Row],[LayInnsats]]*(1-LayTable[[#This Row],[C% Lay]])</f>
        <v>0</v>
      </c>
      <c r="AB146" s="43" t="str">
        <f>IFERROR(IF(LayTable[[#This Row],[Sport]]="",AB145,LayTable[[#This Row],[Faktisk res]]+AB145),"")</f>
        <v/>
      </c>
      <c r="AC146" s="43">
        <f>(LayTable[[#This Row],[BackWin-Commission]]+LayTable[[#This Row],[BookieInnsats]])</f>
        <v>0</v>
      </c>
      <c r="AD146" s="43" t="e">
        <f>(LayTable[[#This Row],[LayWin-Commission]])+LayTable[[#This Row],[LayLiability]]</f>
        <v>#VALUE!</v>
      </c>
      <c r="AE146" s="181"/>
      <c r="AF146" s="205"/>
    </row>
    <row r="147" spans="1:32">
      <c r="A147" s="84"/>
      <c r="B147" s="177"/>
      <c r="C147" s="40"/>
      <c r="D147" s="41"/>
      <c r="E147" s="40"/>
      <c r="F147" s="41"/>
      <c r="G147" s="183"/>
      <c r="H147" s="38"/>
      <c r="I147" s="42"/>
      <c r="J147" s="42"/>
      <c r="K147" s="43"/>
      <c r="L147" s="43"/>
      <c r="M147" s="44" t="str">
        <f>IF(LayTable[[#This Row],[Sport]]="","",LayTable[[#This Row],[LayInnsats]]*(LayTable[[#This Row],[LayOdds]]-1))</f>
        <v/>
      </c>
      <c r="N147" s="45" t="str">
        <f>IF(LayTable[[#This Row],[Sport]]="","",1/((1/LayTable[[#This Row],[BookieOdds]])+(1/((1/((1+((LayTable[[#This Row],[LayOdds]]-1)*(1+LayTable[[#This Row],[C% Lay]])))-1))+1)))-1)</f>
        <v/>
      </c>
      <c r="Q147" s="46" t="str">
        <f>IF(LayTable[[#This Row],[Sport]]="","",LayTable[[#This Row],[BookieInnsats]]+LayTable[[#This Row],[LayLiability]])</f>
        <v/>
      </c>
      <c r="R1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 s="47" t="str">
        <f>IF(LayTable[[#This Row],[Utfall bookie]]="","",LayTable[[#This Row],[WBABack]]+LayTable[[#This Row],[WBALay]]-LayTable[[#This Row],[Total inns]])</f>
        <v/>
      </c>
      <c r="U1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 s="48" t="str">
        <f>IFERROR(IF(LayTable[[#This Row],[Total inns]]="","",LayTable[[#This Row],[Rback]]/LayTable[[#This Row],[Total inns]]),"")</f>
        <v/>
      </c>
      <c r="X147" s="48" t="str">
        <f>IFERROR(IF(LayTable[[#This Row],[Total inns]]="","",LayTable[[#This Row],[Rlay]]/LayTable[[#This Row],[Total inns]]),"")</f>
        <v/>
      </c>
      <c r="Y147" s="48" t="str">
        <f>IFERROR(LayTable[[#This Row],[Faktisk res]]/LayTable[[#This Row],[Total inns]],"")</f>
        <v/>
      </c>
      <c r="Z147" s="47">
        <f>(LayTable[[#This Row],[BookieInnsats]]*LayTable[[#This Row],[BookieOdds]]-LayTable[[#This Row],[BookieInnsats]])*(1-LayTable[[#This Row],[C% Bookie]])</f>
        <v>0</v>
      </c>
      <c r="AA147" s="43">
        <f>LayTable[[#This Row],[LayInnsats]]*(1-LayTable[[#This Row],[C% Lay]])</f>
        <v>0</v>
      </c>
      <c r="AB147" s="43" t="str">
        <f>IFERROR(IF(LayTable[[#This Row],[Sport]]="",AB146,LayTable[[#This Row],[Faktisk res]]+AB146),"")</f>
        <v/>
      </c>
      <c r="AC147" s="43">
        <f>(LayTable[[#This Row],[BackWin-Commission]]+LayTable[[#This Row],[BookieInnsats]])</f>
        <v>0</v>
      </c>
      <c r="AD147" s="43" t="e">
        <f>(LayTable[[#This Row],[LayWin-Commission]])+LayTable[[#This Row],[LayLiability]]</f>
        <v>#VALUE!</v>
      </c>
      <c r="AE147" s="181"/>
      <c r="AF147" s="205"/>
    </row>
    <row r="148" spans="1:32">
      <c r="A148" s="84"/>
      <c r="B148" s="177"/>
      <c r="C148" s="40"/>
      <c r="D148" s="41"/>
      <c r="E148" s="40"/>
      <c r="F148" s="41"/>
      <c r="G148" s="183"/>
      <c r="H148" s="38"/>
      <c r="I148" s="42"/>
      <c r="J148" s="42"/>
      <c r="K148" s="43"/>
      <c r="L148" s="43"/>
      <c r="M148" s="44" t="str">
        <f>IF(LayTable[[#This Row],[Sport]]="","",LayTable[[#This Row],[LayInnsats]]*(LayTable[[#This Row],[LayOdds]]-1))</f>
        <v/>
      </c>
      <c r="N148" s="45" t="str">
        <f>IF(LayTable[[#This Row],[Sport]]="","",1/((1/LayTable[[#This Row],[BookieOdds]])+(1/((1/((1+((LayTable[[#This Row],[LayOdds]]-1)*(1+LayTable[[#This Row],[C% Lay]])))-1))+1)))-1)</f>
        <v/>
      </c>
      <c r="Q148" s="46" t="str">
        <f>IF(LayTable[[#This Row],[Sport]]="","",LayTable[[#This Row],[BookieInnsats]]+LayTable[[#This Row],[LayLiability]])</f>
        <v/>
      </c>
      <c r="R1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 s="47" t="str">
        <f>IF(LayTable[[#This Row],[Utfall bookie]]="","",LayTable[[#This Row],[WBABack]]+LayTable[[#This Row],[WBALay]]-LayTable[[#This Row],[Total inns]])</f>
        <v/>
      </c>
      <c r="U1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 s="48" t="str">
        <f>IFERROR(IF(LayTable[[#This Row],[Total inns]]="","",LayTable[[#This Row],[Rback]]/LayTable[[#This Row],[Total inns]]),"")</f>
        <v/>
      </c>
      <c r="X148" s="48" t="str">
        <f>IFERROR(IF(LayTable[[#This Row],[Total inns]]="","",LayTable[[#This Row],[Rlay]]/LayTable[[#This Row],[Total inns]]),"")</f>
        <v/>
      </c>
      <c r="Y148" s="48" t="str">
        <f>IFERROR(LayTable[[#This Row],[Faktisk res]]/LayTable[[#This Row],[Total inns]],"")</f>
        <v/>
      </c>
      <c r="Z148" s="47">
        <f>(LayTable[[#This Row],[BookieInnsats]]*LayTable[[#This Row],[BookieOdds]]-LayTable[[#This Row],[BookieInnsats]])*(1-LayTable[[#This Row],[C% Bookie]])</f>
        <v>0</v>
      </c>
      <c r="AA148" s="43">
        <f>LayTable[[#This Row],[LayInnsats]]*(1-LayTable[[#This Row],[C% Lay]])</f>
        <v>0</v>
      </c>
      <c r="AB148" s="43" t="str">
        <f>IFERROR(IF(LayTable[[#This Row],[Sport]]="",#REF!,LayTable[[#This Row],[Faktisk res]]+#REF!),"")</f>
        <v/>
      </c>
      <c r="AC148" s="43">
        <f>(LayTable[[#This Row],[BackWin-Commission]]+LayTable[[#This Row],[BookieInnsats]])</f>
        <v>0</v>
      </c>
      <c r="AD148" s="43" t="e">
        <f>(LayTable[[#This Row],[LayWin-Commission]])+LayTable[[#This Row],[LayLiability]]</f>
        <v>#VALUE!</v>
      </c>
      <c r="AE148" s="181"/>
      <c r="AF148" s="205"/>
    </row>
    <row r="149" spans="1:32">
      <c r="A149" s="84"/>
      <c r="B149" s="177"/>
      <c r="C149" s="40"/>
      <c r="D149" s="41"/>
      <c r="E149" s="40"/>
      <c r="F149" s="41"/>
      <c r="G149" s="183"/>
      <c r="H149" s="38"/>
      <c r="I149" s="42"/>
      <c r="J149" s="42"/>
      <c r="K149" s="43"/>
      <c r="L149" s="43"/>
      <c r="M149" s="44" t="str">
        <f>IF(LayTable[[#This Row],[Sport]]="","",LayTable[[#This Row],[LayInnsats]]*(LayTable[[#This Row],[LayOdds]]-1))</f>
        <v/>
      </c>
      <c r="N149" s="45" t="str">
        <f>IF(LayTable[[#This Row],[Sport]]="","",1/((1/LayTable[[#This Row],[BookieOdds]])+(1/((1/((1+((LayTable[[#This Row],[LayOdds]]-1)*(1+LayTable[[#This Row],[C% Lay]])))-1))+1)))-1)</f>
        <v/>
      </c>
      <c r="Q149" s="46" t="str">
        <f>IF(LayTable[[#This Row],[Sport]]="","",LayTable[[#This Row],[BookieInnsats]]+LayTable[[#This Row],[LayLiability]])</f>
        <v/>
      </c>
      <c r="R1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 s="47" t="str">
        <f>IF(LayTable[[#This Row],[Utfall bookie]]="","",LayTable[[#This Row],[WBABack]]+LayTable[[#This Row],[WBALay]]-LayTable[[#This Row],[Total inns]])</f>
        <v/>
      </c>
      <c r="U1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 s="48" t="str">
        <f>IFERROR(IF(LayTable[[#This Row],[Total inns]]="","",LayTable[[#This Row],[Rback]]/LayTable[[#This Row],[Total inns]]),"")</f>
        <v/>
      </c>
      <c r="X149" s="48" t="str">
        <f>IFERROR(IF(LayTable[[#This Row],[Total inns]]="","",LayTable[[#This Row],[Rlay]]/LayTable[[#This Row],[Total inns]]),"")</f>
        <v/>
      </c>
      <c r="Y149" s="48" t="str">
        <f>IFERROR(LayTable[[#This Row],[Faktisk res]]/LayTable[[#This Row],[Total inns]],"")</f>
        <v/>
      </c>
      <c r="Z149" s="47">
        <f>(LayTable[[#This Row],[BookieInnsats]]*LayTable[[#This Row],[BookieOdds]]-LayTable[[#This Row],[BookieInnsats]])*(1-LayTable[[#This Row],[C% Bookie]])</f>
        <v>0</v>
      </c>
      <c r="AA149" s="43">
        <f>LayTable[[#This Row],[LayInnsats]]*(1-LayTable[[#This Row],[C% Lay]])</f>
        <v>0</v>
      </c>
      <c r="AB149" s="43" t="str">
        <f>IFERROR(IF(LayTable[[#This Row],[Sport]]="",AB148,LayTable[[#This Row],[Faktisk res]]+AB148),"")</f>
        <v/>
      </c>
      <c r="AC149" s="43">
        <f>(LayTable[[#This Row],[BackWin-Commission]]+LayTable[[#This Row],[BookieInnsats]])</f>
        <v>0</v>
      </c>
      <c r="AD149" s="43" t="e">
        <f>(LayTable[[#This Row],[LayWin-Commission]])+LayTable[[#This Row],[LayLiability]]</f>
        <v>#VALUE!</v>
      </c>
      <c r="AE149" s="181"/>
      <c r="AF149" s="205"/>
    </row>
    <row r="150" spans="1:32">
      <c r="A150" s="84"/>
      <c r="B150" s="177"/>
      <c r="C150" s="40"/>
      <c r="D150" s="41"/>
      <c r="E150" s="40"/>
      <c r="F150" s="41"/>
      <c r="G150" s="183"/>
      <c r="H150" s="38"/>
      <c r="I150" s="42"/>
      <c r="J150" s="42"/>
      <c r="K150" s="43"/>
      <c r="L150" s="43"/>
      <c r="M150" s="44" t="str">
        <f>IF(LayTable[[#This Row],[Sport]]="","",LayTable[[#This Row],[LayInnsats]]*(LayTable[[#This Row],[LayOdds]]-1))</f>
        <v/>
      </c>
      <c r="N150" s="45" t="str">
        <f>IF(LayTable[[#This Row],[Sport]]="","",1/((1/LayTable[[#This Row],[BookieOdds]])+(1/((1/((1+((LayTable[[#This Row],[LayOdds]]-1)*(1+LayTable[[#This Row],[C% Lay]])))-1))+1)))-1)</f>
        <v/>
      </c>
      <c r="Q150" s="46" t="str">
        <f>IF(LayTable[[#This Row],[Sport]]="","",LayTable[[#This Row],[BookieInnsats]]+LayTable[[#This Row],[LayLiability]])</f>
        <v/>
      </c>
      <c r="R1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 s="47" t="str">
        <f>IF(LayTable[[#This Row],[Utfall bookie]]="","",LayTable[[#This Row],[WBABack]]+LayTable[[#This Row],[WBALay]]-LayTable[[#This Row],[Total inns]])</f>
        <v/>
      </c>
      <c r="U1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 s="48" t="str">
        <f>IFERROR(IF(LayTable[[#This Row],[Total inns]]="","",LayTable[[#This Row],[Rback]]/LayTable[[#This Row],[Total inns]]),"")</f>
        <v/>
      </c>
      <c r="X150" s="48" t="str">
        <f>IFERROR(IF(LayTable[[#This Row],[Total inns]]="","",LayTable[[#This Row],[Rlay]]/LayTable[[#This Row],[Total inns]]),"")</f>
        <v/>
      </c>
      <c r="Y150" s="48" t="str">
        <f>IFERROR(LayTable[[#This Row],[Faktisk res]]/LayTable[[#This Row],[Total inns]],"")</f>
        <v/>
      </c>
      <c r="Z150" s="47">
        <f>(LayTable[[#This Row],[BookieInnsats]]*LayTable[[#This Row],[BookieOdds]]-LayTable[[#This Row],[BookieInnsats]])*(1-LayTable[[#This Row],[C% Bookie]])</f>
        <v>0</v>
      </c>
      <c r="AA150" s="43">
        <f>LayTable[[#This Row],[LayInnsats]]*(1-LayTable[[#This Row],[C% Lay]])</f>
        <v>0</v>
      </c>
      <c r="AB150" s="43" t="str">
        <f>IFERROR(IF(LayTable[[#This Row],[Sport]]="",AB149,LayTable[[#This Row],[Faktisk res]]+AB149),"")</f>
        <v/>
      </c>
      <c r="AC150" s="43">
        <f>(LayTable[[#This Row],[BackWin-Commission]]+LayTable[[#This Row],[BookieInnsats]])</f>
        <v>0</v>
      </c>
      <c r="AD150" s="43" t="e">
        <f>(LayTable[[#This Row],[LayWin-Commission]])+LayTable[[#This Row],[LayLiability]]</f>
        <v>#VALUE!</v>
      </c>
      <c r="AE150" s="181"/>
      <c r="AF150" s="205"/>
    </row>
    <row r="151" spans="1:32">
      <c r="A151" s="183"/>
      <c r="B151" s="177"/>
      <c r="C151" s="40"/>
      <c r="D151" s="41"/>
      <c r="E151" s="40"/>
      <c r="F151" s="41"/>
      <c r="G151" s="183"/>
      <c r="H151" s="38"/>
      <c r="I151" s="42"/>
      <c r="J151" s="42"/>
      <c r="K151" s="43"/>
      <c r="L151" s="43"/>
      <c r="M151" s="44" t="str">
        <f>IF(LayTable[[#This Row],[Sport]]="","",LayTable[[#This Row],[LayInnsats]]*(LayTable[[#This Row],[LayOdds]]-1))</f>
        <v/>
      </c>
      <c r="N151" s="45" t="str">
        <f>IF(LayTable[[#This Row],[Sport]]="","",1/((1/LayTable[[#This Row],[BookieOdds]])+(1/((1/((1+((LayTable[[#This Row],[LayOdds]]-1)*(1+LayTable[[#This Row],[C% Lay]])))-1))+1)))-1)</f>
        <v/>
      </c>
      <c r="Q151" s="46" t="str">
        <f>IF(LayTable[[#This Row],[Sport]]="","",LayTable[[#This Row],[BookieInnsats]]+LayTable[[#This Row],[LayLiability]])</f>
        <v/>
      </c>
      <c r="R1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 s="47" t="str">
        <f>IF(LayTable[[#This Row],[Utfall bookie]]="","",LayTable[[#This Row],[WBABack]]+LayTable[[#This Row],[WBALay]]-LayTable[[#This Row],[Total inns]])</f>
        <v/>
      </c>
      <c r="U1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 s="48" t="str">
        <f>IFERROR(IF(LayTable[[#This Row],[Total inns]]="","",LayTable[[#This Row],[Rback]]/LayTable[[#This Row],[Total inns]]),"")</f>
        <v/>
      </c>
      <c r="X151" s="48" t="str">
        <f>IFERROR(IF(LayTable[[#This Row],[Total inns]]="","",LayTable[[#This Row],[Rlay]]/LayTable[[#This Row],[Total inns]]),"")</f>
        <v/>
      </c>
      <c r="Y151" s="48" t="str">
        <f>IFERROR(LayTable[[#This Row],[Faktisk res]]/LayTable[[#This Row],[Total inns]],"")</f>
        <v/>
      </c>
      <c r="Z151" s="47">
        <f>(LayTable[[#This Row],[BookieInnsats]]*LayTable[[#This Row],[BookieOdds]]-LayTable[[#This Row],[BookieInnsats]])*(1-LayTable[[#This Row],[C% Bookie]])</f>
        <v>0</v>
      </c>
      <c r="AA151" s="43">
        <f>LayTable[[#This Row],[LayInnsats]]*(1-LayTable[[#This Row],[C% Lay]])</f>
        <v>0</v>
      </c>
      <c r="AB151" s="43" t="str">
        <f>IFERROR(IF(LayTable[[#This Row],[Sport]]="",AB150,LayTable[[#This Row],[Faktisk res]]+AB150),"")</f>
        <v/>
      </c>
      <c r="AC151" s="43">
        <f>(LayTable[[#This Row],[BackWin-Commission]]+LayTable[[#This Row],[BookieInnsats]])</f>
        <v>0</v>
      </c>
      <c r="AD151" s="43" t="e">
        <f>(LayTable[[#This Row],[LayWin-Commission]])+LayTable[[#This Row],[LayLiability]]</f>
        <v>#VALUE!</v>
      </c>
      <c r="AE151" s="181"/>
      <c r="AF151" s="205"/>
    </row>
    <row r="152" spans="1:32">
      <c r="A152" s="183"/>
      <c r="B152" s="177"/>
      <c r="C152" s="178"/>
      <c r="D152" s="203"/>
      <c r="E152" s="178"/>
      <c r="F152" s="203"/>
      <c r="G152" s="183"/>
      <c r="H152" s="176"/>
      <c r="I152" s="204"/>
      <c r="J152" s="204"/>
      <c r="K152" s="205"/>
      <c r="L152" s="205"/>
      <c r="M152" s="44" t="str">
        <f>IF(LayTable[[#This Row],[Sport]]="","",LayTable[[#This Row],[LayInnsats]]*(LayTable[[#This Row],[LayOdds]]-1))</f>
        <v/>
      </c>
      <c r="N152" s="45" t="str">
        <f>IF(LayTable[[#This Row],[Sport]]="","",1/((1/LayTable[[#This Row],[BookieOdds]])+(1/((1/((1+((LayTable[[#This Row],[LayOdds]]-1)*(1+LayTable[[#This Row],[C% Lay]])))-1))+1)))-1)</f>
        <v/>
      </c>
      <c r="Q152" s="46" t="str">
        <f>IF(LayTable[[#This Row],[Sport]]="","",LayTable[[#This Row],[BookieInnsats]]+LayTable[[#This Row],[LayLiability]])</f>
        <v/>
      </c>
      <c r="R1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 s="47" t="str">
        <f>IF(LayTable[[#This Row],[Utfall bookie]]="","",LayTable[[#This Row],[WBABack]]+LayTable[[#This Row],[WBALay]]-LayTable[[#This Row],[Total inns]])</f>
        <v/>
      </c>
      <c r="U1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 s="48" t="str">
        <f>IFERROR(IF(LayTable[[#This Row],[Total inns]]="","",LayTable[[#This Row],[Rback]]/LayTable[[#This Row],[Total inns]]),"")</f>
        <v/>
      </c>
      <c r="X152" s="48" t="str">
        <f>IFERROR(IF(LayTable[[#This Row],[Total inns]]="","",LayTable[[#This Row],[Rlay]]/LayTable[[#This Row],[Total inns]]),"")</f>
        <v/>
      </c>
      <c r="Y152" s="48" t="str">
        <f>IFERROR(LayTable[[#This Row],[Faktisk res]]/LayTable[[#This Row],[Total inns]],"")</f>
        <v/>
      </c>
      <c r="Z152" s="47">
        <f>(LayTable[[#This Row],[BookieInnsats]]*LayTable[[#This Row],[BookieOdds]]-LayTable[[#This Row],[BookieInnsats]])*(1-LayTable[[#This Row],[C% Bookie]])</f>
        <v>0</v>
      </c>
      <c r="AA152" s="43">
        <f>LayTable[[#This Row],[LayInnsats]]*(1-LayTable[[#This Row],[C% Lay]])</f>
        <v>0</v>
      </c>
      <c r="AB152" s="43" t="str">
        <f>IFERROR(IF(LayTable[[#This Row],[Sport]]="",AB151,LayTable[[#This Row],[Faktisk res]]+AB151),"")</f>
        <v/>
      </c>
      <c r="AC152" s="43">
        <f>(LayTable[[#This Row],[BackWin-Commission]]+LayTable[[#This Row],[BookieInnsats]])</f>
        <v>0</v>
      </c>
      <c r="AD152" s="43" t="e">
        <f>(LayTable[[#This Row],[LayWin-Commission]])+LayTable[[#This Row],[LayLiability]]</f>
        <v>#VALUE!</v>
      </c>
      <c r="AE152" s="181"/>
      <c r="AF152" s="205"/>
    </row>
    <row r="153" spans="1:32">
      <c r="A153" s="183"/>
      <c r="B153" s="177"/>
      <c r="C153" s="40"/>
      <c r="D153" s="41"/>
      <c r="E153" s="40"/>
      <c r="F153" s="41"/>
      <c r="G153" s="183"/>
      <c r="H153" s="38"/>
      <c r="I153" s="42"/>
      <c r="J153" s="42"/>
      <c r="K153" s="43"/>
      <c r="L153" s="43"/>
      <c r="M153" s="44" t="str">
        <f>IF(LayTable[[#This Row],[Sport]]="","",LayTable[[#This Row],[LayInnsats]]*(LayTable[[#This Row],[LayOdds]]-1))</f>
        <v/>
      </c>
      <c r="N153" s="45" t="str">
        <f>IF(LayTable[[#This Row],[Sport]]="","",1/((1/LayTable[[#This Row],[BookieOdds]])+(1/((1/((1+((LayTable[[#This Row],[LayOdds]]-1)*(1+LayTable[[#This Row],[C% Lay]])))-1))+1)))-1)</f>
        <v/>
      </c>
      <c r="Q153" s="46" t="str">
        <f>IF(LayTable[[#This Row],[Sport]]="","",LayTable[[#This Row],[BookieInnsats]]+LayTable[[#This Row],[LayLiability]])</f>
        <v/>
      </c>
      <c r="R1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 s="47" t="str">
        <f>IF(LayTable[[#This Row],[Utfall bookie]]="","",LayTable[[#This Row],[WBABack]]+LayTable[[#This Row],[WBALay]]-LayTable[[#This Row],[Total inns]])</f>
        <v/>
      </c>
      <c r="U1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 s="48" t="str">
        <f>IFERROR(IF(LayTable[[#This Row],[Total inns]]="","",LayTable[[#This Row],[Rback]]/LayTable[[#This Row],[Total inns]]),"")</f>
        <v/>
      </c>
      <c r="X153" s="48" t="str">
        <f>IFERROR(IF(LayTable[[#This Row],[Total inns]]="","",LayTable[[#This Row],[Rlay]]/LayTable[[#This Row],[Total inns]]),"")</f>
        <v/>
      </c>
      <c r="Y153" s="48" t="str">
        <f>IFERROR(LayTable[[#This Row],[Faktisk res]]/LayTable[[#This Row],[Total inns]],"")</f>
        <v/>
      </c>
      <c r="Z153" s="47">
        <f>(LayTable[[#This Row],[BookieInnsats]]*LayTable[[#This Row],[BookieOdds]]-LayTable[[#This Row],[BookieInnsats]])*(1-LayTable[[#This Row],[C% Bookie]])</f>
        <v>0</v>
      </c>
      <c r="AA153" s="43">
        <f>LayTable[[#This Row],[LayInnsats]]*(1-LayTable[[#This Row],[C% Lay]])</f>
        <v>0</v>
      </c>
      <c r="AB153" s="43" t="str">
        <f>IFERROR(IF(LayTable[[#This Row],[Sport]]="",AB152,LayTable[[#This Row],[Faktisk res]]+AB152),"")</f>
        <v/>
      </c>
      <c r="AC153" s="43">
        <f>(LayTable[[#This Row],[BackWin-Commission]]+LayTable[[#This Row],[BookieInnsats]])</f>
        <v>0</v>
      </c>
      <c r="AD153" s="43" t="e">
        <f>(LayTable[[#This Row],[LayWin-Commission]])+LayTable[[#This Row],[LayLiability]]</f>
        <v>#VALUE!</v>
      </c>
      <c r="AE153" s="181"/>
      <c r="AF153" s="183"/>
    </row>
    <row r="154" spans="1:32">
      <c r="A154" s="183"/>
      <c r="B154" s="177"/>
      <c r="C154" s="40"/>
      <c r="D154" s="41"/>
      <c r="E154" s="40"/>
      <c r="F154" s="41"/>
      <c r="G154" s="183"/>
      <c r="H154" s="38"/>
      <c r="I154" s="42"/>
      <c r="J154" s="42"/>
      <c r="K154" s="43"/>
      <c r="L154" s="43"/>
      <c r="M154" s="44" t="str">
        <f>IF(LayTable[[#This Row],[Sport]]="","",LayTable[[#This Row],[LayInnsats]]*(LayTable[[#This Row],[LayOdds]]-1))</f>
        <v/>
      </c>
      <c r="N154" s="45" t="str">
        <f>IF(LayTable[[#This Row],[Sport]]="","",1/((1/LayTable[[#This Row],[BookieOdds]])+(1/((1/((1+((LayTable[[#This Row],[LayOdds]]-1)*(1+LayTable[[#This Row],[C% Lay]])))-1))+1)))-1)</f>
        <v/>
      </c>
      <c r="Q154" s="46" t="str">
        <f>IF(LayTable[[#This Row],[Sport]]="","",LayTable[[#This Row],[BookieInnsats]]+LayTable[[#This Row],[LayLiability]])</f>
        <v/>
      </c>
      <c r="R1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 s="47" t="str">
        <f>IF(LayTable[[#This Row],[Utfall bookie]]="","",LayTable[[#This Row],[WBABack]]+LayTable[[#This Row],[WBALay]]-LayTable[[#This Row],[Total inns]])</f>
        <v/>
      </c>
      <c r="U1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 s="48" t="str">
        <f>IFERROR(IF(LayTable[[#This Row],[Total inns]]="","",LayTable[[#This Row],[Rback]]/LayTable[[#This Row],[Total inns]]),"")</f>
        <v/>
      </c>
      <c r="X154" s="48" t="str">
        <f>IFERROR(IF(LayTable[[#This Row],[Total inns]]="","",LayTable[[#This Row],[Rlay]]/LayTable[[#This Row],[Total inns]]),"")</f>
        <v/>
      </c>
      <c r="Y154" s="48" t="str">
        <f>IFERROR(LayTable[[#This Row],[Faktisk res]]/LayTable[[#This Row],[Total inns]],"")</f>
        <v/>
      </c>
      <c r="Z154" s="47">
        <f>(LayTable[[#This Row],[BookieInnsats]]*LayTable[[#This Row],[BookieOdds]]-LayTable[[#This Row],[BookieInnsats]])*(1-LayTable[[#This Row],[C% Bookie]])</f>
        <v>0</v>
      </c>
      <c r="AA154" s="43">
        <f>LayTable[[#This Row],[LayInnsats]]*(1-LayTable[[#This Row],[C% Lay]])</f>
        <v>0</v>
      </c>
      <c r="AB154" s="43" t="str">
        <f>IFERROR(IF(LayTable[[#This Row],[Sport]]="",AB153,LayTable[[#This Row],[Faktisk res]]+AB153),"")</f>
        <v/>
      </c>
      <c r="AC154" s="43">
        <f>(LayTable[[#This Row],[BackWin-Commission]]+LayTable[[#This Row],[BookieInnsats]])</f>
        <v>0</v>
      </c>
      <c r="AD154" s="43" t="e">
        <f>(LayTable[[#This Row],[LayWin-Commission]])+LayTable[[#This Row],[LayLiability]]</f>
        <v>#VALUE!</v>
      </c>
      <c r="AE154" s="43"/>
      <c r="AF154" s="183"/>
    </row>
    <row r="155" spans="1:32">
      <c r="A155" s="183"/>
      <c r="B155" s="177"/>
      <c r="C155" s="40"/>
      <c r="D155" s="41"/>
      <c r="E155" s="40"/>
      <c r="F155" s="41"/>
      <c r="G155" s="183"/>
      <c r="H155" s="38"/>
      <c r="I155" s="42"/>
      <c r="J155" s="42"/>
      <c r="K155" s="43"/>
      <c r="L155" s="43"/>
      <c r="M155" s="44" t="str">
        <f>IF(LayTable[[#This Row],[Sport]]="","",LayTable[[#This Row],[LayInnsats]]*(LayTable[[#This Row],[LayOdds]]-1))</f>
        <v/>
      </c>
      <c r="N155" s="45" t="str">
        <f>IF(LayTable[[#This Row],[Sport]]="","",1/((1/LayTable[[#This Row],[BookieOdds]])+(1/((1/((1+((LayTable[[#This Row],[LayOdds]]-1)*(1+LayTable[[#This Row],[C% Lay]])))-1))+1)))-1)</f>
        <v/>
      </c>
      <c r="Q155" s="46" t="str">
        <f>IF(LayTable[[#This Row],[Sport]]="","",LayTable[[#This Row],[BookieInnsats]]+LayTable[[#This Row],[LayLiability]])</f>
        <v/>
      </c>
      <c r="R1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 s="47" t="str">
        <f>IF(LayTable[[#This Row],[Utfall bookie]]="","",LayTable[[#This Row],[WBABack]]+LayTable[[#This Row],[WBALay]]-LayTable[[#This Row],[Total inns]])</f>
        <v/>
      </c>
      <c r="U1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 s="48" t="str">
        <f>IFERROR(IF(LayTable[[#This Row],[Total inns]]="","",LayTable[[#This Row],[Rback]]/LayTable[[#This Row],[Total inns]]),"")</f>
        <v/>
      </c>
      <c r="X155" s="48" t="str">
        <f>IFERROR(IF(LayTable[[#This Row],[Total inns]]="","",LayTable[[#This Row],[Rlay]]/LayTable[[#This Row],[Total inns]]),"")</f>
        <v/>
      </c>
      <c r="Y155" s="48" t="str">
        <f>IFERROR(LayTable[[#This Row],[Faktisk res]]/LayTable[[#This Row],[Total inns]],"")</f>
        <v/>
      </c>
      <c r="Z155" s="47">
        <f>(LayTable[[#This Row],[BookieInnsats]]*LayTable[[#This Row],[BookieOdds]]-LayTable[[#This Row],[BookieInnsats]])*(1-LayTable[[#This Row],[C% Bookie]])</f>
        <v>0</v>
      </c>
      <c r="AA155" s="43">
        <f>LayTable[[#This Row],[LayInnsats]]*(1-LayTable[[#This Row],[C% Lay]])</f>
        <v>0</v>
      </c>
      <c r="AB155" s="43" t="str">
        <f>IFERROR(IF(LayTable[[#This Row],[Sport]]="",AB154,LayTable[[#This Row],[Faktisk res]]+AB154),"")</f>
        <v/>
      </c>
      <c r="AC155" s="43">
        <f>(LayTable[[#This Row],[BackWin-Commission]]+LayTable[[#This Row],[BookieInnsats]])</f>
        <v>0</v>
      </c>
      <c r="AD155" s="43" t="e">
        <f>(LayTable[[#This Row],[LayWin-Commission]])+LayTable[[#This Row],[LayLiability]]</f>
        <v>#VALUE!</v>
      </c>
      <c r="AE155" s="43"/>
      <c r="AF155" s="183"/>
    </row>
    <row r="156" spans="1:32">
      <c r="A156" s="183"/>
      <c r="B156" s="177"/>
      <c r="C156" s="40"/>
      <c r="D156" s="41"/>
      <c r="E156" s="40"/>
      <c r="F156" s="41"/>
      <c r="G156" s="183"/>
      <c r="H156" s="38"/>
      <c r="I156" s="42"/>
      <c r="J156" s="42"/>
      <c r="K156" s="43"/>
      <c r="L156" s="43"/>
      <c r="M156" s="44" t="str">
        <f>IF(LayTable[[#This Row],[Sport]]="","",LayTable[[#This Row],[LayInnsats]]*(LayTable[[#This Row],[LayOdds]]-1))</f>
        <v/>
      </c>
      <c r="N156" s="45" t="str">
        <f>IF(LayTable[[#This Row],[Sport]]="","",1/((1/LayTable[[#This Row],[BookieOdds]])+(1/((1/((1+((LayTable[[#This Row],[LayOdds]]-1)*(1+LayTable[[#This Row],[C% Lay]])))-1))+1)))-1)</f>
        <v/>
      </c>
      <c r="Q156" s="46" t="str">
        <f>IF(LayTable[[#This Row],[Sport]]="","",LayTable[[#This Row],[BookieInnsats]]+LayTable[[#This Row],[LayLiability]])</f>
        <v/>
      </c>
      <c r="R1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 s="47" t="str">
        <f>IF(LayTable[[#This Row],[Utfall bookie]]="","",LayTable[[#This Row],[WBABack]]+LayTable[[#This Row],[WBALay]]-LayTable[[#This Row],[Total inns]])</f>
        <v/>
      </c>
      <c r="U1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 s="48" t="str">
        <f>IFERROR(IF(LayTable[[#This Row],[Total inns]]="","",LayTable[[#This Row],[Rback]]/LayTable[[#This Row],[Total inns]]),"")</f>
        <v/>
      </c>
      <c r="X156" s="48" t="str">
        <f>IFERROR(IF(LayTable[[#This Row],[Total inns]]="","",LayTable[[#This Row],[Rlay]]/LayTable[[#This Row],[Total inns]]),"")</f>
        <v/>
      </c>
      <c r="Y156" s="48" t="str">
        <f>IFERROR(LayTable[[#This Row],[Faktisk res]]/LayTable[[#This Row],[Total inns]],"")</f>
        <v/>
      </c>
      <c r="Z156" s="47">
        <f>(LayTable[[#This Row],[BookieInnsats]]*LayTable[[#This Row],[BookieOdds]]-LayTable[[#This Row],[BookieInnsats]])*(1-LayTable[[#This Row],[C% Bookie]])</f>
        <v>0</v>
      </c>
      <c r="AA156" s="43">
        <f>LayTable[[#This Row],[LayInnsats]]*(1-LayTable[[#This Row],[C% Lay]])</f>
        <v>0</v>
      </c>
      <c r="AB156" s="43" t="str">
        <f>IFERROR(IF(LayTable[[#This Row],[Sport]]="",AB155,LayTable[[#This Row],[Faktisk res]]+AB155),"")</f>
        <v/>
      </c>
      <c r="AC156" s="43">
        <f>(LayTable[[#This Row],[BackWin-Commission]]+LayTable[[#This Row],[BookieInnsats]])</f>
        <v>0</v>
      </c>
      <c r="AD156" s="43" t="e">
        <f>(LayTable[[#This Row],[LayWin-Commission]])+LayTable[[#This Row],[LayLiability]]</f>
        <v>#VALUE!</v>
      </c>
      <c r="AE156" s="43"/>
      <c r="AF156" s="183"/>
    </row>
    <row r="157" spans="1:32">
      <c r="A157" s="183"/>
      <c r="B157" s="177"/>
      <c r="C157" s="40"/>
      <c r="D157" s="41"/>
      <c r="E157" s="40"/>
      <c r="F157" s="41"/>
      <c r="G157" s="183"/>
      <c r="H157" s="38"/>
      <c r="I157" s="42"/>
      <c r="J157" s="42"/>
      <c r="K157" s="43"/>
      <c r="L157" s="43"/>
      <c r="M157" s="44" t="str">
        <f>IF(LayTable[[#This Row],[Sport]]="","",LayTable[[#This Row],[LayInnsats]]*(LayTable[[#This Row],[LayOdds]]-1))</f>
        <v/>
      </c>
      <c r="N157" s="45" t="str">
        <f>IF(LayTable[[#This Row],[Sport]]="","",1/((1/LayTable[[#This Row],[BookieOdds]])+(1/((1/((1+((LayTable[[#This Row],[LayOdds]]-1)*(1+LayTable[[#This Row],[C% Lay]])))-1))+1)))-1)</f>
        <v/>
      </c>
      <c r="Q157" s="46" t="str">
        <f>IF(LayTable[[#This Row],[Sport]]="","",LayTable[[#This Row],[BookieInnsats]]+LayTable[[#This Row],[LayLiability]])</f>
        <v/>
      </c>
      <c r="R1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 s="47" t="str">
        <f>IF(LayTable[[#This Row],[Utfall bookie]]="","",LayTable[[#This Row],[WBABack]]+LayTable[[#This Row],[WBALay]]-LayTable[[#This Row],[Total inns]])</f>
        <v/>
      </c>
      <c r="U1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 s="48" t="str">
        <f>IFERROR(IF(LayTable[[#This Row],[Total inns]]="","",LayTable[[#This Row],[Rback]]/LayTable[[#This Row],[Total inns]]),"")</f>
        <v/>
      </c>
      <c r="X157" s="48" t="str">
        <f>IFERROR(IF(LayTable[[#This Row],[Total inns]]="","",LayTable[[#This Row],[Rlay]]/LayTable[[#This Row],[Total inns]]),"")</f>
        <v/>
      </c>
      <c r="Y157" s="48" t="str">
        <f>IFERROR(LayTable[[#This Row],[Faktisk res]]/LayTable[[#This Row],[Total inns]],"")</f>
        <v/>
      </c>
      <c r="Z157" s="47">
        <f>(LayTable[[#This Row],[BookieInnsats]]*LayTable[[#This Row],[BookieOdds]]-LayTable[[#This Row],[BookieInnsats]])*(1-LayTable[[#This Row],[C% Bookie]])</f>
        <v>0</v>
      </c>
      <c r="AA157" s="43">
        <f>LayTable[[#This Row],[LayInnsats]]*(1-LayTable[[#This Row],[C% Lay]])</f>
        <v>0</v>
      </c>
      <c r="AB157" s="43" t="str">
        <f>IFERROR(IF(LayTable[[#This Row],[Sport]]="",AB156,LayTable[[#This Row],[Faktisk res]]+AB156),"")</f>
        <v/>
      </c>
      <c r="AC157" s="43">
        <f>(LayTable[[#This Row],[BackWin-Commission]]+LayTable[[#This Row],[BookieInnsats]])</f>
        <v>0</v>
      </c>
      <c r="AD157" s="43" t="e">
        <f>(LayTable[[#This Row],[LayWin-Commission]])+LayTable[[#This Row],[LayLiability]]</f>
        <v>#VALUE!</v>
      </c>
      <c r="AE157" s="43"/>
      <c r="AF157" s="183"/>
    </row>
    <row r="158" spans="1:32">
      <c r="A158" s="183"/>
      <c r="B158" s="177"/>
      <c r="C158" s="40"/>
      <c r="D158" s="41"/>
      <c r="E158" s="40"/>
      <c r="F158" s="41"/>
      <c r="G158" s="183"/>
      <c r="H158" s="38"/>
      <c r="I158" s="42"/>
      <c r="J158" s="42"/>
      <c r="K158" s="43"/>
      <c r="L158" s="43"/>
      <c r="M158" s="44" t="str">
        <f>IF(LayTable[[#This Row],[Sport]]="","",LayTable[[#This Row],[LayInnsats]]*(LayTable[[#This Row],[LayOdds]]-1))</f>
        <v/>
      </c>
      <c r="N158" s="45" t="str">
        <f>IF(LayTable[[#This Row],[Sport]]="","",1/((1/LayTable[[#This Row],[BookieOdds]])+(1/((1/((1+((LayTable[[#This Row],[LayOdds]]-1)*(1+LayTable[[#This Row],[C% Lay]])))-1))+1)))-1)</f>
        <v/>
      </c>
      <c r="Q158" s="46" t="str">
        <f>IF(LayTable[[#This Row],[Sport]]="","",LayTable[[#This Row],[BookieInnsats]]+LayTable[[#This Row],[LayLiability]])</f>
        <v/>
      </c>
      <c r="R1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 s="47" t="str">
        <f>IF(LayTable[[#This Row],[Utfall bookie]]="","",LayTable[[#This Row],[WBABack]]+LayTable[[#This Row],[WBALay]]-LayTable[[#This Row],[Total inns]])</f>
        <v/>
      </c>
      <c r="U1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 s="48" t="str">
        <f>IFERROR(IF(LayTable[[#This Row],[Total inns]]="","",LayTable[[#This Row],[Rback]]/LayTable[[#This Row],[Total inns]]),"")</f>
        <v/>
      </c>
      <c r="X158" s="48" t="str">
        <f>IFERROR(IF(LayTable[[#This Row],[Total inns]]="","",LayTable[[#This Row],[Rlay]]/LayTable[[#This Row],[Total inns]]),"")</f>
        <v/>
      </c>
      <c r="Y158" s="48" t="str">
        <f>IFERROR(LayTable[[#This Row],[Faktisk res]]/LayTable[[#This Row],[Total inns]],"")</f>
        <v/>
      </c>
      <c r="Z158" s="47">
        <f>(LayTable[[#This Row],[BookieInnsats]]*LayTable[[#This Row],[BookieOdds]]-LayTable[[#This Row],[BookieInnsats]])*(1-LayTable[[#This Row],[C% Bookie]])</f>
        <v>0</v>
      </c>
      <c r="AA158" s="43">
        <f>LayTable[[#This Row],[LayInnsats]]*(1-LayTable[[#This Row],[C% Lay]])</f>
        <v>0</v>
      </c>
      <c r="AB158" s="43" t="str">
        <f>IFERROR(IF(LayTable[[#This Row],[Sport]]="",AB157,LayTable[[#This Row],[Faktisk res]]+AB157),"")</f>
        <v/>
      </c>
      <c r="AC158" s="43">
        <f>(LayTable[[#This Row],[BackWin-Commission]]+LayTable[[#This Row],[BookieInnsats]])</f>
        <v>0</v>
      </c>
      <c r="AD158" s="43" t="e">
        <f>(LayTable[[#This Row],[LayWin-Commission]])+LayTable[[#This Row],[LayLiability]]</f>
        <v>#VALUE!</v>
      </c>
      <c r="AE158" s="43"/>
      <c r="AF158" s="183"/>
    </row>
    <row r="159" spans="1:32">
      <c r="A159" s="183"/>
      <c r="B159" s="177"/>
      <c r="C159" s="40"/>
      <c r="D159" s="41"/>
      <c r="E159" s="40"/>
      <c r="F159" s="41"/>
      <c r="G159" s="183"/>
      <c r="H159" s="38"/>
      <c r="I159" s="42"/>
      <c r="J159" s="42"/>
      <c r="K159" s="43"/>
      <c r="L159" s="43"/>
      <c r="M159" s="44" t="str">
        <f>IF(LayTable[[#This Row],[Sport]]="","",LayTable[[#This Row],[LayInnsats]]*(LayTable[[#This Row],[LayOdds]]-1))</f>
        <v/>
      </c>
      <c r="N159" s="45" t="str">
        <f>IF(LayTable[[#This Row],[Sport]]="","",1/((1/LayTable[[#This Row],[BookieOdds]])+(1/((1/((1+((LayTable[[#This Row],[LayOdds]]-1)*(1+LayTable[[#This Row],[C% Lay]])))-1))+1)))-1)</f>
        <v/>
      </c>
      <c r="Q159" s="46" t="str">
        <f>IF(LayTable[[#This Row],[Sport]]="","",LayTable[[#This Row],[BookieInnsats]]+LayTable[[#This Row],[LayLiability]])</f>
        <v/>
      </c>
      <c r="R1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 s="47" t="str">
        <f>IF(LayTable[[#This Row],[Utfall bookie]]="","",LayTable[[#This Row],[WBABack]]+LayTable[[#This Row],[WBALay]]-LayTable[[#This Row],[Total inns]])</f>
        <v/>
      </c>
      <c r="U1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 s="48" t="str">
        <f>IFERROR(IF(LayTable[[#This Row],[Total inns]]="","",LayTable[[#This Row],[Rback]]/LayTable[[#This Row],[Total inns]]),"")</f>
        <v/>
      </c>
      <c r="X159" s="48" t="str">
        <f>IFERROR(IF(LayTable[[#This Row],[Total inns]]="","",LayTable[[#This Row],[Rlay]]/LayTable[[#This Row],[Total inns]]),"")</f>
        <v/>
      </c>
      <c r="Y159" s="48" t="str">
        <f>IFERROR(LayTable[[#This Row],[Faktisk res]]/LayTable[[#This Row],[Total inns]],"")</f>
        <v/>
      </c>
      <c r="Z159" s="47">
        <f>(LayTable[[#This Row],[BookieInnsats]]*LayTable[[#This Row],[BookieOdds]]-LayTable[[#This Row],[BookieInnsats]])*(1-LayTable[[#This Row],[C% Bookie]])</f>
        <v>0</v>
      </c>
      <c r="AA159" s="43">
        <f>LayTable[[#This Row],[LayInnsats]]*(1-LayTable[[#This Row],[C% Lay]])</f>
        <v>0</v>
      </c>
      <c r="AB159" s="43" t="str">
        <f>IFERROR(IF(LayTable[[#This Row],[Sport]]="",AB158,LayTable[[#This Row],[Faktisk res]]+AB158),"")</f>
        <v/>
      </c>
      <c r="AC159" s="43">
        <f>(LayTable[[#This Row],[BackWin-Commission]]+LayTable[[#This Row],[BookieInnsats]])</f>
        <v>0</v>
      </c>
      <c r="AD159" s="43" t="e">
        <f>(LayTable[[#This Row],[LayWin-Commission]])+LayTable[[#This Row],[LayLiability]]</f>
        <v>#VALUE!</v>
      </c>
      <c r="AE159" s="43"/>
      <c r="AF159" s="183"/>
    </row>
    <row r="160" spans="1:32">
      <c r="A160" s="183"/>
      <c r="B160" s="177"/>
      <c r="C160" s="178"/>
      <c r="D160" s="179"/>
      <c r="E160" s="178"/>
      <c r="F160" s="179"/>
      <c r="G160" s="183"/>
      <c r="H160" s="176"/>
      <c r="I160" s="180"/>
      <c r="J160" s="180"/>
      <c r="K160" s="43"/>
      <c r="L160" s="43"/>
      <c r="M160" s="44" t="str">
        <f>IF(LayTable[[#This Row],[Sport]]="","",LayTable[[#This Row],[LayInnsats]]*(LayTable[[#This Row],[LayOdds]]-1))</f>
        <v/>
      </c>
      <c r="N160" s="45" t="str">
        <f>IF(LayTable[[#This Row],[Sport]]="","",1/((1/LayTable[[#This Row],[BookieOdds]])+(1/((1/((1+((LayTable[[#This Row],[LayOdds]]-1)*(1+LayTable[[#This Row],[C% Lay]])))-1))+1)))-1)</f>
        <v/>
      </c>
      <c r="Q160" s="46" t="str">
        <f>IF(LayTable[[#This Row],[Sport]]="","",LayTable[[#This Row],[BookieInnsats]]+LayTable[[#This Row],[LayLiability]])</f>
        <v/>
      </c>
      <c r="R1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 s="47" t="str">
        <f>IF(LayTable[[#This Row],[Utfall bookie]]="","",LayTable[[#This Row],[WBABack]]+LayTable[[#This Row],[WBALay]]-LayTable[[#This Row],[Total inns]])</f>
        <v/>
      </c>
      <c r="U1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 s="48" t="str">
        <f>IFERROR(IF(LayTable[[#This Row],[Total inns]]="","",LayTable[[#This Row],[Rback]]/LayTable[[#This Row],[Total inns]]),"")</f>
        <v/>
      </c>
      <c r="X160" s="48" t="str">
        <f>IFERROR(IF(LayTable[[#This Row],[Total inns]]="","",LayTable[[#This Row],[Rlay]]/LayTable[[#This Row],[Total inns]]),"")</f>
        <v/>
      </c>
      <c r="Y160" s="48" t="str">
        <f>IFERROR(LayTable[[#This Row],[Faktisk res]]/LayTable[[#This Row],[Total inns]],"")</f>
        <v/>
      </c>
      <c r="Z160" s="47">
        <f>(LayTable[[#This Row],[BookieInnsats]]*LayTable[[#This Row],[BookieOdds]]-LayTable[[#This Row],[BookieInnsats]])*(1-LayTable[[#This Row],[C% Bookie]])</f>
        <v>0</v>
      </c>
      <c r="AA160" s="43">
        <f>LayTable[[#This Row],[LayInnsats]]*(1-LayTable[[#This Row],[C% Lay]])</f>
        <v>0</v>
      </c>
      <c r="AB160" s="43" t="str">
        <f>IFERROR(IF(LayTable[[#This Row],[Sport]]="",AB159,LayTable[[#This Row],[Faktisk res]]+AB159),"")</f>
        <v/>
      </c>
      <c r="AC160" s="43">
        <f>(LayTable[[#This Row],[BackWin-Commission]]+LayTable[[#This Row],[BookieInnsats]])</f>
        <v>0</v>
      </c>
      <c r="AD160" s="43" t="e">
        <f>(LayTable[[#This Row],[LayWin-Commission]])+LayTable[[#This Row],[LayLiability]]</f>
        <v>#VALUE!</v>
      </c>
      <c r="AE160" s="43"/>
      <c r="AF160" s="183"/>
    </row>
    <row r="161" spans="1:32">
      <c r="A161" s="183"/>
      <c r="B161" s="177"/>
      <c r="C161" s="40"/>
      <c r="D161" s="41"/>
      <c r="E161" s="40"/>
      <c r="F161" s="41"/>
      <c r="G161" s="183"/>
      <c r="H161" s="38"/>
      <c r="I161" s="42"/>
      <c r="J161" s="42"/>
      <c r="K161" s="43"/>
      <c r="L161" s="43"/>
      <c r="M161" s="44" t="str">
        <f>IF(LayTable[[#This Row],[Sport]]="","",LayTable[[#This Row],[LayInnsats]]*(LayTable[[#This Row],[LayOdds]]-1))</f>
        <v/>
      </c>
      <c r="N161" s="45" t="str">
        <f>IF(LayTable[[#This Row],[Sport]]="","",1/((1/LayTable[[#This Row],[BookieOdds]])+(1/((1/((1+((LayTable[[#This Row],[LayOdds]]-1)*(1+LayTable[[#This Row],[C% Lay]])))-1))+1)))-1)</f>
        <v/>
      </c>
      <c r="Q161" s="46" t="str">
        <f>IF(LayTable[[#This Row],[Sport]]="","",LayTable[[#This Row],[BookieInnsats]]+LayTable[[#This Row],[LayLiability]])</f>
        <v/>
      </c>
      <c r="R1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 s="47" t="str">
        <f>IF(LayTable[[#This Row],[Utfall bookie]]="","",LayTable[[#This Row],[WBABack]]+LayTable[[#This Row],[WBALay]]-LayTable[[#This Row],[Total inns]])</f>
        <v/>
      </c>
      <c r="U1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 s="48" t="str">
        <f>IFERROR(IF(LayTable[[#This Row],[Total inns]]="","",LayTable[[#This Row],[Rback]]/LayTable[[#This Row],[Total inns]]),"")</f>
        <v/>
      </c>
      <c r="X161" s="48" t="str">
        <f>IFERROR(IF(LayTable[[#This Row],[Total inns]]="","",LayTable[[#This Row],[Rlay]]/LayTable[[#This Row],[Total inns]]),"")</f>
        <v/>
      </c>
      <c r="Y161" s="48" t="str">
        <f>IFERROR(LayTable[[#This Row],[Faktisk res]]/LayTable[[#This Row],[Total inns]],"")</f>
        <v/>
      </c>
      <c r="Z161" s="47">
        <f>(LayTable[[#This Row],[BookieInnsats]]*LayTable[[#This Row],[BookieOdds]]-LayTable[[#This Row],[BookieInnsats]])*(1-LayTable[[#This Row],[C% Bookie]])</f>
        <v>0</v>
      </c>
      <c r="AA161" s="43">
        <f>LayTable[[#This Row],[LayInnsats]]*(1-LayTable[[#This Row],[C% Lay]])</f>
        <v>0</v>
      </c>
      <c r="AB161" s="43" t="str">
        <f>IFERROR(IF(LayTable[[#This Row],[Sport]]="",AB160,LayTable[[#This Row],[Faktisk res]]+AB160),"")</f>
        <v/>
      </c>
      <c r="AC161" s="43">
        <f>(LayTable[[#This Row],[BackWin-Commission]]+LayTable[[#This Row],[BookieInnsats]])</f>
        <v>0</v>
      </c>
      <c r="AD161" s="43" t="e">
        <f>(LayTable[[#This Row],[LayWin-Commission]])+LayTable[[#This Row],[LayLiability]]</f>
        <v>#VALUE!</v>
      </c>
      <c r="AE161" s="43"/>
      <c r="AF161" s="183"/>
    </row>
    <row r="162" spans="1:32">
      <c r="A162" s="183"/>
      <c r="B162" s="177"/>
      <c r="C162" s="40"/>
      <c r="D162" s="41"/>
      <c r="E162" s="40"/>
      <c r="F162" s="41"/>
      <c r="G162" s="183"/>
      <c r="H162" s="38"/>
      <c r="I162" s="42"/>
      <c r="J162" s="42"/>
      <c r="K162" s="43"/>
      <c r="L162" s="43"/>
      <c r="M162" s="44" t="str">
        <f>IF(LayTable[[#This Row],[Sport]]="","",LayTable[[#This Row],[LayInnsats]]*(LayTable[[#This Row],[LayOdds]]-1))</f>
        <v/>
      </c>
      <c r="N162" s="45" t="str">
        <f>IF(LayTable[[#This Row],[Sport]]="","",1/((1/LayTable[[#This Row],[BookieOdds]])+(1/((1/((1+((LayTable[[#This Row],[LayOdds]]-1)*(1+LayTable[[#This Row],[C% Lay]])))-1))+1)))-1)</f>
        <v/>
      </c>
      <c r="Q162" s="46" t="str">
        <f>IF(LayTable[[#This Row],[Sport]]="","",LayTable[[#This Row],[BookieInnsats]]+LayTable[[#This Row],[LayLiability]])</f>
        <v/>
      </c>
      <c r="R1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 s="47" t="str">
        <f>IF(LayTable[[#This Row],[Utfall bookie]]="","",LayTable[[#This Row],[WBABack]]+LayTable[[#This Row],[WBALay]]-LayTable[[#This Row],[Total inns]])</f>
        <v/>
      </c>
      <c r="U1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 s="48" t="str">
        <f>IFERROR(IF(LayTable[[#This Row],[Total inns]]="","",LayTable[[#This Row],[Rback]]/LayTable[[#This Row],[Total inns]]),"")</f>
        <v/>
      </c>
      <c r="X162" s="48" t="str">
        <f>IFERROR(IF(LayTable[[#This Row],[Total inns]]="","",LayTable[[#This Row],[Rlay]]/LayTable[[#This Row],[Total inns]]),"")</f>
        <v/>
      </c>
      <c r="Y162" s="48" t="str">
        <f>IFERROR(LayTable[[#This Row],[Faktisk res]]/LayTable[[#This Row],[Total inns]],"")</f>
        <v/>
      </c>
      <c r="Z162" s="47">
        <f>(LayTable[[#This Row],[BookieInnsats]]*LayTable[[#This Row],[BookieOdds]]-LayTable[[#This Row],[BookieInnsats]])*(1-LayTable[[#This Row],[C% Bookie]])</f>
        <v>0</v>
      </c>
      <c r="AA162" s="43">
        <f>LayTable[[#This Row],[LayInnsats]]*(1-LayTable[[#This Row],[C% Lay]])</f>
        <v>0</v>
      </c>
      <c r="AB162" s="43" t="str">
        <f>IFERROR(IF(LayTable[[#This Row],[Sport]]="",AB161,LayTable[[#This Row],[Faktisk res]]+AB161),"")</f>
        <v/>
      </c>
      <c r="AC162" s="43">
        <f>(LayTable[[#This Row],[BackWin-Commission]]+LayTable[[#This Row],[BookieInnsats]])</f>
        <v>0</v>
      </c>
      <c r="AD162" s="43" t="e">
        <f>(LayTable[[#This Row],[LayWin-Commission]])+LayTable[[#This Row],[LayLiability]]</f>
        <v>#VALUE!</v>
      </c>
      <c r="AE162" s="205"/>
      <c r="AF162" s="183"/>
    </row>
    <row r="163" spans="1:32">
      <c r="A163" s="183"/>
      <c r="B163" s="177"/>
      <c r="C163" s="178"/>
      <c r="D163" s="179"/>
      <c r="E163" s="178"/>
      <c r="F163" s="179"/>
      <c r="G163" s="183"/>
      <c r="H163" s="38"/>
      <c r="I163" s="42"/>
      <c r="J163" s="42"/>
      <c r="K163" s="43"/>
      <c r="L163" s="43"/>
      <c r="M163" s="44" t="str">
        <f>IF(LayTable[[#This Row],[Sport]]="","",LayTable[[#This Row],[LayInnsats]]*(LayTable[[#This Row],[LayOdds]]-1))</f>
        <v/>
      </c>
      <c r="N163" s="45" t="str">
        <f>IF(LayTable[[#This Row],[Sport]]="","",1/((1/LayTable[[#This Row],[BookieOdds]])+(1/((1/((1+((LayTable[[#This Row],[LayOdds]]-1)*(1+LayTable[[#This Row],[C% Lay]])))-1))+1)))-1)</f>
        <v/>
      </c>
      <c r="Q163" s="46" t="str">
        <f>IF(LayTable[[#This Row],[Sport]]="","",LayTable[[#This Row],[BookieInnsats]]+LayTable[[#This Row],[LayLiability]])</f>
        <v/>
      </c>
      <c r="R1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 s="47" t="str">
        <f>IF(LayTable[[#This Row],[Utfall bookie]]="","",LayTable[[#This Row],[WBABack]]+LayTable[[#This Row],[WBALay]]-LayTable[[#This Row],[Total inns]])</f>
        <v/>
      </c>
      <c r="U1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 s="48" t="str">
        <f>IFERROR(IF(LayTable[[#This Row],[Total inns]]="","",LayTable[[#This Row],[Rback]]/LayTable[[#This Row],[Total inns]]),"")</f>
        <v/>
      </c>
      <c r="X163" s="48" t="str">
        <f>IFERROR(IF(LayTable[[#This Row],[Total inns]]="","",LayTable[[#This Row],[Rlay]]/LayTable[[#This Row],[Total inns]]),"")</f>
        <v/>
      </c>
      <c r="Y163" s="48" t="str">
        <f>IFERROR(LayTable[[#This Row],[Faktisk res]]/LayTable[[#This Row],[Total inns]],"")</f>
        <v/>
      </c>
      <c r="Z163" s="47">
        <f>(LayTable[[#This Row],[BookieInnsats]]*LayTable[[#This Row],[BookieOdds]]-LayTable[[#This Row],[BookieInnsats]])*(1-LayTable[[#This Row],[C% Bookie]])</f>
        <v>0</v>
      </c>
      <c r="AA163" s="43">
        <f>LayTable[[#This Row],[LayInnsats]]*(1-LayTable[[#This Row],[C% Lay]])</f>
        <v>0</v>
      </c>
      <c r="AB163" s="43" t="str">
        <f>IFERROR(IF(LayTable[[#This Row],[Sport]]="",AB162,LayTable[[#This Row],[Faktisk res]]+AB162),"")</f>
        <v/>
      </c>
      <c r="AC163" s="43">
        <f>(LayTable[[#This Row],[BackWin-Commission]]+LayTable[[#This Row],[BookieInnsats]])</f>
        <v>0</v>
      </c>
      <c r="AD163" s="43" t="e">
        <f>(LayTable[[#This Row],[LayWin-Commission]])+LayTable[[#This Row],[LayLiability]]</f>
        <v>#VALUE!</v>
      </c>
      <c r="AE163" s="43"/>
      <c r="AF163" s="183"/>
    </row>
    <row r="164" spans="1:32">
      <c r="A164" s="183"/>
      <c r="B164" s="177"/>
      <c r="C164" s="40"/>
      <c r="D164" s="41"/>
      <c r="E164" s="40"/>
      <c r="F164" s="41"/>
      <c r="G164" s="183"/>
      <c r="H164" s="38"/>
      <c r="I164" s="42"/>
      <c r="J164" s="42"/>
      <c r="K164" s="43"/>
      <c r="L164" s="43"/>
      <c r="M164" s="44" t="str">
        <f>IF(LayTable[[#This Row],[Sport]]="","",LayTable[[#This Row],[LayInnsats]]*(LayTable[[#This Row],[LayOdds]]-1))</f>
        <v/>
      </c>
      <c r="N164" s="45" t="str">
        <f>IF(LayTable[[#This Row],[Sport]]="","",1/((1/LayTable[[#This Row],[BookieOdds]])+(1/((1/((1+((LayTable[[#This Row],[LayOdds]]-1)*(1+LayTable[[#This Row],[C% Lay]])))-1))+1)))-1)</f>
        <v/>
      </c>
      <c r="Q164" s="46" t="str">
        <f>IF(LayTable[[#This Row],[Sport]]="","",LayTable[[#This Row],[BookieInnsats]]+LayTable[[#This Row],[LayLiability]])</f>
        <v/>
      </c>
      <c r="R1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 s="47" t="str">
        <f>IF(LayTable[[#This Row],[Utfall bookie]]="","",LayTable[[#This Row],[WBABack]]+LayTable[[#This Row],[WBALay]]-LayTable[[#This Row],[Total inns]])</f>
        <v/>
      </c>
      <c r="U1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 s="48" t="str">
        <f>IFERROR(IF(LayTable[[#This Row],[Total inns]]="","",LayTable[[#This Row],[Rback]]/LayTable[[#This Row],[Total inns]]),"")</f>
        <v/>
      </c>
      <c r="X164" s="48" t="str">
        <f>IFERROR(IF(LayTable[[#This Row],[Total inns]]="","",LayTable[[#This Row],[Rlay]]/LayTable[[#This Row],[Total inns]]),"")</f>
        <v/>
      </c>
      <c r="Y164" s="48" t="str">
        <f>IFERROR(LayTable[[#This Row],[Faktisk res]]/LayTable[[#This Row],[Total inns]],"")</f>
        <v/>
      </c>
      <c r="Z164" s="47">
        <f>(LayTable[[#This Row],[BookieInnsats]]*LayTable[[#This Row],[BookieOdds]]-LayTable[[#This Row],[BookieInnsats]])*(1-LayTable[[#This Row],[C% Bookie]])</f>
        <v>0</v>
      </c>
      <c r="AA164" s="43">
        <f>LayTable[[#This Row],[LayInnsats]]*(1-LayTable[[#This Row],[C% Lay]])</f>
        <v>0</v>
      </c>
      <c r="AB164" s="43" t="str">
        <f>IFERROR(IF(LayTable[[#This Row],[Sport]]="",AB163,LayTable[[#This Row],[Faktisk res]]+AB163),"")</f>
        <v/>
      </c>
      <c r="AC164" s="43">
        <f>(LayTable[[#This Row],[BackWin-Commission]]+LayTable[[#This Row],[BookieInnsats]])</f>
        <v>0</v>
      </c>
      <c r="AD164" s="43" t="e">
        <f>(LayTable[[#This Row],[LayWin-Commission]])+LayTable[[#This Row],[LayLiability]]</f>
        <v>#VALUE!</v>
      </c>
      <c r="AE164" s="43"/>
      <c r="AF164" s="183"/>
    </row>
    <row r="165" spans="1:32">
      <c r="A165" s="183"/>
      <c r="B165" s="177"/>
      <c r="C165" s="40"/>
      <c r="D165" s="41"/>
      <c r="E165" s="178"/>
      <c r="F165" s="179"/>
      <c r="G165" s="183"/>
      <c r="H165" s="176"/>
      <c r="I165" s="180"/>
      <c r="J165" s="180"/>
      <c r="K165" s="43"/>
      <c r="L165" s="43"/>
      <c r="M165" s="44" t="str">
        <f>IF(LayTable[[#This Row],[Sport]]="","",LayTable[[#This Row],[LayInnsats]]*(LayTable[[#This Row],[LayOdds]]-1))</f>
        <v/>
      </c>
      <c r="N165" s="45" t="str">
        <f>IF(LayTable[[#This Row],[Sport]]="","",1/((1/LayTable[[#This Row],[BookieOdds]])+(1/((1/((1+((LayTable[[#This Row],[LayOdds]]-1)*(1+LayTable[[#This Row],[C% Lay]])))-1))+1)))-1)</f>
        <v/>
      </c>
      <c r="Q165" s="46" t="str">
        <f>IF(LayTable[[#This Row],[Sport]]="","",LayTable[[#This Row],[BookieInnsats]]+LayTable[[#This Row],[LayLiability]])</f>
        <v/>
      </c>
      <c r="R1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 s="47" t="str">
        <f>IF(LayTable[[#This Row],[Utfall bookie]]="","",LayTable[[#This Row],[WBABack]]+LayTable[[#This Row],[WBALay]]-LayTable[[#This Row],[Total inns]])</f>
        <v/>
      </c>
      <c r="U1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 s="48" t="str">
        <f>IFERROR(IF(LayTable[[#This Row],[Total inns]]="","",LayTable[[#This Row],[Rback]]/LayTable[[#This Row],[Total inns]]),"")</f>
        <v/>
      </c>
      <c r="X165" s="48" t="str">
        <f>IFERROR(IF(LayTable[[#This Row],[Total inns]]="","",LayTable[[#This Row],[Rlay]]/LayTable[[#This Row],[Total inns]]),"")</f>
        <v/>
      </c>
      <c r="Y165" s="48" t="str">
        <f>IFERROR(LayTable[[#This Row],[Faktisk res]]/LayTable[[#This Row],[Total inns]],"")</f>
        <v/>
      </c>
      <c r="Z165" s="47">
        <f>(LayTable[[#This Row],[BookieInnsats]]*LayTable[[#This Row],[BookieOdds]]-LayTable[[#This Row],[BookieInnsats]])*(1-LayTable[[#This Row],[C% Bookie]])</f>
        <v>0</v>
      </c>
      <c r="AA165" s="43">
        <f>LayTable[[#This Row],[LayInnsats]]*(1-LayTable[[#This Row],[C% Lay]])</f>
        <v>0</v>
      </c>
      <c r="AB165" s="43" t="str">
        <f>IFERROR(IF(LayTable[[#This Row],[Sport]]="",AB164,LayTable[[#This Row],[Faktisk res]]+AB164),"")</f>
        <v/>
      </c>
      <c r="AC165" s="43">
        <f>(LayTable[[#This Row],[BackWin-Commission]]+LayTable[[#This Row],[BookieInnsats]])</f>
        <v>0</v>
      </c>
      <c r="AD165" s="43" t="e">
        <f>(LayTable[[#This Row],[LayWin-Commission]])+LayTable[[#This Row],[LayLiability]]</f>
        <v>#VALUE!</v>
      </c>
      <c r="AE165" s="205"/>
      <c r="AF165" s="183"/>
    </row>
    <row r="166" spans="1:32">
      <c r="A166" s="84"/>
      <c r="B166" s="177"/>
      <c r="C166" s="40"/>
      <c r="D166" s="41"/>
      <c r="E166" s="40"/>
      <c r="F166" s="41"/>
      <c r="G166" s="183"/>
      <c r="H166" s="38"/>
      <c r="I166" s="42"/>
      <c r="J166" s="42"/>
      <c r="K166" s="43"/>
      <c r="L166" s="43"/>
      <c r="M166" s="44" t="str">
        <f>IF(LayTable[[#This Row],[Sport]]="","",LayTable[[#This Row],[LayInnsats]]*(LayTable[[#This Row],[LayOdds]]-1))</f>
        <v/>
      </c>
      <c r="N166" s="45" t="str">
        <f>IF(LayTable[[#This Row],[Sport]]="","",1/((1/LayTable[[#This Row],[BookieOdds]])+(1/((1/((1+((LayTable[[#This Row],[LayOdds]]-1)*(1+LayTable[[#This Row],[C% Lay]])))-1))+1)))-1)</f>
        <v/>
      </c>
      <c r="Q166" s="46" t="str">
        <f>IF(LayTable[[#This Row],[Sport]]="","",LayTable[[#This Row],[BookieInnsats]]+LayTable[[#This Row],[LayLiability]])</f>
        <v/>
      </c>
      <c r="R1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 s="47" t="str">
        <f>IF(LayTable[[#This Row],[Utfall bookie]]="","",LayTable[[#This Row],[WBABack]]+LayTable[[#This Row],[WBALay]]-LayTable[[#This Row],[Total inns]])</f>
        <v/>
      </c>
      <c r="U1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 s="48" t="str">
        <f>IFERROR(IF(LayTable[[#This Row],[Total inns]]="","",LayTable[[#This Row],[Rback]]/LayTable[[#This Row],[Total inns]]),"")</f>
        <v/>
      </c>
      <c r="X166" s="48" t="str">
        <f>IFERROR(IF(LayTable[[#This Row],[Total inns]]="","",LayTable[[#This Row],[Rlay]]/LayTable[[#This Row],[Total inns]]),"")</f>
        <v/>
      </c>
      <c r="Y166" s="48" t="str">
        <f>IFERROR(LayTable[[#This Row],[Faktisk res]]/LayTable[[#This Row],[Total inns]],"")</f>
        <v/>
      </c>
      <c r="Z166" s="47">
        <f>(LayTable[[#This Row],[BookieInnsats]]*LayTable[[#This Row],[BookieOdds]]-LayTable[[#This Row],[BookieInnsats]])*(1-LayTable[[#This Row],[C% Bookie]])</f>
        <v>0</v>
      </c>
      <c r="AA166" s="43">
        <f>LayTable[[#This Row],[LayInnsats]]*(1-LayTable[[#This Row],[C% Lay]])</f>
        <v>0</v>
      </c>
      <c r="AB166" s="43" t="str">
        <f>IFERROR(IF(LayTable[[#This Row],[Sport]]="",AB165,LayTable[[#This Row],[Faktisk res]]+AB165),"")</f>
        <v/>
      </c>
      <c r="AC166" s="43">
        <f>(LayTable[[#This Row],[BackWin-Commission]]+LayTable[[#This Row],[BookieInnsats]])</f>
        <v>0</v>
      </c>
      <c r="AD166" s="43" t="e">
        <f>(LayTable[[#This Row],[LayWin-Commission]])+LayTable[[#This Row],[LayLiability]]</f>
        <v>#VALUE!</v>
      </c>
      <c r="AE166" s="181"/>
      <c r="AF166" s="183"/>
    </row>
    <row r="167" spans="1:32">
      <c r="A167" s="183"/>
      <c r="B167" s="177"/>
      <c r="C167" s="40"/>
      <c r="D167" s="41"/>
      <c r="E167" s="40"/>
      <c r="F167" s="41"/>
      <c r="G167" s="183"/>
      <c r="H167" s="38"/>
      <c r="I167" s="42"/>
      <c r="J167" s="42"/>
      <c r="K167" s="43"/>
      <c r="L167" s="43"/>
      <c r="M167" s="44" t="str">
        <f>IF(LayTable[[#This Row],[Sport]]="","",LayTable[[#This Row],[LayInnsats]]*(LayTable[[#This Row],[LayOdds]]-1))</f>
        <v/>
      </c>
      <c r="N167" s="45" t="str">
        <f>IF(LayTable[[#This Row],[Sport]]="","",1/((1/LayTable[[#This Row],[BookieOdds]])+(1/((1/((1+((LayTable[[#This Row],[LayOdds]]-1)*(1+LayTable[[#This Row],[C% Lay]])))-1))+1)))-1)</f>
        <v/>
      </c>
      <c r="Q167" s="46" t="str">
        <f>IF(LayTable[[#This Row],[Sport]]="","",LayTable[[#This Row],[BookieInnsats]]+LayTable[[#This Row],[LayLiability]])</f>
        <v/>
      </c>
      <c r="R1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 s="47" t="str">
        <f>IF(LayTable[[#This Row],[Utfall bookie]]="","",LayTable[[#This Row],[WBABack]]+LayTable[[#This Row],[WBALay]]-LayTable[[#This Row],[Total inns]])</f>
        <v/>
      </c>
      <c r="U1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 s="48" t="str">
        <f>IFERROR(IF(LayTable[[#This Row],[Total inns]]="","",LayTable[[#This Row],[Rback]]/LayTable[[#This Row],[Total inns]]),"")</f>
        <v/>
      </c>
      <c r="X167" s="48" t="str">
        <f>IFERROR(IF(LayTable[[#This Row],[Total inns]]="","",LayTable[[#This Row],[Rlay]]/LayTable[[#This Row],[Total inns]]),"")</f>
        <v/>
      </c>
      <c r="Y167" s="48" t="str">
        <f>IFERROR(LayTable[[#This Row],[Faktisk res]]/LayTable[[#This Row],[Total inns]],"")</f>
        <v/>
      </c>
      <c r="Z167" s="47">
        <f>(LayTable[[#This Row],[BookieInnsats]]*LayTable[[#This Row],[BookieOdds]]-LayTable[[#This Row],[BookieInnsats]])*(1-LayTable[[#This Row],[C% Bookie]])</f>
        <v>0</v>
      </c>
      <c r="AA167" s="43">
        <f>LayTable[[#This Row],[LayInnsats]]*(1-LayTable[[#This Row],[C% Lay]])</f>
        <v>0</v>
      </c>
      <c r="AB167" s="43" t="str">
        <f>IFERROR(IF(LayTable[[#This Row],[Sport]]="",AB166,LayTable[[#This Row],[Faktisk res]]+AB166),"")</f>
        <v/>
      </c>
      <c r="AC167" s="43">
        <f>(LayTable[[#This Row],[BackWin-Commission]]+LayTable[[#This Row],[BookieInnsats]])</f>
        <v>0</v>
      </c>
      <c r="AD167" s="43" t="e">
        <f>(LayTable[[#This Row],[LayWin-Commission]])+LayTable[[#This Row],[LayLiability]]</f>
        <v>#VALUE!</v>
      </c>
      <c r="AE167" s="181"/>
      <c r="AF167" s="205"/>
    </row>
    <row r="168" spans="1:32">
      <c r="A168" s="183"/>
      <c r="B168" s="177"/>
      <c r="C168" s="40"/>
      <c r="D168" s="41"/>
      <c r="E168" s="40"/>
      <c r="F168" s="41"/>
      <c r="G168" s="183"/>
      <c r="H168" s="38"/>
      <c r="I168" s="42"/>
      <c r="J168" s="42"/>
      <c r="K168" s="43"/>
      <c r="L168" s="43"/>
      <c r="M168" s="44" t="str">
        <f>IF(LayTable[[#This Row],[Sport]]="","",LayTable[[#This Row],[LayInnsats]]*(LayTable[[#This Row],[LayOdds]]-1))</f>
        <v/>
      </c>
      <c r="N168" s="45" t="str">
        <f>IF(LayTable[[#This Row],[Sport]]="","",1/((1/LayTable[[#This Row],[BookieOdds]])+(1/((1/((1+((LayTable[[#This Row],[LayOdds]]-1)*(1+LayTable[[#This Row],[C% Lay]])))-1))+1)))-1)</f>
        <v/>
      </c>
      <c r="Q168" s="46" t="str">
        <f>IF(LayTable[[#This Row],[Sport]]="","",LayTable[[#This Row],[BookieInnsats]]+LayTable[[#This Row],[LayLiability]])</f>
        <v/>
      </c>
      <c r="R1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 s="47" t="str">
        <f>IF(LayTable[[#This Row],[Utfall bookie]]="","",LayTable[[#This Row],[WBABack]]+LayTable[[#This Row],[WBALay]]-LayTable[[#This Row],[Total inns]])</f>
        <v/>
      </c>
      <c r="U1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 s="48" t="str">
        <f>IFERROR(IF(LayTable[[#This Row],[Total inns]]="","",LayTable[[#This Row],[Rback]]/LayTable[[#This Row],[Total inns]]),"")</f>
        <v/>
      </c>
      <c r="X168" s="48" t="str">
        <f>IFERROR(IF(LayTable[[#This Row],[Total inns]]="","",LayTable[[#This Row],[Rlay]]/LayTable[[#This Row],[Total inns]]),"")</f>
        <v/>
      </c>
      <c r="Y168" s="48" t="str">
        <f>IFERROR(LayTable[[#This Row],[Faktisk res]]/LayTable[[#This Row],[Total inns]],"")</f>
        <v/>
      </c>
      <c r="Z168" s="47">
        <f>(LayTable[[#This Row],[BookieInnsats]]*LayTable[[#This Row],[BookieOdds]]-LayTable[[#This Row],[BookieInnsats]])*(1-LayTable[[#This Row],[C% Bookie]])</f>
        <v>0</v>
      </c>
      <c r="AA168" s="43">
        <f>LayTable[[#This Row],[LayInnsats]]*(1-LayTable[[#This Row],[C% Lay]])</f>
        <v>0</v>
      </c>
      <c r="AB168" s="43" t="str">
        <f>IFERROR(IF(LayTable[[#This Row],[Sport]]="",AB167,LayTable[[#This Row],[Faktisk res]]+AB167),"")</f>
        <v/>
      </c>
      <c r="AC168" s="43">
        <f>(LayTable[[#This Row],[BackWin-Commission]]+LayTable[[#This Row],[BookieInnsats]])</f>
        <v>0</v>
      </c>
      <c r="AD168" s="43" t="e">
        <f>(LayTable[[#This Row],[LayWin-Commission]])+LayTable[[#This Row],[LayLiability]]</f>
        <v>#VALUE!</v>
      </c>
      <c r="AE168" s="181"/>
      <c r="AF168" s="205"/>
    </row>
    <row r="169" spans="1:32">
      <c r="A169" s="183"/>
      <c r="B169" s="177"/>
      <c r="C169" s="40"/>
      <c r="D169" s="41"/>
      <c r="E169" s="40"/>
      <c r="F169" s="41"/>
      <c r="G169" s="183"/>
      <c r="H169" s="39"/>
      <c r="I169" s="133"/>
      <c r="J169" s="133"/>
      <c r="K169" s="133"/>
      <c r="L169" s="133"/>
      <c r="M169" s="44" t="str">
        <f>IF(LayTable[[#This Row],[Sport]]="","",LayTable[[#This Row],[LayInnsats]]*(LayTable[[#This Row],[LayOdds]]-1))</f>
        <v/>
      </c>
      <c r="N169" s="45" t="str">
        <f>IF(LayTable[[#This Row],[Sport]]="","",1/((1/LayTable[[#This Row],[BookieOdds]])+(1/((1/((1+((LayTable[[#This Row],[LayOdds]]-1)*(1+LayTable[[#This Row],[C% Lay]])))-1))+1)))-1)</f>
        <v/>
      </c>
      <c r="Q169" s="46" t="str">
        <f>IF(LayTable[[#This Row],[Sport]]="","",LayTable[[#This Row],[BookieInnsats]]+LayTable[[#This Row],[LayLiability]])</f>
        <v/>
      </c>
      <c r="R1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 s="47" t="str">
        <f>IF(LayTable[[#This Row],[Utfall bookie]]="","",LayTable[[#This Row],[WBABack]]+LayTable[[#This Row],[WBALay]]-LayTable[[#This Row],[Total inns]])</f>
        <v/>
      </c>
      <c r="U1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 s="48" t="str">
        <f>IFERROR(IF(LayTable[[#This Row],[Total inns]]="","",LayTable[[#This Row],[Rback]]/LayTable[[#This Row],[Total inns]]),"")</f>
        <v/>
      </c>
      <c r="X169" s="48" t="str">
        <f>IFERROR(IF(LayTable[[#This Row],[Total inns]]="","",LayTable[[#This Row],[Rlay]]/LayTable[[#This Row],[Total inns]]),"")</f>
        <v/>
      </c>
      <c r="Y169" s="48" t="str">
        <f>IFERROR(LayTable[[#This Row],[Faktisk res]]/LayTable[[#This Row],[Total inns]],"")</f>
        <v/>
      </c>
      <c r="Z169" s="47">
        <f>(LayTable[[#This Row],[BookieInnsats]]*LayTable[[#This Row],[BookieOdds]]-LayTable[[#This Row],[BookieInnsats]])*(1-LayTable[[#This Row],[C% Bookie]])</f>
        <v>0</v>
      </c>
      <c r="AA169" s="43">
        <f>LayTable[[#This Row],[LayInnsats]]*(1-LayTable[[#This Row],[C% Lay]])</f>
        <v>0</v>
      </c>
      <c r="AB169" s="43" t="str">
        <f>IFERROR(IF(LayTable[[#This Row],[Sport]]="",AB168,LayTable[[#This Row],[Faktisk res]]+AB168),"")</f>
        <v/>
      </c>
      <c r="AC169" s="43">
        <f>(LayTable[[#This Row],[BackWin-Commission]]+LayTable[[#This Row],[BookieInnsats]])</f>
        <v>0</v>
      </c>
      <c r="AD169" s="43" t="e">
        <f>(LayTable[[#This Row],[LayWin-Commission]])+LayTable[[#This Row],[LayLiability]]</f>
        <v>#VALUE!</v>
      </c>
      <c r="AE169" s="181"/>
      <c r="AF169" s="205"/>
    </row>
    <row r="170" spans="1:32">
      <c r="A170" s="183"/>
      <c r="B170" s="177"/>
      <c r="C170" s="178"/>
      <c r="D170" s="179"/>
      <c r="E170" s="178"/>
      <c r="F170" s="179"/>
      <c r="G170" s="183"/>
      <c r="H170" s="38"/>
      <c r="I170" s="42"/>
      <c r="J170" s="42"/>
      <c r="K170" s="43"/>
      <c r="L170" s="43"/>
      <c r="M170" s="44" t="str">
        <f>IF(LayTable[[#This Row],[Sport]]="","",LayTable[[#This Row],[LayInnsats]]*(LayTable[[#This Row],[LayOdds]]-1))</f>
        <v/>
      </c>
      <c r="N170" s="45" t="str">
        <f>IF(LayTable[[#This Row],[Sport]]="","",1/((1/LayTable[[#This Row],[BookieOdds]])+(1/((1/((1+((LayTable[[#This Row],[LayOdds]]-1)*(1+LayTable[[#This Row],[C% Lay]])))-1))+1)))-1)</f>
        <v/>
      </c>
      <c r="Q170" s="46" t="str">
        <f>IF(LayTable[[#This Row],[Sport]]="","",LayTable[[#This Row],[BookieInnsats]]+LayTable[[#This Row],[LayLiability]])</f>
        <v/>
      </c>
      <c r="R1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 s="47" t="str">
        <f>IF(LayTable[[#This Row],[Utfall bookie]]="","",LayTable[[#This Row],[WBABack]]+LayTable[[#This Row],[WBALay]]-LayTable[[#This Row],[Total inns]])</f>
        <v/>
      </c>
      <c r="U1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 s="48" t="str">
        <f>IFERROR(IF(LayTable[[#This Row],[Total inns]]="","",LayTable[[#This Row],[Rback]]/LayTable[[#This Row],[Total inns]]),"")</f>
        <v/>
      </c>
      <c r="X170" s="48" t="str">
        <f>IFERROR(IF(LayTable[[#This Row],[Total inns]]="","",LayTable[[#This Row],[Rlay]]/LayTable[[#This Row],[Total inns]]),"")</f>
        <v/>
      </c>
      <c r="Y170" s="48" t="str">
        <f>IFERROR(LayTable[[#This Row],[Faktisk res]]/LayTable[[#This Row],[Total inns]],"")</f>
        <v/>
      </c>
      <c r="Z170" s="47">
        <f>(LayTable[[#This Row],[BookieInnsats]]*LayTable[[#This Row],[BookieOdds]]-LayTable[[#This Row],[BookieInnsats]])*(1-LayTable[[#This Row],[C% Bookie]])</f>
        <v>0</v>
      </c>
      <c r="AA170" s="43">
        <f>LayTable[[#This Row],[LayInnsats]]*(1-LayTable[[#This Row],[C% Lay]])</f>
        <v>0</v>
      </c>
      <c r="AB170" s="43" t="str">
        <f>IFERROR(IF(LayTable[[#This Row],[Sport]]="",AB169,LayTable[[#This Row],[Faktisk res]]+AB169),"")</f>
        <v/>
      </c>
      <c r="AC170" s="43">
        <f>(LayTable[[#This Row],[BackWin-Commission]]+LayTable[[#This Row],[BookieInnsats]])</f>
        <v>0</v>
      </c>
      <c r="AD170" s="43" t="e">
        <f>(LayTable[[#This Row],[LayWin-Commission]])+LayTable[[#This Row],[LayLiability]]</f>
        <v>#VALUE!</v>
      </c>
      <c r="AE170" s="181"/>
      <c r="AF170" s="205"/>
    </row>
    <row r="171" spans="1:32">
      <c r="A171" s="183"/>
      <c r="B171" s="177"/>
      <c r="C171" s="178"/>
      <c r="D171" s="179"/>
      <c r="E171" s="178"/>
      <c r="F171" s="179"/>
      <c r="G171" s="183"/>
      <c r="H171" s="38"/>
      <c r="I171" s="42"/>
      <c r="J171" s="42"/>
      <c r="K171" s="43"/>
      <c r="L171" s="43"/>
      <c r="M171" s="44" t="str">
        <f>IF(LayTable[[#This Row],[Sport]]="","",LayTable[[#This Row],[LayInnsats]]*(LayTable[[#This Row],[LayOdds]]-1))</f>
        <v/>
      </c>
      <c r="N171" s="45" t="str">
        <f>IF(LayTable[[#This Row],[Sport]]="","",1/((1/LayTable[[#This Row],[BookieOdds]])+(1/((1/((1+((LayTable[[#This Row],[LayOdds]]-1)*(1+LayTable[[#This Row],[C% Lay]])))-1))+1)))-1)</f>
        <v/>
      </c>
      <c r="Q171" s="46" t="str">
        <f>IF(LayTable[[#This Row],[Sport]]="","",LayTable[[#This Row],[BookieInnsats]]+LayTable[[#This Row],[LayLiability]])</f>
        <v/>
      </c>
      <c r="R1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 s="47" t="str">
        <f>IF(LayTable[[#This Row],[Utfall bookie]]="","",LayTable[[#This Row],[WBABack]]+LayTable[[#This Row],[WBALay]]-LayTable[[#This Row],[Total inns]])</f>
        <v/>
      </c>
      <c r="U1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 s="48" t="str">
        <f>IFERROR(IF(LayTable[[#This Row],[Total inns]]="","",LayTable[[#This Row],[Rback]]/LayTable[[#This Row],[Total inns]]),"")</f>
        <v/>
      </c>
      <c r="X171" s="48" t="str">
        <f>IFERROR(IF(LayTable[[#This Row],[Total inns]]="","",LayTable[[#This Row],[Rlay]]/LayTable[[#This Row],[Total inns]]),"")</f>
        <v/>
      </c>
      <c r="Y171" s="48" t="str">
        <f>IFERROR(LayTable[[#This Row],[Faktisk res]]/LayTable[[#This Row],[Total inns]],"")</f>
        <v/>
      </c>
      <c r="Z171" s="47">
        <f>(LayTable[[#This Row],[BookieInnsats]]*LayTable[[#This Row],[BookieOdds]]-LayTable[[#This Row],[BookieInnsats]])*(1-LayTable[[#This Row],[C% Bookie]])</f>
        <v>0</v>
      </c>
      <c r="AA171" s="43">
        <f>LayTable[[#This Row],[LayInnsats]]*(1-LayTable[[#This Row],[C% Lay]])</f>
        <v>0</v>
      </c>
      <c r="AB171" s="43" t="str">
        <f>IFERROR(IF(LayTable[[#This Row],[Sport]]="",AB170,LayTable[[#This Row],[Faktisk res]]+AB170),"")</f>
        <v/>
      </c>
      <c r="AC171" s="43">
        <f>(LayTable[[#This Row],[BackWin-Commission]]+LayTable[[#This Row],[BookieInnsats]])</f>
        <v>0</v>
      </c>
      <c r="AD171" s="43" t="e">
        <f>(LayTable[[#This Row],[LayWin-Commission]])+LayTable[[#This Row],[LayLiability]]</f>
        <v>#VALUE!</v>
      </c>
      <c r="AE171" s="181"/>
      <c r="AF171" s="205"/>
    </row>
    <row r="172" spans="1:32">
      <c r="A172" s="183"/>
      <c r="B172" s="177"/>
      <c r="C172" s="40"/>
      <c r="D172" s="41"/>
      <c r="E172" s="40"/>
      <c r="F172" s="41"/>
      <c r="G172" s="183"/>
      <c r="H172" s="38"/>
      <c r="I172" s="42"/>
      <c r="J172" s="42"/>
      <c r="K172" s="43"/>
      <c r="L172" s="43"/>
      <c r="M172" s="44" t="str">
        <f>IF(LayTable[[#This Row],[Sport]]="","",LayTable[[#This Row],[LayInnsats]]*(LayTable[[#This Row],[LayOdds]]-1))</f>
        <v/>
      </c>
      <c r="N172" s="45" t="str">
        <f>IF(LayTable[[#This Row],[Sport]]="","",1/((1/LayTable[[#This Row],[BookieOdds]])+(1/((1/((1+((LayTable[[#This Row],[LayOdds]]-1)*(1+LayTable[[#This Row],[C% Lay]])))-1))+1)))-1)</f>
        <v/>
      </c>
      <c r="Q172" s="46" t="str">
        <f>IF(LayTable[[#This Row],[Sport]]="","",LayTable[[#This Row],[BookieInnsats]]+LayTable[[#This Row],[LayLiability]])</f>
        <v/>
      </c>
      <c r="R1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 s="47" t="str">
        <f>IF(LayTable[[#This Row],[Utfall bookie]]="","",LayTable[[#This Row],[WBABack]]+LayTable[[#This Row],[WBALay]]-LayTable[[#This Row],[Total inns]])</f>
        <v/>
      </c>
      <c r="U1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 s="48" t="str">
        <f>IFERROR(IF(LayTable[[#This Row],[Total inns]]="","",LayTable[[#This Row],[Rback]]/LayTable[[#This Row],[Total inns]]),"")</f>
        <v/>
      </c>
      <c r="X172" s="48" t="str">
        <f>IFERROR(IF(LayTable[[#This Row],[Total inns]]="","",LayTable[[#This Row],[Rlay]]/LayTable[[#This Row],[Total inns]]),"")</f>
        <v/>
      </c>
      <c r="Y172" s="48" t="str">
        <f>IFERROR(LayTable[[#This Row],[Faktisk res]]/LayTable[[#This Row],[Total inns]],"")</f>
        <v/>
      </c>
      <c r="Z172" s="47">
        <f>(LayTable[[#This Row],[BookieInnsats]]*LayTable[[#This Row],[BookieOdds]]-LayTable[[#This Row],[BookieInnsats]])*(1-LayTable[[#This Row],[C% Bookie]])</f>
        <v>0</v>
      </c>
      <c r="AA172" s="43">
        <f>LayTable[[#This Row],[LayInnsats]]*(1-LayTable[[#This Row],[C% Lay]])</f>
        <v>0</v>
      </c>
      <c r="AB172" s="43" t="str">
        <f>IFERROR(IF(LayTable[[#This Row],[Sport]]="",AB171,LayTable[[#This Row],[Faktisk res]]+AB171),"")</f>
        <v/>
      </c>
      <c r="AC172" s="43">
        <f>(LayTable[[#This Row],[BackWin-Commission]]+LayTable[[#This Row],[BookieInnsats]])</f>
        <v>0</v>
      </c>
      <c r="AD172" s="43" t="e">
        <f>(LayTable[[#This Row],[LayWin-Commission]])+LayTable[[#This Row],[LayLiability]]</f>
        <v>#VALUE!</v>
      </c>
      <c r="AE172" s="181"/>
      <c r="AF172" s="205"/>
    </row>
    <row r="173" spans="1:32">
      <c r="A173" s="84"/>
      <c r="B173" s="177"/>
      <c r="C173" s="40"/>
      <c r="D173" s="41"/>
      <c r="E173" s="40"/>
      <c r="F173" s="41"/>
      <c r="G173" s="183"/>
      <c r="H173" s="38"/>
      <c r="I173" s="42"/>
      <c r="J173" s="42"/>
      <c r="K173" s="43"/>
      <c r="L173" s="43"/>
      <c r="M173" s="44" t="str">
        <f>IF(LayTable[[#This Row],[Sport]]="","",LayTable[[#This Row],[LayInnsats]]*(LayTable[[#This Row],[LayOdds]]-1))</f>
        <v/>
      </c>
      <c r="N173" s="45" t="str">
        <f>IF(LayTable[[#This Row],[Sport]]="","",1/((1/LayTable[[#This Row],[BookieOdds]])+(1/((1/((1+((LayTable[[#This Row],[LayOdds]]-1)*(1+LayTable[[#This Row],[C% Lay]])))-1))+1)))-1)</f>
        <v/>
      </c>
      <c r="Q173" s="46" t="str">
        <f>IF(LayTable[[#This Row],[Sport]]="","",LayTable[[#This Row],[BookieInnsats]]+LayTable[[#This Row],[LayLiability]])</f>
        <v/>
      </c>
      <c r="R1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 s="47" t="str">
        <f>IF(LayTable[[#This Row],[Utfall bookie]]="","",LayTable[[#This Row],[WBABack]]+LayTable[[#This Row],[WBALay]]-LayTable[[#This Row],[Total inns]])</f>
        <v/>
      </c>
      <c r="U1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 s="48" t="str">
        <f>IFERROR(IF(LayTable[[#This Row],[Total inns]]="","",LayTable[[#This Row],[Rback]]/LayTable[[#This Row],[Total inns]]),"")</f>
        <v/>
      </c>
      <c r="X173" s="48" t="str">
        <f>IFERROR(IF(LayTable[[#This Row],[Total inns]]="","",LayTable[[#This Row],[Rlay]]/LayTable[[#This Row],[Total inns]]),"")</f>
        <v/>
      </c>
      <c r="Y173" s="48" t="str">
        <f>IFERROR(LayTable[[#This Row],[Faktisk res]]/LayTable[[#This Row],[Total inns]],"")</f>
        <v/>
      </c>
      <c r="Z173" s="47">
        <f>(LayTable[[#This Row],[BookieInnsats]]*LayTable[[#This Row],[BookieOdds]]-LayTable[[#This Row],[BookieInnsats]])*(1-LayTable[[#This Row],[C% Bookie]])</f>
        <v>0</v>
      </c>
      <c r="AA173" s="43">
        <f>LayTable[[#This Row],[LayInnsats]]*(1-LayTable[[#This Row],[C% Lay]])</f>
        <v>0</v>
      </c>
      <c r="AB173" s="43" t="str">
        <f>IFERROR(IF(LayTable[[#This Row],[Sport]]="",AB172,LayTable[[#This Row],[Faktisk res]]+AB172),"")</f>
        <v/>
      </c>
      <c r="AC173" s="43">
        <f>(LayTable[[#This Row],[BackWin-Commission]]+LayTable[[#This Row],[BookieInnsats]])</f>
        <v>0</v>
      </c>
      <c r="AD173" s="43" t="e">
        <f>(LayTable[[#This Row],[LayWin-Commission]])+LayTable[[#This Row],[LayLiability]]</f>
        <v>#VALUE!</v>
      </c>
      <c r="AE173" s="181"/>
      <c r="AF173" s="205"/>
    </row>
    <row r="174" spans="1:32">
      <c r="A174" s="84"/>
      <c r="B174" s="177"/>
      <c r="C174" s="40"/>
      <c r="D174" s="41"/>
      <c r="E174" s="40"/>
      <c r="F174" s="41"/>
      <c r="G174" s="183"/>
      <c r="H174" s="38"/>
      <c r="I174" s="42"/>
      <c r="J174" s="42"/>
      <c r="K174" s="43"/>
      <c r="L174" s="43"/>
      <c r="M174" s="44" t="str">
        <f>IF(LayTable[[#This Row],[Sport]]="","",LayTable[[#This Row],[LayInnsats]]*(LayTable[[#This Row],[LayOdds]]-1))</f>
        <v/>
      </c>
      <c r="N174" s="45" t="str">
        <f>IF(LayTable[[#This Row],[Sport]]="","",1/((1/LayTable[[#This Row],[BookieOdds]])+(1/((1/((1+((LayTable[[#This Row],[LayOdds]]-1)*(1+LayTable[[#This Row],[C% Lay]])))-1))+1)))-1)</f>
        <v/>
      </c>
      <c r="Q174" s="46" t="str">
        <f>IF(LayTable[[#This Row],[Sport]]="","",LayTable[[#This Row],[BookieInnsats]]+LayTable[[#This Row],[LayLiability]])</f>
        <v/>
      </c>
      <c r="R1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 s="47" t="str">
        <f>IF(LayTable[[#This Row],[Utfall bookie]]="","",LayTable[[#This Row],[WBABack]]+LayTable[[#This Row],[WBALay]]-LayTable[[#This Row],[Total inns]])</f>
        <v/>
      </c>
      <c r="U1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 s="48" t="str">
        <f>IFERROR(IF(LayTable[[#This Row],[Total inns]]="","",LayTable[[#This Row],[Rback]]/LayTable[[#This Row],[Total inns]]),"")</f>
        <v/>
      </c>
      <c r="X174" s="48" t="str">
        <f>IFERROR(IF(LayTable[[#This Row],[Total inns]]="","",LayTable[[#This Row],[Rlay]]/LayTable[[#This Row],[Total inns]]),"")</f>
        <v/>
      </c>
      <c r="Y174" s="48" t="str">
        <f>IFERROR(LayTable[[#This Row],[Faktisk res]]/LayTable[[#This Row],[Total inns]],"")</f>
        <v/>
      </c>
      <c r="Z174" s="47">
        <f>(LayTable[[#This Row],[BookieInnsats]]*LayTable[[#This Row],[BookieOdds]]-LayTable[[#This Row],[BookieInnsats]])*(1-LayTable[[#This Row],[C% Bookie]])</f>
        <v>0</v>
      </c>
      <c r="AA174" s="43">
        <f>LayTable[[#This Row],[LayInnsats]]*(1-LayTable[[#This Row],[C% Lay]])</f>
        <v>0</v>
      </c>
      <c r="AB174" s="43" t="str">
        <f>IFERROR(IF(LayTable[[#This Row],[Sport]]="",AB173,LayTable[[#This Row],[Faktisk res]]+AB173),"")</f>
        <v/>
      </c>
      <c r="AC174" s="43">
        <f>(LayTable[[#This Row],[BackWin-Commission]]+LayTable[[#This Row],[BookieInnsats]])</f>
        <v>0</v>
      </c>
      <c r="AD174" s="43" t="e">
        <f>(LayTable[[#This Row],[LayWin-Commission]])+LayTable[[#This Row],[LayLiability]]</f>
        <v>#VALUE!</v>
      </c>
      <c r="AE174" s="181"/>
      <c r="AF174" s="205"/>
    </row>
    <row r="175" spans="1:32">
      <c r="A175" s="183"/>
      <c r="B175" s="177"/>
      <c r="C175" s="40"/>
      <c r="D175" s="41"/>
      <c r="E175" s="40"/>
      <c r="F175" s="41"/>
      <c r="G175" s="183"/>
      <c r="H175" s="38"/>
      <c r="I175" s="42"/>
      <c r="J175" s="42"/>
      <c r="K175" s="43"/>
      <c r="L175" s="43"/>
      <c r="M175" s="44" t="str">
        <f>IF(LayTable[[#This Row],[Sport]]="","",LayTable[[#This Row],[LayInnsats]]*(LayTable[[#This Row],[LayOdds]]-1))</f>
        <v/>
      </c>
      <c r="N175" s="45" t="str">
        <f>IF(LayTable[[#This Row],[Sport]]="","",1/((1/LayTable[[#This Row],[BookieOdds]])+(1/((1/((1+((LayTable[[#This Row],[LayOdds]]-1)*(1+LayTable[[#This Row],[C% Lay]])))-1))+1)))-1)</f>
        <v/>
      </c>
      <c r="Q175" s="46" t="str">
        <f>IF(LayTable[[#This Row],[Sport]]="","",LayTable[[#This Row],[BookieInnsats]]+LayTable[[#This Row],[LayLiability]])</f>
        <v/>
      </c>
      <c r="R1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 s="47" t="str">
        <f>IF(LayTable[[#This Row],[Utfall bookie]]="","",LayTable[[#This Row],[WBABack]]+LayTable[[#This Row],[WBALay]]-LayTable[[#This Row],[Total inns]])</f>
        <v/>
      </c>
      <c r="U1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 s="48" t="str">
        <f>IFERROR(IF(LayTable[[#This Row],[Total inns]]="","",LayTable[[#This Row],[Rback]]/LayTable[[#This Row],[Total inns]]),"")</f>
        <v/>
      </c>
      <c r="X175" s="48" t="str">
        <f>IFERROR(IF(LayTable[[#This Row],[Total inns]]="","",LayTable[[#This Row],[Rlay]]/LayTable[[#This Row],[Total inns]]),"")</f>
        <v/>
      </c>
      <c r="Y175" s="48" t="str">
        <f>IFERROR(LayTable[[#This Row],[Faktisk res]]/LayTable[[#This Row],[Total inns]],"")</f>
        <v/>
      </c>
      <c r="Z175" s="47">
        <f>(LayTable[[#This Row],[BookieInnsats]]*LayTable[[#This Row],[BookieOdds]]-LayTable[[#This Row],[BookieInnsats]])*(1-LayTable[[#This Row],[C% Bookie]])</f>
        <v>0</v>
      </c>
      <c r="AA175" s="43">
        <f>LayTable[[#This Row],[LayInnsats]]*(1-LayTable[[#This Row],[C% Lay]])</f>
        <v>0</v>
      </c>
      <c r="AB175" s="43" t="str">
        <f>IFERROR(IF(LayTable[[#This Row],[Sport]]="",AB174,LayTable[[#This Row],[Faktisk res]]+AB174),"")</f>
        <v/>
      </c>
      <c r="AC175" s="43">
        <f>(LayTable[[#This Row],[BackWin-Commission]]+LayTable[[#This Row],[BookieInnsats]])</f>
        <v>0</v>
      </c>
      <c r="AD175" s="43" t="e">
        <f>(LayTable[[#This Row],[LayWin-Commission]])+LayTable[[#This Row],[LayLiability]]</f>
        <v>#VALUE!</v>
      </c>
      <c r="AE175" s="205"/>
      <c r="AF175" s="205"/>
    </row>
    <row r="176" spans="1:32">
      <c r="A176" s="183"/>
      <c r="B176" s="177"/>
      <c r="C176" s="40"/>
      <c r="D176" s="41"/>
      <c r="E176" s="40"/>
      <c r="F176" s="41"/>
      <c r="G176" s="183"/>
      <c r="H176" s="38"/>
      <c r="I176" s="42"/>
      <c r="J176" s="42"/>
      <c r="K176" s="43"/>
      <c r="L176" s="43"/>
      <c r="M176" s="44" t="str">
        <f>IF(LayTable[[#This Row],[Sport]]="","",LayTable[[#This Row],[LayInnsats]]*(LayTable[[#This Row],[LayOdds]]-1))</f>
        <v/>
      </c>
      <c r="N176" s="45" t="str">
        <f>IF(LayTable[[#This Row],[Sport]]="","",1/((1/LayTable[[#This Row],[BookieOdds]])+(1/((1/((1+((LayTable[[#This Row],[LayOdds]]-1)*(1+LayTable[[#This Row],[C% Lay]])))-1))+1)))-1)</f>
        <v/>
      </c>
      <c r="Q176" s="46" t="str">
        <f>IF(LayTable[[#This Row],[Sport]]="","",LayTable[[#This Row],[BookieInnsats]]+LayTable[[#This Row],[LayLiability]])</f>
        <v/>
      </c>
      <c r="R1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 s="47" t="str">
        <f>IF(LayTable[[#This Row],[Utfall bookie]]="","",LayTable[[#This Row],[WBABack]]+LayTable[[#This Row],[WBALay]]-LayTable[[#This Row],[Total inns]])</f>
        <v/>
      </c>
      <c r="U1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 s="48" t="str">
        <f>IFERROR(IF(LayTable[[#This Row],[Total inns]]="","",LayTable[[#This Row],[Rback]]/LayTable[[#This Row],[Total inns]]),"")</f>
        <v/>
      </c>
      <c r="X176" s="48" t="str">
        <f>IFERROR(IF(LayTable[[#This Row],[Total inns]]="","",LayTable[[#This Row],[Rlay]]/LayTable[[#This Row],[Total inns]]),"")</f>
        <v/>
      </c>
      <c r="Y176" s="48" t="str">
        <f>IFERROR(LayTable[[#This Row],[Faktisk res]]/LayTable[[#This Row],[Total inns]],"")</f>
        <v/>
      </c>
      <c r="Z176" s="47">
        <f>(LayTable[[#This Row],[BookieInnsats]]*LayTable[[#This Row],[BookieOdds]]-LayTable[[#This Row],[BookieInnsats]])*(1-LayTable[[#This Row],[C% Bookie]])</f>
        <v>0</v>
      </c>
      <c r="AA176" s="43">
        <f>LayTable[[#This Row],[LayInnsats]]*(1-LayTable[[#This Row],[C% Lay]])</f>
        <v>0</v>
      </c>
      <c r="AB176" s="43" t="str">
        <f>IFERROR(IF(LayTable[[#This Row],[Sport]]="",AB175,LayTable[[#This Row],[Faktisk res]]+AB175),"")</f>
        <v/>
      </c>
      <c r="AC176" s="43">
        <f>(LayTable[[#This Row],[BackWin-Commission]]+LayTable[[#This Row],[BookieInnsats]])</f>
        <v>0</v>
      </c>
      <c r="AD176" s="43" t="e">
        <f>(LayTable[[#This Row],[LayWin-Commission]])+LayTable[[#This Row],[LayLiability]]</f>
        <v>#VALUE!</v>
      </c>
      <c r="AE176" s="181"/>
      <c r="AF176" s="205"/>
    </row>
    <row r="177" spans="1:32">
      <c r="A177" s="84"/>
      <c r="B177" s="177"/>
      <c r="C177" s="40"/>
      <c r="D177" s="41"/>
      <c r="E177" s="40"/>
      <c r="F177" s="41"/>
      <c r="G177" s="183"/>
      <c r="H177" s="38"/>
      <c r="I177" s="42"/>
      <c r="J177" s="42"/>
      <c r="K177" s="43"/>
      <c r="L177" s="43"/>
      <c r="M177" s="44" t="str">
        <f>IF(LayTable[[#This Row],[Sport]]="","",LayTable[[#This Row],[LayInnsats]]*(LayTable[[#This Row],[LayOdds]]-1))</f>
        <v/>
      </c>
      <c r="N177" s="45" t="str">
        <f>IF(LayTable[[#This Row],[Sport]]="","",1/((1/LayTable[[#This Row],[BookieOdds]])+(1/((1/((1+((LayTable[[#This Row],[LayOdds]]-1)*(1+LayTable[[#This Row],[C% Lay]])))-1))+1)))-1)</f>
        <v/>
      </c>
      <c r="Q177" s="46" t="str">
        <f>IF(LayTable[[#This Row],[Sport]]="","",LayTable[[#This Row],[BookieInnsats]]+LayTable[[#This Row],[LayLiability]])</f>
        <v/>
      </c>
      <c r="R1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 s="47" t="str">
        <f>IF(LayTable[[#This Row],[Utfall bookie]]="","",LayTable[[#This Row],[WBABack]]+LayTable[[#This Row],[WBALay]]-LayTable[[#This Row],[Total inns]])</f>
        <v/>
      </c>
      <c r="U1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 s="48" t="str">
        <f>IFERROR(IF(LayTable[[#This Row],[Total inns]]="","",LayTable[[#This Row],[Rback]]/LayTable[[#This Row],[Total inns]]),"")</f>
        <v/>
      </c>
      <c r="X177" s="48" t="str">
        <f>IFERROR(IF(LayTable[[#This Row],[Total inns]]="","",LayTable[[#This Row],[Rlay]]/LayTable[[#This Row],[Total inns]]),"")</f>
        <v/>
      </c>
      <c r="Y177" s="48" t="str">
        <f>IFERROR(LayTable[[#This Row],[Faktisk res]]/LayTable[[#This Row],[Total inns]],"")</f>
        <v/>
      </c>
      <c r="Z177" s="47">
        <f>(LayTable[[#This Row],[BookieInnsats]]*LayTable[[#This Row],[BookieOdds]]-LayTable[[#This Row],[BookieInnsats]])*(1-LayTable[[#This Row],[C% Bookie]])</f>
        <v>0</v>
      </c>
      <c r="AA177" s="43">
        <f>LayTable[[#This Row],[LayInnsats]]*(1-LayTable[[#This Row],[C% Lay]])</f>
        <v>0</v>
      </c>
      <c r="AB177" s="43" t="str">
        <f>IFERROR(IF(LayTable[[#This Row],[Sport]]="",AB176,LayTable[[#This Row],[Faktisk res]]+AB176),"")</f>
        <v/>
      </c>
      <c r="AC177" s="43">
        <f>(LayTable[[#This Row],[BackWin-Commission]]+LayTable[[#This Row],[BookieInnsats]])</f>
        <v>0</v>
      </c>
      <c r="AD177" s="43" t="e">
        <f>(LayTable[[#This Row],[LayWin-Commission]])+LayTable[[#This Row],[LayLiability]]</f>
        <v>#VALUE!</v>
      </c>
      <c r="AE177" s="181"/>
      <c r="AF177" s="205"/>
    </row>
    <row r="178" spans="1:32">
      <c r="A178" s="84"/>
      <c r="B178" s="177"/>
      <c r="C178" s="178"/>
      <c r="D178" s="179"/>
      <c r="E178" s="178"/>
      <c r="F178" s="179"/>
      <c r="G178" s="183"/>
      <c r="H178" s="38"/>
      <c r="I178" s="42"/>
      <c r="J178" s="42"/>
      <c r="K178" s="43"/>
      <c r="L178" s="43"/>
      <c r="M178" s="44" t="str">
        <f>IF(LayTable[[#This Row],[Sport]]="","",LayTable[[#This Row],[LayInnsats]]*(LayTable[[#This Row],[LayOdds]]-1))</f>
        <v/>
      </c>
      <c r="N178" s="45" t="str">
        <f>IF(LayTable[[#This Row],[Sport]]="","",1/((1/LayTable[[#This Row],[BookieOdds]])+(1/((1/((1+((LayTable[[#This Row],[LayOdds]]-1)*(1+LayTable[[#This Row],[C% Lay]])))-1))+1)))-1)</f>
        <v/>
      </c>
      <c r="Q178" s="46" t="str">
        <f>IF(LayTable[[#This Row],[Sport]]="","",LayTable[[#This Row],[BookieInnsats]]+LayTable[[#This Row],[LayLiability]])</f>
        <v/>
      </c>
      <c r="R1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 s="47" t="str">
        <f>IF(LayTable[[#This Row],[Utfall bookie]]="","",LayTable[[#This Row],[WBABack]]+LayTable[[#This Row],[WBALay]]-LayTable[[#This Row],[Total inns]])</f>
        <v/>
      </c>
      <c r="U1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 s="48" t="str">
        <f>IFERROR(IF(LayTable[[#This Row],[Total inns]]="","",LayTable[[#This Row],[Rback]]/LayTable[[#This Row],[Total inns]]),"")</f>
        <v/>
      </c>
      <c r="X178" s="48" t="str">
        <f>IFERROR(IF(LayTable[[#This Row],[Total inns]]="","",LayTable[[#This Row],[Rlay]]/LayTable[[#This Row],[Total inns]]),"")</f>
        <v/>
      </c>
      <c r="Y178" s="48" t="str">
        <f>IFERROR(LayTable[[#This Row],[Faktisk res]]/LayTable[[#This Row],[Total inns]],"")</f>
        <v/>
      </c>
      <c r="Z178" s="47">
        <f>(LayTable[[#This Row],[BookieInnsats]]*LayTable[[#This Row],[BookieOdds]]-LayTable[[#This Row],[BookieInnsats]])*(1-LayTable[[#This Row],[C% Bookie]])</f>
        <v>0</v>
      </c>
      <c r="AA178" s="43">
        <f>LayTable[[#This Row],[LayInnsats]]*(1-LayTable[[#This Row],[C% Lay]])</f>
        <v>0</v>
      </c>
      <c r="AB178" s="43" t="str">
        <f>IFERROR(IF(LayTable[[#This Row],[Sport]]="",AB177,LayTable[[#This Row],[Faktisk res]]+AB177),"")</f>
        <v/>
      </c>
      <c r="AC178" s="43">
        <f>(LayTable[[#This Row],[BackWin-Commission]]+LayTable[[#This Row],[BookieInnsats]])</f>
        <v>0</v>
      </c>
      <c r="AD178" s="43" t="e">
        <f>(LayTable[[#This Row],[LayWin-Commission]])+LayTable[[#This Row],[LayLiability]]</f>
        <v>#VALUE!</v>
      </c>
      <c r="AE178" s="181"/>
      <c r="AF178" s="205"/>
    </row>
    <row r="179" spans="1:32">
      <c r="A179" s="84"/>
      <c r="B179" s="177"/>
      <c r="C179" s="40"/>
      <c r="D179" s="41"/>
      <c r="E179" s="40"/>
      <c r="F179" s="41"/>
      <c r="G179" s="183"/>
      <c r="H179" s="38"/>
      <c r="I179" s="42"/>
      <c r="J179" s="42"/>
      <c r="K179" s="43"/>
      <c r="L179" s="43"/>
      <c r="M179" s="44" t="str">
        <f>IF(LayTable[[#This Row],[Sport]]="","",LayTable[[#This Row],[LayInnsats]]*(LayTable[[#This Row],[LayOdds]]-1))</f>
        <v/>
      </c>
      <c r="N179" s="45" t="str">
        <f>IF(LayTable[[#This Row],[Sport]]="","",1/((1/LayTable[[#This Row],[BookieOdds]])+(1/((1/((1+((LayTable[[#This Row],[LayOdds]]-1)*(1+LayTable[[#This Row],[C% Lay]])))-1))+1)))-1)</f>
        <v/>
      </c>
      <c r="Q179" s="46" t="str">
        <f>IF(LayTable[[#This Row],[Sport]]="","",LayTable[[#This Row],[BookieInnsats]]+LayTable[[#This Row],[LayLiability]])</f>
        <v/>
      </c>
      <c r="R1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 s="47" t="str">
        <f>IF(LayTable[[#This Row],[Utfall bookie]]="","",LayTable[[#This Row],[WBABack]]+LayTable[[#This Row],[WBALay]]-LayTable[[#This Row],[Total inns]])</f>
        <v/>
      </c>
      <c r="U1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 s="48" t="str">
        <f>IFERROR(IF(LayTable[[#This Row],[Total inns]]="","",LayTable[[#This Row],[Rback]]/LayTable[[#This Row],[Total inns]]),"")</f>
        <v/>
      </c>
      <c r="X179" s="48" t="str">
        <f>IFERROR(IF(LayTable[[#This Row],[Total inns]]="","",LayTable[[#This Row],[Rlay]]/LayTable[[#This Row],[Total inns]]),"")</f>
        <v/>
      </c>
      <c r="Y179" s="48" t="str">
        <f>IFERROR(LayTable[[#This Row],[Faktisk res]]/LayTable[[#This Row],[Total inns]],"")</f>
        <v/>
      </c>
      <c r="Z179" s="47">
        <f>(LayTable[[#This Row],[BookieInnsats]]*LayTable[[#This Row],[BookieOdds]]-LayTable[[#This Row],[BookieInnsats]])*(1-LayTable[[#This Row],[C% Bookie]])</f>
        <v>0</v>
      </c>
      <c r="AA179" s="43">
        <f>LayTable[[#This Row],[LayInnsats]]*(1-LayTable[[#This Row],[C% Lay]])</f>
        <v>0</v>
      </c>
      <c r="AB179" s="43" t="str">
        <f>IFERROR(IF(LayTable[[#This Row],[Sport]]="",AB178,LayTable[[#This Row],[Faktisk res]]+AB178),"")</f>
        <v/>
      </c>
      <c r="AC179" s="43">
        <f>(LayTable[[#This Row],[BackWin-Commission]]+LayTable[[#This Row],[BookieInnsats]])</f>
        <v>0</v>
      </c>
      <c r="AD179" s="43" t="e">
        <f>(LayTable[[#This Row],[LayWin-Commission]])+LayTable[[#This Row],[LayLiability]]</f>
        <v>#VALUE!</v>
      </c>
      <c r="AE179" s="181"/>
      <c r="AF179" s="205"/>
    </row>
    <row r="180" spans="1:32">
      <c r="A180" s="84"/>
      <c r="B180" s="177"/>
      <c r="C180" s="40"/>
      <c r="D180" s="41"/>
      <c r="E180" s="40"/>
      <c r="F180" s="41"/>
      <c r="G180" s="183"/>
      <c r="H180" s="38"/>
      <c r="I180" s="42"/>
      <c r="J180" s="42"/>
      <c r="K180" s="43"/>
      <c r="L180" s="43"/>
      <c r="M180" s="44" t="str">
        <f>IF(LayTable[[#This Row],[Sport]]="","",LayTable[[#This Row],[LayInnsats]]*(LayTable[[#This Row],[LayOdds]]-1))</f>
        <v/>
      </c>
      <c r="N180" s="45" t="str">
        <f>IF(LayTable[[#This Row],[Sport]]="","",1/((1/LayTable[[#This Row],[BookieOdds]])+(1/((1/((1+((LayTable[[#This Row],[LayOdds]]-1)*(1+LayTable[[#This Row],[C% Lay]])))-1))+1)))-1)</f>
        <v/>
      </c>
      <c r="Q180" s="46" t="str">
        <f>IF(LayTable[[#This Row],[Sport]]="","",LayTable[[#This Row],[BookieInnsats]]+LayTable[[#This Row],[LayLiability]])</f>
        <v/>
      </c>
      <c r="R1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 s="47" t="str">
        <f>IF(LayTable[[#This Row],[Utfall bookie]]="","",LayTable[[#This Row],[WBABack]]+LayTable[[#This Row],[WBALay]]-LayTable[[#This Row],[Total inns]])</f>
        <v/>
      </c>
      <c r="U1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 s="48" t="str">
        <f>IFERROR(IF(LayTable[[#This Row],[Total inns]]="","",LayTable[[#This Row],[Rback]]/LayTable[[#This Row],[Total inns]]),"")</f>
        <v/>
      </c>
      <c r="X180" s="48" t="str">
        <f>IFERROR(IF(LayTable[[#This Row],[Total inns]]="","",LayTable[[#This Row],[Rlay]]/LayTable[[#This Row],[Total inns]]),"")</f>
        <v/>
      </c>
      <c r="Y180" s="48" t="str">
        <f>IFERROR(LayTable[[#This Row],[Faktisk res]]/LayTable[[#This Row],[Total inns]],"")</f>
        <v/>
      </c>
      <c r="Z180" s="47">
        <f>(LayTable[[#This Row],[BookieInnsats]]*LayTable[[#This Row],[BookieOdds]]-LayTable[[#This Row],[BookieInnsats]])*(1-LayTable[[#This Row],[C% Bookie]])</f>
        <v>0</v>
      </c>
      <c r="AA180" s="43">
        <f>LayTable[[#This Row],[LayInnsats]]*(1-LayTable[[#This Row],[C% Lay]])</f>
        <v>0</v>
      </c>
      <c r="AB180" s="43" t="str">
        <f>IFERROR(IF(LayTable[[#This Row],[Sport]]="",AB179,LayTable[[#This Row],[Faktisk res]]+AB179),"")</f>
        <v/>
      </c>
      <c r="AC180" s="43">
        <f>(LayTable[[#This Row],[BackWin-Commission]]+LayTable[[#This Row],[BookieInnsats]])</f>
        <v>0</v>
      </c>
      <c r="AD180" s="43" t="e">
        <f>(LayTable[[#This Row],[LayWin-Commission]])+LayTable[[#This Row],[LayLiability]]</f>
        <v>#VALUE!</v>
      </c>
      <c r="AE180" s="181"/>
      <c r="AF180" s="205"/>
    </row>
    <row r="181" spans="1:32">
      <c r="A181" s="183"/>
      <c r="B181" s="177"/>
      <c r="C181" s="40"/>
      <c r="D181" s="41"/>
      <c r="E181" s="40"/>
      <c r="F181" s="41"/>
      <c r="G181" s="183"/>
      <c r="H181" s="38"/>
      <c r="I181" s="42"/>
      <c r="J181" s="42"/>
      <c r="K181" s="43"/>
      <c r="L181" s="43"/>
      <c r="M181" s="44" t="str">
        <f>IF(LayTable[[#This Row],[Sport]]="","",LayTable[[#This Row],[LayInnsats]]*(LayTable[[#This Row],[LayOdds]]-1))</f>
        <v/>
      </c>
      <c r="N181" s="45" t="str">
        <f>IF(LayTable[[#This Row],[Sport]]="","",1/((1/LayTable[[#This Row],[BookieOdds]])+(1/((1/((1+((LayTable[[#This Row],[LayOdds]]-1)*(1+LayTable[[#This Row],[C% Lay]])))-1))+1)))-1)</f>
        <v/>
      </c>
      <c r="Q181" s="46" t="str">
        <f>IF(LayTable[[#This Row],[Sport]]="","",LayTable[[#This Row],[BookieInnsats]]+LayTable[[#This Row],[LayLiability]])</f>
        <v/>
      </c>
      <c r="R1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 s="47" t="str">
        <f>IF(LayTable[[#This Row],[Utfall bookie]]="","",LayTable[[#This Row],[WBABack]]+LayTable[[#This Row],[WBALay]]-LayTable[[#This Row],[Total inns]])</f>
        <v/>
      </c>
      <c r="U1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 s="48" t="str">
        <f>IFERROR(IF(LayTable[[#This Row],[Total inns]]="","",LayTable[[#This Row],[Rback]]/LayTable[[#This Row],[Total inns]]),"")</f>
        <v/>
      </c>
      <c r="X181" s="48" t="str">
        <f>IFERROR(IF(LayTable[[#This Row],[Total inns]]="","",LayTable[[#This Row],[Rlay]]/LayTable[[#This Row],[Total inns]]),"")</f>
        <v/>
      </c>
      <c r="Y181" s="48" t="str">
        <f>IFERROR(LayTable[[#This Row],[Faktisk res]]/LayTable[[#This Row],[Total inns]],"")</f>
        <v/>
      </c>
      <c r="Z181" s="47">
        <f>(LayTable[[#This Row],[BookieInnsats]]*LayTable[[#This Row],[BookieOdds]]-LayTable[[#This Row],[BookieInnsats]])*(1-LayTable[[#This Row],[C% Bookie]])</f>
        <v>0</v>
      </c>
      <c r="AA181" s="43">
        <f>LayTable[[#This Row],[LayInnsats]]*(1-LayTable[[#This Row],[C% Lay]])</f>
        <v>0</v>
      </c>
      <c r="AB181" s="43" t="str">
        <f>IFERROR(IF(LayTable[[#This Row],[Sport]]="",AB180,LayTable[[#This Row],[Faktisk res]]+AB180),"")</f>
        <v/>
      </c>
      <c r="AC181" s="43">
        <f>(LayTable[[#This Row],[BackWin-Commission]]+LayTable[[#This Row],[BookieInnsats]])</f>
        <v>0</v>
      </c>
      <c r="AD181" s="43" t="e">
        <f>(LayTable[[#This Row],[LayWin-Commission]])+LayTable[[#This Row],[LayLiability]]</f>
        <v>#VALUE!</v>
      </c>
      <c r="AE181" s="181"/>
      <c r="AF181" s="205"/>
    </row>
    <row r="182" spans="1:32">
      <c r="A182" s="183"/>
      <c r="B182" s="177"/>
      <c r="C182" s="40"/>
      <c r="D182" s="41"/>
      <c r="E182" s="40"/>
      <c r="F182" s="41"/>
      <c r="G182" s="183"/>
      <c r="H182" s="38"/>
      <c r="I182" s="42"/>
      <c r="J182" s="42"/>
      <c r="K182" s="43"/>
      <c r="L182" s="43"/>
      <c r="M182" s="44" t="str">
        <f>IF(LayTable[[#This Row],[Sport]]="","",LayTable[[#This Row],[LayInnsats]]*(LayTable[[#This Row],[LayOdds]]-1))</f>
        <v/>
      </c>
      <c r="N182" s="45" t="str">
        <f>IF(LayTable[[#This Row],[Sport]]="","",1/((1/LayTable[[#This Row],[BookieOdds]])+(1/((1/((1+((LayTable[[#This Row],[LayOdds]]-1)*(1+LayTable[[#This Row],[C% Lay]])))-1))+1)))-1)</f>
        <v/>
      </c>
      <c r="Q182" s="46" t="str">
        <f>IF(LayTable[[#This Row],[Sport]]="","",LayTable[[#This Row],[BookieInnsats]]+LayTable[[#This Row],[LayLiability]])</f>
        <v/>
      </c>
      <c r="R1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 s="47" t="str">
        <f>IF(LayTable[[#This Row],[Utfall bookie]]="","",LayTable[[#This Row],[WBABack]]+LayTable[[#This Row],[WBALay]]-LayTable[[#This Row],[Total inns]])</f>
        <v/>
      </c>
      <c r="U1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 s="48" t="str">
        <f>IFERROR(IF(LayTable[[#This Row],[Total inns]]="","",LayTable[[#This Row],[Rback]]/LayTable[[#This Row],[Total inns]]),"")</f>
        <v/>
      </c>
      <c r="X182" s="48" t="str">
        <f>IFERROR(IF(LayTable[[#This Row],[Total inns]]="","",LayTable[[#This Row],[Rlay]]/LayTable[[#This Row],[Total inns]]),"")</f>
        <v/>
      </c>
      <c r="Y182" s="48" t="str">
        <f>IFERROR(LayTable[[#This Row],[Faktisk res]]/LayTable[[#This Row],[Total inns]],"")</f>
        <v/>
      </c>
      <c r="Z182" s="47">
        <f>(LayTable[[#This Row],[BookieInnsats]]*LayTable[[#This Row],[BookieOdds]]-LayTable[[#This Row],[BookieInnsats]])*(1-LayTable[[#This Row],[C% Bookie]])</f>
        <v>0</v>
      </c>
      <c r="AA182" s="43">
        <f>LayTable[[#This Row],[LayInnsats]]*(1-LayTable[[#This Row],[C% Lay]])</f>
        <v>0</v>
      </c>
      <c r="AB182" s="43" t="str">
        <f>IFERROR(IF(LayTable[[#This Row],[Sport]]="",AB181,LayTable[[#This Row],[Faktisk res]]+AB181),"")</f>
        <v/>
      </c>
      <c r="AC182" s="43">
        <f>(LayTable[[#This Row],[BackWin-Commission]]+LayTable[[#This Row],[BookieInnsats]])</f>
        <v>0</v>
      </c>
      <c r="AD182" s="43" t="e">
        <f>(LayTable[[#This Row],[LayWin-Commission]])+LayTable[[#This Row],[LayLiability]]</f>
        <v>#VALUE!</v>
      </c>
      <c r="AE182" s="181"/>
      <c r="AF182" s="205"/>
    </row>
    <row r="183" spans="1:32">
      <c r="A183" s="84"/>
      <c r="B183" s="177"/>
      <c r="C183" s="40"/>
      <c r="D183" s="41"/>
      <c r="E183" s="40"/>
      <c r="F183" s="41"/>
      <c r="G183" s="183"/>
      <c r="H183" s="38"/>
      <c r="I183" s="42"/>
      <c r="J183" s="42"/>
      <c r="K183" s="43"/>
      <c r="L183" s="43"/>
      <c r="M183" s="44" t="str">
        <f>IF(LayTable[[#This Row],[Sport]]="","",LayTable[[#This Row],[LayInnsats]]*(LayTable[[#This Row],[LayOdds]]-1))</f>
        <v/>
      </c>
      <c r="N183" s="45" t="str">
        <f>IF(LayTable[[#This Row],[Sport]]="","",1/((1/LayTable[[#This Row],[BookieOdds]])+(1/((1/((1+((LayTable[[#This Row],[LayOdds]]-1)*(1+LayTable[[#This Row],[C% Lay]])))-1))+1)))-1)</f>
        <v/>
      </c>
      <c r="Q183" s="46" t="str">
        <f>IF(LayTable[[#This Row],[Sport]]="","",LayTable[[#This Row],[BookieInnsats]]+LayTable[[#This Row],[LayLiability]])</f>
        <v/>
      </c>
      <c r="R1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 s="47" t="str">
        <f>IF(LayTable[[#This Row],[Utfall bookie]]="","",LayTable[[#This Row],[WBABack]]+LayTable[[#This Row],[WBALay]]-LayTable[[#This Row],[Total inns]])</f>
        <v/>
      </c>
      <c r="U1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 s="48" t="str">
        <f>IFERROR(IF(LayTable[[#This Row],[Total inns]]="","",LayTable[[#This Row],[Rback]]/LayTable[[#This Row],[Total inns]]),"")</f>
        <v/>
      </c>
      <c r="X183" s="48" t="str">
        <f>IFERROR(IF(LayTable[[#This Row],[Total inns]]="","",LayTable[[#This Row],[Rlay]]/LayTable[[#This Row],[Total inns]]),"")</f>
        <v/>
      </c>
      <c r="Y183" s="48" t="str">
        <f>IFERROR(LayTable[[#This Row],[Faktisk res]]/LayTable[[#This Row],[Total inns]],"")</f>
        <v/>
      </c>
      <c r="Z183" s="47">
        <f>(LayTable[[#This Row],[BookieInnsats]]*LayTable[[#This Row],[BookieOdds]]-LayTable[[#This Row],[BookieInnsats]])*(1-LayTable[[#This Row],[C% Bookie]])</f>
        <v>0</v>
      </c>
      <c r="AA183" s="43">
        <f>LayTable[[#This Row],[LayInnsats]]*(1-LayTable[[#This Row],[C% Lay]])</f>
        <v>0</v>
      </c>
      <c r="AB183" s="43" t="str">
        <f>IFERROR(IF(LayTable[[#This Row],[Sport]]="",AB182,LayTable[[#This Row],[Faktisk res]]+AB182),"")</f>
        <v/>
      </c>
      <c r="AC183" s="43">
        <f>(LayTable[[#This Row],[BackWin-Commission]]+LayTable[[#This Row],[BookieInnsats]])</f>
        <v>0</v>
      </c>
      <c r="AD183" s="43" t="e">
        <f>(LayTable[[#This Row],[LayWin-Commission]])+LayTable[[#This Row],[LayLiability]]</f>
        <v>#VALUE!</v>
      </c>
      <c r="AE183" s="181"/>
      <c r="AF183" s="205"/>
    </row>
    <row r="184" spans="1:32">
      <c r="A184" s="84"/>
      <c r="B184" s="177"/>
      <c r="C184" s="40"/>
      <c r="D184" s="41"/>
      <c r="E184" s="40"/>
      <c r="F184" s="41"/>
      <c r="G184" s="183"/>
      <c r="H184" s="38"/>
      <c r="I184" s="42"/>
      <c r="J184" s="42"/>
      <c r="K184" s="43"/>
      <c r="L184" s="43"/>
      <c r="M184" s="44" t="str">
        <f>IF(LayTable[[#This Row],[Sport]]="","",LayTable[[#This Row],[LayInnsats]]*(LayTable[[#This Row],[LayOdds]]-1))</f>
        <v/>
      </c>
      <c r="N184" s="45" t="str">
        <f>IF(LayTable[[#This Row],[Sport]]="","",1/((1/LayTable[[#This Row],[BookieOdds]])+(1/((1/((1+((LayTable[[#This Row],[LayOdds]]-1)*(1+LayTable[[#This Row],[C% Lay]])))-1))+1)))-1)</f>
        <v/>
      </c>
      <c r="Q184" s="46" t="str">
        <f>IF(LayTable[[#This Row],[Sport]]="","",LayTable[[#This Row],[BookieInnsats]]+LayTable[[#This Row],[LayLiability]])</f>
        <v/>
      </c>
      <c r="R1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 s="47" t="str">
        <f>IF(LayTable[[#This Row],[Utfall bookie]]="","",LayTable[[#This Row],[WBABack]]+LayTable[[#This Row],[WBALay]]-LayTable[[#This Row],[Total inns]])</f>
        <v/>
      </c>
      <c r="U1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 s="48" t="str">
        <f>IFERROR(IF(LayTable[[#This Row],[Total inns]]="","",LayTable[[#This Row],[Rback]]/LayTable[[#This Row],[Total inns]]),"")</f>
        <v/>
      </c>
      <c r="X184" s="48" t="str">
        <f>IFERROR(IF(LayTable[[#This Row],[Total inns]]="","",LayTable[[#This Row],[Rlay]]/LayTable[[#This Row],[Total inns]]),"")</f>
        <v/>
      </c>
      <c r="Y184" s="48" t="str">
        <f>IFERROR(LayTable[[#This Row],[Faktisk res]]/LayTable[[#This Row],[Total inns]],"")</f>
        <v/>
      </c>
      <c r="Z184" s="47">
        <f>(LayTable[[#This Row],[BookieInnsats]]*LayTable[[#This Row],[BookieOdds]]-LayTable[[#This Row],[BookieInnsats]])*(1-LayTable[[#This Row],[C% Bookie]])</f>
        <v>0</v>
      </c>
      <c r="AA184" s="43">
        <f>LayTable[[#This Row],[LayInnsats]]*(1-LayTable[[#This Row],[C% Lay]])</f>
        <v>0</v>
      </c>
      <c r="AB184" s="43" t="str">
        <f>IFERROR(IF(LayTable[[#This Row],[Sport]]="",AB183,LayTable[[#This Row],[Faktisk res]]+AB183),"")</f>
        <v/>
      </c>
      <c r="AC184" s="43">
        <f>(LayTable[[#This Row],[BackWin-Commission]]+LayTable[[#This Row],[BookieInnsats]])</f>
        <v>0</v>
      </c>
      <c r="AD184" s="43" t="e">
        <f>(LayTable[[#This Row],[LayWin-Commission]])+LayTable[[#This Row],[LayLiability]]</f>
        <v>#VALUE!</v>
      </c>
      <c r="AE184" s="181"/>
      <c r="AF184" s="205"/>
    </row>
    <row r="185" spans="1:32">
      <c r="A185" s="183"/>
      <c r="B185" s="177"/>
      <c r="C185" s="178"/>
      <c r="D185" s="179"/>
      <c r="E185" s="178"/>
      <c r="F185" s="179"/>
      <c r="G185" s="183"/>
      <c r="H185" s="38"/>
      <c r="I185" s="42"/>
      <c r="J185" s="42"/>
      <c r="K185" s="43"/>
      <c r="L185" s="43"/>
      <c r="M185" s="44" t="str">
        <f>IF(LayTable[[#This Row],[Sport]]="","",LayTable[[#This Row],[LayInnsats]]*(LayTable[[#This Row],[LayOdds]]-1))</f>
        <v/>
      </c>
      <c r="N185" s="45" t="str">
        <f>IF(LayTable[[#This Row],[Sport]]="","",1/((1/LayTable[[#This Row],[BookieOdds]])+(1/((1/((1+((LayTable[[#This Row],[LayOdds]]-1)*(1+LayTable[[#This Row],[C% Lay]])))-1))+1)))-1)</f>
        <v/>
      </c>
      <c r="Q185" s="46" t="str">
        <f>IF(LayTable[[#This Row],[Sport]]="","",LayTable[[#This Row],[BookieInnsats]]+LayTable[[#This Row],[LayLiability]])</f>
        <v/>
      </c>
      <c r="R1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 s="47" t="str">
        <f>IF(LayTable[[#This Row],[Utfall bookie]]="","",LayTable[[#This Row],[WBABack]]+LayTable[[#This Row],[WBALay]]-LayTable[[#This Row],[Total inns]])</f>
        <v/>
      </c>
      <c r="U1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 s="48" t="str">
        <f>IFERROR(IF(LayTable[[#This Row],[Total inns]]="","",LayTable[[#This Row],[Rback]]/LayTable[[#This Row],[Total inns]]),"")</f>
        <v/>
      </c>
      <c r="X185" s="48" t="str">
        <f>IFERROR(IF(LayTable[[#This Row],[Total inns]]="","",LayTable[[#This Row],[Rlay]]/LayTable[[#This Row],[Total inns]]),"")</f>
        <v/>
      </c>
      <c r="Y185" s="48" t="str">
        <f>IFERROR(LayTable[[#This Row],[Faktisk res]]/LayTable[[#This Row],[Total inns]],"")</f>
        <v/>
      </c>
      <c r="Z185" s="47">
        <f>(LayTable[[#This Row],[BookieInnsats]]*LayTable[[#This Row],[BookieOdds]]-LayTable[[#This Row],[BookieInnsats]])*(1-LayTable[[#This Row],[C% Bookie]])</f>
        <v>0</v>
      </c>
      <c r="AA185" s="43">
        <f>LayTable[[#This Row],[LayInnsats]]*(1-LayTable[[#This Row],[C% Lay]])</f>
        <v>0</v>
      </c>
      <c r="AB185" s="43" t="str">
        <f>IFERROR(IF(LayTable[[#This Row],[Sport]]="",AB184,LayTable[[#This Row],[Faktisk res]]+AB184),"")</f>
        <v/>
      </c>
      <c r="AC185" s="43">
        <f>(LayTable[[#This Row],[BackWin-Commission]]+LayTable[[#This Row],[BookieInnsats]])</f>
        <v>0</v>
      </c>
      <c r="AD185" s="43" t="e">
        <f>(LayTable[[#This Row],[LayWin-Commission]])+LayTable[[#This Row],[LayLiability]]</f>
        <v>#VALUE!</v>
      </c>
      <c r="AE185" s="181"/>
      <c r="AF185" s="205"/>
    </row>
    <row r="186" spans="1:32">
      <c r="A186" s="183"/>
      <c r="B186" s="177"/>
      <c r="C186" s="40"/>
      <c r="D186" s="41"/>
      <c r="E186" s="178"/>
      <c r="F186" s="179"/>
      <c r="G186" s="183"/>
      <c r="H186" s="38"/>
      <c r="I186" s="42"/>
      <c r="J186" s="42"/>
      <c r="K186" s="43"/>
      <c r="L186" s="43"/>
      <c r="M186" s="44" t="str">
        <f>IF(LayTable[[#This Row],[Sport]]="","",LayTable[[#This Row],[LayInnsats]]*(LayTable[[#This Row],[LayOdds]]-1))</f>
        <v/>
      </c>
      <c r="N186" s="45" t="str">
        <f>IF(LayTable[[#This Row],[Sport]]="","",1/((1/LayTable[[#This Row],[BookieOdds]])+(1/((1/((1+((LayTable[[#This Row],[LayOdds]]-1)*(1+LayTable[[#This Row],[C% Lay]])))-1))+1)))-1)</f>
        <v/>
      </c>
      <c r="Q186" s="46" t="str">
        <f>IF(LayTable[[#This Row],[Sport]]="","",LayTable[[#This Row],[BookieInnsats]]+LayTable[[#This Row],[LayLiability]])</f>
        <v/>
      </c>
      <c r="R1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 s="47" t="str">
        <f>IF(LayTable[[#This Row],[Utfall bookie]]="","",LayTable[[#This Row],[WBABack]]+LayTable[[#This Row],[WBALay]]-LayTable[[#This Row],[Total inns]])</f>
        <v/>
      </c>
      <c r="U1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 s="48" t="str">
        <f>IFERROR(IF(LayTable[[#This Row],[Total inns]]="","",LayTable[[#This Row],[Rback]]/LayTable[[#This Row],[Total inns]]),"")</f>
        <v/>
      </c>
      <c r="X186" s="48" t="str">
        <f>IFERROR(IF(LayTable[[#This Row],[Total inns]]="","",LayTable[[#This Row],[Rlay]]/LayTable[[#This Row],[Total inns]]),"")</f>
        <v/>
      </c>
      <c r="Y186" s="48" t="str">
        <f>IFERROR(LayTable[[#This Row],[Faktisk res]]/LayTable[[#This Row],[Total inns]],"")</f>
        <v/>
      </c>
      <c r="Z186" s="47">
        <f>(LayTable[[#This Row],[BookieInnsats]]*LayTable[[#This Row],[BookieOdds]]-LayTable[[#This Row],[BookieInnsats]])*(1-LayTable[[#This Row],[C% Bookie]])</f>
        <v>0</v>
      </c>
      <c r="AA186" s="43">
        <f>LayTable[[#This Row],[LayInnsats]]*(1-LayTable[[#This Row],[C% Lay]])</f>
        <v>0</v>
      </c>
      <c r="AB186" s="43" t="str">
        <f>IFERROR(IF(LayTable[[#This Row],[Sport]]="",AB185,LayTable[[#This Row],[Faktisk res]]+AB185),"")</f>
        <v/>
      </c>
      <c r="AC186" s="43">
        <f>(LayTable[[#This Row],[BackWin-Commission]]+LayTable[[#This Row],[BookieInnsats]])</f>
        <v>0</v>
      </c>
      <c r="AD186" s="43" t="e">
        <f>(LayTable[[#This Row],[LayWin-Commission]])+LayTable[[#This Row],[LayLiability]]</f>
        <v>#VALUE!</v>
      </c>
      <c r="AE186" s="181"/>
      <c r="AF186" s="205"/>
    </row>
    <row r="187" spans="1:32">
      <c r="A187" s="183"/>
      <c r="B187" s="177"/>
      <c r="C187" s="40"/>
      <c r="D187" s="41"/>
      <c r="E187" s="178"/>
      <c r="F187" s="179"/>
      <c r="G187" s="183"/>
      <c r="H187" s="38"/>
      <c r="I187" s="42"/>
      <c r="J187" s="42"/>
      <c r="K187" s="43"/>
      <c r="L187" s="43"/>
      <c r="M187" s="44" t="str">
        <f>IF(LayTable[[#This Row],[Sport]]="","",LayTable[[#This Row],[LayInnsats]]*(LayTable[[#This Row],[LayOdds]]-1))</f>
        <v/>
      </c>
      <c r="N187" s="45" t="str">
        <f>IF(LayTable[[#This Row],[Sport]]="","",1/((1/LayTable[[#This Row],[BookieOdds]])+(1/((1/((1+((LayTable[[#This Row],[LayOdds]]-1)*(1+LayTable[[#This Row],[C% Lay]])))-1))+1)))-1)</f>
        <v/>
      </c>
      <c r="Q187" s="46" t="str">
        <f>IF(LayTable[[#This Row],[Sport]]="","",LayTable[[#This Row],[BookieInnsats]]+LayTable[[#This Row],[LayLiability]])</f>
        <v/>
      </c>
      <c r="R1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 s="47" t="str">
        <f>IF(LayTable[[#This Row],[Utfall bookie]]="","",LayTable[[#This Row],[WBABack]]+LayTable[[#This Row],[WBALay]]-LayTable[[#This Row],[Total inns]])</f>
        <v/>
      </c>
      <c r="U1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 s="48" t="str">
        <f>IFERROR(IF(LayTable[[#This Row],[Total inns]]="","",LayTable[[#This Row],[Rback]]/LayTable[[#This Row],[Total inns]]),"")</f>
        <v/>
      </c>
      <c r="X187" s="48" t="str">
        <f>IFERROR(IF(LayTable[[#This Row],[Total inns]]="","",LayTable[[#This Row],[Rlay]]/LayTable[[#This Row],[Total inns]]),"")</f>
        <v/>
      </c>
      <c r="Y187" s="48" t="str">
        <f>IFERROR(LayTable[[#This Row],[Faktisk res]]/LayTable[[#This Row],[Total inns]],"")</f>
        <v/>
      </c>
      <c r="Z187" s="47">
        <f>(LayTable[[#This Row],[BookieInnsats]]*LayTable[[#This Row],[BookieOdds]]-LayTable[[#This Row],[BookieInnsats]])*(1-LayTable[[#This Row],[C% Bookie]])</f>
        <v>0</v>
      </c>
      <c r="AA187" s="43">
        <f>LayTable[[#This Row],[LayInnsats]]*(1-LayTable[[#This Row],[C% Lay]])</f>
        <v>0</v>
      </c>
      <c r="AB187" s="43" t="str">
        <f>IFERROR(IF(LayTable[[#This Row],[Sport]]="",AB186,LayTable[[#This Row],[Faktisk res]]+AB186),"")</f>
        <v/>
      </c>
      <c r="AC187" s="43">
        <f>(LayTable[[#This Row],[BackWin-Commission]]+LayTable[[#This Row],[BookieInnsats]])</f>
        <v>0</v>
      </c>
      <c r="AD187" s="43" t="e">
        <f>(LayTable[[#This Row],[LayWin-Commission]])+LayTable[[#This Row],[LayLiability]]</f>
        <v>#VALUE!</v>
      </c>
      <c r="AE187" s="181"/>
      <c r="AF187" s="205"/>
    </row>
    <row r="188" spans="1:32">
      <c r="A188" s="183"/>
      <c r="B188" s="177"/>
      <c r="C188" s="40"/>
      <c r="D188" s="41"/>
      <c r="E188" s="178"/>
      <c r="F188" s="179"/>
      <c r="G188" s="183"/>
      <c r="H188" s="38"/>
      <c r="I188" s="42"/>
      <c r="J188" s="42"/>
      <c r="K188" s="43"/>
      <c r="L188" s="43"/>
      <c r="M188" s="44" t="str">
        <f>IF(LayTable[[#This Row],[Sport]]="","",LayTable[[#This Row],[LayInnsats]]*(LayTable[[#This Row],[LayOdds]]-1))</f>
        <v/>
      </c>
      <c r="N188" s="45" t="str">
        <f>IF(LayTable[[#This Row],[Sport]]="","",1/((1/LayTable[[#This Row],[BookieOdds]])+(1/((1/((1+((LayTable[[#This Row],[LayOdds]]-1)*(1+LayTable[[#This Row],[C% Lay]])))-1))+1)))-1)</f>
        <v/>
      </c>
      <c r="Q188" s="46" t="str">
        <f>IF(LayTable[[#This Row],[Sport]]="","",LayTable[[#This Row],[BookieInnsats]]+LayTable[[#This Row],[LayLiability]])</f>
        <v/>
      </c>
      <c r="R1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 s="47" t="str">
        <f>IF(LayTable[[#This Row],[Utfall bookie]]="","",LayTable[[#This Row],[WBABack]]+LayTable[[#This Row],[WBALay]]-LayTable[[#This Row],[Total inns]])</f>
        <v/>
      </c>
      <c r="U1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 s="48" t="str">
        <f>IFERROR(IF(LayTable[[#This Row],[Total inns]]="","",LayTable[[#This Row],[Rback]]/LayTable[[#This Row],[Total inns]]),"")</f>
        <v/>
      </c>
      <c r="X188" s="48" t="str">
        <f>IFERROR(IF(LayTable[[#This Row],[Total inns]]="","",LayTable[[#This Row],[Rlay]]/LayTable[[#This Row],[Total inns]]),"")</f>
        <v/>
      </c>
      <c r="Y188" s="48" t="str">
        <f>IFERROR(LayTable[[#This Row],[Faktisk res]]/LayTable[[#This Row],[Total inns]],"")</f>
        <v/>
      </c>
      <c r="Z188" s="47">
        <f>(LayTable[[#This Row],[BookieInnsats]]*LayTable[[#This Row],[BookieOdds]]-LayTable[[#This Row],[BookieInnsats]])*(1-LayTable[[#This Row],[C% Bookie]])</f>
        <v>0</v>
      </c>
      <c r="AA188" s="43">
        <f>LayTable[[#This Row],[LayInnsats]]*(1-LayTable[[#This Row],[C% Lay]])</f>
        <v>0</v>
      </c>
      <c r="AB188" s="43" t="str">
        <f>IFERROR(IF(LayTable[[#This Row],[Sport]]="",AB187,LayTable[[#This Row],[Faktisk res]]+AB187),"")</f>
        <v/>
      </c>
      <c r="AC188" s="43">
        <f>(LayTable[[#This Row],[BackWin-Commission]]+LayTable[[#This Row],[BookieInnsats]])</f>
        <v>0</v>
      </c>
      <c r="AD188" s="43" t="e">
        <f>(LayTable[[#This Row],[LayWin-Commission]])+LayTable[[#This Row],[LayLiability]]</f>
        <v>#VALUE!</v>
      </c>
      <c r="AE188" s="181"/>
      <c r="AF188" s="205"/>
    </row>
    <row r="189" spans="1:32">
      <c r="A189" s="183"/>
      <c r="B189" s="177"/>
      <c r="C189" s="178"/>
      <c r="D189" s="179"/>
      <c r="E189" s="178"/>
      <c r="F189" s="179"/>
      <c r="G189" s="183"/>
      <c r="H189" s="38"/>
      <c r="I189" s="42"/>
      <c r="J189" s="42"/>
      <c r="K189" s="43"/>
      <c r="L189" s="43"/>
      <c r="M189" s="44" t="str">
        <f>IF(LayTable[[#This Row],[Sport]]="","",LayTable[[#This Row],[LayInnsats]]*(LayTable[[#This Row],[LayOdds]]-1))</f>
        <v/>
      </c>
      <c r="N189" s="45" t="str">
        <f>IF(LayTable[[#This Row],[Sport]]="","",1/((1/LayTable[[#This Row],[BookieOdds]])+(1/((1/((1+((LayTable[[#This Row],[LayOdds]]-1)*(1+LayTable[[#This Row],[C% Lay]])))-1))+1)))-1)</f>
        <v/>
      </c>
      <c r="Q189" s="46" t="str">
        <f>IF(LayTable[[#This Row],[Sport]]="","",LayTable[[#This Row],[BookieInnsats]]+LayTable[[#This Row],[LayLiability]])</f>
        <v/>
      </c>
      <c r="R1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 s="47" t="str">
        <f>IF(LayTable[[#This Row],[Utfall bookie]]="","",LayTable[[#This Row],[WBABack]]+LayTable[[#This Row],[WBALay]]-LayTable[[#This Row],[Total inns]])</f>
        <v/>
      </c>
      <c r="U1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 s="48" t="str">
        <f>IFERROR(IF(LayTable[[#This Row],[Total inns]]="","",LayTable[[#This Row],[Rback]]/LayTable[[#This Row],[Total inns]]),"")</f>
        <v/>
      </c>
      <c r="X189" s="48" t="str">
        <f>IFERROR(IF(LayTable[[#This Row],[Total inns]]="","",LayTable[[#This Row],[Rlay]]/LayTable[[#This Row],[Total inns]]),"")</f>
        <v/>
      </c>
      <c r="Y189" s="48" t="str">
        <f>IFERROR(LayTable[[#This Row],[Faktisk res]]/LayTable[[#This Row],[Total inns]],"")</f>
        <v/>
      </c>
      <c r="Z189" s="47">
        <f>(LayTable[[#This Row],[BookieInnsats]]*LayTable[[#This Row],[BookieOdds]]-LayTable[[#This Row],[BookieInnsats]])*(1-LayTable[[#This Row],[C% Bookie]])</f>
        <v>0</v>
      </c>
      <c r="AA189" s="43">
        <f>LayTable[[#This Row],[LayInnsats]]*(1-LayTable[[#This Row],[C% Lay]])</f>
        <v>0</v>
      </c>
      <c r="AB189" s="43" t="str">
        <f>IFERROR(IF(LayTable[[#This Row],[Sport]]="",AB188,LayTable[[#This Row],[Faktisk res]]+AB188),"")</f>
        <v/>
      </c>
      <c r="AC189" s="43">
        <f>(LayTable[[#This Row],[BackWin-Commission]]+LayTable[[#This Row],[BookieInnsats]])</f>
        <v>0</v>
      </c>
      <c r="AD189" s="43" t="e">
        <f>(LayTable[[#This Row],[LayWin-Commission]])+LayTable[[#This Row],[LayLiability]]</f>
        <v>#VALUE!</v>
      </c>
      <c r="AE189" s="43"/>
      <c r="AF189" s="183"/>
    </row>
    <row r="190" spans="1:32">
      <c r="A190" s="84"/>
      <c r="B190" s="177"/>
      <c r="C190" s="40"/>
      <c r="D190" s="41"/>
      <c r="E190" s="40"/>
      <c r="F190" s="41"/>
      <c r="G190" s="183"/>
      <c r="H190" s="38"/>
      <c r="I190" s="42"/>
      <c r="J190" s="42"/>
      <c r="K190" s="43"/>
      <c r="L190" s="43"/>
      <c r="M190" s="44" t="str">
        <f>IF(LayTable[[#This Row],[Sport]]="","",LayTable[[#This Row],[LayInnsats]]*(LayTable[[#This Row],[LayOdds]]-1))</f>
        <v/>
      </c>
      <c r="N190" s="45" t="str">
        <f>IF(LayTable[[#This Row],[Sport]]="","",1/((1/LayTable[[#This Row],[BookieOdds]])+(1/((1/((1+((LayTable[[#This Row],[LayOdds]]-1)*(1+LayTable[[#This Row],[C% Lay]])))-1))+1)))-1)</f>
        <v/>
      </c>
      <c r="Q190" s="46" t="str">
        <f>IF(LayTable[[#This Row],[Sport]]="","",LayTable[[#This Row],[BookieInnsats]]+LayTable[[#This Row],[LayLiability]])</f>
        <v/>
      </c>
      <c r="R1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 s="47" t="str">
        <f>IF(LayTable[[#This Row],[Utfall bookie]]="","",LayTable[[#This Row],[WBABack]]+LayTable[[#This Row],[WBALay]]-LayTable[[#This Row],[Total inns]])</f>
        <v/>
      </c>
      <c r="U1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 s="48" t="str">
        <f>IFERROR(IF(LayTable[[#This Row],[Total inns]]="","",LayTable[[#This Row],[Rback]]/LayTable[[#This Row],[Total inns]]),"")</f>
        <v/>
      </c>
      <c r="X190" s="48" t="str">
        <f>IFERROR(IF(LayTable[[#This Row],[Total inns]]="","",LayTable[[#This Row],[Rlay]]/LayTable[[#This Row],[Total inns]]),"")</f>
        <v/>
      </c>
      <c r="Y190" s="48" t="str">
        <f>IFERROR(LayTable[[#This Row],[Faktisk res]]/LayTable[[#This Row],[Total inns]],"")</f>
        <v/>
      </c>
      <c r="Z190" s="47">
        <f>(LayTable[[#This Row],[BookieInnsats]]*LayTable[[#This Row],[BookieOdds]]-LayTable[[#This Row],[BookieInnsats]])*(1-LayTable[[#This Row],[C% Bookie]])</f>
        <v>0</v>
      </c>
      <c r="AA190" s="43">
        <f>LayTable[[#This Row],[LayInnsats]]*(1-LayTable[[#This Row],[C% Lay]])</f>
        <v>0</v>
      </c>
      <c r="AB190" s="43" t="str">
        <f>IFERROR(IF(LayTable[[#This Row],[Sport]]="",AB189,LayTable[[#This Row],[Faktisk res]]+AB189),"")</f>
        <v/>
      </c>
      <c r="AC190" s="43">
        <f>(LayTable[[#This Row],[BackWin-Commission]]+LayTable[[#This Row],[BookieInnsats]])</f>
        <v>0</v>
      </c>
      <c r="AD190" s="43" t="e">
        <f>(LayTable[[#This Row],[LayWin-Commission]])+LayTable[[#This Row],[LayLiability]]</f>
        <v>#VALUE!</v>
      </c>
      <c r="AE190" s="43"/>
      <c r="AF190" s="183"/>
    </row>
    <row r="191" spans="1:32">
      <c r="A191" s="84"/>
      <c r="B191" s="177"/>
      <c r="C191" s="40"/>
      <c r="D191" s="41"/>
      <c r="E191" s="40"/>
      <c r="F191" s="41"/>
      <c r="G191" s="183"/>
      <c r="H191" s="38"/>
      <c r="I191" s="42"/>
      <c r="J191" s="42"/>
      <c r="K191" s="43"/>
      <c r="L191" s="43"/>
      <c r="M191" s="44" t="str">
        <f>IF(LayTable[[#This Row],[Sport]]="","",LayTable[[#This Row],[LayInnsats]]*(LayTable[[#This Row],[LayOdds]]-1))</f>
        <v/>
      </c>
      <c r="N191" s="45" t="str">
        <f>IF(LayTable[[#This Row],[Sport]]="","",1/((1/LayTable[[#This Row],[BookieOdds]])+(1/((1/((1+((LayTable[[#This Row],[LayOdds]]-1)*(1+LayTable[[#This Row],[C% Lay]])))-1))+1)))-1)</f>
        <v/>
      </c>
      <c r="Q191" s="46" t="str">
        <f>IF(LayTable[[#This Row],[Sport]]="","",LayTable[[#This Row],[BookieInnsats]]+LayTable[[#This Row],[LayLiability]])</f>
        <v/>
      </c>
      <c r="R1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 s="47" t="str">
        <f>IF(LayTable[[#This Row],[Utfall bookie]]="","",LayTable[[#This Row],[WBABack]]+LayTable[[#This Row],[WBALay]]-LayTable[[#This Row],[Total inns]])</f>
        <v/>
      </c>
      <c r="U1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 s="48" t="str">
        <f>IFERROR(IF(LayTable[[#This Row],[Total inns]]="","",LayTable[[#This Row],[Rback]]/LayTable[[#This Row],[Total inns]]),"")</f>
        <v/>
      </c>
      <c r="X191" s="48" t="str">
        <f>IFERROR(IF(LayTable[[#This Row],[Total inns]]="","",LayTable[[#This Row],[Rlay]]/LayTable[[#This Row],[Total inns]]),"")</f>
        <v/>
      </c>
      <c r="Y191" s="48" t="str">
        <f>IFERROR(LayTable[[#This Row],[Faktisk res]]/LayTable[[#This Row],[Total inns]],"")</f>
        <v/>
      </c>
      <c r="Z191" s="47">
        <f>(LayTable[[#This Row],[BookieInnsats]]*LayTable[[#This Row],[BookieOdds]]-LayTable[[#This Row],[BookieInnsats]])*(1-LayTable[[#This Row],[C% Bookie]])</f>
        <v>0</v>
      </c>
      <c r="AA191" s="43">
        <f>LayTable[[#This Row],[LayInnsats]]*(1-LayTable[[#This Row],[C% Lay]])</f>
        <v>0</v>
      </c>
      <c r="AB191" s="43" t="str">
        <f>IFERROR(IF(LayTable[[#This Row],[Sport]]="",AB190,LayTable[[#This Row],[Faktisk res]]+AB190),"")</f>
        <v/>
      </c>
      <c r="AC191" s="43">
        <f>(LayTable[[#This Row],[BackWin-Commission]]+LayTable[[#This Row],[BookieInnsats]])</f>
        <v>0</v>
      </c>
      <c r="AD191" s="43" t="e">
        <f>(LayTable[[#This Row],[LayWin-Commission]])+LayTable[[#This Row],[LayLiability]]</f>
        <v>#VALUE!</v>
      </c>
      <c r="AE191" s="43"/>
      <c r="AF191" s="183"/>
    </row>
    <row r="192" spans="1:32">
      <c r="A192" s="84"/>
      <c r="B192" s="177"/>
      <c r="C192" s="40"/>
      <c r="D192" s="41"/>
      <c r="E192" s="40"/>
      <c r="F192" s="41"/>
      <c r="G192" s="183"/>
      <c r="H192" s="38"/>
      <c r="I192" s="42"/>
      <c r="J192" s="42"/>
      <c r="K192" s="43"/>
      <c r="L192" s="43"/>
      <c r="M192" s="44" t="str">
        <f>IF(LayTable[[#This Row],[Sport]]="","",LayTable[[#This Row],[LayInnsats]]*(LayTable[[#This Row],[LayOdds]]-1))</f>
        <v/>
      </c>
      <c r="N192" s="45" t="str">
        <f>IF(LayTable[[#This Row],[Sport]]="","",1/((1/LayTable[[#This Row],[BookieOdds]])+(1/((1/((1+((LayTable[[#This Row],[LayOdds]]-1)*(1+LayTable[[#This Row],[C% Lay]])))-1))+1)))-1)</f>
        <v/>
      </c>
      <c r="Q192" s="46" t="str">
        <f>IF(LayTable[[#This Row],[Sport]]="","",LayTable[[#This Row],[BookieInnsats]]+LayTable[[#This Row],[LayLiability]])</f>
        <v/>
      </c>
      <c r="R1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 s="47" t="str">
        <f>IF(LayTable[[#This Row],[Utfall bookie]]="","",LayTable[[#This Row],[WBABack]]+LayTable[[#This Row],[WBALay]]-LayTable[[#This Row],[Total inns]])</f>
        <v/>
      </c>
      <c r="U1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 s="48" t="str">
        <f>IFERROR(IF(LayTable[[#This Row],[Total inns]]="","",LayTable[[#This Row],[Rback]]/LayTable[[#This Row],[Total inns]]),"")</f>
        <v/>
      </c>
      <c r="X192" s="48" t="str">
        <f>IFERROR(IF(LayTable[[#This Row],[Total inns]]="","",LayTable[[#This Row],[Rlay]]/LayTable[[#This Row],[Total inns]]),"")</f>
        <v/>
      </c>
      <c r="Y192" s="48" t="str">
        <f>IFERROR(LayTable[[#This Row],[Faktisk res]]/LayTable[[#This Row],[Total inns]],"")</f>
        <v/>
      </c>
      <c r="Z192" s="47">
        <f>(LayTable[[#This Row],[BookieInnsats]]*LayTable[[#This Row],[BookieOdds]]-LayTable[[#This Row],[BookieInnsats]])*(1-LayTable[[#This Row],[C% Bookie]])</f>
        <v>0</v>
      </c>
      <c r="AA192" s="43">
        <f>LayTable[[#This Row],[LayInnsats]]*(1-LayTable[[#This Row],[C% Lay]])</f>
        <v>0</v>
      </c>
      <c r="AB192" s="43" t="str">
        <f>IFERROR(IF(LayTable[[#This Row],[Sport]]="",AB191,LayTable[[#This Row],[Faktisk res]]+AB191),"")</f>
        <v/>
      </c>
      <c r="AC192" s="43">
        <f>(LayTable[[#This Row],[BackWin-Commission]]+LayTable[[#This Row],[BookieInnsats]])</f>
        <v>0</v>
      </c>
      <c r="AD192" s="43" t="e">
        <f>(LayTable[[#This Row],[LayWin-Commission]])+LayTable[[#This Row],[LayLiability]]</f>
        <v>#VALUE!</v>
      </c>
      <c r="AE192" s="43"/>
      <c r="AF192" s="183"/>
    </row>
    <row r="193" spans="1:32">
      <c r="A193" s="84"/>
      <c r="B193" s="177"/>
      <c r="C193" s="40"/>
      <c r="D193" s="41"/>
      <c r="E193" s="40"/>
      <c r="F193" s="41"/>
      <c r="G193" s="183"/>
      <c r="H193" s="38"/>
      <c r="I193" s="42"/>
      <c r="J193" s="42"/>
      <c r="K193" s="43"/>
      <c r="L193" s="43"/>
      <c r="M193" s="44" t="str">
        <f>IF(LayTable[[#This Row],[Sport]]="","",LayTable[[#This Row],[LayInnsats]]*(LayTable[[#This Row],[LayOdds]]-1))</f>
        <v/>
      </c>
      <c r="N193" s="45" t="str">
        <f>IF(LayTable[[#This Row],[Sport]]="","",1/((1/LayTable[[#This Row],[BookieOdds]])+(1/((1/((1+((LayTable[[#This Row],[LayOdds]]-1)*(1+LayTable[[#This Row],[C% Lay]])))-1))+1)))-1)</f>
        <v/>
      </c>
      <c r="Q193" s="46" t="str">
        <f>IF(LayTable[[#This Row],[Sport]]="","",LayTable[[#This Row],[BookieInnsats]]+LayTable[[#This Row],[LayLiability]])</f>
        <v/>
      </c>
      <c r="R1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 s="47" t="str">
        <f>IF(LayTable[[#This Row],[Utfall bookie]]="","",LayTable[[#This Row],[WBABack]]+LayTable[[#This Row],[WBALay]]-LayTable[[#This Row],[Total inns]])</f>
        <v/>
      </c>
      <c r="U1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 s="48" t="str">
        <f>IFERROR(IF(LayTable[[#This Row],[Total inns]]="","",LayTable[[#This Row],[Rback]]/LayTable[[#This Row],[Total inns]]),"")</f>
        <v/>
      </c>
      <c r="X193" s="48" t="str">
        <f>IFERROR(IF(LayTable[[#This Row],[Total inns]]="","",LayTable[[#This Row],[Rlay]]/LayTable[[#This Row],[Total inns]]),"")</f>
        <v/>
      </c>
      <c r="Y193" s="48" t="str">
        <f>IFERROR(LayTable[[#This Row],[Faktisk res]]/LayTable[[#This Row],[Total inns]],"")</f>
        <v/>
      </c>
      <c r="Z193" s="47">
        <f>(LayTable[[#This Row],[BookieInnsats]]*LayTable[[#This Row],[BookieOdds]]-LayTable[[#This Row],[BookieInnsats]])*(1-LayTable[[#This Row],[C% Bookie]])</f>
        <v>0</v>
      </c>
      <c r="AA193" s="43">
        <f>LayTable[[#This Row],[LayInnsats]]*(1-LayTable[[#This Row],[C% Lay]])</f>
        <v>0</v>
      </c>
      <c r="AB193" s="43" t="str">
        <f>IFERROR(IF(LayTable[[#This Row],[Sport]]="",AB192,LayTable[[#This Row],[Faktisk res]]+AB192),"")</f>
        <v/>
      </c>
      <c r="AC193" s="43">
        <f>(LayTable[[#This Row],[BackWin-Commission]]+LayTable[[#This Row],[BookieInnsats]])</f>
        <v>0</v>
      </c>
      <c r="AD193" s="43" t="e">
        <f>(LayTable[[#This Row],[LayWin-Commission]])+LayTable[[#This Row],[LayLiability]]</f>
        <v>#VALUE!</v>
      </c>
      <c r="AE193" s="43"/>
      <c r="AF193" s="183"/>
    </row>
    <row r="194" spans="1:32">
      <c r="A194" s="84"/>
      <c r="B194" s="177"/>
      <c r="C194" s="40"/>
      <c r="D194" s="41"/>
      <c r="E194" s="40"/>
      <c r="F194" s="41"/>
      <c r="G194" s="183"/>
      <c r="H194" s="38"/>
      <c r="I194" s="42"/>
      <c r="J194" s="42"/>
      <c r="K194" s="43"/>
      <c r="L194" s="43"/>
      <c r="M194" s="44" t="str">
        <f>IF(LayTable[[#This Row],[Sport]]="","",LayTable[[#This Row],[LayInnsats]]*(LayTable[[#This Row],[LayOdds]]-1))</f>
        <v/>
      </c>
      <c r="N194" s="45" t="str">
        <f>IF(LayTable[[#This Row],[Sport]]="","",1/((1/LayTable[[#This Row],[BookieOdds]])+(1/((1/((1+((LayTable[[#This Row],[LayOdds]]-1)*(1+LayTable[[#This Row],[C% Lay]])))-1))+1)))-1)</f>
        <v/>
      </c>
      <c r="Q194" s="46" t="str">
        <f>IF(LayTable[[#This Row],[Sport]]="","",LayTable[[#This Row],[BookieInnsats]]+LayTable[[#This Row],[LayLiability]])</f>
        <v/>
      </c>
      <c r="R1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 s="47" t="str">
        <f>IF(LayTable[[#This Row],[Utfall bookie]]="","",LayTable[[#This Row],[WBABack]]+LayTable[[#This Row],[WBALay]]-LayTable[[#This Row],[Total inns]])</f>
        <v/>
      </c>
      <c r="U1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 s="48" t="str">
        <f>IFERROR(IF(LayTable[[#This Row],[Total inns]]="","",LayTable[[#This Row],[Rback]]/LayTable[[#This Row],[Total inns]]),"")</f>
        <v/>
      </c>
      <c r="X194" s="48" t="str">
        <f>IFERROR(IF(LayTable[[#This Row],[Total inns]]="","",LayTable[[#This Row],[Rlay]]/LayTable[[#This Row],[Total inns]]),"")</f>
        <v/>
      </c>
      <c r="Y194" s="48" t="str">
        <f>IFERROR(LayTable[[#This Row],[Faktisk res]]/LayTable[[#This Row],[Total inns]],"")</f>
        <v/>
      </c>
      <c r="Z194" s="47">
        <f>(LayTable[[#This Row],[BookieInnsats]]*LayTable[[#This Row],[BookieOdds]]-LayTable[[#This Row],[BookieInnsats]])*(1-LayTable[[#This Row],[C% Bookie]])</f>
        <v>0</v>
      </c>
      <c r="AA194" s="43">
        <f>LayTable[[#This Row],[LayInnsats]]*(1-LayTable[[#This Row],[C% Lay]])</f>
        <v>0</v>
      </c>
      <c r="AB194" s="43" t="str">
        <f>IFERROR(IF(LayTable[[#This Row],[Sport]]="",AB193,LayTable[[#This Row],[Faktisk res]]+AB193),"")</f>
        <v/>
      </c>
      <c r="AC194" s="43">
        <f>(LayTable[[#This Row],[BackWin-Commission]]+LayTable[[#This Row],[BookieInnsats]])</f>
        <v>0</v>
      </c>
      <c r="AD194" s="43" t="e">
        <f>(LayTable[[#This Row],[LayWin-Commission]])+LayTable[[#This Row],[LayLiability]]</f>
        <v>#VALUE!</v>
      </c>
      <c r="AE194" s="43"/>
      <c r="AF194" s="183"/>
    </row>
    <row r="195" spans="1:32">
      <c r="A195" s="84"/>
      <c r="B195" s="177"/>
      <c r="C195" s="40"/>
      <c r="D195" s="41"/>
      <c r="E195" s="40"/>
      <c r="F195" s="41"/>
      <c r="G195" s="183"/>
      <c r="H195" s="38"/>
      <c r="I195" s="42"/>
      <c r="J195" s="42"/>
      <c r="K195" s="43"/>
      <c r="L195" s="43"/>
      <c r="M195" s="44" t="str">
        <f>IF(LayTable[[#This Row],[Sport]]="","",LayTable[[#This Row],[LayInnsats]]*(LayTable[[#This Row],[LayOdds]]-1))</f>
        <v/>
      </c>
      <c r="N195" s="45" t="str">
        <f>IF(LayTable[[#This Row],[Sport]]="","",1/((1/LayTable[[#This Row],[BookieOdds]])+(1/((1/((1+((LayTable[[#This Row],[LayOdds]]-1)*(1+LayTable[[#This Row],[C% Lay]])))-1))+1)))-1)</f>
        <v/>
      </c>
      <c r="Q195" s="46" t="str">
        <f>IF(LayTable[[#This Row],[Sport]]="","",LayTable[[#This Row],[BookieInnsats]]+LayTable[[#This Row],[LayLiability]])</f>
        <v/>
      </c>
      <c r="R1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 s="47" t="str">
        <f>IF(LayTable[[#This Row],[Utfall bookie]]="","",LayTable[[#This Row],[WBABack]]+LayTable[[#This Row],[WBALay]]-LayTable[[#This Row],[Total inns]])</f>
        <v/>
      </c>
      <c r="U1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 s="48" t="str">
        <f>IFERROR(IF(LayTable[[#This Row],[Total inns]]="","",LayTable[[#This Row],[Rback]]/LayTable[[#This Row],[Total inns]]),"")</f>
        <v/>
      </c>
      <c r="X195" s="48" t="str">
        <f>IFERROR(IF(LayTable[[#This Row],[Total inns]]="","",LayTable[[#This Row],[Rlay]]/LayTable[[#This Row],[Total inns]]),"")</f>
        <v/>
      </c>
      <c r="Y195" s="48" t="str">
        <f>IFERROR(LayTable[[#This Row],[Faktisk res]]/LayTable[[#This Row],[Total inns]],"")</f>
        <v/>
      </c>
      <c r="Z195" s="47">
        <f>(LayTable[[#This Row],[BookieInnsats]]*LayTable[[#This Row],[BookieOdds]]-LayTable[[#This Row],[BookieInnsats]])*(1-LayTable[[#This Row],[C% Bookie]])</f>
        <v>0</v>
      </c>
      <c r="AA195" s="43">
        <f>LayTable[[#This Row],[LayInnsats]]*(1-LayTable[[#This Row],[C% Lay]])</f>
        <v>0</v>
      </c>
      <c r="AB195" s="43" t="str">
        <f>IFERROR(IF(LayTable[[#This Row],[Sport]]="",AB194,LayTable[[#This Row],[Faktisk res]]+AB194),"")</f>
        <v/>
      </c>
      <c r="AC195" s="43">
        <f>(LayTable[[#This Row],[BackWin-Commission]]+LayTable[[#This Row],[BookieInnsats]])</f>
        <v>0</v>
      </c>
      <c r="AD195" s="43" t="e">
        <f>(LayTable[[#This Row],[LayWin-Commission]])+LayTable[[#This Row],[LayLiability]]</f>
        <v>#VALUE!</v>
      </c>
      <c r="AE195" s="43"/>
      <c r="AF195" s="183"/>
    </row>
    <row r="196" spans="1:32">
      <c r="A196" s="183"/>
      <c r="B196" s="177"/>
      <c r="C196" s="40"/>
      <c r="D196" s="41"/>
      <c r="E196" s="40"/>
      <c r="F196" s="41"/>
      <c r="G196" s="183"/>
      <c r="H196" s="38"/>
      <c r="I196" s="42"/>
      <c r="J196" s="42"/>
      <c r="K196" s="43"/>
      <c r="L196" s="43"/>
      <c r="M196" s="44" t="str">
        <f>IF(LayTable[[#This Row],[Sport]]="","",LayTable[[#This Row],[LayInnsats]]*(LayTable[[#This Row],[LayOdds]]-1))</f>
        <v/>
      </c>
      <c r="N196" s="45" t="str">
        <f>IF(LayTable[[#This Row],[Sport]]="","",1/((1/LayTable[[#This Row],[BookieOdds]])+(1/((1/((1+((LayTable[[#This Row],[LayOdds]]-1)*(1+LayTable[[#This Row],[C% Lay]])))-1))+1)))-1)</f>
        <v/>
      </c>
      <c r="Q196" s="46" t="str">
        <f>IF(LayTable[[#This Row],[Sport]]="","",LayTable[[#This Row],[BookieInnsats]]+LayTable[[#This Row],[LayLiability]])</f>
        <v/>
      </c>
      <c r="R1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 s="47" t="str">
        <f>IF(LayTable[[#This Row],[Utfall bookie]]="","",LayTable[[#This Row],[WBABack]]+LayTable[[#This Row],[WBALay]]-LayTable[[#This Row],[Total inns]])</f>
        <v/>
      </c>
      <c r="U1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 s="48" t="str">
        <f>IFERROR(IF(LayTable[[#This Row],[Total inns]]="","",LayTable[[#This Row],[Rback]]/LayTable[[#This Row],[Total inns]]),"")</f>
        <v/>
      </c>
      <c r="X196" s="48" t="str">
        <f>IFERROR(IF(LayTable[[#This Row],[Total inns]]="","",LayTable[[#This Row],[Rlay]]/LayTable[[#This Row],[Total inns]]),"")</f>
        <v/>
      </c>
      <c r="Y196" s="48" t="str">
        <f>IFERROR(LayTable[[#This Row],[Faktisk res]]/LayTable[[#This Row],[Total inns]],"")</f>
        <v/>
      </c>
      <c r="Z196" s="47">
        <f>(LayTable[[#This Row],[BookieInnsats]]*LayTable[[#This Row],[BookieOdds]]-LayTable[[#This Row],[BookieInnsats]])*(1-LayTable[[#This Row],[C% Bookie]])</f>
        <v>0</v>
      </c>
      <c r="AA196" s="43">
        <f>LayTable[[#This Row],[LayInnsats]]*(1-LayTable[[#This Row],[C% Lay]])</f>
        <v>0</v>
      </c>
      <c r="AB196" s="43" t="str">
        <f>IFERROR(IF(LayTable[[#This Row],[Sport]]="",AB195,LayTable[[#This Row],[Faktisk res]]+AB195),"")</f>
        <v/>
      </c>
      <c r="AC196" s="43">
        <f>(LayTable[[#This Row],[BackWin-Commission]]+LayTable[[#This Row],[BookieInnsats]])</f>
        <v>0</v>
      </c>
      <c r="AD196" s="43" t="e">
        <f>(LayTable[[#This Row],[LayWin-Commission]])+LayTable[[#This Row],[LayLiability]]</f>
        <v>#VALUE!</v>
      </c>
      <c r="AE196" s="181"/>
      <c r="AF196" s="183"/>
    </row>
    <row r="197" spans="1:32">
      <c r="A197" s="84"/>
      <c r="B197" s="177"/>
      <c r="C197" s="40"/>
      <c r="D197" s="41"/>
      <c r="E197" s="40"/>
      <c r="F197" s="41"/>
      <c r="G197" s="183"/>
      <c r="H197" s="38"/>
      <c r="I197" s="42"/>
      <c r="J197" s="42"/>
      <c r="K197" s="43"/>
      <c r="L197" s="43"/>
      <c r="M197" s="44" t="str">
        <f>IF(LayTable[[#This Row],[Sport]]="","",LayTable[[#This Row],[LayInnsats]]*(LayTable[[#This Row],[LayOdds]]-1))</f>
        <v/>
      </c>
      <c r="N197" s="45" t="str">
        <f>IF(LayTable[[#This Row],[Sport]]="","",1/((1/LayTable[[#This Row],[BookieOdds]])+(1/((1/((1+((LayTable[[#This Row],[LayOdds]]-1)*(1+LayTable[[#This Row],[C% Lay]])))-1))+1)))-1)</f>
        <v/>
      </c>
      <c r="Q197" s="46" t="str">
        <f>IF(LayTable[[#This Row],[Sport]]="","",LayTable[[#This Row],[BookieInnsats]]+LayTable[[#This Row],[LayLiability]])</f>
        <v/>
      </c>
      <c r="R1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 s="47" t="str">
        <f>IF(LayTable[[#This Row],[Utfall bookie]]="","",LayTable[[#This Row],[WBABack]]+LayTable[[#This Row],[WBALay]]-LayTable[[#This Row],[Total inns]])</f>
        <v/>
      </c>
      <c r="U1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 s="48" t="str">
        <f>IFERROR(IF(LayTable[[#This Row],[Total inns]]="","",LayTable[[#This Row],[Rback]]/LayTable[[#This Row],[Total inns]]),"")</f>
        <v/>
      </c>
      <c r="X197" s="48" t="str">
        <f>IFERROR(IF(LayTable[[#This Row],[Total inns]]="","",LayTable[[#This Row],[Rlay]]/LayTable[[#This Row],[Total inns]]),"")</f>
        <v/>
      </c>
      <c r="Y197" s="48" t="str">
        <f>IFERROR(LayTable[[#This Row],[Faktisk res]]/LayTable[[#This Row],[Total inns]],"")</f>
        <v/>
      </c>
      <c r="Z197" s="47">
        <f>(LayTable[[#This Row],[BookieInnsats]]*LayTable[[#This Row],[BookieOdds]]-LayTable[[#This Row],[BookieInnsats]])*(1-LayTable[[#This Row],[C% Bookie]])</f>
        <v>0</v>
      </c>
      <c r="AA197" s="43">
        <f>LayTable[[#This Row],[LayInnsats]]*(1-LayTable[[#This Row],[C% Lay]])</f>
        <v>0</v>
      </c>
      <c r="AB197" s="43" t="str">
        <f>IFERROR(IF(LayTable[[#This Row],[Sport]]="",AB196,LayTable[[#This Row],[Faktisk res]]+AB196),"")</f>
        <v/>
      </c>
      <c r="AC197" s="43">
        <f>(LayTable[[#This Row],[BackWin-Commission]]+LayTable[[#This Row],[BookieInnsats]])</f>
        <v>0</v>
      </c>
      <c r="AD197" s="43" t="e">
        <f>(LayTable[[#This Row],[LayWin-Commission]])+LayTable[[#This Row],[LayLiability]]</f>
        <v>#VALUE!</v>
      </c>
      <c r="AE197" s="181"/>
      <c r="AF197" s="205"/>
    </row>
    <row r="198" spans="1:32">
      <c r="A198" s="84"/>
      <c r="B198" s="177"/>
      <c r="C198" s="40"/>
      <c r="D198" s="41"/>
      <c r="E198" s="40"/>
      <c r="F198" s="41"/>
      <c r="G198" s="183"/>
      <c r="H198" s="38"/>
      <c r="I198" s="42"/>
      <c r="J198" s="42"/>
      <c r="K198" s="43"/>
      <c r="L198" s="43"/>
      <c r="M198" s="44" t="str">
        <f>IF(LayTable[[#This Row],[Sport]]="","",LayTable[[#This Row],[LayInnsats]]*(LayTable[[#This Row],[LayOdds]]-1))</f>
        <v/>
      </c>
      <c r="N198" s="45" t="str">
        <f>IF(LayTable[[#This Row],[Sport]]="","",1/((1/LayTable[[#This Row],[BookieOdds]])+(1/((1/((1+((LayTable[[#This Row],[LayOdds]]-1)*(1+LayTable[[#This Row],[C% Lay]])))-1))+1)))-1)</f>
        <v/>
      </c>
      <c r="Q198" s="46" t="str">
        <f>IF(LayTable[[#This Row],[Sport]]="","",LayTable[[#This Row],[BookieInnsats]]+LayTable[[#This Row],[LayLiability]])</f>
        <v/>
      </c>
      <c r="R1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 s="47" t="str">
        <f>IF(LayTable[[#This Row],[Utfall bookie]]="","",LayTable[[#This Row],[WBABack]]+LayTable[[#This Row],[WBALay]]-LayTable[[#This Row],[Total inns]])</f>
        <v/>
      </c>
      <c r="U1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 s="48" t="str">
        <f>IFERROR(IF(LayTable[[#This Row],[Total inns]]="","",LayTable[[#This Row],[Rback]]/LayTable[[#This Row],[Total inns]]),"")</f>
        <v/>
      </c>
      <c r="X198" s="48" t="str">
        <f>IFERROR(IF(LayTable[[#This Row],[Total inns]]="","",LayTable[[#This Row],[Rlay]]/LayTable[[#This Row],[Total inns]]),"")</f>
        <v/>
      </c>
      <c r="Y198" s="48" t="str">
        <f>IFERROR(LayTable[[#This Row],[Faktisk res]]/LayTable[[#This Row],[Total inns]],"")</f>
        <v/>
      </c>
      <c r="Z198" s="47">
        <f>(LayTable[[#This Row],[BookieInnsats]]*LayTable[[#This Row],[BookieOdds]]-LayTable[[#This Row],[BookieInnsats]])*(1-LayTable[[#This Row],[C% Bookie]])</f>
        <v>0</v>
      </c>
      <c r="AA198" s="43">
        <f>LayTable[[#This Row],[LayInnsats]]*(1-LayTable[[#This Row],[C% Lay]])</f>
        <v>0</v>
      </c>
      <c r="AB198" s="43" t="str">
        <f>IFERROR(IF(LayTable[[#This Row],[Sport]]="",AB197,LayTable[[#This Row],[Faktisk res]]+AB197),"")</f>
        <v/>
      </c>
      <c r="AC198" s="43">
        <f>(LayTable[[#This Row],[BackWin-Commission]]+LayTable[[#This Row],[BookieInnsats]])</f>
        <v>0</v>
      </c>
      <c r="AD198" s="43" t="e">
        <f>(LayTable[[#This Row],[LayWin-Commission]])+LayTable[[#This Row],[LayLiability]]</f>
        <v>#VALUE!</v>
      </c>
      <c r="AE198" s="181"/>
      <c r="AF198" s="205"/>
    </row>
    <row r="199" spans="1:32">
      <c r="A199" s="84"/>
      <c r="B199" s="177"/>
      <c r="C199" s="40"/>
      <c r="D199" s="41"/>
      <c r="E199" s="40"/>
      <c r="F199" s="41"/>
      <c r="G199" s="183"/>
      <c r="H199" s="38"/>
      <c r="I199" s="42"/>
      <c r="J199" s="42"/>
      <c r="K199" s="43"/>
      <c r="L199" s="43"/>
      <c r="M199" s="44" t="str">
        <f>IF(LayTable[[#This Row],[Sport]]="","",LayTable[[#This Row],[LayInnsats]]*(LayTable[[#This Row],[LayOdds]]-1))</f>
        <v/>
      </c>
      <c r="N199" s="45" t="str">
        <f>IF(LayTable[[#This Row],[Sport]]="","",1/((1/LayTable[[#This Row],[BookieOdds]])+(1/((1/((1+((LayTable[[#This Row],[LayOdds]]-1)*(1+LayTable[[#This Row],[C% Lay]])))-1))+1)))-1)</f>
        <v/>
      </c>
      <c r="Q199" s="46" t="str">
        <f>IF(LayTable[[#This Row],[Sport]]="","",LayTable[[#This Row],[BookieInnsats]]+LayTable[[#This Row],[LayLiability]])</f>
        <v/>
      </c>
      <c r="R1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 s="47" t="str">
        <f>IF(LayTable[[#This Row],[Utfall bookie]]="","",LayTable[[#This Row],[WBABack]]+LayTable[[#This Row],[WBALay]]-LayTable[[#This Row],[Total inns]])</f>
        <v/>
      </c>
      <c r="U1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 s="48" t="str">
        <f>IFERROR(IF(LayTable[[#This Row],[Total inns]]="","",LayTable[[#This Row],[Rback]]/LayTable[[#This Row],[Total inns]]),"")</f>
        <v/>
      </c>
      <c r="X199" s="48" t="str">
        <f>IFERROR(IF(LayTable[[#This Row],[Total inns]]="","",LayTable[[#This Row],[Rlay]]/LayTable[[#This Row],[Total inns]]),"")</f>
        <v/>
      </c>
      <c r="Y199" s="48" t="str">
        <f>IFERROR(LayTable[[#This Row],[Faktisk res]]/LayTable[[#This Row],[Total inns]],"")</f>
        <v/>
      </c>
      <c r="Z199" s="47">
        <f>(LayTable[[#This Row],[BookieInnsats]]*LayTable[[#This Row],[BookieOdds]]-LayTable[[#This Row],[BookieInnsats]])*(1-LayTable[[#This Row],[C% Bookie]])</f>
        <v>0</v>
      </c>
      <c r="AA199" s="43">
        <f>LayTable[[#This Row],[LayInnsats]]*(1-LayTable[[#This Row],[C% Lay]])</f>
        <v>0</v>
      </c>
      <c r="AB199" s="43" t="str">
        <f>IFERROR(IF(LayTable[[#This Row],[Sport]]="",AB198,LayTable[[#This Row],[Faktisk res]]+AB198),"")</f>
        <v/>
      </c>
      <c r="AC199" s="43">
        <f>(LayTable[[#This Row],[BackWin-Commission]]+LayTable[[#This Row],[BookieInnsats]])</f>
        <v>0</v>
      </c>
      <c r="AD199" s="43" t="e">
        <f>(LayTable[[#This Row],[LayWin-Commission]])+LayTable[[#This Row],[LayLiability]]</f>
        <v>#VALUE!</v>
      </c>
      <c r="AE199" s="181"/>
      <c r="AF199" s="205"/>
    </row>
    <row r="200" spans="1:32">
      <c r="A200" s="84"/>
      <c r="B200" s="177"/>
      <c r="C200" s="40"/>
      <c r="D200" s="41"/>
      <c r="E200" s="40"/>
      <c r="F200" s="41"/>
      <c r="G200" s="183"/>
      <c r="H200" s="38"/>
      <c r="I200" s="42"/>
      <c r="J200" s="42"/>
      <c r="K200" s="43"/>
      <c r="L200" s="43"/>
      <c r="M200" s="44" t="str">
        <f>IF(LayTable[[#This Row],[Sport]]="","",LayTable[[#This Row],[LayInnsats]]*(LayTable[[#This Row],[LayOdds]]-1))</f>
        <v/>
      </c>
      <c r="N200" s="45" t="str">
        <f>IF(LayTable[[#This Row],[Sport]]="","",1/((1/LayTable[[#This Row],[BookieOdds]])+(1/((1/((1+((LayTable[[#This Row],[LayOdds]]-1)*(1+LayTable[[#This Row],[C% Lay]])))-1))+1)))-1)</f>
        <v/>
      </c>
      <c r="Q200" s="46" t="str">
        <f>IF(LayTable[[#This Row],[Sport]]="","",LayTable[[#This Row],[BookieInnsats]]+LayTable[[#This Row],[LayLiability]])</f>
        <v/>
      </c>
      <c r="R2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 s="47" t="str">
        <f>IF(LayTable[[#This Row],[Utfall bookie]]="","",LayTable[[#This Row],[WBABack]]+LayTable[[#This Row],[WBALay]]-LayTable[[#This Row],[Total inns]])</f>
        <v/>
      </c>
      <c r="U2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 s="48" t="str">
        <f>IFERROR(IF(LayTable[[#This Row],[Total inns]]="","",LayTable[[#This Row],[Rback]]/LayTable[[#This Row],[Total inns]]),"")</f>
        <v/>
      </c>
      <c r="X200" s="48" t="str">
        <f>IFERROR(IF(LayTable[[#This Row],[Total inns]]="","",LayTable[[#This Row],[Rlay]]/LayTable[[#This Row],[Total inns]]),"")</f>
        <v/>
      </c>
      <c r="Y200" s="48" t="str">
        <f>IFERROR(LayTable[[#This Row],[Faktisk res]]/LayTable[[#This Row],[Total inns]],"")</f>
        <v/>
      </c>
      <c r="Z200" s="47">
        <f>(LayTable[[#This Row],[BookieInnsats]]*LayTable[[#This Row],[BookieOdds]]-LayTable[[#This Row],[BookieInnsats]])*(1-LayTable[[#This Row],[C% Bookie]])</f>
        <v>0</v>
      </c>
      <c r="AA200" s="43">
        <f>LayTable[[#This Row],[LayInnsats]]*(1-LayTable[[#This Row],[C% Lay]])</f>
        <v>0</v>
      </c>
      <c r="AB200" s="43" t="str">
        <f>IFERROR(IF(LayTable[[#This Row],[Sport]]="",AB199,LayTable[[#This Row],[Faktisk res]]+AB199),"")</f>
        <v/>
      </c>
      <c r="AC200" s="43">
        <f>(LayTable[[#This Row],[BackWin-Commission]]+LayTable[[#This Row],[BookieInnsats]])</f>
        <v>0</v>
      </c>
      <c r="AD200" s="43" t="e">
        <f>(LayTable[[#This Row],[LayWin-Commission]])+LayTable[[#This Row],[LayLiability]]</f>
        <v>#VALUE!</v>
      </c>
      <c r="AE200" s="181"/>
      <c r="AF200" s="205"/>
    </row>
    <row r="201" spans="1:32">
      <c r="A201" s="183"/>
      <c r="B201" s="177"/>
      <c r="C201" s="40"/>
      <c r="D201" s="41"/>
      <c r="E201" s="40"/>
      <c r="F201" s="41"/>
      <c r="G201" s="183"/>
      <c r="H201" s="38"/>
      <c r="I201" s="42"/>
      <c r="J201" s="42"/>
      <c r="K201" s="43"/>
      <c r="L201" s="43"/>
      <c r="M201" s="44" t="str">
        <f>IF(LayTable[[#This Row],[Sport]]="","",LayTable[[#This Row],[LayInnsats]]*(LayTable[[#This Row],[LayOdds]]-1))</f>
        <v/>
      </c>
      <c r="N201" s="45" t="str">
        <f>IF(LayTable[[#This Row],[Sport]]="","",1/((1/LayTable[[#This Row],[BookieOdds]])+(1/((1/((1+((LayTable[[#This Row],[LayOdds]]-1)*(1+LayTable[[#This Row],[C% Lay]])))-1))+1)))-1)</f>
        <v/>
      </c>
      <c r="Q201" s="46" t="str">
        <f>IF(LayTable[[#This Row],[Sport]]="","",LayTable[[#This Row],[BookieInnsats]]+LayTable[[#This Row],[LayLiability]])</f>
        <v/>
      </c>
      <c r="R2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 s="47" t="str">
        <f>IF(LayTable[[#This Row],[Utfall bookie]]="","",LayTable[[#This Row],[WBABack]]+LayTable[[#This Row],[WBALay]]-LayTable[[#This Row],[Total inns]])</f>
        <v/>
      </c>
      <c r="U2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 s="48" t="str">
        <f>IFERROR(IF(LayTable[[#This Row],[Total inns]]="","",LayTable[[#This Row],[Rback]]/LayTable[[#This Row],[Total inns]]),"")</f>
        <v/>
      </c>
      <c r="X201" s="48" t="str">
        <f>IFERROR(IF(LayTable[[#This Row],[Total inns]]="","",LayTable[[#This Row],[Rlay]]/LayTable[[#This Row],[Total inns]]),"")</f>
        <v/>
      </c>
      <c r="Y201" s="48" t="str">
        <f>IFERROR(LayTable[[#This Row],[Faktisk res]]/LayTable[[#This Row],[Total inns]],"")</f>
        <v/>
      </c>
      <c r="Z201" s="47">
        <f>(LayTable[[#This Row],[BookieInnsats]]*LayTable[[#This Row],[BookieOdds]]-LayTable[[#This Row],[BookieInnsats]])*(1-LayTable[[#This Row],[C% Bookie]])</f>
        <v>0</v>
      </c>
      <c r="AA201" s="43">
        <f>LayTable[[#This Row],[LayInnsats]]*(1-LayTable[[#This Row],[C% Lay]])</f>
        <v>0</v>
      </c>
      <c r="AB201" s="43" t="str">
        <f>IFERROR(IF(LayTable[[#This Row],[Sport]]="",AB200,LayTable[[#This Row],[Faktisk res]]+AB200),"")</f>
        <v/>
      </c>
      <c r="AC201" s="43">
        <f>(LayTable[[#This Row],[BackWin-Commission]]+LayTable[[#This Row],[BookieInnsats]])</f>
        <v>0</v>
      </c>
      <c r="AD201" s="43" t="e">
        <f>(LayTable[[#This Row],[LayWin-Commission]])+LayTable[[#This Row],[LayLiability]]</f>
        <v>#VALUE!</v>
      </c>
      <c r="AE201" s="181"/>
      <c r="AF201" s="205"/>
    </row>
    <row r="202" spans="1:32">
      <c r="A202" s="183"/>
      <c r="B202" s="177"/>
      <c r="C202" s="40"/>
      <c r="D202" s="41"/>
      <c r="E202" s="40"/>
      <c r="F202" s="41"/>
      <c r="G202" s="183"/>
      <c r="H202" s="38"/>
      <c r="I202" s="42"/>
      <c r="J202" s="42"/>
      <c r="K202" s="43"/>
      <c r="L202" s="43"/>
      <c r="M202" s="44" t="str">
        <f>IF(LayTable[[#This Row],[Sport]]="","",LayTable[[#This Row],[LayInnsats]]*(LayTable[[#This Row],[LayOdds]]-1))</f>
        <v/>
      </c>
      <c r="N202" s="45" t="str">
        <f>IF(LayTable[[#This Row],[Sport]]="","",1/((1/LayTable[[#This Row],[BookieOdds]])+(1/((1/((1+((LayTable[[#This Row],[LayOdds]]-1)*(1+LayTable[[#This Row],[C% Lay]])))-1))+1)))-1)</f>
        <v/>
      </c>
      <c r="Q202" s="46" t="str">
        <f>IF(LayTable[[#This Row],[Sport]]="","",LayTable[[#This Row],[BookieInnsats]]+LayTable[[#This Row],[LayLiability]])</f>
        <v/>
      </c>
      <c r="R2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 s="47" t="str">
        <f>IF(LayTable[[#This Row],[Utfall bookie]]="","",LayTable[[#This Row],[WBABack]]+LayTable[[#This Row],[WBALay]]-LayTable[[#This Row],[Total inns]])</f>
        <v/>
      </c>
      <c r="U2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 s="48" t="str">
        <f>IFERROR(IF(LayTable[[#This Row],[Total inns]]="","",LayTable[[#This Row],[Rback]]/LayTable[[#This Row],[Total inns]]),"")</f>
        <v/>
      </c>
      <c r="X202" s="48" t="str">
        <f>IFERROR(IF(LayTable[[#This Row],[Total inns]]="","",LayTable[[#This Row],[Rlay]]/LayTable[[#This Row],[Total inns]]),"")</f>
        <v/>
      </c>
      <c r="Y202" s="48" t="str">
        <f>IFERROR(LayTable[[#This Row],[Faktisk res]]/LayTable[[#This Row],[Total inns]],"")</f>
        <v/>
      </c>
      <c r="Z202" s="47">
        <f>(LayTable[[#This Row],[BookieInnsats]]*LayTable[[#This Row],[BookieOdds]]-LayTable[[#This Row],[BookieInnsats]])*(1-LayTable[[#This Row],[C% Bookie]])</f>
        <v>0</v>
      </c>
      <c r="AA202" s="43">
        <f>LayTable[[#This Row],[LayInnsats]]*(1-LayTable[[#This Row],[C% Lay]])</f>
        <v>0</v>
      </c>
      <c r="AB202" s="43" t="str">
        <f>IFERROR(IF(LayTable[[#This Row],[Sport]]="",AB201,LayTable[[#This Row],[Faktisk res]]+AB201),"")</f>
        <v/>
      </c>
      <c r="AC202" s="43">
        <f>(LayTable[[#This Row],[BackWin-Commission]]+LayTable[[#This Row],[BookieInnsats]])</f>
        <v>0</v>
      </c>
      <c r="AD202" s="43" t="e">
        <f>(LayTable[[#This Row],[LayWin-Commission]])+LayTable[[#This Row],[LayLiability]]</f>
        <v>#VALUE!</v>
      </c>
      <c r="AE202" s="181"/>
      <c r="AF202" s="205"/>
    </row>
    <row r="203" spans="1:32">
      <c r="A203" s="183"/>
      <c r="B203" s="177"/>
      <c r="C203" s="40"/>
      <c r="D203" s="41"/>
      <c r="E203" s="40"/>
      <c r="F203" s="41"/>
      <c r="G203" s="183"/>
      <c r="H203" s="38"/>
      <c r="I203" s="42"/>
      <c r="J203" s="42"/>
      <c r="K203" s="43"/>
      <c r="L203" s="43"/>
      <c r="M203" s="44" t="str">
        <f>IF(LayTable[[#This Row],[Sport]]="","",LayTable[[#This Row],[LayInnsats]]*(LayTable[[#This Row],[LayOdds]]-1))</f>
        <v/>
      </c>
      <c r="N203" s="45" t="str">
        <f>IF(LayTable[[#This Row],[Sport]]="","",1/((1/LayTable[[#This Row],[BookieOdds]])+(1/((1/((1+((LayTable[[#This Row],[LayOdds]]-1)*(1+LayTable[[#This Row],[C% Lay]])))-1))+1)))-1)</f>
        <v/>
      </c>
      <c r="Q203" s="46" t="str">
        <f>IF(LayTable[[#This Row],[Sport]]="","",LayTable[[#This Row],[BookieInnsats]]+LayTable[[#This Row],[LayLiability]])</f>
        <v/>
      </c>
      <c r="R2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 s="47" t="str">
        <f>IF(LayTable[[#This Row],[Utfall bookie]]="","",LayTable[[#This Row],[WBABack]]+LayTable[[#This Row],[WBALay]]-LayTable[[#This Row],[Total inns]])</f>
        <v/>
      </c>
      <c r="U2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 s="48" t="str">
        <f>IFERROR(IF(LayTable[[#This Row],[Total inns]]="","",LayTable[[#This Row],[Rback]]/LayTable[[#This Row],[Total inns]]),"")</f>
        <v/>
      </c>
      <c r="X203" s="48" t="str">
        <f>IFERROR(IF(LayTable[[#This Row],[Total inns]]="","",LayTable[[#This Row],[Rlay]]/LayTable[[#This Row],[Total inns]]),"")</f>
        <v/>
      </c>
      <c r="Y203" s="48" t="str">
        <f>IFERROR(LayTable[[#This Row],[Faktisk res]]/LayTable[[#This Row],[Total inns]],"")</f>
        <v/>
      </c>
      <c r="Z203" s="47">
        <f>(LayTable[[#This Row],[BookieInnsats]]*LayTable[[#This Row],[BookieOdds]]-LayTable[[#This Row],[BookieInnsats]])*(1-LayTable[[#This Row],[C% Bookie]])</f>
        <v>0</v>
      </c>
      <c r="AA203" s="43">
        <f>LayTable[[#This Row],[LayInnsats]]*(1-LayTable[[#This Row],[C% Lay]])</f>
        <v>0</v>
      </c>
      <c r="AB203" s="43" t="str">
        <f>IFERROR(IF(LayTable[[#This Row],[Sport]]="",AB202,LayTable[[#This Row],[Faktisk res]]+AB202),"")</f>
        <v/>
      </c>
      <c r="AC203" s="43">
        <f>(LayTable[[#This Row],[BackWin-Commission]]+LayTable[[#This Row],[BookieInnsats]])</f>
        <v>0</v>
      </c>
      <c r="AD203" s="43" t="e">
        <f>(LayTable[[#This Row],[LayWin-Commission]])+LayTable[[#This Row],[LayLiability]]</f>
        <v>#VALUE!</v>
      </c>
      <c r="AE203" s="181"/>
      <c r="AF203" s="205"/>
    </row>
    <row r="204" spans="1:32">
      <c r="A204" s="183"/>
      <c r="B204" s="177"/>
      <c r="C204" s="178"/>
      <c r="D204" s="179"/>
      <c r="E204" s="178"/>
      <c r="F204" s="179"/>
      <c r="G204" s="183"/>
      <c r="H204" s="176"/>
      <c r="I204" s="180"/>
      <c r="J204" s="180"/>
      <c r="K204" s="181"/>
      <c r="L204" s="181"/>
      <c r="M204" s="44" t="str">
        <f>IF(LayTable[[#This Row],[Sport]]="","",LayTable[[#This Row],[LayInnsats]]*(LayTable[[#This Row],[LayOdds]]-1))</f>
        <v/>
      </c>
      <c r="N204" s="45" t="str">
        <f>IF(LayTable[[#This Row],[Sport]]="","",1/((1/LayTable[[#This Row],[BookieOdds]])+(1/((1/((1+((LayTable[[#This Row],[LayOdds]]-1)*(1+LayTable[[#This Row],[C% Lay]])))-1))+1)))-1)</f>
        <v/>
      </c>
      <c r="Q204" s="46" t="str">
        <f>IF(LayTable[[#This Row],[Sport]]="","",LayTable[[#This Row],[BookieInnsats]]+LayTable[[#This Row],[LayLiability]])</f>
        <v/>
      </c>
      <c r="R2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 s="47" t="str">
        <f>IF(LayTable[[#This Row],[Utfall bookie]]="","",LayTable[[#This Row],[WBABack]]+LayTable[[#This Row],[WBALay]]-LayTable[[#This Row],[Total inns]])</f>
        <v/>
      </c>
      <c r="U2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 s="48" t="str">
        <f>IFERROR(IF(LayTable[[#This Row],[Total inns]]="","",LayTable[[#This Row],[Rback]]/LayTable[[#This Row],[Total inns]]),"")</f>
        <v/>
      </c>
      <c r="X204" s="48" t="str">
        <f>IFERROR(IF(LayTable[[#This Row],[Total inns]]="","",LayTable[[#This Row],[Rlay]]/LayTable[[#This Row],[Total inns]]),"")</f>
        <v/>
      </c>
      <c r="Y204" s="48" t="str">
        <f>IFERROR(LayTable[[#This Row],[Faktisk res]]/LayTable[[#This Row],[Total inns]],"")</f>
        <v/>
      </c>
      <c r="Z204" s="47">
        <f>(LayTable[[#This Row],[BookieInnsats]]*LayTable[[#This Row],[BookieOdds]]-LayTable[[#This Row],[BookieInnsats]])*(1-LayTable[[#This Row],[C% Bookie]])</f>
        <v>0</v>
      </c>
      <c r="AA204" s="43">
        <f>LayTable[[#This Row],[LayInnsats]]*(1-LayTable[[#This Row],[C% Lay]])</f>
        <v>0</v>
      </c>
      <c r="AB204" s="43" t="str">
        <f>IFERROR(IF(LayTable[[#This Row],[Sport]]="",AB203,LayTable[[#This Row],[Faktisk res]]+AB203),"")</f>
        <v/>
      </c>
      <c r="AC204" s="43">
        <f>(LayTable[[#This Row],[BackWin-Commission]]+LayTable[[#This Row],[BookieInnsats]])</f>
        <v>0</v>
      </c>
      <c r="AD204" s="43" t="e">
        <f>(LayTable[[#This Row],[LayWin-Commission]])+LayTable[[#This Row],[LayLiability]]</f>
        <v>#VALUE!</v>
      </c>
      <c r="AE204" s="181"/>
      <c r="AF204" s="205"/>
    </row>
    <row r="205" spans="1:32">
      <c r="A205" s="183"/>
      <c r="B205" s="177"/>
      <c r="C205" s="40"/>
      <c r="D205" s="41"/>
      <c r="E205" s="40"/>
      <c r="F205" s="41"/>
      <c r="G205" s="183"/>
      <c r="H205" s="38"/>
      <c r="I205" s="42"/>
      <c r="J205" s="42"/>
      <c r="K205" s="43"/>
      <c r="L205" s="43"/>
      <c r="M205" s="44" t="str">
        <f>IF(LayTable[[#This Row],[Sport]]="","",LayTable[[#This Row],[LayInnsats]]*(LayTable[[#This Row],[LayOdds]]-1))</f>
        <v/>
      </c>
      <c r="N205" s="45" t="str">
        <f>IF(LayTable[[#This Row],[Sport]]="","",1/((1/LayTable[[#This Row],[BookieOdds]])+(1/((1/((1+((LayTable[[#This Row],[LayOdds]]-1)*(1+LayTable[[#This Row],[C% Lay]])))-1))+1)))-1)</f>
        <v/>
      </c>
      <c r="Q205" s="46" t="str">
        <f>IF(LayTable[[#This Row],[Sport]]="","",LayTable[[#This Row],[BookieInnsats]]+LayTable[[#This Row],[LayLiability]])</f>
        <v/>
      </c>
      <c r="R2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 s="47" t="str">
        <f>IF(LayTable[[#This Row],[Utfall bookie]]="","",LayTable[[#This Row],[WBABack]]+LayTable[[#This Row],[WBALay]]-LayTable[[#This Row],[Total inns]])</f>
        <v/>
      </c>
      <c r="U2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 s="48" t="str">
        <f>IFERROR(IF(LayTable[[#This Row],[Total inns]]="","",LayTable[[#This Row],[Rback]]/LayTable[[#This Row],[Total inns]]),"")</f>
        <v/>
      </c>
      <c r="X205" s="48" t="str">
        <f>IFERROR(IF(LayTable[[#This Row],[Total inns]]="","",LayTable[[#This Row],[Rlay]]/LayTable[[#This Row],[Total inns]]),"")</f>
        <v/>
      </c>
      <c r="Y205" s="48" t="str">
        <f>IFERROR(LayTable[[#This Row],[Faktisk res]]/LayTable[[#This Row],[Total inns]],"")</f>
        <v/>
      </c>
      <c r="Z205" s="47">
        <f>(LayTable[[#This Row],[BookieInnsats]]*LayTable[[#This Row],[BookieOdds]]-LayTable[[#This Row],[BookieInnsats]])*(1-LayTable[[#This Row],[C% Bookie]])</f>
        <v>0</v>
      </c>
      <c r="AA205" s="43">
        <f>LayTable[[#This Row],[LayInnsats]]*(1-LayTable[[#This Row],[C% Lay]])</f>
        <v>0</v>
      </c>
      <c r="AB205" s="43" t="str">
        <f>IFERROR(IF(LayTable[[#This Row],[Sport]]="",AB204,LayTable[[#This Row],[Faktisk res]]+AB204),"")</f>
        <v/>
      </c>
      <c r="AC205" s="43">
        <f>(LayTable[[#This Row],[BackWin-Commission]]+LayTable[[#This Row],[BookieInnsats]])</f>
        <v>0</v>
      </c>
      <c r="AD205" s="43" t="e">
        <f>(LayTable[[#This Row],[LayWin-Commission]])+LayTable[[#This Row],[LayLiability]]</f>
        <v>#VALUE!</v>
      </c>
      <c r="AE205" s="181"/>
      <c r="AF205" s="205"/>
    </row>
    <row r="206" spans="1:32">
      <c r="A206" s="84"/>
      <c r="B206" s="177"/>
      <c r="C206" s="40"/>
      <c r="D206" s="41"/>
      <c r="E206" s="178"/>
      <c r="F206" s="179"/>
      <c r="G206" s="183"/>
      <c r="H206" s="38"/>
      <c r="I206" s="42"/>
      <c r="J206" s="42"/>
      <c r="K206" s="43"/>
      <c r="L206" s="43"/>
      <c r="M206" s="44" t="str">
        <f>IF(LayTable[[#This Row],[Sport]]="","",LayTable[[#This Row],[LayInnsats]]*(LayTable[[#This Row],[LayOdds]]-1))</f>
        <v/>
      </c>
      <c r="N206" s="45" t="str">
        <f>IF(LayTable[[#This Row],[Sport]]="","",1/((1/LayTable[[#This Row],[BookieOdds]])+(1/((1/((1+((LayTable[[#This Row],[LayOdds]]-1)*(1+LayTable[[#This Row],[C% Lay]])))-1))+1)))-1)</f>
        <v/>
      </c>
      <c r="Q206" s="46" t="str">
        <f>IF(LayTable[[#This Row],[Sport]]="","",LayTable[[#This Row],[BookieInnsats]]+LayTable[[#This Row],[LayLiability]])</f>
        <v/>
      </c>
      <c r="R2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 s="47" t="str">
        <f>IF(LayTable[[#This Row],[Utfall bookie]]="","",LayTable[[#This Row],[WBABack]]+LayTable[[#This Row],[WBALay]]-LayTable[[#This Row],[Total inns]])</f>
        <v/>
      </c>
      <c r="U2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 s="48" t="str">
        <f>IFERROR(IF(LayTable[[#This Row],[Total inns]]="","",LayTable[[#This Row],[Rback]]/LayTable[[#This Row],[Total inns]]),"")</f>
        <v/>
      </c>
      <c r="X206" s="48" t="str">
        <f>IFERROR(IF(LayTable[[#This Row],[Total inns]]="","",LayTable[[#This Row],[Rlay]]/LayTable[[#This Row],[Total inns]]),"")</f>
        <v/>
      </c>
      <c r="Y206" s="48" t="str">
        <f>IFERROR(LayTable[[#This Row],[Faktisk res]]/LayTable[[#This Row],[Total inns]],"")</f>
        <v/>
      </c>
      <c r="Z206" s="47">
        <f>(LayTable[[#This Row],[BookieInnsats]]*LayTable[[#This Row],[BookieOdds]]-LayTable[[#This Row],[BookieInnsats]])*(1-LayTable[[#This Row],[C% Bookie]])</f>
        <v>0</v>
      </c>
      <c r="AA206" s="43">
        <f>LayTable[[#This Row],[LayInnsats]]*(1-LayTable[[#This Row],[C% Lay]])</f>
        <v>0</v>
      </c>
      <c r="AB206" s="43" t="str">
        <f>IFERROR(IF(LayTable[[#This Row],[Sport]]="",AB205,LayTable[[#This Row],[Faktisk res]]+AB205),"")</f>
        <v/>
      </c>
      <c r="AC206" s="43">
        <f>(LayTable[[#This Row],[BackWin-Commission]]+LayTable[[#This Row],[BookieInnsats]])</f>
        <v>0</v>
      </c>
      <c r="AD206" s="43" t="e">
        <f>(LayTable[[#This Row],[LayWin-Commission]])+LayTable[[#This Row],[LayLiability]]</f>
        <v>#VALUE!</v>
      </c>
      <c r="AE206" s="181"/>
      <c r="AF206" s="205"/>
    </row>
    <row r="207" spans="1:32">
      <c r="A207" s="84"/>
      <c r="B207" s="177"/>
      <c r="C207" s="40"/>
      <c r="D207" s="41"/>
      <c r="E207" s="40"/>
      <c r="F207" s="41"/>
      <c r="G207" s="183"/>
      <c r="H207" s="38"/>
      <c r="I207" s="42"/>
      <c r="J207" s="42"/>
      <c r="K207" s="43"/>
      <c r="L207" s="43"/>
      <c r="M207" s="44" t="str">
        <f>IF(LayTable[[#This Row],[Sport]]="","",LayTable[[#This Row],[LayInnsats]]*(LayTable[[#This Row],[LayOdds]]-1))</f>
        <v/>
      </c>
      <c r="N207" s="45" t="str">
        <f>IF(LayTable[[#This Row],[Sport]]="","",1/((1/LayTable[[#This Row],[BookieOdds]])+(1/((1/((1+((LayTable[[#This Row],[LayOdds]]-1)*(1+LayTable[[#This Row],[C% Lay]])))-1))+1)))-1)</f>
        <v/>
      </c>
      <c r="Q207" s="46" t="str">
        <f>IF(LayTable[[#This Row],[Sport]]="","",LayTable[[#This Row],[BookieInnsats]]+LayTable[[#This Row],[LayLiability]])</f>
        <v/>
      </c>
      <c r="R2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 s="47" t="str">
        <f>IF(LayTable[[#This Row],[Utfall bookie]]="","",LayTable[[#This Row],[WBABack]]+LayTable[[#This Row],[WBALay]]-LayTable[[#This Row],[Total inns]])</f>
        <v/>
      </c>
      <c r="U2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 s="48" t="str">
        <f>IFERROR(IF(LayTable[[#This Row],[Total inns]]="","",LayTable[[#This Row],[Rback]]/LayTable[[#This Row],[Total inns]]),"")</f>
        <v/>
      </c>
      <c r="X207" s="48" t="str">
        <f>IFERROR(IF(LayTable[[#This Row],[Total inns]]="","",LayTable[[#This Row],[Rlay]]/LayTable[[#This Row],[Total inns]]),"")</f>
        <v/>
      </c>
      <c r="Y207" s="48" t="str">
        <f>IFERROR(LayTable[[#This Row],[Faktisk res]]/LayTable[[#This Row],[Total inns]],"")</f>
        <v/>
      </c>
      <c r="Z207" s="47">
        <f>(LayTable[[#This Row],[BookieInnsats]]*LayTable[[#This Row],[BookieOdds]]-LayTable[[#This Row],[BookieInnsats]])*(1-LayTable[[#This Row],[C% Bookie]])</f>
        <v>0</v>
      </c>
      <c r="AA207" s="43">
        <f>LayTable[[#This Row],[LayInnsats]]*(1-LayTable[[#This Row],[C% Lay]])</f>
        <v>0</v>
      </c>
      <c r="AB207" s="43" t="str">
        <f>IFERROR(IF(LayTable[[#This Row],[Sport]]="",AB206,LayTable[[#This Row],[Faktisk res]]+AB206),"")</f>
        <v/>
      </c>
      <c r="AC207" s="43">
        <f>(LayTable[[#This Row],[BackWin-Commission]]+LayTable[[#This Row],[BookieInnsats]])</f>
        <v>0</v>
      </c>
      <c r="AD207" s="43" t="e">
        <f>(LayTable[[#This Row],[LayWin-Commission]])+LayTable[[#This Row],[LayLiability]]</f>
        <v>#VALUE!</v>
      </c>
      <c r="AE207" s="181"/>
      <c r="AF207" s="205"/>
    </row>
    <row r="208" spans="1:32">
      <c r="A208" s="183"/>
      <c r="B208" s="177"/>
      <c r="C208" s="40"/>
      <c r="D208" s="41"/>
      <c r="E208" s="178"/>
      <c r="F208" s="179"/>
      <c r="G208" s="183"/>
      <c r="H208" s="38"/>
      <c r="I208" s="42"/>
      <c r="J208" s="42"/>
      <c r="K208" s="43"/>
      <c r="L208" s="43"/>
      <c r="M208" s="44" t="str">
        <f>IF(LayTable[[#This Row],[Sport]]="","",LayTable[[#This Row],[LayInnsats]]*(LayTable[[#This Row],[LayOdds]]-1))</f>
        <v/>
      </c>
      <c r="N208" s="45" t="str">
        <f>IF(LayTable[[#This Row],[Sport]]="","",1/((1/LayTable[[#This Row],[BookieOdds]])+(1/((1/((1+((LayTable[[#This Row],[LayOdds]]-1)*(1+LayTable[[#This Row],[C% Lay]])))-1))+1)))-1)</f>
        <v/>
      </c>
      <c r="Q208" s="46" t="str">
        <f>IF(LayTable[[#This Row],[Sport]]="","",LayTable[[#This Row],[BookieInnsats]]+LayTable[[#This Row],[LayLiability]])</f>
        <v/>
      </c>
      <c r="R2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 s="47" t="str">
        <f>IF(LayTable[[#This Row],[Utfall bookie]]="","",LayTable[[#This Row],[WBABack]]+LayTable[[#This Row],[WBALay]]-LayTable[[#This Row],[Total inns]])</f>
        <v/>
      </c>
      <c r="U2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 s="48" t="str">
        <f>IFERROR(IF(LayTable[[#This Row],[Total inns]]="","",LayTable[[#This Row],[Rback]]/LayTable[[#This Row],[Total inns]]),"")</f>
        <v/>
      </c>
      <c r="X208" s="48" t="str">
        <f>IFERROR(IF(LayTable[[#This Row],[Total inns]]="","",LayTable[[#This Row],[Rlay]]/LayTable[[#This Row],[Total inns]]),"")</f>
        <v/>
      </c>
      <c r="Y208" s="48" t="str">
        <f>IFERROR(LayTable[[#This Row],[Faktisk res]]/LayTable[[#This Row],[Total inns]],"")</f>
        <v/>
      </c>
      <c r="Z208" s="47">
        <f>(LayTable[[#This Row],[BookieInnsats]]*LayTable[[#This Row],[BookieOdds]]-LayTable[[#This Row],[BookieInnsats]])*(1-LayTable[[#This Row],[C% Bookie]])</f>
        <v>0</v>
      </c>
      <c r="AA208" s="43">
        <f>LayTable[[#This Row],[LayInnsats]]*(1-LayTable[[#This Row],[C% Lay]])</f>
        <v>0</v>
      </c>
      <c r="AB208" s="43" t="str">
        <f>IFERROR(IF(LayTable[[#This Row],[Sport]]="",AB207,LayTable[[#This Row],[Faktisk res]]+AB207),"")</f>
        <v/>
      </c>
      <c r="AC208" s="43">
        <f>(LayTable[[#This Row],[BackWin-Commission]]+LayTable[[#This Row],[BookieInnsats]])</f>
        <v>0</v>
      </c>
      <c r="AD208" s="43" t="e">
        <f>(LayTable[[#This Row],[LayWin-Commission]])+LayTable[[#This Row],[LayLiability]]</f>
        <v>#VALUE!</v>
      </c>
      <c r="AE208" s="181"/>
      <c r="AF208" s="205"/>
    </row>
    <row r="209" spans="1:32">
      <c r="A209" s="183"/>
      <c r="B209" s="177"/>
      <c r="C209" s="40"/>
      <c r="D209" s="41"/>
      <c r="E209" s="40"/>
      <c r="F209" s="41"/>
      <c r="G209" s="183"/>
      <c r="H209" s="38"/>
      <c r="I209" s="42"/>
      <c r="J209" s="42"/>
      <c r="K209" s="43"/>
      <c r="L209" s="43"/>
      <c r="M209" s="44" t="str">
        <f>IF(LayTable[[#This Row],[Sport]]="","",LayTable[[#This Row],[LayInnsats]]*(LayTable[[#This Row],[LayOdds]]-1))</f>
        <v/>
      </c>
      <c r="N209" s="45" t="str">
        <f>IF(LayTable[[#This Row],[Sport]]="","",1/((1/LayTable[[#This Row],[BookieOdds]])+(1/((1/((1+((LayTable[[#This Row],[LayOdds]]-1)*(1+LayTable[[#This Row],[C% Lay]])))-1))+1)))-1)</f>
        <v/>
      </c>
      <c r="Q209" s="46" t="str">
        <f>IF(LayTable[[#This Row],[Sport]]="","",LayTable[[#This Row],[BookieInnsats]]+LayTable[[#This Row],[LayLiability]])</f>
        <v/>
      </c>
      <c r="R2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 s="47" t="str">
        <f>IF(LayTable[[#This Row],[Utfall bookie]]="","",LayTable[[#This Row],[WBABack]]+LayTable[[#This Row],[WBALay]]-LayTable[[#This Row],[Total inns]])</f>
        <v/>
      </c>
      <c r="U2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 s="48" t="str">
        <f>IFERROR(IF(LayTable[[#This Row],[Total inns]]="","",LayTable[[#This Row],[Rback]]/LayTable[[#This Row],[Total inns]]),"")</f>
        <v/>
      </c>
      <c r="X209" s="48" t="str">
        <f>IFERROR(IF(LayTable[[#This Row],[Total inns]]="","",LayTable[[#This Row],[Rlay]]/LayTable[[#This Row],[Total inns]]),"")</f>
        <v/>
      </c>
      <c r="Y209" s="48" t="str">
        <f>IFERROR(LayTable[[#This Row],[Faktisk res]]/LayTable[[#This Row],[Total inns]],"")</f>
        <v/>
      </c>
      <c r="Z209" s="47">
        <f>(LayTable[[#This Row],[BookieInnsats]]*LayTable[[#This Row],[BookieOdds]]-LayTable[[#This Row],[BookieInnsats]])*(1-LayTable[[#This Row],[C% Bookie]])</f>
        <v>0</v>
      </c>
      <c r="AA209" s="43">
        <f>LayTable[[#This Row],[LayInnsats]]*(1-LayTable[[#This Row],[C% Lay]])</f>
        <v>0</v>
      </c>
      <c r="AB209" s="43" t="str">
        <f>IFERROR(IF(LayTable[[#This Row],[Sport]]="",AB208,LayTable[[#This Row],[Faktisk res]]+AB208),"")</f>
        <v/>
      </c>
      <c r="AC209" s="43">
        <f>(LayTable[[#This Row],[BackWin-Commission]]+LayTable[[#This Row],[BookieInnsats]])</f>
        <v>0</v>
      </c>
      <c r="AD209" s="43" t="e">
        <f>(LayTable[[#This Row],[LayWin-Commission]])+LayTable[[#This Row],[LayLiability]]</f>
        <v>#VALUE!</v>
      </c>
      <c r="AE209" s="181"/>
      <c r="AF209" s="205"/>
    </row>
    <row r="210" spans="1:32">
      <c r="A210" s="183"/>
      <c r="B210" s="177"/>
      <c r="C210" s="40"/>
      <c r="D210" s="41"/>
      <c r="E210" s="40"/>
      <c r="F210" s="41"/>
      <c r="G210" s="183"/>
      <c r="H210" s="38"/>
      <c r="I210" s="42"/>
      <c r="J210" s="42"/>
      <c r="K210" s="43"/>
      <c r="L210" s="43"/>
      <c r="M210" s="44" t="str">
        <f>IF(LayTable[[#This Row],[Sport]]="","",LayTable[[#This Row],[LayInnsats]]*(LayTable[[#This Row],[LayOdds]]-1))</f>
        <v/>
      </c>
      <c r="N210" s="45" t="str">
        <f>IF(LayTable[[#This Row],[Sport]]="","",1/((1/LayTable[[#This Row],[BookieOdds]])+(1/((1/((1+((LayTable[[#This Row],[LayOdds]]-1)*(1+LayTable[[#This Row],[C% Lay]])))-1))+1)))-1)</f>
        <v/>
      </c>
      <c r="Q210" s="46" t="str">
        <f>IF(LayTable[[#This Row],[Sport]]="","",LayTable[[#This Row],[BookieInnsats]]+LayTable[[#This Row],[LayLiability]])</f>
        <v/>
      </c>
      <c r="R2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 s="47" t="str">
        <f>IF(LayTable[[#This Row],[Utfall bookie]]="","",LayTable[[#This Row],[WBABack]]+LayTable[[#This Row],[WBALay]]-LayTable[[#This Row],[Total inns]])</f>
        <v/>
      </c>
      <c r="U2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 s="48" t="str">
        <f>IFERROR(IF(LayTable[[#This Row],[Total inns]]="","",LayTable[[#This Row],[Rback]]/LayTable[[#This Row],[Total inns]]),"")</f>
        <v/>
      </c>
      <c r="X210" s="48" t="str">
        <f>IFERROR(IF(LayTable[[#This Row],[Total inns]]="","",LayTable[[#This Row],[Rlay]]/LayTable[[#This Row],[Total inns]]),"")</f>
        <v/>
      </c>
      <c r="Y210" s="48" t="str">
        <f>IFERROR(LayTable[[#This Row],[Faktisk res]]/LayTable[[#This Row],[Total inns]],"")</f>
        <v/>
      </c>
      <c r="Z210" s="47">
        <f>(LayTable[[#This Row],[BookieInnsats]]*LayTable[[#This Row],[BookieOdds]]-LayTable[[#This Row],[BookieInnsats]])*(1-LayTable[[#This Row],[C% Bookie]])</f>
        <v>0</v>
      </c>
      <c r="AA210" s="43">
        <f>LayTable[[#This Row],[LayInnsats]]*(1-LayTable[[#This Row],[C% Lay]])</f>
        <v>0</v>
      </c>
      <c r="AB210" s="43" t="str">
        <f>IFERROR(IF(LayTable[[#This Row],[Sport]]="",AB209,LayTable[[#This Row],[Faktisk res]]+AB209),"")</f>
        <v/>
      </c>
      <c r="AC210" s="43">
        <f>(LayTable[[#This Row],[BackWin-Commission]]+LayTable[[#This Row],[BookieInnsats]])</f>
        <v>0</v>
      </c>
      <c r="AD210" s="43" t="e">
        <f>(LayTable[[#This Row],[LayWin-Commission]])+LayTable[[#This Row],[LayLiability]]</f>
        <v>#VALUE!</v>
      </c>
      <c r="AE210" s="181"/>
      <c r="AF210" s="205"/>
    </row>
    <row r="211" spans="1:32">
      <c r="A211" s="183"/>
      <c r="B211" s="177"/>
      <c r="C211" s="40"/>
      <c r="D211" s="41"/>
      <c r="E211" s="178"/>
      <c r="F211" s="179"/>
      <c r="G211" s="183"/>
      <c r="H211" s="176"/>
      <c r="I211" s="180"/>
      <c r="J211" s="180"/>
      <c r="K211" s="181"/>
      <c r="L211" s="181"/>
      <c r="M211" s="44" t="str">
        <f>IF(LayTable[[#This Row],[Sport]]="","",LayTable[[#This Row],[LayInnsats]]*(LayTable[[#This Row],[LayOdds]]-1))</f>
        <v/>
      </c>
      <c r="N211" s="45" t="str">
        <f>IF(LayTable[[#This Row],[Sport]]="","",1/((1/LayTable[[#This Row],[BookieOdds]])+(1/((1/((1+((LayTable[[#This Row],[LayOdds]]-1)*(1+LayTable[[#This Row],[C% Lay]])))-1))+1)))-1)</f>
        <v/>
      </c>
      <c r="Q211" s="46" t="str">
        <f>IF(LayTable[[#This Row],[Sport]]="","",LayTable[[#This Row],[BookieInnsats]]+LayTable[[#This Row],[LayLiability]])</f>
        <v/>
      </c>
      <c r="R2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 s="47" t="str">
        <f>IF(LayTable[[#This Row],[Utfall bookie]]="","",LayTable[[#This Row],[WBABack]]+LayTable[[#This Row],[WBALay]]-LayTable[[#This Row],[Total inns]])</f>
        <v/>
      </c>
      <c r="U2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 s="48" t="str">
        <f>IFERROR(IF(LayTable[[#This Row],[Total inns]]="","",LayTable[[#This Row],[Rback]]/LayTable[[#This Row],[Total inns]]),"")</f>
        <v/>
      </c>
      <c r="X211" s="48" t="str">
        <f>IFERROR(IF(LayTable[[#This Row],[Total inns]]="","",LayTable[[#This Row],[Rlay]]/LayTable[[#This Row],[Total inns]]),"")</f>
        <v/>
      </c>
      <c r="Y211" s="48" t="str">
        <f>IFERROR(LayTable[[#This Row],[Faktisk res]]/LayTable[[#This Row],[Total inns]],"")</f>
        <v/>
      </c>
      <c r="Z211" s="47">
        <f>(LayTable[[#This Row],[BookieInnsats]]*LayTable[[#This Row],[BookieOdds]]-LayTable[[#This Row],[BookieInnsats]])*(1-LayTable[[#This Row],[C% Bookie]])</f>
        <v>0</v>
      </c>
      <c r="AA211" s="43">
        <f>LayTable[[#This Row],[LayInnsats]]*(1-LayTable[[#This Row],[C% Lay]])</f>
        <v>0</v>
      </c>
      <c r="AB211" s="43" t="str">
        <f>IFERROR(IF(LayTable[[#This Row],[Sport]]="",AB210,LayTable[[#This Row],[Faktisk res]]+AB210),"")</f>
        <v/>
      </c>
      <c r="AC211" s="43">
        <f>(LayTable[[#This Row],[BackWin-Commission]]+LayTable[[#This Row],[BookieInnsats]])</f>
        <v>0</v>
      </c>
      <c r="AD211" s="43" t="e">
        <f>(LayTable[[#This Row],[LayWin-Commission]])+LayTable[[#This Row],[LayLiability]]</f>
        <v>#VALUE!</v>
      </c>
      <c r="AE211" s="181"/>
      <c r="AF211" s="205"/>
    </row>
    <row r="212" spans="1:32">
      <c r="A212" s="183"/>
      <c r="B212" s="177"/>
      <c r="C212" s="40"/>
      <c r="D212" s="41"/>
      <c r="E212" s="40"/>
      <c r="F212" s="41"/>
      <c r="G212" s="183"/>
      <c r="H212" s="38"/>
      <c r="I212" s="42"/>
      <c r="J212" s="42"/>
      <c r="K212" s="43"/>
      <c r="L212" s="43"/>
      <c r="M212" s="44" t="str">
        <f>IF(LayTable[[#This Row],[Sport]]="","",LayTable[[#This Row],[LayInnsats]]*(LayTable[[#This Row],[LayOdds]]-1))</f>
        <v/>
      </c>
      <c r="N212" s="45" t="str">
        <f>IF(LayTable[[#This Row],[Sport]]="","",1/((1/LayTable[[#This Row],[BookieOdds]])+(1/((1/((1+((LayTable[[#This Row],[LayOdds]]-1)*(1+LayTable[[#This Row],[C% Lay]])))-1))+1)))-1)</f>
        <v/>
      </c>
      <c r="Q212" s="46" t="str">
        <f>IF(LayTable[[#This Row],[Sport]]="","",LayTable[[#This Row],[BookieInnsats]]+LayTable[[#This Row],[LayLiability]])</f>
        <v/>
      </c>
      <c r="R2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 s="47" t="str">
        <f>IF(LayTable[[#This Row],[Utfall bookie]]="","",LayTable[[#This Row],[WBABack]]+LayTable[[#This Row],[WBALay]]-LayTable[[#This Row],[Total inns]])</f>
        <v/>
      </c>
      <c r="U2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 s="48" t="str">
        <f>IFERROR(IF(LayTable[[#This Row],[Total inns]]="","",LayTable[[#This Row],[Rback]]/LayTable[[#This Row],[Total inns]]),"")</f>
        <v/>
      </c>
      <c r="X212" s="48" t="str">
        <f>IFERROR(IF(LayTable[[#This Row],[Total inns]]="","",LayTable[[#This Row],[Rlay]]/LayTable[[#This Row],[Total inns]]),"")</f>
        <v/>
      </c>
      <c r="Y212" s="48" t="str">
        <f>IFERROR(LayTable[[#This Row],[Faktisk res]]/LayTable[[#This Row],[Total inns]],"")</f>
        <v/>
      </c>
      <c r="Z212" s="47">
        <f>(LayTable[[#This Row],[BookieInnsats]]*LayTable[[#This Row],[BookieOdds]]-LayTable[[#This Row],[BookieInnsats]])*(1-LayTable[[#This Row],[C% Bookie]])</f>
        <v>0</v>
      </c>
      <c r="AA212" s="43">
        <f>LayTable[[#This Row],[LayInnsats]]*(1-LayTable[[#This Row],[C% Lay]])</f>
        <v>0</v>
      </c>
      <c r="AB212" s="43" t="str">
        <f>IFERROR(IF(LayTable[[#This Row],[Sport]]="",AB211,LayTable[[#This Row],[Faktisk res]]+AB211),"")</f>
        <v/>
      </c>
      <c r="AC212" s="43">
        <f>(LayTable[[#This Row],[BackWin-Commission]]+LayTable[[#This Row],[BookieInnsats]])</f>
        <v>0</v>
      </c>
      <c r="AD212" s="43" t="e">
        <f>(LayTable[[#This Row],[LayWin-Commission]])+LayTable[[#This Row],[LayLiability]]</f>
        <v>#VALUE!</v>
      </c>
      <c r="AE212" s="181"/>
      <c r="AF212" s="205"/>
    </row>
    <row r="213" spans="1:32">
      <c r="A213" s="183"/>
      <c r="B213" s="177"/>
      <c r="C213" s="40"/>
      <c r="D213" s="41"/>
      <c r="E213" s="40"/>
      <c r="F213" s="41"/>
      <c r="G213" s="183"/>
      <c r="H213" s="38"/>
      <c r="I213" s="42"/>
      <c r="J213" s="42"/>
      <c r="K213" s="43"/>
      <c r="L213" s="43"/>
      <c r="M213" s="44" t="str">
        <f>IF(LayTable[[#This Row],[Sport]]="","",LayTable[[#This Row],[LayInnsats]]*(LayTable[[#This Row],[LayOdds]]-1))</f>
        <v/>
      </c>
      <c r="N213" s="45" t="str">
        <f>IF(LayTable[[#This Row],[Sport]]="","",1/((1/LayTable[[#This Row],[BookieOdds]])+(1/((1/((1+((LayTable[[#This Row],[LayOdds]]-1)*(1+LayTable[[#This Row],[C% Lay]])))-1))+1)))-1)</f>
        <v/>
      </c>
      <c r="Q213" s="46" t="str">
        <f>IF(LayTable[[#This Row],[Sport]]="","",LayTable[[#This Row],[BookieInnsats]]+LayTable[[#This Row],[LayLiability]])</f>
        <v/>
      </c>
      <c r="R2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 s="47" t="str">
        <f>IF(LayTable[[#This Row],[Utfall bookie]]="","",LayTable[[#This Row],[WBABack]]+LayTable[[#This Row],[WBALay]]-LayTable[[#This Row],[Total inns]])</f>
        <v/>
      </c>
      <c r="U2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 s="48" t="str">
        <f>IFERROR(IF(LayTable[[#This Row],[Total inns]]="","",LayTable[[#This Row],[Rback]]/LayTable[[#This Row],[Total inns]]),"")</f>
        <v/>
      </c>
      <c r="X213" s="48" t="str">
        <f>IFERROR(IF(LayTable[[#This Row],[Total inns]]="","",LayTable[[#This Row],[Rlay]]/LayTable[[#This Row],[Total inns]]),"")</f>
        <v/>
      </c>
      <c r="Y213" s="48" t="str">
        <f>IFERROR(LayTable[[#This Row],[Faktisk res]]/LayTable[[#This Row],[Total inns]],"")</f>
        <v/>
      </c>
      <c r="Z213" s="47">
        <f>(LayTable[[#This Row],[BookieInnsats]]*LayTable[[#This Row],[BookieOdds]]-LayTable[[#This Row],[BookieInnsats]])*(1-LayTable[[#This Row],[C% Bookie]])</f>
        <v>0</v>
      </c>
      <c r="AA213" s="43">
        <f>LayTable[[#This Row],[LayInnsats]]*(1-LayTable[[#This Row],[C% Lay]])</f>
        <v>0</v>
      </c>
      <c r="AB213" s="43" t="str">
        <f>IFERROR(IF(LayTable[[#This Row],[Sport]]="",AB212,LayTable[[#This Row],[Faktisk res]]+AB212),"")</f>
        <v/>
      </c>
      <c r="AC213" s="43">
        <f>(LayTable[[#This Row],[BackWin-Commission]]+LayTable[[#This Row],[BookieInnsats]])</f>
        <v>0</v>
      </c>
      <c r="AD213" s="43" t="e">
        <f>(LayTable[[#This Row],[LayWin-Commission]])+LayTable[[#This Row],[LayLiability]]</f>
        <v>#VALUE!</v>
      </c>
      <c r="AE213" s="181"/>
      <c r="AF213" s="205"/>
    </row>
    <row r="214" spans="1:32">
      <c r="A214" s="183"/>
      <c r="B214" s="177"/>
      <c r="C214" s="40"/>
      <c r="D214" s="41"/>
      <c r="E214" s="40"/>
      <c r="F214" s="41"/>
      <c r="G214" s="183"/>
      <c r="H214" s="38"/>
      <c r="I214" s="42"/>
      <c r="J214" s="42"/>
      <c r="K214" s="43"/>
      <c r="L214" s="43"/>
      <c r="M214" s="44" t="str">
        <f>IF(LayTable[[#This Row],[Sport]]="","",LayTable[[#This Row],[LayInnsats]]*(LayTable[[#This Row],[LayOdds]]-1))</f>
        <v/>
      </c>
      <c r="N214" s="45" t="str">
        <f>IF(LayTable[[#This Row],[Sport]]="","",1/((1/LayTable[[#This Row],[BookieOdds]])+(1/((1/((1+((LayTable[[#This Row],[LayOdds]]-1)*(1+LayTable[[#This Row],[C% Lay]])))-1))+1)))-1)</f>
        <v/>
      </c>
      <c r="Q214" s="46" t="str">
        <f>IF(LayTable[[#This Row],[Sport]]="","",LayTable[[#This Row],[BookieInnsats]]+LayTable[[#This Row],[LayLiability]])</f>
        <v/>
      </c>
      <c r="R2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 s="47" t="str">
        <f>IF(LayTable[[#This Row],[Utfall bookie]]="","",LayTable[[#This Row],[WBABack]]+LayTable[[#This Row],[WBALay]]-LayTable[[#This Row],[Total inns]])</f>
        <v/>
      </c>
      <c r="U2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 s="48" t="str">
        <f>IFERROR(IF(LayTable[[#This Row],[Total inns]]="","",LayTable[[#This Row],[Rback]]/LayTable[[#This Row],[Total inns]]),"")</f>
        <v/>
      </c>
      <c r="X214" s="48" t="str">
        <f>IFERROR(IF(LayTable[[#This Row],[Total inns]]="","",LayTable[[#This Row],[Rlay]]/LayTable[[#This Row],[Total inns]]),"")</f>
        <v/>
      </c>
      <c r="Y214" s="48" t="str">
        <f>IFERROR(LayTable[[#This Row],[Faktisk res]]/LayTable[[#This Row],[Total inns]],"")</f>
        <v/>
      </c>
      <c r="Z214" s="47">
        <f>(LayTable[[#This Row],[BookieInnsats]]*LayTable[[#This Row],[BookieOdds]]-LayTable[[#This Row],[BookieInnsats]])*(1-LayTable[[#This Row],[C% Bookie]])</f>
        <v>0</v>
      </c>
      <c r="AA214" s="43">
        <f>LayTable[[#This Row],[LayInnsats]]*(1-LayTable[[#This Row],[C% Lay]])</f>
        <v>0</v>
      </c>
      <c r="AB214" s="43" t="str">
        <f>IFERROR(IF(LayTable[[#This Row],[Sport]]="",AB213,LayTable[[#This Row],[Faktisk res]]+AB213),"")</f>
        <v/>
      </c>
      <c r="AC214" s="43">
        <f>(LayTable[[#This Row],[BackWin-Commission]]+LayTable[[#This Row],[BookieInnsats]])</f>
        <v>0</v>
      </c>
      <c r="AD214" s="43" t="e">
        <f>(LayTable[[#This Row],[LayWin-Commission]])+LayTable[[#This Row],[LayLiability]]</f>
        <v>#VALUE!</v>
      </c>
      <c r="AE214" s="181"/>
      <c r="AF214" s="205"/>
    </row>
    <row r="215" spans="1:32">
      <c r="A215" s="183"/>
      <c r="B215" s="177"/>
      <c r="C215" s="40"/>
      <c r="D215" s="41"/>
      <c r="E215" s="40"/>
      <c r="F215" s="41"/>
      <c r="G215" s="183"/>
      <c r="H215" s="38"/>
      <c r="I215" s="42"/>
      <c r="J215" s="42"/>
      <c r="K215" s="43"/>
      <c r="L215" s="43"/>
      <c r="M215" s="44" t="str">
        <f>IF(LayTable[[#This Row],[Sport]]="","",LayTable[[#This Row],[LayInnsats]]*(LayTable[[#This Row],[LayOdds]]-1))</f>
        <v/>
      </c>
      <c r="N215" s="45" t="str">
        <f>IF(LayTable[[#This Row],[Sport]]="","",1/((1/LayTable[[#This Row],[BookieOdds]])+(1/((1/((1+((LayTable[[#This Row],[LayOdds]]-1)*(1+LayTable[[#This Row],[C% Lay]])))-1))+1)))-1)</f>
        <v/>
      </c>
      <c r="Q215" s="46" t="str">
        <f>IF(LayTable[[#This Row],[Sport]]="","",LayTable[[#This Row],[BookieInnsats]]+LayTable[[#This Row],[LayLiability]])</f>
        <v/>
      </c>
      <c r="R2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 s="47" t="str">
        <f>IF(LayTable[[#This Row],[Utfall bookie]]="","",LayTable[[#This Row],[WBABack]]+LayTable[[#This Row],[WBALay]]-LayTable[[#This Row],[Total inns]])</f>
        <v/>
      </c>
      <c r="U2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 s="48" t="str">
        <f>IFERROR(IF(LayTable[[#This Row],[Total inns]]="","",LayTable[[#This Row],[Rback]]/LayTable[[#This Row],[Total inns]]),"")</f>
        <v/>
      </c>
      <c r="X215" s="48" t="str">
        <f>IFERROR(IF(LayTable[[#This Row],[Total inns]]="","",LayTable[[#This Row],[Rlay]]/LayTable[[#This Row],[Total inns]]),"")</f>
        <v/>
      </c>
      <c r="Y215" s="48" t="str">
        <f>IFERROR(LayTable[[#This Row],[Faktisk res]]/LayTable[[#This Row],[Total inns]],"")</f>
        <v/>
      </c>
      <c r="Z215" s="47">
        <f>(LayTable[[#This Row],[BookieInnsats]]*LayTable[[#This Row],[BookieOdds]]-LayTable[[#This Row],[BookieInnsats]])*(1-LayTable[[#This Row],[C% Bookie]])</f>
        <v>0</v>
      </c>
      <c r="AA215" s="43">
        <f>LayTable[[#This Row],[LayInnsats]]*(1-LayTable[[#This Row],[C% Lay]])</f>
        <v>0</v>
      </c>
      <c r="AB215" s="43" t="str">
        <f>IFERROR(IF(LayTable[[#This Row],[Sport]]="",AB214,LayTable[[#This Row],[Faktisk res]]+AB214),"")</f>
        <v/>
      </c>
      <c r="AC215" s="43">
        <f>(LayTable[[#This Row],[BackWin-Commission]]+LayTable[[#This Row],[BookieInnsats]])</f>
        <v>0</v>
      </c>
      <c r="AD215" s="43" t="e">
        <f>(LayTable[[#This Row],[LayWin-Commission]])+LayTable[[#This Row],[LayLiability]]</f>
        <v>#VALUE!</v>
      </c>
      <c r="AE215" s="181"/>
      <c r="AF215" s="205"/>
    </row>
    <row r="216" spans="1:32">
      <c r="A216" s="183"/>
      <c r="B216" s="177"/>
      <c r="C216" s="178"/>
      <c r="D216" s="179"/>
      <c r="E216" s="178"/>
      <c r="F216" s="179"/>
      <c r="G216" s="183"/>
      <c r="H216" s="176"/>
      <c r="I216" s="180"/>
      <c r="J216" s="180"/>
      <c r="K216" s="43"/>
      <c r="L216" s="43"/>
      <c r="M216" s="44" t="str">
        <f>IF(LayTable[[#This Row],[Sport]]="","",LayTable[[#This Row],[LayInnsats]]*(LayTable[[#This Row],[LayOdds]]-1))</f>
        <v/>
      </c>
      <c r="N216" s="45" t="str">
        <f>IF(LayTable[[#This Row],[Sport]]="","",1/((1/LayTable[[#This Row],[BookieOdds]])+(1/((1/((1+((LayTable[[#This Row],[LayOdds]]-1)*(1+LayTable[[#This Row],[C% Lay]])))-1))+1)))-1)</f>
        <v/>
      </c>
      <c r="Q216" s="46" t="str">
        <f>IF(LayTable[[#This Row],[Sport]]="","",LayTable[[#This Row],[BookieInnsats]]+LayTable[[#This Row],[LayLiability]])</f>
        <v/>
      </c>
      <c r="R2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 s="47" t="str">
        <f>IF(LayTable[[#This Row],[Utfall bookie]]="","",LayTable[[#This Row],[WBABack]]+LayTable[[#This Row],[WBALay]]-LayTable[[#This Row],[Total inns]])</f>
        <v/>
      </c>
      <c r="U2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 s="48" t="str">
        <f>IFERROR(IF(LayTable[[#This Row],[Total inns]]="","",LayTable[[#This Row],[Rback]]/LayTable[[#This Row],[Total inns]]),"")</f>
        <v/>
      </c>
      <c r="X216" s="48" t="str">
        <f>IFERROR(IF(LayTable[[#This Row],[Total inns]]="","",LayTable[[#This Row],[Rlay]]/LayTable[[#This Row],[Total inns]]),"")</f>
        <v/>
      </c>
      <c r="Y216" s="48" t="str">
        <f>IFERROR(LayTable[[#This Row],[Faktisk res]]/LayTable[[#This Row],[Total inns]],"")</f>
        <v/>
      </c>
      <c r="Z216" s="47">
        <f>(LayTable[[#This Row],[BookieInnsats]]*LayTable[[#This Row],[BookieOdds]]-LayTable[[#This Row],[BookieInnsats]])*(1-LayTable[[#This Row],[C% Bookie]])</f>
        <v>0</v>
      </c>
      <c r="AA216" s="43">
        <f>LayTable[[#This Row],[LayInnsats]]*(1-LayTable[[#This Row],[C% Lay]])</f>
        <v>0</v>
      </c>
      <c r="AB216" s="43" t="str">
        <f>IFERROR(IF(LayTable[[#This Row],[Sport]]="",AB215,LayTable[[#This Row],[Faktisk res]]+AB215),"")</f>
        <v/>
      </c>
      <c r="AC216" s="43">
        <f>(LayTable[[#This Row],[BackWin-Commission]]+LayTable[[#This Row],[BookieInnsats]])</f>
        <v>0</v>
      </c>
      <c r="AD216" s="43" t="e">
        <f>(LayTable[[#This Row],[LayWin-Commission]])+LayTable[[#This Row],[LayLiability]]</f>
        <v>#VALUE!</v>
      </c>
      <c r="AE216" s="181"/>
      <c r="AF216" s="205"/>
    </row>
    <row r="217" spans="1:32">
      <c r="A217" s="183"/>
      <c r="B217" s="177"/>
      <c r="C217" s="178"/>
      <c r="D217" s="179"/>
      <c r="E217" s="178"/>
      <c r="F217" s="179"/>
      <c r="G217" s="183"/>
      <c r="H217" s="176"/>
      <c r="I217" s="180"/>
      <c r="J217" s="180"/>
      <c r="K217" s="181"/>
      <c r="L217" s="181"/>
      <c r="M217" s="44" t="str">
        <f>IF(LayTable[[#This Row],[Sport]]="","",LayTable[[#This Row],[LayInnsats]]*(LayTable[[#This Row],[LayOdds]]-1))</f>
        <v/>
      </c>
      <c r="N217" s="45" t="str">
        <f>IF(LayTable[[#This Row],[Sport]]="","",1/((1/LayTable[[#This Row],[BookieOdds]])+(1/((1/((1+((LayTable[[#This Row],[LayOdds]]-1)*(1+LayTable[[#This Row],[C% Lay]])))-1))+1)))-1)</f>
        <v/>
      </c>
      <c r="Q217" s="46" t="str">
        <f>IF(LayTable[[#This Row],[Sport]]="","",LayTable[[#This Row],[BookieInnsats]]+LayTable[[#This Row],[LayLiability]])</f>
        <v/>
      </c>
      <c r="R2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 s="47" t="str">
        <f>IF(LayTable[[#This Row],[Utfall bookie]]="","",LayTable[[#This Row],[WBABack]]+LayTable[[#This Row],[WBALay]]-LayTable[[#This Row],[Total inns]])</f>
        <v/>
      </c>
      <c r="U2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 s="48" t="str">
        <f>IFERROR(IF(LayTable[[#This Row],[Total inns]]="","",LayTable[[#This Row],[Rback]]/LayTable[[#This Row],[Total inns]]),"")</f>
        <v/>
      </c>
      <c r="X217" s="48" t="str">
        <f>IFERROR(IF(LayTable[[#This Row],[Total inns]]="","",LayTable[[#This Row],[Rlay]]/LayTable[[#This Row],[Total inns]]),"")</f>
        <v/>
      </c>
      <c r="Y217" s="48" t="str">
        <f>IFERROR(LayTable[[#This Row],[Faktisk res]]/LayTable[[#This Row],[Total inns]],"")</f>
        <v/>
      </c>
      <c r="Z217" s="47">
        <f>(LayTable[[#This Row],[BookieInnsats]]*LayTable[[#This Row],[BookieOdds]]-LayTable[[#This Row],[BookieInnsats]])*(1-LayTable[[#This Row],[C% Bookie]])</f>
        <v>0</v>
      </c>
      <c r="AA217" s="43">
        <f>LayTable[[#This Row],[LayInnsats]]*(1-LayTable[[#This Row],[C% Lay]])</f>
        <v>0</v>
      </c>
      <c r="AB217" s="43" t="str">
        <f>IFERROR(IF(LayTable[[#This Row],[Sport]]="",AB216,LayTable[[#This Row],[Faktisk res]]+AB216),"")</f>
        <v/>
      </c>
      <c r="AC217" s="43">
        <f>(LayTable[[#This Row],[BackWin-Commission]]+LayTable[[#This Row],[BookieInnsats]])</f>
        <v>0</v>
      </c>
      <c r="AD217" s="43" t="e">
        <f>(LayTable[[#This Row],[LayWin-Commission]])+LayTable[[#This Row],[LayLiability]]</f>
        <v>#VALUE!</v>
      </c>
      <c r="AE217" s="181"/>
      <c r="AF217" s="205"/>
    </row>
    <row r="218" spans="1:32">
      <c r="A218" s="183"/>
      <c r="B218" s="177"/>
      <c r="C218" s="178"/>
      <c r="D218" s="179"/>
      <c r="E218" s="178"/>
      <c r="F218" s="179"/>
      <c r="G218" s="183"/>
      <c r="H218" s="176"/>
      <c r="I218" s="180"/>
      <c r="J218" s="180"/>
      <c r="K218" s="43"/>
      <c r="L218" s="43"/>
      <c r="M218" s="44" t="str">
        <f>IF(LayTable[[#This Row],[Sport]]="","",LayTable[[#This Row],[LayInnsats]]*(LayTable[[#This Row],[LayOdds]]-1))</f>
        <v/>
      </c>
      <c r="N218" s="45" t="str">
        <f>IF(LayTable[[#This Row],[Sport]]="","",1/((1/LayTable[[#This Row],[BookieOdds]])+(1/((1/((1+((LayTable[[#This Row],[LayOdds]]-1)*(1+LayTable[[#This Row],[C% Lay]])))-1))+1)))-1)</f>
        <v/>
      </c>
      <c r="Q218" s="46" t="str">
        <f>IF(LayTable[[#This Row],[Sport]]="","",LayTable[[#This Row],[BookieInnsats]]+LayTable[[#This Row],[LayLiability]])</f>
        <v/>
      </c>
      <c r="R2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 s="47" t="str">
        <f>IF(LayTable[[#This Row],[Utfall bookie]]="","",LayTable[[#This Row],[WBABack]]+LayTable[[#This Row],[WBALay]]-LayTable[[#This Row],[Total inns]])</f>
        <v/>
      </c>
      <c r="U2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 s="48" t="str">
        <f>IFERROR(IF(LayTable[[#This Row],[Total inns]]="","",LayTable[[#This Row],[Rback]]/LayTable[[#This Row],[Total inns]]),"")</f>
        <v/>
      </c>
      <c r="X218" s="48" t="str">
        <f>IFERROR(IF(LayTable[[#This Row],[Total inns]]="","",LayTable[[#This Row],[Rlay]]/LayTable[[#This Row],[Total inns]]),"")</f>
        <v/>
      </c>
      <c r="Y218" s="48" t="str">
        <f>IFERROR(LayTable[[#This Row],[Faktisk res]]/LayTable[[#This Row],[Total inns]],"")</f>
        <v/>
      </c>
      <c r="Z218" s="47">
        <f>(LayTable[[#This Row],[BookieInnsats]]*LayTable[[#This Row],[BookieOdds]]-LayTable[[#This Row],[BookieInnsats]])*(1-LayTable[[#This Row],[C% Bookie]])</f>
        <v>0</v>
      </c>
      <c r="AA218" s="43">
        <f>LayTable[[#This Row],[LayInnsats]]*(1-LayTable[[#This Row],[C% Lay]])</f>
        <v>0</v>
      </c>
      <c r="AB218" s="43" t="str">
        <f>IFERROR(IF(LayTable[[#This Row],[Sport]]="",AB217,LayTable[[#This Row],[Faktisk res]]+AB217),"")</f>
        <v/>
      </c>
      <c r="AC218" s="43">
        <f>(LayTable[[#This Row],[BackWin-Commission]]+LayTable[[#This Row],[BookieInnsats]])</f>
        <v>0</v>
      </c>
      <c r="AD218" s="43" t="e">
        <f>(LayTable[[#This Row],[LayWin-Commission]])+LayTable[[#This Row],[LayLiability]]</f>
        <v>#VALUE!</v>
      </c>
      <c r="AE218" s="181"/>
      <c r="AF218" s="181"/>
    </row>
    <row r="219" spans="1:32">
      <c r="A219" s="84"/>
      <c r="B219" s="177"/>
      <c r="C219" s="178"/>
      <c r="D219" s="179"/>
      <c r="E219" s="178"/>
      <c r="F219" s="179"/>
      <c r="G219" s="183"/>
      <c r="H219" s="38"/>
      <c r="I219" s="42"/>
      <c r="J219" s="42"/>
      <c r="K219" s="43"/>
      <c r="L219" s="43"/>
      <c r="M219" s="44" t="str">
        <f>IF(LayTable[[#This Row],[Sport]]="","",LayTable[[#This Row],[LayInnsats]]*(LayTable[[#This Row],[LayOdds]]-1))</f>
        <v/>
      </c>
      <c r="N219" s="45" t="str">
        <f>IF(LayTable[[#This Row],[Sport]]="","",1/((1/LayTable[[#This Row],[BookieOdds]])+(1/((1/((1+((LayTable[[#This Row],[LayOdds]]-1)*(1+LayTable[[#This Row],[C% Lay]])))-1))+1)))-1)</f>
        <v/>
      </c>
      <c r="Q219" s="46" t="str">
        <f>IF(LayTable[[#This Row],[Sport]]="","",LayTable[[#This Row],[BookieInnsats]]+LayTable[[#This Row],[LayLiability]])</f>
        <v/>
      </c>
      <c r="R2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 s="47" t="str">
        <f>IF(LayTable[[#This Row],[Utfall bookie]]="","",LayTable[[#This Row],[WBABack]]+LayTable[[#This Row],[WBALay]]-LayTable[[#This Row],[Total inns]])</f>
        <v/>
      </c>
      <c r="U2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 s="48" t="str">
        <f>IFERROR(IF(LayTable[[#This Row],[Total inns]]="","",LayTable[[#This Row],[Rback]]/LayTable[[#This Row],[Total inns]]),"")</f>
        <v/>
      </c>
      <c r="X219" s="48" t="str">
        <f>IFERROR(IF(LayTable[[#This Row],[Total inns]]="","",LayTable[[#This Row],[Rlay]]/LayTable[[#This Row],[Total inns]]),"")</f>
        <v/>
      </c>
      <c r="Y219" s="48" t="str">
        <f>IFERROR(LayTable[[#This Row],[Faktisk res]]/LayTable[[#This Row],[Total inns]],"")</f>
        <v/>
      </c>
      <c r="Z219" s="47">
        <f>(LayTable[[#This Row],[BookieInnsats]]*LayTable[[#This Row],[BookieOdds]]-LayTable[[#This Row],[BookieInnsats]])*(1-LayTable[[#This Row],[C% Bookie]])</f>
        <v>0</v>
      </c>
      <c r="AA219" s="43">
        <f>LayTable[[#This Row],[LayInnsats]]*(1-LayTable[[#This Row],[C% Lay]])</f>
        <v>0</v>
      </c>
      <c r="AB219" s="43" t="str">
        <f>IFERROR(IF(LayTable[[#This Row],[Sport]]="",AB218,LayTable[[#This Row],[Faktisk res]]+AB218),"")</f>
        <v/>
      </c>
      <c r="AC219" s="43">
        <f>(LayTable[[#This Row],[BackWin-Commission]]+LayTable[[#This Row],[BookieInnsats]])</f>
        <v>0</v>
      </c>
      <c r="AD219" s="43" t="e">
        <f>(LayTable[[#This Row],[LayWin-Commission]])+LayTable[[#This Row],[LayLiability]]</f>
        <v>#VALUE!</v>
      </c>
      <c r="AE219" s="181"/>
      <c r="AF219" s="181"/>
    </row>
    <row r="220" spans="1:32">
      <c r="A220" s="84"/>
      <c r="B220" s="177"/>
      <c r="C220" s="178"/>
      <c r="D220" s="179"/>
      <c r="E220" s="178"/>
      <c r="F220" s="179"/>
      <c r="G220" s="183"/>
      <c r="H220" s="38"/>
      <c r="I220" s="180"/>
      <c r="J220" s="180"/>
      <c r="K220" s="43"/>
      <c r="L220" s="43"/>
      <c r="M220" s="44" t="str">
        <f>IF(LayTable[[#This Row],[Sport]]="","",LayTable[[#This Row],[LayInnsats]]*(LayTable[[#This Row],[LayOdds]]-1))</f>
        <v/>
      </c>
      <c r="N220" s="45" t="str">
        <f>IF(LayTable[[#This Row],[Sport]]="","",1/((1/LayTable[[#This Row],[BookieOdds]])+(1/((1/((1+((LayTable[[#This Row],[LayOdds]]-1)*(1+LayTable[[#This Row],[C% Lay]])))-1))+1)))-1)</f>
        <v/>
      </c>
      <c r="Q220" s="46" t="str">
        <f>IF(LayTable[[#This Row],[Sport]]="","",LayTable[[#This Row],[BookieInnsats]]+LayTable[[#This Row],[LayLiability]])</f>
        <v/>
      </c>
      <c r="R2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 s="47" t="str">
        <f>IF(LayTable[[#This Row],[Utfall bookie]]="","",LayTable[[#This Row],[WBABack]]+LayTable[[#This Row],[WBALay]]-LayTable[[#This Row],[Total inns]])</f>
        <v/>
      </c>
      <c r="U2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 s="48" t="str">
        <f>IFERROR(IF(LayTable[[#This Row],[Total inns]]="","",LayTable[[#This Row],[Rback]]/LayTable[[#This Row],[Total inns]]),"")</f>
        <v/>
      </c>
      <c r="X220" s="48" t="str">
        <f>IFERROR(IF(LayTable[[#This Row],[Total inns]]="","",LayTable[[#This Row],[Rlay]]/LayTable[[#This Row],[Total inns]]),"")</f>
        <v/>
      </c>
      <c r="Y220" s="48" t="str">
        <f>IFERROR(LayTable[[#This Row],[Faktisk res]]/LayTable[[#This Row],[Total inns]],"")</f>
        <v/>
      </c>
      <c r="Z220" s="47">
        <f>(LayTable[[#This Row],[BookieInnsats]]*LayTable[[#This Row],[BookieOdds]]-LayTable[[#This Row],[BookieInnsats]])*(1-LayTable[[#This Row],[C% Bookie]])</f>
        <v>0</v>
      </c>
      <c r="AA220" s="43">
        <f>LayTable[[#This Row],[LayInnsats]]*(1-LayTable[[#This Row],[C% Lay]])</f>
        <v>0</v>
      </c>
      <c r="AB220" s="43" t="str">
        <f>IFERROR(IF(LayTable[[#This Row],[Sport]]="",AB219,LayTable[[#This Row],[Faktisk res]]+AB219),"")</f>
        <v/>
      </c>
      <c r="AC220" s="43">
        <f>(LayTable[[#This Row],[BackWin-Commission]]+LayTable[[#This Row],[BookieInnsats]])</f>
        <v>0</v>
      </c>
      <c r="AD220" s="43" t="e">
        <f>(LayTable[[#This Row],[LayWin-Commission]])+LayTable[[#This Row],[LayLiability]]</f>
        <v>#VALUE!</v>
      </c>
      <c r="AE220" s="181"/>
      <c r="AF220" s="183"/>
    </row>
    <row r="221" spans="1:32">
      <c r="A221" s="84"/>
      <c r="B221" s="177"/>
      <c r="C221" s="178"/>
      <c r="D221" s="179"/>
      <c r="E221" s="178"/>
      <c r="F221" s="179"/>
      <c r="G221" s="183"/>
      <c r="H221" s="38"/>
      <c r="I221" s="42"/>
      <c r="J221" s="42"/>
      <c r="K221" s="43"/>
      <c r="L221" s="43"/>
      <c r="M221" s="44" t="str">
        <f>IF(LayTable[[#This Row],[Sport]]="","",LayTable[[#This Row],[LayInnsats]]*(LayTable[[#This Row],[LayOdds]]-1))</f>
        <v/>
      </c>
      <c r="N221" s="45" t="str">
        <f>IF(LayTable[[#This Row],[Sport]]="","",1/((1/LayTable[[#This Row],[BookieOdds]])+(1/((1/((1+((LayTable[[#This Row],[LayOdds]]-1)*(1+LayTable[[#This Row],[C% Lay]])))-1))+1)))-1)</f>
        <v/>
      </c>
      <c r="Q221" s="46" t="str">
        <f>IF(LayTable[[#This Row],[Sport]]="","",LayTable[[#This Row],[BookieInnsats]]+LayTable[[#This Row],[LayLiability]])</f>
        <v/>
      </c>
      <c r="R2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 s="47" t="str">
        <f>IF(LayTable[[#This Row],[Utfall bookie]]="","",LayTable[[#This Row],[WBABack]]+LayTable[[#This Row],[WBALay]]-LayTable[[#This Row],[Total inns]])</f>
        <v/>
      </c>
      <c r="U2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 s="48" t="str">
        <f>IFERROR(IF(LayTable[[#This Row],[Total inns]]="","",LayTable[[#This Row],[Rback]]/LayTable[[#This Row],[Total inns]]),"")</f>
        <v/>
      </c>
      <c r="X221" s="48" t="str">
        <f>IFERROR(IF(LayTable[[#This Row],[Total inns]]="","",LayTable[[#This Row],[Rlay]]/LayTable[[#This Row],[Total inns]]),"")</f>
        <v/>
      </c>
      <c r="Y221" s="48" t="str">
        <f>IFERROR(LayTable[[#This Row],[Faktisk res]]/LayTable[[#This Row],[Total inns]],"")</f>
        <v/>
      </c>
      <c r="Z221" s="47">
        <f>(LayTable[[#This Row],[BookieInnsats]]*LayTable[[#This Row],[BookieOdds]]-LayTable[[#This Row],[BookieInnsats]])*(1-LayTable[[#This Row],[C% Bookie]])</f>
        <v>0</v>
      </c>
      <c r="AA221" s="43">
        <f>LayTable[[#This Row],[LayInnsats]]*(1-LayTable[[#This Row],[C% Lay]])</f>
        <v>0</v>
      </c>
      <c r="AB221" s="43" t="str">
        <f>IFERROR(IF(LayTable[[#This Row],[Sport]]="",AB220,LayTable[[#This Row],[Faktisk res]]+AB220),"")</f>
        <v/>
      </c>
      <c r="AC221" s="43">
        <f>(LayTable[[#This Row],[BackWin-Commission]]+LayTable[[#This Row],[BookieInnsats]])</f>
        <v>0</v>
      </c>
      <c r="AD221" s="43" t="e">
        <f>(LayTable[[#This Row],[LayWin-Commission]])+LayTable[[#This Row],[LayLiability]]</f>
        <v>#VALUE!</v>
      </c>
      <c r="AE221" s="181"/>
      <c r="AF221" s="183"/>
    </row>
    <row r="222" spans="1:32">
      <c r="A222" s="84"/>
      <c r="B222" s="177"/>
      <c r="C222" s="178"/>
      <c r="D222" s="179"/>
      <c r="E222" s="178"/>
      <c r="F222" s="179"/>
      <c r="G222" s="183"/>
      <c r="H222" s="38"/>
      <c r="I222" s="42"/>
      <c r="J222" s="42"/>
      <c r="K222" s="43"/>
      <c r="L222" s="43"/>
      <c r="M222" s="44" t="str">
        <f>IF(LayTable[[#This Row],[Sport]]="","",LayTable[[#This Row],[LayInnsats]]*(LayTable[[#This Row],[LayOdds]]-1))</f>
        <v/>
      </c>
      <c r="N222" s="45" t="str">
        <f>IF(LayTable[[#This Row],[Sport]]="","",1/((1/LayTable[[#This Row],[BookieOdds]])+(1/((1/((1+((LayTable[[#This Row],[LayOdds]]-1)*(1+LayTable[[#This Row],[C% Lay]])))-1))+1)))-1)</f>
        <v/>
      </c>
      <c r="Q222" s="46" t="str">
        <f>IF(LayTable[[#This Row],[Sport]]="","",LayTable[[#This Row],[BookieInnsats]]+LayTable[[#This Row],[LayLiability]])</f>
        <v/>
      </c>
      <c r="R2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 s="47" t="str">
        <f>IF(LayTable[[#This Row],[Utfall bookie]]="","",LayTable[[#This Row],[WBABack]]+LayTable[[#This Row],[WBALay]]-LayTable[[#This Row],[Total inns]])</f>
        <v/>
      </c>
      <c r="U2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 s="48" t="str">
        <f>IFERROR(IF(LayTable[[#This Row],[Total inns]]="","",LayTable[[#This Row],[Rback]]/LayTable[[#This Row],[Total inns]]),"")</f>
        <v/>
      </c>
      <c r="X222" s="48" t="str">
        <f>IFERROR(IF(LayTable[[#This Row],[Total inns]]="","",LayTable[[#This Row],[Rlay]]/LayTable[[#This Row],[Total inns]]),"")</f>
        <v/>
      </c>
      <c r="Y222" s="48" t="str">
        <f>IFERROR(LayTable[[#This Row],[Faktisk res]]/LayTable[[#This Row],[Total inns]],"")</f>
        <v/>
      </c>
      <c r="Z222" s="47">
        <f>(LayTable[[#This Row],[BookieInnsats]]*LayTable[[#This Row],[BookieOdds]]-LayTable[[#This Row],[BookieInnsats]])*(1-LayTable[[#This Row],[C% Bookie]])</f>
        <v>0</v>
      </c>
      <c r="AA222" s="43">
        <f>LayTable[[#This Row],[LayInnsats]]*(1-LayTable[[#This Row],[C% Lay]])</f>
        <v>0</v>
      </c>
      <c r="AB222" s="43" t="str">
        <f>IFERROR(IF(LayTable[[#This Row],[Sport]]="",AB221,LayTable[[#This Row],[Faktisk res]]+AB221),"")</f>
        <v/>
      </c>
      <c r="AC222" s="43">
        <f>(LayTable[[#This Row],[BackWin-Commission]]+LayTable[[#This Row],[BookieInnsats]])</f>
        <v>0</v>
      </c>
      <c r="AD222" s="43" t="e">
        <f>(LayTable[[#This Row],[LayWin-Commission]])+LayTable[[#This Row],[LayLiability]]</f>
        <v>#VALUE!</v>
      </c>
      <c r="AE222" s="181"/>
      <c r="AF222" s="183"/>
    </row>
    <row r="223" spans="1:32">
      <c r="A223" s="84"/>
      <c r="B223" s="177"/>
      <c r="C223" s="178"/>
      <c r="D223" s="179"/>
      <c r="E223" s="178"/>
      <c r="F223" s="179"/>
      <c r="G223" s="183"/>
      <c r="H223" s="38"/>
      <c r="I223" s="42"/>
      <c r="J223" s="42"/>
      <c r="K223" s="43"/>
      <c r="L223" s="43"/>
      <c r="M223" s="44" t="str">
        <f>IF(LayTable[[#This Row],[Sport]]="","",LayTable[[#This Row],[LayInnsats]]*(LayTable[[#This Row],[LayOdds]]-1))</f>
        <v/>
      </c>
      <c r="N223" s="45" t="str">
        <f>IF(LayTable[[#This Row],[Sport]]="","",1/((1/LayTable[[#This Row],[BookieOdds]])+(1/((1/((1+((LayTable[[#This Row],[LayOdds]]-1)*(1+LayTable[[#This Row],[C% Lay]])))-1))+1)))-1)</f>
        <v/>
      </c>
      <c r="Q223" s="46" t="str">
        <f>IF(LayTable[[#This Row],[Sport]]="","",LayTable[[#This Row],[BookieInnsats]]+LayTable[[#This Row],[LayLiability]])</f>
        <v/>
      </c>
      <c r="R2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 s="47" t="str">
        <f>IF(LayTable[[#This Row],[Utfall bookie]]="","",LayTable[[#This Row],[WBABack]]+LayTable[[#This Row],[WBALay]]-LayTable[[#This Row],[Total inns]])</f>
        <v/>
      </c>
      <c r="U2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 s="48" t="str">
        <f>IFERROR(IF(LayTable[[#This Row],[Total inns]]="","",LayTable[[#This Row],[Rback]]/LayTable[[#This Row],[Total inns]]),"")</f>
        <v/>
      </c>
      <c r="X223" s="48" t="str">
        <f>IFERROR(IF(LayTable[[#This Row],[Total inns]]="","",LayTable[[#This Row],[Rlay]]/LayTable[[#This Row],[Total inns]]),"")</f>
        <v/>
      </c>
      <c r="Y223" s="48" t="str">
        <f>IFERROR(LayTable[[#This Row],[Faktisk res]]/LayTable[[#This Row],[Total inns]],"")</f>
        <v/>
      </c>
      <c r="Z223" s="47">
        <f>(LayTable[[#This Row],[BookieInnsats]]*LayTable[[#This Row],[BookieOdds]]-LayTable[[#This Row],[BookieInnsats]])*(1-LayTable[[#This Row],[C% Bookie]])</f>
        <v>0</v>
      </c>
      <c r="AA223" s="43">
        <f>LayTable[[#This Row],[LayInnsats]]*(1-LayTable[[#This Row],[C% Lay]])</f>
        <v>0</v>
      </c>
      <c r="AB223" s="43" t="str">
        <f>IFERROR(IF(LayTable[[#This Row],[Sport]]="",AB222,LayTable[[#This Row],[Faktisk res]]+AB222),"")</f>
        <v/>
      </c>
      <c r="AC223" s="43">
        <f>(LayTable[[#This Row],[BackWin-Commission]]+LayTable[[#This Row],[BookieInnsats]])</f>
        <v>0</v>
      </c>
      <c r="AD223" s="43" t="e">
        <f>(LayTable[[#This Row],[LayWin-Commission]])+LayTable[[#This Row],[LayLiability]]</f>
        <v>#VALUE!</v>
      </c>
      <c r="AE223" s="181"/>
      <c r="AF223" s="183"/>
    </row>
    <row r="224" spans="1:32">
      <c r="A224" s="183"/>
      <c r="B224" s="177"/>
      <c r="C224" s="178"/>
      <c r="D224" s="179"/>
      <c r="E224" s="178"/>
      <c r="F224" s="179"/>
      <c r="G224" s="183"/>
      <c r="H224" s="176"/>
      <c r="I224" s="180"/>
      <c r="J224" s="180"/>
      <c r="K224" s="43"/>
      <c r="L224" s="43"/>
      <c r="M224" s="44" t="str">
        <f>IF(LayTable[[#This Row],[Sport]]="","",LayTable[[#This Row],[LayInnsats]]*(LayTable[[#This Row],[LayOdds]]-1))</f>
        <v/>
      </c>
      <c r="N224" s="45" t="str">
        <f>IF(LayTable[[#This Row],[Sport]]="","",1/((1/LayTable[[#This Row],[BookieOdds]])+(1/((1/((1+((LayTable[[#This Row],[LayOdds]]-1)*(1+LayTable[[#This Row],[C% Lay]])))-1))+1)))-1)</f>
        <v/>
      </c>
      <c r="Q224" s="46" t="str">
        <f>IF(LayTable[[#This Row],[Sport]]="","",LayTable[[#This Row],[BookieInnsats]]+LayTable[[#This Row],[LayLiability]])</f>
        <v/>
      </c>
      <c r="R2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 s="47" t="str">
        <f>IF(LayTable[[#This Row],[Utfall bookie]]="","",LayTable[[#This Row],[WBABack]]+LayTable[[#This Row],[WBALay]]-LayTable[[#This Row],[Total inns]])</f>
        <v/>
      </c>
      <c r="U2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 s="48" t="str">
        <f>IFERROR(IF(LayTable[[#This Row],[Total inns]]="","",LayTable[[#This Row],[Rback]]/LayTable[[#This Row],[Total inns]]),"")</f>
        <v/>
      </c>
      <c r="X224" s="48" t="str">
        <f>IFERROR(IF(LayTable[[#This Row],[Total inns]]="","",LayTable[[#This Row],[Rlay]]/LayTable[[#This Row],[Total inns]]),"")</f>
        <v/>
      </c>
      <c r="Y224" s="48" t="str">
        <f>IFERROR(LayTable[[#This Row],[Faktisk res]]/LayTable[[#This Row],[Total inns]],"")</f>
        <v/>
      </c>
      <c r="Z224" s="47">
        <f>(LayTable[[#This Row],[BookieInnsats]]*LayTable[[#This Row],[BookieOdds]]-LayTable[[#This Row],[BookieInnsats]])*(1-LayTable[[#This Row],[C% Bookie]])</f>
        <v>0</v>
      </c>
      <c r="AA224" s="43">
        <f>LayTable[[#This Row],[LayInnsats]]*(1-LayTable[[#This Row],[C% Lay]])</f>
        <v>0</v>
      </c>
      <c r="AB224" s="43" t="str">
        <f>IFERROR(IF(LayTable[[#This Row],[Sport]]="",AB223,LayTable[[#This Row],[Faktisk res]]+AB223),"")</f>
        <v/>
      </c>
      <c r="AC224" s="43">
        <f>(LayTable[[#This Row],[BackWin-Commission]]+LayTable[[#This Row],[BookieInnsats]])</f>
        <v>0</v>
      </c>
      <c r="AD224" s="43" t="e">
        <f>(LayTable[[#This Row],[LayWin-Commission]])+LayTable[[#This Row],[LayLiability]]</f>
        <v>#VALUE!</v>
      </c>
      <c r="AE224" s="181"/>
      <c r="AF224" s="183"/>
    </row>
    <row r="225" spans="1:32">
      <c r="A225" s="183"/>
      <c r="B225" s="177"/>
      <c r="C225" s="40"/>
      <c r="D225" s="41"/>
      <c r="E225" s="40"/>
      <c r="F225" s="41"/>
      <c r="G225" s="183"/>
      <c r="H225" s="38"/>
      <c r="I225" s="42"/>
      <c r="J225" s="42"/>
      <c r="K225" s="43"/>
      <c r="L225" s="43"/>
      <c r="M225" s="44" t="str">
        <f>IF(LayTable[[#This Row],[Sport]]="","",LayTable[[#This Row],[LayInnsats]]*(LayTable[[#This Row],[LayOdds]]-1))</f>
        <v/>
      </c>
      <c r="N225" s="45" t="str">
        <f>IF(LayTable[[#This Row],[Sport]]="","",1/((1/LayTable[[#This Row],[BookieOdds]])+(1/((1/((1+((LayTable[[#This Row],[LayOdds]]-1)*(1+LayTable[[#This Row],[C% Lay]])))-1))+1)))-1)</f>
        <v/>
      </c>
      <c r="Q225" s="46" t="str">
        <f>IF(LayTable[[#This Row],[Sport]]="","",LayTable[[#This Row],[BookieInnsats]]+LayTable[[#This Row],[LayLiability]])</f>
        <v/>
      </c>
      <c r="R2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 s="47" t="str">
        <f>IF(LayTable[[#This Row],[Utfall bookie]]="","",LayTable[[#This Row],[WBABack]]+LayTable[[#This Row],[WBALay]]-LayTable[[#This Row],[Total inns]])</f>
        <v/>
      </c>
      <c r="U2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 s="48" t="str">
        <f>IFERROR(IF(LayTable[[#This Row],[Total inns]]="","",LayTable[[#This Row],[Rback]]/LayTable[[#This Row],[Total inns]]),"")</f>
        <v/>
      </c>
      <c r="X225" s="48" t="str">
        <f>IFERROR(IF(LayTable[[#This Row],[Total inns]]="","",LayTable[[#This Row],[Rlay]]/LayTable[[#This Row],[Total inns]]),"")</f>
        <v/>
      </c>
      <c r="Y225" s="48" t="str">
        <f>IFERROR(LayTable[[#This Row],[Faktisk res]]/LayTable[[#This Row],[Total inns]],"")</f>
        <v/>
      </c>
      <c r="Z225" s="47">
        <f>(LayTable[[#This Row],[BookieInnsats]]*LayTable[[#This Row],[BookieOdds]]-LayTable[[#This Row],[BookieInnsats]])*(1-LayTable[[#This Row],[C% Bookie]])</f>
        <v>0</v>
      </c>
      <c r="AA225" s="43">
        <f>LayTable[[#This Row],[LayInnsats]]*(1-LayTable[[#This Row],[C% Lay]])</f>
        <v>0</v>
      </c>
      <c r="AB225" s="43" t="str">
        <f>IFERROR(IF(LayTable[[#This Row],[Sport]]="",AB224,LayTable[[#This Row],[Faktisk res]]+AB224),"")</f>
        <v/>
      </c>
      <c r="AC225" s="43">
        <f>(LayTable[[#This Row],[BackWin-Commission]]+LayTable[[#This Row],[BookieInnsats]])</f>
        <v>0</v>
      </c>
      <c r="AD225" s="43" t="e">
        <f>(LayTable[[#This Row],[LayWin-Commission]])+LayTable[[#This Row],[LayLiability]]</f>
        <v>#VALUE!</v>
      </c>
      <c r="AE225" s="181"/>
      <c r="AF225" s="183"/>
    </row>
    <row r="226" spans="1:32">
      <c r="A226" s="183"/>
      <c r="B226" s="177"/>
      <c r="C226" s="40"/>
      <c r="D226" s="41"/>
      <c r="E226" s="40"/>
      <c r="F226" s="41"/>
      <c r="G226" s="183"/>
      <c r="H226" s="176"/>
      <c r="I226" s="180"/>
      <c r="J226" s="180"/>
      <c r="K226" s="43"/>
      <c r="L226" s="43"/>
      <c r="M226" s="44" t="str">
        <f>IF(LayTable[[#This Row],[Sport]]="","",LayTable[[#This Row],[LayInnsats]]*(LayTable[[#This Row],[LayOdds]]-1))</f>
        <v/>
      </c>
      <c r="N226" s="45" t="str">
        <f>IF(LayTable[[#This Row],[Sport]]="","",1/((1/LayTable[[#This Row],[BookieOdds]])+(1/((1/((1+((LayTable[[#This Row],[LayOdds]]-1)*(1+LayTable[[#This Row],[C% Lay]])))-1))+1)))-1)</f>
        <v/>
      </c>
      <c r="Q226" s="46" t="str">
        <f>IF(LayTable[[#This Row],[Sport]]="","",LayTable[[#This Row],[BookieInnsats]]+LayTable[[#This Row],[LayLiability]])</f>
        <v/>
      </c>
      <c r="R2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 s="47" t="str">
        <f>IF(LayTable[[#This Row],[Utfall bookie]]="","",LayTable[[#This Row],[WBABack]]+LayTable[[#This Row],[WBALay]]-LayTable[[#This Row],[Total inns]])</f>
        <v/>
      </c>
      <c r="U2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 s="48" t="str">
        <f>IFERROR(IF(LayTable[[#This Row],[Total inns]]="","",LayTable[[#This Row],[Rback]]/LayTable[[#This Row],[Total inns]]),"")</f>
        <v/>
      </c>
      <c r="X226" s="48" t="str">
        <f>IFERROR(IF(LayTable[[#This Row],[Total inns]]="","",LayTable[[#This Row],[Rlay]]/LayTable[[#This Row],[Total inns]]),"")</f>
        <v/>
      </c>
      <c r="Y226" s="48" t="str">
        <f>IFERROR(LayTable[[#This Row],[Faktisk res]]/LayTable[[#This Row],[Total inns]],"")</f>
        <v/>
      </c>
      <c r="Z226" s="47">
        <f>(LayTable[[#This Row],[BookieInnsats]]*LayTable[[#This Row],[BookieOdds]]-LayTable[[#This Row],[BookieInnsats]])*(1-LayTable[[#This Row],[C% Bookie]])</f>
        <v>0</v>
      </c>
      <c r="AA226" s="43">
        <f>LayTable[[#This Row],[LayInnsats]]*(1-LayTable[[#This Row],[C% Lay]])</f>
        <v>0</v>
      </c>
      <c r="AB226" s="43" t="str">
        <f>IFERROR(IF(LayTable[[#This Row],[Sport]]="",AB225,LayTable[[#This Row],[Faktisk res]]+AB225),"")</f>
        <v/>
      </c>
      <c r="AC226" s="43">
        <f>(LayTable[[#This Row],[BackWin-Commission]]+LayTable[[#This Row],[BookieInnsats]])</f>
        <v>0</v>
      </c>
      <c r="AD226" s="43" t="e">
        <f>(LayTable[[#This Row],[LayWin-Commission]])+LayTable[[#This Row],[LayLiability]]</f>
        <v>#VALUE!</v>
      </c>
      <c r="AE226" s="181"/>
      <c r="AF226" s="183"/>
    </row>
    <row r="227" spans="1:32">
      <c r="A227" s="183"/>
      <c r="B227" s="177"/>
      <c r="C227" s="178"/>
      <c r="D227" s="41"/>
      <c r="E227" s="178"/>
      <c r="F227" s="179"/>
      <c r="G227" s="183"/>
      <c r="H227" s="38"/>
      <c r="I227" s="42"/>
      <c r="J227" s="42"/>
      <c r="K227" s="43"/>
      <c r="L227" s="43"/>
      <c r="M227" s="44" t="str">
        <f>IF(LayTable[[#This Row],[Sport]]="","",LayTable[[#This Row],[LayInnsats]]*(LayTable[[#This Row],[LayOdds]]-1))</f>
        <v/>
      </c>
      <c r="N227" s="45" t="str">
        <f>IF(LayTable[[#This Row],[Sport]]="","",1/((1/LayTable[[#This Row],[BookieOdds]])+(1/((1/((1+((LayTable[[#This Row],[LayOdds]]-1)*(1+LayTable[[#This Row],[C% Lay]])))-1))+1)))-1)</f>
        <v/>
      </c>
      <c r="Q227" s="46" t="str">
        <f>IF(LayTable[[#This Row],[Sport]]="","",LayTable[[#This Row],[BookieInnsats]]+LayTable[[#This Row],[LayLiability]])</f>
        <v/>
      </c>
      <c r="R2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 s="47" t="str">
        <f>IF(LayTable[[#This Row],[Utfall bookie]]="","",LayTable[[#This Row],[WBABack]]+LayTable[[#This Row],[WBALay]]-LayTable[[#This Row],[Total inns]])</f>
        <v/>
      </c>
      <c r="U2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 s="48" t="str">
        <f>IFERROR(IF(LayTable[[#This Row],[Total inns]]="","",LayTable[[#This Row],[Rback]]/LayTable[[#This Row],[Total inns]]),"")</f>
        <v/>
      </c>
      <c r="X227" s="48" t="str">
        <f>IFERROR(IF(LayTable[[#This Row],[Total inns]]="","",LayTable[[#This Row],[Rlay]]/LayTable[[#This Row],[Total inns]]),"")</f>
        <v/>
      </c>
      <c r="Y227" s="48" t="str">
        <f>IFERROR(LayTable[[#This Row],[Faktisk res]]/LayTable[[#This Row],[Total inns]],"")</f>
        <v/>
      </c>
      <c r="Z227" s="47">
        <f>(LayTable[[#This Row],[BookieInnsats]]*LayTable[[#This Row],[BookieOdds]]-LayTable[[#This Row],[BookieInnsats]])*(1-LayTable[[#This Row],[C% Bookie]])</f>
        <v>0</v>
      </c>
      <c r="AA227" s="43">
        <f>LayTable[[#This Row],[LayInnsats]]*(1-LayTable[[#This Row],[C% Lay]])</f>
        <v>0</v>
      </c>
      <c r="AB227" s="43" t="str">
        <f>IFERROR(IF(LayTable[[#This Row],[Sport]]="",AB226,LayTable[[#This Row],[Faktisk res]]+AB226),"")</f>
        <v/>
      </c>
      <c r="AC227" s="43">
        <f>(LayTable[[#This Row],[BackWin-Commission]]+LayTable[[#This Row],[BookieInnsats]])</f>
        <v>0</v>
      </c>
      <c r="AD227" s="43" t="e">
        <f>(LayTable[[#This Row],[LayWin-Commission]])+LayTable[[#This Row],[LayLiability]]</f>
        <v>#VALUE!</v>
      </c>
      <c r="AE227" s="181"/>
      <c r="AF227" s="183"/>
    </row>
    <row r="228" spans="1:32">
      <c r="A228" s="183"/>
      <c r="B228" s="177"/>
      <c r="C228" s="178"/>
      <c r="D228" s="41"/>
      <c r="E228" s="178"/>
      <c r="F228" s="179"/>
      <c r="G228" s="183"/>
      <c r="H228" s="176"/>
      <c r="I228" s="180"/>
      <c r="J228" s="180"/>
      <c r="K228" s="181"/>
      <c r="L228" s="43"/>
      <c r="M228" s="44" t="str">
        <f>IF(LayTable[[#This Row],[Sport]]="","",LayTable[[#This Row],[LayInnsats]]*(LayTable[[#This Row],[LayOdds]]-1))</f>
        <v/>
      </c>
      <c r="N228" s="45" t="str">
        <f>IF(LayTable[[#This Row],[Sport]]="","",1/((1/LayTable[[#This Row],[BookieOdds]])+(1/((1/((1+((LayTable[[#This Row],[LayOdds]]-1)*(1+LayTable[[#This Row],[C% Lay]])))-1))+1)))-1)</f>
        <v/>
      </c>
      <c r="Q228" s="46" t="str">
        <f>IF(LayTable[[#This Row],[Sport]]="","",LayTable[[#This Row],[BookieInnsats]]+LayTable[[#This Row],[LayLiability]])</f>
        <v/>
      </c>
      <c r="R2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8" s="47" t="str">
        <f>IF(LayTable[[#This Row],[Utfall bookie]]="","",LayTable[[#This Row],[WBABack]]+LayTable[[#This Row],[WBALay]]-LayTable[[#This Row],[Total inns]])</f>
        <v/>
      </c>
      <c r="U2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8" s="48" t="str">
        <f>IFERROR(IF(LayTable[[#This Row],[Total inns]]="","",LayTable[[#This Row],[Rback]]/LayTable[[#This Row],[Total inns]]),"")</f>
        <v/>
      </c>
      <c r="X228" s="48" t="str">
        <f>IFERROR(IF(LayTable[[#This Row],[Total inns]]="","",LayTable[[#This Row],[Rlay]]/LayTable[[#This Row],[Total inns]]),"")</f>
        <v/>
      </c>
      <c r="Y228" s="48" t="str">
        <f>IFERROR(LayTable[[#This Row],[Faktisk res]]/LayTable[[#This Row],[Total inns]],"")</f>
        <v/>
      </c>
      <c r="Z228" s="47">
        <f>(LayTable[[#This Row],[BookieInnsats]]*LayTable[[#This Row],[BookieOdds]]-LayTable[[#This Row],[BookieInnsats]])*(1-LayTable[[#This Row],[C% Bookie]])</f>
        <v>0</v>
      </c>
      <c r="AA228" s="43">
        <f>LayTable[[#This Row],[LayInnsats]]*(1-LayTable[[#This Row],[C% Lay]])</f>
        <v>0</v>
      </c>
      <c r="AB228" s="43" t="str">
        <f>IFERROR(IF(LayTable[[#This Row],[Sport]]="",AB227,LayTable[[#This Row],[Faktisk res]]+AB227),"")</f>
        <v/>
      </c>
      <c r="AC228" s="43">
        <f>(LayTable[[#This Row],[BackWin-Commission]]+LayTable[[#This Row],[BookieInnsats]])</f>
        <v>0</v>
      </c>
      <c r="AD228" s="43" t="e">
        <f>(LayTable[[#This Row],[LayWin-Commission]])+LayTable[[#This Row],[LayLiability]]</f>
        <v>#VALUE!</v>
      </c>
      <c r="AE228" s="181"/>
      <c r="AF228" s="183"/>
    </row>
    <row r="229" spans="1:32">
      <c r="A229" s="183"/>
      <c r="B229" s="177"/>
      <c r="C229" s="178"/>
      <c r="D229" s="41"/>
      <c r="E229" s="178"/>
      <c r="F229" s="179"/>
      <c r="G229" s="183"/>
      <c r="H229" s="38"/>
      <c r="I229" s="42"/>
      <c r="J229" s="42"/>
      <c r="K229" s="43"/>
      <c r="L229" s="43"/>
      <c r="M229" s="44" t="str">
        <f>IF(LayTable[[#This Row],[Sport]]="","",LayTable[[#This Row],[LayInnsats]]*(LayTable[[#This Row],[LayOdds]]-1))</f>
        <v/>
      </c>
      <c r="N229" s="45" t="str">
        <f>IF(LayTable[[#This Row],[Sport]]="","",1/((1/LayTable[[#This Row],[BookieOdds]])+(1/((1/((1+((LayTable[[#This Row],[LayOdds]]-1)*(1+LayTable[[#This Row],[C% Lay]])))-1))+1)))-1)</f>
        <v/>
      </c>
      <c r="Q229" s="46" t="str">
        <f>IF(LayTable[[#This Row],[Sport]]="","",LayTable[[#This Row],[BookieInnsats]]+LayTable[[#This Row],[LayLiability]])</f>
        <v/>
      </c>
      <c r="R2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9" s="47" t="str">
        <f>IF(LayTable[[#This Row],[Utfall bookie]]="","",LayTable[[#This Row],[WBABack]]+LayTable[[#This Row],[WBALay]]-LayTable[[#This Row],[Total inns]])</f>
        <v/>
      </c>
      <c r="U2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9" s="48" t="str">
        <f>IFERROR(IF(LayTable[[#This Row],[Total inns]]="","",LayTable[[#This Row],[Rback]]/LayTable[[#This Row],[Total inns]]),"")</f>
        <v/>
      </c>
      <c r="X229" s="48" t="str">
        <f>IFERROR(IF(LayTable[[#This Row],[Total inns]]="","",LayTable[[#This Row],[Rlay]]/LayTable[[#This Row],[Total inns]]),"")</f>
        <v/>
      </c>
      <c r="Y229" s="48" t="str">
        <f>IFERROR(LayTable[[#This Row],[Faktisk res]]/LayTable[[#This Row],[Total inns]],"")</f>
        <v/>
      </c>
      <c r="Z229" s="47">
        <f>(LayTable[[#This Row],[BookieInnsats]]*LayTable[[#This Row],[BookieOdds]]-LayTable[[#This Row],[BookieInnsats]])*(1-LayTable[[#This Row],[C% Bookie]])</f>
        <v>0</v>
      </c>
      <c r="AA229" s="43">
        <f>LayTable[[#This Row],[LayInnsats]]*(1-LayTable[[#This Row],[C% Lay]])</f>
        <v>0</v>
      </c>
      <c r="AB229" s="43" t="str">
        <f>IFERROR(IF(LayTable[[#This Row],[Sport]]="",AB228,LayTable[[#This Row],[Faktisk res]]+AB228),"")</f>
        <v/>
      </c>
      <c r="AC229" s="43">
        <f>(LayTable[[#This Row],[BackWin-Commission]]+LayTable[[#This Row],[BookieInnsats]])</f>
        <v>0</v>
      </c>
      <c r="AD229" s="43" t="e">
        <f>(LayTable[[#This Row],[LayWin-Commission]])+LayTable[[#This Row],[LayLiability]]</f>
        <v>#VALUE!</v>
      </c>
      <c r="AE229" s="181"/>
      <c r="AF229" s="183"/>
    </row>
    <row r="230" spans="1:32">
      <c r="A230" s="183"/>
      <c r="B230" s="177"/>
      <c r="C230" s="178"/>
      <c r="D230" s="41"/>
      <c r="E230" s="178"/>
      <c r="F230" s="179"/>
      <c r="G230" s="183"/>
      <c r="H230" s="38"/>
      <c r="I230" s="42"/>
      <c r="J230" s="42"/>
      <c r="K230" s="43"/>
      <c r="L230" s="43"/>
      <c r="M230" s="44" t="str">
        <f>IF(LayTable[[#This Row],[Sport]]="","",LayTable[[#This Row],[LayInnsats]]*(LayTable[[#This Row],[LayOdds]]-1))</f>
        <v/>
      </c>
      <c r="N230" s="45" t="str">
        <f>IF(LayTable[[#This Row],[Sport]]="","",1/((1/LayTable[[#This Row],[BookieOdds]])+(1/((1/((1+((LayTable[[#This Row],[LayOdds]]-1)*(1+LayTable[[#This Row],[C% Lay]])))-1))+1)))-1)</f>
        <v/>
      </c>
      <c r="Q230" s="46" t="str">
        <f>IF(LayTable[[#This Row],[Sport]]="","",LayTable[[#This Row],[BookieInnsats]]+LayTable[[#This Row],[LayLiability]])</f>
        <v/>
      </c>
      <c r="R2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0" s="47" t="str">
        <f>IF(LayTable[[#This Row],[Utfall bookie]]="","",LayTable[[#This Row],[WBABack]]+LayTable[[#This Row],[WBALay]]-LayTable[[#This Row],[Total inns]])</f>
        <v/>
      </c>
      <c r="U2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0" s="48" t="str">
        <f>IFERROR(IF(LayTable[[#This Row],[Total inns]]="","",LayTable[[#This Row],[Rback]]/LayTable[[#This Row],[Total inns]]),"")</f>
        <v/>
      </c>
      <c r="X230" s="48" t="str">
        <f>IFERROR(IF(LayTable[[#This Row],[Total inns]]="","",LayTable[[#This Row],[Rlay]]/LayTable[[#This Row],[Total inns]]),"")</f>
        <v/>
      </c>
      <c r="Y230" s="48" t="str">
        <f>IFERROR(LayTable[[#This Row],[Faktisk res]]/LayTable[[#This Row],[Total inns]],"")</f>
        <v/>
      </c>
      <c r="Z230" s="47">
        <f>(LayTable[[#This Row],[BookieInnsats]]*LayTable[[#This Row],[BookieOdds]]-LayTable[[#This Row],[BookieInnsats]])*(1-LayTable[[#This Row],[C% Bookie]])</f>
        <v>0</v>
      </c>
      <c r="AA230" s="43">
        <f>LayTable[[#This Row],[LayInnsats]]*(1-LayTable[[#This Row],[C% Lay]])</f>
        <v>0</v>
      </c>
      <c r="AB230" s="43" t="str">
        <f>IFERROR(IF(LayTable[[#This Row],[Sport]]="",AB229,LayTable[[#This Row],[Faktisk res]]+AB229),"")</f>
        <v/>
      </c>
      <c r="AC230" s="43">
        <f>(LayTable[[#This Row],[BackWin-Commission]]+LayTable[[#This Row],[BookieInnsats]])</f>
        <v>0</v>
      </c>
      <c r="AD230" s="43" t="e">
        <f>(LayTable[[#This Row],[LayWin-Commission]])+LayTable[[#This Row],[LayLiability]]</f>
        <v>#VALUE!</v>
      </c>
      <c r="AE230" s="181"/>
      <c r="AF230" s="183"/>
    </row>
    <row r="231" spans="1:32">
      <c r="A231" s="183"/>
      <c r="B231" s="177"/>
      <c r="C231" s="178"/>
      <c r="D231" s="41"/>
      <c r="E231" s="178"/>
      <c r="F231" s="179"/>
      <c r="G231" s="183"/>
      <c r="H231" s="38"/>
      <c r="I231" s="42"/>
      <c r="J231" s="42"/>
      <c r="K231" s="43"/>
      <c r="L231" s="43"/>
      <c r="M231" s="44" t="str">
        <f>IF(LayTable[[#This Row],[Sport]]="","",LayTable[[#This Row],[LayInnsats]]*(LayTable[[#This Row],[LayOdds]]-1))</f>
        <v/>
      </c>
      <c r="N231" s="45" t="str">
        <f>IF(LayTable[[#This Row],[Sport]]="","",1/((1/LayTable[[#This Row],[BookieOdds]])+(1/((1/((1+((LayTable[[#This Row],[LayOdds]]-1)*(1+LayTable[[#This Row],[C% Lay]])))-1))+1)))-1)</f>
        <v/>
      </c>
      <c r="Q231" s="46" t="str">
        <f>IF(LayTable[[#This Row],[Sport]]="","",LayTable[[#This Row],[BookieInnsats]]+LayTable[[#This Row],[LayLiability]])</f>
        <v/>
      </c>
      <c r="R2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1" s="47" t="str">
        <f>IF(LayTable[[#This Row],[Utfall bookie]]="","",LayTable[[#This Row],[WBABack]]+LayTable[[#This Row],[WBALay]]-LayTable[[#This Row],[Total inns]])</f>
        <v/>
      </c>
      <c r="U2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1" s="48" t="str">
        <f>IFERROR(IF(LayTable[[#This Row],[Total inns]]="","",LayTable[[#This Row],[Rback]]/LayTable[[#This Row],[Total inns]]),"")</f>
        <v/>
      </c>
      <c r="X231" s="48" t="str">
        <f>IFERROR(IF(LayTable[[#This Row],[Total inns]]="","",LayTable[[#This Row],[Rlay]]/LayTable[[#This Row],[Total inns]]),"")</f>
        <v/>
      </c>
      <c r="Y231" s="48" t="str">
        <f>IFERROR(LayTable[[#This Row],[Faktisk res]]/LayTable[[#This Row],[Total inns]],"")</f>
        <v/>
      </c>
      <c r="Z231" s="47">
        <f>(LayTable[[#This Row],[BookieInnsats]]*LayTable[[#This Row],[BookieOdds]]-LayTable[[#This Row],[BookieInnsats]])*(1-LayTable[[#This Row],[C% Bookie]])</f>
        <v>0</v>
      </c>
      <c r="AA231" s="43">
        <f>LayTable[[#This Row],[LayInnsats]]*(1-LayTable[[#This Row],[C% Lay]])</f>
        <v>0</v>
      </c>
      <c r="AB231" s="43" t="str">
        <f>IFERROR(IF(LayTable[[#This Row],[Sport]]="",AB230,LayTable[[#This Row],[Faktisk res]]+AB230),"")</f>
        <v/>
      </c>
      <c r="AC231" s="43">
        <f>(LayTable[[#This Row],[BackWin-Commission]]+LayTable[[#This Row],[BookieInnsats]])</f>
        <v>0</v>
      </c>
      <c r="AD231" s="43" t="e">
        <f>(LayTable[[#This Row],[LayWin-Commission]])+LayTable[[#This Row],[LayLiability]]</f>
        <v>#VALUE!</v>
      </c>
      <c r="AE231" s="181"/>
      <c r="AF231" s="183"/>
    </row>
    <row r="232" spans="1:32">
      <c r="A232" s="183"/>
      <c r="B232" s="177"/>
      <c r="C232" s="178"/>
      <c r="D232" s="41"/>
      <c r="E232" s="40"/>
      <c r="F232" s="41"/>
      <c r="G232" s="183"/>
      <c r="H232" s="38"/>
      <c r="I232" s="42"/>
      <c r="J232" s="42"/>
      <c r="K232" s="43"/>
      <c r="L232" s="43"/>
      <c r="M232" s="44" t="str">
        <f>IF(LayTable[[#This Row],[Sport]]="","",LayTable[[#This Row],[LayInnsats]]*(LayTable[[#This Row],[LayOdds]]-1))</f>
        <v/>
      </c>
      <c r="N232" s="45" t="str">
        <f>IF(LayTable[[#This Row],[Sport]]="","",1/((1/LayTable[[#This Row],[BookieOdds]])+(1/((1/((1+((LayTable[[#This Row],[LayOdds]]-1)*(1+LayTable[[#This Row],[C% Lay]])))-1))+1)))-1)</f>
        <v/>
      </c>
      <c r="Q232" s="46" t="str">
        <f>IF(LayTable[[#This Row],[Sport]]="","",LayTable[[#This Row],[BookieInnsats]]+LayTable[[#This Row],[LayLiability]])</f>
        <v/>
      </c>
      <c r="R2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2" s="47" t="str">
        <f>IF(LayTable[[#This Row],[Utfall bookie]]="","",LayTable[[#This Row],[WBABack]]+LayTable[[#This Row],[WBALay]]-LayTable[[#This Row],[Total inns]])</f>
        <v/>
      </c>
      <c r="U2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2" s="48" t="str">
        <f>IFERROR(IF(LayTable[[#This Row],[Total inns]]="","",LayTable[[#This Row],[Rback]]/LayTable[[#This Row],[Total inns]]),"")</f>
        <v/>
      </c>
      <c r="X232" s="48" t="str">
        <f>IFERROR(IF(LayTable[[#This Row],[Total inns]]="","",LayTable[[#This Row],[Rlay]]/LayTable[[#This Row],[Total inns]]),"")</f>
        <v/>
      </c>
      <c r="Y232" s="48" t="str">
        <f>IFERROR(LayTable[[#This Row],[Faktisk res]]/LayTable[[#This Row],[Total inns]],"")</f>
        <v/>
      </c>
      <c r="Z232" s="47">
        <f>(LayTable[[#This Row],[BookieInnsats]]*LayTable[[#This Row],[BookieOdds]]-LayTable[[#This Row],[BookieInnsats]])*(1-LayTable[[#This Row],[C% Bookie]])</f>
        <v>0</v>
      </c>
      <c r="AA232" s="43">
        <f>LayTable[[#This Row],[LayInnsats]]*(1-LayTable[[#This Row],[C% Lay]])</f>
        <v>0</v>
      </c>
      <c r="AB232" s="43" t="str">
        <f>IFERROR(IF(LayTable[[#This Row],[Sport]]="",AB231,LayTable[[#This Row],[Faktisk res]]+AB231),"")</f>
        <v/>
      </c>
      <c r="AC232" s="43">
        <f>(LayTable[[#This Row],[BackWin-Commission]]+LayTable[[#This Row],[BookieInnsats]])</f>
        <v>0</v>
      </c>
      <c r="AD232" s="43" t="e">
        <f>(LayTable[[#This Row],[LayWin-Commission]])+LayTable[[#This Row],[LayLiability]]</f>
        <v>#VALUE!</v>
      </c>
      <c r="AE232" s="181"/>
      <c r="AF232" s="183"/>
    </row>
    <row r="233" spans="1:32">
      <c r="A233" s="183"/>
      <c r="B233" s="177"/>
      <c r="C233" s="178"/>
      <c r="D233" s="41"/>
      <c r="E233" s="178"/>
      <c r="F233" s="245"/>
      <c r="G233" s="183"/>
      <c r="H233" s="176"/>
      <c r="I233" s="247"/>
      <c r="J233" s="247"/>
      <c r="K233" s="248"/>
      <c r="L233" s="43"/>
      <c r="M233" s="44" t="str">
        <f>IF(LayTable[[#This Row],[Sport]]="","",LayTable[[#This Row],[LayInnsats]]*(LayTable[[#This Row],[LayOdds]]-1))</f>
        <v/>
      </c>
      <c r="N233" s="45" t="str">
        <f>IF(LayTable[[#This Row],[Sport]]="","",1/((1/LayTable[[#This Row],[BookieOdds]])+(1/((1/((1+((LayTable[[#This Row],[LayOdds]]-1)*(1+LayTable[[#This Row],[C% Lay]])))-1))+1)))-1)</f>
        <v/>
      </c>
      <c r="Q233" s="46" t="str">
        <f>IF(LayTable[[#This Row],[Sport]]="","",LayTable[[#This Row],[BookieInnsats]]+LayTable[[#This Row],[LayLiability]])</f>
        <v/>
      </c>
      <c r="R2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3" s="47" t="str">
        <f>IF(LayTable[[#This Row],[Utfall bookie]]="","",LayTable[[#This Row],[WBABack]]+LayTable[[#This Row],[WBALay]]-LayTable[[#This Row],[Total inns]])</f>
        <v/>
      </c>
      <c r="U2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3" s="48" t="str">
        <f>IFERROR(IF(LayTable[[#This Row],[Total inns]]="","",LayTable[[#This Row],[Rback]]/LayTable[[#This Row],[Total inns]]),"")</f>
        <v/>
      </c>
      <c r="X233" s="48" t="str">
        <f>IFERROR(IF(LayTable[[#This Row],[Total inns]]="","",LayTable[[#This Row],[Rlay]]/LayTable[[#This Row],[Total inns]]),"")</f>
        <v/>
      </c>
      <c r="Y233" s="48" t="str">
        <f>IFERROR(LayTable[[#This Row],[Faktisk res]]/LayTable[[#This Row],[Total inns]],"")</f>
        <v/>
      </c>
      <c r="Z233" s="47">
        <f>(LayTable[[#This Row],[BookieInnsats]]*LayTable[[#This Row],[BookieOdds]]-LayTable[[#This Row],[BookieInnsats]])*(1-LayTable[[#This Row],[C% Bookie]])</f>
        <v>0</v>
      </c>
      <c r="AA233" s="43">
        <f>LayTable[[#This Row],[LayInnsats]]*(1-LayTable[[#This Row],[C% Lay]])</f>
        <v>0</v>
      </c>
      <c r="AB233" s="43" t="str">
        <f>IFERROR(IF(LayTable[[#This Row],[Sport]]="",AB232,LayTable[[#This Row],[Faktisk res]]+AB232),"")</f>
        <v/>
      </c>
      <c r="AC233" s="43">
        <f>(LayTable[[#This Row],[BackWin-Commission]]+LayTable[[#This Row],[BookieInnsats]])</f>
        <v>0</v>
      </c>
      <c r="AD233" s="43" t="e">
        <f>(LayTable[[#This Row],[LayWin-Commission]])+LayTable[[#This Row],[LayLiability]]</f>
        <v>#VALUE!</v>
      </c>
      <c r="AE233" s="181"/>
      <c r="AF233" s="183"/>
    </row>
    <row r="234" spans="1:32">
      <c r="A234" s="183"/>
      <c r="B234" s="177"/>
      <c r="C234" s="178"/>
      <c r="D234" s="41"/>
      <c r="E234" s="244"/>
      <c r="F234" s="245"/>
      <c r="G234" s="183"/>
      <c r="H234" s="176"/>
      <c r="I234" s="247"/>
      <c r="J234" s="247"/>
      <c r="K234" s="248"/>
      <c r="L234" s="43"/>
      <c r="M234" s="44" t="str">
        <f>IF(LayTable[[#This Row],[Sport]]="","",LayTable[[#This Row],[LayInnsats]]*(LayTable[[#This Row],[LayOdds]]-1))</f>
        <v/>
      </c>
      <c r="N234" s="45" t="str">
        <f>IF(LayTable[[#This Row],[Sport]]="","",1/((1/LayTable[[#This Row],[BookieOdds]])+(1/((1/((1+((LayTable[[#This Row],[LayOdds]]-1)*(1+LayTable[[#This Row],[C% Lay]])))-1))+1)))-1)</f>
        <v/>
      </c>
      <c r="Q234" s="46" t="str">
        <f>IF(LayTable[[#This Row],[Sport]]="","",LayTable[[#This Row],[BookieInnsats]]+LayTable[[#This Row],[LayLiability]])</f>
        <v/>
      </c>
      <c r="R2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4" s="47" t="str">
        <f>IF(LayTable[[#This Row],[Utfall bookie]]="","",LayTable[[#This Row],[WBABack]]+LayTable[[#This Row],[WBALay]]-LayTable[[#This Row],[Total inns]])</f>
        <v/>
      </c>
      <c r="U2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4" s="48" t="str">
        <f>IFERROR(IF(LayTable[[#This Row],[Total inns]]="","",LayTable[[#This Row],[Rback]]/LayTable[[#This Row],[Total inns]]),"")</f>
        <v/>
      </c>
      <c r="X234" s="48" t="str">
        <f>IFERROR(IF(LayTable[[#This Row],[Total inns]]="","",LayTable[[#This Row],[Rlay]]/LayTable[[#This Row],[Total inns]]),"")</f>
        <v/>
      </c>
      <c r="Y234" s="48" t="str">
        <f>IFERROR(LayTable[[#This Row],[Faktisk res]]/LayTable[[#This Row],[Total inns]],"")</f>
        <v/>
      </c>
      <c r="Z234" s="47">
        <f>(LayTable[[#This Row],[BookieInnsats]]*LayTable[[#This Row],[BookieOdds]]-LayTable[[#This Row],[BookieInnsats]])*(1-LayTable[[#This Row],[C% Bookie]])</f>
        <v>0</v>
      </c>
      <c r="AA234" s="43">
        <f>LayTable[[#This Row],[LayInnsats]]*(1-LayTable[[#This Row],[C% Lay]])</f>
        <v>0</v>
      </c>
      <c r="AB234" s="43" t="str">
        <f>IFERROR(IF(LayTable[[#This Row],[Sport]]="",AB233,LayTable[[#This Row],[Faktisk res]]+AB233),"")</f>
        <v/>
      </c>
      <c r="AC234" s="43">
        <f>(LayTable[[#This Row],[BackWin-Commission]]+LayTable[[#This Row],[BookieInnsats]])</f>
        <v>0</v>
      </c>
      <c r="AD234" s="43" t="e">
        <f>(LayTable[[#This Row],[LayWin-Commission]])+LayTable[[#This Row],[LayLiability]]</f>
        <v>#VALUE!</v>
      </c>
      <c r="AE234" s="181"/>
      <c r="AF234" s="183"/>
    </row>
    <row r="235" spans="1:32">
      <c r="A235" s="183"/>
      <c r="B235" s="177"/>
      <c r="C235" s="178"/>
      <c r="D235" s="41"/>
      <c r="E235" s="178"/>
      <c r="F235" s="245"/>
      <c r="G235" s="183"/>
      <c r="H235" s="176"/>
      <c r="I235" s="247"/>
      <c r="J235" s="247"/>
      <c r="K235" s="248"/>
      <c r="L235" s="43"/>
      <c r="M235" s="44" t="str">
        <f>IF(LayTable[[#This Row],[Sport]]="","",LayTable[[#This Row],[LayInnsats]]*(LayTable[[#This Row],[LayOdds]]-1))</f>
        <v/>
      </c>
      <c r="N235" s="45" t="str">
        <f>IF(LayTable[[#This Row],[Sport]]="","",1/((1/LayTable[[#This Row],[BookieOdds]])+(1/((1/((1+((LayTable[[#This Row],[LayOdds]]-1)*(1+LayTable[[#This Row],[C% Lay]])))-1))+1)))-1)</f>
        <v/>
      </c>
      <c r="Q235" s="46" t="str">
        <f>IF(LayTable[[#This Row],[Sport]]="","",LayTable[[#This Row],[BookieInnsats]]+LayTable[[#This Row],[LayLiability]])</f>
        <v/>
      </c>
      <c r="R2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5" s="47" t="str">
        <f>IF(LayTable[[#This Row],[Utfall bookie]]="","",LayTable[[#This Row],[WBABack]]+LayTable[[#This Row],[WBALay]]-LayTable[[#This Row],[Total inns]])</f>
        <v/>
      </c>
      <c r="U2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5" s="48" t="str">
        <f>IFERROR(IF(LayTable[[#This Row],[Total inns]]="","",LayTable[[#This Row],[Rback]]/LayTable[[#This Row],[Total inns]]),"")</f>
        <v/>
      </c>
      <c r="X235" s="48" t="str">
        <f>IFERROR(IF(LayTable[[#This Row],[Total inns]]="","",LayTable[[#This Row],[Rlay]]/LayTable[[#This Row],[Total inns]]),"")</f>
        <v/>
      </c>
      <c r="Y235" s="48" t="str">
        <f>IFERROR(LayTable[[#This Row],[Faktisk res]]/LayTable[[#This Row],[Total inns]],"")</f>
        <v/>
      </c>
      <c r="Z235" s="47">
        <f>(LayTable[[#This Row],[BookieInnsats]]*LayTable[[#This Row],[BookieOdds]]-LayTable[[#This Row],[BookieInnsats]])*(1-LayTable[[#This Row],[C% Bookie]])</f>
        <v>0</v>
      </c>
      <c r="AA235" s="43">
        <f>LayTable[[#This Row],[LayInnsats]]*(1-LayTable[[#This Row],[C% Lay]])</f>
        <v>0</v>
      </c>
      <c r="AB235" s="43" t="str">
        <f>IFERROR(IF(LayTable[[#This Row],[Sport]]="",AB234,LayTable[[#This Row],[Faktisk res]]+AB234),"")</f>
        <v/>
      </c>
      <c r="AC235" s="43">
        <f>(LayTable[[#This Row],[BackWin-Commission]]+LayTable[[#This Row],[BookieInnsats]])</f>
        <v>0</v>
      </c>
      <c r="AD235" s="43" t="e">
        <f>(LayTable[[#This Row],[LayWin-Commission]])+LayTable[[#This Row],[LayLiability]]</f>
        <v>#VALUE!</v>
      </c>
      <c r="AE235" s="181"/>
      <c r="AF235" s="183"/>
    </row>
    <row r="236" spans="1:32">
      <c r="A236" s="183"/>
      <c r="B236" s="177"/>
      <c r="C236" s="178"/>
      <c r="D236" s="41"/>
      <c r="E236" s="40"/>
      <c r="F236" s="41"/>
      <c r="G236" s="183"/>
      <c r="H236" s="38"/>
      <c r="I236" s="42"/>
      <c r="J236" s="42"/>
      <c r="K236" s="43"/>
      <c r="L236" s="43"/>
      <c r="M236" s="44" t="str">
        <f>IF(LayTable[[#This Row],[Sport]]="","",LayTable[[#This Row],[LayInnsats]]*(LayTable[[#This Row],[LayOdds]]-1))</f>
        <v/>
      </c>
      <c r="N236" s="45" t="str">
        <f>IF(LayTable[[#This Row],[Sport]]="","",1/((1/LayTable[[#This Row],[BookieOdds]])+(1/((1/((1+((LayTable[[#This Row],[LayOdds]]-1)*(1+LayTable[[#This Row],[C% Lay]])))-1))+1)))-1)</f>
        <v/>
      </c>
      <c r="Q236" s="46" t="str">
        <f>IF(LayTable[[#This Row],[Sport]]="","",LayTable[[#This Row],[BookieInnsats]]+LayTable[[#This Row],[LayLiability]])</f>
        <v/>
      </c>
      <c r="R2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6" s="47" t="str">
        <f>IF(LayTable[[#This Row],[Utfall bookie]]="","",LayTable[[#This Row],[WBABack]]+LayTable[[#This Row],[WBALay]]-LayTable[[#This Row],[Total inns]])</f>
        <v/>
      </c>
      <c r="U2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6" s="48" t="str">
        <f>IFERROR(IF(LayTable[[#This Row],[Total inns]]="","",LayTable[[#This Row],[Rback]]/LayTable[[#This Row],[Total inns]]),"")</f>
        <v/>
      </c>
      <c r="X236" s="48" t="str">
        <f>IFERROR(IF(LayTable[[#This Row],[Total inns]]="","",LayTable[[#This Row],[Rlay]]/LayTable[[#This Row],[Total inns]]),"")</f>
        <v/>
      </c>
      <c r="Y236" s="48" t="str">
        <f>IFERROR(LayTable[[#This Row],[Faktisk res]]/LayTable[[#This Row],[Total inns]],"")</f>
        <v/>
      </c>
      <c r="Z236" s="47">
        <f>(LayTable[[#This Row],[BookieInnsats]]*LayTable[[#This Row],[BookieOdds]]-LayTable[[#This Row],[BookieInnsats]])*(1-LayTable[[#This Row],[C% Bookie]])</f>
        <v>0</v>
      </c>
      <c r="AA236" s="43">
        <f>LayTable[[#This Row],[LayInnsats]]*(1-LayTable[[#This Row],[C% Lay]])</f>
        <v>0</v>
      </c>
      <c r="AB236" s="43" t="str">
        <f>IFERROR(IF(LayTable[[#This Row],[Sport]]="",AB235,LayTable[[#This Row],[Faktisk res]]+AB235),"")</f>
        <v/>
      </c>
      <c r="AC236" s="43">
        <f>(LayTable[[#This Row],[BackWin-Commission]]+LayTable[[#This Row],[BookieInnsats]])</f>
        <v>0</v>
      </c>
      <c r="AD236" s="43" t="e">
        <f>(LayTable[[#This Row],[LayWin-Commission]])+LayTable[[#This Row],[LayLiability]]</f>
        <v>#VALUE!</v>
      </c>
      <c r="AE236" s="181"/>
      <c r="AF236" s="183"/>
    </row>
    <row r="237" spans="1:32">
      <c r="A237" s="183"/>
      <c r="B237" s="177"/>
      <c r="C237" s="178"/>
      <c r="D237" s="41"/>
      <c r="E237" s="40"/>
      <c r="F237" s="41"/>
      <c r="G237" s="183"/>
      <c r="H237" s="38"/>
      <c r="I237" s="42"/>
      <c r="J237" s="42"/>
      <c r="K237" s="43"/>
      <c r="L237" s="43"/>
      <c r="M237" s="44" t="str">
        <f>IF(LayTable[[#This Row],[Sport]]="","",LayTable[[#This Row],[LayInnsats]]*(LayTable[[#This Row],[LayOdds]]-1))</f>
        <v/>
      </c>
      <c r="N237" s="45" t="str">
        <f>IF(LayTable[[#This Row],[Sport]]="","",1/((1/LayTable[[#This Row],[BookieOdds]])+(1/((1/((1+((LayTable[[#This Row],[LayOdds]]-1)*(1+LayTable[[#This Row],[C% Lay]])))-1))+1)))-1)</f>
        <v/>
      </c>
      <c r="Q237" s="46" t="str">
        <f>IF(LayTable[[#This Row],[Sport]]="","",LayTable[[#This Row],[BookieInnsats]]+LayTable[[#This Row],[LayLiability]])</f>
        <v/>
      </c>
      <c r="R2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7" s="47" t="str">
        <f>IF(LayTable[[#This Row],[Utfall bookie]]="","",LayTable[[#This Row],[WBABack]]+LayTable[[#This Row],[WBALay]]-LayTable[[#This Row],[Total inns]])</f>
        <v/>
      </c>
      <c r="U2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7" s="48" t="str">
        <f>IFERROR(IF(LayTable[[#This Row],[Total inns]]="","",LayTable[[#This Row],[Rback]]/LayTable[[#This Row],[Total inns]]),"")</f>
        <v/>
      </c>
      <c r="X237" s="48" t="str">
        <f>IFERROR(IF(LayTable[[#This Row],[Total inns]]="","",LayTable[[#This Row],[Rlay]]/LayTable[[#This Row],[Total inns]]),"")</f>
        <v/>
      </c>
      <c r="Y237" s="48" t="str">
        <f>IFERROR(LayTable[[#This Row],[Faktisk res]]/LayTable[[#This Row],[Total inns]],"")</f>
        <v/>
      </c>
      <c r="Z237" s="47">
        <f>(LayTable[[#This Row],[BookieInnsats]]*LayTable[[#This Row],[BookieOdds]]-LayTable[[#This Row],[BookieInnsats]])*(1-LayTable[[#This Row],[C% Bookie]])</f>
        <v>0</v>
      </c>
      <c r="AA237" s="43">
        <f>LayTable[[#This Row],[LayInnsats]]*(1-LayTable[[#This Row],[C% Lay]])</f>
        <v>0</v>
      </c>
      <c r="AB237" s="43" t="str">
        <f>IFERROR(IF(LayTable[[#This Row],[Sport]]="",AB236,LayTable[[#This Row],[Faktisk res]]+AB236),"")</f>
        <v/>
      </c>
      <c r="AC237" s="43">
        <f>(LayTable[[#This Row],[BackWin-Commission]]+LayTable[[#This Row],[BookieInnsats]])</f>
        <v>0</v>
      </c>
      <c r="AD237" s="43" t="e">
        <f>(LayTable[[#This Row],[LayWin-Commission]])+LayTable[[#This Row],[LayLiability]]</f>
        <v>#VALUE!</v>
      </c>
      <c r="AE237" s="181"/>
      <c r="AF237" s="183"/>
    </row>
    <row r="238" spans="1:32">
      <c r="A238" s="183"/>
      <c r="B238" s="177"/>
      <c r="C238" s="178"/>
      <c r="D238" s="41"/>
      <c r="E238" s="40"/>
      <c r="F238" s="41"/>
      <c r="G238" s="183"/>
      <c r="H238" s="38"/>
      <c r="I238" s="42"/>
      <c r="J238" s="42"/>
      <c r="K238" s="43"/>
      <c r="L238" s="43"/>
      <c r="M238" s="44" t="str">
        <f>IF(LayTable[[#This Row],[Sport]]="","",LayTable[[#This Row],[LayInnsats]]*(LayTable[[#This Row],[LayOdds]]-1))</f>
        <v/>
      </c>
      <c r="N238" s="45" t="str">
        <f>IF(LayTable[[#This Row],[Sport]]="","",1/((1/LayTable[[#This Row],[BookieOdds]])+(1/((1/((1+((LayTable[[#This Row],[LayOdds]]-1)*(1+LayTable[[#This Row],[C% Lay]])))-1))+1)))-1)</f>
        <v/>
      </c>
      <c r="Q238" s="46" t="str">
        <f>IF(LayTable[[#This Row],[Sport]]="","",LayTable[[#This Row],[BookieInnsats]]+LayTable[[#This Row],[LayLiability]])</f>
        <v/>
      </c>
      <c r="R2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8" s="47" t="str">
        <f>IF(LayTable[[#This Row],[Utfall bookie]]="","",LayTable[[#This Row],[WBABack]]+LayTable[[#This Row],[WBALay]]-LayTable[[#This Row],[Total inns]])</f>
        <v/>
      </c>
      <c r="U2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8" s="48" t="str">
        <f>IFERROR(IF(LayTable[[#This Row],[Total inns]]="","",LayTable[[#This Row],[Rback]]/LayTable[[#This Row],[Total inns]]),"")</f>
        <v/>
      </c>
      <c r="X238" s="48" t="str">
        <f>IFERROR(IF(LayTable[[#This Row],[Total inns]]="","",LayTable[[#This Row],[Rlay]]/LayTable[[#This Row],[Total inns]]),"")</f>
        <v/>
      </c>
      <c r="Y238" s="48" t="str">
        <f>IFERROR(LayTable[[#This Row],[Faktisk res]]/LayTable[[#This Row],[Total inns]],"")</f>
        <v/>
      </c>
      <c r="Z238" s="47">
        <f>(LayTable[[#This Row],[BookieInnsats]]*LayTable[[#This Row],[BookieOdds]]-LayTable[[#This Row],[BookieInnsats]])*(1-LayTable[[#This Row],[C% Bookie]])</f>
        <v>0</v>
      </c>
      <c r="AA238" s="43">
        <f>LayTable[[#This Row],[LayInnsats]]*(1-LayTable[[#This Row],[C% Lay]])</f>
        <v>0</v>
      </c>
      <c r="AB238" s="43" t="str">
        <f>IFERROR(IF(LayTable[[#This Row],[Sport]]="",AB237,LayTable[[#This Row],[Faktisk res]]+AB237),"")</f>
        <v/>
      </c>
      <c r="AC238" s="43">
        <f>(LayTable[[#This Row],[BackWin-Commission]]+LayTable[[#This Row],[BookieInnsats]])</f>
        <v>0</v>
      </c>
      <c r="AD238" s="43" t="e">
        <f>(LayTable[[#This Row],[LayWin-Commission]])+LayTable[[#This Row],[LayLiability]]</f>
        <v>#VALUE!</v>
      </c>
      <c r="AE238" s="181"/>
      <c r="AF238" s="183"/>
    </row>
    <row r="239" spans="1:32">
      <c r="A239" s="183"/>
      <c r="B239" s="177"/>
      <c r="C239" s="178"/>
      <c r="D239" s="41"/>
      <c r="E239" s="40"/>
      <c r="F239" s="41"/>
      <c r="G239" s="183"/>
      <c r="H239" s="38"/>
      <c r="I239" s="42"/>
      <c r="J239" s="42"/>
      <c r="K239" s="43"/>
      <c r="L239" s="43"/>
      <c r="M239" s="44" t="str">
        <f>IF(LayTable[[#This Row],[Sport]]="","",LayTable[[#This Row],[LayInnsats]]*(LayTable[[#This Row],[LayOdds]]-1))</f>
        <v/>
      </c>
      <c r="N239" s="45" t="str">
        <f>IF(LayTable[[#This Row],[Sport]]="","",1/((1/LayTable[[#This Row],[BookieOdds]])+(1/((1/((1+((LayTable[[#This Row],[LayOdds]]-1)*(1+LayTable[[#This Row],[C% Lay]])))-1))+1)))-1)</f>
        <v/>
      </c>
      <c r="Q239" s="46" t="str">
        <f>IF(LayTable[[#This Row],[Sport]]="","",LayTable[[#This Row],[BookieInnsats]]+LayTable[[#This Row],[LayLiability]])</f>
        <v/>
      </c>
      <c r="R2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39" s="47" t="str">
        <f>IF(LayTable[[#This Row],[Utfall bookie]]="","",LayTable[[#This Row],[WBABack]]+LayTable[[#This Row],[WBALay]]-LayTable[[#This Row],[Total inns]])</f>
        <v/>
      </c>
      <c r="U2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39" s="48" t="str">
        <f>IFERROR(IF(LayTable[[#This Row],[Total inns]]="","",LayTable[[#This Row],[Rback]]/LayTable[[#This Row],[Total inns]]),"")</f>
        <v/>
      </c>
      <c r="X239" s="48" t="str">
        <f>IFERROR(IF(LayTable[[#This Row],[Total inns]]="","",LayTable[[#This Row],[Rlay]]/LayTable[[#This Row],[Total inns]]),"")</f>
        <v/>
      </c>
      <c r="Y239" s="48" t="str">
        <f>IFERROR(LayTable[[#This Row],[Faktisk res]]/LayTable[[#This Row],[Total inns]],"")</f>
        <v/>
      </c>
      <c r="Z239" s="47">
        <f>(LayTable[[#This Row],[BookieInnsats]]*LayTable[[#This Row],[BookieOdds]]-LayTable[[#This Row],[BookieInnsats]])*(1-LayTable[[#This Row],[C% Bookie]])</f>
        <v>0</v>
      </c>
      <c r="AA239" s="43">
        <f>LayTable[[#This Row],[LayInnsats]]*(1-LayTable[[#This Row],[C% Lay]])</f>
        <v>0</v>
      </c>
      <c r="AB239" s="43" t="str">
        <f>IFERROR(IF(LayTable[[#This Row],[Sport]]="",AB238,LayTable[[#This Row],[Faktisk res]]+AB238),"")</f>
        <v/>
      </c>
      <c r="AC239" s="43">
        <f>(LayTable[[#This Row],[BackWin-Commission]]+LayTable[[#This Row],[BookieInnsats]])</f>
        <v>0</v>
      </c>
      <c r="AD239" s="43" t="e">
        <f>(LayTable[[#This Row],[LayWin-Commission]])+LayTable[[#This Row],[LayLiability]]</f>
        <v>#VALUE!</v>
      </c>
      <c r="AE239" s="181"/>
      <c r="AF239" s="183"/>
    </row>
    <row r="240" spans="1:32">
      <c r="A240" s="183"/>
      <c r="B240" s="177"/>
      <c r="C240" s="178"/>
      <c r="D240" s="41"/>
      <c r="E240" s="40"/>
      <c r="F240" s="41"/>
      <c r="G240" s="183"/>
      <c r="H240" s="38"/>
      <c r="I240" s="42"/>
      <c r="J240" s="42"/>
      <c r="K240" s="43"/>
      <c r="L240" s="43"/>
      <c r="M240" s="44" t="str">
        <f>IF(LayTable[[#This Row],[Sport]]="","",LayTable[[#This Row],[LayInnsats]]*(LayTable[[#This Row],[LayOdds]]-1))</f>
        <v/>
      </c>
      <c r="N240" s="45" t="str">
        <f>IF(LayTable[[#This Row],[Sport]]="","",1/((1/LayTable[[#This Row],[BookieOdds]])+(1/((1/((1+((LayTable[[#This Row],[LayOdds]]-1)*(1+LayTable[[#This Row],[C% Lay]])))-1))+1)))-1)</f>
        <v/>
      </c>
      <c r="Q240" s="46" t="str">
        <f>IF(LayTable[[#This Row],[Sport]]="","",LayTable[[#This Row],[BookieInnsats]]+LayTable[[#This Row],[LayLiability]])</f>
        <v/>
      </c>
      <c r="R2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0" s="47" t="str">
        <f>IF(LayTable[[#This Row],[Utfall bookie]]="","",LayTable[[#This Row],[WBABack]]+LayTable[[#This Row],[WBALay]]-LayTable[[#This Row],[Total inns]])</f>
        <v/>
      </c>
      <c r="U2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0" s="48" t="str">
        <f>IFERROR(IF(LayTable[[#This Row],[Total inns]]="","",LayTable[[#This Row],[Rback]]/LayTable[[#This Row],[Total inns]]),"")</f>
        <v/>
      </c>
      <c r="X240" s="48" t="str">
        <f>IFERROR(IF(LayTable[[#This Row],[Total inns]]="","",LayTable[[#This Row],[Rlay]]/LayTable[[#This Row],[Total inns]]),"")</f>
        <v/>
      </c>
      <c r="Y240" s="48" t="str">
        <f>IFERROR(LayTable[[#This Row],[Faktisk res]]/LayTable[[#This Row],[Total inns]],"")</f>
        <v/>
      </c>
      <c r="Z240" s="47">
        <f>(LayTable[[#This Row],[BookieInnsats]]*LayTable[[#This Row],[BookieOdds]]-LayTable[[#This Row],[BookieInnsats]])*(1-LayTable[[#This Row],[C% Bookie]])</f>
        <v>0</v>
      </c>
      <c r="AA240" s="43">
        <f>LayTable[[#This Row],[LayInnsats]]*(1-LayTable[[#This Row],[C% Lay]])</f>
        <v>0</v>
      </c>
      <c r="AB240" s="43" t="str">
        <f>IFERROR(IF(LayTable[[#This Row],[Sport]]="",AB239,LayTable[[#This Row],[Faktisk res]]+AB239),"")</f>
        <v/>
      </c>
      <c r="AC240" s="43">
        <f>(LayTable[[#This Row],[BackWin-Commission]]+LayTable[[#This Row],[BookieInnsats]])</f>
        <v>0</v>
      </c>
      <c r="AD240" s="43" t="e">
        <f>(LayTable[[#This Row],[LayWin-Commission]])+LayTable[[#This Row],[LayLiability]]</f>
        <v>#VALUE!</v>
      </c>
      <c r="AE240" s="181"/>
      <c r="AF240" s="183"/>
    </row>
    <row r="241" spans="1:32">
      <c r="A241" s="183"/>
      <c r="B241" s="177"/>
      <c r="C241" s="178"/>
      <c r="D241" s="179"/>
      <c r="E241" s="178"/>
      <c r="F241" s="179"/>
      <c r="G241" s="183"/>
      <c r="H241" s="38"/>
      <c r="I241" s="42"/>
      <c r="J241" s="42"/>
      <c r="K241" s="43"/>
      <c r="L241" s="43"/>
      <c r="M241" s="44" t="str">
        <f>IF(LayTable[[#This Row],[Sport]]="","",LayTable[[#This Row],[LayInnsats]]*(LayTable[[#This Row],[LayOdds]]-1))</f>
        <v/>
      </c>
      <c r="N241" s="45" t="str">
        <f>IF(LayTable[[#This Row],[Sport]]="","",1/((1/LayTable[[#This Row],[BookieOdds]])+(1/((1/((1+((LayTable[[#This Row],[LayOdds]]-1)*(1+LayTable[[#This Row],[C% Lay]])))-1))+1)))-1)</f>
        <v/>
      </c>
      <c r="Q241" s="46" t="str">
        <f>IF(LayTable[[#This Row],[Sport]]="","",LayTable[[#This Row],[BookieInnsats]]+LayTable[[#This Row],[LayLiability]])</f>
        <v/>
      </c>
      <c r="R2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1" s="47" t="str">
        <f>IF(LayTable[[#This Row],[Utfall bookie]]="","",LayTable[[#This Row],[WBABack]]+LayTable[[#This Row],[WBALay]]-LayTable[[#This Row],[Total inns]])</f>
        <v/>
      </c>
      <c r="U2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1" s="48" t="str">
        <f>IFERROR(IF(LayTable[[#This Row],[Total inns]]="","",LayTable[[#This Row],[Rback]]/LayTable[[#This Row],[Total inns]]),"")</f>
        <v/>
      </c>
      <c r="X241" s="48" t="str">
        <f>IFERROR(IF(LayTable[[#This Row],[Total inns]]="","",LayTable[[#This Row],[Rlay]]/LayTable[[#This Row],[Total inns]]),"")</f>
        <v/>
      </c>
      <c r="Y241" s="48" t="str">
        <f>IFERROR(LayTable[[#This Row],[Faktisk res]]/LayTable[[#This Row],[Total inns]],"")</f>
        <v/>
      </c>
      <c r="Z241" s="47">
        <f>(LayTable[[#This Row],[BookieInnsats]]*LayTable[[#This Row],[BookieOdds]]-LayTable[[#This Row],[BookieInnsats]])*(1-LayTable[[#This Row],[C% Bookie]])</f>
        <v>0</v>
      </c>
      <c r="AA241" s="43">
        <f>LayTable[[#This Row],[LayInnsats]]*(1-LayTable[[#This Row],[C% Lay]])</f>
        <v>0</v>
      </c>
      <c r="AB241" s="43" t="str">
        <f>IFERROR(IF(LayTable[[#This Row],[Sport]]="",AB240,LayTable[[#This Row],[Faktisk res]]+AB240),"")</f>
        <v/>
      </c>
      <c r="AC241" s="43">
        <f>(LayTable[[#This Row],[BackWin-Commission]]+LayTable[[#This Row],[BookieInnsats]])</f>
        <v>0</v>
      </c>
      <c r="AD241" s="43" t="e">
        <f>(LayTable[[#This Row],[LayWin-Commission]])+LayTable[[#This Row],[LayLiability]]</f>
        <v>#VALUE!</v>
      </c>
      <c r="AE241" s="43"/>
      <c r="AF241" s="181"/>
    </row>
    <row r="242" spans="1:32">
      <c r="A242" s="183"/>
      <c r="B242" s="177"/>
      <c r="C242" s="178"/>
      <c r="D242" s="179"/>
      <c r="E242" s="178"/>
      <c r="F242" s="179"/>
      <c r="G242" s="183"/>
      <c r="H242" s="38"/>
      <c r="I242" s="42"/>
      <c r="J242" s="42"/>
      <c r="K242" s="43"/>
      <c r="L242" s="43"/>
      <c r="M242" s="44" t="str">
        <f>IF(LayTable[[#This Row],[Sport]]="","",LayTable[[#This Row],[LayInnsats]]*(LayTable[[#This Row],[LayOdds]]-1))</f>
        <v/>
      </c>
      <c r="N242" s="45" t="str">
        <f>IF(LayTable[[#This Row],[Sport]]="","",1/((1/LayTable[[#This Row],[BookieOdds]])+(1/((1/((1+((LayTable[[#This Row],[LayOdds]]-1)*(1+LayTable[[#This Row],[C% Lay]])))-1))+1)))-1)</f>
        <v/>
      </c>
      <c r="Q242" s="46" t="str">
        <f>IF(LayTable[[#This Row],[Sport]]="","",LayTable[[#This Row],[BookieInnsats]]+LayTable[[#This Row],[LayLiability]])</f>
        <v/>
      </c>
      <c r="R2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2" s="47" t="str">
        <f>IF(LayTable[[#This Row],[Utfall bookie]]="","",LayTable[[#This Row],[WBABack]]+LayTable[[#This Row],[WBALay]]-LayTable[[#This Row],[Total inns]])</f>
        <v/>
      </c>
      <c r="U2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2" s="48" t="str">
        <f>IFERROR(IF(LayTable[[#This Row],[Total inns]]="","",LayTable[[#This Row],[Rback]]/LayTable[[#This Row],[Total inns]]),"")</f>
        <v/>
      </c>
      <c r="X242" s="48" t="str">
        <f>IFERROR(IF(LayTable[[#This Row],[Total inns]]="","",LayTable[[#This Row],[Rlay]]/LayTable[[#This Row],[Total inns]]),"")</f>
        <v/>
      </c>
      <c r="Y242" s="48" t="str">
        <f>IFERROR(LayTable[[#This Row],[Faktisk res]]/LayTable[[#This Row],[Total inns]],"")</f>
        <v/>
      </c>
      <c r="Z242" s="47">
        <f>(LayTable[[#This Row],[BookieInnsats]]*LayTable[[#This Row],[BookieOdds]]-LayTable[[#This Row],[BookieInnsats]])*(1-LayTable[[#This Row],[C% Bookie]])</f>
        <v>0</v>
      </c>
      <c r="AA242" s="43">
        <f>LayTable[[#This Row],[LayInnsats]]*(1-LayTable[[#This Row],[C% Lay]])</f>
        <v>0</v>
      </c>
      <c r="AB242" s="43" t="str">
        <f>IFERROR(IF(LayTable[[#This Row],[Sport]]="",AB241,LayTable[[#This Row],[Faktisk res]]+AB241),"")</f>
        <v/>
      </c>
      <c r="AC242" s="43">
        <f>(LayTable[[#This Row],[BackWin-Commission]]+LayTable[[#This Row],[BookieInnsats]])</f>
        <v>0</v>
      </c>
      <c r="AD242" s="43" t="e">
        <f>(LayTable[[#This Row],[LayWin-Commission]])+LayTable[[#This Row],[LayLiability]]</f>
        <v>#VALUE!</v>
      </c>
      <c r="AE242" s="43"/>
      <c r="AF242" s="181"/>
    </row>
    <row r="243" spans="1:32">
      <c r="A243" s="84"/>
      <c r="B243" s="177"/>
      <c r="C243" s="178"/>
      <c r="D243" s="41"/>
      <c r="E243" s="40"/>
      <c r="F243" s="41"/>
      <c r="G243" s="183"/>
      <c r="H243" s="38"/>
      <c r="I243" s="42"/>
      <c r="J243" s="42"/>
      <c r="K243" s="43"/>
      <c r="L243" s="43"/>
      <c r="M243" s="44" t="str">
        <f>IF(LayTable[[#This Row],[Sport]]="","",LayTable[[#This Row],[LayInnsats]]*(LayTable[[#This Row],[LayOdds]]-1))</f>
        <v/>
      </c>
      <c r="N243" s="45" t="str">
        <f>IF(LayTable[[#This Row],[Sport]]="","",1/((1/LayTable[[#This Row],[BookieOdds]])+(1/((1/((1+((LayTable[[#This Row],[LayOdds]]-1)*(1+LayTable[[#This Row],[C% Lay]])))-1))+1)))-1)</f>
        <v/>
      </c>
      <c r="Q243" s="46" t="str">
        <f>IF(LayTable[[#This Row],[Sport]]="","",LayTable[[#This Row],[BookieInnsats]]+LayTable[[#This Row],[LayLiability]])</f>
        <v/>
      </c>
      <c r="R2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3" s="47" t="str">
        <f>IF(LayTable[[#This Row],[Utfall bookie]]="","",LayTable[[#This Row],[WBABack]]+LayTable[[#This Row],[WBALay]]-LayTable[[#This Row],[Total inns]])</f>
        <v/>
      </c>
      <c r="U2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3" s="48" t="str">
        <f>IFERROR(IF(LayTable[[#This Row],[Total inns]]="","",LayTable[[#This Row],[Rback]]/LayTable[[#This Row],[Total inns]]),"")</f>
        <v/>
      </c>
      <c r="X243" s="48" t="str">
        <f>IFERROR(IF(LayTable[[#This Row],[Total inns]]="","",LayTable[[#This Row],[Rlay]]/LayTable[[#This Row],[Total inns]]),"")</f>
        <v/>
      </c>
      <c r="Y243" s="48" t="str">
        <f>IFERROR(LayTable[[#This Row],[Faktisk res]]/LayTable[[#This Row],[Total inns]],"")</f>
        <v/>
      </c>
      <c r="Z243" s="47">
        <f>(LayTable[[#This Row],[BookieInnsats]]*LayTable[[#This Row],[BookieOdds]]-LayTable[[#This Row],[BookieInnsats]])*(1-LayTable[[#This Row],[C% Bookie]])</f>
        <v>0</v>
      </c>
      <c r="AA243" s="43">
        <f>LayTable[[#This Row],[LayInnsats]]*(1-LayTable[[#This Row],[C% Lay]])</f>
        <v>0</v>
      </c>
      <c r="AB243" s="43" t="str">
        <f>IFERROR(IF(LayTable[[#This Row],[Sport]]="",AB242,LayTable[[#This Row],[Faktisk res]]+AB242),"")</f>
        <v/>
      </c>
      <c r="AC243" s="43">
        <f>(LayTable[[#This Row],[BackWin-Commission]]+LayTable[[#This Row],[BookieInnsats]])</f>
        <v>0</v>
      </c>
      <c r="AD243" s="43" t="e">
        <f>(LayTable[[#This Row],[LayWin-Commission]])+LayTable[[#This Row],[LayLiability]]</f>
        <v>#VALUE!</v>
      </c>
      <c r="AE243" s="43"/>
      <c r="AF243" s="181"/>
    </row>
    <row r="244" spans="1:32">
      <c r="A244" s="183"/>
      <c r="B244" s="177"/>
      <c r="C244" s="178"/>
      <c r="D244" s="41"/>
      <c r="E244" s="178"/>
      <c r="F244" s="179"/>
      <c r="G244" s="183"/>
      <c r="H244" s="176"/>
      <c r="I244" s="180"/>
      <c r="J244" s="247"/>
      <c r="K244" s="248"/>
      <c r="L244" s="248"/>
      <c r="M244" s="44" t="str">
        <f>IF(LayTable[[#This Row],[Sport]]="","",LayTable[[#This Row],[LayInnsats]]*(LayTable[[#This Row],[LayOdds]]-1))</f>
        <v/>
      </c>
      <c r="N244" s="45" t="str">
        <f>IF(LayTable[[#This Row],[Sport]]="","",1/((1/LayTable[[#This Row],[BookieOdds]])+(1/((1/((1+((LayTable[[#This Row],[LayOdds]]-1)*(1+LayTable[[#This Row],[C% Lay]])))-1))+1)))-1)</f>
        <v/>
      </c>
      <c r="Q244" s="46" t="str">
        <f>IF(LayTable[[#This Row],[Sport]]="","",LayTable[[#This Row],[BookieInnsats]]+LayTable[[#This Row],[LayLiability]])</f>
        <v/>
      </c>
      <c r="R2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4" s="47" t="str">
        <f>IF(LayTable[[#This Row],[Utfall bookie]]="","",LayTable[[#This Row],[WBABack]]+LayTable[[#This Row],[WBALay]]-LayTable[[#This Row],[Total inns]])</f>
        <v/>
      </c>
      <c r="U2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4" s="48" t="str">
        <f>IFERROR(IF(LayTable[[#This Row],[Total inns]]="","",LayTable[[#This Row],[Rback]]/LayTable[[#This Row],[Total inns]]),"")</f>
        <v/>
      </c>
      <c r="X244" s="48" t="str">
        <f>IFERROR(IF(LayTable[[#This Row],[Total inns]]="","",LayTable[[#This Row],[Rlay]]/LayTable[[#This Row],[Total inns]]),"")</f>
        <v/>
      </c>
      <c r="Y244" s="48" t="str">
        <f>IFERROR(LayTable[[#This Row],[Faktisk res]]/LayTable[[#This Row],[Total inns]],"")</f>
        <v/>
      </c>
      <c r="Z244" s="47">
        <f>(LayTable[[#This Row],[BookieInnsats]]*LayTable[[#This Row],[BookieOdds]]-LayTable[[#This Row],[BookieInnsats]])*(1-LayTable[[#This Row],[C% Bookie]])</f>
        <v>0</v>
      </c>
      <c r="AA244" s="43">
        <f>LayTable[[#This Row],[LayInnsats]]*(1-LayTable[[#This Row],[C% Lay]])</f>
        <v>0</v>
      </c>
      <c r="AB244" s="43" t="str">
        <f>IFERROR(IF(LayTable[[#This Row],[Sport]]="",AB243,LayTable[[#This Row],[Faktisk res]]+AB243),"")</f>
        <v/>
      </c>
      <c r="AC244" s="43">
        <f>(LayTable[[#This Row],[BackWin-Commission]]+LayTable[[#This Row],[BookieInnsats]])</f>
        <v>0</v>
      </c>
      <c r="AD244" s="43" t="e">
        <f>(LayTable[[#This Row],[LayWin-Commission]])+LayTable[[#This Row],[LayLiability]]</f>
        <v>#VALUE!</v>
      </c>
      <c r="AE244" s="43"/>
      <c r="AF244" s="181"/>
    </row>
    <row r="245" spans="1:32">
      <c r="A245" s="183"/>
      <c r="B245" s="177"/>
      <c r="C245" s="178"/>
      <c r="D245" s="41"/>
      <c r="E245" s="178"/>
      <c r="F245" s="179"/>
      <c r="G245" s="183"/>
      <c r="H245" s="246"/>
      <c r="I245" s="247"/>
      <c r="J245" s="247"/>
      <c r="K245" s="248"/>
      <c r="L245" s="248"/>
      <c r="M245" s="44" t="str">
        <f>IF(LayTable[[#This Row],[Sport]]="","",LayTable[[#This Row],[LayInnsats]]*(LayTable[[#This Row],[LayOdds]]-1))</f>
        <v/>
      </c>
      <c r="N245" s="45" t="str">
        <f>IF(LayTable[[#This Row],[Sport]]="","",1/((1/LayTable[[#This Row],[BookieOdds]])+(1/((1/((1+((LayTable[[#This Row],[LayOdds]]-1)*(1+LayTable[[#This Row],[C% Lay]])))-1))+1)))-1)</f>
        <v/>
      </c>
      <c r="Q245" s="46" t="str">
        <f>IF(LayTable[[#This Row],[Sport]]="","",LayTable[[#This Row],[BookieInnsats]]+LayTable[[#This Row],[LayLiability]])</f>
        <v/>
      </c>
      <c r="R2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5" s="47" t="str">
        <f>IF(LayTable[[#This Row],[Utfall bookie]]="","",LayTable[[#This Row],[WBABack]]+LayTable[[#This Row],[WBALay]]-LayTable[[#This Row],[Total inns]])</f>
        <v/>
      </c>
      <c r="U2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5" s="48" t="str">
        <f>IFERROR(IF(LayTable[[#This Row],[Total inns]]="","",LayTable[[#This Row],[Rback]]/LayTable[[#This Row],[Total inns]]),"")</f>
        <v/>
      </c>
      <c r="X245" s="48" t="str">
        <f>IFERROR(IF(LayTable[[#This Row],[Total inns]]="","",LayTable[[#This Row],[Rlay]]/LayTable[[#This Row],[Total inns]]),"")</f>
        <v/>
      </c>
      <c r="Y245" s="48" t="str">
        <f>IFERROR(LayTable[[#This Row],[Faktisk res]]/LayTable[[#This Row],[Total inns]],"")</f>
        <v/>
      </c>
      <c r="Z245" s="47">
        <f>(LayTable[[#This Row],[BookieInnsats]]*LayTable[[#This Row],[BookieOdds]]-LayTable[[#This Row],[BookieInnsats]])*(1-LayTable[[#This Row],[C% Bookie]])</f>
        <v>0</v>
      </c>
      <c r="AA245" s="43">
        <f>LayTable[[#This Row],[LayInnsats]]*(1-LayTable[[#This Row],[C% Lay]])</f>
        <v>0</v>
      </c>
      <c r="AB245" s="43" t="str">
        <f>IFERROR(IF(LayTable[[#This Row],[Sport]]="",AB244,LayTable[[#This Row],[Faktisk res]]+AB244),"")</f>
        <v/>
      </c>
      <c r="AC245" s="43">
        <f>(LayTable[[#This Row],[BackWin-Commission]]+LayTable[[#This Row],[BookieInnsats]])</f>
        <v>0</v>
      </c>
      <c r="AD245" s="43" t="e">
        <f>(LayTable[[#This Row],[LayWin-Commission]])+LayTable[[#This Row],[LayLiability]]</f>
        <v>#VALUE!</v>
      </c>
      <c r="AE245" s="248"/>
      <c r="AF245" s="181"/>
    </row>
    <row r="246" spans="1:32">
      <c r="A246" s="183"/>
      <c r="B246" s="177"/>
      <c r="C246" s="178"/>
      <c r="D246" s="41"/>
      <c r="E246" s="178"/>
      <c r="F246" s="179"/>
      <c r="G246" s="183"/>
      <c r="H246" s="246"/>
      <c r="I246" s="247"/>
      <c r="J246" s="247"/>
      <c r="K246" s="248"/>
      <c r="L246" s="248"/>
      <c r="M246" s="44" t="str">
        <f>IF(LayTable[[#This Row],[Sport]]="","",LayTable[[#This Row],[LayInnsats]]*(LayTable[[#This Row],[LayOdds]]-1))</f>
        <v/>
      </c>
      <c r="N246" s="45" t="str">
        <f>IF(LayTable[[#This Row],[Sport]]="","",1/((1/LayTable[[#This Row],[BookieOdds]])+(1/((1/((1+((LayTable[[#This Row],[LayOdds]]-1)*(1+LayTable[[#This Row],[C% Lay]])))-1))+1)))-1)</f>
        <v/>
      </c>
      <c r="Q246" s="46" t="str">
        <f>IF(LayTable[[#This Row],[Sport]]="","",LayTable[[#This Row],[BookieInnsats]]+LayTable[[#This Row],[LayLiability]])</f>
        <v/>
      </c>
      <c r="R2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6" s="47" t="str">
        <f>IF(LayTable[[#This Row],[Utfall bookie]]="","",LayTable[[#This Row],[WBABack]]+LayTable[[#This Row],[WBALay]]-LayTable[[#This Row],[Total inns]])</f>
        <v/>
      </c>
      <c r="U2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6" s="48" t="str">
        <f>IFERROR(IF(LayTable[[#This Row],[Total inns]]="","",LayTable[[#This Row],[Rback]]/LayTable[[#This Row],[Total inns]]),"")</f>
        <v/>
      </c>
      <c r="X246" s="48" t="str">
        <f>IFERROR(IF(LayTable[[#This Row],[Total inns]]="","",LayTable[[#This Row],[Rlay]]/LayTable[[#This Row],[Total inns]]),"")</f>
        <v/>
      </c>
      <c r="Y246" s="48" t="str">
        <f>IFERROR(LayTable[[#This Row],[Faktisk res]]/LayTable[[#This Row],[Total inns]],"")</f>
        <v/>
      </c>
      <c r="Z246" s="47">
        <f>(LayTable[[#This Row],[BookieInnsats]]*LayTable[[#This Row],[BookieOdds]]-LayTable[[#This Row],[BookieInnsats]])*(1-LayTable[[#This Row],[C% Bookie]])</f>
        <v>0</v>
      </c>
      <c r="AA246" s="43">
        <f>LayTable[[#This Row],[LayInnsats]]*(1-LayTable[[#This Row],[C% Lay]])</f>
        <v>0</v>
      </c>
      <c r="AB246" s="43" t="str">
        <f>IFERROR(IF(LayTable[[#This Row],[Sport]]="",AB245,LayTable[[#This Row],[Faktisk res]]+AB245),"")</f>
        <v/>
      </c>
      <c r="AC246" s="43">
        <f>(LayTable[[#This Row],[BackWin-Commission]]+LayTable[[#This Row],[BookieInnsats]])</f>
        <v>0</v>
      </c>
      <c r="AD246" s="43" t="e">
        <f>(LayTable[[#This Row],[LayWin-Commission]])+LayTable[[#This Row],[LayLiability]]</f>
        <v>#VALUE!</v>
      </c>
      <c r="AE246" s="248"/>
      <c r="AF246" s="181"/>
    </row>
    <row r="247" spans="1:32">
      <c r="A247" s="183"/>
      <c r="B247" s="177"/>
      <c r="C247" s="178"/>
      <c r="D247" s="41"/>
      <c r="E247" s="178"/>
      <c r="F247" s="179"/>
      <c r="G247" s="183"/>
      <c r="H247" s="246"/>
      <c r="I247" s="247"/>
      <c r="J247" s="247"/>
      <c r="K247" s="248"/>
      <c r="L247" s="248"/>
      <c r="M247" s="44" t="str">
        <f>IF(LayTable[[#This Row],[Sport]]="","",LayTable[[#This Row],[LayInnsats]]*(LayTable[[#This Row],[LayOdds]]-1))</f>
        <v/>
      </c>
      <c r="N247" s="45" t="str">
        <f>IF(LayTable[[#This Row],[Sport]]="","",1/((1/LayTable[[#This Row],[BookieOdds]])+(1/((1/((1+((LayTable[[#This Row],[LayOdds]]-1)*(1+LayTable[[#This Row],[C% Lay]])))-1))+1)))-1)</f>
        <v/>
      </c>
      <c r="Q247" s="46" t="str">
        <f>IF(LayTable[[#This Row],[Sport]]="","",LayTable[[#This Row],[BookieInnsats]]+LayTable[[#This Row],[LayLiability]])</f>
        <v/>
      </c>
      <c r="R2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7" s="47" t="str">
        <f>IF(LayTable[[#This Row],[Utfall bookie]]="","",LayTable[[#This Row],[WBABack]]+LayTable[[#This Row],[WBALay]]-LayTable[[#This Row],[Total inns]])</f>
        <v/>
      </c>
      <c r="U2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7" s="48" t="str">
        <f>IFERROR(IF(LayTable[[#This Row],[Total inns]]="","",LayTable[[#This Row],[Rback]]/LayTable[[#This Row],[Total inns]]),"")</f>
        <v/>
      </c>
      <c r="X247" s="48" t="str">
        <f>IFERROR(IF(LayTable[[#This Row],[Total inns]]="","",LayTable[[#This Row],[Rlay]]/LayTable[[#This Row],[Total inns]]),"")</f>
        <v/>
      </c>
      <c r="Y247" s="48" t="str">
        <f>IFERROR(LayTable[[#This Row],[Faktisk res]]/LayTable[[#This Row],[Total inns]],"")</f>
        <v/>
      </c>
      <c r="Z247" s="47">
        <f>(LayTable[[#This Row],[BookieInnsats]]*LayTable[[#This Row],[BookieOdds]]-LayTable[[#This Row],[BookieInnsats]])*(1-LayTable[[#This Row],[C% Bookie]])</f>
        <v>0</v>
      </c>
      <c r="AA247" s="43">
        <f>LayTable[[#This Row],[LayInnsats]]*(1-LayTable[[#This Row],[C% Lay]])</f>
        <v>0</v>
      </c>
      <c r="AB247" s="43" t="str">
        <f>IFERROR(IF(LayTable[[#This Row],[Sport]]="",AB246,LayTable[[#This Row],[Faktisk res]]+AB246),"")</f>
        <v/>
      </c>
      <c r="AC247" s="43">
        <f>(LayTable[[#This Row],[BackWin-Commission]]+LayTable[[#This Row],[BookieInnsats]])</f>
        <v>0</v>
      </c>
      <c r="AD247" s="43" t="e">
        <f>(LayTable[[#This Row],[LayWin-Commission]])+LayTable[[#This Row],[LayLiability]]</f>
        <v>#VALUE!</v>
      </c>
      <c r="AE247" s="181"/>
      <c r="AF247" s="181"/>
    </row>
    <row r="248" spans="1:32">
      <c r="A248" s="183"/>
      <c r="B248" s="177"/>
      <c r="C248" s="178"/>
      <c r="D248" s="41"/>
      <c r="E248" s="178"/>
      <c r="F248" s="179"/>
      <c r="G248" s="183"/>
      <c r="H248" s="246"/>
      <c r="I248" s="247"/>
      <c r="J248" s="247"/>
      <c r="K248" s="248"/>
      <c r="L248" s="248"/>
      <c r="M248" s="44" t="str">
        <f>IF(LayTable[[#This Row],[Sport]]="","",LayTable[[#This Row],[LayInnsats]]*(LayTable[[#This Row],[LayOdds]]-1))</f>
        <v/>
      </c>
      <c r="N248" s="45" t="str">
        <f>IF(LayTable[[#This Row],[Sport]]="","",1/((1/LayTable[[#This Row],[BookieOdds]])+(1/((1/((1+((LayTable[[#This Row],[LayOdds]]-1)*(1+LayTable[[#This Row],[C% Lay]])))-1))+1)))-1)</f>
        <v/>
      </c>
      <c r="Q248" s="46" t="str">
        <f>IF(LayTable[[#This Row],[Sport]]="","",LayTable[[#This Row],[BookieInnsats]]+LayTable[[#This Row],[LayLiability]])</f>
        <v/>
      </c>
      <c r="R2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8" s="47" t="str">
        <f>IF(LayTable[[#This Row],[Utfall bookie]]="","",LayTable[[#This Row],[WBABack]]+LayTable[[#This Row],[WBALay]]-LayTable[[#This Row],[Total inns]])</f>
        <v/>
      </c>
      <c r="U2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8" s="48" t="str">
        <f>IFERROR(IF(LayTable[[#This Row],[Total inns]]="","",LayTable[[#This Row],[Rback]]/LayTable[[#This Row],[Total inns]]),"")</f>
        <v/>
      </c>
      <c r="X248" s="48" t="str">
        <f>IFERROR(IF(LayTable[[#This Row],[Total inns]]="","",LayTable[[#This Row],[Rlay]]/LayTable[[#This Row],[Total inns]]),"")</f>
        <v/>
      </c>
      <c r="Y248" s="48" t="str">
        <f>IFERROR(LayTable[[#This Row],[Faktisk res]]/LayTable[[#This Row],[Total inns]],"")</f>
        <v/>
      </c>
      <c r="Z248" s="47">
        <f>(LayTable[[#This Row],[BookieInnsats]]*LayTable[[#This Row],[BookieOdds]]-LayTable[[#This Row],[BookieInnsats]])*(1-LayTable[[#This Row],[C% Bookie]])</f>
        <v>0</v>
      </c>
      <c r="AA248" s="43">
        <f>LayTable[[#This Row],[LayInnsats]]*(1-LayTable[[#This Row],[C% Lay]])</f>
        <v>0</v>
      </c>
      <c r="AB248" s="43" t="str">
        <f>IFERROR(IF(LayTable[[#This Row],[Sport]]="",AB247,LayTable[[#This Row],[Faktisk res]]+AB247),"")</f>
        <v/>
      </c>
      <c r="AC248" s="43">
        <f>(LayTable[[#This Row],[BackWin-Commission]]+LayTable[[#This Row],[BookieInnsats]])</f>
        <v>0</v>
      </c>
      <c r="AD248" s="43" t="e">
        <f>(LayTable[[#This Row],[LayWin-Commission]])+LayTable[[#This Row],[LayLiability]]</f>
        <v>#VALUE!</v>
      </c>
      <c r="AE248" s="181"/>
      <c r="AF248" s="181"/>
    </row>
    <row r="249" spans="1:32">
      <c r="A249" s="183"/>
      <c r="B249" s="177"/>
      <c r="C249" s="178"/>
      <c r="D249" s="41"/>
      <c r="E249" s="244"/>
      <c r="F249" s="245"/>
      <c r="G249" s="183"/>
      <c r="H249" s="246"/>
      <c r="I249" s="247"/>
      <c r="J249" s="247"/>
      <c r="K249" s="248"/>
      <c r="L249" s="248"/>
      <c r="M249" s="44" t="str">
        <f>IF(LayTable[[#This Row],[Sport]]="","",LayTable[[#This Row],[LayInnsats]]*(LayTable[[#This Row],[LayOdds]]-1))</f>
        <v/>
      </c>
      <c r="N249" s="45" t="str">
        <f>IF(LayTable[[#This Row],[Sport]]="","",1/((1/LayTable[[#This Row],[BookieOdds]])+(1/((1/((1+((LayTable[[#This Row],[LayOdds]]-1)*(1+LayTable[[#This Row],[C% Lay]])))-1))+1)))-1)</f>
        <v/>
      </c>
      <c r="Q249" s="46" t="str">
        <f>IF(LayTable[[#This Row],[Sport]]="","",LayTable[[#This Row],[BookieInnsats]]+LayTable[[#This Row],[LayLiability]])</f>
        <v/>
      </c>
      <c r="R2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49" s="47" t="str">
        <f>IF(LayTable[[#This Row],[Utfall bookie]]="","",LayTable[[#This Row],[WBABack]]+LayTable[[#This Row],[WBALay]]-LayTable[[#This Row],[Total inns]])</f>
        <v/>
      </c>
      <c r="U2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49" s="48" t="str">
        <f>IFERROR(IF(LayTable[[#This Row],[Total inns]]="","",LayTable[[#This Row],[Rback]]/LayTable[[#This Row],[Total inns]]),"")</f>
        <v/>
      </c>
      <c r="X249" s="48" t="str">
        <f>IFERROR(IF(LayTable[[#This Row],[Total inns]]="","",LayTable[[#This Row],[Rlay]]/LayTable[[#This Row],[Total inns]]),"")</f>
        <v/>
      </c>
      <c r="Y249" s="48" t="str">
        <f>IFERROR(LayTable[[#This Row],[Faktisk res]]/LayTable[[#This Row],[Total inns]],"")</f>
        <v/>
      </c>
      <c r="Z249" s="47">
        <f>(LayTable[[#This Row],[BookieInnsats]]*LayTable[[#This Row],[BookieOdds]]-LayTable[[#This Row],[BookieInnsats]])*(1-LayTable[[#This Row],[C% Bookie]])</f>
        <v>0</v>
      </c>
      <c r="AA249" s="43">
        <f>LayTable[[#This Row],[LayInnsats]]*(1-LayTable[[#This Row],[C% Lay]])</f>
        <v>0</v>
      </c>
      <c r="AB249" s="43" t="str">
        <f>IFERROR(IF(LayTable[[#This Row],[Sport]]="",AB248,LayTable[[#This Row],[Faktisk res]]+AB248),"")</f>
        <v/>
      </c>
      <c r="AC249" s="43">
        <f>(LayTable[[#This Row],[BackWin-Commission]]+LayTable[[#This Row],[BookieInnsats]])</f>
        <v>0</v>
      </c>
      <c r="AD249" s="43" t="e">
        <f>(LayTable[[#This Row],[LayWin-Commission]])+LayTable[[#This Row],[LayLiability]]</f>
        <v>#VALUE!</v>
      </c>
      <c r="AE249" s="248"/>
      <c r="AF249" s="181"/>
    </row>
    <row r="250" spans="1:32">
      <c r="A250" s="183"/>
      <c r="B250" s="177"/>
      <c r="C250" s="178"/>
      <c r="D250" s="41"/>
      <c r="E250" s="244"/>
      <c r="F250" s="245"/>
      <c r="G250" s="183"/>
      <c r="H250" s="246"/>
      <c r="I250" s="247"/>
      <c r="J250" s="247"/>
      <c r="K250" s="248"/>
      <c r="L250" s="248"/>
      <c r="M250" s="44" t="str">
        <f>IF(LayTable[[#This Row],[Sport]]="","",LayTable[[#This Row],[LayInnsats]]*(LayTable[[#This Row],[LayOdds]]-1))</f>
        <v/>
      </c>
      <c r="N250" s="45" t="str">
        <f>IF(LayTable[[#This Row],[Sport]]="","",1/((1/LayTable[[#This Row],[BookieOdds]])+(1/((1/((1+((LayTable[[#This Row],[LayOdds]]-1)*(1+LayTable[[#This Row],[C% Lay]])))-1))+1)))-1)</f>
        <v/>
      </c>
      <c r="Q250" s="46" t="str">
        <f>IF(LayTable[[#This Row],[Sport]]="","",LayTable[[#This Row],[BookieInnsats]]+LayTable[[#This Row],[LayLiability]])</f>
        <v/>
      </c>
      <c r="R2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0" s="47" t="str">
        <f>IF(LayTable[[#This Row],[Utfall bookie]]="","",LayTable[[#This Row],[WBABack]]+LayTable[[#This Row],[WBALay]]-LayTable[[#This Row],[Total inns]])</f>
        <v/>
      </c>
      <c r="U2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0" s="48" t="str">
        <f>IFERROR(IF(LayTable[[#This Row],[Total inns]]="","",LayTable[[#This Row],[Rback]]/LayTable[[#This Row],[Total inns]]),"")</f>
        <v/>
      </c>
      <c r="X250" s="48" t="str">
        <f>IFERROR(IF(LayTable[[#This Row],[Total inns]]="","",LayTable[[#This Row],[Rlay]]/LayTable[[#This Row],[Total inns]]),"")</f>
        <v/>
      </c>
      <c r="Y250" s="48" t="str">
        <f>IFERROR(LayTable[[#This Row],[Faktisk res]]/LayTable[[#This Row],[Total inns]],"")</f>
        <v/>
      </c>
      <c r="Z250" s="47">
        <f>(LayTable[[#This Row],[BookieInnsats]]*LayTable[[#This Row],[BookieOdds]]-LayTable[[#This Row],[BookieInnsats]])*(1-LayTable[[#This Row],[C% Bookie]])</f>
        <v>0</v>
      </c>
      <c r="AA250" s="43">
        <f>LayTable[[#This Row],[LayInnsats]]*(1-LayTable[[#This Row],[C% Lay]])</f>
        <v>0</v>
      </c>
      <c r="AB250" s="43" t="str">
        <f>IFERROR(IF(LayTable[[#This Row],[Sport]]="",AB249,LayTable[[#This Row],[Faktisk res]]+AB249),"")</f>
        <v/>
      </c>
      <c r="AC250" s="43">
        <f>(LayTable[[#This Row],[BackWin-Commission]]+LayTable[[#This Row],[BookieInnsats]])</f>
        <v>0</v>
      </c>
      <c r="AD250" s="43" t="e">
        <f>(LayTable[[#This Row],[LayWin-Commission]])+LayTable[[#This Row],[LayLiability]]</f>
        <v>#VALUE!</v>
      </c>
      <c r="AE250" s="248"/>
      <c r="AF250" s="181"/>
    </row>
    <row r="251" spans="1:32">
      <c r="A251" s="183"/>
      <c r="B251" s="177"/>
      <c r="C251" s="178"/>
      <c r="D251" s="41"/>
      <c r="E251" s="244"/>
      <c r="F251" s="245"/>
      <c r="G251" s="183"/>
      <c r="H251" s="246"/>
      <c r="I251" s="247"/>
      <c r="J251" s="247"/>
      <c r="K251" s="248"/>
      <c r="L251" s="248"/>
      <c r="M251" s="44" t="str">
        <f>IF(LayTable[[#This Row],[Sport]]="","",LayTable[[#This Row],[LayInnsats]]*(LayTable[[#This Row],[LayOdds]]-1))</f>
        <v/>
      </c>
      <c r="N251" s="45" t="str">
        <f>IF(LayTable[[#This Row],[Sport]]="","",1/((1/LayTable[[#This Row],[BookieOdds]])+(1/((1/((1+((LayTable[[#This Row],[LayOdds]]-1)*(1+LayTable[[#This Row],[C% Lay]])))-1))+1)))-1)</f>
        <v/>
      </c>
      <c r="Q251" s="46" t="str">
        <f>IF(LayTable[[#This Row],[Sport]]="","",LayTable[[#This Row],[BookieInnsats]]+LayTable[[#This Row],[LayLiability]])</f>
        <v/>
      </c>
      <c r="R2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1" s="47" t="str">
        <f>IF(LayTable[[#This Row],[Utfall bookie]]="","",LayTable[[#This Row],[WBABack]]+LayTable[[#This Row],[WBALay]]-LayTable[[#This Row],[Total inns]])</f>
        <v/>
      </c>
      <c r="U2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1" s="48" t="str">
        <f>IFERROR(IF(LayTable[[#This Row],[Total inns]]="","",LayTable[[#This Row],[Rback]]/LayTable[[#This Row],[Total inns]]),"")</f>
        <v/>
      </c>
      <c r="X251" s="48" t="str">
        <f>IFERROR(IF(LayTable[[#This Row],[Total inns]]="","",LayTable[[#This Row],[Rlay]]/LayTable[[#This Row],[Total inns]]),"")</f>
        <v/>
      </c>
      <c r="Y251" s="48" t="str">
        <f>IFERROR(LayTable[[#This Row],[Faktisk res]]/LayTable[[#This Row],[Total inns]],"")</f>
        <v/>
      </c>
      <c r="Z251" s="47">
        <f>(LayTable[[#This Row],[BookieInnsats]]*LayTable[[#This Row],[BookieOdds]]-LayTable[[#This Row],[BookieInnsats]])*(1-LayTable[[#This Row],[C% Bookie]])</f>
        <v>0</v>
      </c>
      <c r="AA251" s="43">
        <f>LayTable[[#This Row],[LayInnsats]]*(1-LayTable[[#This Row],[C% Lay]])</f>
        <v>0</v>
      </c>
      <c r="AB251" s="43" t="str">
        <f>IFERROR(IF(LayTable[[#This Row],[Sport]]="",AB250,LayTable[[#This Row],[Faktisk res]]+AB250),"")</f>
        <v/>
      </c>
      <c r="AC251" s="43">
        <f>(LayTable[[#This Row],[BackWin-Commission]]+LayTable[[#This Row],[BookieInnsats]])</f>
        <v>0</v>
      </c>
      <c r="AD251" s="43" t="e">
        <f>(LayTable[[#This Row],[LayWin-Commission]])+LayTable[[#This Row],[LayLiability]]</f>
        <v>#VALUE!</v>
      </c>
      <c r="AE251" s="248"/>
      <c r="AF251" s="181"/>
    </row>
    <row r="252" spans="1:32">
      <c r="A252" s="183"/>
      <c r="B252" s="177"/>
      <c r="C252" s="178"/>
      <c r="D252" s="41"/>
      <c r="E252" s="178"/>
      <c r="F252" s="179"/>
      <c r="G252" s="183"/>
      <c r="H252" s="246"/>
      <c r="I252" s="247"/>
      <c r="J252" s="247"/>
      <c r="K252" s="248"/>
      <c r="L252" s="248"/>
      <c r="M252" s="44" t="str">
        <f>IF(LayTable[[#This Row],[Sport]]="","",LayTable[[#This Row],[LayInnsats]]*(LayTable[[#This Row],[LayOdds]]-1))</f>
        <v/>
      </c>
      <c r="N252" s="45" t="str">
        <f>IF(LayTable[[#This Row],[Sport]]="","",1/((1/LayTable[[#This Row],[BookieOdds]])+(1/((1/((1+((LayTable[[#This Row],[LayOdds]]-1)*(1+LayTable[[#This Row],[C% Lay]])))-1))+1)))-1)</f>
        <v/>
      </c>
      <c r="Q252" s="46" t="str">
        <f>IF(LayTable[[#This Row],[Sport]]="","",LayTable[[#This Row],[BookieInnsats]]+LayTable[[#This Row],[LayLiability]])</f>
        <v/>
      </c>
      <c r="R2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2" s="47" t="str">
        <f>IF(LayTable[[#This Row],[Utfall bookie]]="","",LayTable[[#This Row],[WBABack]]+LayTable[[#This Row],[WBALay]]-LayTable[[#This Row],[Total inns]])</f>
        <v/>
      </c>
      <c r="U2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2" s="48" t="str">
        <f>IFERROR(IF(LayTable[[#This Row],[Total inns]]="","",LayTable[[#This Row],[Rback]]/LayTable[[#This Row],[Total inns]]),"")</f>
        <v/>
      </c>
      <c r="X252" s="48" t="str">
        <f>IFERROR(IF(LayTable[[#This Row],[Total inns]]="","",LayTable[[#This Row],[Rlay]]/LayTable[[#This Row],[Total inns]]),"")</f>
        <v/>
      </c>
      <c r="Y252" s="48" t="str">
        <f>IFERROR(LayTable[[#This Row],[Faktisk res]]/LayTable[[#This Row],[Total inns]],"")</f>
        <v/>
      </c>
      <c r="Z252" s="47">
        <f>(LayTable[[#This Row],[BookieInnsats]]*LayTable[[#This Row],[BookieOdds]]-LayTable[[#This Row],[BookieInnsats]])*(1-LayTable[[#This Row],[C% Bookie]])</f>
        <v>0</v>
      </c>
      <c r="AA252" s="43">
        <f>LayTable[[#This Row],[LayInnsats]]*(1-LayTable[[#This Row],[C% Lay]])</f>
        <v>0</v>
      </c>
      <c r="AB252" s="43" t="str">
        <f>IFERROR(IF(LayTable[[#This Row],[Sport]]="",AB251,LayTable[[#This Row],[Faktisk res]]+AB251),"")</f>
        <v/>
      </c>
      <c r="AC252" s="43">
        <f>(LayTable[[#This Row],[BackWin-Commission]]+LayTable[[#This Row],[BookieInnsats]])</f>
        <v>0</v>
      </c>
      <c r="AD252" s="43" t="e">
        <f>(LayTable[[#This Row],[LayWin-Commission]])+LayTable[[#This Row],[LayLiability]]</f>
        <v>#VALUE!</v>
      </c>
      <c r="AE252" s="248"/>
      <c r="AF252" s="181"/>
    </row>
    <row r="253" spans="1:32">
      <c r="A253" s="183"/>
      <c r="B253" s="177"/>
      <c r="C253" s="178"/>
      <c r="D253" s="41"/>
      <c r="E253" s="244"/>
      <c r="F253" s="245"/>
      <c r="G253" s="183"/>
      <c r="H253" s="246"/>
      <c r="I253" s="247"/>
      <c r="J253" s="247"/>
      <c r="K253" s="248"/>
      <c r="L253" s="248"/>
      <c r="M253" s="44" t="str">
        <f>IF(LayTable[[#This Row],[Sport]]="","",LayTable[[#This Row],[LayInnsats]]*(LayTable[[#This Row],[LayOdds]]-1))</f>
        <v/>
      </c>
      <c r="N253" s="45" t="str">
        <f>IF(LayTable[[#This Row],[Sport]]="","",1/((1/LayTable[[#This Row],[BookieOdds]])+(1/((1/((1+((LayTable[[#This Row],[LayOdds]]-1)*(1+LayTable[[#This Row],[C% Lay]])))-1))+1)))-1)</f>
        <v/>
      </c>
      <c r="Q253" s="46" t="str">
        <f>IF(LayTable[[#This Row],[Sport]]="","",LayTable[[#This Row],[BookieInnsats]]+LayTable[[#This Row],[LayLiability]])</f>
        <v/>
      </c>
      <c r="R2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3" s="47" t="str">
        <f>IF(LayTable[[#This Row],[Utfall bookie]]="","",LayTable[[#This Row],[WBABack]]+LayTable[[#This Row],[WBALay]]-LayTable[[#This Row],[Total inns]])</f>
        <v/>
      </c>
      <c r="U2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3" s="48" t="str">
        <f>IFERROR(IF(LayTable[[#This Row],[Total inns]]="","",LayTable[[#This Row],[Rback]]/LayTable[[#This Row],[Total inns]]),"")</f>
        <v/>
      </c>
      <c r="X253" s="48" t="str">
        <f>IFERROR(IF(LayTable[[#This Row],[Total inns]]="","",LayTable[[#This Row],[Rlay]]/LayTable[[#This Row],[Total inns]]),"")</f>
        <v/>
      </c>
      <c r="Y253" s="48" t="str">
        <f>IFERROR(LayTable[[#This Row],[Faktisk res]]/LayTable[[#This Row],[Total inns]],"")</f>
        <v/>
      </c>
      <c r="Z253" s="47">
        <f>(LayTable[[#This Row],[BookieInnsats]]*LayTable[[#This Row],[BookieOdds]]-LayTable[[#This Row],[BookieInnsats]])*(1-LayTable[[#This Row],[C% Bookie]])</f>
        <v>0</v>
      </c>
      <c r="AA253" s="43">
        <f>LayTable[[#This Row],[LayInnsats]]*(1-LayTable[[#This Row],[C% Lay]])</f>
        <v>0</v>
      </c>
      <c r="AB253" s="43" t="str">
        <f>IFERROR(IF(LayTable[[#This Row],[Sport]]="",AB252,LayTable[[#This Row],[Faktisk res]]+AB252),"")</f>
        <v/>
      </c>
      <c r="AC253" s="43">
        <f>(LayTable[[#This Row],[BackWin-Commission]]+LayTable[[#This Row],[BookieInnsats]])</f>
        <v>0</v>
      </c>
      <c r="AD253" s="43" t="e">
        <f>(LayTable[[#This Row],[LayWin-Commission]])+LayTable[[#This Row],[LayLiability]]</f>
        <v>#VALUE!</v>
      </c>
      <c r="AE253" s="248"/>
      <c r="AF253" s="181"/>
    </row>
    <row r="254" spans="1:32">
      <c r="A254" s="183"/>
      <c r="B254" s="177"/>
      <c r="C254" s="178"/>
      <c r="D254" s="41"/>
      <c r="E254" s="244"/>
      <c r="F254" s="245"/>
      <c r="G254" s="183"/>
      <c r="H254" s="38"/>
      <c r="I254" s="42"/>
      <c r="J254" s="42"/>
      <c r="K254" s="43"/>
      <c r="L254" s="43"/>
      <c r="M254" s="44" t="str">
        <f>IF(LayTable[[#This Row],[Sport]]="","",LayTable[[#This Row],[LayInnsats]]*(LayTable[[#This Row],[LayOdds]]-1))</f>
        <v/>
      </c>
      <c r="N254" s="45" t="str">
        <f>IF(LayTable[[#This Row],[Sport]]="","",1/((1/LayTable[[#This Row],[BookieOdds]])+(1/((1/((1+((LayTable[[#This Row],[LayOdds]]-1)*(1+LayTable[[#This Row],[C% Lay]])))-1))+1)))-1)</f>
        <v/>
      </c>
      <c r="Q254" s="46" t="str">
        <f>IF(LayTable[[#This Row],[Sport]]="","",LayTable[[#This Row],[BookieInnsats]]+LayTable[[#This Row],[LayLiability]])</f>
        <v/>
      </c>
      <c r="R2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4" s="47" t="str">
        <f>IF(LayTable[[#This Row],[Utfall bookie]]="","",LayTable[[#This Row],[WBABack]]+LayTable[[#This Row],[WBALay]]-LayTable[[#This Row],[Total inns]])</f>
        <v/>
      </c>
      <c r="U2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4" s="48" t="str">
        <f>IFERROR(IF(LayTable[[#This Row],[Total inns]]="","",LayTable[[#This Row],[Rback]]/LayTable[[#This Row],[Total inns]]),"")</f>
        <v/>
      </c>
      <c r="X254" s="48" t="str">
        <f>IFERROR(IF(LayTable[[#This Row],[Total inns]]="","",LayTable[[#This Row],[Rlay]]/LayTable[[#This Row],[Total inns]]),"")</f>
        <v/>
      </c>
      <c r="Y254" s="48" t="str">
        <f>IFERROR(LayTable[[#This Row],[Faktisk res]]/LayTable[[#This Row],[Total inns]],"")</f>
        <v/>
      </c>
      <c r="Z254" s="47">
        <f>(LayTable[[#This Row],[BookieInnsats]]*LayTable[[#This Row],[BookieOdds]]-LayTable[[#This Row],[BookieInnsats]])*(1-LayTable[[#This Row],[C% Bookie]])</f>
        <v>0</v>
      </c>
      <c r="AA254" s="43">
        <f>LayTable[[#This Row],[LayInnsats]]*(1-LayTable[[#This Row],[C% Lay]])</f>
        <v>0</v>
      </c>
      <c r="AB254" s="43" t="str">
        <f>IFERROR(IF(LayTable[[#This Row],[Sport]]="",AB253,LayTable[[#This Row],[Faktisk res]]+AB253),"")</f>
        <v/>
      </c>
      <c r="AC254" s="43">
        <f>(LayTable[[#This Row],[BackWin-Commission]]+LayTable[[#This Row],[BookieInnsats]])</f>
        <v>0</v>
      </c>
      <c r="AD254" s="43" t="e">
        <f>(LayTable[[#This Row],[LayWin-Commission]])+LayTable[[#This Row],[LayLiability]]</f>
        <v>#VALUE!</v>
      </c>
      <c r="AE254" s="181"/>
      <c r="AF254" s="181"/>
    </row>
    <row r="255" spans="1:32">
      <c r="A255" s="183"/>
      <c r="B255" s="177"/>
      <c r="C255" s="178"/>
      <c r="D255" s="179"/>
      <c r="E255" s="244"/>
      <c r="F255" s="245"/>
      <c r="G255" s="183"/>
      <c r="H255" s="38"/>
      <c r="I255" s="42"/>
      <c r="J255" s="42"/>
      <c r="K255" s="43"/>
      <c r="L255" s="43"/>
      <c r="M255" s="44" t="str">
        <f>IF(LayTable[[#This Row],[Sport]]="","",LayTable[[#This Row],[LayInnsats]]*(LayTable[[#This Row],[LayOdds]]-1))</f>
        <v/>
      </c>
      <c r="N255" s="45" t="str">
        <f>IF(LayTable[[#This Row],[Sport]]="","",1/((1/LayTable[[#This Row],[BookieOdds]])+(1/((1/((1+((LayTable[[#This Row],[LayOdds]]-1)*(1+LayTable[[#This Row],[C% Lay]])))-1))+1)))-1)</f>
        <v/>
      </c>
      <c r="Q255" s="46" t="str">
        <f>IF(LayTable[[#This Row],[Sport]]="","",LayTable[[#This Row],[BookieInnsats]]+LayTable[[#This Row],[LayLiability]])</f>
        <v/>
      </c>
      <c r="R2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5" s="47" t="str">
        <f>IF(LayTable[[#This Row],[Utfall bookie]]="","",LayTable[[#This Row],[WBABack]]+LayTable[[#This Row],[WBALay]]-LayTable[[#This Row],[Total inns]])</f>
        <v/>
      </c>
      <c r="U2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5" s="48" t="str">
        <f>IFERROR(IF(LayTable[[#This Row],[Total inns]]="","",LayTable[[#This Row],[Rback]]/LayTable[[#This Row],[Total inns]]),"")</f>
        <v/>
      </c>
      <c r="X255" s="48" t="str">
        <f>IFERROR(IF(LayTable[[#This Row],[Total inns]]="","",LayTable[[#This Row],[Rlay]]/LayTable[[#This Row],[Total inns]]),"")</f>
        <v/>
      </c>
      <c r="Y255" s="48" t="str">
        <f>IFERROR(LayTable[[#This Row],[Faktisk res]]/LayTable[[#This Row],[Total inns]],"")</f>
        <v/>
      </c>
      <c r="Z255" s="47">
        <f>(LayTable[[#This Row],[BookieInnsats]]*LayTable[[#This Row],[BookieOdds]]-LayTable[[#This Row],[BookieInnsats]])*(1-LayTable[[#This Row],[C% Bookie]])</f>
        <v>0</v>
      </c>
      <c r="AA255" s="43">
        <f>LayTable[[#This Row],[LayInnsats]]*(1-LayTable[[#This Row],[C% Lay]])</f>
        <v>0</v>
      </c>
      <c r="AB255" s="43" t="str">
        <f>IFERROR(IF(LayTable[[#This Row],[Sport]]="",AB254,LayTable[[#This Row],[Faktisk res]]+AB254),"")</f>
        <v/>
      </c>
      <c r="AC255" s="43">
        <f>(LayTable[[#This Row],[BackWin-Commission]]+LayTable[[#This Row],[BookieInnsats]])</f>
        <v>0</v>
      </c>
      <c r="AD255" s="43" t="e">
        <f>(LayTable[[#This Row],[LayWin-Commission]])+LayTable[[#This Row],[LayLiability]]</f>
        <v>#VALUE!</v>
      </c>
      <c r="AE255" s="181"/>
      <c r="AF255" s="181"/>
    </row>
    <row r="256" spans="1:32">
      <c r="A256" s="183"/>
      <c r="B256" s="177"/>
      <c r="C256" s="178"/>
      <c r="D256" s="179"/>
      <c r="E256" s="244"/>
      <c r="F256" s="245"/>
      <c r="G256" s="183"/>
      <c r="H256" s="38"/>
      <c r="I256" s="42"/>
      <c r="J256" s="42"/>
      <c r="K256" s="43"/>
      <c r="L256" s="43"/>
      <c r="M256" s="44" t="str">
        <f>IF(LayTable[[#This Row],[Sport]]="","",LayTable[[#This Row],[LayInnsats]]*(LayTable[[#This Row],[LayOdds]]-1))</f>
        <v/>
      </c>
      <c r="N256" s="45" t="str">
        <f>IF(LayTable[[#This Row],[Sport]]="","",1/((1/LayTable[[#This Row],[BookieOdds]])+(1/((1/((1+((LayTable[[#This Row],[LayOdds]]-1)*(1+LayTable[[#This Row],[C% Lay]])))-1))+1)))-1)</f>
        <v/>
      </c>
      <c r="Q256" s="46" t="str">
        <f>IF(LayTable[[#This Row],[Sport]]="","",LayTable[[#This Row],[BookieInnsats]]+LayTable[[#This Row],[LayLiability]])</f>
        <v/>
      </c>
      <c r="R2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6" s="47" t="str">
        <f>IF(LayTable[[#This Row],[Utfall bookie]]="","",LayTable[[#This Row],[WBABack]]+LayTable[[#This Row],[WBALay]]-LayTable[[#This Row],[Total inns]])</f>
        <v/>
      </c>
      <c r="U2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6" s="48" t="str">
        <f>IFERROR(IF(LayTable[[#This Row],[Total inns]]="","",LayTable[[#This Row],[Rback]]/LayTable[[#This Row],[Total inns]]),"")</f>
        <v/>
      </c>
      <c r="X256" s="48" t="str">
        <f>IFERROR(IF(LayTable[[#This Row],[Total inns]]="","",LayTable[[#This Row],[Rlay]]/LayTable[[#This Row],[Total inns]]),"")</f>
        <v/>
      </c>
      <c r="Y256" s="48" t="str">
        <f>IFERROR(LayTable[[#This Row],[Faktisk res]]/LayTable[[#This Row],[Total inns]],"")</f>
        <v/>
      </c>
      <c r="Z256" s="47">
        <f>(LayTable[[#This Row],[BookieInnsats]]*LayTable[[#This Row],[BookieOdds]]-LayTable[[#This Row],[BookieInnsats]])*(1-LayTable[[#This Row],[C% Bookie]])</f>
        <v>0</v>
      </c>
      <c r="AA256" s="43">
        <f>LayTable[[#This Row],[LayInnsats]]*(1-LayTable[[#This Row],[C% Lay]])</f>
        <v>0</v>
      </c>
      <c r="AB256" s="43" t="str">
        <f>IFERROR(IF(LayTable[[#This Row],[Sport]]="",AB255,LayTable[[#This Row],[Faktisk res]]+AB255),"")</f>
        <v/>
      </c>
      <c r="AC256" s="43">
        <f>(LayTable[[#This Row],[BackWin-Commission]]+LayTable[[#This Row],[BookieInnsats]])</f>
        <v>0</v>
      </c>
      <c r="AD256" s="43" t="e">
        <f>(LayTable[[#This Row],[LayWin-Commission]])+LayTable[[#This Row],[LayLiability]]</f>
        <v>#VALUE!</v>
      </c>
      <c r="AE256" s="181"/>
      <c r="AF256" s="181"/>
    </row>
    <row r="257" spans="1:32">
      <c r="A257" s="183"/>
      <c r="B257" s="177"/>
      <c r="C257" s="178"/>
      <c r="D257" s="179"/>
      <c r="E257" s="244"/>
      <c r="F257" s="245"/>
      <c r="G257" s="183"/>
      <c r="H257" s="38"/>
      <c r="I257" s="42"/>
      <c r="J257" s="42"/>
      <c r="K257" s="43"/>
      <c r="L257" s="43"/>
      <c r="M257" s="44" t="str">
        <f>IF(LayTable[[#This Row],[Sport]]="","",LayTable[[#This Row],[LayInnsats]]*(LayTable[[#This Row],[LayOdds]]-1))</f>
        <v/>
      </c>
      <c r="N257" s="45" t="str">
        <f>IF(LayTable[[#This Row],[Sport]]="","",1/((1/LayTable[[#This Row],[BookieOdds]])+(1/((1/((1+((LayTable[[#This Row],[LayOdds]]-1)*(1+LayTable[[#This Row],[C% Lay]])))-1))+1)))-1)</f>
        <v/>
      </c>
      <c r="Q257" s="46" t="str">
        <f>IF(LayTable[[#This Row],[Sport]]="","",LayTable[[#This Row],[BookieInnsats]]+LayTable[[#This Row],[LayLiability]])</f>
        <v/>
      </c>
      <c r="R2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7" s="47" t="str">
        <f>IF(LayTable[[#This Row],[Utfall bookie]]="","",LayTable[[#This Row],[WBABack]]+LayTable[[#This Row],[WBALay]]-LayTable[[#This Row],[Total inns]])</f>
        <v/>
      </c>
      <c r="U2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7" s="48" t="str">
        <f>IFERROR(IF(LayTable[[#This Row],[Total inns]]="","",LayTable[[#This Row],[Rback]]/LayTable[[#This Row],[Total inns]]),"")</f>
        <v/>
      </c>
      <c r="X257" s="48" t="str">
        <f>IFERROR(IF(LayTable[[#This Row],[Total inns]]="","",LayTable[[#This Row],[Rlay]]/LayTable[[#This Row],[Total inns]]),"")</f>
        <v/>
      </c>
      <c r="Y257" s="48" t="str">
        <f>IFERROR(LayTable[[#This Row],[Faktisk res]]/LayTable[[#This Row],[Total inns]],"")</f>
        <v/>
      </c>
      <c r="Z257" s="47">
        <f>(LayTable[[#This Row],[BookieInnsats]]*LayTable[[#This Row],[BookieOdds]]-LayTable[[#This Row],[BookieInnsats]])*(1-LayTable[[#This Row],[C% Bookie]])</f>
        <v>0</v>
      </c>
      <c r="AA257" s="43">
        <f>LayTable[[#This Row],[LayInnsats]]*(1-LayTable[[#This Row],[C% Lay]])</f>
        <v>0</v>
      </c>
      <c r="AB257" s="43" t="str">
        <f>IFERROR(IF(LayTable[[#This Row],[Sport]]="",AB256,LayTable[[#This Row],[Faktisk res]]+AB256),"")</f>
        <v/>
      </c>
      <c r="AC257" s="43">
        <f>(LayTable[[#This Row],[BackWin-Commission]]+LayTable[[#This Row],[BookieInnsats]])</f>
        <v>0</v>
      </c>
      <c r="AD257" s="43" t="e">
        <f>(LayTable[[#This Row],[LayWin-Commission]])+LayTable[[#This Row],[LayLiability]]</f>
        <v>#VALUE!</v>
      </c>
      <c r="AE257" s="181"/>
      <c r="AF257" s="181"/>
    </row>
    <row r="258" spans="1:32">
      <c r="A258" s="84"/>
      <c r="B258" s="39"/>
      <c r="C258" s="40"/>
      <c r="D258" s="41"/>
      <c r="E258" s="40"/>
      <c r="F258" s="41"/>
      <c r="G258" s="183"/>
      <c r="H258" s="38"/>
      <c r="I258" s="42"/>
      <c r="J258" s="42"/>
      <c r="K258" s="43"/>
      <c r="L258" s="43"/>
      <c r="M258" s="44" t="str">
        <f>IF(LayTable[[#This Row],[Sport]]="","",LayTable[[#This Row],[LayInnsats]]*(LayTable[[#This Row],[LayOdds]]-1))</f>
        <v/>
      </c>
      <c r="N258" s="45" t="str">
        <f>IF(LayTable[[#This Row],[Sport]]="","",1/((1/LayTable[[#This Row],[BookieOdds]])+(1/((1/((1+((LayTable[[#This Row],[LayOdds]]-1)*(1+LayTable[[#This Row],[C% Lay]])))-1))+1)))-1)</f>
        <v/>
      </c>
      <c r="Q258" s="46" t="str">
        <f>IF(LayTable[[#This Row],[Sport]]="","",LayTable[[#This Row],[BookieInnsats]]+LayTable[[#This Row],[LayLiability]])</f>
        <v/>
      </c>
      <c r="R2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8" s="47" t="str">
        <f>IF(LayTable[[#This Row],[Utfall bookie]]="","",LayTable[[#This Row],[WBABack]]+LayTable[[#This Row],[WBALay]]-LayTable[[#This Row],[Total inns]])</f>
        <v/>
      </c>
      <c r="U2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8" s="48" t="str">
        <f>IFERROR(IF(LayTable[[#This Row],[Total inns]]="","",LayTable[[#This Row],[Rback]]/LayTable[[#This Row],[Total inns]]),"")</f>
        <v/>
      </c>
      <c r="X258" s="48" t="str">
        <f>IFERROR(IF(LayTable[[#This Row],[Total inns]]="","",LayTable[[#This Row],[Rlay]]/LayTable[[#This Row],[Total inns]]),"")</f>
        <v/>
      </c>
      <c r="Y258" s="48" t="str">
        <f>IFERROR(LayTable[[#This Row],[Faktisk res]]/LayTable[[#This Row],[Total inns]],"")</f>
        <v/>
      </c>
      <c r="Z258" s="47">
        <f>(LayTable[[#This Row],[BookieInnsats]]*LayTable[[#This Row],[BookieOdds]]-LayTable[[#This Row],[BookieInnsats]])*(1-LayTable[[#This Row],[C% Bookie]])</f>
        <v>0</v>
      </c>
      <c r="AA258" s="43">
        <f>LayTable[[#This Row],[LayInnsats]]*(1-LayTable[[#This Row],[C% Lay]])</f>
        <v>0</v>
      </c>
      <c r="AB258" s="43" t="str">
        <f>IFERROR(IF(LayTable[[#This Row],[Sport]]="",AB257,LayTable[[#This Row],[Faktisk res]]+AB257),"")</f>
        <v/>
      </c>
      <c r="AC258" s="43">
        <f>(LayTable[[#This Row],[BackWin-Commission]]+LayTable[[#This Row],[BookieInnsats]])</f>
        <v>0</v>
      </c>
      <c r="AD258" s="43" t="e">
        <f>(LayTable[[#This Row],[LayWin-Commission]])+LayTable[[#This Row],[LayLiability]]</f>
        <v>#VALUE!</v>
      </c>
      <c r="AE258" s="181"/>
      <c r="AF258" s="181"/>
    </row>
    <row r="259" spans="1:32">
      <c r="A259" s="183"/>
      <c r="B259" s="177"/>
      <c r="C259" s="178"/>
      <c r="D259" s="179"/>
      <c r="E259" s="178"/>
      <c r="F259" s="179"/>
      <c r="G259" s="183"/>
      <c r="H259" s="38"/>
      <c r="I259" s="42"/>
      <c r="J259" s="42"/>
      <c r="K259" s="43"/>
      <c r="L259" s="43"/>
      <c r="M259" s="44" t="str">
        <f>IF(LayTable[[#This Row],[Sport]]="","",LayTable[[#This Row],[LayInnsats]]*(LayTable[[#This Row],[LayOdds]]-1))</f>
        <v/>
      </c>
      <c r="N259" s="45" t="str">
        <f>IF(LayTable[[#This Row],[Sport]]="","",1/((1/LayTable[[#This Row],[BookieOdds]])+(1/((1/((1+((LayTable[[#This Row],[LayOdds]]-1)*(1+LayTable[[#This Row],[C% Lay]])))-1))+1)))-1)</f>
        <v/>
      </c>
      <c r="Q259" s="46" t="str">
        <f>IF(LayTable[[#This Row],[Sport]]="","",LayTable[[#This Row],[BookieInnsats]]+LayTable[[#This Row],[LayLiability]])</f>
        <v/>
      </c>
      <c r="R2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59" s="47" t="str">
        <f>IF(LayTable[[#This Row],[Utfall bookie]]="","",LayTable[[#This Row],[WBABack]]+LayTable[[#This Row],[WBALay]]-LayTable[[#This Row],[Total inns]])</f>
        <v/>
      </c>
      <c r="U2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59" s="48" t="str">
        <f>IFERROR(IF(LayTable[[#This Row],[Total inns]]="","",LayTable[[#This Row],[Rback]]/LayTable[[#This Row],[Total inns]]),"")</f>
        <v/>
      </c>
      <c r="X259" s="48" t="str">
        <f>IFERROR(IF(LayTable[[#This Row],[Total inns]]="","",LayTable[[#This Row],[Rlay]]/LayTable[[#This Row],[Total inns]]),"")</f>
        <v/>
      </c>
      <c r="Y259" s="48" t="str">
        <f>IFERROR(LayTable[[#This Row],[Faktisk res]]/LayTable[[#This Row],[Total inns]],"")</f>
        <v/>
      </c>
      <c r="Z259" s="47">
        <f>(LayTable[[#This Row],[BookieInnsats]]*LayTable[[#This Row],[BookieOdds]]-LayTable[[#This Row],[BookieInnsats]])*(1-LayTable[[#This Row],[C% Bookie]])</f>
        <v>0</v>
      </c>
      <c r="AA259" s="43">
        <f>LayTable[[#This Row],[LayInnsats]]*(1-LayTable[[#This Row],[C% Lay]])</f>
        <v>0</v>
      </c>
      <c r="AB259" s="43" t="str">
        <f>IFERROR(IF(LayTable[[#This Row],[Sport]]="",AB258,LayTable[[#This Row],[Faktisk res]]+AB258),"")</f>
        <v/>
      </c>
      <c r="AC259" s="43">
        <f>(LayTable[[#This Row],[BackWin-Commission]]+LayTable[[#This Row],[BookieInnsats]])</f>
        <v>0</v>
      </c>
      <c r="AD259" s="43" t="e">
        <f>(LayTable[[#This Row],[LayWin-Commission]])+LayTable[[#This Row],[LayLiability]]</f>
        <v>#VALUE!</v>
      </c>
      <c r="AE259" s="181"/>
      <c r="AF259" s="181"/>
    </row>
    <row r="260" spans="1:32">
      <c r="A260" s="183"/>
      <c r="B260" s="177"/>
      <c r="C260" s="178"/>
      <c r="D260" s="179"/>
      <c r="E260" s="178"/>
      <c r="F260" s="179"/>
      <c r="G260" s="183"/>
      <c r="H260" s="38"/>
      <c r="I260" s="42"/>
      <c r="J260" s="42"/>
      <c r="K260" s="43"/>
      <c r="L260" s="43"/>
      <c r="M260" s="44" t="str">
        <f>IF(LayTable[[#This Row],[Sport]]="","",LayTable[[#This Row],[LayInnsats]]*(LayTable[[#This Row],[LayOdds]]-1))</f>
        <v/>
      </c>
      <c r="N260" s="45" t="str">
        <f>IF(LayTable[[#This Row],[Sport]]="","",1/((1/LayTable[[#This Row],[BookieOdds]])+(1/((1/((1+((LayTable[[#This Row],[LayOdds]]-1)*(1+LayTable[[#This Row],[C% Lay]])))-1))+1)))-1)</f>
        <v/>
      </c>
      <c r="Q260" s="46" t="str">
        <f>IF(LayTable[[#This Row],[Sport]]="","",LayTable[[#This Row],[BookieInnsats]]+LayTable[[#This Row],[LayLiability]])</f>
        <v/>
      </c>
      <c r="R2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0" s="47" t="str">
        <f>IF(LayTable[[#This Row],[Utfall bookie]]="","",LayTable[[#This Row],[WBABack]]+LayTable[[#This Row],[WBALay]]-LayTable[[#This Row],[Total inns]])</f>
        <v/>
      </c>
      <c r="U2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0" s="48" t="str">
        <f>IFERROR(IF(LayTable[[#This Row],[Total inns]]="","",LayTable[[#This Row],[Rback]]/LayTable[[#This Row],[Total inns]]),"")</f>
        <v/>
      </c>
      <c r="X260" s="48" t="str">
        <f>IFERROR(IF(LayTable[[#This Row],[Total inns]]="","",LayTable[[#This Row],[Rlay]]/LayTable[[#This Row],[Total inns]]),"")</f>
        <v/>
      </c>
      <c r="Y260" s="48" t="str">
        <f>IFERROR(LayTable[[#This Row],[Faktisk res]]/LayTable[[#This Row],[Total inns]],"")</f>
        <v/>
      </c>
      <c r="Z260" s="47">
        <f>(LayTable[[#This Row],[BookieInnsats]]*LayTable[[#This Row],[BookieOdds]]-LayTable[[#This Row],[BookieInnsats]])*(1-LayTable[[#This Row],[C% Bookie]])</f>
        <v>0</v>
      </c>
      <c r="AA260" s="43">
        <f>LayTable[[#This Row],[LayInnsats]]*(1-LayTable[[#This Row],[C% Lay]])</f>
        <v>0</v>
      </c>
      <c r="AB260" s="43" t="str">
        <f>IFERROR(IF(LayTable[[#This Row],[Sport]]="",AB259,LayTable[[#This Row],[Faktisk res]]+AB259),"")</f>
        <v/>
      </c>
      <c r="AC260" s="43">
        <f>(LayTable[[#This Row],[BackWin-Commission]]+LayTable[[#This Row],[BookieInnsats]])</f>
        <v>0</v>
      </c>
      <c r="AD260" s="43" t="e">
        <f>(LayTable[[#This Row],[LayWin-Commission]])+LayTable[[#This Row],[LayLiability]]</f>
        <v>#VALUE!</v>
      </c>
      <c r="AE260" s="181"/>
      <c r="AF260" s="183"/>
    </row>
    <row r="261" spans="1:32">
      <c r="A261" s="183"/>
      <c r="B261" s="177"/>
      <c r="C261" s="178"/>
      <c r="D261" s="179"/>
      <c r="E261" s="178"/>
      <c r="F261" s="179"/>
      <c r="G261" s="183"/>
      <c r="H261" s="38"/>
      <c r="I261" s="42"/>
      <c r="J261" s="42"/>
      <c r="K261" s="43"/>
      <c r="L261" s="43"/>
      <c r="M261" s="44" t="str">
        <f>IF(LayTable[[#This Row],[Sport]]="","",LayTable[[#This Row],[LayInnsats]]*(LayTable[[#This Row],[LayOdds]]-1))</f>
        <v/>
      </c>
      <c r="N261" s="45" t="str">
        <f>IF(LayTable[[#This Row],[Sport]]="","",1/((1/LayTable[[#This Row],[BookieOdds]])+(1/((1/((1+((LayTable[[#This Row],[LayOdds]]-1)*(1+LayTable[[#This Row],[C% Lay]])))-1))+1)))-1)</f>
        <v/>
      </c>
      <c r="Q261" s="46" t="str">
        <f>IF(LayTable[[#This Row],[Sport]]="","",LayTable[[#This Row],[BookieInnsats]]+LayTable[[#This Row],[LayLiability]])</f>
        <v/>
      </c>
      <c r="R2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1" s="47" t="str">
        <f>IF(LayTable[[#This Row],[Utfall bookie]]="","",LayTable[[#This Row],[WBABack]]+LayTable[[#This Row],[WBALay]]-LayTable[[#This Row],[Total inns]])</f>
        <v/>
      </c>
      <c r="U2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1" s="48" t="str">
        <f>IFERROR(IF(LayTable[[#This Row],[Total inns]]="","",LayTable[[#This Row],[Rback]]/LayTable[[#This Row],[Total inns]]),"")</f>
        <v/>
      </c>
      <c r="X261" s="48" t="str">
        <f>IFERROR(IF(LayTable[[#This Row],[Total inns]]="","",LayTable[[#This Row],[Rlay]]/LayTable[[#This Row],[Total inns]]),"")</f>
        <v/>
      </c>
      <c r="Y261" s="48" t="str">
        <f>IFERROR(LayTable[[#This Row],[Faktisk res]]/LayTable[[#This Row],[Total inns]],"")</f>
        <v/>
      </c>
      <c r="Z261" s="47">
        <f>(LayTable[[#This Row],[BookieInnsats]]*LayTable[[#This Row],[BookieOdds]]-LayTable[[#This Row],[BookieInnsats]])*(1-LayTable[[#This Row],[C% Bookie]])</f>
        <v>0</v>
      </c>
      <c r="AA261" s="43">
        <f>LayTable[[#This Row],[LayInnsats]]*(1-LayTable[[#This Row],[C% Lay]])</f>
        <v>0</v>
      </c>
      <c r="AB261" s="43" t="str">
        <f>IFERROR(IF(LayTable[[#This Row],[Sport]]="",AB260,LayTable[[#This Row],[Faktisk res]]+AB260),"")</f>
        <v/>
      </c>
      <c r="AC261" s="43">
        <f>(LayTable[[#This Row],[BackWin-Commission]]+LayTable[[#This Row],[BookieInnsats]])</f>
        <v>0</v>
      </c>
      <c r="AD261" s="43" t="e">
        <f>(LayTable[[#This Row],[LayWin-Commission]])+LayTable[[#This Row],[LayLiability]]</f>
        <v>#VALUE!</v>
      </c>
      <c r="AE261" s="181"/>
      <c r="AF261" s="183"/>
    </row>
    <row r="262" spans="1:32">
      <c r="A262" s="183"/>
      <c r="B262" s="177"/>
      <c r="C262" s="178"/>
      <c r="D262" s="179"/>
      <c r="E262" s="178"/>
      <c r="F262" s="179"/>
      <c r="G262" s="183"/>
      <c r="H262" s="176"/>
      <c r="I262" s="180"/>
      <c r="J262" s="180"/>
      <c r="K262" s="181"/>
      <c r="L262" s="181"/>
      <c r="M262" s="44" t="str">
        <f>IF(LayTable[[#This Row],[Sport]]="","",LayTable[[#This Row],[LayInnsats]]*(LayTable[[#This Row],[LayOdds]]-1))</f>
        <v/>
      </c>
      <c r="N262" s="45" t="str">
        <f>IF(LayTable[[#This Row],[Sport]]="","",1/((1/LayTable[[#This Row],[BookieOdds]])+(1/((1/((1+((LayTable[[#This Row],[LayOdds]]-1)*(1+LayTable[[#This Row],[C% Lay]])))-1))+1)))-1)</f>
        <v/>
      </c>
      <c r="Q262" s="46" t="str">
        <f>IF(LayTable[[#This Row],[Sport]]="","",LayTable[[#This Row],[BookieInnsats]]+LayTable[[#This Row],[LayLiability]])</f>
        <v/>
      </c>
      <c r="R2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2" s="47" t="str">
        <f>IF(LayTable[[#This Row],[Utfall bookie]]="","",LayTable[[#This Row],[WBABack]]+LayTable[[#This Row],[WBALay]]-LayTable[[#This Row],[Total inns]])</f>
        <v/>
      </c>
      <c r="U2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2" s="48" t="str">
        <f>IFERROR(IF(LayTable[[#This Row],[Total inns]]="","",LayTable[[#This Row],[Rback]]/LayTable[[#This Row],[Total inns]]),"")</f>
        <v/>
      </c>
      <c r="X262" s="48" t="str">
        <f>IFERROR(IF(LayTable[[#This Row],[Total inns]]="","",LayTable[[#This Row],[Rlay]]/LayTable[[#This Row],[Total inns]]),"")</f>
        <v/>
      </c>
      <c r="Y262" s="48" t="str">
        <f>IFERROR(LayTable[[#This Row],[Faktisk res]]/LayTable[[#This Row],[Total inns]],"")</f>
        <v/>
      </c>
      <c r="Z262" s="47">
        <f>(LayTable[[#This Row],[BookieInnsats]]*LayTable[[#This Row],[BookieOdds]]-LayTable[[#This Row],[BookieInnsats]])*(1-LayTable[[#This Row],[C% Bookie]])</f>
        <v>0</v>
      </c>
      <c r="AA262" s="43">
        <f>LayTable[[#This Row],[LayInnsats]]*(1-LayTable[[#This Row],[C% Lay]])</f>
        <v>0</v>
      </c>
      <c r="AB262" s="43" t="str">
        <f>IFERROR(IF(LayTable[[#This Row],[Sport]]="",AB261,LayTable[[#This Row],[Faktisk res]]+AB261),"")</f>
        <v/>
      </c>
      <c r="AC262" s="43">
        <f>(LayTable[[#This Row],[BackWin-Commission]]+LayTable[[#This Row],[BookieInnsats]])</f>
        <v>0</v>
      </c>
      <c r="AD262" s="43" t="e">
        <f>(LayTable[[#This Row],[LayWin-Commission]])+LayTable[[#This Row],[LayLiability]]</f>
        <v>#VALUE!</v>
      </c>
      <c r="AE262" s="181"/>
      <c r="AF262" s="183"/>
    </row>
    <row r="263" spans="1:32">
      <c r="A263" s="183"/>
      <c r="B263" s="177"/>
      <c r="C263" s="178"/>
      <c r="D263" s="179"/>
      <c r="E263" s="178"/>
      <c r="F263" s="179"/>
      <c r="G263" s="183"/>
      <c r="H263" s="176"/>
      <c r="I263" s="180"/>
      <c r="J263" s="180"/>
      <c r="K263" s="181"/>
      <c r="L263" s="181"/>
      <c r="M263" s="44" t="str">
        <f>IF(LayTable[[#This Row],[Sport]]="","",LayTable[[#This Row],[LayInnsats]]*(LayTable[[#This Row],[LayOdds]]-1))</f>
        <v/>
      </c>
      <c r="N263" s="45" t="str">
        <f>IF(LayTable[[#This Row],[Sport]]="","",1/((1/LayTable[[#This Row],[BookieOdds]])+(1/((1/((1+((LayTable[[#This Row],[LayOdds]]-1)*(1+LayTable[[#This Row],[C% Lay]])))-1))+1)))-1)</f>
        <v/>
      </c>
      <c r="Q263" s="46" t="str">
        <f>IF(LayTable[[#This Row],[Sport]]="","",LayTable[[#This Row],[BookieInnsats]]+LayTable[[#This Row],[LayLiability]])</f>
        <v/>
      </c>
      <c r="R2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3" s="47" t="str">
        <f>IF(LayTable[[#This Row],[Utfall bookie]]="","",LayTable[[#This Row],[WBABack]]+LayTable[[#This Row],[WBALay]]-LayTable[[#This Row],[Total inns]])</f>
        <v/>
      </c>
      <c r="U2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3" s="48" t="str">
        <f>IFERROR(IF(LayTable[[#This Row],[Total inns]]="","",LayTable[[#This Row],[Rback]]/LayTable[[#This Row],[Total inns]]),"")</f>
        <v/>
      </c>
      <c r="X263" s="48" t="str">
        <f>IFERROR(IF(LayTable[[#This Row],[Total inns]]="","",LayTable[[#This Row],[Rlay]]/LayTable[[#This Row],[Total inns]]),"")</f>
        <v/>
      </c>
      <c r="Y263" s="48" t="str">
        <f>IFERROR(LayTable[[#This Row],[Faktisk res]]/LayTable[[#This Row],[Total inns]],"")</f>
        <v/>
      </c>
      <c r="Z263" s="47">
        <f>(LayTable[[#This Row],[BookieInnsats]]*LayTable[[#This Row],[BookieOdds]]-LayTable[[#This Row],[BookieInnsats]])*(1-LayTable[[#This Row],[C% Bookie]])</f>
        <v>0</v>
      </c>
      <c r="AA263" s="43">
        <f>LayTable[[#This Row],[LayInnsats]]*(1-LayTable[[#This Row],[C% Lay]])</f>
        <v>0</v>
      </c>
      <c r="AB263" s="43" t="str">
        <f>IFERROR(IF(LayTable[[#This Row],[Sport]]="",AB262,LayTable[[#This Row],[Faktisk res]]+AB262),"")</f>
        <v/>
      </c>
      <c r="AC263" s="43">
        <f>(LayTable[[#This Row],[BackWin-Commission]]+LayTable[[#This Row],[BookieInnsats]])</f>
        <v>0</v>
      </c>
      <c r="AD263" s="43" t="e">
        <f>(LayTable[[#This Row],[LayWin-Commission]])+LayTable[[#This Row],[LayLiability]]</f>
        <v>#VALUE!</v>
      </c>
      <c r="AE263" s="181"/>
      <c r="AF263" s="183"/>
    </row>
    <row r="264" spans="1:32">
      <c r="A264" s="183"/>
      <c r="B264" s="177"/>
      <c r="C264" s="178"/>
      <c r="D264" s="251"/>
      <c r="E264" s="178"/>
      <c r="F264" s="251"/>
      <c r="G264" s="183"/>
      <c r="H264" s="38"/>
      <c r="I264" s="42"/>
      <c r="J264" s="42"/>
      <c r="K264" s="43"/>
      <c r="L264" s="181"/>
      <c r="M264" s="44" t="str">
        <f>IF(LayTable[[#This Row],[Sport]]="","",LayTable[[#This Row],[LayInnsats]]*(LayTable[[#This Row],[LayOdds]]-1))</f>
        <v/>
      </c>
      <c r="N264" s="45" t="str">
        <f>IF(LayTable[[#This Row],[Sport]]="","",1/((1/LayTable[[#This Row],[BookieOdds]])+(1/((1/((1+((LayTable[[#This Row],[LayOdds]]-1)*(1+LayTable[[#This Row],[C% Lay]])))-1))+1)))-1)</f>
        <v/>
      </c>
      <c r="Q264" s="46" t="str">
        <f>IF(LayTable[[#This Row],[Sport]]="","",LayTable[[#This Row],[BookieInnsats]]+LayTable[[#This Row],[LayLiability]])</f>
        <v/>
      </c>
      <c r="R2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4" s="47" t="str">
        <f>IF(LayTable[[#This Row],[Utfall bookie]]="","",LayTable[[#This Row],[WBABack]]+LayTable[[#This Row],[WBALay]]-LayTable[[#This Row],[Total inns]])</f>
        <v/>
      </c>
      <c r="U2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4" s="48" t="str">
        <f>IFERROR(IF(LayTable[[#This Row],[Total inns]]="","",LayTable[[#This Row],[Rback]]/LayTable[[#This Row],[Total inns]]),"")</f>
        <v/>
      </c>
      <c r="X264" s="48" t="str">
        <f>IFERROR(IF(LayTable[[#This Row],[Total inns]]="","",LayTable[[#This Row],[Rlay]]/LayTable[[#This Row],[Total inns]]),"")</f>
        <v/>
      </c>
      <c r="Y264" s="48" t="str">
        <f>IFERROR(LayTable[[#This Row],[Faktisk res]]/LayTable[[#This Row],[Total inns]],"")</f>
        <v/>
      </c>
      <c r="Z264" s="47">
        <f>(LayTable[[#This Row],[BookieInnsats]]*LayTable[[#This Row],[BookieOdds]]-LayTable[[#This Row],[BookieInnsats]])*(1-LayTable[[#This Row],[C% Bookie]])</f>
        <v>0</v>
      </c>
      <c r="AA264" s="43">
        <f>LayTable[[#This Row],[LayInnsats]]*(1-LayTable[[#This Row],[C% Lay]])</f>
        <v>0</v>
      </c>
      <c r="AB264" s="43" t="str">
        <f>IFERROR(IF(LayTable[[#This Row],[Sport]]="",AB263,LayTable[[#This Row],[Faktisk res]]+AB263),"")</f>
        <v/>
      </c>
      <c r="AC264" s="43">
        <f>(LayTable[[#This Row],[BackWin-Commission]]+LayTable[[#This Row],[BookieInnsats]])</f>
        <v>0</v>
      </c>
      <c r="AD264" s="43" t="e">
        <f>(LayTable[[#This Row],[LayWin-Commission]])+LayTable[[#This Row],[LayLiability]]</f>
        <v>#VALUE!</v>
      </c>
      <c r="AE264" s="248"/>
      <c r="AF264" s="183"/>
    </row>
    <row r="265" spans="1:32">
      <c r="A265" s="183"/>
      <c r="B265" s="177"/>
      <c r="C265" s="178"/>
      <c r="D265" s="251"/>
      <c r="E265" s="178"/>
      <c r="F265" s="251"/>
      <c r="G265" s="183"/>
      <c r="H265" s="38"/>
      <c r="I265" s="42"/>
      <c r="J265" s="42"/>
      <c r="K265" s="43"/>
      <c r="L265" s="181"/>
      <c r="M265" s="44" t="str">
        <f>IF(LayTable[[#This Row],[Sport]]="","",LayTable[[#This Row],[LayInnsats]]*(LayTable[[#This Row],[LayOdds]]-1))</f>
        <v/>
      </c>
      <c r="N265" s="45" t="str">
        <f>IF(LayTable[[#This Row],[Sport]]="","",1/((1/LayTable[[#This Row],[BookieOdds]])+(1/((1/((1+((LayTable[[#This Row],[LayOdds]]-1)*(1+LayTable[[#This Row],[C% Lay]])))-1))+1)))-1)</f>
        <v/>
      </c>
      <c r="Q265" s="46" t="str">
        <f>IF(LayTable[[#This Row],[Sport]]="","",LayTable[[#This Row],[BookieInnsats]]+LayTable[[#This Row],[LayLiability]])</f>
        <v/>
      </c>
      <c r="R2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5" s="47" t="str">
        <f>IF(LayTable[[#This Row],[Utfall bookie]]="","",LayTable[[#This Row],[WBABack]]+LayTable[[#This Row],[WBALay]]-LayTable[[#This Row],[Total inns]])</f>
        <v/>
      </c>
      <c r="U2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5" s="48" t="str">
        <f>IFERROR(IF(LayTable[[#This Row],[Total inns]]="","",LayTable[[#This Row],[Rback]]/LayTable[[#This Row],[Total inns]]),"")</f>
        <v/>
      </c>
      <c r="X265" s="48" t="str">
        <f>IFERROR(IF(LayTable[[#This Row],[Total inns]]="","",LayTable[[#This Row],[Rlay]]/LayTable[[#This Row],[Total inns]]),"")</f>
        <v/>
      </c>
      <c r="Y265" s="48" t="str">
        <f>IFERROR(LayTable[[#This Row],[Faktisk res]]/LayTable[[#This Row],[Total inns]],"")</f>
        <v/>
      </c>
      <c r="Z265" s="47">
        <f>(LayTable[[#This Row],[BookieInnsats]]*LayTable[[#This Row],[BookieOdds]]-LayTable[[#This Row],[BookieInnsats]])*(1-LayTable[[#This Row],[C% Bookie]])</f>
        <v>0</v>
      </c>
      <c r="AA265" s="43">
        <f>LayTable[[#This Row],[LayInnsats]]*(1-LayTable[[#This Row],[C% Lay]])</f>
        <v>0</v>
      </c>
      <c r="AB265" s="43" t="str">
        <f>IFERROR(IF(LayTable[[#This Row],[Sport]]="",AB264,LayTable[[#This Row],[Faktisk res]]+AB264),"")</f>
        <v/>
      </c>
      <c r="AC265" s="43">
        <f>(LayTable[[#This Row],[BackWin-Commission]]+LayTable[[#This Row],[BookieInnsats]])</f>
        <v>0</v>
      </c>
      <c r="AD265" s="43" t="e">
        <f>(LayTable[[#This Row],[LayWin-Commission]])+LayTable[[#This Row],[LayLiability]]</f>
        <v>#VALUE!</v>
      </c>
      <c r="AE265" s="181"/>
      <c r="AF265" s="183"/>
    </row>
    <row r="266" spans="1:32">
      <c r="A266" s="183"/>
      <c r="B266" s="177"/>
      <c r="C266" s="178"/>
      <c r="D266" s="179"/>
      <c r="E266" s="178"/>
      <c r="F266" s="179"/>
      <c r="G266" s="183"/>
      <c r="H266" s="38"/>
      <c r="I266" s="42"/>
      <c r="J266" s="42"/>
      <c r="K266" s="43"/>
      <c r="L266" s="181"/>
      <c r="M266" s="44" t="str">
        <f>IF(LayTable[[#This Row],[Sport]]="","",LayTable[[#This Row],[LayInnsats]]*(LayTable[[#This Row],[LayOdds]]-1))</f>
        <v/>
      </c>
      <c r="N266" s="45" t="str">
        <f>IF(LayTable[[#This Row],[Sport]]="","",1/((1/LayTable[[#This Row],[BookieOdds]])+(1/((1/((1+((LayTable[[#This Row],[LayOdds]]-1)*(1+LayTable[[#This Row],[C% Lay]])))-1))+1)))-1)</f>
        <v/>
      </c>
      <c r="Q266" s="46" t="str">
        <f>IF(LayTable[[#This Row],[Sport]]="","",LayTable[[#This Row],[BookieInnsats]]+LayTable[[#This Row],[LayLiability]])</f>
        <v/>
      </c>
      <c r="R2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6" s="47" t="str">
        <f>IF(LayTable[[#This Row],[Utfall bookie]]="","",LayTable[[#This Row],[WBABack]]+LayTable[[#This Row],[WBALay]]-LayTable[[#This Row],[Total inns]])</f>
        <v/>
      </c>
      <c r="U2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6" s="48" t="str">
        <f>IFERROR(IF(LayTable[[#This Row],[Total inns]]="","",LayTable[[#This Row],[Rback]]/LayTable[[#This Row],[Total inns]]),"")</f>
        <v/>
      </c>
      <c r="X266" s="48" t="str">
        <f>IFERROR(IF(LayTable[[#This Row],[Total inns]]="","",LayTable[[#This Row],[Rlay]]/LayTable[[#This Row],[Total inns]]),"")</f>
        <v/>
      </c>
      <c r="Y266" s="48" t="str">
        <f>IFERROR(LayTable[[#This Row],[Faktisk res]]/LayTable[[#This Row],[Total inns]],"")</f>
        <v/>
      </c>
      <c r="Z266" s="47">
        <f>(LayTable[[#This Row],[BookieInnsats]]*LayTable[[#This Row],[BookieOdds]]-LayTable[[#This Row],[BookieInnsats]])*(1-LayTable[[#This Row],[C% Bookie]])</f>
        <v>0</v>
      </c>
      <c r="AA266" s="43">
        <f>LayTable[[#This Row],[LayInnsats]]*(1-LayTable[[#This Row],[C% Lay]])</f>
        <v>0</v>
      </c>
      <c r="AB266" s="43" t="str">
        <f>IFERROR(IF(LayTable[[#This Row],[Sport]]="",AB265,LayTable[[#This Row],[Faktisk res]]+AB265),"")</f>
        <v/>
      </c>
      <c r="AC266" s="43">
        <f>(LayTable[[#This Row],[BackWin-Commission]]+LayTable[[#This Row],[BookieInnsats]])</f>
        <v>0</v>
      </c>
      <c r="AD266" s="43" t="e">
        <f>(LayTable[[#This Row],[LayWin-Commission]])+LayTable[[#This Row],[LayLiability]]</f>
        <v>#VALUE!</v>
      </c>
      <c r="AE266" s="43"/>
      <c r="AF266" s="183"/>
    </row>
    <row r="267" spans="1:32">
      <c r="A267" s="183"/>
      <c r="B267" s="177"/>
      <c r="C267" s="178"/>
      <c r="D267" s="179"/>
      <c r="E267" s="178"/>
      <c r="F267" s="179"/>
      <c r="G267" s="183"/>
      <c r="H267" s="38"/>
      <c r="I267" s="42"/>
      <c r="J267" s="42"/>
      <c r="K267" s="43"/>
      <c r="L267" s="43"/>
      <c r="M267" s="44" t="str">
        <f>IF(LayTable[[#This Row],[Sport]]="","",LayTable[[#This Row],[LayInnsats]]*(LayTable[[#This Row],[LayOdds]]-1))</f>
        <v/>
      </c>
      <c r="N267" s="45" t="str">
        <f>IF(LayTable[[#This Row],[Sport]]="","",1/((1/LayTable[[#This Row],[BookieOdds]])+(1/((1/((1+((LayTable[[#This Row],[LayOdds]]-1)*(1+LayTable[[#This Row],[C% Lay]])))-1))+1)))-1)</f>
        <v/>
      </c>
      <c r="Q267" s="46" t="str">
        <f>IF(LayTable[[#This Row],[Sport]]="","",LayTable[[#This Row],[BookieInnsats]]+LayTable[[#This Row],[LayLiability]])</f>
        <v/>
      </c>
      <c r="R2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7" s="47" t="str">
        <f>IF(LayTable[[#This Row],[Utfall bookie]]="","",LayTable[[#This Row],[WBABack]]+LayTable[[#This Row],[WBALay]]-LayTable[[#This Row],[Total inns]])</f>
        <v/>
      </c>
      <c r="U2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7" s="48" t="str">
        <f>IFERROR(IF(LayTable[[#This Row],[Total inns]]="","",LayTable[[#This Row],[Rback]]/LayTable[[#This Row],[Total inns]]),"")</f>
        <v/>
      </c>
      <c r="X267" s="48" t="str">
        <f>IFERROR(IF(LayTable[[#This Row],[Total inns]]="","",LayTable[[#This Row],[Rlay]]/LayTable[[#This Row],[Total inns]]),"")</f>
        <v/>
      </c>
      <c r="Y267" s="48" t="str">
        <f>IFERROR(LayTable[[#This Row],[Faktisk res]]/LayTable[[#This Row],[Total inns]],"")</f>
        <v/>
      </c>
      <c r="Z267" s="47">
        <f>(LayTable[[#This Row],[BookieInnsats]]*LayTable[[#This Row],[BookieOdds]]-LayTable[[#This Row],[BookieInnsats]])*(1-LayTable[[#This Row],[C% Bookie]])</f>
        <v>0</v>
      </c>
      <c r="AA267" s="43">
        <f>LayTable[[#This Row],[LayInnsats]]*(1-LayTable[[#This Row],[C% Lay]])</f>
        <v>0</v>
      </c>
      <c r="AB267" s="43" t="str">
        <f>IFERROR(IF(LayTable[[#This Row],[Sport]]="",AB266,LayTable[[#This Row],[Faktisk res]]+AB266),"")</f>
        <v/>
      </c>
      <c r="AC267" s="43">
        <f>(LayTable[[#This Row],[BackWin-Commission]]+LayTable[[#This Row],[BookieInnsats]])</f>
        <v>0</v>
      </c>
      <c r="AD267" s="43" t="e">
        <f>(LayTable[[#This Row],[LayWin-Commission]])+LayTable[[#This Row],[LayLiability]]</f>
        <v>#VALUE!</v>
      </c>
      <c r="AE267" s="43"/>
      <c r="AF267" s="183"/>
    </row>
    <row r="268" spans="1:32">
      <c r="A268" s="183"/>
      <c r="B268" s="177"/>
      <c r="C268" s="178"/>
      <c r="D268" s="179"/>
      <c r="E268" s="178"/>
      <c r="F268" s="179"/>
      <c r="G268" s="183"/>
      <c r="H268" s="38"/>
      <c r="I268" s="42"/>
      <c r="J268" s="42"/>
      <c r="K268" s="43"/>
      <c r="L268" s="43"/>
      <c r="M268" s="44" t="str">
        <f>IF(LayTable[[#This Row],[Sport]]="","",LayTable[[#This Row],[LayInnsats]]*(LayTable[[#This Row],[LayOdds]]-1))</f>
        <v/>
      </c>
      <c r="N268" s="45" t="str">
        <f>IF(LayTable[[#This Row],[Sport]]="","",1/((1/LayTable[[#This Row],[BookieOdds]])+(1/((1/((1+((LayTable[[#This Row],[LayOdds]]-1)*(1+LayTable[[#This Row],[C% Lay]])))-1))+1)))-1)</f>
        <v/>
      </c>
      <c r="Q268" s="46" t="str">
        <f>IF(LayTable[[#This Row],[Sport]]="","",LayTable[[#This Row],[BookieInnsats]]+LayTable[[#This Row],[LayLiability]])</f>
        <v/>
      </c>
      <c r="R2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8" s="47" t="str">
        <f>IF(LayTable[[#This Row],[Utfall bookie]]="","",LayTable[[#This Row],[WBABack]]+LayTable[[#This Row],[WBALay]]-LayTable[[#This Row],[Total inns]])</f>
        <v/>
      </c>
      <c r="U2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8" s="48" t="str">
        <f>IFERROR(IF(LayTable[[#This Row],[Total inns]]="","",LayTable[[#This Row],[Rback]]/LayTable[[#This Row],[Total inns]]),"")</f>
        <v/>
      </c>
      <c r="X268" s="48" t="str">
        <f>IFERROR(IF(LayTable[[#This Row],[Total inns]]="","",LayTable[[#This Row],[Rlay]]/LayTable[[#This Row],[Total inns]]),"")</f>
        <v/>
      </c>
      <c r="Y268" s="48" t="str">
        <f>IFERROR(LayTable[[#This Row],[Faktisk res]]/LayTable[[#This Row],[Total inns]],"")</f>
        <v/>
      </c>
      <c r="Z268" s="47">
        <f>(LayTable[[#This Row],[BookieInnsats]]*LayTable[[#This Row],[BookieOdds]]-LayTable[[#This Row],[BookieInnsats]])*(1-LayTable[[#This Row],[C% Bookie]])</f>
        <v>0</v>
      </c>
      <c r="AA268" s="43">
        <f>LayTable[[#This Row],[LayInnsats]]*(1-LayTable[[#This Row],[C% Lay]])</f>
        <v>0</v>
      </c>
      <c r="AB268" s="43" t="str">
        <f>IFERROR(IF(LayTable[[#This Row],[Sport]]="",AB267,LayTable[[#This Row],[Faktisk res]]+AB267),"")</f>
        <v/>
      </c>
      <c r="AC268" s="43">
        <f>(LayTable[[#This Row],[BackWin-Commission]]+LayTable[[#This Row],[BookieInnsats]])</f>
        <v>0</v>
      </c>
      <c r="AD268" s="43" t="e">
        <f>(LayTable[[#This Row],[LayWin-Commission]])+LayTable[[#This Row],[LayLiability]]</f>
        <v>#VALUE!</v>
      </c>
      <c r="AE268" s="43"/>
      <c r="AF268" s="183"/>
    </row>
    <row r="269" spans="1:32">
      <c r="A269" s="183"/>
      <c r="B269" s="177"/>
      <c r="C269" s="178"/>
      <c r="D269" s="179"/>
      <c r="E269" s="178"/>
      <c r="F269" s="179"/>
      <c r="G269" s="183"/>
      <c r="H269" s="38"/>
      <c r="I269" s="42"/>
      <c r="J269" s="42"/>
      <c r="K269" s="43"/>
      <c r="L269" s="43"/>
      <c r="M269" s="44" t="str">
        <f>IF(LayTable[[#This Row],[Sport]]="","",LayTable[[#This Row],[LayInnsats]]*(LayTable[[#This Row],[LayOdds]]-1))</f>
        <v/>
      </c>
      <c r="N269" s="45" t="str">
        <f>IF(LayTable[[#This Row],[Sport]]="","",1/((1/LayTable[[#This Row],[BookieOdds]])+(1/((1/((1+((LayTable[[#This Row],[LayOdds]]-1)*(1+LayTable[[#This Row],[C% Lay]])))-1))+1)))-1)</f>
        <v/>
      </c>
      <c r="Q269" s="46" t="str">
        <f>IF(LayTable[[#This Row],[Sport]]="","",LayTable[[#This Row],[BookieInnsats]]+LayTable[[#This Row],[LayLiability]])</f>
        <v/>
      </c>
      <c r="R2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69" s="47" t="str">
        <f>IF(LayTable[[#This Row],[Utfall bookie]]="","",LayTable[[#This Row],[WBABack]]+LayTable[[#This Row],[WBALay]]-LayTable[[#This Row],[Total inns]])</f>
        <v/>
      </c>
      <c r="U2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69" s="48" t="str">
        <f>IFERROR(IF(LayTable[[#This Row],[Total inns]]="","",LayTable[[#This Row],[Rback]]/LayTable[[#This Row],[Total inns]]),"")</f>
        <v/>
      </c>
      <c r="X269" s="48" t="str">
        <f>IFERROR(IF(LayTable[[#This Row],[Total inns]]="","",LayTable[[#This Row],[Rlay]]/LayTable[[#This Row],[Total inns]]),"")</f>
        <v/>
      </c>
      <c r="Y269" s="48" t="str">
        <f>IFERROR(LayTable[[#This Row],[Faktisk res]]/LayTable[[#This Row],[Total inns]],"")</f>
        <v/>
      </c>
      <c r="Z269" s="47">
        <f>(LayTable[[#This Row],[BookieInnsats]]*LayTable[[#This Row],[BookieOdds]]-LayTable[[#This Row],[BookieInnsats]])*(1-LayTable[[#This Row],[C% Bookie]])</f>
        <v>0</v>
      </c>
      <c r="AA269" s="43">
        <f>LayTable[[#This Row],[LayInnsats]]*(1-LayTable[[#This Row],[C% Lay]])</f>
        <v>0</v>
      </c>
      <c r="AB269" s="43" t="str">
        <f>IFERROR(IF(LayTable[[#This Row],[Sport]]="",AB268,LayTable[[#This Row],[Faktisk res]]+AB268),"")</f>
        <v/>
      </c>
      <c r="AC269" s="43">
        <f>(LayTable[[#This Row],[BackWin-Commission]]+LayTable[[#This Row],[BookieInnsats]])</f>
        <v>0</v>
      </c>
      <c r="AD269" s="43" t="e">
        <f>(LayTable[[#This Row],[LayWin-Commission]])+LayTable[[#This Row],[LayLiability]]</f>
        <v>#VALUE!</v>
      </c>
      <c r="AE269" s="43"/>
      <c r="AF269" s="183"/>
    </row>
    <row r="270" spans="1:32">
      <c r="A270" s="183"/>
      <c r="B270" s="39"/>
      <c r="C270" s="40"/>
      <c r="D270" s="41"/>
      <c r="E270" s="40"/>
      <c r="F270" s="41"/>
      <c r="G270" s="183"/>
      <c r="H270" s="38"/>
      <c r="I270" s="42"/>
      <c r="J270" s="42"/>
      <c r="K270" s="43"/>
      <c r="L270" s="43"/>
      <c r="M270" s="44" t="str">
        <f>IF(LayTable[[#This Row],[Sport]]="","",LayTable[[#This Row],[LayInnsats]]*(LayTable[[#This Row],[LayOdds]]-1))</f>
        <v/>
      </c>
      <c r="N270" s="45" t="str">
        <f>IF(LayTable[[#This Row],[Sport]]="","",1/((1/LayTable[[#This Row],[BookieOdds]])+(1/((1/((1+((LayTable[[#This Row],[LayOdds]]-1)*(1+LayTable[[#This Row],[C% Lay]])))-1))+1)))-1)</f>
        <v/>
      </c>
      <c r="Q270" s="46" t="str">
        <f>IF(LayTable[[#This Row],[Sport]]="","",LayTable[[#This Row],[BookieInnsats]]+LayTable[[#This Row],[LayLiability]])</f>
        <v/>
      </c>
      <c r="R2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0" s="47" t="str">
        <f>IF(LayTable[[#This Row],[Utfall bookie]]="","",LayTable[[#This Row],[WBABack]]+LayTable[[#This Row],[WBALay]]-LayTable[[#This Row],[Total inns]])</f>
        <v/>
      </c>
      <c r="U2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0" s="48" t="str">
        <f>IFERROR(IF(LayTable[[#This Row],[Total inns]]="","",LayTable[[#This Row],[Rback]]/LayTable[[#This Row],[Total inns]]),"")</f>
        <v/>
      </c>
      <c r="X270" s="48" t="str">
        <f>IFERROR(IF(LayTable[[#This Row],[Total inns]]="","",LayTable[[#This Row],[Rlay]]/LayTable[[#This Row],[Total inns]]),"")</f>
        <v/>
      </c>
      <c r="Y270" s="48" t="str">
        <f>IFERROR(LayTable[[#This Row],[Faktisk res]]/LayTable[[#This Row],[Total inns]],"")</f>
        <v/>
      </c>
      <c r="Z270" s="47">
        <f>(LayTable[[#This Row],[BookieInnsats]]*LayTable[[#This Row],[BookieOdds]]-LayTable[[#This Row],[BookieInnsats]])*(1-LayTable[[#This Row],[C% Bookie]])</f>
        <v>0</v>
      </c>
      <c r="AA270" s="43">
        <f>LayTable[[#This Row],[LayInnsats]]*(1-LayTable[[#This Row],[C% Lay]])</f>
        <v>0</v>
      </c>
      <c r="AB270" s="43" t="str">
        <f>IFERROR(IF(LayTable[[#This Row],[Sport]]="",AB269,LayTable[[#This Row],[Faktisk res]]+AB269),"")</f>
        <v/>
      </c>
      <c r="AC270" s="43">
        <f>(LayTable[[#This Row],[BackWin-Commission]]+LayTable[[#This Row],[BookieInnsats]])</f>
        <v>0</v>
      </c>
      <c r="AD270" s="43" t="e">
        <f>(LayTable[[#This Row],[LayWin-Commission]])+LayTable[[#This Row],[LayLiability]]</f>
        <v>#VALUE!</v>
      </c>
      <c r="AE270" s="43"/>
      <c r="AF270" s="183"/>
    </row>
    <row r="271" spans="1:32">
      <c r="A271" s="183"/>
      <c r="B271" s="39"/>
      <c r="C271" s="40"/>
      <c r="D271" s="41"/>
      <c r="E271" s="40"/>
      <c r="F271" s="41"/>
      <c r="G271" s="183"/>
      <c r="H271" s="38"/>
      <c r="I271" s="42"/>
      <c r="J271" s="42"/>
      <c r="K271" s="43"/>
      <c r="L271" s="43"/>
      <c r="M271" s="44" t="str">
        <f>IF(LayTable[[#This Row],[Sport]]="","",LayTable[[#This Row],[LayInnsats]]*(LayTable[[#This Row],[LayOdds]]-1))</f>
        <v/>
      </c>
      <c r="N271" s="45" t="str">
        <f>IF(LayTable[[#This Row],[Sport]]="","",1/((1/LayTable[[#This Row],[BookieOdds]])+(1/((1/((1+((LayTable[[#This Row],[LayOdds]]-1)*(1+LayTable[[#This Row],[C% Lay]])))-1))+1)))-1)</f>
        <v/>
      </c>
      <c r="Q271" s="46" t="str">
        <f>IF(LayTable[[#This Row],[Sport]]="","",LayTable[[#This Row],[BookieInnsats]]+LayTable[[#This Row],[LayLiability]])</f>
        <v/>
      </c>
      <c r="R2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1" s="47" t="str">
        <f>IF(LayTable[[#This Row],[Utfall bookie]]="","",LayTable[[#This Row],[WBABack]]+LayTable[[#This Row],[WBALay]]-LayTable[[#This Row],[Total inns]])</f>
        <v/>
      </c>
      <c r="U2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1" s="48" t="str">
        <f>IFERROR(IF(LayTable[[#This Row],[Total inns]]="","",LayTable[[#This Row],[Rback]]/LayTable[[#This Row],[Total inns]]),"")</f>
        <v/>
      </c>
      <c r="X271" s="48" t="str">
        <f>IFERROR(IF(LayTable[[#This Row],[Total inns]]="","",LayTable[[#This Row],[Rlay]]/LayTable[[#This Row],[Total inns]]),"")</f>
        <v/>
      </c>
      <c r="Y271" s="48" t="str">
        <f>IFERROR(LayTable[[#This Row],[Faktisk res]]/LayTable[[#This Row],[Total inns]],"")</f>
        <v/>
      </c>
      <c r="Z271" s="47">
        <f>(LayTable[[#This Row],[BookieInnsats]]*LayTable[[#This Row],[BookieOdds]]-LayTable[[#This Row],[BookieInnsats]])*(1-LayTable[[#This Row],[C% Bookie]])</f>
        <v>0</v>
      </c>
      <c r="AA271" s="43">
        <f>LayTable[[#This Row],[LayInnsats]]*(1-LayTable[[#This Row],[C% Lay]])</f>
        <v>0</v>
      </c>
      <c r="AB271" s="43" t="str">
        <f>IFERROR(IF(LayTable[[#This Row],[Sport]]="",AB270,LayTable[[#This Row],[Faktisk res]]+AB270),"")</f>
        <v/>
      </c>
      <c r="AC271" s="43">
        <f>(LayTable[[#This Row],[BackWin-Commission]]+LayTable[[#This Row],[BookieInnsats]])</f>
        <v>0</v>
      </c>
      <c r="AD271" s="43" t="e">
        <f>(LayTable[[#This Row],[LayWin-Commission]])+LayTable[[#This Row],[LayLiability]]</f>
        <v>#VALUE!</v>
      </c>
      <c r="AE271" s="43"/>
      <c r="AF271" s="183"/>
    </row>
    <row r="272" spans="1:32">
      <c r="A272" s="183"/>
      <c r="B272" s="39"/>
      <c r="C272" s="40"/>
      <c r="D272" s="41"/>
      <c r="E272" s="40"/>
      <c r="F272" s="41"/>
      <c r="G272" s="183"/>
      <c r="H272" s="38"/>
      <c r="I272" s="42"/>
      <c r="J272" s="42"/>
      <c r="K272" s="43"/>
      <c r="L272" s="43"/>
      <c r="M272" s="44" t="str">
        <f>IF(LayTable[[#This Row],[Sport]]="","",LayTable[[#This Row],[LayInnsats]]*(LayTable[[#This Row],[LayOdds]]-1))</f>
        <v/>
      </c>
      <c r="N272" s="45" t="str">
        <f>IF(LayTable[[#This Row],[Sport]]="","",1/((1/LayTable[[#This Row],[BookieOdds]])+(1/((1/((1+((LayTable[[#This Row],[LayOdds]]-1)*(1+LayTable[[#This Row],[C% Lay]])))-1))+1)))-1)</f>
        <v/>
      </c>
      <c r="Q272" s="46" t="str">
        <f>IF(LayTable[[#This Row],[Sport]]="","",LayTable[[#This Row],[BookieInnsats]]+LayTable[[#This Row],[LayLiability]])</f>
        <v/>
      </c>
      <c r="R2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2" s="47" t="str">
        <f>IF(LayTable[[#This Row],[Utfall bookie]]="","",LayTable[[#This Row],[WBABack]]+LayTable[[#This Row],[WBALay]]-LayTable[[#This Row],[Total inns]])</f>
        <v/>
      </c>
      <c r="U2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2" s="48" t="str">
        <f>IFERROR(IF(LayTable[[#This Row],[Total inns]]="","",LayTable[[#This Row],[Rback]]/LayTable[[#This Row],[Total inns]]),"")</f>
        <v/>
      </c>
      <c r="X272" s="48" t="str">
        <f>IFERROR(IF(LayTable[[#This Row],[Total inns]]="","",LayTable[[#This Row],[Rlay]]/LayTable[[#This Row],[Total inns]]),"")</f>
        <v/>
      </c>
      <c r="Y272" s="48" t="str">
        <f>IFERROR(LayTable[[#This Row],[Faktisk res]]/LayTable[[#This Row],[Total inns]],"")</f>
        <v/>
      </c>
      <c r="Z272" s="47">
        <f>(LayTable[[#This Row],[BookieInnsats]]*LayTable[[#This Row],[BookieOdds]]-LayTable[[#This Row],[BookieInnsats]])*(1-LayTable[[#This Row],[C% Bookie]])</f>
        <v>0</v>
      </c>
      <c r="AA272" s="43">
        <f>LayTable[[#This Row],[LayInnsats]]*(1-LayTable[[#This Row],[C% Lay]])</f>
        <v>0</v>
      </c>
      <c r="AB272" s="43" t="str">
        <f>IFERROR(IF(LayTable[[#This Row],[Sport]]="",AB271,LayTable[[#This Row],[Faktisk res]]+AB271),"")</f>
        <v/>
      </c>
      <c r="AC272" s="43">
        <f>(LayTable[[#This Row],[BackWin-Commission]]+LayTable[[#This Row],[BookieInnsats]])</f>
        <v>0</v>
      </c>
      <c r="AD272" s="43" t="e">
        <f>(LayTable[[#This Row],[LayWin-Commission]])+LayTable[[#This Row],[LayLiability]]</f>
        <v>#VALUE!</v>
      </c>
      <c r="AE272" s="43"/>
      <c r="AF272" s="183"/>
    </row>
    <row r="273" spans="1:32">
      <c r="A273" s="183"/>
      <c r="B273" s="177"/>
      <c r="C273" s="178"/>
      <c r="D273" s="179"/>
      <c r="E273" s="178"/>
      <c r="F273" s="179"/>
      <c r="G273" s="183"/>
      <c r="H273" s="38"/>
      <c r="I273" s="42"/>
      <c r="J273" s="42"/>
      <c r="K273" s="43"/>
      <c r="L273" s="43"/>
      <c r="M273" s="44" t="str">
        <f>IF(LayTable[[#This Row],[Sport]]="","",LayTable[[#This Row],[LayInnsats]]*(LayTable[[#This Row],[LayOdds]]-1))</f>
        <v/>
      </c>
      <c r="N273" s="45" t="str">
        <f>IF(LayTable[[#This Row],[Sport]]="","",1/((1/LayTable[[#This Row],[BookieOdds]])+(1/((1/((1+((LayTable[[#This Row],[LayOdds]]-1)*(1+LayTable[[#This Row],[C% Lay]])))-1))+1)))-1)</f>
        <v/>
      </c>
      <c r="Q273" s="46" t="str">
        <f>IF(LayTable[[#This Row],[Sport]]="","",LayTable[[#This Row],[BookieInnsats]]+LayTable[[#This Row],[LayLiability]])</f>
        <v/>
      </c>
      <c r="R2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3" s="47" t="str">
        <f>IF(LayTable[[#This Row],[Utfall bookie]]="","",LayTable[[#This Row],[WBABack]]+LayTable[[#This Row],[WBALay]]-LayTable[[#This Row],[Total inns]])</f>
        <v/>
      </c>
      <c r="U2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3" s="48" t="str">
        <f>IFERROR(IF(LayTable[[#This Row],[Total inns]]="","",LayTable[[#This Row],[Rback]]/LayTable[[#This Row],[Total inns]]),"")</f>
        <v/>
      </c>
      <c r="X273" s="48" t="str">
        <f>IFERROR(IF(LayTable[[#This Row],[Total inns]]="","",LayTable[[#This Row],[Rlay]]/LayTable[[#This Row],[Total inns]]),"")</f>
        <v/>
      </c>
      <c r="Y273" s="48" t="str">
        <f>IFERROR(LayTable[[#This Row],[Faktisk res]]/LayTable[[#This Row],[Total inns]],"")</f>
        <v/>
      </c>
      <c r="Z273" s="47">
        <f>(LayTable[[#This Row],[BookieInnsats]]*LayTable[[#This Row],[BookieOdds]]-LayTable[[#This Row],[BookieInnsats]])*(1-LayTable[[#This Row],[C% Bookie]])</f>
        <v>0</v>
      </c>
      <c r="AA273" s="43">
        <f>LayTable[[#This Row],[LayInnsats]]*(1-LayTable[[#This Row],[C% Lay]])</f>
        <v>0</v>
      </c>
      <c r="AB273" s="43" t="str">
        <f>IFERROR(IF(LayTable[[#This Row],[Sport]]="",AB272,LayTable[[#This Row],[Faktisk res]]+AB272),"")</f>
        <v/>
      </c>
      <c r="AC273" s="43">
        <f>(LayTable[[#This Row],[BackWin-Commission]]+LayTable[[#This Row],[BookieInnsats]])</f>
        <v>0</v>
      </c>
      <c r="AD273" s="43" t="e">
        <f>(LayTable[[#This Row],[LayWin-Commission]])+LayTable[[#This Row],[LayLiability]]</f>
        <v>#VALUE!</v>
      </c>
      <c r="AE273" s="181"/>
      <c r="AF273" s="181"/>
    </row>
    <row r="274" spans="1:32">
      <c r="A274" s="183"/>
      <c r="B274" s="177"/>
      <c r="C274" s="178"/>
      <c r="D274" s="179"/>
      <c r="E274" s="178"/>
      <c r="F274" s="179"/>
      <c r="G274" s="183"/>
      <c r="H274" s="38"/>
      <c r="I274" s="42"/>
      <c r="J274" s="42"/>
      <c r="K274" s="43"/>
      <c r="L274" s="43"/>
      <c r="M274" s="44" t="str">
        <f>IF(LayTable[[#This Row],[Sport]]="","",LayTable[[#This Row],[LayInnsats]]*(LayTable[[#This Row],[LayOdds]]-1))</f>
        <v/>
      </c>
      <c r="N274" s="45" t="str">
        <f>IF(LayTable[[#This Row],[Sport]]="","",1/((1/LayTable[[#This Row],[BookieOdds]])+(1/((1/((1+((LayTable[[#This Row],[LayOdds]]-1)*(1+LayTable[[#This Row],[C% Lay]])))-1))+1)))-1)</f>
        <v/>
      </c>
      <c r="Q274" s="46" t="str">
        <f>IF(LayTable[[#This Row],[Sport]]="","",LayTable[[#This Row],[BookieInnsats]]+LayTable[[#This Row],[LayLiability]])</f>
        <v/>
      </c>
      <c r="R2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4" s="47" t="str">
        <f>IF(LayTable[[#This Row],[Utfall bookie]]="","",LayTable[[#This Row],[WBABack]]+LayTable[[#This Row],[WBALay]]-LayTable[[#This Row],[Total inns]])</f>
        <v/>
      </c>
      <c r="U2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4" s="48" t="str">
        <f>IFERROR(IF(LayTable[[#This Row],[Total inns]]="","",LayTable[[#This Row],[Rback]]/LayTable[[#This Row],[Total inns]]),"")</f>
        <v/>
      </c>
      <c r="X274" s="48" t="str">
        <f>IFERROR(IF(LayTable[[#This Row],[Total inns]]="","",LayTable[[#This Row],[Rlay]]/LayTable[[#This Row],[Total inns]]),"")</f>
        <v/>
      </c>
      <c r="Y274" s="48" t="str">
        <f>IFERROR(LayTable[[#This Row],[Faktisk res]]/LayTable[[#This Row],[Total inns]],"")</f>
        <v/>
      </c>
      <c r="Z274" s="47">
        <f>(LayTable[[#This Row],[BookieInnsats]]*LayTable[[#This Row],[BookieOdds]]-LayTable[[#This Row],[BookieInnsats]])*(1-LayTable[[#This Row],[C% Bookie]])</f>
        <v>0</v>
      </c>
      <c r="AA274" s="43">
        <f>LayTable[[#This Row],[LayInnsats]]*(1-LayTable[[#This Row],[C% Lay]])</f>
        <v>0</v>
      </c>
      <c r="AB274" s="43" t="str">
        <f>IFERROR(IF(LayTable[[#This Row],[Sport]]="",AB273,LayTable[[#This Row],[Faktisk res]]+AB273),"")</f>
        <v/>
      </c>
      <c r="AC274" s="43">
        <f>(LayTable[[#This Row],[BackWin-Commission]]+LayTable[[#This Row],[BookieInnsats]])</f>
        <v>0</v>
      </c>
      <c r="AD274" s="43" t="e">
        <f>(LayTable[[#This Row],[LayWin-Commission]])+LayTable[[#This Row],[LayLiability]]</f>
        <v>#VALUE!</v>
      </c>
      <c r="AE274" s="181"/>
      <c r="AF274" s="181"/>
    </row>
    <row r="275" spans="1:32">
      <c r="A275" s="183"/>
      <c r="B275" s="177"/>
      <c r="C275" s="178"/>
      <c r="D275" s="179"/>
      <c r="E275" s="178"/>
      <c r="F275" s="179"/>
      <c r="G275" s="183"/>
      <c r="H275" s="176"/>
      <c r="I275" s="180"/>
      <c r="J275" s="180"/>
      <c r="K275" s="43"/>
      <c r="L275" s="43"/>
      <c r="M275" s="44" t="str">
        <f>IF(LayTable[[#This Row],[Sport]]="","",LayTable[[#This Row],[LayInnsats]]*(LayTable[[#This Row],[LayOdds]]-1))</f>
        <v/>
      </c>
      <c r="N275" s="45" t="str">
        <f>IF(LayTable[[#This Row],[Sport]]="","",1/((1/LayTable[[#This Row],[BookieOdds]])+(1/((1/((1+((LayTable[[#This Row],[LayOdds]]-1)*(1+LayTable[[#This Row],[C% Lay]])))-1))+1)))-1)</f>
        <v/>
      </c>
      <c r="Q275" s="46" t="str">
        <f>IF(LayTable[[#This Row],[Sport]]="","",LayTable[[#This Row],[BookieInnsats]]+LayTable[[#This Row],[LayLiability]])</f>
        <v/>
      </c>
      <c r="R2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5" s="47" t="str">
        <f>IF(LayTable[[#This Row],[Utfall bookie]]="","",LayTable[[#This Row],[WBABack]]+LayTable[[#This Row],[WBALay]]-LayTable[[#This Row],[Total inns]])</f>
        <v/>
      </c>
      <c r="U2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5" s="48" t="str">
        <f>IFERROR(IF(LayTable[[#This Row],[Total inns]]="","",LayTable[[#This Row],[Rback]]/LayTable[[#This Row],[Total inns]]),"")</f>
        <v/>
      </c>
      <c r="X275" s="48" t="str">
        <f>IFERROR(IF(LayTable[[#This Row],[Total inns]]="","",LayTable[[#This Row],[Rlay]]/LayTable[[#This Row],[Total inns]]),"")</f>
        <v/>
      </c>
      <c r="Y275" s="48" t="str">
        <f>IFERROR(LayTable[[#This Row],[Faktisk res]]/LayTable[[#This Row],[Total inns]],"")</f>
        <v/>
      </c>
      <c r="Z275" s="47">
        <f>(LayTable[[#This Row],[BookieInnsats]]*LayTable[[#This Row],[BookieOdds]]-LayTable[[#This Row],[BookieInnsats]])*(1-LayTable[[#This Row],[C% Bookie]])</f>
        <v>0</v>
      </c>
      <c r="AA275" s="43">
        <f>LayTable[[#This Row],[LayInnsats]]*(1-LayTable[[#This Row],[C% Lay]])</f>
        <v>0</v>
      </c>
      <c r="AB275" s="43" t="str">
        <f>IFERROR(IF(LayTable[[#This Row],[Sport]]="",AB274,LayTable[[#This Row],[Faktisk res]]+AB274),"")</f>
        <v/>
      </c>
      <c r="AC275" s="43">
        <f>(LayTable[[#This Row],[BackWin-Commission]]+LayTable[[#This Row],[BookieInnsats]])</f>
        <v>0</v>
      </c>
      <c r="AD275" s="43" t="e">
        <f>(LayTable[[#This Row],[LayWin-Commission]])+LayTable[[#This Row],[LayLiability]]</f>
        <v>#VALUE!</v>
      </c>
      <c r="AE275" s="181"/>
      <c r="AF275" s="181"/>
    </row>
    <row r="276" spans="1:32">
      <c r="A276" s="183"/>
      <c r="B276" s="177"/>
      <c r="C276" s="178"/>
      <c r="D276" s="179"/>
      <c r="E276" s="178"/>
      <c r="F276" s="179"/>
      <c r="G276" s="183"/>
      <c r="H276" s="38"/>
      <c r="I276" s="42"/>
      <c r="J276" s="42"/>
      <c r="K276" s="43"/>
      <c r="L276" s="43"/>
      <c r="M276" s="44" t="str">
        <f>IF(LayTable[[#This Row],[Sport]]="","",LayTable[[#This Row],[LayInnsats]]*(LayTable[[#This Row],[LayOdds]]-1))</f>
        <v/>
      </c>
      <c r="N276" s="45" t="str">
        <f>IF(LayTable[[#This Row],[Sport]]="","",1/((1/LayTable[[#This Row],[BookieOdds]])+(1/((1/((1+((LayTable[[#This Row],[LayOdds]]-1)*(1+LayTable[[#This Row],[C% Lay]])))-1))+1)))-1)</f>
        <v/>
      </c>
      <c r="Q276" s="46" t="str">
        <f>IF(LayTable[[#This Row],[Sport]]="","",LayTable[[#This Row],[BookieInnsats]]+LayTable[[#This Row],[LayLiability]])</f>
        <v/>
      </c>
      <c r="R2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6" s="47" t="str">
        <f>IF(LayTable[[#This Row],[Utfall bookie]]="","",LayTable[[#This Row],[WBABack]]+LayTable[[#This Row],[WBALay]]-LayTable[[#This Row],[Total inns]])</f>
        <v/>
      </c>
      <c r="U2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6" s="48" t="str">
        <f>IFERROR(IF(LayTable[[#This Row],[Total inns]]="","",LayTable[[#This Row],[Rback]]/LayTable[[#This Row],[Total inns]]),"")</f>
        <v/>
      </c>
      <c r="X276" s="48" t="str">
        <f>IFERROR(IF(LayTable[[#This Row],[Total inns]]="","",LayTable[[#This Row],[Rlay]]/LayTable[[#This Row],[Total inns]]),"")</f>
        <v/>
      </c>
      <c r="Y276" s="48" t="str">
        <f>IFERROR(LayTable[[#This Row],[Faktisk res]]/LayTable[[#This Row],[Total inns]],"")</f>
        <v/>
      </c>
      <c r="Z276" s="47">
        <f>(LayTable[[#This Row],[BookieInnsats]]*LayTable[[#This Row],[BookieOdds]]-LayTable[[#This Row],[BookieInnsats]])*(1-LayTable[[#This Row],[C% Bookie]])</f>
        <v>0</v>
      </c>
      <c r="AA276" s="43">
        <f>LayTable[[#This Row],[LayInnsats]]*(1-LayTable[[#This Row],[C% Lay]])</f>
        <v>0</v>
      </c>
      <c r="AB276" s="43" t="str">
        <f>IFERROR(IF(LayTable[[#This Row],[Sport]]="",AB275,LayTable[[#This Row],[Faktisk res]]+AB275),"")</f>
        <v/>
      </c>
      <c r="AC276" s="43">
        <f>(LayTable[[#This Row],[BackWin-Commission]]+LayTable[[#This Row],[BookieInnsats]])</f>
        <v>0</v>
      </c>
      <c r="AD276" s="43" t="e">
        <f>(LayTable[[#This Row],[LayWin-Commission]])+LayTable[[#This Row],[LayLiability]]</f>
        <v>#VALUE!</v>
      </c>
      <c r="AE276" s="181"/>
      <c r="AF276" s="181"/>
    </row>
    <row r="277" spans="1:32">
      <c r="A277" s="84"/>
      <c r="B277" s="177"/>
      <c r="C277" s="40"/>
      <c r="D277" s="41"/>
      <c r="E277" s="40"/>
      <c r="F277" s="41"/>
      <c r="G277" s="183"/>
      <c r="H277" s="38"/>
      <c r="I277" s="42"/>
      <c r="J277" s="42"/>
      <c r="K277" s="43"/>
      <c r="L277" s="43"/>
      <c r="M277" s="44" t="str">
        <f>IF(LayTable[[#This Row],[Sport]]="","",LayTable[[#This Row],[LayInnsats]]*(LayTable[[#This Row],[LayOdds]]-1))</f>
        <v/>
      </c>
      <c r="N277" s="45" t="str">
        <f>IF(LayTable[[#This Row],[Sport]]="","",1/((1/LayTable[[#This Row],[BookieOdds]])+(1/((1/((1+((LayTable[[#This Row],[LayOdds]]-1)*(1+LayTable[[#This Row],[C% Lay]])))-1))+1)))-1)</f>
        <v/>
      </c>
      <c r="Q277" s="46" t="str">
        <f>IF(LayTable[[#This Row],[Sport]]="","",LayTable[[#This Row],[BookieInnsats]]+LayTable[[#This Row],[LayLiability]])</f>
        <v/>
      </c>
      <c r="R2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7" s="47" t="str">
        <f>IF(LayTable[[#This Row],[Utfall bookie]]="","",LayTable[[#This Row],[WBABack]]+LayTable[[#This Row],[WBALay]]-LayTable[[#This Row],[Total inns]])</f>
        <v/>
      </c>
      <c r="U2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7" s="48" t="str">
        <f>IFERROR(IF(LayTable[[#This Row],[Total inns]]="","",LayTable[[#This Row],[Rback]]/LayTable[[#This Row],[Total inns]]),"")</f>
        <v/>
      </c>
      <c r="X277" s="48" t="str">
        <f>IFERROR(IF(LayTable[[#This Row],[Total inns]]="","",LayTable[[#This Row],[Rlay]]/LayTable[[#This Row],[Total inns]]),"")</f>
        <v/>
      </c>
      <c r="Y277" s="48" t="str">
        <f>IFERROR(LayTable[[#This Row],[Faktisk res]]/LayTable[[#This Row],[Total inns]],"")</f>
        <v/>
      </c>
      <c r="Z277" s="47">
        <f>(LayTable[[#This Row],[BookieInnsats]]*LayTable[[#This Row],[BookieOdds]]-LayTable[[#This Row],[BookieInnsats]])*(1-LayTable[[#This Row],[C% Bookie]])</f>
        <v>0</v>
      </c>
      <c r="AA277" s="43">
        <f>LayTable[[#This Row],[LayInnsats]]*(1-LayTable[[#This Row],[C% Lay]])</f>
        <v>0</v>
      </c>
      <c r="AB277" s="43" t="str">
        <f>IFERROR(IF(LayTable[[#This Row],[Sport]]="",AB276,LayTable[[#This Row],[Faktisk res]]+AB276),"")</f>
        <v/>
      </c>
      <c r="AC277" s="43">
        <f>(LayTable[[#This Row],[BackWin-Commission]]+LayTable[[#This Row],[BookieInnsats]])</f>
        <v>0</v>
      </c>
      <c r="AD277" s="43" t="e">
        <f>(LayTable[[#This Row],[LayWin-Commission]])+LayTable[[#This Row],[LayLiability]]</f>
        <v>#VALUE!</v>
      </c>
      <c r="AE277" s="181"/>
      <c r="AF277" s="181"/>
    </row>
    <row r="278" spans="1:32">
      <c r="A278" s="84"/>
      <c r="B278" s="177"/>
      <c r="C278" s="40"/>
      <c r="D278" s="41"/>
      <c r="E278" s="40"/>
      <c r="F278" s="41"/>
      <c r="G278" s="183"/>
      <c r="H278" s="38"/>
      <c r="I278" s="42"/>
      <c r="J278" s="42"/>
      <c r="K278" s="43"/>
      <c r="L278" s="43"/>
      <c r="M278" s="44" t="str">
        <f>IF(LayTable[[#This Row],[Sport]]="","",LayTable[[#This Row],[LayInnsats]]*(LayTable[[#This Row],[LayOdds]]-1))</f>
        <v/>
      </c>
      <c r="N278" s="45" t="str">
        <f>IF(LayTable[[#This Row],[Sport]]="","",1/((1/LayTable[[#This Row],[BookieOdds]])+(1/((1/((1+((LayTable[[#This Row],[LayOdds]]-1)*(1+LayTable[[#This Row],[C% Lay]])))-1))+1)))-1)</f>
        <v/>
      </c>
      <c r="Q278" s="46" t="str">
        <f>IF(LayTable[[#This Row],[Sport]]="","",LayTable[[#This Row],[BookieInnsats]]+LayTable[[#This Row],[LayLiability]])</f>
        <v/>
      </c>
      <c r="R2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8" s="47" t="str">
        <f>IF(LayTable[[#This Row],[Utfall bookie]]="","",LayTable[[#This Row],[WBABack]]+LayTable[[#This Row],[WBALay]]-LayTable[[#This Row],[Total inns]])</f>
        <v/>
      </c>
      <c r="U2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8" s="48" t="str">
        <f>IFERROR(IF(LayTable[[#This Row],[Total inns]]="","",LayTable[[#This Row],[Rback]]/LayTable[[#This Row],[Total inns]]),"")</f>
        <v/>
      </c>
      <c r="X278" s="48" t="str">
        <f>IFERROR(IF(LayTable[[#This Row],[Total inns]]="","",LayTable[[#This Row],[Rlay]]/LayTable[[#This Row],[Total inns]]),"")</f>
        <v/>
      </c>
      <c r="Y278" s="48" t="str">
        <f>IFERROR(LayTable[[#This Row],[Faktisk res]]/LayTable[[#This Row],[Total inns]],"")</f>
        <v/>
      </c>
      <c r="Z278" s="47">
        <f>(LayTable[[#This Row],[BookieInnsats]]*LayTable[[#This Row],[BookieOdds]]-LayTable[[#This Row],[BookieInnsats]])*(1-LayTable[[#This Row],[C% Bookie]])</f>
        <v>0</v>
      </c>
      <c r="AA278" s="43">
        <f>LayTable[[#This Row],[LayInnsats]]*(1-LayTable[[#This Row],[C% Lay]])</f>
        <v>0</v>
      </c>
      <c r="AB278" s="43" t="str">
        <f>IFERROR(IF(LayTable[[#This Row],[Sport]]="",AB277,LayTable[[#This Row],[Faktisk res]]+AB277),"")</f>
        <v/>
      </c>
      <c r="AC278" s="43">
        <f>(LayTable[[#This Row],[BackWin-Commission]]+LayTable[[#This Row],[BookieInnsats]])</f>
        <v>0</v>
      </c>
      <c r="AD278" s="43" t="e">
        <f>(LayTable[[#This Row],[LayWin-Commission]])+LayTable[[#This Row],[LayLiability]]</f>
        <v>#VALUE!</v>
      </c>
      <c r="AE278" s="181"/>
      <c r="AF278" s="181"/>
    </row>
    <row r="279" spans="1:32">
      <c r="A279" s="84"/>
      <c r="B279" s="177"/>
      <c r="C279" s="40"/>
      <c r="D279" s="41"/>
      <c r="E279" s="40"/>
      <c r="F279" s="41"/>
      <c r="G279" s="183"/>
      <c r="H279" s="38"/>
      <c r="I279" s="42"/>
      <c r="J279" s="42"/>
      <c r="K279" s="43"/>
      <c r="L279" s="43"/>
      <c r="M279" s="44" t="str">
        <f>IF(LayTable[[#This Row],[Sport]]="","",LayTable[[#This Row],[LayInnsats]]*(LayTable[[#This Row],[LayOdds]]-1))</f>
        <v/>
      </c>
      <c r="N279" s="45" t="str">
        <f>IF(LayTable[[#This Row],[Sport]]="","",1/((1/LayTable[[#This Row],[BookieOdds]])+(1/((1/((1+((LayTable[[#This Row],[LayOdds]]-1)*(1+LayTable[[#This Row],[C% Lay]])))-1))+1)))-1)</f>
        <v/>
      </c>
      <c r="Q279" s="46" t="str">
        <f>IF(LayTable[[#This Row],[Sport]]="","",LayTable[[#This Row],[BookieInnsats]]+LayTable[[#This Row],[LayLiability]])</f>
        <v/>
      </c>
      <c r="R2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79" s="47" t="str">
        <f>IF(LayTable[[#This Row],[Utfall bookie]]="","",LayTable[[#This Row],[WBABack]]+LayTable[[#This Row],[WBALay]]-LayTable[[#This Row],[Total inns]])</f>
        <v/>
      </c>
      <c r="U2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79" s="48" t="str">
        <f>IFERROR(IF(LayTable[[#This Row],[Total inns]]="","",LayTable[[#This Row],[Rback]]/LayTable[[#This Row],[Total inns]]),"")</f>
        <v/>
      </c>
      <c r="X279" s="48" t="str">
        <f>IFERROR(IF(LayTable[[#This Row],[Total inns]]="","",LayTable[[#This Row],[Rlay]]/LayTable[[#This Row],[Total inns]]),"")</f>
        <v/>
      </c>
      <c r="Y279" s="48" t="str">
        <f>IFERROR(LayTable[[#This Row],[Faktisk res]]/LayTable[[#This Row],[Total inns]],"")</f>
        <v/>
      </c>
      <c r="Z279" s="47">
        <f>(LayTable[[#This Row],[BookieInnsats]]*LayTable[[#This Row],[BookieOdds]]-LayTable[[#This Row],[BookieInnsats]])*(1-LayTable[[#This Row],[C% Bookie]])</f>
        <v>0</v>
      </c>
      <c r="AA279" s="43">
        <f>LayTable[[#This Row],[LayInnsats]]*(1-LayTable[[#This Row],[C% Lay]])</f>
        <v>0</v>
      </c>
      <c r="AB279" s="43" t="str">
        <f>IFERROR(IF(LayTable[[#This Row],[Sport]]="",AB278,LayTable[[#This Row],[Faktisk res]]+AB278),"")</f>
        <v/>
      </c>
      <c r="AC279" s="43">
        <f>(LayTable[[#This Row],[BackWin-Commission]]+LayTable[[#This Row],[BookieInnsats]])</f>
        <v>0</v>
      </c>
      <c r="AD279" s="43" t="e">
        <f>(LayTable[[#This Row],[LayWin-Commission]])+LayTable[[#This Row],[LayLiability]]</f>
        <v>#VALUE!</v>
      </c>
      <c r="AE279" s="181"/>
      <c r="AF279" s="181"/>
    </row>
    <row r="280" spans="1:32">
      <c r="A280" s="84"/>
      <c r="B280" s="177"/>
      <c r="C280" s="178"/>
      <c r="D280" s="179"/>
      <c r="E280" s="178"/>
      <c r="F280" s="179"/>
      <c r="G280" s="183"/>
      <c r="H280" s="38"/>
      <c r="I280" s="42"/>
      <c r="J280" s="42"/>
      <c r="K280" s="43"/>
      <c r="L280" s="43"/>
      <c r="M280" s="44" t="str">
        <f>IF(LayTable[[#This Row],[Sport]]="","",LayTable[[#This Row],[LayInnsats]]*(LayTable[[#This Row],[LayOdds]]-1))</f>
        <v/>
      </c>
      <c r="N280" s="45" t="str">
        <f>IF(LayTable[[#This Row],[Sport]]="","",1/((1/LayTable[[#This Row],[BookieOdds]])+(1/((1/((1+((LayTable[[#This Row],[LayOdds]]-1)*(1+LayTable[[#This Row],[C% Lay]])))-1))+1)))-1)</f>
        <v/>
      </c>
      <c r="Q280" s="46" t="str">
        <f>IF(LayTable[[#This Row],[Sport]]="","",LayTable[[#This Row],[BookieInnsats]]+LayTable[[#This Row],[LayLiability]])</f>
        <v/>
      </c>
      <c r="R2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0" s="47" t="str">
        <f>IF(LayTable[[#This Row],[Utfall bookie]]="","",LayTable[[#This Row],[WBABack]]+LayTable[[#This Row],[WBALay]]-LayTable[[#This Row],[Total inns]])</f>
        <v/>
      </c>
      <c r="U2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0" s="48" t="str">
        <f>IFERROR(IF(LayTable[[#This Row],[Total inns]]="","",LayTable[[#This Row],[Rback]]/LayTable[[#This Row],[Total inns]]),"")</f>
        <v/>
      </c>
      <c r="X280" s="48" t="str">
        <f>IFERROR(IF(LayTable[[#This Row],[Total inns]]="","",LayTable[[#This Row],[Rlay]]/LayTable[[#This Row],[Total inns]]),"")</f>
        <v/>
      </c>
      <c r="Y280" s="48" t="str">
        <f>IFERROR(LayTable[[#This Row],[Faktisk res]]/LayTable[[#This Row],[Total inns]],"")</f>
        <v/>
      </c>
      <c r="Z280" s="47">
        <f>(LayTable[[#This Row],[BookieInnsats]]*LayTable[[#This Row],[BookieOdds]]-LayTable[[#This Row],[BookieInnsats]])*(1-LayTable[[#This Row],[C% Bookie]])</f>
        <v>0</v>
      </c>
      <c r="AA280" s="43">
        <f>LayTable[[#This Row],[LayInnsats]]*(1-LayTable[[#This Row],[C% Lay]])</f>
        <v>0</v>
      </c>
      <c r="AB280" s="43" t="str">
        <f>IFERROR(IF(LayTable[[#This Row],[Sport]]="",AB279,LayTable[[#This Row],[Faktisk res]]+AB279),"")</f>
        <v/>
      </c>
      <c r="AC280" s="43">
        <f>(LayTable[[#This Row],[BackWin-Commission]]+LayTable[[#This Row],[BookieInnsats]])</f>
        <v>0</v>
      </c>
      <c r="AD280" s="43" t="e">
        <f>(LayTable[[#This Row],[LayWin-Commission]])+LayTable[[#This Row],[LayLiability]]</f>
        <v>#VALUE!</v>
      </c>
      <c r="AE280" s="181"/>
      <c r="AF280" s="181"/>
    </row>
    <row r="281" spans="1:32">
      <c r="A281" s="84"/>
      <c r="B281" s="177"/>
      <c r="C281" s="178"/>
      <c r="D281" s="179"/>
      <c r="E281" s="178"/>
      <c r="F281" s="179"/>
      <c r="G281" s="183"/>
      <c r="H281" s="176"/>
      <c r="I281" s="180"/>
      <c r="J281" s="180"/>
      <c r="K281" s="43"/>
      <c r="L281" s="43"/>
      <c r="M281" s="44" t="str">
        <f>IF(LayTable[[#This Row],[Sport]]="","",LayTable[[#This Row],[LayInnsats]]*(LayTable[[#This Row],[LayOdds]]-1))</f>
        <v/>
      </c>
      <c r="N281" s="45" t="str">
        <f>IF(LayTable[[#This Row],[Sport]]="","",1/((1/LayTable[[#This Row],[BookieOdds]])+(1/((1/((1+((LayTable[[#This Row],[LayOdds]]-1)*(1+LayTable[[#This Row],[C% Lay]])))-1))+1)))-1)</f>
        <v/>
      </c>
      <c r="Q281" s="46" t="str">
        <f>IF(LayTable[[#This Row],[Sport]]="","",LayTable[[#This Row],[BookieInnsats]]+LayTable[[#This Row],[LayLiability]])</f>
        <v/>
      </c>
      <c r="R2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1" s="47" t="str">
        <f>IF(LayTable[[#This Row],[Utfall bookie]]="","",LayTable[[#This Row],[WBABack]]+LayTable[[#This Row],[WBALay]]-LayTable[[#This Row],[Total inns]])</f>
        <v/>
      </c>
      <c r="U2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1" s="48" t="str">
        <f>IFERROR(IF(LayTable[[#This Row],[Total inns]]="","",LayTable[[#This Row],[Rback]]/LayTable[[#This Row],[Total inns]]),"")</f>
        <v/>
      </c>
      <c r="X281" s="48" t="str">
        <f>IFERROR(IF(LayTable[[#This Row],[Total inns]]="","",LayTable[[#This Row],[Rlay]]/LayTable[[#This Row],[Total inns]]),"")</f>
        <v/>
      </c>
      <c r="Y281" s="48" t="str">
        <f>IFERROR(LayTable[[#This Row],[Faktisk res]]/LayTable[[#This Row],[Total inns]],"")</f>
        <v/>
      </c>
      <c r="Z281" s="47">
        <f>(LayTable[[#This Row],[BookieInnsats]]*LayTable[[#This Row],[BookieOdds]]-LayTable[[#This Row],[BookieInnsats]])*(1-LayTable[[#This Row],[C% Bookie]])</f>
        <v>0</v>
      </c>
      <c r="AA281" s="43">
        <f>LayTable[[#This Row],[LayInnsats]]*(1-LayTable[[#This Row],[C% Lay]])</f>
        <v>0</v>
      </c>
      <c r="AB281" s="43" t="str">
        <f>IFERROR(IF(LayTable[[#This Row],[Sport]]="",AB280,LayTable[[#This Row],[Faktisk res]]+AB280),"")</f>
        <v/>
      </c>
      <c r="AC281" s="43">
        <f>(LayTable[[#This Row],[BackWin-Commission]]+LayTable[[#This Row],[BookieInnsats]])</f>
        <v>0</v>
      </c>
      <c r="AD281" s="43" t="e">
        <f>(LayTable[[#This Row],[LayWin-Commission]])+LayTable[[#This Row],[LayLiability]]</f>
        <v>#VALUE!</v>
      </c>
      <c r="AE281" s="181"/>
      <c r="AF281" s="181"/>
    </row>
    <row r="282" spans="1:32">
      <c r="A282" s="84"/>
      <c r="B282" s="177"/>
      <c r="C282" s="40"/>
      <c r="D282" s="41"/>
      <c r="E282" s="40"/>
      <c r="F282" s="41"/>
      <c r="G282" s="183"/>
      <c r="H282" s="38"/>
      <c r="I282" s="42"/>
      <c r="J282" s="42"/>
      <c r="K282" s="43"/>
      <c r="L282" s="43"/>
      <c r="M282" s="44" t="str">
        <f>IF(LayTable[[#This Row],[Sport]]="","",LayTable[[#This Row],[LayInnsats]]*(LayTable[[#This Row],[LayOdds]]-1))</f>
        <v/>
      </c>
      <c r="N282" s="45" t="str">
        <f>IF(LayTable[[#This Row],[Sport]]="","",1/((1/LayTable[[#This Row],[BookieOdds]])+(1/((1/((1+((LayTable[[#This Row],[LayOdds]]-1)*(1+LayTable[[#This Row],[C% Lay]])))-1))+1)))-1)</f>
        <v/>
      </c>
      <c r="Q282" s="46" t="str">
        <f>IF(LayTable[[#This Row],[Sport]]="","",LayTable[[#This Row],[BookieInnsats]]+LayTable[[#This Row],[LayLiability]])</f>
        <v/>
      </c>
      <c r="R2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2" s="47" t="str">
        <f>IF(LayTable[[#This Row],[Utfall bookie]]="","",LayTable[[#This Row],[WBABack]]+LayTable[[#This Row],[WBALay]]-LayTable[[#This Row],[Total inns]])</f>
        <v/>
      </c>
      <c r="U2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2" s="48" t="str">
        <f>IFERROR(IF(LayTable[[#This Row],[Total inns]]="","",LayTable[[#This Row],[Rback]]/LayTable[[#This Row],[Total inns]]),"")</f>
        <v/>
      </c>
      <c r="X282" s="48" t="str">
        <f>IFERROR(IF(LayTable[[#This Row],[Total inns]]="","",LayTable[[#This Row],[Rlay]]/LayTable[[#This Row],[Total inns]]),"")</f>
        <v/>
      </c>
      <c r="Y282" s="48" t="str">
        <f>IFERROR(LayTable[[#This Row],[Faktisk res]]/LayTable[[#This Row],[Total inns]],"")</f>
        <v/>
      </c>
      <c r="Z282" s="47">
        <f>(LayTable[[#This Row],[BookieInnsats]]*LayTable[[#This Row],[BookieOdds]]-LayTable[[#This Row],[BookieInnsats]])*(1-LayTable[[#This Row],[C% Bookie]])</f>
        <v>0</v>
      </c>
      <c r="AA282" s="43">
        <f>LayTable[[#This Row],[LayInnsats]]*(1-LayTable[[#This Row],[C% Lay]])</f>
        <v>0</v>
      </c>
      <c r="AB282" s="43" t="str">
        <f>IFERROR(IF(LayTable[[#This Row],[Sport]]="",AB281,LayTable[[#This Row],[Faktisk res]]+AB281),"")</f>
        <v/>
      </c>
      <c r="AC282" s="43">
        <f>(LayTable[[#This Row],[BackWin-Commission]]+LayTable[[#This Row],[BookieInnsats]])</f>
        <v>0</v>
      </c>
      <c r="AD282" s="43" t="e">
        <f>(LayTable[[#This Row],[LayWin-Commission]])+LayTable[[#This Row],[LayLiability]]</f>
        <v>#VALUE!</v>
      </c>
      <c r="AE282" s="181"/>
      <c r="AF282" s="181"/>
    </row>
    <row r="283" spans="1:32">
      <c r="A283" s="84"/>
      <c r="B283" s="177"/>
      <c r="C283" s="40"/>
      <c r="D283" s="41"/>
      <c r="E283" s="40"/>
      <c r="F283" s="41"/>
      <c r="G283" s="183"/>
      <c r="H283" s="38"/>
      <c r="I283" s="42"/>
      <c r="J283" s="42"/>
      <c r="K283" s="43"/>
      <c r="L283" s="43"/>
      <c r="M283" s="44" t="str">
        <f>IF(LayTable[[#This Row],[Sport]]="","",LayTable[[#This Row],[LayInnsats]]*(LayTable[[#This Row],[LayOdds]]-1))</f>
        <v/>
      </c>
      <c r="N283" s="45" t="str">
        <f>IF(LayTable[[#This Row],[Sport]]="","",1/((1/LayTable[[#This Row],[BookieOdds]])+(1/((1/((1+((LayTable[[#This Row],[LayOdds]]-1)*(1+LayTable[[#This Row],[C% Lay]])))-1))+1)))-1)</f>
        <v/>
      </c>
      <c r="Q283" s="46" t="str">
        <f>IF(LayTable[[#This Row],[Sport]]="","",LayTable[[#This Row],[BookieInnsats]]+LayTable[[#This Row],[LayLiability]])</f>
        <v/>
      </c>
      <c r="R2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3" s="47" t="str">
        <f>IF(LayTable[[#This Row],[Utfall bookie]]="","",LayTable[[#This Row],[WBABack]]+LayTable[[#This Row],[WBALay]]-LayTable[[#This Row],[Total inns]])</f>
        <v/>
      </c>
      <c r="U2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3" s="48" t="str">
        <f>IFERROR(IF(LayTable[[#This Row],[Total inns]]="","",LayTable[[#This Row],[Rback]]/LayTable[[#This Row],[Total inns]]),"")</f>
        <v/>
      </c>
      <c r="X283" s="48" t="str">
        <f>IFERROR(IF(LayTable[[#This Row],[Total inns]]="","",LayTable[[#This Row],[Rlay]]/LayTable[[#This Row],[Total inns]]),"")</f>
        <v/>
      </c>
      <c r="Y283" s="48" t="str">
        <f>IFERROR(LayTable[[#This Row],[Faktisk res]]/LayTable[[#This Row],[Total inns]],"")</f>
        <v/>
      </c>
      <c r="Z283" s="47">
        <f>(LayTable[[#This Row],[BookieInnsats]]*LayTable[[#This Row],[BookieOdds]]-LayTable[[#This Row],[BookieInnsats]])*(1-LayTable[[#This Row],[C% Bookie]])</f>
        <v>0</v>
      </c>
      <c r="AA283" s="43">
        <f>LayTable[[#This Row],[LayInnsats]]*(1-LayTable[[#This Row],[C% Lay]])</f>
        <v>0</v>
      </c>
      <c r="AB283" s="43" t="str">
        <f>IFERROR(IF(LayTable[[#This Row],[Sport]]="",AB282,LayTable[[#This Row],[Faktisk res]]+AB282),"")</f>
        <v/>
      </c>
      <c r="AC283" s="43">
        <f>(LayTable[[#This Row],[BackWin-Commission]]+LayTable[[#This Row],[BookieInnsats]])</f>
        <v>0</v>
      </c>
      <c r="AD283" s="43" t="e">
        <f>(LayTable[[#This Row],[LayWin-Commission]])+LayTable[[#This Row],[LayLiability]]</f>
        <v>#VALUE!</v>
      </c>
      <c r="AE283" s="181"/>
      <c r="AF283" s="181"/>
    </row>
    <row r="284" spans="1:32">
      <c r="A284" s="84"/>
      <c r="B284" s="177"/>
      <c r="C284" s="40"/>
      <c r="D284" s="41"/>
      <c r="E284" s="40"/>
      <c r="F284" s="41"/>
      <c r="G284" s="183"/>
      <c r="H284" s="38"/>
      <c r="I284" s="42"/>
      <c r="J284" s="42"/>
      <c r="K284" s="43"/>
      <c r="L284" s="43"/>
      <c r="M284" s="44" t="str">
        <f>IF(LayTable[[#This Row],[Sport]]="","",LayTable[[#This Row],[LayInnsats]]*(LayTable[[#This Row],[LayOdds]]-1))</f>
        <v/>
      </c>
      <c r="N284" s="45" t="str">
        <f>IF(LayTable[[#This Row],[Sport]]="","",1/((1/LayTable[[#This Row],[BookieOdds]])+(1/((1/((1+((LayTable[[#This Row],[LayOdds]]-1)*(1+LayTable[[#This Row],[C% Lay]])))-1))+1)))-1)</f>
        <v/>
      </c>
      <c r="Q284" s="46" t="str">
        <f>IF(LayTable[[#This Row],[Sport]]="","",LayTable[[#This Row],[BookieInnsats]]+LayTable[[#This Row],[LayLiability]])</f>
        <v/>
      </c>
      <c r="R2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4" s="47" t="str">
        <f>IF(LayTable[[#This Row],[Utfall bookie]]="","",LayTable[[#This Row],[WBABack]]+LayTable[[#This Row],[WBALay]]-LayTable[[#This Row],[Total inns]])</f>
        <v/>
      </c>
      <c r="U2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4" s="48" t="str">
        <f>IFERROR(IF(LayTable[[#This Row],[Total inns]]="","",LayTable[[#This Row],[Rback]]/LayTable[[#This Row],[Total inns]]),"")</f>
        <v/>
      </c>
      <c r="X284" s="48" t="str">
        <f>IFERROR(IF(LayTable[[#This Row],[Total inns]]="","",LayTable[[#This Row],[Rlay]]/LayTable[[#This Row],[Total inns]]),"")</f>
        <v/>
      </c>
      <c r="Y284" s="48" t="str">
        <f>IFERROR(LayTable[[#This Row],[Faktisk res]]/LayTable[[#This Row],[Total inns]],"")</f>
        <v/>
      </c>
      <c r="Z284" s="47">
        <f>(LayTable[[#This Row],[BookieInnsats]]*LayTable[[#This Row],[BookieOdds]]-LayTable[[#This Row],[BookieInnsats]])*(1-LayTable[[#This Row],[C% Bookie]])</f>
        <v>0</v>
      </c>
      <c r="AA284" s="43">
        <f>LayTable[[#This Row],[LayInnsats]]*(1-LayTable[[#This Row],[C% Lay]])</f>
        <v>0</v>
      </c>
      <c r="AB284" s="43" t="str">
        <f>IFERROR(IF(LayTable[[#This Row],[Sport]]="",AB283,LayTable[[#This Row],[Faktisk res]]+AB283),"")</f>
        <v/>
      </c>
      <c r="AC284" s="43">
        <f>(LayTable[[#This Row],[BackWin-Commission]]+LayTable[[#This Row],[BookieInnsats]])</f>
        <v>0</v>
      </c>
      <c r="AD284" s="43" t="e">
        <f>(LayTable[[#This Row],[LayWin-Commission]])+LayTable[[#This Row],[LayLiability]]</f>
        <v>#VALUE!</v>
      </c>
      <c r="AE284" s="181"/>
      <c r="AF284" s="181"/>
    </row>
    <row r="285" spans="1:32">
      <c r="A285" s="84"/>
      <c r="B285" s="177"/>
      <c r="C285" s="40"/>
      <c r="D285" s="41"/>
      <c r="E285" s="40"/>
      <c r="F285" s="41"/>
      <c r="G285" s="183"/>
      <c r="H285" s="38"/>
      <c r="I285" s="42"/>
      <c r="J285" s="42"/>
      <c r="K285" s="43"/>
      <c r="L285" s="43"/>
      <c r="M285" s="44" t="str">
        <f>IF(LayTable[[#This Row],[Sport]]="","",LayTable[[#This Row],[LayInnsats]]*(LayTable[[#This Row],[LayOdds]]-1))</f>
        <v/>
      </c>
      <c r="N285" s="45" t="str">
        <f>IF(LayTable[[#This Row],[Sport]]="","",1/((1/LayTable[[#This Row],[BookieOdds]])+(1/((1/((1+((LayTable[[#This Row],[LayOdds]]-1)*(1+LayTable[[#This Row],[C% Lay]])))-1))+1)))-1)</f>
        <v/>
      </c>
      <c r="Q285" s="46" t="str">
        <f>IF(LayTable[[#This Row],[Sport]]="","",LayTable[[#This Row],[BookieInnsats]]+LayTable[[#This Row],[LayLiability]])</f>
        <v/>
      </c>
      <c r="R2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5" s="47" t="str">
        <f>IF(LayTable[[#This Row],[Utfall bookie]]="","",LayTable[[#This Row],[WBABack]]+LayTable[[#This Row],[WBALay]]-LayTable[[#This Row],[Total inns]])</f>
        <v/>
      </c>
      <c r="U2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5" s="48" t="str">
        <f>IFERROR(IF(LayTable[[#This Row],[Total inns]]="","",LayTable[[#This Row],[Rback]]/LayTable[[#This Row],[Total inns]]),"")</f>
        <v/>
      </c>
      <c r="X285" s="48" t="str">
        <f>IFERROR(IF(LayTable[[#This Row],[Total inns]]="","",LayTable[[#This Row],[Rlay]]/LayTable[[#This Row],[Total inns]]),"")</f>
        <v/>
      </c>
      <c r="Y285" s="48" t="str">
        <f>IFERROR(LayTable[[#This Row],[Faktisk res]]/LayTable[[#This Row],[Total inns]],"")</f>
        <v/>
      </c>
      <c r="Z285" s="47">
        <f>(LayTable[[#This Row],[BookieInnsats]]*LayTable[[#This Row],[BookieOdds]]-LayTable[[#This Row],[BookieInnsats]])*(1-LayTable[[#This Row],[C% Bookie]])</f>
        <v>0</v>
      </c>
      <c r="AA285" s="43">
        <f>LayTable[[#This Row],[LayInnsats]]*(1-LayTable[[#This Row],[C% Lay]])</f>
        <v>0</v>
      </c>
      <c r="AB285" s="43" t="str">
        <f>IFERROR(IF(LayTable[[#This Row],[Sport]]="",AB284,LayTable[[#This Row],[Faktisk res]]+AB284),"")</f>
        <v/>
      </c>
      <c r="AC285" s="43">
        <f>(LayTable[[#This Row],[BackWin-Commission]]+LayTable[[#This Row],[BookieInnsats]])</f>
        <v>0</v>
      </c>
      <c r="AD285" s="43" t="e">
        <f>(LayTable[[#This Row],[LayWin-Commission]])+LayTable[[#This Row],[LayLiability]]</f>
        <v>#VALUE!</v>
      </c>
      <c r="AE285" s="181"/>
      <c r="AF285" s="181"/>
    </row>
    <row r="286" spans="1:32">
      <c r="A286" s="84"/>
      <c r="B286" s="177"/>
      <c r="C286" s="40"/>
      <c r="D286" s="41"/>
      <c r="E286" s="40"/>
      <c r="F286" s="41"/>
      <c r="G286" s="183"/>
      <c r="H286" s="38"/>
      <c r="I286" s="42"/>
      <c r="J286" s="42"/>
      <c r="K286" s="43"/>
      <c r="L286" s="43"/>
      <c r="M286" s="44" t="str">
        <f>IF(LayTable[[#This Row],[Sport]]="","",LayTable[[#This Row],[LayInnsats]]*(LayTable[[#This Row],[LayOdds]]-1))</f>
        <v/>
      </c>
      <c r="N286" s="45" t="str">
        <f>IF(LayTable[[#This Row],[Sport]]="","",1/((1/LayTable[[#This Row],[BookieOdds]])+(1/((1/((1+((LayTable[[#This Row],[LayOdds]]-1)*(1+LayTable[[#This Row],[C% Lay]])))-1))+1)))-1)</f>
        <v/>
      </c>
      <c r="Q286" s="46" t="str">
        <f>IF(LayTable[[#This Row],[Sport]]="","",LayTable[[#This Row],[BookieInnsats]]+LayTable[[#This Row],[LayLiability]])</f>
        <v/>
      </c>
      <c r="R2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6" s="47" t="str">
        <f>IF(LayTable[[#This Row],[Utfall bookie]]="","",LayTable[[#This Row],[WBABack]]+LayTable[[#This Row],[WBALay]]-LayTable[[#This Row],[Total inns]])</f>
        <v/>
      </c>
      <c r="U2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6" s="48" t="str">
        <f>IFERROR(IF(LayTable[[#This Row],[Total inns]]="","",LayTable[[#This Row],[Rback]]/LayTable[[#This Row],[Total inns]]),"")</f>
        <v/>
      </c>
      <c r="X286" s="48" t="str">
        <f>IFERROR(IF(LayTable[[#This Row],[Total inns]]="","",LayTable[[#This Row],[Rlay]]/LayTable[[#This Row],[Total inns]]),"")</f>
        <v/>
      </c>
      <c r="Y286" s="48" t="str">
        <f>IFERROR(LayTable[[#This Row],[Faktisk res]]/LayTable[[#This Row],[Total inns]],"")</f>
        <v/>
      </c>
      <c r="Z286" s="47">
        <f>(LayTable[[#This Row],[BookieInnsats]]*LayTable[[#This Row],[BookieOdds]]-LayTable[[#This Row],[BookieInnsats]])*(1-LayTable[[#This Row],[C% Bookie]])</f>
        <v>0</v>
      </c>
      <c r="AA286" s="43">
        <f>LayTable[[#This Row],[LayInnsats]]*(1-LayTable[[#This Row],[C% Lay]])</f>
        <v>0</v>
      </c>
      <c r="AB286" s="43" t="str">
        <f>IFERROR(IF(LayTable[[#This Row],[Sport]]="",AB285,LayTable[[#This Row],[Faktisk res]]+AB285),"")</f>
        <v/>
      </c>
      <c r="AC286" s="43">
        <f>(LayTable[[#This Row],[BackWin-Commission]]+LayTable[[#This Row],[BookieInnsats]])</f>
        <v>0</v>
      </c>
      <c r="AD286" s="43" t="e">
        <f>(LayTable[[#This Row],[LayWin-Commission]])+LayTable[[#This Row],[LayLiability]]</f>
        <v>#VALUE!</v>
      </c>
      <c r="AE286" s="181"/>
      <c r="AF286" s="181"/>
    </row>
    <row r="287" spans="1:32">
      <c r="A287" s="84"/>
      <c r="B287" s="177"/>
      <c r="C287" s="40"/>
      <c r="D287" s="41"/>
      <c r="E287" s="40"/>
      <c r="F287" s="41"/>
      <c r="G287" s="183"/>
      <c r="H287" s="38"/>
      <c r="I287" s="42"/>
      <c r="J287" s="42"/>
      <c r="K287" s="43"/>
      <c r="L287" s="43"/>
      <c r="M287" s="44" t="str">
        <f>IF(LayTable[[#This Row],[Sport]]="","",LayTable[[#This Row],[LayInnsats]]*(LayTable[[#This Row],[LayOdds]]-1))</f>
        <v/>
      </c>
      <c r="N287" s="45" t="str">
        <f>IF(LayTable[[#This Row],[Sport]]="","",1/((1/LayTable[[#This Row],[BookieOdds]])+(1/((1/((1+((LayTable[[#This Row],[LayOdds]]-1)*(1+LayTable[[#This Row],[C% Lay]])))-1))+1)))-1)</f>
        <v/>
      </c>
      <c r="Q287" s="46" t="str">
        <f>IF(LayTable[[#This Row],[Sport]]="","",LayTable[[#This Row],[BookieInnsats]]+LayTable[[#This Row],[LayLiability]])</f>
        <v/>
      </c>
      <c r="R2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7" s="47" t="str">
        <f>IF(LayTable[[#This Row],[Utfall bookie]]="","",LayTable[[#This Row],[WBABack]]+LayTable[[#This Row],[WBALay]]-LayTable[[#This Row],[Total inns]])</f>
        <v/>
      </c>
      <c r="U2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7" s="48" t="str">
        <f>IFERROR(IF(LayTable[[#This Row],[Total inns]]="","",LayTable[[#This Row],[Rback]]/LayTable[[#This Row],[Total inns]]),"")</f>
        <v/>
      </c>
      <c r="X287" s="48" t="str">
        <f>IFERROR(IF(LayTable[[#This Row],[Total inns]]="","",LayTable[[#This Row],[Rlay]]/LayTable[[#This Row],[Total inns]]),"")</f>
        <v/>
      </c>
      <c r="Y287" s="48" t="str">
        <f>IFERROR(LayTable[[#This Row],[Faktisk res]]/LayTable[[#This Row],[Total inns]],"")</f>
        <v/>
      </c>
      <c r="Z287" s="47">
        <f>(LayTable[[#This Row],[BookieInnsats]]*LayTable[[#This Row],[BookieOdds]]-LayTable[[#This Row],[BookieInnsats]])*(1-LayTable[[#This Row],[C% Bookie]])</f>
        <v>0</v>
      </c>
      <c r="AA287" s="43">
        <f>LayTable[[#This Row],[LayInnsats]]*(1-LayTable[[#This Row],[C% Lay]])</f>
        <v>0</v>
      </c>
      <c r="AB287" s="43" t="str">
        <f>IFERROR(IF(LayTable[[#This Row],[Sport]]="",AB286,LayTable[[#This Row],[Faktisk res]]+AB286),"")</f>
        <v/>
      </c>
      <c r="AC287" s="43">
        <f>(LayTable[[#This Row],[BackWin-Commission]]+LayTable[[#This Row],[BookieInnsats]])</f>
        <v>0</v>
      </c>
      <c r="AD287" s="43" t="e">
        <f>(LayTable[[#This Row],[LayWin-Commission]])+LayTable[[#This Row],[LayLiability]]</f>
        <v>#VALUE!</v>
      </c>
      <c r="AE287" s="181"/>
      <c r="AF287" s="181"/>
    </row>
    <row r="288" spans="1:32">
      <c r="A288" s="183"/>
      <c r="B288" s="177"/>
      <c r="C288" s="178"/>
      <c r="D288" s="41"/>
      <c r="E288" s="40"/>
      <c r="F288" s="41"/>
      <c r="G288" s="183"/>
      <c r="H288" s="38"/>
      <c r="I288" s="42"/>
      <c r="J288" s="42"/>
      <c r="K288" s="43"/>
      <c r="L288" s="43"/>
      <c r="M288" s="44" t="str">
        <f>IF(LayTable[[#This Row],[Sport]]="","",LayTable[[#This Row],[LayInnsats]]*(LayTable[[#This Row],[LayOdds]]-1))</f>
        <v/>
      </c>
      <c r="N288" s="45" t="str">
        <f>IF(LayTable[[#This Row],[Sport]]="","",1/((1/LayTable[[#This Row],[BookieOdds]])+(1/((1/((1+((LayTable[[#This Row],[LayOdds]]-1)*(1+LayTable[[#This Row],[C% Lay]])))-1))+1)))-1)</f>
        <v/>
      </c>
      <c r="Q288" s="46" t="str">
        <f>IF(LayTable[[#This Row],[Sport]]="","",LayTable[[#This Row],[BookieInnsats]]+LayTable[[#This Row],[LayLiability]])</f>
        <v/>
      </c>
      <c r="R2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8" s="47" t="str">
        <f>IF(LayTable[[#This Row],[Utfall bookie]]="","",LayTable[[#This Row],[WBABack]]+LayTable[[#This Row],[WBALay]]-LayTable[[#This Row],[Total inns]])</f>
        <v/>
      </c>
      <c r="U2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8" s="48" t="str">
        <f>IFERROR(IF(LayTable[[#This Row],[Total inns]]="","",LayTable[[#This Row],[Rback]]/LayTable[[#This Row],[Total inns]]),"")</f>
        <v/>
      </c>
      <c r="X288" s="48" t="str">
        <f>IFERROR(IF(LayTable[[#This Row],[Total inns]]="","",LayTable[[#This Row],[Rlay]]/LayTable[[#This Row],[Total inns]]),"")</f>
        <v/>
      </c>
      <c r="Y288" s="48" t="str">
        <f>IFERROR(LayTable[[#This Row],[Faktisk res]]/LayTable[[#This Row],[Total inns]],"")</f>
        <v/>
      </c>
      <c r="Z288" s="47">
        <f>(LayTable[[#This Row],[BookieInnsats]]*LayTable[[#This Row],[BookieOdds]]-LayTable[[#This Row],[BookieInnsats]])*(1-LayTable[[#This Row],[C% Bookie]])</f>
        <v>0</v>
      </c>
      <c r="AA288" s="43">
        <f>LayTable[[#This Row],[LayInnsats]]*(1-LayTable[[#This Row],[C% Lay]])</f>
        <v>0</v>
      </c>
      <c r="AB288" s="43" t="str">
        <f>IFERROR(IF(LayTable[[#This Row],[Sport]]="",AB287,LayTable[[#This Row],[Faktisk res]]+AB287),"")</f>
        <v/>
      </c>
      <c r="AC288" s="43">
        <f>(LayTable[[#This Row],[BackWin-Commission]]+LayTable[[#This Row],[BookieInnsats]])</f>
        <v>0</v>
      </c>
      <c r="AD288" s="43" t="e">
        <f>(LayTable[[#This Row],[LayWin-Commission]])+LayTable[[#This Row],[LayLiability]]</f>
        <v>#VALUE!</v>
      </c>
      <c r="AE288" s="181"/>
      <c r="AF288" s="181"/>
    </row>
    <row r="289" spans="1:32">
      <c r="A289" s="84"/>
      <c r="B289" s="177"/>
      <c r="C289" s="40"/>
      <c r="D289" s="41"/>
      <c r="E289" s="40"/>
      <c r="F289" s="41"/>
      <c r="G289" s="183"/>
      <c r="H289" s="38"/>
      <c r="I289" s="42"/>
      <c r="J289" s="42"/>
      <c r="K289" s="43"/>
      <c r="L289" s="43"/>
      <c r="M289" s="44" t="str">
        <f>IF(LayTable[[#This Row],[Sport]]="","",LayTable[[#This Row],[LayInnsats]]*(LayTable[[#This Row],[LayOdds]]-1))</f>
        <v/>
      </c>
      <c r="N289" s="45" t="str">
        <f>IF(LayTable[[#This Row],[Sport]]="","",1/((1/LayTable[[#This Row],[BookieOdds]])+(1/((1/((1+((LayTable[[#This Row],[LayOdds]]-1)*(1+LayTable[[#This Row],[C% Lay]])))-1))+1)))-1)</f>
        <v/>
      </c>
      <c r="Q289" s="46" t="str">
        <f>IF(LayTable[[#This Row],[Sport]]="","",LayTable[[#This Row],[BookieInnsats]]+LayTable[[#This Row],[LayLiability]])</f>
        <v/>
      </c>
      <c r="R2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89" s="47" t="str">
        <f>IF(LayTable[[#This Row],[Utfall bookie]]="","",LayTable[[#This Row],[WBABack]]+LayTable[[#This Row],[WBALay]]-LayTable[[#This Row],[Total inns]])</f>
        <v/>
      </c>
      <c r="U2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89" s="48" t="str">
        <f>IFERROR(IF(LayTable[[#This Row],[Total inns]]="","",LayTable[[#This Row],[Rback]]/LayTable[[#This Row],[Total inns]]),"")</f>
        <v/>
      </c>
      <c r="X289" s="48" t="str">
        <f>IFERROR(IF(LayTable[[#This Row],[Total inns]]="","",LayTable[[#This Row],[Rlay]]/LayTable[[#This Row],[Total inns]]),"")</f>
        <v/>
      </c>
      <c r="Y289" s="48" t="str">
        <f>IFERROR(LayTable[[#This Row],[Faktisk res]]/LayTable[[#This Row],[Total inns]],"")</f>
        <v/>
      </c>
      <c r="Z289" s="47">
        <f>(LayTable[[#This Row],[BookieInnsats]]*LayTable[[#This Row],[BookieOdds]]-LayTable[[#This Row],[BookieInnsats]])*(1-LayTable[[#This Row],[C% Bookie]])</f>
        <v>0</v>
      </c>
      <c r="AA289" s="43">
        <f>LayTable[[#This Row],[LayInnsats]]*(1-LayTable[[#This Row],[C% Lay]])</f>
        <v>0</v>
      </c>
      <c r="AB289" s="43" t="str">
        <f>IFERROR(IF(LayTable[[#This Row],[Sport]]="",AB288,LayTable[[#This Row],[Faktisk res]]+AB288),"")</f>
        <v/>
      </c>
      <c r="AC289" s="43">
        <f>(LayTable[[#This Row],[BackWin-Commission]]+LayTable[[#This Row],[BookieInnsats]])</f>
        <v>0</v>
      </c>
      <c r="AD289" s="43" t="e">
        <f>(LayTable[[#This Row],[LayWin-Commission]])+LayTable[[#This Row],[LayLiability]]</f>
        <v>#VALUE!</v>
      </c>
      <c r="AE289" s="181"/>
      <c r="AF289" s="181"/>
    </row>
    <row r="290" spans="1:32">
      <c r="A290" s="84"/>
      <c r="B290" s="177"/>
      <c r="C290" s="40"/>
      <c r="D290" s="41"/>
      <c r="E290" s="40"/>
      <c r="F290" s="41"/>
      <c r="G290" s="183"/>
      <c r="H290" s="38"/>
      <c r="I290" s="42"/>
      <c r="J290" s="42"/>
      <c r="K290" s="43"/>
      <c r="L290" s="43"/>
      <c r="M290" s="44" t="str">
        <f>IF(LayTable[[#This Row],[Sport]]="","",LayTable[[#This Row],[LayInnsats]]*(LayTable[[#This Row],[LayOdds]]-1))</f>
        <v/>
      </c>
      <c r="N290" s="45" t="str">
        <f>IF(LayTable[[#This Row],[Sport]]="","",1/((1/LayTable[[#This Row],[BookieOdds]])+(1/((1/((1+((LayTable[[#This Row],[LayOdds]]-1)*(1+LayTable[[#This Row],[C% Lay]])))-1))+1)))-1)</f>
        <v/>
      </c>
      <c r="Q290" s="46" t="str">
        <f>IF(LayTable[[#This Row],[Sport]]="","",LayTable[[#This Row],[BookieInnsats]]+LayTable[[#This Row],[LayLiability]])</f>
        <v/>
      </c>
      <c r="R2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0" s="47" t="str">
        <f>IF(LayTable[[#This Row],[Utfall bookie]]="","",LayTable[[#This Row],[WBABack]]+LayTable[[#This Row],[WBALay]]-LayTable[[#This Row],[Total inns]])</f>
        <v/>
      </c>
      <c r="U2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0" s="48" t="str">
        <f>IFERROR(IF(LayTable[[#This Row],[Total inns]]="","",LayTable[[#This Row],[Rback]]/LayTable[[#This Row],[Total inns]]),"")</f>
        <v/>
      </c>
      <c r="X290" s="48" t="str">
        <f>IFERROR(IF(LayTable[[#This Row],[Total inns]]="","",LayTable[[#This Row],[Rlay]]/LayTable[[#This Row],[Total inns]]),"")</f>
        <v/>
      </c>
      <c r="Y290" s="48" t="str">
        <f>IFERROR(LayTable[[#This Row],[Faktisk res]]/LayTable[[#This Row],[Total inns]],"")</f>
        <v/>
      </c>
      <c r="Z290" s="47">
        <f>(LayTable[[#This Row],[BookieInnsats]]*LayTable[[#This Row],[BookieOdds]]-LayTable[[#This Row],[BookieInnsats]])*(1-LayTable[[#This Row],[C% Bookie]])</f>
        <v>0</v>
      </c>
      <c r="AA290" s="43">
        <f>LayTable[[#This Row],[LayInnsats]]*(1-LayTable[[#This Row],[C% Lay]])</f>
        <v>0</v>
      </c>
      <c r="AB290" s="43" t="str">
        <f>IFERROR(IF(LayTable[[#This Row],[Sport]]="",AB289,LayTable[[#This Row],[Faktisk res]]+AB289),"")</f>
        <v/>
      </c>
      <c r="AC290" s="43">
        <f>(LayTable[[#This Row],[BackWin-Commission]]+LayTable[[#This Row],[BookieInnsats]])</f>
        <v>0</v>
      </c>
      <c r="AD290" s="43" t="e">
        <f>(LayTable[[#This Row],[LayWin-Commission]])+LayTable[[#This Row],[LayLiability]]</f>
        <v>#VALUE!</v>
      </c>
      <c r="AE290" s="181"/>
      <c r="AF290" s="181"/>
    </row>
    <row r="291" spans="1:32">
      <c r="A291" s="84"/>
      <c r="B291" s="177"/>
      <c r="C291" s="178"/>
      <c r="D291" s="41"/>
      <c r="E291" s="40"/>
      <c r="F291" s="41"/>
      <c r="G291" s="183"/>
      <c r="H291" s="38"/>
      <c r="I291" s="42"/>
      <c r="J291" s="42"/>
      <c r="K291" s="43"/>
      <c r="L291" s="43"/>
      <c r="M291" s="44" t="str">
        <f>IF(LayTable[[#This Row],[Sport]]="","",LayTable[[#This Row],[LayInnsats]]*(LayTable[[#This Row],[LayOdds]]-1))</f>
        <v/>
      </c>
      <c r="N291" s="45" t="str">
        <f>IF(LayTable[[#This Row],[Sport]]="","",1/((1/LayTable[[#This Row],[BookieOdds]])+(1/((1/((1+((LayTable[[#This Row],[LayOdds]]-1)*(1+LayTable[[#This Row],[C% Lay]])))-1))+1)))-1)</f>
        <v/>
      </c>
      <c r="Q291" s="46" t="str">
        <f>IF(LayTable[[#This Row],[Sport]]="","",LayTable[[#This Row],[BookieInnsats]]+LayTable[[#This Row],[LayLiability]])</f>
        <v/>
      </c>
      <c r="R2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1" s="47" t="str">
        <f>IF(LayTable[[#This Row],[Utfall bookie]]="","",LayTable[[#This Row],[WBABack]]+LayTable[[#This Row],[WBALay]]-LayTable[[#This Row],[Total inns]])</f>
        <v/>
      </c>
      <c r="U2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1" s="48" t="str">
        <f>IFERROR(IF(LayTable[[#This Row],[Total inns]]="","",LayTable[[#This Row],[Rback]]/LayTable[[#This Row],[Total inns]]),"")</f>
        <v/>
      </c>
      <c r="X291" s="48" t="str">
        <f>IFERROR(IF(LayTable[[#This Row],[Total inns]]="","",LayTable[[#This Row],[Rlay]]/LayTable[[#This Row],[Total inns]]),"")</f>
        <v/>
      </c>
      <c r="Y291" s="48" t="str">
        <f>IFERROR(LayTable[[#This Row],[Faktisk res]]/LayTable[[#This Row],[Total inns]],"")</f>
        <v/>
      </c>
      <c r="Z291" s="47">
        <f>(LayTable[[#This Row],[BookieInnsats]]*LayTable[[#This Row],[BookieOdds]]-LayTable[[#This Row],[BookieInnsats]])*(1-LayTable[[#This Row],[C% Bookie]])</f>
        <v>0</v>
      </c>
      <c r="AA291" s="43">
        <f>LayTable[[#This Row],[LayInnsats]]*(1-LayTable[[#This Row],[C% Lay]])</f>
        <v>0</v>
      </c>
      <c r="AB291" s="43" t="str">
        <f>IFERROR(IF(LayTable[[#This Row],[Sport]]="",AB290,LayTable[[#This Row],[Faktisk res]]+AB290),"")</f>
        <v/>
      </c>
      <c r="AC291" s="43">
        <f>(LayTable[[#This Row],[BackWin-Commission]]+LayTable[[#This Row],[BookieInnsats]])</f>
        <v>0</v>
      </c>
      <c r="AD291" s="43" t="e">
        <f>(LayTable[[#This Row],[LayWin-Commission]])+LayTable[[#This Row],[LayLiability]]</f>
        <v>#VALUE!</v>
      </c>
      <c r="AE291" s="181"/>
      <c r="AF291" s="181"/>
    </row>
    <row r="292" spans="1:32">
      <c r="A292" s="183"/>
      <c r="B292" s="177"/>
      <c r="C292" s="178"/>
      <c r="D292" s="179"/>
      <c r="E292" s="178"/>
      <c r="F292" s="179"/>
      <c r="G292" s="183"/>
      <c r="H292" s="176"/>
      <c r="I292" s="180"/>
      <c r="J292" s="180"/>
      <c r="K292" s="181"/>
      <c r="L292" s="181"/>
      <c r="M292" s="44" t="str">
        <f>IF(LayTable[[#This Row],[Sport]]="","",LayTable[[#This Row],[LayInnsats]]*(LayTable[[#This Row],[LayOdds]]-1))</f>
        <v/>
      </c>
      <c r="N292" s="45" t="str">
        <f>IF(LayTable[[#This Row],[Sport]]="","",1/((1/LayTable[[#This Row],[BookieOdds]])+(1/((1/((1+((LayTable[[#This Row],[LayOdds]]-1)*(1+LayTable[[#This Row],[C% Lay]])))-1))+1)))-1)</f>
        <v/>
      </c>
      <c r="Q292" s="46" t="str">
        <f>IF(LayTable[[#This Row],[Sport]]="","",LayTable[[#This Row],[BookieInnsats]]+LayTable[[#This Row],[LayLiability]])</f>
        <v/>
      </c>
      <c r="R2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2" s="47" t="str">
        <f>IF(LayTable[[#This Row],[Utfall bookie]]="","",LayTable[[#This Row],[WBABack]]+LayTable[[#This Row],[WBALay]]-LayTable[[#This Row],[Total inns]])</f>
        <v/>
      </c>
      <c r="U2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2" s="48" t="str">
        <f>IFERROR(IF(LayTable[[#This Row],[Total inns]]="","",LayTable[[#This Row],[Rback]]/LayTable[[#This Row],[Total inns]]),"")</f>
        <v/>
      </c>
      <c r="X292" s="48" t="str">
        <f>IFERROR(IF(LayTable[[#This Row],[Total inns]]="","",LayTable[[#This Row],[Rlay]]/LayTable[[#This Row],[Total inns]]),"")</f>
        <v/>
      </c>
      <c r="Y292" s="48" t="str">
        <f>IFERROR(LayTable[[#This Row],[Faktisk res]]/LayTable[[#This Row],[Total inns]],"")</f>
        <v/>
      </c>
      <c r="Z292" s="47">
        <f>(LayTable[[#This Row],[BookieInnsats]]*LayTable[[#This Row],[BookieOdds]]-LayTable[[#This Row],[BookieInnsats]])*(1-LayTable[[#This Row],[C% Bookie]])</f>
        <v>0</v>
      </c>
      <c r="AA292" s="43">
        <f>LayTable[[#This Row],[LayInnsats]]*(1-LayTable[[#This Row],[C% Lay]])</f>
        <v>0</v>
      </c>
      <c r="AB292" s="43" t="str">
        <f>IFERROR(IF(LayTable[[#This Row],[Sport]]="",AB291,LayTable[[#This Row],[Faktisk res]]+AB291),"")</f>
        <v/>
      </c>
      <c r="AC292" s="43">
        <f>(LayTable[[#This Row],[BackWin-Commission]]+LayTable[[#This Row],[BookieInnsats]])</f>
        <v>0</v>
      </c>
      <c r="AD292" s="43" t="e">
        <f>(LayTable[[#This Row],[LayWin-Commission]])+LayTable[[#This Row],[LayLiability]]</f>
        <v>#VALUE!</v>
      </c>
      <c r="AE292" s="181"/>
      <c r="AF292" s="181"/>
    </row>
    <row r="293" spans="1:32">
      <c r="A293" s="183"/>
      <c r="B293" s="177"/>
      <c r="C293" s="40"/>
      <c r="D293" s="41"/>
      <c r="E293" s="40"/>
      <c r="F293" s="41"/>
      <c r="G293" s="183"/>
      <c r="H293" s="38"/>
      <c r="I293" s="42"/>
      <c r="J293" s="42"/>
      <c r="K293" s="43"/>
      <c r="L293" s="43"/>
      <c r="M293" s="44" t="str">
        <f>IF(LayTable[[#This Row],[Sport]]="","",LayTable[[#This Row],[LayInnsats]]*(LayTable[[#This Row],[LayOdds]]-1))</f>
        <v/>
      </c>
      <c r="N293" s="45" t="str">
        <f>IF(LayTable[[#This Row],[Sport]]="","",1/((1/LayTable[[#This Row],[BookieOdds]])+(1/((1/((1+((LayTable[[#This Row],[LayOdds]]-1)*(1+LayTable[[#This Row],[C% Lay]])))-1))+1)))-1)</f>
        <v/>
      </c>
      <c r="Q293" s="46" t="str">
        <f>IF(LayTable[[#This Row],[Sport]]="","",LayTable[[#This Row],[BookieInnsats]]+LayTable[[#This Row],[LayLiability]])</f>
        <v/>
      </c>
      <c r="R2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3" s="47" t="str">
        <f>IF(LayTable[[#This Row],[Utfall bookie]]="","",LayTable[[#This Row],[WBABack]]+LayTable[[#This Row],[WBALay]]-LayTable[[#This Row],[Total inns]])</f>
        <v/>
      </c>
      <c r="U2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3" s="48" t="str">
        <f>IFERROR(IF(LayTable[[#This Row],[Total inns]]="","",LayTable[[#This Row],[Rback]]/LayTable[[#This Row],[Total inns]]),"")</f>
        <v/>
      </c>
      <c r="X293" s="48" t="str">
        <f>IFERROR(IF(LayTable[[#This Row],[Total inns]]="","",LayTable[[#This Row],[Rlay]]/LayTable[[#This Row],[Total inns]]),"")</f>
        <v/>
      </c>
      <c r="Y293" s="48" t="str">
        <f>IFERROR(LayTable[[#This Row],[Faktisk res]]/LayTable[[#This Row],[Total inns]],"")</f>
        <v/>
      </c>
      <c r="Z293" s="47">
        <f>(LayTable[[#This Row],[BookieInnsats]]*LayTable[[#This Row],[BookieOdds]]-LayTable[[#This Row],[BookieInnsats]])*(1-LayTable[[#This Row],[C% Bookie]])</f>
        <v>0</v>
      </c>
      <c r="AA293" s="43">
        <f>LayTable[[#This Row],[LayInnsats]]*(1-LayTable[[#This Row],[C% Lay]])</f>
        <v>0</v>
      </c>
      <c r="AB293" s="43" t="str">
        <f>IFERROR(IF(LayTable[[#This Row],[Sport]]="",AB292,LayTable[[#This Row],[Faktisk res]]+AB292),"")</f>
        <v/>
      </c>
      <c r="AC293" s="43">
        <f>(LayTable[[#This Row],[BackWin-Commission]]+LayTable[[#This Row],[BookieInnsats]])</f>
        <v>0</v>
      </c>
      <c r="AD293" s="43" t="e">
        <f>(LayTable[[#This Row],[LayWin-Commission]])+LayTable[[#This Row],[LayLiability]]</f>
        <v>#VALUE!</v>
      </c>
      <c r="AE293" s="181"/>
      <c r="AF293" s="181"/>
    </row>
    <row r="294" spans="1:32">
      <c r="A294" s="84"/>
      <c r="B294" s="177"/>
      <c r="C294" s="40"/>
      <c r="D294" s="41"/>
      <c r="E294" s="40"/>
      <c r="F294" s="41"/>
      <c r="G294" s="183"/>
      <c r="H294" s="38"/>
      <c r="I294" s="42"/>
      <c r="J294" s="42"/>
      <c r="K294" s="43"/>
      <c r="L294" s="43"/>
      <c r="M294" s="44" t="str">
        <f>IF(LayTable[[#This Row],[Sport]]="","",LayTable[[#This Row],[LayInnsats]]*(LayTable[[#This Row],[LayOdds]]-1))</f>
        <v/>
      </c>
      <c r="N294" s="45" t="str">
        <f>IF(LayTable[[#This Row],[Sport]]="","",1/((1/LayTable[[#This Row],[BookieOdds]])+(1/((1/((1+((LayTable[[#This Row],[LayOdds]]-1)*(1+LayTable[[#This Row],[C% Lay]])))-1))+1)))-1)</f>
        <v/>
      </c>
      <c r="Q294" s="46" t="str">
        <f>IF(LayTable[[#This Row],[Sport]]="","",LayTable[[#This Row],[BookieInnsats]]+LayTable[[#This Row],[LayLiability]])</f>
        <v/>
      </c>
      <c r="R2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4" s="47" t="str">
        <f>IF(LayTable[[#This Row],[Utfall bookie]]="","",LayTable[[#This Row],[WBABack]]+LayTable[[#This Row],[WBALay]]-LayTable[[#This Row],[Total inns]])</f>
        <v/>
      </c>
      <c r="U2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4" s="48" t="str">
        <f>IFERROR(IF(LayTable[[#This Row],[Total inns]]="","",LayTable[[#This Row],[Rback]]/LayTable[[#This Row],[Total inns]]),"")</f>
        <v/>
      </c>
      <c r="X294" s="48" t="str">
        <f>IFERROR(IF(LayTable[[#This Row],[Total inns]]="","",LayTable[[#This Row],[Rlay]]/LayTable[[#This Row],[Total inns]]),"")</f>
        <v/>
      </c>
      <c r="Y294" s="48" t="str">
        <f>IFERROR(LayTable[[#This Row],[Faktisk res]]/LayTable[[#This Row],[Total inns]],"")</f>
        <v/>
      </c>
      <c r="Z294" s="47">
        <f>(LayTable[[#This Row],[BookieInnsats]]*LayTable[[#This Row],[BookieOdds]]-LayTable[[#This Row],[BookieInnsats]])*(1-LayTable[[#This Row],[C% Bookie]])</f>
        <v>0</v>
      </c>
      <c r="AA294" s="43">
        <f>LayTable[[#This Row],[LayInnsats]]*(1-LayTable[[#This Row],[C% Lay]])</f>
        <v>0</v>
      </c>
      <c r="AB294" s="43" t="str">
        <f>IFERROR(IF(LayTable[[#This Row],[Sport]]="",AB293,LayTable[[#This Row],[Faktisk res]]+AB293),"")</f>
        <v/>
      </c>
      <c r="AC294" s="43">
        <f>(LayTable[[#This Row],[BackWin-Commission]]+LayTable[[#This Row],[BookieInnsats]])</f>
        <v>0</v>
      </c>
      <c r="AD294" s="43" t="e">
        <f>(LayTable[[#This Row],[LayWin-Commission]])+LayTable[[#This Row],[LayLiability]]</f>
        <v>#VALUE!</v>
      </c>
      <c r="AE294" s="181"/>
      <c r="AF294" s="181"/>
    </row>
    <row r="295" spans="1:32">
      <c r="A295" s="84"/>
      <c r="B295" s="177"/>
      <c r="C295" s="40"/>
      <c r="D295" s="41"/>
      <c r="E295" s="40"/>
      <c r="F295" s="41"/>
      <c r="G295" s="183"/>
      <c r="H295" s="38"/>
      <c r="I295" s="42"/>
      <c r="J295" s="42"/>
      <c r="K295" s="43"/>
      <c r="L295" s="43"/>
      <c r="M295" s="44" t="str">
        <f>IF(LayTable[[#This Row],[Sport]]="","",LayTable[[#This Row],[LayInnsats]]*(LayTable[[#This Row],[LayOdds]]-1))</f>
        <v/>
      </c>
      <c r="N295" s="45" t="str">
        <f>IF(LayTable[[#This Row],[Sport]]="","",1/((1/LayTable[[#This Row],[BookieOdds]])+(1/((1/((1+((LayTable[[#This Row],[LayOdds]]-1)*(1+LayTable[[#This Row],[C% Lay]])))-1))+1)))-1)</f>
        <v/>
      </c>
      <c r="Q295" s="46" t="str">
        <f>IF(LayTable[[#This Row],[Sport]]="","",LayTable[[#This Row],[BookieInnsats]]+LayTable[[#This Row],[LayLiability]])</f>
        <v/>
      </c>
      <c r="R2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5" s="47" t="str">
        <f>IF(LayTable[[#This Row],[Utfall bookie]]="","",LayTable[[#This Row],[WBABack]]+LayTable[[#This Row],[WBALay]]-LayTable[[#This Row],[Total inns]])</f>
        <v/>
      </c>
      <c r="U2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5" s="48" t="str">
        <f>IFERROR(IF(LayTable[[#This Row],[Total inns]]="","",LayTable[[#This Row],[Rback]]/LayTable[[#This Row],[Total inns]]),"")</f>
        <v/>
      </c>
      <c r="X295" s="48" t="str">
        <f>IFERROR(IF(LayTable[[#This Row],[Total inns]]="","",LayTable[[#This Row],[Rlay]]/LayTable[[#This Row],[Total inns]]),"")</f>
        <v/>
      </c>
      <c r="Y295" s="48" t="str">
        <f>IFERROR(LayTable[[#This Row],[Faktisk res]]/LayTable[[#This Row],[Total inns]],"")</f>
        <v/>
      </c>
      <c r="Z295" s="47">
        <f>(LayTable[[#This Row],[BookieInnsats]]*LayTable[[#This Row],[BookieOdds]]-LayTable[[#This Row],[BookieInnsats]])*(1-LayTable[[#This Row],[C% Bookie]])</f>
        <v>0</v>
      </c>
      <c r="AA295" s="43">
        <f>LayTable[[#This Row],[LayInnsats]]*(1-LayTable[[#This Row],[C% Lay]])</f>
        <v>0</v>
      </c>
      <c r="AB295" s="43" t="str">
        <f>IFERROR(IF(LayTable[[#This Row],[Sport]]="",AB294,LayTable[[#This Row],[Faktisk res]]+AB294),"")</f>
        <v/>
      </c>
      <c r="AC295" s="43">
        <f>(LayTable[[#This Row],[BackWin-Commission]]+LayTable[[#This Row],[BookieInnsats]])</f>
        <v>0</v>
      </c>
      <c r="AD295" s="43" t="e">
        <f>(LayTable[[#This Row],[LayWin-Commission]])+LayTable[[#This Row],[LayLiability]]</f>
        <v>#VALUE!</v>
      </c>
      <c r="AE295" s="43"/>
      <c r="AF295" s="183"/>
    </row>
    <row r="296" spans="1:32">
      <c r="A296" s="84"/>
      <c r="B296" s="177"/>
      <c r="C296" s="40"/>
      <c r="D296" s="41"/>
      <c r="E296" s="178"/>
      <c r="F296" s="179"/>
      <c r="G296" s="183"/>
      <c r="H296" s="38"/>
      <c r="I296" s="42"/>
      <c r="J296" s="42"/>
      <c r="K296" s="43"/>
      <c r="L296" s="43"/>
      <c r="M296" s="44" t="str">
        <f>IF(LayTable[[#This Row],[Sport]]="","",LayTable[[#This Row],[LayInnsats]]*(LayTable[[#This Row],[LayOdds]]-1))</f>
        <v/>
      </c>
      <c r="N296" s="45" t="str">
        <f>IF(LayTable[[#This Row],[Sport]]="","",1/((1/LayTable[[#This Row],[BookieOdds]])+(1/((1/((1+((LayTable[[#This Row],[LayOdds]]-1)*(1+LayTable[[#This Row],[C% Lay]])))-1))+1)))-1)</f>
        <v/>
      </c>
      <c r="Q296" s="46" t="str">
        <f>IF(LayTable[[#This Row],[Sport]]="","",LayTable[[#This Row],[BookieInnsats]]+LayTable[[#This Row],[LayLiability]])</f>
        <v/>
      </c>
      <c r="R2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6" s="47" t="str">
        <f>IF(LayTable[[#This Row],[Utfall bookie]]="","",LayTable[[#This Row],[WBABack]]+LayTable[[#This Row],[WBALay]]-LayTable[[#This Row],[Total inns]])</f>
        <v/>
      </c>
      <c r="U2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6" s="48" t="str">
        <f>IFERROR(IF(LayTable[[#This Row],[Total inns]]="","",LayTable[[#This Row],[Rback]]/LayTable[[#This Row],[Total inns]]),"")</f>
        <v/>
      </c>
      <c r="X296" s="48" t="str">
        <f>IFERROR(IF(LayTable[[#This Row],[Total inns]]="","",LayTable[[#This Row],[Rlay]]/LayTable[[#This Row],[Total inns]]),"")</f>
        <v/>
      </c>
      <c r="Y296" s="48" t="str">
        <f>IFERROR(LayTable[[#This Row],[Faktisk res]]/LayTable[[#This Row],[Total inns]],"")</f>
        <v/>
      </c>
      <c r="Z296" s="47">
        <f>(LayTable[[#This Row],[BookieInnsats]]*LayTable[[#This Row],[BookieOdds]]-LayTable[[#This Row],[BookieInnsats]])*(1-LayTable[[#This Row],[C% Bookie]])</f>
        <v>0</v>
      </c>
      <c r="AA296" s="43">
        <f>LayTable[[#This Row],[LayInnsats]]*(1-LayTable[[#This Row],[C% Lay]])</f>
        <v>0</v>
      </c>
      <c r="AB296" s="43" t="str">
        <f>IFERROR(IF(LayTable[[#This Row],[Sport]]="",AB295,LayTable[[#This Row],[Faktisk res]]+AB295),"")</f>
        <v/>
      </c>
      <c r="AC296" s="43">
        <f>(LayTable[[#This Row],[BackWin-Commission]]+LayTable[[#This Row],[BookieInnsats]])</f>
        <v>0</v>
      </c>
      <c r="AD296" s="43" t="e">
        <f>(LayTable[[#This Row],[LayWin-Commission]])+LayTable[[#This Row],[LayLiability]]</f>
        <v>#VALUE!</v>
      </c>
      <c r="AE296" s="43"/>
      <c r="AF296" s="183"/>
    </row>
    <row r="297" spans="1:32">
      <c r="A297" s="84"/>
      <c r="B297" s="177"/>
      <c r="C297" s="40"/>
      <c r="D297" s="41"/>
      <c r="E297" s="178"/>
      <c r="F297" s="179"/>
      <c r="G297" s="183"/>
      <c r="H297" s="176"/>
      <c r="I297" s="180"/>
      <c r="J297" s="180"/>
      <c r="K297" s="181"/>
      <c r="L297" s="181"/>
      <c r="M297" s="44" t="str">
        <f>IF(LayTable[[#This Row],[Sport]]="","",LayTable[[#This Row],[LayInnsats]]*(LayTable[[#This Row],[LayOdds]]-1))</f>
        <v/>
      </c>
      <c r="N297" s="45" t="str">
        <f>IF(LayTable[[#This Row],[Sport]]="","",1/((1/LayTable[[#This Row],[BookieOdds]])+(1/((1/((1+((LayTable[[#This Row],[LayOdds]]-1)*(1+LayTable[[#This Row],[C% Lay]])))-1))+1)))-1)</f>
        <v/>
      </c>
      <c r="Q297" s="46" t="str">
        <f>IF(LayTable[[#This Row],[Sport]]="","",LayTable[[#This Row],[BookieInnsats]]+LayTable[[#This Row],[LayLiability]])</f>
        <v/>
      </c>
      <c r="R2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7" s="47" t="str">
        <f>IF(LayTable[[#This Row],[Utfall bookie]]="","",LayTable[[#This Row],[WBABack]]+LayTable[[#This Row],[WBALay]]-LayTable[[#This Row],[Total inns]])</f>
        <v/>
      </c>
      <c r="U2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7" s="48" t="str">
        <f>IFERROR(IF(LayTable[[#This Row],[Total inns]]="","",LayTable[[#This Row],[Rback]]/LayTable[[#This Row],[Total inns]]),"")</f>
        <v/>
      </c>
      <c r="X297" s="48" t="str">
        <f>IFERROR(IF(LayTable[[#This Row],[Total inns]]="","",LayTable[[#This Row],[Rlay]]/LayTable[[#This Row],[Total inns]]),"")</f>
        <v/>
      </c>
      <c r="Y297" s="48" t="str">
        <f>IFERROR(LayTable[[#This Row],[Faktisk res]]/LayTable[[#This Row],[Total inns]],"")</f>
        <v/>
      </c>
      <c r="Z297" s="47">
        <f>(LayTable[[#This Row],[BookieInnsats]]*LayTable[[#This Row],[BookieOdds]]-LayTable[[#This Row],[BookieInnsats]])*(1-LayTable[[#This Row],[C% Bookie]])</f>
        <v>0</v>
      </c>
      <c r="AA297" s="43">
        <f>LayTable[[#This Row],[LayInnsats]]*(1-LayTable[[#This Row],[C% Lay]])</f>
        <v>0</v>
      </c>
      <c r="AB297" s="43" t="str">
        <f>IFERROR(IF(LayTable[[#This Row],[Sport]]="",AB296,LayTable[[#This Row],[Faktisk res]]+AB296),"")</f>
        <v/>
      </c>
      <c r="AC297" s="43">
        <f>(LayTable[[#This Row],[BackWin-Commission]]+LayTable[[#This Row],[BookieInnsats]])</f>
        <v>0</v>
      </c>
      <c r="AD297" s="43" t="e">
        <f>(LayTable[[#This Row],[LayWin-Commission]])+LayTable[[#This Row],[LayLiability]]</f>
        <v>#VALUE!</v>
      </c>
      <c r="AE297" s="43"/>
      <c r="AF297" s="183"/>
    </row>
    <row r="298" spans="1:32">
      <c r="A298" s="84"/>
      <c r="B298" s="177"/>
      <c r="C298" s="40"/>
      <c r="D298" s="41"/>
      <c r="E298" s="178"/>
      <c r="F298" s="179"/>
      <c r="G298" s="183"/>
      <c r="H298" s="38"/>
      <c r="I298" s="42"/>
      <c r="J298" s="42"/>
      <c r="K298" s="43"/>
      <c r="L298" s="43"/>
      <c r="M298" s="44" t="str">
        <f>IF(LayTable[[#This Row],[Sport]]="","",LayTable[[#This Row],[LayInnsats]]*(LayTable[[#This Row],[LayOdds]]-1))</f>
        <v/>
      </c>
      <c r="N298" s="45" t="str">
        <f>IF(LayTable[[#This Row],[Sport]]="","",1/((1/LayTable[[#This Row],[BookieOdds]])+(1/((1/((1+((LayTable[[#This Row],[LayOdds]]-1)*(1+LayTable[[#This Row],[C% Lay]])))-1))+1)))-1)</f>
        <v/>
      </c>
      <c r="Q298" s="46" t="str">
        <f>IF(LayTable[[#This Row],[Sport]]="","",LayTable[[#This Row],[BookieInnsats]]+LayTable[[#This Row],[LayLiability]])</f>
        <v/>
      </c>
      <c r="R2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8" s="47" t="str">
        <f>IF(LayTable[[#This Row],[Utfall bookie]]="","",LayTable[[#This Row],[WBABack]]+LayTable[[#This Row],[WBALay]]-LayTable[[#This Row],[Total inns]])</f>
        <v/>
      </c>
      <c r="U2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8" s="48" t="str">
        <f>IFERROR(IF(LayTable[[#This Row],[Total inns]]="","",LayTable[[#This Row],[Rback]]/LayTable[[#This Row],[Total inns]]),"")</f>
        <v/>
      </c>
      <c r="X298" s="48" t="str">
        <f>IFERROR(IF(LayTable[[#This Row],[Total inns]]="","",LayTable[[#This Row],[Rlay]]/LayTable[[#This Row],[Total inns]]),"")</f>
        <v/>
      </c>
      <c r="Y298" s="48" t="str">
        <f>IFERROR(LayTable[[#This Row],[Faktisk res]]/LayTable[[#This Row],[Total inns]],"")</f>
        <v/>
      </c>
      <c r="Z298" s="47">
        <f>(LayTable[[#This Row],[BookieInnsats]]*LayTable[[#This Row],[BookieOdds]]-LayTable[[#This Row],[BookieInnsats]])*(1-LayTable[[#This Row],[C% Bookie]])</f>
        <v>0</v>
      </c>
      <c r="AA298" s="43">
        <f>LayTable[[#This Row],[LayInnsats]]*(1-LayTable[[#This Row],[C% Lay]])</f>
        <v>0</v>
      </c>
      <c r="AB298" s="43" t="str">
        <f>IFERROR(IF(LayTable[[#This Row],[Sport]]="",AB297,LayTable[[#This Row],[Faktisk res]]+AB297),"")</f>
        <v/>
      </c>
      <c r="AC298" s="43">
        <f>(LayTable[[#This Row],[BackWin-Commission]]+LayTable[[#This Row],[BookieInnsats]])</f>
        <v>0</v>
      </c>
      <c r="AD298" s="43" t="e">
        <f>(LayTable[[#This Row],[LayWin-Commission]])+LayTable[[#This Row],[LayLiability]]</f>
        <v>#VALUE!</v>
      </c>
      <c r="AE298" s="43"/>
      <c r="AF298" s="183"/>
    </row>
    <row r="299" spans="1:32">
      <c r="A299" s="84"/>
      <c r="B299" s="177"/>
      <c r="C299" s="40"/>
      <c r="D299" s="41"/>
      <c r="E299" s="178"/>
      <c r="F299" s="179"/>
      <c r="G299" s="183"/>
      <c r="H299" s="38"/>
      <c r="I299" s="42"/>
      <c r="J299" s="42"/>
      <c r="K299" s="43"/>
      <c r="L299" s="43"/>
      <c r="M299" s="44" t="str">
        <f>IF(LayTable[[#This Row],[Sport]]="","",LayTable[[#This Row],[LayInnsats]]*(LayTable[[#This Row],[LayOdds]]-1))</f>
        <v/>
      </c>
      <c r="N299" s="45" t="str">
        <f>IF(LayTable[[#This Row],[Sport]]="","",1/((1/LayTable[[#This Row],[BookieOdds]])+(1/((1/((1+((LayTable[[#This Row],[LayOdds]]-1)*(1+LayTable[[#This Row],[C% Lay]])))-1))+1)))-1)</f>
        <v/>
      </c>
      <c r="Q299" s="46" t="str">
        <f>IF(LayTable[[#This Row],[Sport]]="","",LayTable[[#This Row],[BookieInnsats]]+LayTable[[#This Row],[LayLiability]])</f>
        <v/>
      </c>
      <c r="R2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99" s="47" t="str">
        <f>IF(LayTable[[#This Row],[Utfall bookie]]="","",LayTable[[#This Row],[WBABack]]+LayTable[[#This Row],[WBALay]]-LayTable[[#This Row],[Total inns]])</f>
        <v/>
      </c>
      <c r="U2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99" s="48" t="str">
        <f>IFERROR(IF(LayTable[[#This Row],[Total inns]]="","",LayTable[[#This Row],[Rback]]/LayTable[[#This Row],[Total inns]]),"")</f>
        <v/>
      </c>
      <c r="X299" s="48" t="str">
        <f>IFERROR(IF(LayTable[[#This Row],[Total inns]]="","",LayTable[[#This Row],[Rlay]]/LayTable[[#This Row],[Total inns]]),"")</f>
        <v/>
      </c>
      <c r="Y299" s="48" t="str">
        <f>IFERROR(LayTable[[#This Row],[Faktisk res]]/LayTable[[#This Row],[Total inns]],"")</f>
        <v/>
      </c>
      <c r="Z299" s="47">
        <f>(LayTable[[#This Row],[BookieInnsats]]*LayTable[[#This Row],[BookieOdds]]-LayTable[[#This Row],[BookieInnsats]])*(1-LayTable[[#This Row],[C% Bookie]])</f>
        <v>0</v>
      </c>
      <c r="AA299" s="43">
        <f>LayTable[[#This Row],[LayInnsats]]*(1-LayTable[[#This Row],[C% Lay]])</f>
        <v>0</v>
      </c>
      <c r="AB299" s="43" t="str">
        <f>IFERROR(IF(LayTable[[#This Row],[Sport]]="",AB298,LayTable[[#This Row],[Faktisk res]]+AB298),"")</f>
        <v/>
      </c>
      <c r="AC299" s="43">
        <f>(LayTable[[#This Row],[BackWin-Commission]]+LayTable[[#This Row],[BookieInnsats]])</f>
        <v>0</v>
      </c>
      <c r="AD299" s="43" t="e">
        <f>(LayTable[[#This Row],[LayWin-Commission]])+LayTable[[#This Row],[LayLiability]]</f>
        <v>#VALUE!</v>
      </c>
      <c r="AE299" s="43"/>
      <c r="AF299" s="181"/>
    </row>
    <row r="300" spans="1:32">
      <c r="A300" s="84"/>
      <c r="B300" s="177"/>
      <c r="C300" s="40"/>
      <c r="D300" s="41"/>
      <c r="E300" s="178"/>
      <c r="F300" s="179"/>
      <c r="G300" s="183"/>
      <c r="H300" s="38"/>
      <c r="I300" s="42"/>
      <c r="J300" s="42"/>
      <c r="K300" s="43"/>
      <c r="L300" s="43"/>
      <c r="M300" s="44" t="str">
        <f>IF(LayTable[[#This Row],[Sport]]="","",LayTable[[#This Row],[LayInnsats]]*(LayTable[[#This Row],[LayOdds]]-1))</f>
        <v/>
      </c>
      <c r="N300" s="45" t="str">
        <f>IF(LayTable[[#This Row],[Sport]]="","",1/((1/LayTable[[#This Row],[BookieOdds]])+(1/((1/((1+((LayTable[[#This Row],[LayOdds]]-1)*(1+LayTable[[#This Row],[C% Lay]])))-1))+1)))-1)</f>
        <v/>
      </c>
      <c r="Q300" s="46" t="str">
        <f>IF(LayTable[[#This Row],[Sport]]="","",LayTable[[#This Row],[BookieInnsats]]+LayTable[[#This Row],[LayLiability]])</f>
        <v/>
      </c>
      <c r="R3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0" s="47" t="str">
        <f>IF(LayTable[[#This Row],[Utfall bookie]]="","",LayTable[[#This Row],[WBABack]]+LayTable[[#This Row],[WBALay]]-LayTable[[#This Row],[Total inns]])</f>
        <v/>
      </c>
      <c r="U3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0" s="48" t="str">
        <f>IFERROR(IF(LayTable[[#This Row],[Total inns]]="","",LayTable[[#This Row],[Rback]]/LayTable[[#This Row],[Total inns]]),"")</f>
        <v/>
      </c>
      <c r="X300" s="48" t="str">
        <f>IFERROR(IF(LayTable[[#This Row],[Total inns]]="","",LayTable[[#This Row],[Rlay]]/LayTable[[#This Row],[Total inns]]),"")</f>
        <v/>
      </c>
      <c r="Y300" s="48" t="str">
        <f>IFERROR(LayTable[[#This Row],[Faktisk res]]/LayTable[[#This Row],[Total inns]],"")</f>
        <v/>
      </c>
      <c r="Z300" s="47">
        <f>(LayTable[[#This Row],[BookieInnsats]]*LayTable[[#This Row],[BookieOdds]]-LayTable[[#This Row],[BookieInnsats]])*(1-LayTable[[#This Row],[C% Bookie]])</f>
        <v>0</v>
      </c>
      <c r="AA300" s="43">
        <f>LayTable[[#This Row],[LayInnsats]]*(1-LayTable[[#This Row],[C% Lay]])</f>
        <v>0</v>
      </c>
      <c r="AB300" s="43" t="str">
        <f>IFERROR(IF(LayTable[[#This Row],[Sport]]="",AB299,LayTable[[#This Row],[Faktisk res]]+AB299),"")</f>
        <v/>
      </c>
      <c r="AC300" s="43">
        <f>(LayTable[[#This Row],[BackWin-Commission]]+LayTable[[#This Row],[BookieInnsats]])</f>
        <v>0</v>
      </c>
      <c r="AD300" s="43" t="e">
        <f>(LayTable[[#This Row],[LayWin-Commission]])+LayTable[[#This Row],[LayLiability]]</f>
        <v>#VALUE!</v>
      </c>
      <c r="AE300" s="43"/>
      <c r="AF300" s="181"/>
    </row>
    <row r="301" spans="1:32">
      <c r="A301" s="84"/>
      <c r="B301" s="177"/>
      <c r="C301" s="40"/>
      <c r="D301" s="41"/>
      <c r="E301" s="178"/>
      <c r="F301" s="179"/>
      <c r="G301" s="183"/>
      <c r="H301" s="38"/>
      <c r="I301" s="42"/>
      <c r="J301" s="42"/>
      <c r="K301" s="43"/>
      <c r="L301" s="43"/>
      <c r="M301" s="44" t="str">
        <f>IF(LayTable[[#This Row],[Sport]]="","",LayTable[[#This Row],[LayInnsats]]*(LayTable[[#This Row],[LayOdds]]-1))</f>
        <v/>
      </c>
      <c r="N301" s="45" t="str">
        <f>IF(LayTable[[#This Row],[Sport]]="","",1/((1/LayTable[[#This Row],[BookieOdds]])+(1/((1/((1+((LayTable[[#This Row],[LayOdds]]-1)*(1+LayTable[[#This Row],[C% Lay]])))-1))+1)))-1)</f>
        <v/>
      </c>
      <c r="Q301" s="46" t="str">
        <f>IF(LayTable[[#This Row],[Sport]]="","",LayTable[[#This Row],[BookieInnsats]]+LayTable[[#This Row],[LayLiability]])</f>
        <v/>
      </c>
      <c r="R3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1" s="47" t="str">
        <f>IF(LayTable[[#This Row],[Utfall bookie]]="","",LayTable[[#This Row],[WBABack]]+LayTable[[#This Row],[WBALay]]-LayTable[[#This Row],[Total inns]])</f>
        <v/>
      </c>
      <c r="U3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1" s="48" t="str">
        <f>IFERROR(IF(LayTable[[#This Row],[Total inns]]="","",LayTable[[#This Row],[Rback]]/LayTable[[#This Row],[Total inns]]),"")</f>
        <v/>
      </c>
      <c r="X301" s="48" t="str">
        <f>IFERROR(IF(LayTable[[#This Row],[Total inns]]="","",LayTable[[#This Row],[Rlay]]/LayTable[[#This Row],[Total inns]]),"")</f>
        <v/>
      </c>
      <c r="Y301" s="48" t="str">
        <f>IFERROR(LayTable[[#This Row],[Faktisk res]]/LayTable[[#This Row],[Total inns]],"")</f>
        <v/>
      </c>
      <c r="Z301" s="47">
        <f>(LayTable[[#This Row],[BookieInnsats]]*LayTable[[#This Row],[BookieOdds]]-LayTable[[#This Row],[BookieInnsats]])*(1-LayTable[[#This Row],[C% Bookie]])</f>
        <v>0</v>
      </c>
      <c r="AA301" s="43">
        <f>LayTable[[#This Row],[LayInnsats]]*(1-LayTable[[#This Row],[C% Lay]])</f>
        <v>0</v>
      </c>
      <c r="AB301" s="43" t="str">
        <f>IFERROR(IF(LayTable[[#This Row],[Sport]]="",AB300,LayTable[[#This Row],[Faktisk res]]+AB300),"")</f>
        <v/>
      </c>
      <c r="AC301" s="43">
        <f>(LayTable[[#This Row],[BackWin-Commission]]+LayTable[[#This Row],[BookieInnsats]])</f>
        <v>0</v>
      </c>
      <c r="AD301" s="43" t="e">
        <f>(LayTable[[#This Row],[LayWin-Commission]])+LayTable[[#This Row],[LayLiability]]</f>
        <v>#VALUE!</v>
      </c>
      <c r="AE301" s="43"/>
      <c r="AF301" s="181"/>
    </row>
    <row r="302" spans="1:32">
      <c r="A302" s="183"/>
      <c r="B302" s="177"/>
      <c r="C302" s="40"/>
      <c r="D302" s="41"/>
      <c r="E302" s="178"/>
      <c r="F302" s="179"/>
      <c r="G302" s="183"/>
      <c r="H302" s="38"/>
      <c r="I302" s="42"/>
      <c r="J302" s="42"/>
      <c r="K302" s="43"/>
      <c r="L302" s="43"/>
      <c r="M302" s="44" t="str">
        <f>IF(LayTable[[#This Row],[Sport]]="","",LayTable[[#This Row],[LayInnsats]]*(LayTable[[#This Row],[LayOdds]]-1))</f>
        <v/>
      </c>
      <c r="N302" s="45" t="str">
        <f>IF(LayTable[[#This Row],[Sport]]="","",1/((1/LayTable[[#This Row],[BookieOdds]])+(1/((1/((1+((LayTable[[#This Row],[LayOdds]]-1)*(1+LayTable[[#This Row],[C% Lay]])))-1))+1)))-1)</f>
        <v/>
      </c>
      <c r="Q302" s="46" t="str">
        <f>IF(LayTable[[#This Row],[Sport]]="","",LayTable[[#This Row],[BookieInnsats]]+LayTable[[#This Row],[LayLiability]])</f>
        <v/>
      </c>
      <c r="R3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2" s="47" t="str">
        <f>IF(LayTable[[#This Row],[Utfall bookie]]="","",LayTable[[#This Row],[WBABack]]+LayTable[[#This Row],[WBALay]]-LayTable[[#This Row],[Total inns]])</f>
        <v/>
      </c>
      <c r="U3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2" s="48" t="str">
        <f>IFERROR(IF(LayTable[[#This Row],[Total inns]]="","",LayTable[[#This Row],[Rback]]/LayTable[[#This Row],[Total inns]]),"")</f>
        <v/>
      </c>
      <c r="X302" s="48" t="str">
        <f>IFERROR(IF(LayTable[[#This Row],[Total inns]]="","",LayTable[[#This Row],[Rlay]]/LayTable[[#This Row],[Total inns]]),"")</f>
        <v/>
      </c>
      <c r="Y302" s="48" t="str">
        <f>IFERROR(LayTable[[#This Row],[Faktisk res]]/LayTable[[#This Row],[Total inns]],"")</f>
        <v/>
      </c>
      <c r="Z302" s="47">
        <f>(LayTable[[#This Row],[BookieInnsats]]*LayTable[[#This Row],[BookieOdds]]-LayTable[[#This Row],[BookieInnsats]])*(1-LayTable[[#This Row],[C% Bookie]])</f>
        <v>0</v>
      </c>
      <c r="AA302" s="43">
        <f>LayTable[[#This Row],[LayInnsats]]*(1-LayTable[[#This Row],[C% Lay]])</f>
        <v>0</v>
      </c>
      <c r="AB302" s="43" t="str">
        <f>IFERROR(IF(LayTable[[#This Row],[Sport]]="",AB301,LayTable[[#This Row],[Faktisk res]]+AB301),"")</f>
        <v/>
      </c>
      <c r="AC302" s="43">
        <f>(LayTable[[#This Row],[BackWin-Commission]]+LayTable[[#This Row],[BookieInnsats]])</f>
        <v>0</v>
      </c>
      <c r="AD302" s="43" t="e">
        <f>(LayTable[[#This Row],[LayWin-Commission]])+LayTable[[#This Row],[LayLiability]]</f>
        <v>#VALUE!</v>
      </c>
      <c r="AE302" s="181"/>
      <c r="AF302" s="183"/>
    </row>
    <row r="303" spans="1:32">
      <c r="A303" s="183"/>
      <c r="B303" s="177"/>
      <c r="C303" s="40"/>
      <c r="D303" s="41"/>
      <c r="E303" s="178"/>
      <c r="F303" s="179"/>
      <c r="G303" s="183"/>
      <c r="H303" s="38"/>
      <c r="I303" s="42"/>
      <c r="J303" s="42"/>
      <c r="K303" s="43"/>
      <c r="L303" s="43"/>
      <c r="M303" s="44" t="str">
        <f>IF(LayTable[[#This Row],[Sport]]="","",LayTable[[#This Row],[LayInnsats]]*(LayTable[[#This Row],[LayOdds]]-1))</f>
        <v/>
      </c>
      <c r="N303" s="45" t="str">
        <f>IF(LayTable[[#This Row],[Sport]]="","",1/((1/LayTable[[#This Row],[BookieOdds]])+(1/((1/((1+((LayTable[[#This Row],[LayOdds]]-1)*(1+LayTable[[#This Row],[C% Lay]])))-1))+1)))-1)</f>
        <v/>
      </c>
      <c r="Q303" s="46" t="str">
        <f>IF(LayTable[[#This Row],[Sport]]="","",LayTable[[#This Row],[BookieInnsats]]+LayTable[[#This Row],[LayLiability]])</f>
        <v/>
      </c>
      <c r="R3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3" s="47" t="str">
        <f>IF(LayTable[[#This Row],[Utfall bookie]]="","",LayTable[[#This Row],[WBABack]]+LayTable[[#This Row],[WBALay]]-LayTable[[#This Row],[Total inns]])</f>
        <v/>
      </c>
      <c r="U3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3" s="48" t="str">
        <f>IFERROR(IF(LayTable[[#This Row],[Total inns]]="","",LayTable[[#This Row],[Rback]]/LayTable[[#This Row],[Total inns]]),"")</f>
        <v/>
      </c>
      <c r="X303" s="48" t="str">
        <f>IFERROR(IF(LayTable[[#This Row],[Total inns]]="","",LayTable[[#This Row],[Rlay]]/LayTable[[#This Row],[Total inns]]),"")</f>
        <v/>
      </c>
      <c r="Y303" s="48" t="str">
        <f>IFERROR(LayTable[[#This Row],[Faktisk res]]/LayTable[[#This Row],[Total inns]],"")</f>
        <v/>
      </c>
      <c r="Z303" s="47">
        <f>(LayTable[[#This Row],[BookieInnsats]]*LayTable[[#This Row],[BookieOdds]]-LayTable[[#This Row],[BookieInnsats]])*(1-LayTable[[#This Row],[C% Bookie]])</f>
        <v>0</v>
      </c>
      <c r="AA303" s="43">
        <f>LayTable[[#This Row],[LayInnsats]]*(1-LayTable[[#This Row],[C% Lay]])</f>
        <v>0</v>
      </c>
      <c r="AB303" s="43" t="str">
        <f>IFERROR(IF(LayTable[[#This Row],[Sport]]="",AB302,LayTable[[#This Row],[Faktisk res]]+AB302),"")</f>
        <v/>
      </c>
      <c r="AC303" s="43">
        <f>(LayTable[[#This Row],[BackWin-Commission]]+LayTable[[#This Row],[BookieInnsats]])</f>
        <v>0</v>
      </c>
      <c r="AD303" s="43" t="e">
        <f>(LayTable[[#This Row],[LayWin-Commission]])+LayTable[[#This Row],[LayLiability]]</f>
        <v>#VALUE!</v>
      </c>
      <c r="AE303" s="181"/>
      <c r="AF303" s="183"/>
    </row>
    <row r="304" spans="1:32">
      <c r="A304" s="183"/>
      <c r="B304" s="177"/>
      <c r="C304" s="40"/>
      <c r="D304" s="41"/>
      <c r="E304" s="178"/>
      <c r="F304" s="179"/>
      <c r="G304" s="183"/>
      <c r="H304" s="38"/>
      <c r="I304" s="42"/>
      <c r="J304" s="42"/>
      <c r="K304" s="43"/>
      <c r="L304" s="43"/>
      <c r="M304" s="44" t="str">
        <f>IF(LayTable[[#This Row],[Sport]]="","",LayTable[[#This Row],[LayInnsats]]*(LayTable[[#This Row],[LayOdds]]-1))</f>
        <v/>
      </c>
      <c r="N304" s="45" t="str">
        <f>IF(LayTable[[#This Row],[Sport]]="","",1/((1/LayTable[[#This Row],[BookieOdds]])+(1/((1/((1+((LayTable[[#This Row],[LayOdds]]-1)*(1+LayTable[[#This Row],[C% Lay]])))-1))+1)))-1)</f>
        <v/>
      </c>
      <c r="Q304" s="46" t="str">
        <f>IF(LayTable[[#This Row],[Sport]]="","",LayTable[[#This Row],[BookieInnsats]]+LayTable[[#This Row],[LayLiability]])</f>
        <v/>
      </c>
      <c r="R3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4" s="47" t="str">
        <f>IF(LayTable[[#This Row],[Utfall bookie]]="","",LayTable[[#This Row],[WBABack]]+LayTable[[#This Row],[WBALay]]-LayTable[[#This Row],[Total inns]])</f>
        <v/>
      </c>
      <c r="U3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4" s="48" t="str">
        <f>IFERROR(IF(LayTable[[#This Row],[Total inns]]="","",LayTable[[#This Row],[Rback]]/LayTable[[#This Row],[Total inns]]),"")</f>
        <v/>
      </c>
      <c r="X304" s="48" t="str">
        <f>IFERROR(IF(LayTable[[#This Row],[Total inns]]="","",LayTable[[#This Row],[Rlay]]/LayTable[[#This Row],[Total inns]]),"")</f>
        <v/>
      </c>
      <c r="Y304" s="48" t="str">
        <f>IFERROR(LayTable[[#This Row],[Faktisk res]]/LayTable[[#This Row],[Total inns]],"")</f>
        <v/>
      </c>
      <c r="Z304" s="47">
        <f>(LayTable[[#This Row],[BookieInnsats]]*LayTable[[#This Row],[BookieOdds]]-LayTable[[#This Row],[BookieInnsats]])*(1-LayTable[[#This Row],[C% Bookie]])</f>
        <v>0</v>
      </c>
      <c r="AA304" s="43">
        <f>LayTable[[#This Row],[LayInnsats]]*(1-LayTable[[#This Row],[C% Lay]])</f>
        <v>0</v>
      </c>
      <c r="AB304" s="43" t="str">
        <f>IFERROR(IF(LayTable[[#This Row],[Sport]]="",AB303,LayTable[[#This Row],[Faktisk res]]+AB303),"")</f>
        <v/>
      </c>
      <c r="AC304" s="43">
        <f>(LayTable[[#This Row],[BackWin-Commission]]+LayTable[[#This Row],[BookieInnsats]])</f>
        <v>0</v>
      </c>
      <c r="AD304" s="43" t="e">
        <f>(LayTable[[#This Row],[LayWin-Commission]])+LayTable[[#This Row],[LayLiability]]</f>
        <v>#VALUE!</v>
      </c>
      <c r="AE304" s="181"/>
      <c r="AF304" s="268"/>
    </row>
    <row r="305" spans="1:32">
      <c r="A305" s="183"/>
      <c r="B305" s="177"/>
      <c r="C305" s="178"/>
      <c r="D305" s="179"/>
      <c r="E305" s="178"/>
      <c r="F305" s="179"/>
      <c r="G305" s="183"/>
      <c r="H305" s="176"/>
      <c r="I305" s="180"/>
      <c r="J305" s="180"/>
      <c r="K305" s="181"/>
      <c r="L305" s="43"/>
      <c r="M305" s="44" t="str">
        <f>IF(LayTable[[#This Row],[Sport]]="","",LayTable[[#This Row],[LayInnsats]]*(LayTable[[#This Row],[LayOdds]]-1))</f>
        <v/>
      </c>
      <c r="N305" s="45" t="str">
        <f>IF(LayTable[[#This Row],[Sport]]="","",1/((1/LayTable[[#This Row],[BookieOdds]])+(1/((1/((1+((LayTable[[#This Row],[LayOdds]]-1)*(1+LayTable[[#This Row],[C% Lay]])))-1))+1)))-1)</f>
        <v/>
      </c>
      <c r="Q305" s="46" t="str">
        <f>IF(LayTable[[#This Row],[Sport]]="","",LayTable[[#This Row],[BookieInnsats]]+LayTable[[#This Row],[LayLiability]])</f>
        <v/>
      </c>
      <c r="R3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5" s="47" t="str">
        <f>IF(LayTable[[#This Row],[Utfall bookie]]="","",LayTable[[#This Row],[WBABack]]+LayTable[[#This Row],[WBALay]]-LayTable[[#This Row],[Total inns]])</f>
        <v/>
      </c>
      <c r="U3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5" s="48" t="str">
        <f>IFERROR(IF(LayTable[[#This Row],[Total inns]]="","",LayTable[[#This Row],[Rback]]/LayTable[[#This Row],[Total inns]]),"")</f>
        <v/>
      </c>
      <c r="X305" s="48" t="str">
        <f>IFERROR(IF(LayTable[[#This Row],[Total inns]]="","",LayTable[[#This Row],[Rlay]]/LayTable[[#This Row],[Total inns]]),"")</f>
        <v/>
      </c>
      <c r="Y305" s="48" t="str">
        <f>IFERROR(LayTable[[#This Row],[Faktisk res]]/LayTable[[#This Row],[Total inns]],"")</f>
        <v/>
      </c>
      <c r="Z305" s="47">
        <f>(LayTable[[#This Row],[BookieInnsats]]*LayTable[[#This Row],[BookieOdds]]-LayTable[[#This Row],[BookieInnsats]])*(1-LayTable[[#This Row],[C% Bookie]])</f>
        <v>0</v>
      </c>
      <c r="AA305" s="43">
        <f>LayTable[[#This Row],[LayInnsats]]*(1-LayTable[[#This Row],[C% Lay]])</f>
        <v>0</v>
      </c>
      <c r="AB305" s="43" t="str">
        <f>IFERROR(IF(LayTable[[#This Row],[Sport]]="",AB304,LayTable[[#This Row],[Faktisk res]]+AB304),"")</f>
        <v/>
      </c>
      <c r="AC305" s="43">
        <f>(LayTable[[#This Row],[BackWin-Commission]]+LayTable[[#This Row],[BookieInnsats]])</f>
        <v>0</v>
      </c>
      <c r="AD305" s="43" t="e">
        <f>(LayTable[[#This Row],[LayWin-Commission]])+LayTable[[#This Row],[LayLiability]]</f>
        <v>#VALUE!</v>
      </c>
      <c r="AE305" s="181"/>
      <c r="AF305" s="181"/>
    </row>
    <row r="306" spans="1:32">
      <c r="A306" s="84"/>
      <c r="B306" s="177"/>
      <c r="C306" s="40"/>
      <c r="D306" s="41"/>
      <c r="E306" s="178"/>
      <c r="F306" s="179"/>
      <c r="G306" s="183"/>
      <c r="H306" s="38"/>
      <c r="I306" s="42"/>
      <c r="J306" s="42"/>
      <c r="K306" s="43"/>
      <c r="L306" s="43"/>
      <c r="M306" s="44" t="str">
        <f>IF(LayTable[[#This Row],[Sport]]="","",LayTable[[#This Row],[LayInnsats]]*(LayTable[[#This Row],[LayOdds]]-1))</f>
        <v/>
      </c>
      <c r="N306" s="45" t="str">
        <f>IF(LayTable[[#This Row],[Sport]]="","",1/((1/LayTable[[#This Row],[BookieOdds]])+(1/((1/((1+((LayTable[[#This Row],[LayOdds]]-1)*(1+LayTable[[#This Row],[C% Lay]])))-1))+1)))-1)</f>
        <v/>
      </c>
      <c r="Q306" s="46" t="str">
        <f>IF(LayTable[[#This Row],[Sport]]="","",LayTable[[#This Row],[BookieInnsats]]+LayTable[[#This Row],[LayLiability]])</f>
        <v/>
      </c>
      <c r="R3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6" s="47" t="str">
        <f>IF(LayTable[[#This Row],[Utfall bookie]]="","",LayTable[[#This Row],[WBABack]]+LayTable[[#This Row],[WBALay]]-LayTable[[#This Row],[Total inns]])</f>
        <v/>
      </c>
      <c r="U3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6" s="48" t="str">
        <f>IFERROR(IF(LayTable[[#This Row],[Total inns]]="","",LayTable[[#This Row],[Rback]]/LayTable[[#This Row],[Total inns]]),"")</f>
        <v/>
      </c>
      <c r="X306" s="48" t="str">
        <f>IFERROR(IF(LayTable[[#This Row],[Total inns]]="","",LayTable[[#This Row],[Rlay]]/LayTable[[#This Row],[Total inns]]),"")</f>
        <v/>
      </c>
      <c r="Y306" s="48" t="str">
        <f>IFERROR(LayTable[[#This Row],[Faktisk res]]/LayTable[[#This Row],[Total inns]],"")</f>
        <v/>
      </c>
      <c r="Z306" s="47">
        <f>(LayTable[[#This Row],[BookieInnsats]]*LayTable[[#This Row],[BookieOdds]]-LayTable[[#This Row],[BookieInnsats]])*(1-LayTable[[#This Row],[C% Bookie]])</f>
        <v>0</v>
      </c>
      <c r="AA306" s="43">
        <f>LayTable[[#This Row],[LayInnsats]]*(1-LayTable[[#This Row],[C% Lay]])</f>
        <v>0</v>
      </c>
      <c r="AB306" s="43" t="str">
        <f>IFERROR(IF(LayTable[[#This Row],[Sport]]="",AB305,LayTable[[#This Row],[Faktisk res]]+AB305),"")</f>
        <v/>
      </c>
      <c r="AC306" s="43">
        <f>(LayTable[[#This Row],[BackWin-Commission]]+LayTable[[#This Row],[BookieInnsats]])</f>
        <v>0</v>
      </c>
      <c r="AD306" s="43" t="e">
        <f>(LayTable[[#This Row],[LayWin-Commission]])+LayTable[[#This Row],[LayLiability]]</f>
        <v>#VALUE!</v>
      </c>
      <c r="AE306" s="181"/>
      <c r="AF306" s="181"/>
    </row>
    <row r="307" spans="1:32">
      <c r="A307" s="84"/>
      <c r="B307" s="177"/>
      <c r="C307" s="40"/>
      <c r="D307" s="41"/>
      <c r="E307" s="178"/>
      <c r="F307" s="179"/>
      <c r="G307" s="183"/>
      <c r="H307" s="38"/>
      <c r="I307" s="42"/>
      <c r="J307" s="42"/>
      <c r="K307" s="43"/>
      <c r="L307" s="43"/>
      <c r="M307" s="44" t="str">
        <f>IF(LayTable[[#This Row],[Sport]]="","",LayTable[[#This Row],[LayInnsats]]*(LayTable[[#This Row],[LayOdds]]-1))</f>
        <v/>
      </c>
      <c r="N307" s="45" t="str">
        <f>IF(LayTable[[#This Row],[Sport]]="","",1/((1/LayTable[[#This Row],[BookieOdds]])+(1/((1/((1+((LayTable[[#This Row],[LayOdds]]-1)*(1+LayTable[[#This Row],[C% Lay]])))-1))+1)))-1)</f>
        <v/>
      </c>
      <c r="Q307" s="46" t="str">
        <f>IF(LayTable[[#This Row],[Sport]]="","",LayTable[[#This Row],[BookieInnsats]]+LayTable[[#This Row],[LayLiability]])</f>
        <v/>
      </c>
      <c r="R3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7" s="47" t="str">
        <f>IF(LayTable[[#This Row],[Utfall bookie]]="","",LayTable[[#This Row],[WBABack]]+LayTable[[#This Row],[WBALay]]-LayTable[[#This Row],[Total inns]])</f>
        <v/>
      </c>
      <c r="U3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7" s="48" t="str">
        <f>IFERROR(IF(LayTable[[#This Row],[Total inns]]="","",LayTable[[#This Row],[Rback]]/LayTable[[#This Row],[Total inns]]),"")</f>
        <v/>
      </c>
      <c r="X307" s="48" t="str">
        <f>IFERROR(IF(LayTable[[#This Row],[Total inns]]="","",LayTable[[#This Row],[Rlay]]/LayTable[[#This Row],[Total inns]]),"")</f>
        <v/>
      </c>
      <c r="Y307" s="48" t="str">
        <f>IFERROR(LayTable[[#This Row],[Faktisk res]]/LayTable[[#This Row],[Total inns]],"")</f>
        <v/>
      </c>
      <c r="Z307" s="47">
        <f>(LayTable[[#This Row],[BookieInnsats]]*LayTable[[#This Row],[BookieOdds]]-LayTable[[#This Row],[BookieInnsats]])*(1-LayTable[[#This Row],[C% Bookie]])</f>
        <v>0</v>
      </c>
      <c r="AA307" s="43">
        <f>LayTable[[#This Row],[LayInnsats]]*(1-LayTable[[#This Row],[C% Lay]])</f>
        <v>0</v>
      </c>
      <c r="AB307" s="43" t="str">
        <f>IFERROR(IF(LayTable[[#This Row],[Sport]]="",AB306,LayTable[[#This Row],[Faktisk res]]+AB306),"")</f>
        <v/>
      </c>
      <c r="AC307" s="43">
        <f>(LayTable[[#This Row],[BackWin-Commission]]+LayTable[[#This Row],[BookieInnsats]])</f>
        <v>0</v>
      </c>
      <c r="AD307" s="43" t="e">
        <f>(LayTable[[#This Row],[LayWin-Commission]])+LayTable[[#This Row],[LayLiability]]</f>
        <v>#VALUE!</v>
      </c>
      <c r="AE307" s="181"/>
      <c r="AF307" s="183"/>
    </row>
    <row r="308" spans="1:32">
      <c r="A308" s="183"/>
      <c r="B308" s="177"/>
      <c r="C308" s="178"/>
      <c r="D308" s="41"/>
      <c r="E308" s="178"/>
      <c r="F308" s="179"/>
      <c r="G308" s="183"/>
      <c r="H308" s="38"/>
      <c r="I308" s="42"/>
      <c r="J308" s="42"/>
      <c r="K308" s="43"/>
      <c r="L308" s="43"/>
      <c r="M308" s="44" t="str">
        <f>IF(LayTable[[#This Row],[Sport]]="","",LayTable[[#This Row],[LayInnsats]]*(LayTable[[#This Row],[LayOdds]]-1))</f>
        <v/>
      </c>
      <c r="N308" s="45" t="str">
        <f>IF(LayTable[[#This Row],[Sport]]="","",1/((1/LayTable[[#This Row],[BookieOdds]])+(1/((1/((1+((LayTable[[#This Row],[LayOdds]]-1)*(1+LayTable[[#This Row],[C% Lay]])))-1))+1)))-1)</f>
        <v/>
      </c>
      <c r="Q308" s="46" t="str">
        <f>IF(LayTable[[#This Row],[Sport]]="","",LayTable[[#This Row],[BookieInnsats]]+LayTable[[#This Row],[LayLiability]])</f>
        <v/>
      </c>
      <c r="R3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8" s="47" t="str">
        <f>IF(LayTable[[#This Row],[Utfall bookie]]="","",LayTable[[#This Row],[WBABack]]+LayTable[[#This Row],[WBALay]]-LayTable[[#This Row],[Total inns]])</f>
        <v/>
      </c>
      <c r="U3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8" s="48" t="str">
        <f>IFERROR(IF(LayTable[[#This Row],[Total inns]]="","",LayTable[[#This Row],[Rback]]/LayTable[[#This Row],[Total inns]]),"")</f>
        <v/>
      </c>
      <c r="X308" s="48" t="str">
        <f>IFERROR(IF(LayTable[[#This Row],[Total inns]]="","",LayTable[[#This Row],[Rlay]]/LayTable[[#This Row],[Total inns]]),"")</f>
        <v/>
      </c>
      <c r="Y308" s="48" t="str">
        <f>IFERROR(LayTable[[#This Row],[Faktisk res]]/LayTable[[#This Row],[Total inns]],"")</f>
        <v/>
      </c>
      <c r="Z308" s="47">
        <f>(LayTable[[#This Row],[BookieInnsats]]*LayTable[[#This Row],[BookieOdds]]-LayTable[[#This Row],[BookieInnsats]])*(1-LayTable[[#This Row],[C% Bookie]])</f>
        <v>0</v>
      </c>
      <c r="AA308" s="43">
        <f>LayTable[[#This Row],[LayInnsats]]*(1-LayTable[[#This Row],[C% Lay]])</f>
        <v>0</v>
      </c>
      <c r="AB308" s="43" t="str">
        <f>IFERROR(IF(LayTable[[#This Row],[Sport]]="",AB307,LayTable[[#This Row],[Faktisk res]]+AB307),"")</f>
        <v/>
      </c>
      <c r="AC308" s="43">
        <f>(LayTable[[#This Row],[BackWin-Commission]]+LayTable[[#This Row],[BookieInnsats]])</f>
        <v>0</v>
      </c>
      <c r="AD308" s="43" t="e">
        <f>(LayTable[[#This Row],[LayWin-Commission]])+LayTable[[#This Row],[LayLiability]]</f>
        <v>#VALUE!</v>
      </c>
      <c r="AE308" s="181"/>
      <c r="AF308" s="183"/>
    </row>
    <row r="309" spans="1:32">
      <c r="A309" s="84"/>
      <c r="B309" s="177"/>
      <c r="C309" s="40"/>
      <c r="D309" s="41"/>
      <c r="E309" s="178"/>
      <c r="F309" s="179"/>
      <c r="G309" s="183"/>
      <c r="H309" s="38"/>
      <c r="I309" s="42"/>
      <c r="J309" s="42"/>
      <c r="K309" s="43"/>
      <c r="L309" s="43"/>
      <c r="M309" s="44" t="str">
        <f>IF(LayTable[[#This Row],[Sport]]="","",LayTable[[#This Row],[LayInnsats]]*(LayTable[[#This Row],[LayOdds]]-1))</f>
        <v/>
      </c>
      <c r="N309" s="45" t="str">
        <f>IF(LayTable[[#This Row],[Sport]]="","",1/((1/LayTable[[#This Row],[BookieOdds]])+(1/((1/((1+((LayTable[[#This Row],[LayOdds]]-1)*(1+LayTable[[#This Row],[C% Lay]])))-1))+1)))-1)</f>
        <v/>
      </c>
      <c r="Q309" s="46" t="str">
        <f>IF(LayTable[[#This Row],[Sport]]="","",LayTable[[#This Row],[BookieInnsats]]+LayTable[[#This Row],[LayLiability]])</f>
        <v/>
      </c>
      <c r="R3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09" s="47" t="str">
        <f>IF(LayTable[[#This Row],[Utfall bookie]]="","",LayTable[[#This Row],[WBABack]]+LayTable[[#This Row],[WBALay]]-LayTable[[#This Row],[Total inns]])</f>
        <v/>
      </c>
      <c r="U3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09" s="48" t="str">
        <f>IFERROR(IF(LayTable[[#This Row],[Total inns]]="","",LayTable[[#This Row],[Rback]]/LayTable[[#This Row],[Total inns]]),"")</f>
        <v/>
      </c>
      <c r="X309" s="48" t="str">
        <f>IFERROR(IF(LayTable[[#This Row],[Total inns]]="","",LayTable[[#This Row],[Rlay]]/LayTable[[#This Row],[Total inns]]),"")</f>
        <v/>
      </c>
      <c r="Y309" s="48" t="str">
        <f>IFERROR(LayTable[[#This Row],[Faktisk res]]/LayTable[[#This Row],[Total inns]],"")</f>
        <v/>
      </c>
      <c r="Z309" s="47">
        <f>(LayTable[[#This Row],[BookieInnsats]]*LayTable[[#This Row],[BookieOdds]]-LayTable[[#This Row],[BookieInnsats]])*(1-LayTable[[#This Row],[C% Bookie]])</f>
        <v>0</v>
      </c>
      <c r="AA309" s="43">
        <f>LayTable[[#This Row],[LayInnsats]]*(1-LayTable[[#This Row],[C% Lay]])</f>
        <v>0</v>
      </c>
      <c r="AB309" s="43" t="str">
        <f>IFERROR(IF(LayTable[[#This Row],[Sport]]="",AB308,LayTable[[#This Row],[Faktisk res]]+AB308),"")</f>
        <v/>
      </c>
      <c r="AC309" s="43">
        <f>(LayTable[[#This Row],[BackWin-Commission]]+LayTable[[#This Row],[BookieInnsats]])</f>
        <v>0</v>
      </c>
      <c r="AD309" s="43" t="e">
        <f>(LayTable[[#This Row],[LayWin-Commission]])+LayTable[[#This Row],[LayLiability]]</f>
        <v>#VALUE!</v>
      </c>
      <c r="AE309" s="181"/>
      <c r="AF309" s="183"/>
    </row>
    <row r="310" spans="1:32">
      <c r="A310" s="84"/>
      <c r="B310" s="177"/>
      <c r="C310" s="40"/>
      <c r="D310" s="41"/>
      <c r="E310" s="178"/>
      <c r="F310" s="179"/>
      <c r="G310" s="183"/>
      <c r="H310" s="38"/>
      <c r="I310" s="42"/>
      <c r="J310" s="42"/>
      <c r="K310" s="43"/>
      <c r="L310" s="43"/>
      <c r="M310" s="44" t="str">
        <f>IF(LayTable[[#This Row],[Sport]]="","",LayTable[[#This Row],[LayInnsats]]*(LayTable[[#This Row],[LayOdds]]-1))</f>
        <v/>
      </c>
      <c r="N310" s="45" t="str">
        <f>IF(LayTable[[#This Row],[Sport]]="","",1/((1/LayTable[[#This Row],[BookieOdds]])+(1/((1/((1+((LayTable[[#This Row],[LayOdds]]-1)*(1+LayTable[[#This Row],[C% Lay]])))-1))+1)))-1)</f>
        <v/>
      </c>
      <c r="Q310" s="46" t="str">
        <f>IF(LayTable[[#This Row],[Sport]]="","",LayTable[[#This Row],[BookieInnsats]]+LayTable[[#This Row],[LayLiability]])</f>
        <v/>
      </c>
      <c r="R3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0" s="47" t="str">
        <f>IF(LayTable[[#This Row],[Utfall bookie]]="","",LayTable[[#This Row],[WBABack]]+LayTable[[#This Row],[WBALay]]-LayTable[[#This Row],[Total inns]])</f>
        <v/>
      </c>
      <c r="U3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0" s="48" t="str">
        <f>IFERROR(IF(LayTable[[#This Row],[Total inns]]="","",LayTable[[#This Row],[Rback]]/LayTable[[#This Row],[Total inns]]),"")</f>
        <v/>
      </c>
      <c r="X310" s="48" t="str">
        <f>IFERROR(IF(LayTable[[#This Row],[Total inns]]="","",LayTable[[#This Row],[Rlay]]/LayTable[[#This Row],[Total inns]]),"")</f>
        <v/>
      </c>
      <c r="Y310" s="48" t="str">
        <f>IFERROR(LayTable[[#This Row],[Faktisk res]]/LayTable[[#This Row],[Total inns]],"")</f>
        <v/>
      </c>
      <c r="Z310" s="47">
        <f>(LayTable[[#This Row],[BookieInnsats]]*LayTable[[#This Row],[BookieOdds]]-LayTable[[#This Row],[BookieInnsats]])*(1-LayTable[[#This Row],[C% Bookie]])</f>
        <v>0</v>
      </c>
      <c r="AA310" s="43">
        <f>LayTable[[#This Row],[LayInnsats]]*(1-LayTable[[#This Row],[C% Lay]])</f>
        <v>0</v>
      </c>
      <c r="AB310" s="43" t="str">
        <f>IFERROR(IF(LayTable[[#This Row],[Sport]]="",AB309,LayTable[[#This Row],[Faktisk res]]+AB309),"")</f>
        <v/>
      </c>
      <c r="AC310" s="43">
        <f>(LayTable[[#This Row],[BackWin-Commission]]+LayTable[[#This Row],[BookieInnsats]])</f>
        <v>0</v>
      </c>
      <c r="AD310" s="43" t="e">
        <f>(LayTable[[#This Row],[LayWin-Commission]])+LayTable[[#This Row],[LayLiability]]</f>
        <v>#VALUE!</v>
      </c>
      <c r="AE310" s="181"/>
      <c r="AF310" s="183"/>
    </row>
    <row r="311" spans="1:32">
      <c r="A311" s="84"/>
      <c r="B311" s="177"/>
      <c r="C311" s="40"/>
      <c r="D311" s="41"/>
      <c r="E311" s="178"/>
      <c r="F311" s="179"/>
      <c r="G311" s="183"/>
      <c r="H311" s="38"/>
      <c r="I311" s="42"/>
      <c r="J311" s="42"/>
      <c r="K311" s="43"/>
      <c r="L311" s="43"/>
      <c r="M311" s="44" t="str">
        <f>IF(LayTable[[#This Row],[Sport]]="","",LayTable[[#This Row],[LayInnsats]]*(LayTable[[#This Row],[LayOdds]]-1))</f>
        <v/>
      </c>
      <c r="N311" s="45" t="str">
        <f>IF(LayTable[[#This Row],[Sport]]="","",1/((1/LayTable[[#This Row],[BookieOdds]])+(1/((1/((1+((LayTable[[#This Row],[LayOdds]]-1)*(1+LayTable[[#This Row],[C% Lay]])))-1))+1)))-1)</f>
        <v/>
      </c>
      <c r="Q311" s="46" t="str">
        <f>IF(LayTable[[#This Row],[Sport]]="","",LayTable[[#This Row],[BookieInnsats]]+LayTable[[#This Row],[LayLiability]])</f>
        <v/>
      </c>
      <c r="R3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1" s="47" t="str">
        <f>IF(LayTable[[#This Row],[Utfall bookie]]="","",LayTable[[#This Row],[WBABack]]+LayTable[[#This Row],[WBALay]]-LayTable[[#This Row],[Total inns]])</f>
        <v/>
      </c>
      <c r="U3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1" s="48" t="str">
        <f>IFERROR(IF(LayTable[[#This Row],[Total inns]]="","",LayTable[[#This Row],[Rback]]/LayTable[[#This Row],[Total inns]]),"")</f>
        <v/>
      </c>
      <c r="X311" s="48" t="str">
        <f>IFERROR(IF(LayTable[[#This Row],[Total inns]]="","",LayTable[[#This Row],[Rlay]]/LayTable[[#This Row],[Total inns]]),"")</f>
        <v/>
      </c>
      <c r="Y311" s="48" t="str">
        <f>IFERROR(LayTable[[#This Row],[Faktisk res]]/LayTable[[#This Row],[Total inns]],"")</f>
        <v/>
      </c>
      <c r="Z311" s="47">
        <f>(LayTable[[#This Row],[BookieInnsats]]*LayTable[[#This Row],[BookieOdds]]-LayTable[[#This Row],[BookieInnsats]])*(1-LayTable[[#This Row],[C% Bookie]])</f>
        <v>0</v>
      </c>
      <c r="AA311" s="43">
        <f>LayTable[[#This Row],[LayInnsats]]*(1-LayTable[[#This Row],[C% Lay]])</f>
        <v>0</v>
      </c>
      <c r="AB311" s="43" t="str">
        <f>IFERROR(IF(LayTable[[#This Row],[Sport]]="",AB310,LayTable[[#This Row],[Faktisk res]]+AB310),"")</f>
        <v/>
      </c>
      <c r="AC311" s="43">
        <f>(LayTable[[#This Row],[BackWin-Commission]]+LayTable[[#This Row],[BookieInnsats]])</f>
        <v>0</v>
      </c>
      <c r="AD311" s="43" t="e">
        <f>(LayTable[[#This Row],[LayWin-Commission]])+LayTable[[#This Row],[LayLiability]]</f>
        <v>#VALUE!</v>
      </c>
      <c r="AE311" s="181"/>
      <c r="AF311" s="183"/>
    </row>
    <row r="312" spans="1:32">
      <c r="A312" s="84"/>
      <c r="B312" s="177"/>
      <c r="C312" s="40"/>
      <c r="D312" s="41"/>
      <c r="E312" s="178"/>
      <c r="F312" s="179"/>
      <c r="G312" s="183"/>
      <c r="H312" s="38"/>
      <c r="I312" s="42"/>
      <c r="J312" s="42"/>
      <c r="K312" s="43"/>
      <c r="L312" s="43"/>
      <c r="M312" s="44" t="str">
        <f>IF(LayTable[[#This Row],[Sport]]="","",LayTable[[#This Row],[LayInnsats]]*(LayTable[[#This Row],[LayOdds]]-1))</f>
        <v/>
      </c>
      <c r="N312" s="45" t="str">
        <f>IF(LayTable[[#This Row],[Sport]]="","",1/((1/LayTable[[#This Row],[BookieOdds]])+(1/((1/((1+((LayTable[[#This Row],[LayOdds]]-1)*(1+LayTable[[#This Row],[C% Lay]])))-1))+1)))-1)</f>
        <v/>
      </c>
      <c r="Q312" s="46" t="str">
        <f>IF(LayTable[[#This Row],[Sport]]="","",LayTable[[#This Row],[BookieInnsats]]+LayTable[[#This Row],[LayLiability]])</f>
        <v/>
      </c>
      <c r="R3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2" s="47" t="str">
        <f>IF(LayTable[[#This Row],[Utfall bookie]]="","",LayTable[[#This Row],[WBABack]]+LayTable[[#This Row],[WBALay]]-LayTable[[#This Row],[Total inns]])</f>
        <v/>
      </c>
      <c r="U3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2" s="48" t="str">
        <f>IFERROR(IF(LayTable[[#This Row],[Total inns]]="","",LayTable[[#This Row],[Rback]]/LayTable[[#This Row],[Total inns]]),"")</f>
        <v/>
      </c>
      <c r="X312" s="48" t="str">
        <f>IFERROR(IF(LayTable[[#This Row],[Total inns]]="","",LayTable[[#This Row],[Rlay]]/LayTable[[#This Row],[Total inns]]),"")</f>
        <v/>
      </c>
      <c r="Y312" s="48" t="str">
        <f>IFERROR(LayTable[[#This Row],[Faktisk res]]/LayTable[[#This Row],[Total inns]],"")</f>
        <v/>
      </c>
      <c r="Z312" s="47">
        <f>(LayTable[[#This Row],[BookieInnsats]]*LayTable[[#This Row],[BookieOdds]]-LayTable[[#This Row],[BookieInnsats]])*(1-LayTable[[#This Row],[C% Bookie]])</f>
        <v>0</v>
      </c>
      <c r="AA312" s="43">
        <f>LayTable[[#This Row],[LayInnsats]]*(1-LayTable[[#This Row],[C% Lay]])</f>
        <v>0</v>
      </c>
      <c r="AB312" s="43" t="str">
        <f>IFERROR(IF(LayTable[[#This Row],[Sport]]="",AB311,LayTable[[#This Row],[Faktisk res]]+AB311),"")</f>
        <v/>
      </c>
      <c r="AC312" s="43">
        <f>(LayTable[[#This Row],[BackWin-Commission]]+LayTable[[#This Row],[BookieInnsats]])</f>
        <v>0</v>
      </c>
      <c r="AD312" s="43" t="e">
        <f>(LayTable[[#This Row],[LayWin-Commission]])+LayTable[[#This Row],[LayLiability]]</f>
        <v>#VALUE!</v>
      </c>
      <c r="AE312" s="181"/>
      <c r="AF312" s="183"/>
    </row>
    <row r="313" spans="1:32">
      <c r="A313" s="84"/>
      <c r="B313" s="177"/>
      <c r="C313" s="40"/>
      <c r="D313" s="41"/>
      <c r="E313" s="178"/>
      <c r="F313" s="179"/>
      <c r="G313" s="183"/>
      <c r="H313" s="38"/>
      <c r="I313" s="42"/>
      <c r="J313" s="42"/>
      <c r="K313" s="43"/>
      <c r="L313" s="43"/>
      <c r="M313" s="44" t="str">
        <f>IF(LayTable[[#This Row],[Sport]]="","",LayTable[[#This Row],[LayInnsats]]*(LayTable[[#This Row],[LayOdds]]-1))</f>
        <v/>
      </c>
      <c r="N313" s="45" t="str">
        <f>IF(LayTable[[#This Row],[Sport]]="","",1/((1/LayTable[[#This Row],[BookieOdds]])+(1/((1/((1+((LayTable[[#This Row],[LayOdds]]-1)*(1+LayTable[[#This Row],[C% Lay]])))-1))+1)))-1)</f>
        <v/>
      </c>
      <c r="Q313" s="46" t="str">
        <f>IF(LayTable[[#This Row],[Sport]]="","",LayTable[[#This Row],[BookieInnsats]]+LayTable[[#This Row],[LayLiability]])</f>
        <v/>
      </c>
      <c r="R3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3" s="47" t="str">
        <f>IF(LayTable[[#This Row],[Utfall bookie]]="","",LayTable[[#This Row],[WBABack]]+LayTable[[#This Row],[WBALay]]-LayTable[[#This Row],[Total inns]])</f>
        <v/>
      </c>
      <c r="U3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3" s="48" t="str">
        <f>IFERROR(IF(LayTable[[#This Row],[Total inns]]="","",LayTable[[#This Row],[Rback]]/LayTable[[#This Row],[Total inns]]),"")</f>
        <v/>
      </c>
      <c r="X313" s="48" t="str">
        <f>IFERROR(IF(LayTable[[#This Row],[Total inns]]="","",LayTable[[#This Row],[Rlay]]/LayTable[[#This Row],[Total inns]]),"")</f>
        <v/>
      </c>
      <c r="Y313" s="48" t="str">
        <f>IFERROR(LayTable[[#This Row],[Faktisk res]]/LayTable[[#This Row],[Total inns]],"")</f>
        <v/>
      </c>
      <c r="Z313" s="47">
        <f>(LayTable[[#This Row],[BookieInnsats]]*LayTable[[#This Row],[BookieOdds]]-LayTable[[#This Row],[BookieInnsats]])*(1-LayTable[[#This Row],[C% Bookie]])</f>
        <v>0</v>
      </c>
      <c r="AA313" s="43">
        <f>LayTable[[#This Row],[LayInnsats]]*(1-LayTable[[#This Row],[C% Lay]])</f>
        <v>0</v>
      </c>
      <c r="AB313" s="43" t="str">
        <f>IFERROR(IF(LayTable[[#This Row],[Sport]]="",AB312,LayTable[[#This Row],[Faktisk res]]+AB312),"")</f>
        <v/>
      </c>
      <c r="AC313" s="43">
        <f>(LayTable[[#This Row],[BackWin-Commission]]+LayTable[[#This Row],[BookieInnsats]])</f>
        <v>0</v>
      </c>
      <c r="AD313" s="43" t="e">
        <f>(LayTable[[#This Row],[LayWin-Commission]])+LayTable[[#This Row],[LayLiability]]</f>
        <v>#VALUE!</v>
      </c>
      <c r="AE313" s="181"/>
      <c r="AF313" s="183"/>
    </row>
    <row r="314" spans="1:32">
      <c r="A314" s="84"/>
      <c r="B314" s="177"/>
      <c r="C314" s="40"/>
      <c r="D314" s="41"/>
      <c r="E314" s="178"/>
      <c r="F314" s="179"/>
      <c r="G314" s="183"/>
      <c r="H314" s="38"/>
      <c r="I314" s="42"/>
      <c r="J314" s="42"/>
      <c r="K314" s="43"/>
      <c r="L314" s="43"/>
      <c r="M314" s="44" t="str">
        <f>IF(LayTable[[#This Row],[Sport]]="","",LayTable[[#This Row],[LayInnsats]]*(LayTable[[#This Row],[LayOdds]]-1))</f>
        <v/>
      </c>
      <c r="N314" s="45" t="str">
        <f>IF(LayTable[[#This Row],[Sport]]="","",1/((1/LayTable[[#This Row],[BookieOdds]])+(1/((1/((1+((LayTable[[#This Row],[LayOdds]]-1)*(1+LayTable[[#This Row],[C% Lay]])))-1))+1)))-1)</f>
        <v/>
      </c>
      <c r="Q314" s="46" t="str">
        <f>IF(LayTable[[#This Row],[Sport]]="","",LayTable[[#This Row],[BookieInnsats]]+LayTable[[#This Row],[LayLiability]])</f>
        <v/>
      </c>
      <c r="R3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4" s="47" t="str">
        <f>IF(LayTable[[#This Row],[Utfall bookie]]="","",LayTable[[#This Row],[WBABack]]+LayTable[[#This Row],[WBALay]]-LayTable[[#This Row],[Total inns]])</f>
        <v/>
      </c>
      <c r="U3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4" s="48" t="str">
        <f>IFERROR(IF(LayTable[[#This Row],[Total inns]]="","",LayTable[[#This Row],[Rback]]/LayTable[[#This Row],[Total inns]]),"")</f>
        <v/>
      </c>
      <c r="X314" s="48" t="str">
        <f>IFERROR(IF(LayTable[[#This Row],[Total inns]]="","",LayTable[[#This Row],[Rlay]]/LayTable[[#This Row],[Total inns]]),"")</f>
        <v/>
      </c>
      <c r="Y314" s="48" t="str">
        <f>IFERROR(LayTable[[#This Row],[Faktisk res]]/LayTable[[#This Row],[Total inns]],"")</f>
        <v/>
      </c>
      <c r="Z314" s="47">
        <f>(LayTable[[#This Row],[BookieInnsats]]*LayTable[[#This Row],[BookieOdds]]-LayTable[[#This Row],[BookieInnsats]])*(1-LayTable[[#This Row],[C% Bookie]])</f>
        <v>0</v>
      </c>
      <c r="AA314" s="43">
        <f>LayTable[[#This Row],[LayInnsats]]*(1-LayTable[[#This Row],[C% Lay]])</f>
        <v>0</v>
      </c>
      <c r="AB314" s="43" t="str">
        <f>IFERROR(IF(LayTable[[#This Row],[Sport]]="",AB313,LayTable[[#This Row],[Faktisk res]]+AB313),"")</f>
        <v/>
      </c>
      <c r="AC314" s="43">
        <f>(LayTable[[#This Row],[BackWin-Commission]]+LayTable[[#This Row],[BookieInnsats]])</f>
        <v>0</v>
      </c>
      <c r="AD314" s="43" t="e">
        <f>(LayTable[[#This Row],[LayWin-Commission]])+LayTable[[#This Row],[LayLiability]]</f>
        <v>#VALUE!</v>
      </c>
      <c r="AE314" s="181"/>
      <c r="AF314" s="183"/>
    </row>
    <row r="315" spans="1:32">
      <c r="A315" s="84"/>
      <c r="B315" s="177"/>
      <c r="C315" s="40"/>
      <c r="D315" s="41"/>
      <c r="E315" s="178"/>
      <c r="F315" s="179"/>
      <c r="G315" s="183"/>
      <c r="H315" s="38"/>
      <c r="I315" s="42"/>
      <c r="J315" s="42"/>
      <c r="K315" s="43"/>
      <c r="L315" s="43"/>
      <c r="M315" s="44" t="str">
        <f>IF(LayTable[[#This Row],[Sport]]="","",LayTable[[#This Row],[LayInnsats]]*(LayTable[[#This Row],[LayOdds]]-1))</f>
        <v/>
      </c>
      <c r="N315" s="45" t="str">
        <f>IF(LayTable[[#This Row],[Sport]]="","",1/((1/LayTable[[#This Row],[BookieOdds]])+(1/((1/((1+((LayTable[[#This Row],[LayOdds]]-1)*(1+LayTable[[#This Row],[C% Lay]])))-1))+1)))-1)</f>
        <v/>
      </c>
      <c r="Q315" s="46" t="str">
        <f>IF(LayTable[[#This Row],[Sport]]="","",LayTable[[#This Row],[BookieInnsats]]+LayTable[[#This Row],[LayLiability]])</f>
        <v/>
      </c>
      <c r="R3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5" s="47" t="str">
        <f>IF(LayTable[[#This Row],[Utfall bookie]]="","",LayTable[[#This Row],[WBABack]]+LayTable[[#This Row],[WBALay]]-LayTable[[#This Row],[Total inns]])</f>
        <v/>
      </c>
      <c r="U3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5" s="48" t="str">
        <f>IFERROR(IF(LayTable[[#This Row],[Total inns]]="","",LayTable[[#This Row],[Rback]]/LayTable[[#This Row],[Total inns]]),"")</f>
        <v/>
      </c>
      <c r="X315" s="48" t="str">
        <f>IFERROR(IF(LayTable[[#This Row],[Total inns]]="","",LayTable[[#This Row],[Rlay]]/LayTable[[#This Row],[Total inns]]),"")</f>
        <v/>
      </c>
      <c r="Y315" s="48" t="str">
        <f>IFERROR(LayTable[[#This Row],[Faktisk res]]/LayTable[[#This Row],[Total inns]],"")</f>
        <v/>
      </c>
      <c r="Z315" s="47">
        <f>(LayTable[[#This Row],[BookieInnsats]]*LayTable[[#This Row],[BookieOdds]]-LayTable[[#This Row],[BookieInnsats]])*(1-LayTable[[#This Row],[C% Bookie]])</f>
        <v>0</v>
      </c>
      <c r="AA315" s="43">
        <f>LayTable[[#This Row],[LayInnsats]]*(1-LayTable[[#This Row],[C% Lay]])</f>
        <v>0</v>
      </c>
      <c r="AB315" s="43" t="str">
        <f>IFERROR(IF(LayTable[[#This Row],[Sport]]="",AB314,LayTable[[#This Row],[Faktisk res]]+AB314),"")</f>
        <v/>
      </c>
      <c r="AC315" s="43">
        <f>(LayTable[[#This Row],[BackWin-Commission]]+LayTable[[#This Row],[BookieInnsats]])</f>
        <v>0</v>
      </c>
      <c r="AD315" s="43" t="e">
        <f>(LayTable[[#This Row],[LayWin-Commission]])+LayTable[[#This Row],[LayLiability]]</f>
        <v>#VALUE!</v>
      </c>
      <c r="AE315" s="181"/>
      <c r="AF315" s="183"/>
    </row>
    <row r="316" spans="1:32">
      <c r="A316" s="183"/>
      <c r="B316" s="177"/>
      <c r="C316" s="40"/>
      <c r="D316" s="41"/>
      <c r="E316" s="178"/>
      <c r="F316" s="179"/>
      <c r="G316" s="183"/>
      <c r="H316" s="176"/>
      <c r="I316" s="42"/>
      <c r="J316" s="42"/>
      <c r="K316" s="43"/>
      <c r="L316" s="43"/>
      <c r="M316" s="44" t="str">
        <f>IF(LayTable[[#This Row],[Sport]]="","",LayTable[[#This Row],[LayInnsats]]*(LayTable[[#This Row],[LayOdds]]-1))</f>
        <v/>
      </c>
      <c r="N316" s="45" t="str">
        <f>IF(LayTable[[#This Row],[Sport]]="","",1/((1/LayTable[[#This Row],[BookieOdds]])+(1/((1/((1+((LayTable[[#This Row],[LayOdds]]-1)*(1+LayTable[[#This Row],[C% Lay]])))-1))+1)))-1)</f>
        <v/>
      </c>
      <c r="Q316" s="46" t="str">
        <f>IF(LayTable[[#This Row],[Sport]]="","",LayTable[[#This Row],[BookieInnsats]]+LayTable[[#This Row],[LayLiability]])</f>
        <v/>
      </c>
      <c r="R3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6" s="47" t="str">
        <f>IF(LayTable[[#This Row],[Utfall bookie]]="","",LayTable[[#This Row],[WBABack]]+LayTable[[#This Row],[WBALay]]-LayTable[[#This Row],[Total inns]])</f>
        <v/>
      </c>
      <c r="U3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6" s="48" t="str">
        <f>IFERROR(IF(LayTable[[#This Row],[Total inns]]="","",LayTable[[#This Row],[Rback]]/LayTable[[#This Row],[Total inns]]),"")</f>
        <v/>
      </c>
      <c r="X316" s="48" t="str">
        <f>IFERROR(IF(LayTable[[#This Row],[Total inns]]="","",LayTable[[#This Row],[Rlay]]/LayTable[[#This Row],[Total inns]]),"")</f>
        <v/>
      </c>
      <c r="Y316" s="48" t="str">
        <f>IFERROR(LayTable[[#This Row],[Faktisk res]]/LayTable[[#This Row],[Total inns]],"")</f>
        <v/>
      </c>
      <c r="Z316" s="47">
        <f>(LayTable[[#This Row],[BookieInnsats]]*LayTable[[#This Row],[BookieOdds]]-LayTable[[#This Row],[BookieInnsats]])*(1-LayTable[[#This Row],[C% Bookie]])</f>
        <v>0</v>
      </c>
      <c r="AA316" s="43">
        <f>LayTable[[#This Row],[LayInnsats]]*(1-LayTable[[#This Row],[C% Lay]])</f>
        <v>0</v>
      </c>
      <c r="AB316" s="43" t="str">
        <f>IFERROR(IF(LayTable[[#This Row],[Sport]]="",AB315,LayTable[[#This Row],[Faktisk res]]+AB315),"")</f>
        <v/>
      </c>
      <c r="AC316" s="43">
        <f>(LayTable[[#This Row],[BackWin-Commission]]+LayTable[[#This Row],[BookieInnsats]])</f>
        <v>0</v>
      </c>
      <c r="AD316" s="43" t="e">
        <f>(LayTable[[#This Row],[LayWin-Commission]])+LayTable[[#This Row],[LayLiability]]</f>
        <v>#VALUE!</v>
      </c>
      <c r="AE316" s="181"/>
      <c r="AF316" s="183"/>
    </row>
    <row r="317" spans="1:32">
      <c r="A317" s="183"/>
      <c r="B317" s="177"/>
      <c r="C317" s="40"/>
      <c r="D317" s="41"/>
      <c r="E317" s="178"/>
      <c r="F317" s="179"/>
      <c r="G317" s="183"/>
      <c r="H317" s="176"/>
      <c r="I317" s="180"/>
      <c r="J317" s="180"/>
      <c r="K317" s="43"/>
      <c r="L317" s="43"/>
      <c r="M317" s="44" t="str">
        <f>IF(LayTable[[#This Row],[Sport]]="","",LayTable[[#This Row],[LayInnsats]]*(LayTable[[#This Row],[LayOdds]]-1))</f>
        <v/>
      </c>
      <c r="N317" s="45" t="str">
        <f>IF(LayTable[[#This Row],[Sport]]="","",1/((1/LayTable[[#This Row],[BookieOdds]])+(1/((1/((1+((LayTable[[#This Row],[LayOdds]]-1)*(1+LayTable[[#This Row],[C% Lay]])))-1))+1)))-1)</f>
        <v/>
      </c>
      <c r="Q317" s="46" t="str">
        <f>IF(LayTable[[#This Row],[Sport]]="","",LayTable[[#This Row],[BookieInnsats]]+LayTable[[#This Row],[LayLiability]])</f>
        <v/>
      </c>
      <c r="R3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7" s="47" t="str">
        <f>IF(LayTable[[#This Row],[Utfall bookie]]="","",LayTable[[#This Row],[WBABack]]+LayTable[[#This Row],[WBALay]]-LayTable[[#This Row],[Total inns]])</f>
        <v/>
      </c>
      <c r="U3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7" s="48" t="str">
        <f>IFERROR(IF(LayTable[[#This Row],[Total inns]]="","",LayTable[[#This Row],[Rback]]/LayTable[[#This Row],[Total inns]]),"")</f>
        <v/>
      </c>
      <c r="X317" s="48" t="str">
        <f>IFERROR(IF(LayTable[[#This Row],[Total inns]]="","",LayTable[[#This Row],[Rlay]]/LayTable[[#This Row],[Total inns]]),"")</f>
        <v/>
      </c>
      <c r="Y317" s="48" t="str">
        <f>IFERROR(LayTable[[#This Row],[Faktisk res]]/LayTable[[#This Row],[Total inns]],"")</f>
        <v/>
      </c>
      <c r="Z317" s="47">
        <f>(LayTable[[#This Row],[BookieInnsats]]*LayTable[[#This Row],[BookieOdds]]-LayTable[[#This Row],[BookieInnsats]])*(1-LayTable[[#This Row],[C% Bookie]])</f>
        <v>0</v>
      </c>
      <c r="AA317" s="43">
        <f>LayTable[[#This Row],[LayInnsats]]*(1-LayTable[[#This Row],[C% Lay]])</f>
        <v>0</v>
      </c>
      <c r="AB317" s="43" t="str">
        <f>IFERROR(IF(LayTable[[#This Row],[Sport]]="",AB316,LayTable[[#This Row],[Faktisk res]]+AB316),"")</f>
        <v/>
      </c>
      <c r="AC317" s="43">
        <f>(LayTable[[#This Row],[BackWin-Commission]]+LayTable[[#This Row],[BookieInnsats]])</f>
        <v>0</v>
      </c>
      <c r="AD317" s="43" t="e">
        <f>(LayTable[[#This Row],[LayWin-Commission]])+LayTable[[#This Row],[LayLiability]]</f>
        <v>#VALUE!</v>
      </c>
      <c r="AE317" s="181"/>
      <c r="AF317" s="183"/>
    </row>
    <row r="318" spans="1:32">
      <c r="A318" s="183"/>
      <c r="B318" s="177"/>
      <c r="C318" s="40"/>
      <c r="D318" s="41"/>
      <c r="E318" s="178"/>
      <c r="F318" s="179"/>
      <c r="G318" s="183"/>
      <c r="H318" s="38"/>
      <c r="I318" s="42"/>
      <c r="J318" s="42"/>
      <c r="K318" s="43"/>
      <c r="L318" s="43"/>
      <c r="M318" s="44" t="str">
        <f>IF(LayTable[[#This Row],[Sport]]="","",LayTable[[#This Row],[LayInnsats]]*(LayTable[[#This Row],[LayOdds]]-1))</f>
        <v/>
      </c>
      <c r="N318" s="45" t="str">
        <f>IF(LayTable[[#This Row],[Sport]]="","",1/((1/LayTable[[#This Row],[BookieOdds]])+(1/((1/((1+((LayTable[[#This Row],[LayOdds]]-1)*(1+LayTable[[#This Row],[C% Lay]])))-1))+1)))-1)</f>
        <v/>
      </c>
      <c r="Q318" s="46" t="str">
        <f>IF(LayTable[[#This Row],[Sport]]="","",LayTable[[#This Row],[BookieInnsats]]+LayTable[[#This Row],[LayLiability]])</f>
        <v/>
      </c>
      <c r="R3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8" s="47" t="str">
        <f>IF(LayTable[[#This Row],[Utfall bookie]]="","",LayTable[[#This Row],[WBABack]]+LayTable[[#This Row],[WBALay]]-LayTable[[#This Row],[Total inns]])</f>
        <v/>
      </c>
      <c r="U3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8" s="48" t="str">
        <f>IFERROR(IF(LayTable[[#This Row],[Total inns]]="","",LayTable[[#This Row],[Rback]]/LayTable[[#This Row],[Total inns]]),"")</f>
        <v/>
      </c>
      <c r="X318" s="48" t="str">
        <f>IFERROR(IF(LayTable[[#This Row],[Total inns]]="","",LayTable[[#This Row],[Rlay]]/LayTable[[#This Row],[Total inns]]),"")</f>
        <v/>
      </c>
      <c r="Y318" s="48" t="str">
        <f>IFERROR(LayTable[[#This Row],[Faktisk res]]/LayTable[[#This Row],[Total inns]],"")</f>
        <v/>
      </c>
      <c r="Z318" s="47">
        <f>(LayTable[[#This Row],[BookieInnsats]]*LayTable[[#This Row],[BookieOdds]]-LayTable[[#This Row],[BookieInnsats]])*(1-LayTable[[#This Row],[C% Bookie]])</f>
        <v>0</v>
      </c>
      <c r="AA318" s="43">
        <f>LayTable[[#This Row],[LayInnsats]]*(1-LayTable[[#This Row],[C% Lay]])</f>
        <v>0</v>
      </c>
      <c r="AB318" s="43" t="str">
        <f>IFERROR(IF(LayTable[[#This Row],[Sport]]="",AB317,LayTable[[#This Row],[Faktisk res]]+AB317),"")</f>
        <v/>
      </c>
      <c r="AC318" s="43">
        <f>(LayTable[[#This Row],[BackWin-Commission]]+LayTable[[#This Row],[BookieInnsats]])</f>
        <v>0</v>
      </c>
      <c r="AD318" s="43" t="e">
        <f>(LayTable[[#This Row],[LayWin-Commission]])+LayTable[[#This Row],[LayLiability]]</f>
        <v>#VALUE!</v>
      </c>
      <c r="AE318" s="181"/>
      <c r="AF318" s="248"/>
    </row>
    <row r="319" spans="1:32">
      <c r="A319" s="183"/>
      <c r="B319" s="177"/>
      <c r="C319" s="178"/>
      <c r="D319" s="41"/>
      <c r="E319" s="178"/>
      <c r="F319" s="179"/>
      <c r="G319" s="183"/>
      <c r="H319" s="176"/>
      <c r="I319" s="276"/>
      <c r="J319" s="276"/>
      <c r="K319" s="277"/>
      <c r="L319" s="277"/>
      <c r="M319" s="44" t="str">
        <f>IF(LayTable[[#This Row],[Sport]]="","",LayTable[[#This Row],[LayInnsats]]*(LayTable[[#This Row],[LayOdds]]-1))</f>
        <v/>
      </c>
      <c r="N319" s="45" t="str">
        <f>IF(LayTable[[#This Row],[Sport]]="","",1/((1/LayTable[[#This Row],[BookieOdds]])+(1/((1/((1+((LayTable[[#This Row],[LayOdds]]-1)*(1+LayTable[[#This Row],[C% Lay]])))-1))+1)))-1)</f>
        <v/>
      </c>
      <c r="Q319" s="46" t="str">
        <f>IF(LayTable[[#This Row],[Sport]]="","",LayTable[[#This Row],[BookieInnsats]]+LayTable[[#This Row],[LayLiability]])</f>
        <v/>
      </c>
      <c r="R3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19" s="47" t="str">
        <f>IF(LayTable[[#This Row],[Utfall bookie]]="","",LayTable[[#This Row],[WBABack]]+LayTable[[#This Row],[WBALay]]-LayTable[[#This Row],[Total inns]])</f>
        <v/>
      </c>
      <c r="U3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19" s="48" t="str">
        <f>IFERROR(IF(LayTable[[#This Row],[Total inns]]="","",LayTable[[#This Row],[Rback]]/LayTable[[#This Row],[Total inns]]),"")</f>
        <v/>
      </c>
      <c r="X319" s="48" t="str">
        <f>IFERROR(IF(LayTable[[#This Row],[Total inns]]="","",LayTable[[#This Row],[Rlay]]/LayTable[[#This Row],[Total inns]]),"")</f>
        <v/>
      </c>
      <c r="Y319" s="48" t="str">
        <f>IFERROR(LayTable[[#This Row],[Faktisk res]]/LayTable[[#This Row],[Total inns]],"")</f>
        <v/>
      </c>
      <c r="Z319" s="47">
        <f>(LayTable[[#This Row],[BookieInnsats]]*LayTable[[#This Row],[BookieOdds]]-LayTable[[#This Row],[BookieInnsats]])*(1-LayTable[[#This Row],[C% Bookie]])</f>
        <v>0</v>
      </c>
      <c r="AA319" s="43">
        <f>LayTable[[#This Row],[LayInnsats]]*(1-LayTable[[#This Row],[C% Lay]])</f>
        <v>0</v>
      </c>
      <c r="AB319" s="43" t="str">
        <f>IFERROR(IF(LayTable[[#This Row],[Sport]]="",AB318,LayTable[[#This Row],[Faktisk res]]+AB318),"")</f>
        <v/>
      </c>
      <c r="AC319" s="43">
        <f>(LayTable[[#This Row],[BackWin-Commission]]+LayTable[[#This Row],[BookieInnsats]])</f>
        <v>0</v>
      </c>
      <c r="AD319" s="43" t="e">
        <f>(LayTable[[#This Row],[LayWin-Commission]])+LayTable[[#This Row],[LayLiability]]</f>
        <v>#VALUE!</v>
      </c>
      <c r="AE319" s="181"/>
      <c r="AF319" s="248"/>
    </row>
    <row r="320" spans="1:32">
      <c r="A320" s="183"/>
      <c r="B320" s="177"/>
      <c r="C320" s="275"/>
      <c r="D320" s="41"/>
      <c r="E320" s="178"/>
      <c r="F320" s="179"/>
      <c r="G320" s="183"/>
      <c r="H320" s="274"/>
      <c r="I320" s="276"/>
      <c r="J320" s="276"/>
      <c r="K320" s="277"/>
      <c r="L320" s="277"/>
      <c r="M320" s="44" t="str">
        <f>IF(LayTable[[#This Row],[Sport]]="","",LayTable[[#This Row],[LayInnsats]]*(LayTable[[#This Row],[LayOdds]]-1))</f>
        <v/>
      </c>
      <c r="N320" s="45" t="str">
        <f>IF(LayTable[[#This Row],[Sport]]="","",1/((1/LayTable[[#This Row],[BookieOdds]])+(1/((1/((1+((LayTable[[#This Row],[LayOdds]]-1)*(1+LayTable[[#This Row],[C% Lay]])))-1))+1)))-1)</f>
        <v/>
      </c>
      <c r="Q320" s="46" t="str">
        <f>IF(LayTable[[#This Row],[Sport]]="","",LayTable[[#This Row],[BookieInnsats]]+LayTable[[#This Row],[LayLiability]])</f>
        <v/>
      </c>
      <c r="R3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0" s="47" t="str">
        <f>IF(LayTable[[#This Row],[Utfall bookie]]="","",LayTable[[#This Row],[WBABack]]+LayTable[[#This Row],[WBALay]]-LayTable[[#This Row],[Total inns]])</f>
        <v/>
      </c>
      <c r="U3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0" s="48" t="str">
        <f>IFERROR(IF(LayTable[[#This Row],[Total inns]]="","",LayTable[[#This Row],[Rback]]/LayTable[[#This Row],[Total inns]]),"")</f>
        <v/>
      </c>
      <c r="X320" s="48" t="str">
        <f>IFERROR(IF(LayTable[[#This Row],[Total inns]]="","",LayTable[[#This Row],[Rlay]]/LayTable[[#This Row],[Total inns]]),"")</f>
        <v/>
      </c>
      <c r="Y320" s="48" t="str">
        <f>IFERROR(LayTable[[#This Row],[Faktisk res]]/LayTable[[#This Row],[Total inns]],"")</f>
        <v/>
      </c>
      <c r="Z320" s="47">
        <f>(LayTable[[#This Row],[BookieInnsats]]*LayTable[[#This Row],[BookieOdds]]-LayTable[[#This Row],[BookieInnsats]])*(1-LayTable[[#This Row],[C% Bookie]])</f>
        <v>0</v>
      </c>
      <c r="AA320" s="43">
        <f>LayTable[[#This Row],[LayInnsats]]*(1-LayTable[[#This Row],[C% Lay]])</f>
        <v>0</v>
      </c>
      <c r="AB320" s="43" t="str">
        <f>IFERROR(IF(LayTable[[#This Row],[Sport]]="",AB319,LayTable[[#This Row],[Faktisk res]]+AB319),"")</f>
        <v/>
      </c>
      <c r="AC320" s="43">
        <f>(LayTable[[#This Row],[BackWin-Commission]]+LayTable[[#This Row],[BookieInnsats]])</f>
        <v>0</v>
      </c>
      <c r="AD320" s="43" t="e">
        <f>(LayTable[[#This Row],[LayWin-Commission]])+LayTable[[#This Row],[LayLiability]]</f>
        <v>#VALUE!</v>
      </c>
      <c r="AE320" s="181"/>
      <c r="AF320" s="248"/>
    </row>
    <row r="321" spans="1:32">
      <c r="A321" s="183"/>
      <c r="B321" s="177"/>
      <c r="C321" s="40"/>
      <c r="D321" s="41"/>
      <c r="E321" s="178"/>
      <c r="F321" s="179"/>
      <c r="G321" s="183"/>
      <c r="H321" s="38"/>
      <c r="I321" s="42"/>
      <c r="J321" s="42"/>
      <c r="K321" s="43"/>
      <c r="L321" s="43"/>
      <c r="M321" s="44" t="str">
        <f>IF(LayTable[[#This Row],[Sport]]="","",LayTable[[#This Row],[LayInnsats]]*(LayTable[[#This Row],[LayOdds]]-1))</f>
        <v/>
      </c>
      <c r="N321" s="45" t="str">
        <f>IF(LayTable[[#This Row],[Sport]]="","",1/((1/LayTable[[#This Row],[BookieOdds]])+(1/((1/((1+((LayTable[[#This Row],[LayOdds]]-1)*(1+LayTable[[#This Row],[C% Lay]])))-1))+1)))-1)</f>
        <v/>
      </c>
      <c r="Q321" s="46" t="str">
        <f>IF(LayTable[[#This Row],[Sport]]="","",LayTable[[#This Row],[BookieInnsats]]+LayTable[[#This Row],[LayLiability]])</f>
        <v/>
      </c>
      <c r="R3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1" s="47" t="str">
        <f>IF(LayTable[[#This Row],[Utfall bookie]]="","",LayTable[[#This Row],[WBABack]]+LayTable[[#This Row],[WBALay]]-LayTable[[#This Row],[Total inns]])</f>
        <v/>
      </c>
      <c r="U3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1" s="48" t="str">
        <f>IFERROR(IF(LayTable[[#This Row],[Total inns]]="","",LayTable[[#This Row],[Rback]]/LayTable[[#This Row],[Total inns]]),"")</f>
        <v/>
      </c>
      <c r="X321" s="48" t="str">
        <f>IFERROR(IF(LayTable[[#This Row],[Total inns]]="","",LayTable[[#This Row],[Rlay]]/LayTable[[#This Row],[Total inns]]),"")</f>
        <v/>
      </c>
      <c r="Y321" s="48" t="str">
        <f>IFERROR(LayTable[[#This Row],[Faktisk res]]/LayTable[[#This Row],[Total inns]],"")</f>
        <v/>
      </c>
      <c r="Z321" s="47">
        <f>(LayTable[[#This Row],[BookieInnsats]]*LayTable[[#This Row],[BookieOdds]]-LayTable[[#This Row],[BookieInnsats]])*(1-LayTable[[#This Row],[C% Bookie]])</f>
        <v>0</v>
      </c>
      <c r="AA321" s="43">
        <f>LayTable[[#This Row],[LayInnsats]]*(1-LayTable[[#This Row],[C% Lay]])</f>
        <v>0</v>
      </c>
      <c r="AB321" s="43" t="str">
        <f>IFERROR(IF(LayTable[[#This Row],[Sport]]="",AB320,LayTable[[#This Row],[Faktisk res]]+AB320),"")</f>
        <v/>
      </c>
      <c r="AC321" s="43">
        <f>(LayTable[[#This Row],[BackWin-Commission]]+LayTable[[#This Row],[BookieInnsats]])</f>
        <v>0</v>
      </c>
      <c r="AD321" s="43" t="e">
        <f>(LayTable[[#This Row],[LayWin-Commission]])+LayTable[[#This Row],[LayLiability]]</f>
        <v>#VALUE!</v>
      </c>
      <c r="AE321" s="181"/>
      <c r="AF321" s="183"/>
    </row>
    <row r="322" spans="1:32">
      <c r="A322" s="84"/>
      <c r="B322" s="177"/>
      <c r="C322" s="40"/>
      <c r="D322" s="41"/>
      <c r="E322" s="178"/>
      <c r="F322" s="179"/>
      <c r="G322" s="183"/>
      <c r="H322" s="38"/>
      <c r="I322" s="42"/>
      <c r="J322" s="42"/>
      <c r="K322" s="43"/>
      <c r="L322" s="43"/>
      <c r="M322" s="44" t="str">
        <f>IF(LayTable[[#This Row],[Sport]]="","",LayTable[[#This Row],[LayInnsats]]*(LayTable[[#This Row],[LayOdds]]-1))</f>
        <v/>
      </c>
      <c r="N322" s="45" t="str">
        <f>IF(LayTable[[#This Row],[Sport]]="","",1/((1/LayTable[[#This Row],[BookieOdds]])+(1/((1/((1+((LayTable[[#This Row],[LayOdds]]-1)*(1+LayTable[[#This Row],[C% Lay]])))-1))+1)))-1)</f>
        <v/>
      </c>
      <c r="Q322" s="46" t="str">
        <f>IF(LayTable[[#This Row],[Sport]]="","",LayTable[[#This Row],[BookieInnsats]]+LayTable[[#This Row],[LayLiability]])</f>
        <v/>
      </c>
      <c r="R3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2" s="47" t="str">
        <f>IF(LayTable[[#This Row],[Utfall bookie]]="","",LayTable[[#This Row],[WBABack]]+LayTable[[#This Row],[WBALay]]-LayTable[[#This Row],[Total inns]])</f>
        <v/>
      </c>
      <c r="U3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2" s="48" t="str">
        <f>IFERROR(IF(LayTable[[#This Row],[Total inns]]="","",LayTable[[#This Row],[Rback]]/LayTable[[#This Row],[Total inns]]),"")</f>
        <v/>
      </c>
      <c r="X322" s="48" t="str">
        <f>IFERROR(IF(LayTable[[#This Row],[Total inns]]="","",LayTable[[#This Row],[Rlay]]/LayTable[[#This Row],[Total inns]]),"")</f>
        <v/>
      </c>
      <c r="Y322" s="48" t="str">
        <f>IFERROR(LayTable[[#This Row],[Faktisk res]]/LayTable[[#This Row],[Total inns]],"")</f>
        <v/>
      </c>
      <c r="Z322" s="47">
        <f>(LayTable[[#This Row],[BookieInnsats]]*LayTable[[#This Row],[BookieOdds]]-LayTable[[#This Row],[BookieInnsats]])*(1-LayTable[[#This Row],[C% Bookie]])</f>
        <v>0</v>
      </c>
      <c r="AA322" s="43">
        <f>LayTable[[#This Row],[LayInnsats]]*(1-LayTable[[#This Row],[C% Lay]])</f>
        <v>0</v>
      </c>
      <c r="AB322" s="43" t="str">
        <f>IFERROR(IF(LayTable[[#This Row],[Sport]]="",AB321,LayTable[[#This Row],[Faktisk res]]+AB321),"")</f>
        <v/>
      </c>
      <c r="AC322" s="43">
        <f>(LayTable[[#This Row],[BackWin-Commission]]+LayTable[[#This Row],[BookieInnsats]])</f>
        <v>0</v>
      </c>
      <c r="AD322" s="43" t="e">
        <f>(LayTable[[#This Row],[LayWin-Commission]])+LayTable[[#This Row],[LayLiability]]</f>
        <v>#VALUE!</v>
      </c>
      <c r="AE322" s="181"/>
      <c r="AF322" s="183"/>
    </row>
    <row r="323" spans="1:32">
      <c r="A323" s="183"/>
      <c r="B323" s="177"/>
      <c r="C323" s="178"/>
      <c r="D323" s="179"/>
      <c r="E323" s="178"/>
      <c r="F323" s="179"/>
      <c r="G323" s="183"/>
      <c r="H323" s="176"/>
      <c r="I323" s="180"/>
      <c r="J323" s="180"/>
      <c r="K323" s="181"/>
      <c r="L323" s="181"/>
      <c r="M323" s="44" t="str">
        <f>IF(LayTable[[#This Row],[Sport]]="","",LayTable[[#This Row],[LayInnsats]]*(LayTable[[#This Row],[LayOdds]]-1))</f>
        <v/>
      </c>
      <c r="N323" s="45" t="str">
        <f>IF(LayTable[[#This Row],[Sport]]="","",1/((1/LayTable[[#This Row],[BookieOdds]])+(1/((1/((1+((LayTable[[#This Row],[LayOdds]]-1)*(1+LayTable[[#This Row],[C% Lay]])))-1))+1)))-1)</f>
        <v/>
      </c>
      <c r="Q323" s="46" t="str">
        <f>IF(LayTable[[#This Row],[Sport]]="","",LayTable[[#This Row],[BookieInnsats]]+LayTable[[#This Row],[LayLiability]])</f>
        <v/>
      </c>
      <c r="R3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3" s="47" t="str">
        <f>IF(LayTable[[#This Row],[Utfall bookie]]="","",LayTable[[#This Row],[WBABack]]+LayTable[[#This Row],[WBALay]]-LayTable[[#This Row],[Total inns]])</f>
        <v/>
      </c>
      <c r="U3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3" s="48" t="str">
        <f>IFERROR(IF(LayTable[[#This Row],[Total inns]]="","",LayTable[[#This Row],[Rback]]/LayTable[[#This Row],[Total inns]]),"")</f>
        <v/>
      </c>
      <c r="X323" s="48" t="str">
        <f>IFERROR(IF(LayTable[[#This Row],[Total inns]]="","",LayTable[[#This Row],[Rlay]]/LayTable[[#This Row],[Total inns]]),"")</f>
        <v/>
      </c>
      <c r="Y323" s="48" t="str">
        <f>IFERROR(LayTable[[#This Row],[Faktisk res]]/LayTable[[#This Row],[Total inns]],"")</f>
        <v/>
      </c>
      <c r="Z323" s="47">
        <f>(LayTable[[#This Row],[BookieInnsats]]*LayTable[[#This Row],[BookieOdds]]-LayTable[[#This Row],[BookieInnsats]])*(1-LayTable[[#This Row],[C% Bookie]])</f>
        <v>0</v>
      </c>
      <c r="AA323" s="43">
        <f>LayTable[[#This Row],[LayInnsats]]*(1-LayTable[[#This Row],[C% Lay]])</f>
        <v>0</v>
      </c>
      <c r="AB323" s="43" t="str">
        <f>IFERROR(IF(LayTable[[#This Row],[Sport]]="",AB322,LayTable[[#This Row],[Faktisk res]]+AB322),"")</f>
        <v/>
      </c>
      <c r="AC323" s="43">
        <f>(LayTable[[#This Row],[BackWin-Commission]]+LayTable[[#This Row],[BookieInnsats]])</f>
        <v>0</v>
      </c>
      <c r="AD323" s="43" t="e">
        <f>(LayTable[[#This Row],[LayWin-Commission]])+LayTable[[#This Row],[LayLiability]]</f>
        <v>#VALUE!</v>
      </c>
      <c r="AE323" s="181"/>
      <c r="AF323" s="183"/>
    </row>
    <row r="324" spans="1:32">
      <c r="A324" s="84"/>
      <c r="B324" s="177"/>
      <c r="C324" s="40"/>
      <c r="D324" s="41"/>
      <c r="E324" s="178"/>
      <c r="F324" s="179"/>
      <c r="G324" s="183"/>
      <c r="H324" s="38"/>
      <c r="I324" s="42"/>
      <c r="J324" s="42"/>
      <c r="K324" s="43"/>
      <c r="L324" s="43"/>
      <c r="M324" s="44" t="str">
        <f>IF(LayTable[[#This Row],[Sport]]="","",LayTable[[#This Row],[LayInnsats]]*(LayTable[[#This Row],[LayOdds]]-1))</f>
        <v/>
      </c>
      <c r="N324" s="45" t="str">
        <f>IF(LayTable[[#This Row],[Sport]]="","",1/((1/LayTable[[#This Row],[BookieOdds]])+(1/((1/((1+((LayTable[[#This Row],[LayOdds]]-1)*(1+LayTable[[#This Row],[C% Lay]])))-1))+1)))-1)</f>
        <v/>
      </c>
      <c r="Q324" s="46" t="str">
        <f>IF(LayTable[[#This Row],[Sport]]="","",LayTable[[#This Row],[BookieInnsats]]+LayTable[[#This Row],[LayLiability]])</f>
        <v/>
      </c>
      <c r="R3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4" s="47" t="str">
        <f>IF(LayTable[[#This Row],[Utfall bookie]]="","",LayTable[[#This Row],[WBABack]]+LayTable[[#This Row],[WBALay]]-LayTable[[#This Row],[Total inns]])</f>
        <v/>
      </c>
      <c r="U3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4" s="48" t="str">
        <f>IFERROR(IF(LayTable[[#This Row],[Total inns]]="","",LayTable[[#This Row],[Rback]]/LayTable[[#This Row],[Total inns]]),"")</f>
        <v/>
      </c>
      <c r="X324" s="48" t="str">
        <f>IFERROR(IF(LayTable[[#This Row],[Total inns]]="","",LayTable[[#This Row],[Rlay]]/LayTable[[#This Row],[Total inns]]),"")</f>
        <v/>
      </c>
      <c r="Y324" s="48" t="str">
        <f>IFERROR(LayTable[[#This Row],[Faktisk res]]/LayTable[[#This Row],[Total inns]],"")</f>
        <v/>
      </c>
      <c r="Z324" s="47">
        <f>(LayTable[[#This Row],[BookieInnsats]]*LayTable[[#This Row],[BookieOdds]]-LayTable[[#This Row],[BookieInnsats]])*(1-LayTable[[#This Row],[C% Bookie]])</f>
        <v>0</v>
      </c>
      <c r="AA324" s="43">
        <f>LayTable[[#This Row],[LayInnsats]]*(1-LayTable[[#This Row],[C% Lay]])</f>
        <v>0</v>
      </c>
      <c r="AB324" s="43" t="str">
        <f>IFERROR(IF(LayTable[[#This Row],[Sport]]="",AB323,LayTable[[#This Row],[Faktisk res]]+AB323),"")</f>
        <v/>
      </c>
      <c r="AC324" s="43">
        <f>(LayTable[[#This Row],[BackWin-Commission]]+LayTable[[#This Row],[BookieInnsats]])</f>
        <v>0</v>
      </c>
      <c r="AD324" s="43" t="e">
        <f>(LayTable[[#This Row],[LayWin-Commission]])+LayTable[[#This Row],[LayLiability]]</f>
        <v>#VALUE!</v>
      </c>
      <c r="AE324" s="181"/>
      <c r="AF324" s="181"/>
    </row>
    <row r="325" spans="1:32">
      <c r="A325" s="84"/>
      <c r="B325" s="177"/>
      <c r="C325" s="40"/>
      <c r="D325" s="41"/>
      <c r="E325" s="178"/>
      <c r="F325" s="179"/>
      <c r="G325" s="183"/>
      <c r="H325" s="38"/>
      <c r="I325" s="42"/>
      <c r="J325" s="42"/>
      <c r="K325" s="43"/>
      <c r="L325" s="43"/>
      <c r="M325" s="44" t="str">
        <f>IF(LayTable[[#This Row],[Sport]]="","",LayTable[[#This Row],[LayInnsats]]*(LayTable[[#This Row],[LayOdds]]-1))</f>
        <v/>
      </c>
      <c r="N325" s="45" t="str">
        <f>IF(LayTable[[#This Row],[Sport]]="","",1/((1/LayTable[[#This Row],[BookieOdds]])+(1/((1/((1+((LayTable[[#This Row],[LayOdds]]-1)*(1+LayTable[[#This Row],[C% Lay]])))-1))+1)))-1)</f>
        <v/>
      </c>
      <c r="Q325" s="46" t="str">
        <f>IF(LayTable[[#This Row],[Sport]]="","",LayTable[[#This Row],[BookieInnsats]]+LayTable[[#This Row],[LayLiability]])</f>
        <v/>
      </c>
      <c r="R3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5" s="47" t="str">
        <f>IF(LayTable[[#This Row],[Utfall bookie]]="","",LayTable[[#This Row],[WBABack]]+LayTable[[#This Row],[WBALay]]-LayTable[[#This Row],[Total inns]])</f>
        <v/>
      </c>
      <c r="U3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5" s="48" t="str">
        <f>IFERROR(IF(LayTable[[#This Row],[Total inns]]="","",LayTable[[#This Row],[Rback]]/LayTable[[#This Row],[Total inns]]),"")</f>
        <v/>
      </c>
      <c r="X325" s="48" t="str">
        <f>IFERROR(IF(LayTable[[#This Row],[Total inns]]="","",LayTable[[#This Row],[Rlay]]/LayTable[[#This Row],[Total inns]]),"")</f>
        <v/>
      </c>
      <c r="Y325" s="48" t="str">
        <f>IFERROR(LayTable[[#This Row],[Faktisk res]]/LayTable[[#This Row],[Total inns]],"")</f>
        <v/>
      </c>
      <c r="Z325" s="47">
        <f>(LayTable[[#This Row],[BookieInnsats]]*LayTable[[#This Row],[BookieOdds]]-LayTable[[#This Row],[BookieInnsats]])*(1-LayTable[[#This Row],[C% Bookie]])</f>
        <v>0</v>
      </c>
      <c r="AA325" s="43">
        <f>LayTable[[#This Row],[LayInnsats]]*(1-LayTable[[#This Row],[C% Lay]])</f>
        <v>0</v>
      </c>
      <c r="AB325" s="43" t="str">
        <f>IFERROR(IF(LayTable[[#This Row],[Sport]]="",AB324,LayTable[[#This Row],[Faktisk res]]+AB324),"")</f>
        <v/>
      </c>
      <c r="AC325" s="43">
        <f>(LayTable[[#This Row],[BackWin-Commission]]+LayTable[[#This Row],[BookieInnsats]])</f>
        <v>0</v>
      </c>
      <c r="AD325" s="43" t="e">
        <f>(LayTable[[#This Row],[LayWin-Commission]])+LayTable[[#This Row],[LayLiability]]</f>
        <v>#VALUE!</v>
      </c>
      <c r="AE325" s="181"/>
      <c r="AF325" s="181"/>
    </row>
    <row r="326" spans="1:32">
      <c r="A326" s="84"/>
      <c r="B326" s="177"/>
      <c r="C326" s="40"/>
      <c r="D326" s="41"/>
      <c r="E326" s="178"/>
      <c r="F326" s="179"/>
      <c r="G326" s="183"/>
      <c r="H326" s="38"/>
      <c r="I326" s="42"/>
      <c r="J326" s="42"/>
      <c r="K326" s="43"/>
      <c r="L326" s="43"/>
      <c r="M326" s="44" t="str">
        <f>IF(LayTable[[#This Row],[Sport]]="","",LayTable[[#This Row],[LayInnsats]]*(LayTable[[#This Row],[LayOdds]]-1))</f>
        <v/>
      </c>
      <c r="N326" s="45" t="str">
        <f>IF(LayTable[[#This Row],[Sport]]="","",1/((1/LayTable[[#This Row],[BookieOdds]])+(1/((1/((1+((LayTable[[#This Row],[LayOdds]]-1)*(1+LayTable[[#This Row],[C% Lay]])))-1))+1)))-1)</f>
        <v/>
      </c>
      <c r="Q326" s="46" t="str">
        <f>IF(LayTable[[#This Row],[Sport]]="","",LayTable[[#This Row],[BookieInnsats]]+LayTable[[#This Row],[LayLiability]])</f>
        <v/>
      </c>
      <c r="R3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6" s="47" t="str">
        <f>IF(LayTable[[#This Row],[Utfall bookie]]="","",LayTable[[#This Row],[WBABack]]+LayTable[[#This Row],[WBALay]]-LayTable[[#This Row],[Total inns]])</f>
        <v/>
      </c>
      <c r="U3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6" s="48" t="str">
        <f>IFERROR(IF(LayTable[[#This Row],[Total inns]]="","",LayTable[[#This Row],[Rback]]/LayTable[[#This Row],[Total inns]]),"")</f>
        <v/>
      </c>
      <c r="X326" s="48" t="str">
        <f>IFERROR(IF(LayTable[[#This Row],[Total inns]]="","",LayTable[[#This Row],[Rlay]]/LayTable[[#This Row],[Total inns]]),"")</f>
        <v/>
      </c>
      <c r="Y326" s="48" t="str">
        <f>IFERROR(LayTable[[#This Row],[Faktisk res]]/LayTable[[#This Row],[Total inns]],"")</f>
        <v/>
      </c>
      <c r="Z326" s="47">
        <f>(LayTable[[#This Row],[BookieInnsats]]*LayTable[[#This Row],[BookieOdds]]-LayTable[[#This Row],[BookieInnsats]])*(1-LayTable[[#This Row],[C% Bookie]])</f>
        <v>0</v>
      </c>
      <c r="AA326" s="43">
        <f>LayTable[[#This Row],[LayInnsats]]*(1-LayTable[[#This Row],[C% Lay]])</f>
        <v>0</v>
      </c>
      <c r="AB326" s="43" t="str">
        <f>IFERROR(IF(LayTable[[#This Row],[Sport]]="",AB325,LayTable[[#This Row],[Faktisk res]]+AB325),"")</f>
        <v/>
      </c>
      <c r="AC326" s="43">
        <f>(LayTable[[#This Row],[BackWin-Commission]]+LayTable[[#This Row],[BookieInnsats]])</f>
        <v>0</v>
      </c>
      <c r="AD326" s="43" t="e">
        <f>(LayTable[[#This Row],[LayWin-Commission]])+LayTable[[#This Row],[LayLiability]]</f>
        <v>#VALUE!</v>
      </c>
      <c r="AE326" s="181"/>
      <c r="AF326" s="181"/>
    </row>
    <row r="327" spans="1:32">
      <c r="A327" s="84"/>
      <c r="B327" s="177"/>
      <c r="C327" s="40"/>
      <c r="D327" s="41"/>
      <c r="E327" s="178"/>
      <c r="F327" s="179"/>
      <c r="G327" s="183"/>
      <c r="H327" s="38"/>
      <c r="I327" s="42"/>
      <c r="J327" s="42"/>
      <c r="K327" s="43"/>
      <c r="L327" s="43"/>
      <c r="M327" s="44" t="str">
        <f>IF(LayTable[[#This Row],[Sport]]="","",LayTable[[#This Row],[LayInnsats]]*(LayTable[[#This Row],[LayOdds]]-1))</f>
        <v/>
      </c>
      <c r="N327" s="45" t="str">
        <f>IF(LayTable[[#This Row],[Sport]]="","",1/((1/LayTable[[#This Row],[BookieOdds]])+(1/((1/((1+((LayTable[[#This Row],[LayOdds]]-1)*(1+LayTable[[#This Row],[C% Lay]])))-1))+1)))-1)</f>
        <v/>
      </c>
      <c r="Q327" s="46" t="str">
        <f>IF(LayTable[[#This Row],[Sport]]="","",LayTable[[#This Row],[BookieInnsats]]+LayTable[[#This Row],[LayLiability]])</f>
        <v/>
      </c>
      <c r="R3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7" s="47" t="str">
        <f>IF(LayTable[[#This Row],[Utfall bookie]]="","",LayTable[[#This Row],[WBABack]]+LayTable[[#This Row],[WBALay]]-LayTable[[#This Row],[Total inns]])</f>
        <v/>
      </c>
      <c r="U3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7" s="48" t="str">
        <f>IFERROR(IF(LayTable[[#This Row],[Total inns]]="","",LayTable[[#This Row],[Rback]]/LayTable[[#This Row],[Total inns]]),"")</f>
        <v/>
      </c>
      <c r="X327" s="48" t="str">
        <f>IFERROR(IF(LayTable[[#This Row],[Total inns]]="","",LayTable[[#This Row],[Rlay]]/LayTable[[#This Row],[Total inns]]),"")</f>
        <v/>
      </c>
      <c r="Y327" s="48" t="str">
        <f>IFERROR(LayTable[[#This Row],[Faktisk res]]/LayTable[[#This Row],[Total inns]],"")</f>
        <v/>
      </c>
      <c r="Z327" s="47">
        <f>(LayTable[[#This Row],[BookieInnsats]]*LayTable[[#This Row],[BookieOdds]]-LayTable[[#This Row],[BookieInnsats]])*(1-LayTable[[#This Row],[C% Bookie]])</f>
        <v>0</v>
      </c>
      <c r="AA327" s="43">
        <f>LayTable[[#This Row],[LayInnsats]]*(1-LayTable[[#This Row],[C% Lay]])</f>
        <v>0</v>
      </c>
      <c r="AB327" s="43" t="str">
        <f>IFERROR(IF(LayTable[[#This Row],[Sport]]="",AB326,LayTable[[#This Row],[Faktisk res]]+AB326),"")</f>
        <v/>
      </c>
      <c r="AC327" s="43">
        <f>(LayTable[[#This Row],[BackWin-Commission]]+LayTable[[#This Row],[BookieInnsats]])</f>
        <v>0</v>
      </c>
      <c r="AD327" s="43" t="e">
        <f>(LayTable[[#This Row],[LayWin-Commission]])+LayTable[[#This Row],[LayLiability]]</f>
        <v>#VALUE!</v>
      </c>
      <c r="AE327" s="181"/>
      <c r="AF327" s="181"/>
    </row>
    <row r="328" spans="1:32">
      <c r="A328" s="183"/>
      <c r="B328" s="177"/>
      <c r="C328" s="40"/>
      <c r="D328" s="41"/>
      <c r="E328" s="178"/>
      <c r="F328" s="179"/>
      <c r="G328" s="183"/>
      <c r="H328" s="38"/>
      <c r="I328" s="42"/>
      <c r="J328" s="42"/>
      <c r="K328" s="43"/>
      <c r="L328" s="43"/>
      <c r="M328" s="44" t="str">
        <f>IF(LayTable[[#This Row],[Sport]]="","",LayTable[[#This Row],[LayInnsats]]*(LayTable[[#This Row],[LayOdds]]-1))</f>
        <v/>
      </c>
      <c r="N328" s="45" t="str">
        <f>IF(LayTable[[#This Row],[Sport]]="","",1/((1/LayTable[[#This Row],[BookieOdds]])+(1/((1/((1+((LayTable[[#This Row],[LayOdds]]-1)*(1+LayTable[[#This Row],[C% Lay]])))-1))+1)))-1)</f>
        <v/>
      </c>
      <c r="Q328" s="46" t="str">
        <f>IF(LayTable[[#This Row],[Sport]]="","",LayTable[[#This Row],[BookieInnsats]]+LayTable[[#This Row],[LayLiability]])</f>
        <v/>
      </c>
      <c r="R3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8" s="47" t="str">
        <f>IF(LayTable[[#This Row],[Utfall bookie]]="","",LayTable[[#This Row],[WBABack]]+LayTable[[#This Row],[WBALay]]-LayTable[[#This Row],[Total inns]])</f>
        <v/>
      </c>
      <c r="U3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8" s="48" t="str">
        <f>IFERROR(IF(LayTable[[#This Row],[Total inns]]="","",LayTable[[#This Row],[Rback]]/LayTable[[#This Row],[Total inns]]),"")</f>
        <v/>
      </c>
      <c r="X328" s="48" t="str">
        <f>IFERROR(IF(LayTable[[#This Row],[Total inns]]="","",LayTable[[#This Row],[Rlay]]/LayTable[[#This Row],[Total inns]]),"")</f>
        <v/>
      </c>
      <c r="Y328" s="48" t="str">
        <f>IFERROR(LayTable[[#This Row],[Faktisk res]]/LayTable[[#This Row],[Total inns]],"")</f>
        <v/>
      </c>
      <c r="Z328" s="47">
        <f>(LayTable[[#This Row],[BookieInnsats]]*LayTable[[#This Row],[BookieOdds]]-LayTable[[#This Row],[BookieInnsats]])*(1-LayTable[[#This Row],[C% Bookie]])</f>
        <v>0</v>
      </c>
      <c r="AA328" s="43">
        <f>LayTable[[#This Row],[LayInnsats]]*(1-LayTable[[#This Row],[C% Lay]])</f>
        <v>0</v>
      </c>
      <c r="AB328" s="43" t="str">
        <f>IFERROR(IF(LayTable[[#This Row],[Sport]]="",#REF!,LayTable[[#This Row],[Faktisk res]]+#REF!),"")</f>
        <v/>
      </c>
      <c r="AC328" s="43">
        <f>(LayTable[[#This Row],[BackWin-Commission]]+LayTable[[#This Row],[BookieInnsats]])</f>
        <v>0</v>
      </c>
      <c r="AD328" s="43" t="e">
        <f>(LayTable[[#This Row],[LayWin-Commission]])+LayTable[[#This Row],[LayLiability]]</f>
        <v>#VALUE!</v>
      </c>
      <c r="AE328" s="181"/>
      <c r="AF328" s="181"/>
    </row>
    <row r="329" spans="1:32">
      <c r="A329" s="84"/>
      <c r="B329" s="177"/>
      <c r="C329" s="40"/>
      <c r="D329" s="41"/>
      <c r="E329" s="178"/>
      <c r="F329" s="179"/>
      <c r="G329" s="183"/>
      <c r="H329" s="38"/>
      <c r="I329" s="42"/>
      <c r="J329" s="42"/>
      <c r="K329" s="43"/>
      <c r="L329" s="43"/>
      <c r="M329" s="44" t="str">
        <f>IF(LayTable[[#This Row],[Sport]]="","",LayTable[[#This Row],[LayInnsats]]*(LayTable[[#This Row],[LayOdds]]-1))</f>
        <v/>
      </c>
      <c r="N329" s="45" t="str">
        <f>IF(LayTable[[#This Row],[Sport]]="","",1/((1/LayTable[[#This Row],[BookieOdds]])+(1/((1/((1+((LayTable[[#This Row],[LayOdds]]-1)*(1+LayTable[[#This Row],[C% Lay]])))-1))+1)))-1)</f>
        <v/>
      </c>
      <c r="Q329" s="46" t="str">
        <f>IF(LayTable[[#This Row],[Sport]]="","",LayTable[[#This Row],[BookieInnsats]]+LayTable[[#This Row],[LayLiability]])</f>
        <v/>
      </c>
      <c r="R3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29" s="47" t="str">
        <f>IF(LayTable[[#This Row],[Utfall bookie]]="","",LayTable[[#This Row],[WBABack]]+LayTable[[#This Row],[WBALay]]-LayTable[[#This Row],[Total inns]])</f>
        <v/>
      </c>
      <c r="U3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29" s="48" t="str">
        <f>IFERROR(IF(LayTable[[#This Row],[Total inns]]="","",LayTable[[#This Row],[Rback]]/LayTable[[#This Row],[Total inns]]),"")</f>
        <v/>
      </c>
      <c r="X329" s="48" t="str">
        <f>IFERROR(IF(LayTable[[#This Row],[Total inns]]="","",LayTable[[#This Row],[Rlay]]/LayTable[[#This Row],[Total inns]]),"")</f>
        <v/>
      </c>
      <c r="Y329" s="48" t="str">
        <f>IFERROR(LayTable[[#This Row],[Faktisk res]]/LayTable[[#This Row],[Total inns]],"")</f>
        <v/>
      </c>
      <c r="Z329" s="47">
        <f>(LayTable[[#This Row],[BookieInnsats]]*LayTable[[#This Row],[BookieOdds]]-LayTable[[#This Row],[BookieInnsats]])*(1-LayTable[[#This Row],[C% Bookie]])</f>
        <v>0</v>
      </c>
      <c r="AA329" s="43">
        <f>LayTable[[#This Row],[LayInnsats]]*(1-LayTable[[#This Row],[C% Lay]])</f>
        <v>0</v>
      </c>
      <c r="AB329" s="43" t="str">
        <f>IFERROR(IF(LayTable[[#This Row],[Sport]]="",AB328,LayTable[[#This Row],[Faktisk res]]+AB328),"")</f>
        <v/>
      </c>
      <c r="AC329" s="43">
        <f>(LayTable[[#This Row],[BackWin-Commission]]+LayTable[[#This Row],[BookieInnsats]])</f>
        <v>0</v>
      </c>
      <c r="AD329" s="43" t="e">
        <f>(LayTable[[#This Row],[LayWin-Commission]])+LayTable[[#This Row],[LayLiability]]</f>
        <v>#VALUE!</v>
      </c>
      <c r="AE329" s="181"/>
      <c r="AF329" s="181"/>
    </row>
    <row r="330" spans="1:32">
      <c r="A330" s="183"/>
      <c r="B330" s="177"/>
      <c r="C330" s="178"/>
      <c r="D330" s="179"/>
      <c r="E330" s="178"/>
      <c r="F330" s="179"/>
      <c r="G330" s="183"/>
      <c r="H330" s="176"/>
      <c r="I330" s="42"/>
      <c r="J330" s="42"/>
      <c r="K330" s="43"/>
      <c r="L330" s="43"/>
      <c r="M330" s="44" t="str">
        <f>IF(LayTable[[#This Row],[Sport]]="","",LayTable[[#This Row],[LayInnsats]]*(LayTable[[#This Row],[LayOdds]]-1))</f>
        <v/>
      </c>
      <c r="N330" s="45" t="str">
        <f>IF(LayTable[[#This Row],[Sport]]="","",1/((1/LayTable[[#This Row],[BookieOdds]])+(1/((1/((1+((LayTable[[#This Row],[LayOdds]]-1)*(1+LayTable[[#This Row],[C% Lay]])))-1))+1)))-1)</f>
        <v/>
      </c>
      <c r="Q330" s="46" t="str">
        <f>IF(LayTable[[#This Row],[Sport]]="","",LayTable[[#This Row],[BookieInnsats]]+LayTable[[#This Row],[LayLiability]])</f>
        <v/>
      </c>
      <c r="R3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0" s="47" t="str">
        <f>IF(LayTable[[#This Row],[Utfall bookie]]="","",LayTable[[#This Row],[WBABack]]+LayTable[[#This Row],[WBALay]]-LayTable[[#This Row],[Total inns]])</f>
        <v/>
      </c>
      <c r="U3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0" s="48" t="str">
        <f>IFERROR(IF(LayTable[[#This Row],[Total inns]]="","",LayTable[[#This Row],[Rback]]/LayTable[[#This Row],[Total inns]]),"")</f>
        <v/>
      </c>
      <c r="X330" s="48" t="str">
        <f>IFERROR(IF(LayTable[[#This Row],[Total inns]]="","",LayTable[[#This Row],[Rlay]]/LayTable[[#This Row],[Total inns]]),"")</f>
        <v/>
      </c>
      <c r="Y330" s="48" t="str">
        <f>IFERROR(LayTable[[#This Row],[Faktisk res]]/LayTable[[#This Row],[Total inns]],"")</f>
        <v/>
      </c>
      <c r="Z330" s="47">
        <f>(LayTable[[#This Row],[BookieInnsats]]*LayTable[[#This Row],[BookieOdds]]-LayTable[[#This Row],[BookieInnsats]])*(1-LayTable[[#This Row],[C% Bookie]])</f>
        <v>0</v>
      </c>
      <c r="AA330" s="43">
        <f>LayTable[[#This Row],[LayInnsats]]*(1-LayTable[[#This Row],[C% Lay]])</f>
        <v>0</v>
      </c>
      <c r="AB330" s="43" t="str">
        <f>IFERROR(IF(LayTable[[#This Row],[Sport]]="",#REF!,LayTable[[#This Row],[Faktisk res]]+#REF!),"")</f>
        <v/>
      </c>
      <c r="AC330" s="43">
        <f>(LayTable[[#This Row],[BackWin-Commission]]+LayTable[[#This Row],[BookieInnsats]])</f>
        <v>0</v>
      </c>
      <c r="AD330" s="43" t="e">
        <f>(LayTable[[#This Row],[LayWin-Commission]])+LayTable[[#This Row],[LayLiability]]</f>
        <v>#VALUE!</v>
      </c>
      <c r="AE330" s="181"/>
      <c r="AF330" s="181"/>
    </row>
    <row r="331" spans="1:32">
      <c r="A331" s="84"/>
      <c r="B331" s="177"/>
      <c r="C331" s="40"/>
      <c r="D331" s="41"/>
      <c r="E331" s="178"/>
      <c r="F331" s="179"/>
      <c r="G331" s="183"/>
      <c r="H331" s="38"/>
      <c r="I331" s="42"/>
      <c r="J331" s="42"/>
      <c r="K331" s="43"/>
      <c r="L331" s="43"/>
      <c r="M331" s="44" t="str">
        <f>IF(LayTable[[#This Row],[Sport]]="","",LayTable[[#This Row],[LayInnsats]]*(LayTable[[#This Row],[LayOdds]]-1))</f>
        <v/>
      </c>
      <c r="N331" s="45" t="str">
        <f>IF(LayTable[[#This Row],[Sport]]="","",1/((1/LayTable[[#This Row],[BookieOdds]])+(1/((1/((1+((LayTable[[#This Row],[LayOdds]]-1)*(1+LayTable[[#This Row],[C% Lay]])))-1))+1)))-1)</f>
        <v/>
      </c>
      <c r="Q331" s="46" t="str">
        <f>IF(LayTable[[#This Row],[Sport]]="","",LayTable[[#This Row],[BookieInnsats]]+LayTable[[#This Row],[LayLiability]])</f>
        <v/>
      </c>
      <c r="R3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1" s="47" t="str">
        <f>IF(LayTable[[#This Row],[Utfall bookie]]="","",LayTable[[#This Row],[WBABack]]+LayTable[[#This Row],[WBALay]]-LayTable[[#This Row],[Total inns]])</f>
        <v/>
      </c>
      <c r="U3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1" s="48" t="str">
        <f>IFERROR(IF(LayTable[[#This Row],[Total inns]]="","",LayTable[[#This Row],[Rback]]/LayTable[[#This Row],[Total inns]]),"")</f>
        <v/>
      </c>
      <c r="X331" s="48" t="str">
        <f>IFERROR(IF(LayTable[[#This Row],[Total inns]]="","",LayTable[[#This Row],[Rlay]]/LayTable[[#This Row],[Total inns]]),"")</f>
        <v/>
      </c>
      <c r="Y331" s="48" t="str">
        <f>IFERROR(LayTable[[#This Row],[Faktisk res]]/LayTable[[#This Row],[Total inns]],"")</f>
        <v/>
      </c>
      <c r="Z331" s="47">
        <f>(LayTable[[#This Row],[BookieInnsats]]*LayTable[[#This Row],[BookieOdds]]-LayTable[[#This Row],[BookieInnsats]])*(1-LayTable[[#This Row],[C% Bookie]])</f>
        <v>0</v>
      </c>
      <c r="AA331" s="43">
        <f>LayTable[[#This Row],[LayInnsats]]*(1-LayTable[[#This Row],[C% Lay]])</f>
        <v>0</v>
      </c>
      <c r="AB331" s="43" t="str">
        <f>IFERROR(IF(LayTable[[#This Row],[Sport]]="",AB330,LayTable[[#This Row],[Faktisk res]]+AB330),"")</f>
        <v/>
      </c>
      <c r="AC331" s="43">
        <f>(LayTable[[#This Row],[BackWin-Commission]]+LayTable[[#This Row],[BookieInnsats]])</f>
        <v>0</v>
      </c>
      <c r="AD331" s="43" t="e">
        <f>(LayTable[[#This Row],[LayWin-Commission]])+LayTable[[#This Row],[LayLiability]]</f>
        <v>#VALUE!</v>
      </c>
      <c r="AE331" s="181"/>
      <c r="AF331" s="181"/>
    </row>
    <row r="332" spans="1:32">
      <c r="A332" s="84"/>
      <c r="B332" s="177"/>
      <c r="C332" s="40"/>
      <c r="D332" s="41"/>
      <c r="E332" s="178"/>
      <c r="F332" s="179"/>
      <c r="G332" s="183"/>
      <c r="H332" s="38"/>
      <c r="I332" s="42"/>
      <c r="J332" s="42"/>
      <c r="K332" s="43"/>
      <c r="L332" s="43"/>
      <c r="M332" s="44" t="str">
        <f>IF(LayTable[[#This Row],[Sport]]="","",LayTable[[#This Row],[LayInnsats]]*(LayTable[[#This Row],[LayOdds]]-1))</f>
        <v/>
      </c>
      <c r="N332" s="45" t="str">
        <f>IF(LayTable[[#This Row],[Sport]]="","",1/((1/LayTable[[#This Row],[BookieOdds]])+(1/((1/((1+((LayTable[[#This Row],[LayOdds]]-1)*(1+LayTable[[#This Row],[C% Lay]])))-1))+1)))-1)</f>
        <v/>
      </c>
      <c r="Q332" s="46" t="str">
        <f>IF(LayTable[[#This Row],[Sport]]="","",LayTable[[#This Row],[BookieInnsats]]+LayTable[[#This Row],[LayLiability]])</f>
        <v/>
      </c>
      <c r="R3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2" s="47" t="str">
        <f>IF(LayTable[[#This Row],[Utfall bookie]]="","",LayTable[[#This Row],[WBABack]]+LayTable[[#This Row],[WBALay]]-LayTable[[#This Row],[Total inns]])</f>
        <v/>
      </c>
      <c r="U3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2" s="48" t="str">
        <f>IFERROR(IF(LayTable[[#This Row],[Total inns]]="","",LayTable[[#This Row],[Rback]]/LayTable[[#This Row],[Total inns]]),"")</f>
        <v/>
      </c>
      <c r="X332" s="48" t="str">
        <f>IFERROR(IF(LayTable[[#This Row],[Total inns]]="","",LayTable[[#This Row],[Rlay]]/LayTable[[#This Row],[Total inns]]),"")</f>
        <v/>
      </c>
      <c r="Y332" s="48" t="str">
        <f>IFERROR(LayTable[[#This Row],[Faktisk res]]/LayTable[[#This Row],[Total inns]],"")</f>
        <v/>
      </c>
      <c r="Z332" s="47">
        <f>(LayTable[[#This Row],[BookieInnsats]]*LayTable[[#This Row],[BookieOdds]]-LayTable[[#This Row],[BookieInnsats]])*(1-LayTable[[#This Row],[C% Bookie]])</f>
        <v>0</v>
      </c>
      <c r="AA332" s="43">
        <f>LayTable[[#This Row],[LayInnsats]]*(1-LayTable[[#This Row],[C% Lay]])</f>
        <v>0</v>
      </c>
      <c r="AB332" s="43" t="str">
        <f>IFERROR(IF(LayTable[[#This Row],[Sport]]="",#REF!,LayTable[[#This Row],[Faktisk res]]+#REF!),"")</f>
        <v/>
      </c>
      <c r="AC332" s="43">
        <f>(LayTable[[#This Row],[BackWin-Commission]]+LayTable[[#This Row],[BookieInnsats]])</f>
        <v>0</v>
      </c>
      <c r="AD332" s="43" t="e">
        <f>(LayTable[[#This Row],[LayWin-Commission]])+LayTable[[#This Row],[LayLiability]]</f>
        <v>#VALUE!</v>
      </c>
      <c r="AE332" s="181"/>
      <c r="AF332" s="181"/>
    </row>
    <row r="333" spans="1:32">
      <c r="A333" s="84"/>
      <c r="B333" s="177"/>
      <c r="C333" s="40"/>
      <c r="D333" s="41"/>
      <c r="E333" s="178"/>
      <c r="F333" s="179"/>
      <c r="G333" s="183"/>
      <c r="H333" s="38"/>
      <c r="I333" s="42"/>
      <c r="J333" s="42"/>
      <c r="K333" s="43"/>
      <c r="L333" s="43"/>
      <c r="M333" s="44" t="str">
        <f>IF(LayTable[[#This Row],[Sport]]="","",LayTable[[#This Row],[LayInnsats]]*(LayTable[[#This Row],[LayOdds]]-1))</f>
        <v/>
      </c>
      <c r="N333" s="45" t="str">
        <f>IF(LayTable[[#This Row],[Sport]]="","",1/((1/LayTable[[#This Row],[BookieOdds]])+(1/((1/((1+((LayTable[[#This Row],[LayOdds]]-1)*(1+LayTable[[#This Row],[C% Lay]])))-1))+1)))-1)</f>
        <v/>
      </c>
      <c r="Q333" s="46" t="str">
        <f>IF(LayTable[[#This Row],[Sport]]="","",LayTable[[#This Row],[BookieInnsats]]+LayTable[[#This Row],[LayLiability]])</f>
        <v/>
      </c>
      <c r="R3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3" s="47" t="str">
        <f>IF(LayTable[[#This Row],[Utfall bookie]]="","",LayTable[[#This Row],[WBABack]]+LayTable[[#This Row],[WBALay]]-LayTable[[#This Row],[Total inns]])</f>
        <v/>
      </c>
      <c r="U3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3" s="48" t="str">
        <f>IFERROR(IF(LayTable[[#This Row],[Total inns]]="","",LayTable[[#This Row],[Rback]]/LayTable[[#This Row],[Total inns]]),"")</f>
        <v/>
      </c>
      <c r="X333" s="48" t="str">
        <f>IFERROR(IF(LayTable[[#This Row],[Total inns]]="","",LayTable[[#This Row],[Rlay]]/LayTable[[#This Row],[Total inns]]),"")</f>
        <v/>
      </c>
      <c r="Y333" s="48" t="str">
        <f>IFERROR(LayTable[[#This Row],[Faktisk res]]/LayTable[[#This Row],[Total inns]],"")</f>
        <v/>
      </c>
      <c r="Z333" s="47">
        <f>(LayTable[[#This Row],[BookieInnsats]]*LayTable[[#This Row],[BookieOdds]]-LayTable[[#This Row],[BookieInnsats]])*(1-LayTable[[#This Row],[C% Bookie]])</f>
        <v>0</v>
      </c>
      <c r="AA333" s="43">
        <f>LayTable[[#This Row],[LayInnsats]]*(1-LayTable[[#This Row],[C% Lay]])</f>
        <v>0</v>
      </c>
      <c r="AB333" s="43" t="str">
        <f>IFERROR(IF(LayTable[[#This Row],[Sport]]="",AB332,LayTable[[#This Row],[Faktisk res]]+AB332),"")</f>
        <v/>
      </c>
      <c r="AC333" s="43">
        <f>(LayTable[[#This Row],[BackWin-Commission]]+LayTable[[#This Row],[BookieInnsats]])</f>
        <v>0</v>
      </c>
      <c r="AD333" s="43" t="e">
        <f>(LayTable[[#This Row],[LayWin-Commission]])+LayTable[[#This Row],[LayLiability]]</f>
        <v>#VALUE!</v>
      </c>
      <c r="AE333" s="181"/>
      <c r="AF333" s="181"/>
    </row>
    <row r="334" spans="1:32">
      <c r="A334" s="183"/>
      <c r="B334" s="177"/>
      <c r="C334" s="178"/>
      <c r="D334" s="41"/>
      <c r="E334" s="178"/>
      <c r="F334" s="179"/>
      <c r="G334" s="183"/>
      <c r="H334" s="38"/>
      <c r="I334" s="42"/>
      <c r="J334" s="42"/>
      <c r="K334" s="43"/>
      <c r="L334" s="43"/>
      <c r="M334" s="44" t="str">
        <f>IF(LayTable[[#This Row],[Sport]]="","",LayTable[[#This Row],[LayInnsats]]*(LayTable[[#This Row],[LayOdds]]-1))</f>
        <v/>
      </c>
      <c r="N334" s="45" t="str">
        <f>IF(LayTable[[#This Row],[Sport]]="","",1/((1/LayTable[[#This Row],[BookieOdds]])+(1/((1/((1+((LayTable[[#This Row],[LayOdds]]-1)*(1+LayTable[[#This Row],[C% Lay]])))-1))+1)))-1)</f>
        <v/>
      </c>
      <c r="Q334" s="46" t="str">
        <f>IF(LayTable[[#This Row],[Sport]]="","",LayTable[[#This Row],[BookieInnsats]]+LayTable[[#This Row],[LayLiability]])</f>
        <v/>
      </c>
      <c r="R3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4" s="47" t="str">
        <f>IF(LayTable[[#This Row],[Utfall bookie]]="","",LayTable[[#This Row],[WBABack]]+LayTable[[#This Row],[WBALay]]-LayTable[[#This Row],[Total inns]])</f>
        <v/>
      </c>
      <c r="U3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4" s="48" t="str">
        <f>IFERROR(IF(LayTable[[#This Row],[Total inns]]="","",LayTable[[#This Row],[Rback]]/LayTable[[#This Row],[Total inns]]),"")</f>
        <v/>
      </c>
      <c r="X334" s="48" t="str">
        <f>IFERROR(IF(LayTable[[#This Row],[Total inns]]="","",LayTable[[#This Row],[Rlay]]/LayTable[[#This Row],[Total inns]]),"")</f>
        <v/>
      </c>
      <c r="Y334" s="48" t="str">
        <f>IFERROR(LayTable[[#This Row],[Faktisk res]]/LayTable[[#This Row],[Total inns]],"")</f>
        <v/>
      </c>
      <c r="Z334" s="47">
        <f>(LayTable[[#This Row],[BookieInnsats]]*LayTable[[#This Row],[BookieOdds]]-LayTable[[#This Row],[BookieInnsats]])*(1-LayTable[[#This Row],[C% Bookie]])</f>
        <v>0</v>
      </c>
      <c r="AA334" s="43">
        <f>LayTable[[#This Row],[LayInnsats]]*(1-LayTable[[#This Row],[C% Lay]])</f>
        <v>0</v>
      </c>
      <c r="AB334" s="43" t="str">
        <f>IFERROR(IF(LayTable[[#This Row],[Sport]]="",#REF!,LayTable[[#This Row],[Faktisk res]]+#REF!),"")</f>
        <v/>
      </c>
      <c r="AC334" s="43">
        <f>(LayTable[[#This Row],[BackWin-Commission]]+LayTable[[#This Row],[BookieInnsats]])</f>
        <v>0</v>
      </c>
      <c r="AD334" s="43" t="e">
        <f>(LayTable[[#This Row],[LayWin-Commission]])+LayTable[[#This Row],[LayLiability]]</f>
        <v>#VALUE!</v>
      </c>
      <c r="AE334" s="181"/>
      <c r="AF334" s="181"/>
    </row>
    <row r="335" spans="1:32">
      <c r="A335" s="183"/>
      <c r="B335" s="177"/>
      <c r="C335" s="178"/>
      <c r="D335" s="41"/>
      <c r="E335" s="178"/>
      <c r="F335" s="179"/>
      <c r="G335" s="183"/>
      <c r="H335" s="38"/>
      <c r="I335" s="42"/>
      <c r="J335" s="42"/>
      <c r="K335" s="43"/>
      <c r="L335" s="43"/>
      <c r="M335" s="44" t="str">
        <f>IF(LayTable[[#This Row],[Sport]]="","",LayTable[[#This Row],[LayInnsats]]*(LayTable[[#This Row],[LayOdds]]-1))</f>
        <v/>
      </c>
      <c r="N335" s="45" t="str">
        <f>IF(LayTable[[#This Row],[Sport]]="","",1/((1/LayTable[[#This Row],[BookieOdds]])+(1/((1/((1+((LayTable[[#This Row],[LayOdds]]-1)*(1+LayTable[[#This Row],[C% Lay]])))-1))+1)))-1)</f>
        <v/>
      </c>
      <c r="Q335" s="46" t="str">
        <f>IF(LayTable[[#This Row],[Sport]]="","",LayTable[[#This Row],[BookieInnsats]]+LayTable[[#This Row],[LayLiability]])</f>
        <v/>
      </c>
      <c r="R3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5" s="47" t="str">
        <f>IF(LayTable[[#This Row],[Utfall bookie]]="","",LayTable[[#This Row],[WBABack]]+LayTable[[#This Row],[WBALay]]-LayTable[[#This Row],[Total inns]])</f>
        <v/>
      </c>
      <c r="U3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5" s="48" t="str">
        <f>IFERROR(IF(LayTable[[#This Row],[Total inns]]="","",LayTable[[#This Row],[Rback]]/LayTable[[#This Row],[Total inns]]),"")</f>
        <v/>
      </c>
      <c r="X335" s="48" t="str">
        <f>IFERROR(IF(LayTable[[#This Row],[Total inns]]="","",LayTable[[#This Row],[Rlay]]/LayTable[[#This Row],[Total inns]]),"")</f>
        <v/>
      </c>
      <c r="Y335" s="48" t="str">
        <f>IFERROR(LayTable[[#This Row],[Faktisk res]]/LayTable[[#This Row],[Total inns]],"")</f>
        <v/>
      </c>
      <c r="Z335" s="47">
        <f>(LayTable[[#This Row],[BookieInnsats]]*LayTable[[#This Row],[BookieOdds]]-LayTable[[#This Row],[BookieInnsats]])*(1-LayTable[[#This Row],[C% Bookie]])</f>
        <v>0</v>
      </c>
      <c r="AA335" s="43">
        <f>LayTable[[#This Row],[LayInnsats]]*(1-LayTable[[#This Row],[C% Lay]])</f>
        <v>0</v>
      </c>
      <c r="AB335" s="43" t="str">
        <f>IFERROR(IF(LayTable[[#This Row],[Sport]]="",AB334,LayTable[[#This Row],[Faktisk res]]+AB334),"")</f>
        <v/>
      </c>
      <c r="AC335" s="43">
        <f>(LayTable[[#This Row],[BackWin-Commission]]+LayTable[[#This Row],[BookieInnsats]])</f>
        <v>0</v>
      </c>
      <c r="AD335" s="43" t="e">
        <f>(LayTable[[#This Row],[LayWin-Commission]])+LayTable[[#This Row],[LayLiability]]</f>
        <v>#VALUE!</v>
      </c>
      <c r="AE335" s="181"/>
      <c r="AF335" s="181"/>
    </row>
    <row r="336" spans="1:32">
      <c r="A336" s="183"/>
      <c r="B336" s="177"/>
      <c r="C336" s="178"/>
      <c r="D336" s="41"/>
      <c r="E336" s="178"/>
      <c r="F336" s="179"/>
      <c r="G336" s="183"/>
      <c r="H336" s="38"/>
      <c r="I336" s="42"/>
      <c r="J336" s="42"/>
      <c r="K336" s="43"/>
      <c r="L336" s="43"/>
      <c r="M336" s="44" t="str">
        <f>IF(LayTable[[#This Row],[Sport]]="","",LayTable[[#This Row],[LayInnsats]]*(LayTable[[#This Row],[LayOdds]]-1))</f>
        <v/>
      </c>
      <c r="N336" s="45" t="str">
        <f>IF(LayTable[[#This Row],[Sport]]="","",1/((1/LayTable[[#This Row],[BookieOdds]])+(1/((1/((1+((LayTable[[#This Row],[LayOdds]]-1)*(1+LayTable[[#This Row],[C% Lay]])))-1))+1)))-1)</f>
        <v/>
      </c>
      <c r="Q336" s="46" t="str">
        <f>IF(LayTable[[#This Row],[Sport]]="","",LayTable[[#This Row],[BookieInnsats]]+LayTable[[#This Row],[LayLiability]])</f>
        <v/>
      </c>
      <c r="R3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6" s="47" t="str">
        <f>IF(LayTable[[#This Row],[Utfall bookie]]="","",LayTable[[#This Row],[WBABack]]+LayTable[[#This Row],[WBALay]]-LayTable[[#This Row],[Total inns]])</f>
        <v/>
      </c>
      <c r="U3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6" s="48" t="str">
        <f>IFERROR(IF(LayTable[[#This Row],[Total inns]]="","",LayTable[[#This Row],[Rback]]/LayTable[[#This Row],[Total inns]]),"")</f>
        <v/>
      </c>
      <c r="X336" s="48" t="str">
        <f>IFERROR(IF(LayTable[[#This Row],[Total inns]]="","",LayTable[[#This Row],[Rlay]]/LayTable[[#This Row],[Total inns]]),"")</f>
        <v/>
      </c>
      <c r="Y336" s="48" t="str">
        <f>IFERROR(LayTable[[#This Row],[Faktisk res]]/LayTable[[#This Row],[Total inns]],"")</f>
        <v/>
      </c>
      <c r="Z336" s="47">
        <f>(LayTable[[#This Row],[BookieInnsats]]*LayTable[[#This Row],[BookieOdds]]-LayTable[[#This Row],[BookieInnsats]])*(1-LayTable[[#This Row],[C% Bookie]])</f>
        <v>0</v>
      </c>
      <c r="AA336" s="43">
        <f>LayTable[[#This Row],[LayInnsats]]*(1-LayTable[[#This Row],[C% Lay]])</f>
        <v>0</v>
      </c>
      <c r="AB336" s="43" t="str">
        <f>IFERROR(IF(LayTable[[#This Row],[Sport]]="",AB335,LayTable[[#This Row],[Faktisk res]]+AB335),"")</f>
        <v/>
      </c>
      <c r="AC336" s="43">
        <f>(LayTable[[#This Row],[BackWin-Commission]]+LayTable[[#This Row],[BookieInnsats]])</f>
        <v>0</v>
      </c>
      <c r="AD336" s="43" t="e">
        <f>(LayTable[[#This Row],[LayWin-Commission]])+LayTable[[#This Row],[LayLiability]]</f>
        <v>#VALUE!</v>
      </c>
      <c r="AE336" s="181"/>
      <c r="AF336" s="181"/>
    </row>
    <row r="337" spans="1:32">
      <c r="A337" s="183"/>
      <c r="B337" s="177"/>
      <c r="C337" s="178"/>
      <c r="D337" s="41"/>
      <c r="E337" s="178"/>
      <c r="F337" s="179"/>
      <c r="G337" s="183"/>
      <c r="H337" s="38"/>
      <c r="I337" s="42"/>
      <c r="J337" s="42"/>
      <c r="K337" s="43"/>
      <c r="L337" s="43"/>
      <c r="M337" s="44" t="str">
        <f>IF(LayTable[[#This Row],[Sport]]="","",LayTable[[#This Row],[LayInnsats]]*(LayTable[[#This Row],[LayOdds]]-1))</f>
        <v/>
      </c>
      <c r="N337" s="45" t="str">
        <f>IF(LayTable[[#This Row],[Sport]]="","",1/((1/LayTable[[#This Row],[BookieOdds]])+(1/((1/((1+((LayTable[[#This Row],[LayOdds]]-1)*(1+LayTable[[#This Row],[C% Lay]])))-1))+1)))-1)</f>
        <v/>
      </c>
      <c r="Q337" s="46" t="str">
        <f>IF(LayTable[[#This Row],[Sport]]="","",LayTable[[#This Row],[BookieInnsats]]+LayTable[[#This Row],[LayLiability]])</f>
        <v/>
      </c>
      <c r="R3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7" s="47" t="str">
        <f>IF(LayTable[[#This Row],[Utfall bookie]]="","",LayTable[[#This Row],[WBABack]]+LayTable[[#This Row],[WBALay]]-LayTable[[#This Row],[Total inns]])</f>
        <v/>
      </c>
      <c r="U3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7" s="48" t="str">
        <f>IFERROR(IF(LayTable[[#This Row],[Total inns]]="","",LayTable[[#This Row],[Rback]]/LayTable[[#This Row],[Total inns]]),"")</f>
        <v/>
      </c>
      <c r="X337" s="48" t="str">
        <f>IFERROR(IF(LayTable[[#This Row],[Total inns]]="","",LayTable[[#This Row],[Rlay]]/LayTable[[#This Row],[Total inns]]),"")</f>
        <v/>
      </c>
      <c r="Y337" s="48" t="str">
        <f>IFERROR(LayTable[[#This Row],[Faktisk res]]/LayTable[[#This Row],[Total inns]],"")</f>
        <v/>
      </c>
      <c r="Z337" s="47">
        <f>(LayTable[[#This Row],[BookieInnsats]]*LayTable[[#This Row],[BookieOdds]]-LayTable[[#This Row],[BookieInnsats]])*(1-LayTable[[#This Row],[C% Bookie]])</f>
        <v>0</v>
      </c>
      <c r="AA337" s="43">
        <f>LayTable[[#This Row],[LayInnsats]]*(1-LayTable[[#This Row],[C% Lay]])</f>
        <v>0</v>
      </c>
      <c r="AB337" s="43" t="str">
        <f>IFERROR(IF(LayTable[[#This Row],[Sport]]="",AB336,LayTable[[#This Row],[Faktisk res]]+AB336),"")</f>
        <v/>
      </c>
      <c r="AC337" s="43">
        <f>(LayTable[[#This Row],[BackWin-Commission]]+LayTable[[#This Row],[BookieInnsats]])</f>
        <v>0</v>
      </c>
      <c r="AD337" s="43" t="e">
        <f>(LayTable[[#This Row],[LayWin-Commission]])+LayTable[[#This Row],[LayLiability]]</f>
        <v>#VALUE!</v>
      </c>
      <c r="AE337" s="181"/>
      <c r="AF337" s="181"/>
    </row>
    <row r="338" spans="1:32">
      <c r="A338" s="183"/>
      <c r="B338" s="177"/>
      <c r="C338" s="178"/>
      <c r="D338" s="41"/>
      <c r="E338" s="178"/>
      <c r="F338" s="179"/>
      <c r="G338" s="183"/>
      <c r="H338" s="38"/>
      <c r="I338" s="42"/>
      <c r="J338" s="42"/>
      <c r="K338" s="43"/>
      <c r="L338" s="43"/>
      <c r="M338" s="44" t="str">
        <f>IF(LayTable[[#This Row],[Sport]]="","",LayTable[[#This Row],[LayInnsats]]*(LayTable[[#This Row],[LayOdds]]-1))</f>
        <v/>
      </c>
      <c r="N338" s="45" t="str">
        <f>IF(LayTable[[#This Row],[Sport]]="","",1/((1/LayTable[[#This Row],[BookieOdds]])+(1/((1/((1+((LayTable[[#This Row],[LayOdds]]-1)*(1+LayTable[[#This Row],[C% Lay]])))-1))+1)))-1)</f>
        <v/>
      </c>
      <c r="Q338" s="46" t="str">
        <f>IF(LayTable[[#This Row],[Sport]]="","",LayTable[[#This Row],[BookieInnsats]]+LayTable[[#This Row],[LayLiability]])</f>
        <v/>
      </c>
      <c r="R3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8" s="47" t="str">
        <f>IF(LayTable[[#This Row],[Utfall bookie]]="","",LayTable[[#This Row],[WBABack]]+LayTable[[#This Row],[WBALay]]-LayTable[[#This Row],[Total inns]])</f>
        <v/>
      </c>
      <c r="U3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8" s="48" t="str">
        <f>IFERROR(IF(LayTable[[#This Row],[Total inns]]="","",LayTable[[#This Row],[Rback]]/LayTable[[#This Row],[Total inns]]),"")</f>
        <v/>
      </c>
      <c r="X338" s="48" t="str">
        <f>IFERROR(IF(LayTable[[#This Row],[Total inns]]="","",LayTable[[#This Row],[Rlay]]/LayTable[[#This Row],[Total inns]]),"")</f>
        <v/>
      </c>
      <c r="Y338" s="48" t="str">
        <f>IFERROR(LayTable[[#This Row],[Faktisk res]]/LayTable[[#This Row],[Total inns]],"")</f>
        <v/>
      </c>
      <c r="Z338" s="47">
        <f>(LayTable[[#This Row],[BookieInnsats]]*LayTable[[#This Row],[BookieOdds]]-LayTable[[#This Row],[BookieInnsats]])*(1-LayTable[[#This Row],[C% Bookie]])</f>
        <v>0</v>
      </c>
      <c r="AA338" s="43">
        <f>LayTable[[#This Row],[LayInnsats]]*(1-LayTable[[#This Row],[C% Lay]])</f>
        <v>0</v>
      </c>
      <c r="AB338" s="43" t="str">
        <f>IFERROR(IF(LayTable[[#This Row],[Sport]]="",AB337,LayTable[[#This Row],[Faktisk res]]+AB337),"")</f>
        <v/>
      </c>
      <c r="AC338" s="43">
        <f>(LayTable[[#This Row],[BackWin-Commission]]+LayTable[[#This Row],[BookieInnsats]])</f>
        <v>0</v>
      </c>
      <c r="AD338" s="43" t="e">
        <f>(LayTable[[#This Row],[LayWin-Commission]])+LayTable[[#This Row],[LayLiability]]</f>
        <v>#VALUE!</v>
      </c>
      <c r="AE338" s="181"/>
      <c r="AF338" s="181"/>
    </row>
    <row r="339" spans="1:32">
      <c r="A339" s="183"/>
      <c r="B339" s="177"/>
      <c r="C339" s="178"/>
      <c r="D339" s="41"/>
      <c r="E339" s="178"/>
      <c r="F339" s="179"/>
      <c r="G339" s="183"/>
      <c r="H339" s="38"/>
      <c r="I339" s="42"/>
      <c r="J339" s="42"/>
      <c r="K339" s="43"/>
      <c r="L339" s="43"/>
      <c r="M339" s="44" t="str">
        <f>IF(LayTable[[#This Row],[Sport]]="","",LayTable[[#This Row],[LayInnsats]]*(LayTable[[#This Row],[LayOdds]]-1))</f>
        <v/>
      </c>
      <c r="N339" s="45" t="str">
        <f>IF(LayTable[[#This Row],[Sport]]="","",1/((1/LayTable[[#This Row],[BookieOdds]])+(1/((1/((1+((LayTable[[#This Row],[LayOdds]]-1)*(1+LayTable[[#This Row],[C% Lay]])))-1))+1)))-1)</f>
        <v/>
      </c>
      <c r="Q339" s="46" t="str">
        <f>IF(LayTable[[#This Row],[Sport]]="","",LayTable[[#This Row],[BookieInnsats]]+LayTable[[#This Row],[LayLiability]])</f>
        <v/>
      </c>
      <c r="R3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39" s="47" t="str">
        <f>IF(LayTable[[#This Row],[Utfall bookie]]="","",LayTable[[#This Row],[WBABack]]+LayTable[[#This Row],[WBALay]]-LayTable[[#This Row],[Total inns]])</f>
        <v/>
      </c>
      <c r="U3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39" s="48" t="str">
        <f>IFERROR(IF(LayTable[[#This Row],[Total inns]]="","",LayTable[[#This Row],[Rback]]/LayTable[[#This Row],[Total inns]]),"")</f>
        <v/>
      </c>
      <c r="X339" s="48" t="str">
        <f>IFERROR(IF(LayTable[[#This Row],[Total inns]]="","",LayTable[[#This Row],[Rlay]]/LayTable[[#This Row],[Total inns]]),"")</f>
        <v/>
      </c>
      <c r="Y339" s="48" t="str">
        <f>IFERROR(LayTable[[#This Row],[Faktisk res]]/LayTable[[#This Row],[Total inns]],"")</f>
        <v/>
      </c>
      <c r="Z339" s="47">
        <f>(LayTable[[#This Row],[BookieInnsats]]*LayTable[[#This Row],[BookieOdds]]-LayTable[[#This Row],[BookieInnsats]])*(1-LayTable[[#This Row],[C% Bookie]])</f>
        <v>0</v>
      </c>
      <c r="AA339" s="43">
        <f>LayTable[[#This Row],[LayInnsats]]*(1-LayTable[[#This Row],[C% Lay]])</f>
        <v>0</v>
      </c>
      <c r="AB339" s="43" t="str">
        <f>IFERROR(IF(LayTable[[#This Row],[Sport]]="",AB338,LayTable[[#This Row],[Faktisk res]]+AB338),"")</f>
        <v/>
      </c>
      <c r="AC339" s="43">
        <f>(LayTable[[#This Row],[BackWin-Commission]]+LayTable[[#This Row],[BookieInnsats]])</f>
        <v>0</v>
      </c>
      <c r="AD339" s="43" t="e">
        <f>(LayTable[[#This Row],[LayWin-Commission]])+LayTable[[#This Row],[LayLiability]]</f>
        <v>#VALUE!</v>
      </c>
      <c r="AE339" s="181"/>
      <c r="AF339" s="181"/>
    </row>
    <row r="340" spans="1:32">
      <c r="A340" s="183"/>
      <c r="B340" s="177"/>
      <c r="C340" s="178"/>
      <c r="D340" s="41"/>
      <c r="E340" s="178"/>
      <c r="F340" s="179"/>
      <c r="G340" s="183"/>
      <c r="H340" s="38"/>
      <c r="I340" s="42"/>
      <c r="J340" s="42"/>
      <c r="K340" s="43"/>
      <c r="L340" s="43"/>
      <c r="M340" s="44" t="str">
        <f>IF(LayTable[[#This Row],[Sport]]="","",LayTable[[#This Row],[LayInnsats]]*(LayTable[[#This Row],[LayOdds]]-1))</f>
        <v/>
      </c>
      <c r="N340" s="45" t="str">
        <f>IF(LayTable[[#This Row],[Sport]]="","",1/((1/LayTable[[#This Row],[BookieOdds]])+(1/((1/((1+((LayTable[[#This Row],[LayOdds]]-1)*(1+LayTable[[#This Row],[C% Lay]])))-1))+1)))-1)</f>
        <v/>
      </c>
      <c r="Q340" s="46" t="str">
        <f>IF(LayTable[[#This Row],[Sport]]="","",LayTable[[#This Row],[BookieInnsats]]+LayTable[[#This Row],[LayLiability]])</f>
        <v/>
      </c>
      <c r="R3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0" s="47" t="str">
        <f>IF(LayTable[[#This Row],[Utfall bookie]]="","",LayTable[[#This Row],[WBABack]]+LayTable[[#This Row],[WBALay]]-LayTable[[#This Row],[Total inns]])</f>
        <v/>
      </c>
      <c r="U3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0" s="48" t="str">
        <f>IFERROR(IF(LayTable[[#This Row],[Total inns]]="","",LayTable[[#This Row],[Rback]]/LayTable[[#This Row],[Total inns]]),"")</f>
        <v/>
      </c>
      <c r="X340" s="48" t="str">
        <f>IFERROR(IF(LayTable[[#This Row],[Total inns]]="","",LayTable[[#This Row],[Rlay]]/LayTable[[#This Row],[Total inns]]),"")</f>
        <v/>
      </c>
      <c r="Y340" s="48" t="str">
        <f>IFERROR(LayTable[[#This Row],[Faktisk res]]/LayTable[[#This Row],[Total inns]],"")</f>
        <v/>
      </c>
      <c r="Z340" s="47">
        <f>(LayTable[[#This Row],[BookieInnsats]]*LayTable[[#This Row],[BookieOdds]]-LayTable[[#This Row],[BookieInnsats]])*(1-LayTable[[#This Row],[C% Bookie]])</f>
        <v>0</v>
      </c>
      <c r="AA340" s="43">
        <f>LayTable[[#This Row],[LayInnsats]]*(1-LayTable[[#This Row],[C% Lay]])</f>
        <v>0</v>
      </c>
      <c r="AB340" s="43" t="str">
        <f>IFERROR(IF(LayTable[[#This Row],[Sport]]="",AB339,LayTable[[#This Row],[Faktisk res]]+AB339),"")</f>
        <v/>
      </c>
      <c r="AC340" s="43">
        <f>(LayTable[[#This Row],[BackWin-Commission]]+LayTable[[#This Row],[BookieInnsats]])</f>
        <v>0</v>
      </c>
      <c r="AD340" s="43" t="e">
        <f>(LayTable[[#This Row],[LayWin-Commission]])+LayTable[[#This Row],[LayLiability]]</f>
        <v>#VALUE!</v>
      </c>
      <c r="AE340" s="181"/>
      <c r="AF340" s="181"/>
    </row>
    <row r="341" spans="1:32">
      <c r="A341" s="84"/>
      <c r="B341" s="177"/>
      <c r="C341" s="40"/>
      <c r="D341" s="41"/>
      <c r="E341" s="178"/>
      <c r="F341" s="179"/>
      <c r="G341" s="183"/>
      <c r="H341" s="38"/>
      <c r="I341" s="42"/>
      <c r="J341" s="42"/>
      <c r="K341" s="43"/>
      <c r="L341" s="43"/>
      <c r="M341" s="44" t="str">
        <f>IF(LayTable[[#This Row],[Sport]]="","",LayTable[[#This Row],[LayInnsats]]*(LayTable[[#This Row],[LayOdds]]-1))</f>
        <v/>
      </c>
      <c r="N341" s="45" t="str">
        <f>IF(LayTable[[#This Row],[Sport]]="","",1/((1/LayTable[[#This Row],[BookieOdds]])+(1/((1/((1+((LayTable[[#This Row],[LayOdds]]-1)*(1+LayTable[[#This Row],[C% Lay]])))-1))+1)))-1)</f>
        <v/>
      </c>
      <c r="Q341" s="46" t="str">
        <f>IF(LayTable[[#This Row],[Sport]]="","",LayTable[[#This Row],[BookieInnsats]]+LayTable[[#This Row],[LayLiability]])</f>
        <v/>
      </c>
      <c r="R3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1" s="47" t="str">
        <f>IF(LayTable[[#This Row],[Utfall bookie]]="","",LayTable[[#This Row],[WBABack]]+LayTable[[#This Row],[WBALay]]-LayTable[[#This Row],[Total inns]])</f>
        <v/>
      </c>
      <c r="U3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1" s="48" t="str">
        <f>IFERROR(IF(LayTable[[#This Row],[Total inns]]="","",LayTable[[#This Row],[Rback]]/LayTable[[#This Row],[Total inns]]),"")</f>
        <v/>
      </c>
      <c r="X341" s="48" t="str">
        <f>IFERROR(IF(LayTable[[#This Row],[Total inns]]="","",LayTable[[#This Row],[Rlay]]/LayTable[[#This Row],[Total inns]]),"")</f>
        <v/>
      </c>
      <c r="Y341" s="48" t="str">
        <f>IFERROR(LayTable[[#This Row],[Faktisk res]]/LayTable[[#This Row],[Total inns]],"")</f>
        <v/>
      </c>
      <c r="Z341" s="47">
        <f>(LayTable[[#This Row],[BookieInnsats]]*LayTable[[#This Row],[BookieOdds]]-LayTable[[#This Row],[BookieInnsats]])*(1-LayTable[[#This Row],[C% Bookie]])</f>
        <v>0</v>
      </c>
      <c r="AA341" s="43">
        <f>LayTable[[#This Row],[LayInnsats]]*(1-LayTable[[#This Row],[C% Lay]])</f>
        <v>0</v>
      </c>
      <c r="AB341" s="43" t="str">
        <f>IFERROR(IF(LayTable[[#This Row],[Sport]]="",AB340,LayTable[[#This Row],[Faktisk res]]+AB340),"")</f>
        <v/>
      </c>
      <c r="AC341" s="43">
        <f>(LayTable[[#This Row],[BackWin-Commission]]+LayTable[[#This Row],[BookieInnsats]])</f>
        <v>0</v>
      </c>
      <c r="AD341" s="43" t="e">
        <f>(LayTable[[#This Row],[LayWin-Commission]])+LayTable[[#This Row],[LayLiability]]</f>
        <v>#VALUE!</v>
      </c>
      <c r="AE341" s="43"/>
      <c r="AF341" s="183"/>
    </row>
    <row r="342" spans="1:32">
      <c r="A342" s="84"/>
      <c r="B342" s="177"/>
      <c r="C342" s="40"/>
      <c r="D342" s="41"/>
      <c r="E342" s="178"/>
      <c r="F342" s="179"/>
      <c r="G342" s="183"/>
      <c r="H342" s="38"/>
      <c r="I342" s="42"/>
      <c r="J342" s="42"/>
      <c r="K342" s="43"/>
      <c r="L342" s="43"/>
      <c r="M342" s="44" t="str">
        <f>IF(LayTable[[#This Row],[Sport]]="","",LayTable[[#This Row],[LayInnsats]]*(LayTable[[#This Row],[LayOdds]]-1))</f>
        <v/>
      </c>
      <c r="N342" s="45" t="str">
        <f>IF(LayTable[[#This Row],[Sport]]="","",1/((1/LayTable[[#This Row],[BookieOdds]])+(1/((1/((1+((LayTable[[#This Row],[LayOdds]]-1)*(1+LayTable[[#This Row],[C% Lay]])))-1))+1)))-1)</f>
        <v/>
      </c>
      <c r="Q342" s="46" t="str">
        <f>IF(LayTable[[#This Row],[Sport]]="","",LayTable[[#This Row],[BookieInnsats]]+LayTable[[#This Row],[LayLiability]])</f>
        <v/>
      </c>
      <c r="R3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2" s="47" t="str">
        <f>IF(LayTable[[#This Row],[Utfall bookie]]="","",LayTable[[#This Row],[WBABack]]+LayTable[[#This Row],[WBALay]]-LayTable[[#This Row],[Total inns]])</f>
        <v/>
      </c>
      <c r="U3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2" s="48" t="str">
        <f>IFERROR(IF(LayTable[[#This Row],[Total inns]]="","",LayTable[[#This Row],[Rback]]/LayTable[[#This Row],[Total inns]]),"")</f>
        <v/>
      </c>
      <c r="X342" s="48" t="str">
        <f>IFERROR(IF(LayTable[[#This Row],[Total inns]]="","",LayTable[[#This Row],[Rlay]]/LayTable[[#This Row],[Total inns]]),"")</f>
        <v/>
      </c>
      <c r="Y342" s="48" t="str">
        <f>IFERROR(LayTable[[#This Row],[Faktisk res]]/LayTable[[#This Row],[Total inns]],"")</f>
        <v/>
      </c>
      <c r="Z342" s="47">
        <f>(LayTable[[#This Row],[BookieInnsats]]*LayTable[[#This Row],[BookieOdds]]-LayTable[[#This Row],[BookieInnsats]])*(1-LayTable[[#This Row],[C% Bookie]])</f>
        <v>0</v>
      </c>
      <c r="AA342" s="43">
        <f>LayTable[[#This Row],[LayInnsats]]*(1-LayTable[[#This Row],[C% Lay]])</f>
        <v>0</v>
      </c>
      <c r="AB342" s="43" t="str">
        <f>IFERROR(IF(LayTable[[#This Row],[Sport]]="",AB341,LayTable[[#This Row],[Faktisk res]]+AB341),"")</f>
        <v/>
      </c>
      <c r="AC342" s="43">
        <f>(LayTable[[#This Row],[BackWin-Commission]]+LayTable[[#This Row],[BookieInnsats]])</f>
        <v>0</v>
      </c>
      <c r="AD342" s="43" t="e">
        <f>(LayTable[[#This Row],[LayWin-Commission]])+LayTable[[#This Row],[LayLiability]]</f>
        <v>#VALUE!</v>
      </c>
      <c r="AE342" s="43"/>
      <c r="AF342" s="181"/>
    </row>
    <row r="343" spans="1:32">
      <c r="A343" s="183"/>
      <c r="B343" s="177"/>
      <c r="C343" s="178"/>
      <c r="D343" s="179"/>
      <c r="E343" s="178"/>
      <c r="F343" s="179"/>
      <c r="G343" s="183"/>
      <c r="H343" s="176"/>
      <c r="I343" s="180"/>
      <c r="J343" s="180"/>
      <c r="K343" s="43"/>
      <c r="L343" s="43"/>
      <c r="M343" s="44" t="str">
        <f>IF(LayTable[[#This Row],[Sport]]="","",LayTable[[#This Row],[LayInnsats]]*(LayTable[[#This Row],[LayOdds]]-1))</f>
        <v/>
      </c>
      <c r="N343" s="45" t="str">
        <f>IF(LayTable[[#This Row],[Sport]]="","",1/((1/LayTable[[#This Row],[BookieOdds]])+(1/((1/((1+((LayTable[[#This Row],[LayOdds]]-1)*(1+LayTable[[#This Row],[C% Lay]])))-1))+1)))-1)</f>
        <v/>
      </c>
      <c r="Q343" s="46" t="str">
        <f>IF(LayTable[[#This Row],[Sport]]="","",LayTable[[#This Row],[BookieInnsats]]+LayTable[[#This Row],[LayLiability]])</f>
        <v/>
      </c>
      <c r="R3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3" s="47" t="str">
        <f>IF(LayTable[[#This Row],[Utfall bookie]]="","",LayTable[[#This Row],[WBABack]]+LayTable[[#This Row],[WBALay]]-LayTable[[#This Row],[Total inns]])</f>
        <v/>
      </c>
      <c r="U3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3" s="48" t="str">
        <f>IFERROR(IF(LayTable[[#This Row],[Total inns]]="","",LayTable[[#This Row],[Rback]]/LayTable[[#This Row],[Total inns]]),"")</f>
        <v/>
      </c>
      <c r="X343" s="48" t="str">
        <f>IFERROR(IF(LayTable[[#This Row],[Total inns]]="","",LayTable[[#This Row],[Rlay]]/LayTable[[#This Row],[Total inns]]),"")</f>
        <v/>
      </c>
      <c r="Y343" s="48" t="str">
        <f>IFERROR(LayTable[[#This Row],[Faktisk res]]/LayTable[[#This Row],[Total inns]],"")</f>
        <v/>
      </c>
      <c r="Z343" s="47">
        <f>(LayTable[[#This Row],[BookieInnsats]]*LayTable[[#This Row],[BookieOdds]]-LayTable[[#This Row],[BookieInnsats]])*(1-LayTable[[#This Row],[C% Bookie]])</f>
        <v>0</v>
      </c>
      <c r="AA343" s="43">
        <f>LayTable[[#This Row],[LayInnsats]]*(1-LayTable[[#This Row],[C% Lay]])</f>
        <v>0</v>
      </c>
      <c r="AB343" s="43" t="str">
        <f>IFERROR(IF(LayTable[[#This Row],[Sport]]="",AB342,LayTable[[#This Row],[Faktisk res]]+AB342),"")</f>
        <v/>
      </c>
      <c r="AC343" s="43">
        <f>(LayTable[[#This Row],[BackWin-Commission]]+LayTable[[#This Row],[BookieInnsats]])</f>
        <v>0</v>
      </c>
      <c r="AD343" s="43" t="e">
        <f>(LayTable[[#This Row],[LayWin-Commission]])+LayTable[[#This Row],[LayLiability]]</f>
        <v>#VALUE!</v>
      </c>
      <c r="AE343" s="43"/>
      <c r="AF343" s="181"/>
    </row>
    <row r="344" spans="1:32">
      <c r="A344" s="183"/>
      <c r="B344" s="177"/>
      <c r="C344" s="40"/>
      <c r="D344" s="41"/>
      <c r="E344" s="178"/>
      <c r="F344" s="179"/>
      <c r="G344" s="183"/>
      <c r="H344" s="38"/>
      <c r="I344" s="42"/>
      <c r="J344" s="42"/>
      <c r="K344" s="43"/>
      <c r="L344" s="43"/>
      <c r="M344" s="44" t="str">
        <f>IF(LayTable[[#This Row],[Sport]]="","",LayTable[[#This Row],[LayInnsats]]*(LayTable[[#This Row],[LayOdds]]-1))</f>
        <v/>
      </c>
      <c r="N344" s="45" t="str">
        <f>IF(LayTable[[#This Row],[Sport]]="","",1/((1/LayTable[[#This Row],[BookieOdds]])+(1/((1/((1+((LayTable[[#This Row],[LayOdds]]-1)*(1+LayTable[[#This Row],[C% Lay]])))-1))+1)))-1)</f>
        <v/>
      </c>
      <c r="Q344" s="46" t="str">
        <f>IF(LayTable[[#This Row],[Sport]]="","",LayTable[[#This Row],[BookieInnsats]]+LayTable[[#This Row],[LayLiability]])</f>
        <v/>
      </c>
      <c r="R3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4" s="47" t="str">
        <f>IF(LayTable[[#This Row],[Utfall bookie]]="","",LayTable[[#This Row],[WBABack]]+LayTable[[#This Row],[WBALay]]-LayTable[[#This Row],[Total inns]])</f>
        <v/>
      </c>
      <c r="U3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4" s="48" t="str">
        <f>IFERROR(IF(LayTable[[#This Row],[Total inns]]="","",LayTable[[#This Row],[Rback]]/LayTable[[#This Row],[Total inns]]),"")</f>
        <v/>
      </c>
      <c r="X344" s="48" t="str">
        <f>IFERROR(IF(LayTable[[#This Row],[Total inns]]="","",LayTable[[#This Row],[Rlay]]/LayTable[[#This Row],[Total inns]]),"")</f>
        <v/>
      </c>
      <c r="Y344" s="48" t="str">
        <f>IFERROR(LayTable[[#This Row],[Faktisk res]]/LayTable[[#This Row],[Total inns]],"")</f>
        <v/>
      </c>
      <c r="Z344" s="47">
        <f>(LayTable[[#This Row],[BookieInnsats]]*LayTable[[#This Row],[BookieOdds]]-LayTable[[#This Row],[BookieInnsats]])*(1-LayTable[[#This Row],[C% Bookie]])</f>
        <v>0</v>
      </c>
      <c r="AA344" s="43">
        <f>LayTable[[#This Row],[LayInnsats]]*(1-LayTable[[#This Row],[C% Lay]])</f>
        <v>0</v>
      </c>
      <c r="AB344" s="43" t="str">
        <f>IFERROR(IF(LayTable[[#This Row],[Sport]]="",AB343,LayTable[[#This Row],[Faktisk res]]+AB343),"")</f>
        <v/>
      </c>
      <c r="AC344" s="43">
        <f>(LayTable[[#This Row],[BackWin-Commission]]+LayTable[[#This Row],[BookieInnsats]])</f>
        <v>0</v>
      </c>
      <c r="AD344" s="43" t="e">
        <f>(LayTable[[#This Row],[LayWin-Commission]])+LayTable[[#This Row],[LayLiability]]</f>
        <v>#VALUE!</v>
      </c>
      <c r="AE344" s="43"/>
      <c r="AF344" s="181"/>
    </row>
    <row r="345" spans="1:32">
      <c r="A345" s="183"/>
      <c r="B345" s="177"/>
      <c r="C345" s="40"/>
      <c r="D345" s="41"/>
      <c r="E345" s="178"/>
      <c r="F345" s="179"/>
      <c r="G345" s="183"/>
      <c r="H345" s="38"/>
      <c r="I345" s="42"/>
      <c r="J345" s="42"/>
      <c r="K345" s="43"/>
      <c r="L345" s="43"/>
      <c r="M345" s="44" t="str">
        <f>IF(LayTable[[#This Row],[Sport]]="","",LayTable[[#This Row],[LayInnsats]]*(LayTable[[#This Row],[LayOdds]]-1))</f>
        <v/>
      </c>
      <c r="N345" s="45" t="str">
        <f>IF(LayTable[[#This Row],[Sport]]="","",1/((1/LayTable[[#This Row],[BookieOdds]])+(1/((1/((1+((LayTable[[#This Row],[LayOdds]]-1)*(1+LayTable[[#This Row],[C% Lay]])))-1))+1)))-1)</f>
        <v/>
      </c>
      <c r="Q345" s="46" t="str">
        <f>IF(LayTable[[#This Row],[Sport]]="","",LayTable[[#This Row],[BookieInnsats]]+LayTable[[#This Row],[LayLiability]])</f>
        <v/>
      </c>
      <c r="R3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5" s="47" t="str">
        <f>IF(LayTable[[#This Row],[Utfall bookie]]="","",LayTable[[#This Row],[WBABack]]+LayTable[[#This Row],[WBALay]]-LayTable[[#This Row],[Total inns]])</f>
        <v/>
      </c>
      <c r="U3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5" s="48" t="str">
        <f>IFERROR(IF(LayTable[[#This Row],[Total inns]]="","",LayTable[[#This Row],[Rback]]/LayTable[[#This Row],[Total inns]]),"")</f>
        <v/>
      </c>
      <c r="X345" s="48" t="str">
        <f>IFERROR(IF(LayTable[[#This Row],[Total inns]]="","",LayTable[[#This Row],[Rlay]]/LayTable[[#This Row],[Total inns]]),"")</f>
        <v/>
      </c>
      <c r="Y345" s="48" t="str">
        <f>IFERROR(LayTable[[#This Row],[Faktisk res]]/LayTable[[#This Row],[Total inns]],"")</f>
        <v/>
      </c>
      <c r="Z345" s="47">
        <f>(LayTable[[#This Row],[BookieInnsats]]*LayTable[[#This Row],[BookieOdds]]-LayTable[[#This Row],[BookieInnsats]])*(1-LayTable[[#This Row],[C% Bookie]])</f>
        <v>0</v>
      </c>
      <c r="AA345" s="43">
        <f>LayTable[[#This Row],[LayInnsats]]*(1-LayTable[[#This Row],[C% Lay]])</f>
        <v>0</v>
      </c>
      <c r="AB345" s="43" t="str">
        <f>IFERROR(IF(LayTable[[#This Row],[Sport]]="",AB344,LayTable[[#This Row],[Faktisk res]]+AB344),"")</f>
        <v/>
      </c>
      <c r="AC345" s="43">
        <f>(LayTable[[#This Row],[BackWin-Commission]]+LayTable[[#This Row],[BookieInnsats]])</f>
        <v>0</v>
      </c>
      <c r="AD345" s="43" t="e">
        <f>(LayTable[[#This Row],[LayWin-Commission]])+LayTable[[#This Row],[LayLiability]]</f>
        <v>#VALUE!</v>
      </c>
      <c r="AE345" s="43"/>
      <c r="AF345" s="181"/>
    </row>
    <row r="346" spans="1:32">
      <c r="A346" s="183"/>
      <c r="B346" s="177"/>
      <c r="C346" s="40"/>
      <c r="D346" s="41"/>
      <c r="E346" s="40"/>
      <c r="F346" s="41"/>
      <c r="G346" s="183"/>
      <c r="H346" s="38"/>
      <c r="I346" s="42"/>
      <c r="J346" s="42"/>
      <c r="K346" s="43"/>
      <c r="L346" s="43"/>
      <c r="M346" s="44" t="str">
        <f>IF(LayTable[[#This Row],[Sport]]="","",LayTable[[#This Row],[LayInnsats]]*(LayTable[[#This Row],[LayOdds]]-1))</f>
        <v/>
      </c>
      <c r="N346" s="45" t="str">
        <f>IF(LayTable[[#This Row],[Sport]]="","",1/((1/LayTable[[#This Row],[BookieOdds]])+(1/((1/((1+((LayTable[[#This Row],[LayOdds]]-1)*(1+LayTable[[#This Row],[C% Lay]])))-1))+1)))-1)</f>
        <v/>
      </c>
      <c r="Q346" s="46" t="str">
        <f>IF(LayTable[[#This Row],[Sport]]="","",LayTable[[#This Row],[BookieInnsats]]+LayTable[[#This Row],[LayLiability]])</f>
        <v/>
      </c>
      <c r="R3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6" s="47" t="str">
        <f>IF(LayTable[[#This Row],[Utfall bookie]]="","",LayTable[[#This Row],[WBABack]]+LayTable[[#This Row],[WBALay]]-LayTable[[#This Row],[Total inns]])</f>
        <v/>
      </c>
      <c r="U3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6" s="48" t="str">
        <f>IFERROR(IF(LayTable[[#This Row],[Total inns]]="","",LayTable[[#This Row],[Rback]]/LayTable[[#This Row],[Total inns]]),"")</f>
        <v/>
      </c>
      <c r="X346" s="48" t="str">
        <f>IFERROR(IF(LayTable[[#This Row],[Total inns]]="","",LayTable[[#This Row],[Rlay]]/LayTable[[#This Row],[Total inns]]),"")</f>
        <v/>
      </c>
      <c r="Y346" s="48" t="str">
        <f>IFERROR(LayTable[[#This Row],[Faktisk res]]/LayTable[[#This Row],[Total inns]],"")</f>
        <v/>
      </c>
      <c r="Z346" s="47">
        <f>(LayTable[[#This Row],[BookieInnsats]]*LayTable[[#This Row],[BookieOdds]]-LayTable[[#This Row],[BookieInnsats]])*(1-LayTable[[#This Row],[C% Bookie]])</f>
        <v>0</v>
      </c>
      <c r="AA346" s="43">
        <f>LayTable[[#This Row],[LayInnsats]]*(1-LayTable[[#This Row],[C% Lay]])</f>
        <v>0</v>
      </c>
      <c r="AB346" s="43" t="str">
        <f>IFERROR(IF(LayTable[[#This Row],[Sport]]="",AB345,LayTable[[#This Row],[Faktisk res]]+AB345),"")</f>
        <v/>
      </c>
      <c r="AC346" s="43">
        <f>(LayTable[[#This Row],[BackWin-Commission]]+LayTable[[#This Row],[BookieInnsats]])</f>
        <v>0</v>
      </c>
      <c r="AD346" s="43" t="e">
        <f>(LayTable[[#This Row],[LayWin-Commission]])+LayTable[[#This Row],[LayLiability]]</f>
        <v>#VALUE!</v>
      </c>
      <c r="AE346" s="43"/>
      <c r="AF346" s="181"/>
    </row>
    <row r="347" spans="1:32">
      <c r="A347" s="183"/>
      <c r="B347" s="177"/>
      <c r="C347" s="40"/>
      <c r="D347" s="41"/>
      <c r="E347" s="178"/>
      <c r="F347" s="179"/>
      <c r="G347" s="183"/>
      <c r="H347" s="38"/>
      <c r="I347" s="42"/>
      <c r="J347" s="42"/>
      <c r="K347" s="43"/>
      <c r="L347" s="43"/>
      <c r="M347" s="44" t="str">
        <f>IF(LayTable[[#This Row],[Sport]]="","",LayTable[[#This Row],[LayInnsats]]*(LayTable[[#This Row],[LayOdds]]-1))</f>
        <v/>
      </c>
      <c r="N347" s="45" t="str">
        <f>IF(LayTable[[#This Row],[Sport]]="","",1/((1/LayTable[[#This Row],[BookieOdds]])+(1/((1/((1+((LayTable[[#This Row],[LayOdds]]-1)*(1+LayTable[[#This Row],[C% Lay]])))-1))+1)))-1)</f>
        <v/>
      </c>
      <c r="Q347" s="46" t="str">
        <f>IF(LayTable[[#This Row],[Sport]]="","",LayTable[[#This Row],[BookieInnsats]]+LayTable[[#This Row],[LayLiability]])</f>
        <v/>
      </c>
      <c r="R3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7" s="47" t="str">
        <f>IF(LayTable[[#This Row],[Utfall bookie]]="","",LayTable[[#This Row],[WBABack]]+LayTable[[#This Row],[WBALay]]-LayTable[[#This Row],[Total inns]])</f>
        <v/>
      </c>
      <c r="U3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7" s="48" t="str">
        <f>IFERROR(IF(LayTable[[#This Row],[Total inns]]="","",LayTable[[#This Row],[Rback]]/LayTable[[#This Row],[Total inns]]),"")</f>
        <v/>
      </c>
      <c r="X347" s="48" t="str">
        <f>IFERROR(IF(LayTable[[#This Row],[Total inns]]="","",LayTable[[#This Row],[Rlay]]/LayTable[[#This Row],[Total inns]]),"")</f>
        <v/>
      </c>
      <c r="Y347" s="48" t="str">
        <f>IFERROR(LayTable[[#This Row],[Faktisk res]]/LayTable[[#This Row],[Total inns]],"")</f>
        <v/>
      </c>
      <c r="Z347" s="47">
        <f>(LayTable[[#This Row],[BookieInnsats]]*LayTable[[#This Row],[BookieOdds]]-LayTable[[#This Row],[BookieInnsats]])*(1-LayTable[[#This Row],[C% Bookie]])</f>
        <v>0</v>
      </c>
      <c r="AA347" s="43">
        <f>LayTable[[#This Row],[LayInnsats]]*(1-LayTable[[#This Row],[C% Lay]])</f>
        <v>0</v>
      </c>
      <c r="AB347" s="43" t="str">
        <f>IFERROR(IF(LayTable[[#This Row],[Sport]]="",AB346,LayTable[[#This Row],[Faktisk res]]+AB346),"")</f>
        <v/>
      </c>
      <c r="AC347" s="43">
        <f>(LayTable[[#This Row],[BackWin-Commission]]+LayTable[[#This Row],[BookieInnsats]])</f>
        <v>0</v>
      </c>
      <c r="AD347" s="43" t="e">
        <f>(LayTable[[#This Row],[LayWin-Commission]])+LayTable[[#This Row],[LayLiability]]</f>
        <v>#VALUE!</v>
      </c>
      <c r="AE347" s="43"/>
      <c r="AF347" s="181"/>
    </row>
    <row r="348" spans="1:32">
      <c r="A348" s="84"/>
      <c r="B348" s="177"/>
      <c r="C348" s="40"/>
      <c r="D348" s="41"/>
      <c r="E348" s="178"/>
      <c r="F348" s="179"/>
      <c r="G348" s="183"/>
      <c r="H348" s="38"/>
      <c r="I348" s="42"/>
      <c r="J348" s="42"/>
      <c r="K348" s="43"/>
      <c r="L348" s="43"/>
      <c r="M348" s="44" t="str">
        <f>IF(LayTable[[#This Row],[Sport]]="","",LayTable[[#This Row],[LayInnsats]]*(LayTable[[#This Row],[LayOdds]]-1))</f>
        <v/>
      </c>
      <c r="N348" s="45" t="str">
        <f>IF(LayTable[[#This Row],[Sport]]="","",1/((1/LayTable[[#This Row],[BookieOdds]])+(1/((1/((1+((LayTable[[#This Row],[LayOdds]]-1)*(1+LayTable[[#This Row],[C% Lay]])))-1))+1)))-1)</f>
        <v/>
      </c>
      <c r="Q348" s="46" t="str">
        <f>IF(LayTable[[#This Row],[Sport]]="","",LayTable[[#This Row],[BookieInnsats]]+LayTable[[#This Row],[LayLiability]])</f>
        <v/>
      </c>
      <c r="R3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8" s="47" t="str">
        <f>IF(LayTable[[#This Row],[Utfall bookie]]="","",LayTable[[#This Row],[WBABack]]+LayTable[[#This Row],[WBALay]]-LayTable[[#This Row],[Total inns]])</f>
        <v/>
      </c>
      <c r="U3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8" s="48" t="str">
        <f>IFERROR(IF(LayTable[[#This Row],[Total inns]]="","",LayTable[[#This Row],[Rback]]/LayTable[[#This Row],[Total inns]]),"")</f>
        <v/>
      </c>
      <c r="X348" s="48" t="str">
        <f>IFERROR(IF(LayTable[[#This Row],[Total inns]]="","",LayTable[[#This Row],[Rlay]]/LayTable[[#This Row],[Total inns]]),"")</f>
        <v/>
      </c>
      <c r="Y348" s="48" t="str">
        <f>IFERROR(LayTable[[#This Row],[Faktisk res]]/LayTable[[#This Row],[Total inns]],"")</f>
        <v/>
      </c>
      <c r="Z348" s="47">
        <f>(LayTable[[#This Row],[BookieInnsats]]*LayTable[[#This Row],[BookieOdds]]-LayTable[[#This Row],[BookieInnsats]])*(1-LayTable[[#This Row],[C% Bookie]])</f>
        <v>0</v>
      </c>
      <c r="AA348" s="43">
        <f>LayTable[[#This Row],[LayInnsats]]*(1-LayTable[[#This Row],[C% Lay]])</f>
        <v>0</v>
      </c>
      <c r="AB348" s="43" t="str">
        <f>IFERROR(IF(LayTable[[#This Row],[Sport]]="",AB347,LayTable[[#This Row],[Faktisk res]]+AB347),"")</f>
        <v/>
      </c>
      <c r="AC348" s="43">
        <f>(LayTable[[#This Row],[BackWin-Commission]]+LayTable[[#This Row],[BookieInnsats]])</f>
        <v>0</v>
      </c>
      <c r="AD348" s="43" t="e">
        <f>(LayTable[[#This Row],[LayWin-Commission]])+LayTable[[#This Row],[LayLiability]]</f>
        <v>#VALUE!</v>
      </c>
      <c r="AE348" s="43"/>
      <c r="AF348" s="181"/>
    </row>
    <row r="349" spans="1:32">
      <c r="A349" s="183"/>
      <c r="B349" s="177"/>
      <c r="C349" s="40"/>
      <c r="D349" s="41"/>
      <c r="E349" s="178"/>
      <c r="F349" s="179"/>
      <c r="G349" s="183"/>
      <c r="H349" s="38"/>
      <c r="I349" s="42"/>
      <c r="J349" s="42"/>
      <c r="K349" s="43"/>
      <c r="L349" s="43"/>
      <c r="M349" s="44" t="str">
        <f>IF(LayTable[[#This Row],[Sport]]="","",LayTable[[#This Row],[LayInnsats]]*(LayTable[[#This Row],[LayOdds]]-1))</f>
        <v/>
      </c>
      <c r="N349" s="45" t="str">
        <f>IF(LayTable[[#This Row],[Sport]]="","",1/((1/LayTable[[#This Row],[BookieOdds]])+(1/((1/((1+((LayTable[[#This Row],[LayOdds]]-1)*(1+LayTable[[#This Row],[C% Lay]])))-1))+1)))-1)</f>
        <v/>
      </c>
      <c r="Q349" s="46" t="str">
        <f>IF(LayTable[[#This Row],[Sport]]="","",LayTable[[#This Row],[BookieInnsats]]+LayTable[[#This Row],[LayLiability]])</f>
        <v/>
      </c>
      <c r="R3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49" s="47" t="str">
        <f>IF(LayTable[[#This Row],[Utfall bookie]]="","",LayTable[[#This Row],[WBABack]]+LayTable[[#This Row],[WBALay]]-LayTable[[#This Row],[Total inns]])</f>
        <v/>
      </c>
      <c r="U3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49" s="48" t="str">
        <f>IFERROR(IF(LayTable[[#This Row],[Total inns]]="","",LayTable[[#This Row],[Rback]]/LayTable[[#This Row],[Total inns]]),"")</f>
        <v/>
      </c>
      <c r="X349" s="48" t="str">
        <f>IFERROR(IF(LayTable[[#This Row],[Total inns]]="","",LayTable[[#This Row],[Rlay]]/LayTable[[#This Row],[Total inns]]),"")</f>
        <v/>
      </c>
      <c r="Y349" s="48" t="str">
        <f>IFERROR(LayTable[[#This Row],[Faktisk res]]/LayTable[[#This Row],[Total inns]],"")</f>
        <v/>
      </c>
      <c r="Z349" s="47">
        <f>(LayTable[[#This Row],[BookieInnsats]]*LayTable[[#This Row],[BookieOdds]]-LayTable[[#This Row],[BookieInnsats]])*(1-LayTable[[#This Row],[C% Bookie]])</f>
        <v>0</v>
      </c>
      <c r="AA349" s="43">
        <f>LayTable[[#This Row],[LayInnsats]]*(1-LayTable[[#This Row],[C% Lay]])</f>
        <v>0</v>
      </c>
      <c r="AB349" s="43" t="str">
        <f>IFERROR(IF(LayTable[[#This Row],[Sport]]="",#REF!,LayTable[[#This Row],[Faktisk res]]+#REF!),"")</f>
        <v/>
      </c>
      <c r="AC349" s="43">
        <f>(LayTable[[#This Row],[BackWin-Commission]]+LayTable[[#This Row],[BookieInnsats]])</f>
        <v>0</v>
      </c>
      <c r="AD349" s="43" t="e">
        <f>(LayTable[[#This Row],[LayWin-Commission]])+LayTable[[#This Row],[LayLiability]]</f>
        <v>#VALUE!</v>
      </c>
      <c r="AE349" s="43"/>
      <c r="AF349" s="181"/>
    </row>
    <row r="350" spans="1:32">
      <c r="A350" s="183"/>
      <c r="B350" s="177"/>
      <c r="C350" s="40"/>
      <c r="D350" s="41"/>
      <c r="E350" s="178"/>
      <c r="F350" s="179"/>
      <c r="G350" s="183"/>
      <c r="H350" s="38"/>
      <c r="I350" s="42"/>
      <c r="J350" s="42"/>
      <c r="K350" s="43"/>
      <c r="L350" s="43"/>
      <c r="M350" s="44" t="str">
        <f>IF(LayTable[[#This Row],[Sport]]="","",LayTable[[#This Row],[LayInnsats]]*(LayTable[[#This Row],[LayOdds]]-1))</f>
        <v/>
      </c>
      <c r="N350" s="45" t="str">
        <f>IF(LayTable[[#This Row],[Sport]]="","",1/((1/LayTable[[#This Row],[BookieOdds]])+(1/((1/((1+((LayTable[[#This Row],[LayOdds]]-1)*(1+LayTable[[#This Row],[C% Lay]])))-1))+1)))-1)</f>
        <v/>
      </c>
      <c r="Q350" s="46" t="str">
        <f>IF(LayTable[[#This Row],[Sport]]="","",LayTable[[#This Row],[BookieInnsats]]+LayTable[[#This Row],[LayLiability]])</f>
        <v/>
      </c>
      <c r="R3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0" s="47" t="str">
        <f>IF(LayTable[[#This Row],[Utfall bookie]]="","",LayTable[[#This Row],[WBABack]]+LayTable[[#This Row],[WBALay]]-LayTable[[#This Row],[Total inns]])</f>
        <v/>
      </c>
      <c r="U3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0" s="48" t="str">
        <f>IFERROR(IF(LayTable[[#This Row],[Total inns]]="","",LayTable[[#This Row],[Rback]]/LayTable[[#This Row],[Total inns]]),"")</f>
        <v/>
      </c>
      <c r="X350" s="48" t="str">
        <f>IFERROR(IF(LayTable[[#This Row],[Total inns]]="","",LayTable[[#This Row],[Rlay]]/LayTable[[#This Row],[Total inns]]),"")</f>
        <v/>
      </c>
      <c r="Y350" s="48" t="str">
        <f>IFERROR(LayTable[[#This Row],[Faktisk res]]/LayTable[[#This Row],[Total inns]],"")</f>
        <v/>
      </c>
      <c r="Z350" s="47">
        <f>(LayTable[[#This Row],[BookieInnsats]]*LayTable[[#This Row],[BookieOdds]]-LayTable[[#This Row],[BookieInnsats]])*(1-LayTable[[#This Row],[C% Bookie]])</f>
        <v>0</v>
      </c>
      <c r="AA350" s="43">
        <f>LayTable[[#This Row],[LayInnsats]]*(1-LayTable[[#This Row],[C% Lay]])</f>
        <v>0</v>
      </c>
      <c r="AB350" s="43" t="str">
        <f>IFERROR(IF(LayTable[[#This Row],[Sport]]="",AB349,LayTable[[#This Row],[Faktisk res]]+AB349),"")</f>
        <v/>
      </c>
      <c r="AC350" s="43">
        <f>(LayTable[[#This Row],[BackWin-Commission]]+LayTable[[#This Row],[BookieInnsats]])</f>
        <v>0</v>
      </c>
      <c r="AD350" s="43" t="e">
        <f>(LayTable[[#This Row],[LayWin-Commission]])+LayTable[[#This Row],[LayLiability]]</f>
        <v>#VALUE!</v>
      </c>
      <c r="AE350" s="43"/>
      <c r="AF350" s="181"/>
    </row>
    <row r="351" spans="1:32">
      <c r="A351" s="84"/>
      <c r="B351" s="177"/>
      <c r="C351" s="40"/>
      <c r="D351" s="41"/>
      <c r="E351" s="178"/>
      <c r="F351" s="179"/>
      <c r="G351" s="183"/>
      <c r="H351" s="38"/>
      <c r="I351" s="42"/>
      <c r="J351" s="42"/>
      <c r="K351" s="43"/>
      <c r="L351" s="43"/>
      <c r="M351" s="44" t="str">
        <f>IF(LayTable[[#This Row],[Sport]]="","",LayTable[[#This Row],[LayInnsats]]*(LayTable[[#This Row],[LayOdds]]-1))</f>
        <v/>
      </c>
      <c r="N351" s="45" t="str">
        <f>IF(LayTable[[#This Row],[Sport]]="","",1/((1/LayTable[[#This Row],[BookieOdds]])+(1/((1/((1+((LayTable[[#This Row],[LayOdds]]-1)*(1+LayTable[[#This Row],[C% Lay]])))-1))+1)))-1)</f>
        <v/>
      </c>
      <c r="Q351" s="46" t="str">
        <f>IF(LayTable[[#This Row],[Sport]]="","",LayTable[[#This Row],[BookieInnsats]]+LayTable[[#This Row],[LayLiability]])</f>
        <v/>
      </c>
      <c r="R3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1" s="47" t="str">
        <f>IF(LayTable[[#This Row],[Utfall bookie]]="","",LayTable[[#This Row],[WBABack]]+LayTable[[#This Row],[WBALay]]-LayTable[[#This Row],[Total inns]])</f>
        <v/>
      </c>
      <c r="U3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1" s="48" t="str">
        <f>IFERROR(IF(LayTable[[#This Row],[Total inns]]="","",LayTable[[#This Row],[Rback]]/LayTable[[#This Row],[Total inns]]),"")</f>
        <v/>
      </c>
      <c r="X351" s="48" t="str">
        <f>IFERROR(IF(LayTable[[#This Row],[Total inns]]="","",LayTable[[#This Row],[Rlay]]/LayTable[[#This Row],[Total inns]]),"")</f>
        <v/>
      </c>
      <c r="Y351" s="48" t="str">
        <f>IFERROR(LayTable[[#This Row],[Faktisk res]]/LayTable[[#This Row],[Total inns]],"")</f>
        <v/>
      </c>
      <c r="Z351" s="47">
        <f>(LayTable[[#This Row],[BookieInnsats]]*LayTable[[#This Row],[BookieOdds]]-LayTable[[#This Row],[BookieInnsats]])*(1-LayTable[[#This Row],[C% Bookie]])</f>
        <v>0</v>
      </c>
      <c r="AA351" s="43">
        <f>LayTable[[#This Row],[LayInnsats]]*(1-LayTable[[#This Row],[C% Lay]])</f>
        <v>0</v>
      </c>
      <c r="AB351" s="43" t="str">
        <f>IFERROR(IF(LayTable[[#This Row],[Sport]]="",AB350,LayTable[[#This Row],[Faktisk res]]+AB350),"")</f>
        <v/>
      </c>
      <c r="AC351" s="43">
        <f>(LayTable[[#This Row],[BackWin-Commission]]+LayTable[[#This Row],[BookieInnsats]])</f>
        <v>0</v>
      </c>
      <c r="AD351" s="43" t="e">
        <f>(LayTable[[#This Row],[LayWin-Commission]])+LayTable[[#This Row],[LayLiability]]</f>
        <v>#VALUE!</v>
      </c>
      <c r="AE351" s="43"/>
      <c r="AF351" s="181"/>
    </row>
    <row r="352" spans="1:32">
      <c r="A352" s="84"/>
      <c r="B352" s="177"/>
      <c r="C352" s="40"/>
      <c r="D352" s="41"/>
      <c r="E352" s="178"/>
      <c r="F352" s="179"/>
      <c r="G352" s="183"/>
      <c r="H352" s="38"/>
      <c r="I352" s="42"/>
      <c r="J352" s="42"/>
      <c r="K352" s="43"/>
      <c r="L352" s="43"/>
      <c r="M352" s="44" t="str">
        <f>IF(LayTable[[#This Row],[Sport]]="","",LayTable[[#This Row],[LayInnsats]]*(LayTable[[#This Row],[LayOdds]]-1))</f>
        <v/>
      </c>
      <c r="N352" s="45" t="str">
        <f>IF(LayTable[[#This Row],[Sport]]="","",1/((1/LayTable[[#This Row],[BookieOdds]])+(1/((1/((1+((LayTable[[#This Row],[LayOdds]]-1)*(1+LayTable[[#This Row],[C% Lay]])))-1))+1)))-1)</f>
        <v/>
      </c>
      <c r="Q352" s="46" t="str">
        <f>IF(LayTable[[#This Row],[Sport]]="","",LayTable[[#This Row],[BookieInnsats]]+LayTable[[#This Row],[LayLiability]])</f>
        <v/>
      </c>
      <c r="R3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2" s="47" t="str">
        <f>IF(LayTable[[#This Row],[Utfall bookie]]="","",LayTable[[#This Row],[WBABack]]+LayTable[[#This Row],[WBALay]]-LayTable[[#This Row],[Total inns]])</f>
        <v/>
      </c>
      <c r="U3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2" s="48" t="str">
        <f>IFERROR(IF(LayTable[[#This Row],[Total inns]]="","",LayTable[[#This Row],[Rback]]/LayTable[[#This Row],[Total inns]]),"")</f>
        <v/>
      </c>
      <c r="X352" s="48" t="str">
        <f>IFERROR(IF(LayTable[[#This Row],[Total inns]]="","",LayTable[[#This Row],[Rlay]]/LayTable[[#This Row],[Total inns]]),"")</f>
        <v/>
      </c>
      <c r="Y352" s="48" t="str">
        <f>IFERROR(LayTable[[#This Row],[Faktisk res]]/LayTable[[#This Row],[Total inns]],"")</f>
        <v/>
      </c>
      <c r="Z352" s="47">
        <f>(LayTable[[#This Row],[BookieInnsats]]*LayTable[[#This Row],[BookieOdds]]-LayTable[[#This Row],[BookieInnsats]])*(1-LayTable[[#This Row],[C% Bookie]])</f>
        <v>0</v>
      </c>
      <c r="AA352" s="43">
        <f>LayTable[[#This Row],[LayInnsats]]*(1-LayTable[[#This Row],[C% Lay]])</f>
        <v>0</v>
      </c>
      <c r="AB352" s="43" t="str">
        <f>IFERROR(IF(LayTable[[#This Row],[Sport]]="",AB351,LayTable[[#This Row],[Faktisk res]]+AB351),"")</f>
        <v/>
      </c>
      <c r="AC352" s="43">
        <f>(LayTable[[#This Row],[BackWin-Commission]]+LayTable[[#This Row],[BookieInnsats]])</f>
        <v>0</v>
      </c>
      <c r="AD352" s="43" t="e">
        <f>(LayTable[[#This Row],[LayWin-Commission]])+LayTable[[#This Row],[LayLiability]]</f>
        <v>#VALUE!</v>
      </c>
      <c r="AE352" s="43"/>
      <c r="AF352" s="181"/>
    </row>
    <row r="353" spans="1:32">
      <c r="A353" s="84"/>
      <c r="B353" s="177"/>
      <c r="C353" s="40"/>
      <c r="D353" s="41"/>
      <c r="E353" s="178"/>
      <c r="F353" s="179"/>
      <c r="G353" s="183"/>
      <c r="H353" s="38"/>
      <c r="I353" s="42"/>
      <c r="J353" s="42"/>
      <c r="K353" s="43"/>
      <c r="L353" s="43"/>
      <c r="M353" s="44" t="str">
        <f>IF(LayTable[[#This Row],[Sport]]="","",LayTable[[#This Row],[LayInnsats]]*(LayTable[[#This Row],[LayOdds]]-1))</f>
        <v/>
      </c>
      <c r="N353" s="45" t="str">
        <f>IF(LayTable[[#This Row],[Sport]]="","",1/((1/LayTable[[#This Row],[BookieOdds]])+(1/((1/((1+((LayTable[[#This Row],[LayOdds]]-1)*(1+LayTable[[#This Row],[C% Lay]])))-1))+1)))-1)</f>
        <v/>
      </c>
      <c r="Q353" s="46" t="str">
        <f>IF(LayTable[[#This Row],[Sport]]="","",LayTable[[#This Row],[BookieInnsats]]+LayTable[[#This Row],[LayLiability]])</f>
        <v/>
      </c>
      <c r="R3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3" s="47" t="str">
        <f>IF(LayTable[[#This Row],[Utfall bookie]]="","",LayTable[[#This Row],[WBABack]]+LayTable[[#This Row],[WBALay]]-LayTable[[#This Row],[Total inns]])</f>
        <v/>
      </c>
      <c r="U3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3" s="48" t="str">
        <f>IFERROR(IF(LayTable[[#This Row],[Total inns]]="","",LayTable[[#This Row],[Rback]]/LayTable[[#This Row],[Total inns]]),"")</f>
        <v/>
      </c>
      <c r="X353" s="48" t="str">
        <f>IFERROR(IF(LayTable[[#This Row],[Total inns]]="","",LayTable[[#This Row],[Rlay]]/LayTable[[#This Row],[Total inns]]),"")</f>
        <v/>
      </c>
      <c r="Y353" s="48" t="str">
        <f>IFERROR(LayTable[[#This Row],[Faktisk res]]/LayTable[[#This Row],[Total inns]],"")</f>
        <v/>
      </c>
      <c r="Z353" s="47">
        <f>(LayTable[[#This Row],[BookieInnsats]]*LayTable[[#This Row],[BookieOdds]]-LayTable[[#This Row],[BookieInnsats]])*(1-LayTable[[#This Row],[C% Bookie]])</f>
        <v>0</v>
      </c>
      <c r="AA353" s="43">
        <f>LayTable[[#This Row],[LayInnsats]]*(1-LayTable[[#This Row],[C% Lay]])</f>
        <v>0</v>
      </c>
      <c r="AB353" s="43" t="str">
        <f>IFERROR(IF(LayTable[[#This Row],[Sport]]="",#REF!,LayTable[[#This Row],[Faktisk res]]+#REF!),"")</f>
        <v/>
      </c>
      <c r="AC353" s="43">
        <f>(LayTable[[#This Row],[BackWin-Commission]]+LayTable[[#This Row],[BookieInnsats]])</f>
        <v>0</v>
      </c>
      <c r="AD353" s="43" t="e">
        <f>(LayTable[[#This Row],[LayWin-Commission]])+LayTable[[#This Row],[LayLiability]]</f>
        <v>#VALUE!</v>
      </c>
      <c r="AE353" s="43"/>
      <c r="AF353" s="181"/>
    </row>
    <row r="354" spans="1:32">
      <c r="A354" s="84"/>
      <c r="B354" s="177"/>
      <c r="C354" s="40"/>
      <c r="D354" s="41"/>
      <c r="E354" s="178"/>
      <c r="F354" s="179"/>
      <c r="G354" s="183"/>
      <c r="H354" s="38"/>
      <c r="I354" s="42"/>
      <c r="J354" s="42"/>
      <c r="K354" s="43"/>
      <c r="L354" s="43"/>
      <c r="M354" s="44" t="str">
        <f>IF(LayTable[[#This Row],[Sport]]="","",LayTable[[#This Row],[LayInnsats]]*(LayTable[[#This Row],[LayOdds]]-1))</f>
        <v/>
      </c>
      <c r="N354" s="45" t="str">
        <f>IF(LayTable[[#This Row],[Sport]]="","",1/((1/LayTable[[#This Row],[BookieOdds]])+(1/((1/((1+((LayTable[[#This Row],[LayOdds]]-1)*(1+LayTable[[#This Row],[C% Lay]])))-1))+1)))-1)</f>
        <v/>
      </c>
      <c r="Q354" s="46" t="str">
        <f>IF(LayTable[[#This Row],[Sport]]="","",LayTable[[#This Row],[BookieInnsats]]+LayTable[[#This Row],[LayLiability]])</f>
        <v/>
      </c>
      <c r="R3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4" s="47" t="str">
        <f>IF(LayTable[[#This Row],[Utfall bookie]]="","",LayTable[[#This Row],[WBABack]]+LayTable[[#This Row],[WBALay]]-LayTable[[#This Row],[Total inns]])</f>
        <v/>
      </c>
      <c r="U3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4" s="48" t="str">
        <f>IFERROR(IF(LayTable[[#This Row],[Total inns]]="","",LayTable[[#This Row],[Rback]]/LayTable[[#This Row],[Total inns]]),"")</f>
        <v/>
      </c>
      <c r="X354" s="48" t="str">
        <f>IFERROR(IF(LayTable[[#This Row],[Total inns]]="","",LayTable[[#This Row],[Rlay]]/LayTable[[#This Row],[Total inns]]),"")</f>
        <v/>
      </c>
      <c r="Y354" s="48" t="str">
        <f>IFERROR(LayTable[[#This Row],[Faktisk res]]/LayTable[[#This Row],[Total inns]],"")</f>
        <v/>
      </c>
      <c r="Z354" s="47">
        <f>(LayTable[[#This Row],[BookieInnsats]]*LayTable[[#This Row],[BookieOdds]]-LayTable[[#This Row],[BookieInnsats]])*(1-LayTable[[#This Row],[C% Bookie]])</f>
        <v>0</v>
      </c>
      <c r="AA354" s="43">
        <f>LayTable[[#This Row],[LayInnsats]]*(1-LayTable[[#This Row],[C% Lay]])</f>
        <v>0</v>
      </c>
      <c r="AB354" s="43" t="str">
        <f>IFERROR(IF(LayTable[[#This Row],[Sport]]="",AB353,LayTable[[#This Row],[Faktisk res]]+AB353),"")</f>
        <v/>
      </c>
      <c r="AC354" s="43">
        <f>(LayTable[[#This Row],[BackWin-Commission]]+LayTable[[#This Row],[BookieInnsats]])</f>
        <v>0</v>
      </c>
      <c r="AD354" s="43" t="e">
        <f>(LayTable[[#This Row],[LayWin-Commission]])+LayTable[[#This Row],[LayLiability]]</f>
        <v>#VALUE!</v>
      </c>
      <c r="AE354" s="43"/>
      <c r="AF354" s="181"/>
    </row>
    <row r="355" spans="1:32">
      <c r="A355" s="84"/>
      <c r="B355" s="177"/>
      <c r="C355" s="40"/>
      <c r="D355" s="41"/>
      <c r="E355" s="178"/>
      <c r="F355" s="179"/>
      <c r="G355" s="183"/>
      <c r="H355" s="38"/>
      <c r="I355" s="42"/>
      <c r="J355" s="42"/>
      <c r="K355" s="43"/>
      <c r="L355" s="43"/>
      <c r="M355" s="44" t="str">
        <f>IF(LayTable[[#This Row],[Sport]]="","",LayTable[[#This Row],[LayInnsats]]*(LayTable[[#This Row],[LayOdds]]-1))</f>
        <v/>
      </c>
      <c r="N355" s="45" t="str">
        <f>IF(LayTable[[#This Row],[Sport]]="","",1/((1/LayTable[[#This Row],[BookieOdds]])+(1/((1/((1+((LayTable[[#This Row],[LayOdds]]-1)*(1+LayTable[[#This Row],[C% Lay]])))-1))+1)))-1)</f>
        <v/>
      </c>
      <c r="Q355" s="46" t="str">
        <f>IF(LayTable[[#This Row],[Sport]]="","",LayTable[[#This Row],[BookieInnsats]]+LayTable[[#This Row],[LayLiability]])</f>
        <v/>
      </c>
      <c r="R3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5" s="47" t="str">
        <f>IF(LayTable[[#This Row],[Utfall bookie]]="","",LayTable[[#This Row],[WBABack]]+LayTable[[#This Row],[WBALay]]-LayTable[[#This Row],[Total inns]])</f>
        <v/>
      </c>
      <c r="U3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5" s="48" t="str">
        <f>IFERROR(IF(LayTable[[#This Row],[Total inns]]="","",LayTable[[#This Row],[Rback]]/LayTable[[#This Row],[Total inns]]),"")</f>
        <v/>
      </c>
      <c r="X355" s="48" t="str">
        <f>IFERROR(IF(LayTable[[#This Row],[Total inns]]="","",LayTable[[#This Row],[Rlay]]/LayTable[[#This Row],[Total inns]]),"")</f>
        <v/>
      </c>
      <c r="Y355" s="48" t="str">
        <f>IFERROR(LayTable[[#This Row],[Faktisk res]]/LayTable[[#This Row],[Total inns]],"")</f>
        <v/>
      </c>
      <c r="Z355" s="47">
        <f>(LayTable[[#This Row],[BookieInnsats]]*LayTable[[#This Row],[BookieOdds]]-LayTable[[#This Row],[BookieInnsats]])*(1-LayTable[[#This Row],[C% Bookie]])</f>
        <v>0</v>
      </c>
      <c r="AA355" s="43">
        <f>LayTable[[#This Row],[LayInnsats]]*(1-LayTable[[#This Row],[C% Lay]])</f>
        <v>0</v>
      </c>
      <c r="AB355" s="43" t="str">
        <f>IFERROR(IF(LayTable[[#This Row],[Sport]]="",#REF!,LayTable[[#This Row],[Faktisk res]]+#REF!),"")</f>
        <v/>
      </c>
      <c r="AC355" s="43">
        <f>(LayTable[[#This Row],[BackWin-Commission]]+LayTable[[#This Row],[BookieInnsats]])</f>
        <v>0</v>
      </c>
      <c r="AD355" s="43" t="e">
        <f>(LayTable[[#This Row],[LayWin-Commission]])+LayTable[[#This Row],[LayLiability]]</f>
        <v>#VALUE!</v>
      </c>
      <c r="AE355" s="43"/>
      <c r="AF355" s="181"/>
    </row>
    <row r="356" spans="1:32">
      <c r="A356" s="84"/>
      <c r="B356" s="177"/>
      <c r="C356" s="40"/>
      <c r="D356" s="41"/>
      <c r="E356" s="178"/>
      <c r="F356" s="179"/>
      <c r="G356" s="183"/>
      <c r="H356" s="38"/>
      <c r="I356" s="42"/>
      <c r="J356" s="42"/>
      <c r="K356" s="43"/>
      <c r="L356" s="43"/>
      <c r="M356" s="44" t="str">
        <f>IF(LayTable[[#This Row],[Sport]]="","",LayTable[[#This Row],[LayInnsats]]*(LayTable[[#This Row],[LayOdds]]-1))</f>
        <v/>
      </c>
      <c r="N356" s="45" t="str">
        <f>IF(LayTable[[#This Row],[Sport]]="","",1/((1/LayTable[[#This Row],[BookieOdds]])+(1/((1/((1+((LayTable[[#This Row],[LayOdds]]-1)*(1+LayTable[[#This Row],[C% Lay]])))-1))+1)))-1)</f>
        <v/>
      </c>
      <c r="Q356" s="46" t="str">
        <f>IF(LayTable[[#This Row],[Sport]]="","",LayTable[[#This Row],[BookieInnsats]]+LayTable[[#This Row],[LayLiability]])</f>
        <v/>
      </c>
      <c r="R3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6" s="47" t="str">
        <f>IF(LayTable[[#This Row],[Utfall bookie]]="","",LayTable[[#This Row],[WBABack]]+LayTable[[#This Row],[WBALay]]-LayTable[[#This Row],[Total inns]])</f>
        <v/>
      </c>
      <c r="U3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6" s="48" t="str">
        <f>IFERROR(IF(LayTable[[#This Row],[Total inns]]="","",LayTable[[#This Row],[Rback]]/LayTable[[#This Row],[Total inns]]),"")</f>
        <v/>
      </c>
      <c r="X356" s="48" t="str">
        <f>IFERROR(IF(LayTable[[#This Row],[Total inns]]="","",LayTable[[#This Row],[Rlay]]/LayTable[[#This Row],[Total inns]]),"")</f>
        <v/>
      </c>
      <c r="Y356" s="48" t="str">
        <f>IFERROR(LayTable[[#This Row],[Faktisk res]]/LayTable[[#This Row],[Total inns]],"")</f>
        <v/>
      </c>
      <c r="Z356" s="47">
        <f>(LayTable[[#This Row],[BookieInnsats]]*LayTable[[#This Row],[BookieOdds]]-LayTable[[#This Row],[BookieInnsats]])*(1-LayTable[[#This Row],[C% Bookie]])</f>
        <v>0</v>
      </c>
      <c r="AA356" s="43">
        <f>LayTable[[#This Row],[LayInnsats]]*(1-LayTable[[#This Row],[C% Lay]])</f>
        <v>0</v>
      </c>
      <c r="AB356" s="43" t="str">
        <f>IFERROR(IF(LayTable[[#This Row],[Sport]]="",AB355,LayTable[[#This Row],[Faktisk res]]+AB355),"")</f>
        <v/>
      </c>
      <c r="AC356" s="43">
        <f>(LayTable[[#This Row],[BackWin-Commission]]+LayTable[[#This Row],[BookieInnsats]])</f>
        <v>0</v>
      </c>
      <c r="AD356" s="43" t="e">
        <f>(LayTable[[#This Row],[LayWin-Commission]])+LayTable[[#This Row],[LayLiability]]</f>
        <v>#VALUE!</v>
      </c>
      <c r="AE356" s="43"/>
      <c r="AF356" s="181"/>
    </row>
    <row r="357" spans="1:32">
      <c r="A357" s="84"/>
      <c r="B357" s="177"/>
      <c r="C357" s="40"/>
      <c r="D357" s="41"/>
      <c r="E357" s="178"/>
      <c r="F357" s="179"/>
      <c r="G357" s="183"/>
      <c r="H357" s="38"/>
      <c r="I357" s="42"/>
      <c r="J357" s="42"/>
      <c r="K357" s="43"/>
      <c r="L357" s="43"/>
      <c r="M357" s="44" t="str">
        <f>IF(LayTable[[#This Row],[Sport]]="","",LayTable[[#This Row],[LayInnsats]]*(LayTable[[#This Row],[LayOdds]]-1))</f>
        <v/>
      </c>
      <c r="N357" s="45" t="str">
        <f>IF(LayTable[[#This Row],[Sport]]="","",1/((1/LayTable[[#This Row],[BookieOdds]])+(1/((1/((1+((LayTable[[#This Row],[LayOdds]]-1)*(1+LayTable[[#This Row],[C% Lay]])))-1))+1)))-1)</f>
        <v/>
      </c>
      <c r="Q357" s="46" t="str">
        <f>IF(LayTable[[#This Row],[Sport]]="","",LayTable[[#This Row],[BookieInnsats]]+LayTable[[#This Row],[LayLiability]])</f>
        <v/>
      </c>
      <c r="R3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7" s="47" t="str">
        <f>IF(LayTable[[#This Row],[Utfall bookie]]="","",LayTable[[#This Row],[WBABack]]+LayTable[[#This Row],[WBALay]]-LayTable[[#This Row],[Total inns]])</f>
        <v/>
      </c>
      <c r="U3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7" s="48" t="str">
        <f>IFERROR(IF(LayTable[[#This Row],[Total inns]]="","",LayTable[[#This Row],[Rback]]/LayTable[[#This Row],[Total inns]]),"")</f>
        <v/>
      </c>
      <c r="X357" s="48" t="str">
        <f>IFERROR(IF(LayTable[[#This Row],[Total inns]]="","",LayTable[[#This Row],[Rlay]]/LayTable[[#This Row],[Total inns]]),"")</f>
        <v/>
      </c>
      <c r="Y357" s="48" t="str">
        <f>IFERROR(LayTable[[#This Row],[Faktisk res]]/LayTable[[#This Row],[Total inns]],"")</f>
        <v/>
      </c>
      <c r="Z357" s="47">
        <f>(LayTable[[#This Row],[BookieInnsats]]*LayTable[[#This Row],[BookieOdds]]-LayTable[[#This Row],[BookieInnsats]])*(1-LayTable[[#This Row],[C% Bookie]])</f>
        <v>0</v>
      </c>
      <c r="AA357" s="43">
        <f>LayTable[[#This Row],[LayInnsats]]*(1-LayTable[[#This Row],[C% Lay]])</f>
        <v>0</v>
      </c>
      <c r="AB357" s="43" t="str">
        <f>IFERROR(IF(LayTable[[#This Row],[Sport]]="",AB356,LayTable[[#This Row],[Faktisk res]]+AB356),"")</f>
        <v/>
      </c>
      <c r="AC357" s="43">
        <f>(LayTable[[#This Row],[BackWin-Commission]]+LayTable[[#This Row],[BookieInnsats]])</f>
        <v>0</v>
      </c>
      <c r="AD357" s="43" t="e">
        <f>(LayTable[[#This Row],[LayWin-Commission]])+LayTable[[#This Row],[LayLiability]]</f>
        <v>#VALUE!</v>
      </c>
      <c r="AE357" s="43"/>
      <c r="AF357" s="181"/>
    </row>
    <row r="358" spans="1:32">
      <c r="A358" s="84"/>
      <c r="B358" s="177"/>
      <c r="C358" s="40"/>
      <c r="D358" s="41"/>
      <c r="E358" s="178"/>
      <c r="F358" s="179"/>
      <c r="G358" s="183"/>
      <c r="H358" s="38"/>
      <c r="I358" s="42"/>
      <c r="J358" s="42"/>
      <c r="K358" s="43"/>
      <c r="L358" s="43"/>
      <c r="M358" s="44" t="str">
        <f>IF(LayTable[[#This Row],[Sport]]="","",LayTable[[#This Row],[LayInnsats]]*(LayTable[[#This Row],[LayOdds]]-1))</f>
        <v/>
      </c>
      <c r="N358" s="45" t="str">
        <f>IF(LayTable[[#This Row],[Sport]]="","",1/((1/LayTable[[#This Row],[BookieOdds]])+(1/((1/((1+((LayTable[[#This Row],[LayOdds]]-1)*(1+LayTable[[#This Row],[C% Lay]])))-1))+1)))-1)</f>
        <v/>
      </c>
      <c r="Q358" s="46" t="str">
        <f>IF(LayTable[[#This Row],[Sport]]="","",LayTable[[#This Row],[BookieInnsats]]+LayTable[[#This Row],[LayLiability]])</f>
        <v/>
      </c>
      <c r="R3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8" s="47" t="str">
        <f>IF(LayTable[[#This Row],[Utfall bookie]]="","",LayTable[[#This Row],[WBABack]]+LayTable[[#This Row],[WBALay]]-LayTable[[#This Row],[Total inns]])</f>
        <v/>
      </c>
      <c r="U3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8" s="48" t="str">
        <f>IFERROR(IF(LayTable[[#This Row],[Total inns]]="","",LayTable[[#This Row],[Rback]]/LayTable[[#This Row],[Total inns]]),"")</f>
        <v/>
      </c>
      <c r="X358" s="48" t="str">
        <f>IFERROR(IF(LayTable[[#This Row],[Total inns]]="","",LayTable[[#This Row],[Rlay]]/LayTable[[#This Row],[Total inns]]),"")</f>
        <v/>
      </c>
      <c r="Y358" s="48" t="str">
        <f>IFERROR(LayTable[[#This Row],[Faktisk res]]/LayTable[[#This Row],[Total inns]],"")</f>
        <v/>
      </c>
      <c r="Z358" s="47">
        <f>(LayTable[[#This Row],[BookieInnsats]]*LayTable[[#This Row],[BookieOdds]]-LayTable[[#This Row],[BookieInnsats]])*(1-LayTable[[#This Row],[C% Bookie]])</f>
        <v>0</v>
      </c>
      <c r="AA358" s="43">
        <f>LayTable[[#This Row],[LayInnsats]]*(1-LayTable[[#This Row],[C% Lay]])</f>
        <v>0</v>
      </c>
      <c r="AB358" s="43" t="str">
        <f>IFERROR(IF(LayTable[[#This Row],[Sport]]="",AB357,LayTable[[#This Row],[Faktisk res]]+AB357),"")</f>
        <v/>
      </c>
      <c r="AC358" s="43">
        <f>(LayTable[[#This Row],[BackWin-Commission]]+LayTable[[#This Row],[BookieInnsats]])</f>
        <v>0</v>
      </c>
      <c r="AD358" s="43" t="e">
        <f>(LayTable[[#This Row],[LayWin-Commission]])+LayTable[[#This Row],[LayLiability]]</f>
        <v>#VALUE!</v>
      </c>
      <c r="AE358" s="43"/>
      <c r="AF358" s="181"/>
    </row>
    <row r="359" spans="1:32">
      <c r="A359" s="84"/>
      <c r="B359" s="177"/>
      <c r="C359" s="40"/>
      <c r="D359" s="41"/>
      <c r="E359" s="178"/>
      <c r="F359" s="179"/>
      <c r="G359" s="183"/>
      <c r="H359" s="38"/>
      <c r="I359" s="42"/>
      <c r="J359" s="42"/>
      <c r="K359" s="43"/>
      <c r="L359" s="43"/>
      <c r="M359" s="44" t="str">
        <f>IF(LayTable[[#This Row],[Sport]]="","",LayTable[[#This Row],[LayInnsats]]*(LayTable[[#This Row],[LayOdds]]-1))</f>
        <v/>
      </c>
      <c r="N359" s="45" t="str">
        <f>IF(LayTable[[#This Row],[Sport]]="","",1/((1/LayTable[[#This Row],[BookieOdds]])+(1/((1/((1+((LayTable[[#This Row],[LayOdds]]-1)*(1+LayTable[[#This Row],[C% Lay]])))-1))+1)))-1)</f>
        <v/>
      </c>
      <c r="Q359" s="46" t="str">
        <f>IF(LayTable[[#This Row],[Sport]]="","",LayTable[[#This Row],[BookieInnsats]]+LayTable[[#This Row],[LayLiability]])</f>
        <v/>
      </c>
      <c r="R3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59" s="47" t="str">
        <f>IF(LayTable[[#This Row],[Utfall bookie]]="","",LayTable[[#This Row],[WBABack]]+LayTable[[#This Row],[WBALay]]-LayTable[[#This Row],[Total inns]])</f>
        <v/>
      </c>
      <c r="U3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59" s="48" t="str">
        <f>IFERROR(IF(LayTable[[#This Row],[Total inns]]="","",LayTable[[#This Row],[Rback]]/LayTable[[#This Row],[Total inns]]),"")</f>
        <v/>
      </c>
      <c r="X359" s="48" t="str">
        <f>IFERROR(IF(LayTable[[#This Row],[Total inns]]="","",LayTable[[#This Row],[Rlay]]/LayTable[[#This Row],[Total inns]]),"")</f>
        <v/>
      </c>
      <c r="Y359" s="48" t="str">
        <f>IFERROR(LayTable[[#This Row],[Faktisk res]]/LayTable[[#This Row],[Total inns]],"")</f>
        <v/>
      </c>
      <c r="Z359" s="47">
        <f>(LayTable[[#This Row],[BookieInnsats]]*LayTable[[#This Row],[BookieOdds]]-LayTable[[#This Row],[BookieInnsats]])*(1-LayTable[[#This Row],[C% Bookie]])</f>
        <v>0</v>
      </c>
      <c r="AA359" s="43">
        <f>LayTable[[#This Row],[LayInnsats]]*(1-LayTable[[#This Row],[C% Lay]])</f>
        <v>0</v>
      </c>
      <c r="AB359" s="43" t="str">
        <f>IFERROR(IF(LayTable[[#This Row],[Sport]]="",AB358,LayTable[[#This Row],[Faktisk res]]+AB358),"")</f>
        <v/>
      </c>
      <c r="AC359" s="43">
        <f>(LayTable[[#This Row],[BackWin-Commission]]+LayTable[[#This Row],[BookieInnsats]])</f>
        <v>0</v>
      </c>
      <c r="AD359" s="43" t="e">
        <f>(LayTable[[#This Row],[LayWin-Commission]])+LayTable[[#This Row],[LayLiability]]</f>
        <v>#VALUE!</v>
      </c>
      <c r="AE359" s="43"/>
      <c r="AF359" s="181"/>
    </row>
    <row r="360" spans="1:32">
      <c r="A360" s="84"/>
      <c r="B360" s="177"/>
      <c r="C360" s="40"/>
      <c r="D360" s="41"/>
      <c r="E360" s="178"/>
      <c r="F360" s="179"/>
      <c r="G360" s="183"/>
      <c r="H360" s="38"/>
      <c r="I360" s="42"/>
      <c r="J360" s="42"/>
      <c r="K360" s="43"/>
      <c r="L360" s="43"/>
      <c r="M360" s="44" t="str">
        <f>IF(LayTable[[#This Row],[Sport]]="","",LayTable[[#This Row],[LayInnsats]]*(LayTable[[#This Row],[LayOdds]]-1))</f>
        <v/>
      </c>
      <c r="N360" s="45" t="str">
        <f>IF(LayTable[[#This Row],[Sport]]="","",1/((1/LayTable[[#This Row],[BookieOdds]])+(1/((1/((1+((LayTable[[#This Row],[LayOdds]]-1)*(1+LayTable[[#This Row],[C% Lay]])))-1))+1)))-1)</f>
        <v/>
      </c>
      <c r="Q360" s="46" t="str">
        <f>IF(LayTable[[#This Row],[Sport]]="","",LayTable[[#This Row],[BookieInnsats]]+LayTable[[#This Row],[LayLiability]])</f>
        <v/>
      </c>
      <c r="R3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0" s="47" t="str">
        <f>IF(LayTable[[#This Row],[Utfall bookie]]="","",LayTable[[#This Row],[WBABack]]+LayTable[[#This Row],[WBALay]]-LayTable[[#This Row],[Total inns]])</f>
        <v/>
      </c>
      <c r="U3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0" s="48" t="str">
        <f>IFERROR(IF(LayTable[[#This Row],[Total inns]]="","",LayTable[[#This Row],[Rback]]/LayTable[[#This Row],[Total inns]]),"")</f>
        <v/>
      </c>
      <c r="X360" s="48" t="str">
        <f>IFERROR(IF(LayTable[[#This Row],[Total inns]]="","",LayTable[[#This Row],[Rlay]]/LayTable[[#This Row],[Total inns]]),"")</f>
        <v/>
      </c>
      <c r="Y360" s="48" t="str">
        <f>IFERROR(LayTable[[#This Row],[Faktisk res]]/LayTable[[#This Row],[Total inns]],"")</f>
        <v/>
      </c>
      <c r="Z360" s="47">
        <f>(LayTable[[#This Row],[BookieInnsats]]*LayTable[[#This Row],[BookieOdds]]-LayTable[[#This Row],[BookieInnsats]])*(1-LayTable[[#This Row],[C% Bookie]])</f>
        <v>0</v>
      </c>
      <c r="AA360" s="43">
        <f>LayTable[[#This Row],[LayInnsats]]*(1-LayTable[[#This Row],[C% Lay]])</f>
        <v>0</v>
      </c>
      <c r="AB360" s="43" t="str">
        <f>IFERROR(IF(LayTable[[#This Row],[Sport]]="",AB359,LayTable[[#This Row],[Faktisk res]]+AB359),"")</f>
        <v/>
      </c>
      <c r="AC360" s="43">
        <f>(LayTable[[#This Row],[BackWin-Commission]]+LayTable[[#This Row],[BookieInnsats]])</f>
        <v>0</v>
      </c>
      <c r="AD360" s="43" t="e">
        <f>(LayTable[[#This Row],[LayWin-Commission]])+LayTable[[#This Row],[LayLiability]]</f>
        <v>#VALUE!</v>
      </c>
      <c r="AE360" s="181"/>
      <c r="AF360" s="288"/>
    </row>
    <row r="361" spans="1:32">
      <c r="A361" s="84"/>
      <c r="B361" s="177"/>
      <c r="C361" s="40"/>
      <c r="D361" s="41"/>
      <c r="E361" s="178"/>
      <c r="F361" s="179"/>
      <c r="G361" s="183"/>
      <c r="H361" s="38"/>
      <c r="I361" s="42"/>
      <c r="J361" s="42"/>
      <c r="K361" s="43"/>
      <c r="L361" s="43"/>
      <c r="M361" s="44" t="str">
        <f>IF(LayTable[[#This Row],[Sport]]="","",LayTable[[#This Row],[LayInnsats]]*(LayTable[[#This Row],[LayOdds]]-1))</f>
        <v/>
      </c>
      <c r="N361" s="45" t="str">
        <f>IF(LayTable[[#This Row],[Sport]]="","",1/((1/LayTable[[#This Row],[BookieOdds]])+(1/((1/((1+((LayTable[[#This Row],[LayOdds]]-1)*(1+LayTable[[#This Row],[C% Lay]])))-1))+1)))-1)</f>
        <v/>
      </c>
      <c r="Q361" s="46" t="str">
        <f>IF(LayTable[[#This Row],[Sport]]="","",LayTable[[#This Row],[BookieInnsats]]+LayTable[[#This Row],[LayLiability]])</f>
        <v/>
      </c>
      <c r="R3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1" s="47" t="str">
        <f>IF(LayTable[[#This Row],[Utfall bookie]]="","",LayTable[[#This Row],[WBABack]]+LayTable[[#This Row],[WBALay]]-LayTable[[#This Row],[Total inns]])</f>
        <v/>
      </c>
      <c r="U3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1" s="48" t="str">
        <f>IFERROR(IF(LayTable[[#This Row],[Total inns]]="","",LayTable[[#This Row],[Rback]]/LayTable[[#This Row],[Total inns]]),"")</f>
        <v/>
      </c>
      <c r="X361" s="48" t="str">
        <f>IFERROR(IF(LayTable[[#This Row],[Total inns]]="","",LayTable[[#This Row],[Rlay]]/LayTable[[#This Row],[Total inns]]),"")</f>
        <v/>
      </c>
      <c r="Y361" s="48" t="str">
        <f>IFERROR(LayTable[[#This Row],[Faktisk res]]/LayTable[[#This Row],[Total inns]],"")</f>
        <v/>
      </c>
      <c r="Z361" s="47">
        <f>(LayTable[[#This Row],[BookieInnsats]]*LayTable[[#This Row],[BookieOdds]]-LayTable[[#This Row],[BookieInnsats]])*(1-LayTable[[#This Row],[C% Bookie]])</f>
        <v>0</v>
      </c>
      <c r="AA361" s="43">
        <f>LayTable[[#This Row],[LayInnsats]]*(1-LayTable[[#This Row],[C% Lay]])</f>
        <v>0</v>
      </c>
      <c r="AB361" s="43" t="str">
        <f>IFERROR(IF(LayTable[[#This Row],[Sport]]="",#REF!,LayTable[[#This Row],[Faktisk res]]+#REF!),"")</f>
        <v/>
      </c>
      <c r="AC361" s="43">
        <f>(LayTable[[#This Row],[BackWin-Commission]]+LayTable[[#This Row],[BookieInnsats]])</f>
        <v>0</v>
      </c>
      <c r="AD361" s="43" t="e">
        <f>(LayTable[[#This Row],[LayWin-Commission]])+LayTable[[#This Row],[LayLiability]]</f>
        <v>#VALUE!</v>
      </c>
      <c r="AE361" s="181"/>
      <c r="AF361" s="288"/>
    </row>
    <row r="362" spans="1:32">
      <c r="A362" s="84"/>
      <c r="B362" s="177"/>
      <c r="C362" s="40"/>
      <c r="D362" s="41"/>
      <c r="E362" s="178"/>
      <c r="F362" s="179"/>
      <c r="G362" s="183"/>
      <c r="H362" s="38"/>
      <c r="I362" s="42"/>
      <c r="J362" s="42"/>
      <c r="K362" s="43"/>
      <c r="L362" s="43"/>
      <c r="M362" s="44" t="str">
        <f>IF(LayTable[[#This Row],[Sport]]="","",LayTable[[#This Row],[LayInnsats]]*(LayTable[[#This Row],[LayOdds]]-1))</f>
        <v/>
      </c>
      <c r="N362" s="45" t="str">
        <f>IF(LayTable[[#This Row],[Sport]]="","",1/((1/LayTable[[#This Row],[BookieOdds]])+(1/((1/((1+((LayTable[[#This Row],[LayOdds]]-1)*(1+LayTable[[#This Row],[C% Lay]])))-1))+1)))-1)</f>
        <v/>
      </c>
      <c r="Q362" s="46" t="str">
        <f>IF(LayTable[[#This Row],[Sport]]="","",LayTable[[#This Row],[BookieInnsats]]+LayTable[[#This Row],[LayLiability]])</f>
        <v/>
      </c>
      <c r="R3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2" s="47" t="str">
        <f>IF(LayTable[[#This Row],[Utfall bookie]]="","",LayTable[[#This Row],[WBABack]]+LayTable[[#This Row],[WBALay]]-LayTable[[#This Row],[Total inns]])</f>
        <v/>
      </c>
      <c r="U3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2" s="48" t="str">
        <f>IFERROR(IF(LayTable[[#This Row],[Total inns]]="","",LayTable[[#This Row],[Rback]]/LayTable[[#This Row],[Total inns]]),"")</f>
        <v/>
      </c>
      <c r="X362" s="48" t="str">
        <f>IFERROR(IF(LayTable[[#This Row],[Total inns]]="","",LayTable[[#This Row],[Rlay]]/LayTable[[#This Row],[Total inns]]),"")</f>
        <v/>
      </c>
      <c r="Y362" s="48" t="str">
        <f>IFERROR(LayTable[[#This Row],[Faktisk res]]/LayTable[[#This Row],[Total inns]],"")</f>
        <v/>
      </c>
      <c r="Z362" s="47">
        <f>(LayTable[[#This Row],[BookieInnsats]]*LayTable[[#This Row],[BookieOdds]]-LayTable[[#This Row],[BookieInnsats]])*(1-LayTable[[#This Row],[C% Bookie]])</f>
        <v>0</v>
      </c>
      <c r="AA362" s="43">
        <f>LayTable[[#This Row],[LayInnsats]]*(1-LayTable[[#This Row],[C% Lay]])</f>
        <v>0</v>
      </c>
      <c r="AB362" s="43" t="str">
        <f>IFERROR(IF(LayTable[[#This Row],[Sport]]="",AB361,LayTable[[#This Row],[Faktisk res]]+AB361),"")</f>
        <v/>
      </c>
      <c r="AC362" s="43">
        <f>(LayTable[[#This Row],[BackWin-Commission]]+LayTable[[#This Row],[BookieInnsats]])</f>
        <v>0</v>
      </c>
      <c r="AD362" s="43" t="e">
        <f>(LayTable[[#This Row],[LayWin-Commission]])+LayTable[[#This Row],[LayLiability]]</f>
        <v>#VALUE!</v>
      </c>
      <c r="AE362" s="181"/>
      <c r="AF362" s="288"/>
    </row>
    <row r="363" spans="1:32">
      <c r="A363" s="84"/>
      <c r="B363" s="177"/>
      <c r="C363" s="40"/>
      <c r="D363" s="41"/>
      <c r="E363" s="178"/>
      <c r="F363" s="179"/>
      <c r="G363" s="183"/>
      <c r="H363" s="38"/>
      <c r="I363" s="42"/>
      <c r="J363" s="42"/>
      <c r="K363" s="43"/>
      <c r="L363" s="43"/>
      <c r="M363" s="44" t="str">
        <f>IF(LayTable[[#This Row],[Sport]]="","",LayTable[[#This Row],[LayInnsats]]*(LayTable[[#This Row],[LayOdds]]-1))</f>
        <v/>
      </c>
      <c r="N363" s="45" t="str">
        <f>IF(LayTable[[#This Row],[Sport]]="","",1/((1/LayTable[[#This Row],[BookieOdds]])+(1/((1/((1+((LayTable[[#This Row],[LayOdds]]-1)*(1+LayTable[[#This Row],[C% Lay]])))-1))+1)))-1)</f>
        <v/>
      </c>
      <c r="Q363" s="46" t="str">
        <f>IF(LayTable[[#This Row],[Sport]]="","",LayTable[[#This Row],[BookieInnsats]]+LayTable[[#This Row],[LayLiability]])</f>
        <v/>
      </c>
      <c r="R3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3" s="47" t="str">
        <f>IF(LayTable[[#This Row],[Utfall bookie]]="","",LayTable[[#This Row],[WBABack]]+LayTable[[#This Row],[WBALay]]-LayTable[[#This Row],[Total inns]])</f>
        <v/>
      </c>
      <c r="U3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3" s="48" t="str">
        <f>IFERROR(IF(LayTable[[#This Row],[Total inns]]="","",LayTable[[#This Row],[Rback]]/LayTable[[#This Row],[Total inns]]),"")</f>
        <v/>
      </c>
      <c r="X363" s="48" t="str">
        <f>IFERROR(IF(LayTable[[#This Row],[Total inns]]="","",LayTable[[#This Row],[Rlay]]/LayTable[[#This Row],[Total inns]]),"")</f>
        <v/>
      </c>
      <c r="Y363" s="48" t="str">
        <f>IFERROR(LayTable[[#This Row],[Faktisk res]]/LayTable[[#This Row],[Total inns]],"")</f>
        <v/>
      </c>
      <c r="Z363" s="47">
        <f>(LayTable[[#This Row],[BookieInnsats]]*LayTable[[#This Row],[BookieOdds]]-LayTable[[#This Row],[BookieInnsats]])*(1-LayTable[[#This Row],[C% Bookie]])</f>
        <v>0</v>
      </c>
      <c r="AA363" s="43">
        <f>LayTable[[#This Row],[LayInnsats]]*(1-LayTable[[#This Row],[C% Lay]])</f>
        <v>0</v>
      </c>
      <c r="AB363" s="43" t="str">
        <f>IFERROR(IF(LayTable[[#This Row],[Sport]]="",AB362,LayTable[[#This Row],[Faktisk res]]+AB362),"")</f>
        <v/>
      </c>
      <c r="AC363" s="43">
        <f>(LayTable[[#This Row],[BackWin-Commission]]+LayTable[[#This Row],[BookieInnsats]])</f>
        <v>0</v>
      </c>
      <c r="AD363" s="43" t="e">
        <f>(LayTable[[#This Row],[LayWin-Commission]])+LayTable[[#This Row],[LayLiability]]</f>
        <v>#VALUE!</v>
      </c>
      <c r="AE363" s="288"/>
      <c r="AF363" s="288"/>
    </row>
    <row r="364" spans="1:32">
      <c r="A364" s="84"/>
      <c r="B364" s="177"/>
      <c r="C364" s="40"/>
      <c r="D364" s="41"/>
      <c r="E364" s="178"/>
      <c r="F364" s="179"/>
      <c r="G364" s="183"/>
      <c r="H364" s="38"/>
      <c r="I364" s="42"/>
      <c r="J364" s="42"/>
      <c r="K364" s="43"/>
      <c r="L364" s="43"/>
      <c r="M364" s="44" t="str">
        <f>IF(LayTable[[#This Row],[Sport]]="","",LayTable[[#This Row],[LayInnsats]]*(LayTable[[#This Row],[LayOdds]]-1))</f>
        <v/>
      </c>
      <c r="N364" s="45" t="str">
        <f>IF(LayTable[[#This Row],[Sport]]="","",1/((1/LayTable[[#This Row],[BookieOdds]])+(1/((1/((1+((LayTable[[#This Row],[LayOdds]]-1)*(1+LayTable[[#This Row],[C% Lay]])))-1))+1)))-1)</f>
        <v/>
      </c>
      <c r="Q364" s="46" t="str">
        <f>IF(LayTable[[#This Row],[Sport]]="","",LayTable[[#This Row],[BookieInnsats]]+LayTable[[#This Row],[LayLiability]])</f>
        <v/>
      </c>
      <c r="R3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4" s="47" t="str">
        <f>IF(LayTable[[#This Row],[Utfall bookie]]="","",LayTable[[#This Row],[WBABack]]+LayTable[[#This Row],[WBALay]]-LayTable[[#This Row],[Total inns]])</f>
        <v/>
      </c>
      <c r="U3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4" s="48" t="str">
        <f>IFERROR(IF(LayTable[[#This Row],[Total inns]]="","",LayTable[[#This Row],[Rback]]/LayTable[[#This Row],[Total inns]]),"")</f>
        <v/>
      </c>
      <c r="X364" s="48" t="str">
        <f>IFERROR(IF(LayTable[[#This Row],[Total inns]]="","",LayTable[[#This Row],[Rlay]]/LayTable[[#This Row],[Total inns]]),"")</f>
        <v/>
      </c>
      <c r="Y364" s="48" t="str">
        <f>IFERROR(LayTable[[#This Row],[Faktisk res]]/LayTable[[#This Row],[Total inns]],"")</f>
        <v/>
      </c>
      <c r="Z364" s="47">
        <f>(LayTable[[#This Row],[BookieInnsats]]*LayTable[[#This Row],[BookieOdds]]-LayTable[[#This Row],[BookieInnsats]])*(1-LayTable[[#This Row],[C% Bookie]])</f>
        <v>0</v>
      </c>
      <c r="AA364" s="43">
        <f>LayTable[[#This Row],[LayInnsats]]*(1-LayTable[[#This Row],[C% Lay]])</f>
        <v>0</v>
      </c>
      <c r="AB364" s="43" t="str">
        <f>IFERROR(IF(LayTable[[#This Row],[Sport]]="",AB363,LayTable[[#This Row],[Faktisk res]]+AB363),"")</f>
        <v/>
      </c>
      <c r="AC364" s="43">
        <f>(LayTable[[#This Row],[BackWin-Commission]]+LayTable[[#This Row],[BookieInnsats]])</f>
        <v>0</v>
      </c>
      <c r="AD364" s="43" t="e">
        <f>(LayTable[[#This Row],[LayWin-Commission]])+LayTable[[#This Row],[LayLiability]]</f>
        <v>#VALUE!</v>
      </c>
      <c r="AE364" s="288"/>
      <c r="AF364" s="288"/>
    </row>
    <row r="365" spans="1:32">
      <c r="A365" s="183"/>
      <c r="B365" s="177"/>
      <c r="C365" s="40"/>
      <c r="D365" s="41"/>
      <c r="E365" s="178"/>
      <c r="F365" s="179"/>
      <c r="G365" s="183"/>
      <c r="H365" s="38"/>
      <c r="I365" s="42"/>
      <c r="J365" s="42"/>
      <c r="K365" s="43"/>
      <c r="L365" s="43"/>
      <c r="M365" s="44" t="str">
        <f>IF(LayTable[[#This Row],[Sport]]="","",LayTable[[#This Row],[LayInnsats]]*(LayTable[[#This Row],[LayOdds]]-1))</f>
        <v/>
      </c>
      <c r="N365" s="45" t="str">
        <f>IF(LayTable[[#This Row],[Sport]]="","",1/((1/LayTable[[#This Row],[BookieOdds]])+(1/((1/((1+((LayTable[[#This Row],[LayOdds]]-1)*(1+LayTable[[#This Row],[C% Lay]])))-1))+1)))-1)</f>
        <v/>
      </c>
      <c r="Q365" s="46" t="str">
        <f>IF(LayTable[[#This Row],[Sport]]="","",LayTable[[#This Row],[BookieInnsats]]+LayTable[[#This Row],[LayLiability]])</f>
        <v/>
      </c>
      <c r="R3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5" s="47" t="str">
        <f>IF(LayTable[[#This Row],[Utfall bookie]]="","",LayTable[[#This Row],[WBABack]]+LayTable[[#This Row],[WBALay]]-LayTable[[#This Row],[Total inns]])</f>
        <v/>
      </c>
      <c r="U3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5" s="48" t="str">
        <f>IFERROR(IF(LayTable[[#This Row],[Total inns]]="","",LayTable[[#This Row],[Rback]]/LayTable[[#This Row],[Total inns]]),"")</f>
        <v/>
      </c>
      <c r="X365" s="48" t="str">
        <f>IFERROR(IF(LayTable[[#This Row],[Total inns]]="","",LayTable[[#This Row],[Rlay]]/LayTable[[#This Row],[Total inns]]),"")</f>
        <v/>
      </c>
      <c r="Y365" s="48" t="str">
        <f>IFERROR(LayTable[[#This Row],[Faktisk res]]/LayTable[[#This Row],[Total inns]],"")</f>
        <v/>
      </c>
      <c r="Z365" s="47">
        <f>(LayTable[[#This Row],[BookieInnsats]]*LayTable[[#This Row],[BookieOdds]]-LayTable[[#This Row],[BookieInnsats]])*(1-LayTable[[#This Row],[C% Bookie]])</f>
        <v>0</v>
      </c>
      <c r="AA365" s="43">
        <f>LayTable[[#This Row],[LayInnsats]]*(1-LayTable[[#This Row],[C% Lay]])</f>
        <v>0</v>
      </c>
      <c r="AB365" s="43" t="str">
        <f>IFERROR(IF(LayTable[[#This Row],[Sport]]="",AB364,LayTable[[#This Row],[Faktisk res]]+AB364),"")</f>
        <v/>
      </c>
      <c r="AC365" s="43">
        <f>(LayTable[[#This Row],[BackWin-Commission]]+LayTable[[#This Row],[BookieInnsats]])</f>
        <v>0</v>
      </c>
      <c r="AD365" s="43" t="e">
        <f>(LayTable[[#This Row],[LayWin-Commission]])+LayTable[[#This Row],[LayLiability]]</f>
        <v>#VALUE!</v>
      </c>
      <c r="AE365" s="288"/>
      <c r="AF365" s="288"/>
    </row>
    <row r="366" spans="1:32">
      <c r="A366" s="183"/>
      <c r="B366" s="177"/>
      <c r="C366" s="178"/>
      <c r="D366" s="41"/>
      <c r="E366" s="178"/>
      <c r="F366" s="179"/>
      <c r="G366" s="183"/>
      <c r="H366" s="38"/>
      <c r="I366" s="42"/>
      <c r="J366" s="42"/>
      <c r="K366" s="42"/>
      <c r="L366" s="43"/>
      <c r="M366" s="44" t="str">
        <f>IF(LayTable[[#This Row],[Sport]]="","",LayTable[[#This Row],[LayInnsats]]*(LayTable[[#This Row],[LayOdds]]-1))</f>
        <v/>
      </c>
      <c r="N366" s="45" t="str">
        <f>IF(LayTable[[#This Row],[Sport]]="","",1/((1/LayTable[[#This Row],[BookieOdds]])+(1/((1/((1+((LayTable[[#This Row],[LayOdds]]-1)*(1+LayTable[[#This Row],[C% Lay]])))-1))+1)))-1)</f>
        <v/>
      </c>
      <c r="Q366" s="46" t="str">
        <f>IF(LayTable[[#This Row],[Sport]]="","",LayTable[[#This Row],[BookieInnsats]]+LayTable[[#This Row],[LayLiability]])</f>
        <v/>
      </c>
      <c r="R3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6" s="47" t="str">
        <f>IF(LayTable[[#This Row],[Utfall bookie]]="","",LayTable[[#This Row],[WBABack]]+LayTable[[#This Row],[WBALay]]-LayTable[[#This Row],[Total inns]])</f>
        <v/>
      </c>
      <c r="U3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6" s="48" t="str">
        <f>IFERROR(IF(LayTable[[#This Row],[Total inns]]="","",LayTable[[#This Row],[Rback]]/LayTable[[#This Row],[Total inns]]),"")</f>
        <v/>
      </c>
      <c r="X366" s="48" t="str">
        <f>IFERROR(IF(LayTable[[#This Row],[Total inns]]="","",LayTable[[#This Row],[Rlay]]/LayTable[[#This Row],[Total inns]]),"")</f>
        <v/>
      </c>
      <c r="Y366" s="48" t="str">
        <f>IFERROR(LayTable[[#This Row],[Faktisk res]]/LayTable[[#This Row],[Total inns]],"")</f>
        <v/>
      </c>
      <c r="Z366" s="47">
        <f>(LayTable[[#This Row],[BookieInnsats]]*LayTable[[#This Row],[BookieOdds]]-LayTable[[#This Row],[BookieInnsats]])*(1-LayTable[[#This Row],[C% Bookie]])</f>
        <v>0</v>
      </c>
      <c r="AA366" s="43">
        <f>LayTable[[#This Row],[LayInnsats]]*(1-LayTable[[#This Row],[C% Lay]])</f>
        <v>0</v>
      </c>
      <c r="AB366" s="43" t="str">
        <f>IFERROR(IF(LayTable[[#This Row],[Sport]]="",AB365,LayTable[[#This Row],[Faktisk res]]+AB365),"")</f>
        <v/>
      </c>
      <c r="AC366" s="43">
        <f>(LayTable[[#This Row],[BackWin-Commission]]+LayTable[[#This Row],[BookieInnsats]])</f>
        <v>0</v>
      </c>
      <c r="AD366" s="43" t="e">
        <f>(LayTable[[#This Row],[LayWin-Commission]])+LayTable[[#This Row],[LayLiability]]</f>
        <v>#VALUE!</v>
      </c>
      <c r="AE366" s="288"/>
      <c r="AF366" s="288"/>
    </row>
    <row r="367" spans="1:32">
      <c r="A367" s="183"/>
      <c r="B367" s="177"/>
      <c r="C367" s="178"/>
      <c r="D367" s="41"/>
      <c r="E367" s="178"/>
      <c r="F367" s="179"/>
      <c r="G367" s="183"/>
      <c r="H367" s="38"/>
      <c r="I367" s="42"/>
      <c r="J367" s="42"/>
      <c r="K367" s="43"/>
      <c r="L367" s="43"/>
      <c r="M367" s="44" t="str">
        <f>IF(LayTable[[#This Row],[Sport]]="","",LayTable[[#This Row],[LayInnsats]]*(LayTable[[#This Row],[LayOdds]]-1))</f>
        <v/>
      </c>
      <c r="N367" s="45" t="str">
        <f>IF(LayTable[[#This Row],[Sport]]="","",1/((1/LayTable[[#This Row],[BookieOdds]])+(1/((1/((1+((LayTable[[#This Row],[LayOdds]]-1)*(1+LayTable[[#This Row],[C% Lay]])))-1))+1)))-1)</f>
        <v/>
      </c>
      <c r="Q367" s="46" t="str">
        <f>IF(LayTable[[#This Row],[Sport]]="","",LayTable[[#This Row],[BookieInnsats]]+LayTable[[#This Row],[LayLiability]])</f>
        <v/>
      </c>
      <c r="R3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7" s="47" t="str">
        <f>IF(LayTable[[#This Row],[Utfall bookie]]="","",LayTable[[#This Row],[WBABack]]+LayTable[[#This Row],[WBALay]]-LayTable[[#This Row],[Total inns]])</f>
        <v/>
      </c>
      <c r="U3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7" s="48" t="str">
        <f>IFERROR(IF(LayTable[[#This Row],[Total inns]]="","",LayTable[[#This Row],[Rback]]/LayTable[[#This Row],[Total inns]]),"")</f>
        <v/>
      </c>
      <c r="X367" s="48" t="str">
        <f>IFERROR(IF(LayTable[[#This Row],[Total inns]]="","",LayTable[[#This Row],[Rlay]]/LayTable[[#This Row],[Total inns]]),"")</f>
        <v/>
      </c>
      <c r="Y367" s="48" t="str">
        <f>IFERROR(LayTable[[#This Row],[Faktisk res]]/LayTable[[#This Row],[Total inns]],"")</f>
        <v/>
      </c>
      <c r="Z367" s="47">
        <f>(LayTable[[#This Row],[BookieInnsats]]*LayTable[[#This Row],[BookieOdds]]-LayTable[[#This Row],[BookieInnsats]])*(1-LayTable[[#This Row],[C% Bookie]])</f>
        <v>0</v>
      </c>
      <c r="AA367" s="43">
        <f>LayTable[[#This Row],[LayInnsats]]*(1-LayTable[[#This Row],[C% Lay]])</f>
        <v>0</v>
      </c>
      <c r="AB367" s="43" t="str">
        <f>IFERROR(IF(LayTable[[#This Row],[Sport]]="",AB366,LayTable[[#This Row],[Faktisk res]]+AB366),"")</f>
        <v/>
      </c>
      <c r="AC367" s="43">
        <f>(LayTable[[#This Row],[BackWin-Commission]]+LayTable[[#This Row],[BookieInnsats]])</f>
        <v>0</v>
      </c>
      <c r="AD367" s="43" t="e">
        <f>(LayTable[[#This Row],[LayWin-Commission]])+LayTable[[#This Row],[LayLiability]]</f>
        <v>#VALUE!</v>
      </c>
      <c r="AE367" s="288"/>
      <c r="AF367" s="288"/>
    </row>
    <row r="368" spans="1:32">
      <c r="A368" s="183"/>
      <c r="B368" s="177"/>
      <c r="C368" s="40"/>
      <c r="D368" s="41"/>
      <c r="E368" s="178"/>
      <c r="F368" s="179"/>
      <c r="G368" s="183"/>
      <c r="H368" s="38"/>
      <c r="I368" s="42"/>
      <c r="J368" s="42"/>
      <c r="K368" s="43"/>
      <c r="L368" s="43"/>
      <c r="M368" s="44" t="str">
        <f>IF(LayTable[[#This Row],[Sport]]="","",LayTable[[#This Row],[LayInnsats]]*(LayTable[[#This Row],[LayOdds]]-1))</f>
        <v/>
      </c>
      <c r="N368" s="45" t="str">
        <f>IF(LayTable[[#This Row],[Sport]]="","",1/((1/LayTable[[#This Row],[BookieOdds]])+(1/((1/((1+((LayTable[[#This Row],[LayOdds]]-1)*(1+LayTable[[#This Row],[C% Lay]])))-1))+1)))-1)</f>
        <v/>
      </c>
      <c r="Q368" s="46" t="str">
        <f>IF(LayTable[[#This Row],[Sport]]="","",LayTable[[#This Row],[BookieInnsats]]+LayTable[[#This Row],[LayLiability]])</f>
        <v/>
      </c>
      <c r="R3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8" s="47" t="str">
        <f>IF(LayTable[[#This Row],[Utfall bookie]]="","",LayTable[[#This Row],[WBABack]]+LayTable[[#This Row],[WBALay]]-LayTable[[#This Row],[Total inns]])</f>
        <v/>
      </c>
      <c r="U3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8" s="48" t="str">
        <f>IFERROR(IF(LayTable[[#This Row],[Total inns]]="","",LayTable[[#This Row],[Rback]]/LayTable[[#This Row],[Total inns]]),"")</f>
        <v/>
      </c>
      <c r="X368" s="48" t="str">
        <f>IFERROR(IF(LayTable[[#This Row],[Total inns]]="","",LayTable[[#This Row],[Rlay]]/LayTable[[#This Row],[Total inns]]),"")</f>
        <v/>
      </c>
      <c r="Y368" s="48" t="str">
        <f>IFERROR(LayTable[[#This Row],[Faktisk res]]/LayTable[[#This Row],[Total inns]],"")</f>
        <v/>
      </c>
      <c r="Z368" s="47">
        <f>(LayTable[[#This Row],[BookieInnsats]]*LayTable[[#This Row],[BookieOdds]]-LayTable[[#This Row],[BookieInnsats]])*(1-LayTable[[#This Row],[C% Bookie]])</f>
        <v>0</v>
      </c>
      <c r="AA368" s="43">
        <f>LayTable[[#This Row],[LayInnsats]]*(1-LayTable[[#This Row],[C% Lay]])</f>
        <v>0</v>
      </c>
      <c r="AB368" s="43" t="str">
        <f>IFERROR(IF(LayTable[[#This Row],[Sport]]="",AB367,LayTable[[#This Row],[Faktisk res]]+AB367),"")</f>
        <v/>
      </c>
      <c r="AC368" s="43">
        <f>(LayTable[[#This Row],[BackWin-Commission]]+LayTable[[#This Row],[BookieInnsats]])</f>
        <v>0</v>
      </c>
      <c r="AD368" s="43" t="e">
        <f>(LayTable[[#This Row],[LayWin-Commission]])+LayTable[[#This Row],[LayLiability]]</f>
        <v>#VALUE!</v>
      </c>
      <c r="AE368" s="181"/>
      <c r="AF368" s="288"/>
    </row>
    <row r="369" spans="1:32">
      <c r="A369" s="84"/>
      <c r="B369" s="177"/>
      <c r="C369" s="40"/>
      <c r="D369" s="41"/>
      <c r="E369" s="178"/>
      <c r="F369" s="179"/>
      <c r="G369" s="183"/>
      <c r="H369" s="38"/>
      <c r="I369" s="42"/>
      <c r="J369" s="42"/>
      <c r="K369" s="43"/>
      <c r="L369" s="43"/>
      <c r="M369" s="44" t="str">
        <f>IF(LayTable[[#This Row],[Sport]]="","",LayTable[[#This Row],[LayInnsats]]*(LayTable[[#This Row],[LayOdds]]-1))</f>
        <v/>
      </c>
      <c r="N369" s="45" t="str">
        <f>IF(LayTable[[#This Row],[Sport]]="","",1/((1/LayTable[[#This Row],[BookieOdds]])+(1/((1/((1+((LayTable[[#This Row],[LayOdds]]-1)*(1+LayTable[[#This Row],[C% Lay]])))-1))+1)))-1)</f>
        <v/>
      </c>
      <c r="Q369" s="46" t="str">
        <f>IF(LayTable[[#This Row],[Sport]]="","",LayTable[[#This Row],[BookieInnsats]]+LayTable[[#This Row],[LayLiability]])</f>
        <v/>
      </c>
      <c r="R3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69" s="47" t="str">
        <f>IF(LayTable[[#This Row],[Utfall bookie]]="","",LayTable[[#This Row],[WBABack]]+LayTable[[#This Row],[WBALay]]-LayTable[[#This Row],[Total inns]])</f>
        <v/>
      </c>
      <c r="U3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69" s="48" t="str">
        <f>IFERROR(IF(LayTable[[#This Row],[Total inns]]="","",LayTable[[#This Row],[Rback]]/LayTable[[#This Row],[Total inns]]),"")</f>
        <v/>
      </c>
      <c r="X369" s="48" t="str">
        <f>IFERROR(IF(LayTable[[#This Row],[Total inns]]="","",LayTable[[#This Row],[Rlay]]/LayTable[[#This Row],[Total inns]]),"")</f>
        <v/>
      </c>
      <c r="Y369" s="48" t="str">
        <f>IFERROR(LayTable[[#This Row],[Faktisk res]]/LayTable[[#This Row],[Total inns]],"")</f>
        <v/>
      </c>
      <c r="Z369" s="47">
        <f>(LayTable[[#This Row],[BookieInnsats]]*LayTable[[#This Row],[BookieOdds]]-LayTable[[#This Row],[BookieInnsats]])*(1-LayTable[[#This Row],[C% Bookie]])</f>
        <v>0</v>
      </c>
      <c r="AA369" s="43">
        <f>LayTable[[#This Row],[LayInnsats]]*(1-LayTable[[#This Row],[C% Lay]])</f>
        <v>0</v>
      </c>
      <c r="AB369" s="43" t="str">
        <f>IFERROR(IF(LayTable[[#This Row],[Sport]]="",#REF!,LayTable[[#This Row],[Faktisk res]]+#REF!),"")</f>
        <v/>
      </c>
      <c r="AC369" s="43">
        <f>(LayTable[[#This Row],[BackWin-Commission]]+LayTable[[#This Row],[BookieInnsats]])</f>
        <v>0</v>
      </c>
      <c r="AD369" s="43" t="e">
        <f>(LayTable[[#This Row],[LayWin-Commission]])+LayTable[[#This Row],[LayLiability]]</f>
        <v>#VALUE!</v>
      </c>
      <c r="AE369" s="181"/>
      <c r="AF369" s="288"/>
    </row>
    <row r="370" spans="1:32">
      <c r="A370" s="84"/>
      <c r="B370" s="177"/>
      <c r="C370" s="40"/>
      <c r="D370" s="41"/>
      <c r="E370" s="178"/>
      <c r="F370" s="179"/>
      <c r="G370" s="183"/>
      <c r="H370" s="38"/>
      <c r="I370" s="42"/>
      <c r="J370" s="42"/>
      <c r="K370" s="43"/>
      <c r="L370" s="43"/>
      <c r="M370" s="44" t="str">
        <f>IF(LayTable[[#This Row],[Sport]]="","",LayTable[[#This Row],[LayInnsats]]*(LayTable[[#This Row],[LayOdds]]-1))</f>
        <v/>
      </c>
      <c r="N370" s="45" t="str">
        <f>IF(LayTable[[#This Row],[Sport]]="","",1/((1/LayTable[[#This Row],[BookieOdds]])+(1/((1/((1+((LayTable[[#This Row],[LayOdds]]-1)*(1+LayTable[[#This Row],[C% Lay]])))-1))+1)))-1)</f>
        <v/>
      </c>
      <c r="Q370" s="46" t="str">
        <f>IF(LayTable[[#This Row],[Sport]]="","",LayTable[[#This Row],[BookieInnsats]]+LayTable[[#This Row],[LayLiability]])</f>
        <v/>
      </c>
      <c r="R3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0" s="47" t="str">
        <f>IF(LayTable[[#This Row],[Utfall bookie]]="","",LayTable[[#This Row],[WBABack]]+LayTable[[#This Row],[WBALay]]-LayTable[[#This Row],[Total inns]])</f>
        <v/>
      </c>
      <c r="U3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0" s="48" t="str">
        <f>IFERROR(IF(LayTable[[#This Row],[Total inns]]="","",LayTable[[#This Row],[Rback]]/LayTable[[#This Row],[Total inns]]),"")</f>
        <v/>
      </c>
      <c r="X370" s="48" t="str">
        <f>IFERROR(IF(LayTable[[#This Row],[Total inns]]="","",LayTable[[#This Row],[Rlay]]/LayTable[[#This Row],[Total inns]]),"")</f>
        <v/>
      </c>
      <c r="Y370" s="48" t="str">
        <f>IFERROR(LayTable[[#This Row],[Faktisk res]]/LayTable[[#This Row],[Total inns]],"")</f>
        <v/>
      </c>
      <c r="Z370" s="47">
        <f>(LayTable[[#This Row],[BookieInnsats]]*LayTable[[#This Row],[BookieOdds]]-LayTable[[#This Row],[BookieInnsats]])*(1-LayTable[[#This Row],[C% Bookie]])</f>
        <v>0</v>
      </c>
      <c r="AA370" s="43">
        <f>LayTable[[#This Row],[LayInnsats]]*(1-LayTable[[#This Row],[C% Lay]])</f>
        <v>0</v>
      </c>
      <c r="AB370" s="43" t="str">
        <f>IFERROR(IF(LayTable[[#This Row],[Sport]]="",#REF!,LayTable[[#This Row],[Faktisk res]]+#REF!),"")</f>
        <v/>
      </c>
      <c r="AC370" s="43">
        <f>(LayTable[[#This Row],[BackWin-Commission]]+LayTable[[#This Row],[BookieInnsats]])</f>
        <v>0</v>
      </c>
      <c r="AD370" s="43" t="e">
        <f>(LayTable[[#This Row],[LayWin-Commission]])+LayTable[[#This Row],[LayLiability]]</f>
        <v>#VALUE!</v>
      </c>
      <c r="AE370" s="181"/>
      <c r="AF370" s="288"/>
    </row>
    <row r="371" spans="1:32">
      <c r="A371" s="84"/>
      <c r="B371" s="177"/>
      <c r="C371" s="40"/>
      <c r="D371" s="41"/>
      <c r="E371" s="178"/>
      <c r="F371" s="179"/>
      <c r="G371" s="183"/>
      <c r="H371" s="38"/>
      <c r="I371" s="42"/>
      <c r="J371" s="42"/>
      <c r="K371" s="43"/>
      <c r="L371" s="43"/>
      <c r="M371" s="44" t="str">
        <f>IF(LayTable[[#This Row],[Sport]]="","",LayTable[[#This Row],[LayInnsats]]*(LayTable[[#This Row],[LayOdds]]-1))</f>
        <v/>
      </c>
      <c r="N371" s="45" t="str">
        <f>IF(LayTable[[#This Row],[Sport]]="","",1/((1/LayTable[[#This Row],[BookieOdds]])+(1/((1/((1+((LayTable[[#This Row],[LayOdds]]-1)*(1+LayTable[[#This Row],[C% Lay]])))-1))+1)))-1)</f>
        <v/>
      </c>
      <c r="Q371" s="46" t="str">
        <f>IF(LayTable[[#This Row],[Sport]]="","",LayTable[[#This Row],[BookieInnsats]]+LayTable[[#This Row],[LayLiability]])</f>
        <v/>
      </c>
      <c r="R3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1" s="47" t="str">
        <f>IF(LayTable[[#This Row],[Utfall bookie]]="","",LayTable[[#This Row],[WBABack]]+LayTable[[#This Row],[WBALay]]-LayTable[[#This Row],[Total inns]])</f>
        <v/>
      </c>
      <c r="U3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1" s="48" t="str">
        <f>IFERROR(IF(LayTable[[#This Row],[Total inns]]="","",LayTable[[#This Row],[Rback]]/LayTable[[#This Row],[Total inns]]),"")</f>
        <v/>
      </c>
      <c r="X371" s="48" t="str">
        <f>IFERROR(IF(LayTable[[#This Row],[Total inns]]="","",LayTable[[#This Row],[Rlay]]/LayTable[[#This Row],[Total inns]]),"")</f>
        <v/>
      </c>
      <c r="Y371" s="48" t="str">
        <f>IFERROR(LayTable[[#This Row],[Faktisk res]]/LayTable[[#This Row],[Total inns]],"")</f>
        <v/>
      </c>
      <c r="Z371" s="47">
        <f>(LayTable[[#This Row],[BookieInnsats]]*LayTable[[#This Row],[BookieOdds]]-LayTable[[#This Row],[BookieInnsats]])*(1-LayTable[[#This Row],[C% Bookie]])</f>
        <v>0</v>
      </c>
      <c r="AA371" s="43">
        <f>LayTable[[#This Row],[LayInnsats]]*(1-LayTable[[#This Row],[C% Lay]])</f>
        <v>0</v>
      </c>
      <c r="AB371" s="43" t="str">
        <f>IFERROR(IF(LayTable[[#This Row],[Sport]]="",#REF!,LayTable[[#This Row],[Faktisk res]]+#REF!),"")</f>
        <v/>
      </c>
      <c r="AC371" s="43">
        <f>(LayTable[[#This Row],[BackWin-Commission]]+LayTable[[#This Row],[BookieInnsats]])</f>
        <v>0</v>
      </c>
      <c r="AD371" s="43" t="e">
        <f>(LayTable[[#This Row],[LayWin-Commission]])+LayTable[[#This Row],[LayLiability]]</f>
        <v>#VALUE!</v>
      </c>
      <c r="AE371" s="181"/>
      <c r="AF371" s="288"/>
    </row>
    <row r="372" spans="1:32">
      <c r="A372" s="183"/>
      <c r="B372" s="177"/>
      <c r="C372" s="40"/>
      <c r="D372" s="41"/>
      <c r="E372" s="40"/>
      <c r="F372" s="41"/>
      <c r="G372" s="183"/>
      <c r="H372" s="38"/>
      <c r="I372" s="42"/>
      <c r="J372" s="42"/>
      <c r="K372" s="43"/>
      <c r="L372" s="43"/>
      <c r="M372" s="44" t="str">
        <f>IF(LayTable[[#This Row],[Sport]]="","",LayTable[[#This Row],[LayInnsats]]*(LayTable[[#This Row],[LayOdds]]-1))</f>
        <v/>
      </c>
      <c r="N372" s="45" t="str">
        <f>IF(LayTable[[#This Row],[Sport]]="","",1/((1/LayTable[[#This Row],[BookieOdds]])+(1/((1/((1+((LayTable[[#This Row],[LayOdds]]-1)*(1+LayTable[[#This Row],[C% Lay]])))-1))+1)))-1)</f>
        <v/>
      </c>
      <c r="Q372" s="46" t="str">
        <f>IF(LayTable[[#This Row],[Sport]]="","",LayTable[[#This Row],[BookieInnsats]]+LayTable[[#This Row],[LayLiability]])</f>
        <v/>
      </c>
      <c r="R3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2" s="47" t="str">
        <f>IF(LayTable[[#This Row],[Utfall bookie]]="","",LayTable[[#This Row],[WBABack]]+LayTable[[#This Row],[WBALay]]-LayTable[[#This Row],[Total inns]])</f>
        <v/>
      </c>
      <c r="U3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2" s="48" t="str">
        <f>IFERROR(IF(LayTable[[#This Row],[Total inns]]="","",LayTable[[#This Row],[Rback]]/LayTable[[#This Row],[Total inns]]),"")</f>
        <v/>
      </c>
      <c r="X372" s="48" t="str">
        <f>IFERROR(IF(LayTable[[#This Row],[Total inns]]="","",LayTable[[#This Row],[Rlay]]/LayTable[[#This Row],[Total inns]]),"")</f>
        <v/>
      </c>
      <c r="Y372" s="48" t="str">
        <f>IFERROR(LayTable[[#This Row],[Faktisk res]]/LayTable[[#This Row],[Total inns]],"")</f>
        <v/>
      </c>
      <c r="Z372" s="47">
        <f>(LayTable[[#This Row],[BookieInnsats]]*LayTable[[#This Row],[BookieOdds]]-LayTable[[#This Row],[BookieInnsats]])*(1-LayTable[[#This Row],[C% Bookie]])</f>
        <v>0</v>
      </c>
      <c r="AA372" s="43">
        <f>LayTable[[#This Row],[LayInnsats]]*(1-LayTable[[#This Row],[C% Lay]])</f>
        <v>0</v>
      </c>
      <c r="AB372" s="43" t="str">
        <f>IFERROR(IF(LayTable[[#This Row],[Sport]]="",#REF!,LayTable[[#This Row],[Faktisk res]]+#REF!),"")</f>
        <v/>
      </c>
      <c r="AC372" s="43">
        <f>(LayTable[[#This Row],[BackWin-Commission]]+LayTable[[#This Row],[BookieInnsats]])</f>
        <v>0</v>
      </c>
      <c r="AD372" s="43" t="e">
        <f>(LayTable[[#This Row],[LayWin-Commission]])+LayTable[[#This Row],[LayLiability]]</f>
        <v>#VALUE!</v>
      </c>
      <c r="AE372" s="181"/>
      <c r="AF372" s="288"/>
    </row>
    <row r="373" spans="1:32">
      <c r="A373" s="84"/>
      <c r="B373" s="177"/>
      <c r="C373" s="178"/>
      <c r="D373" s="41"/>
      <c r="E373" s="40"/>
      <c r="F373" s="41"/>
      <c r="G373" s="183"/>
      <c r="H373" s="38"/>
      <c r="I373" s="42"/>
      <c r="J373" s="42"/>
      <c r="K373" s="43"/>
      <c r="L373" s="43"/>
      <c r="M373" s="44" t="str">
        <f>IF(LayTable[[#This Row],[Sport]]="","",LayTable[[#This Row],[LayInnsats]]*(LayTable[[#This Row],[LayOdds]]-1))</f>
        <v/>
      </c>
      <c r="N373" s="45" t="str">
        <f>IF(LayTable[[#This Row],[Sport]]="","",1/((1/LayTable[[#This Row],[BookieOdds]])+(1/((1/((1+((LayTable[[#This Row],[LayOdds]]-1)*(1+LayTable[[#This Row],[C% Lay]])))-1))+1)))-1)</f>
        <v/>
      </c>
      <c r="Q373" s="46" t="str">
        <f>IF(LayTable[[#This Row],[Sport]]="","",LayTable[[#This Row],[BookieInnsats]]+LayTable[[#This Row],[LayLiability]])</f>
        <v/>
      </c>
      <c r="R3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3" s="47" t="str">
        <f>IF(LayTable[[#This Row],[Utfall bookie]]="","",LayTable[[#This Row],[WBABack]]+LayTable[[#This Row],[WBALay]]-LayTable[[#This Row],[Total inns]])</f>
        <v/>
      </c>
      <c r="U3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3" s="48" t="str">
        <f>IFERROR(IF(LayTable[[#This Row],[Total inns]]="","",LayTable[[#This Row],[Rback]]/LayTable[[#This Row],[Total inns]]),"")</f>
        <v/>
      </c>
      <c r="X373" s="48" t="str">
        <f>IFERROR(IF(LayTable[[#This Row],[Total inns]]="","",LayTable[[#This Row],[Rlay]]/LayTable[[#This Row],[Total inns]]),"")</f>
        <v/>
      </c>
      <c r="Y373" s="48" t="str">
        <f>IFERROR(LayTable[[#This Row],[Faktisk res]]/LayTable[[#This Row],[Total inns]],"")</f>
        <v/>
      </c>
      <c r="Z373" s="47">
        <f>(LayTable[[#This Row],[BookieInnsats]]*LayTable[[#This Row],[BookieOdds]]-LayTable[[#This Row],[BookieInnsats]])*(1-LayTable[[#This Row],[C% Bookie]])</f>
        <v>0</v>
      </c>
      <c r="AA373" s="43">
        <f>LayTable[[#This Row],[LayInnsats]]*(1-LayTable[[#This Row],[C% Lay]])</f>
        <v>0</v>
      </c>
      <c r="AB373" s="43" t="str">
        <f>IFERROR(IF(LayTable[[#This Row],[Sport]]="",AB372,LayTable[[#This Row],[Faktisk res]]+AB372),"")</f>
        <v/>
      </c>
      <c r="AC373" s="43">
        <f>(LayTable[[#This Row],[BackWin-Commission]]+LayTable[[#This Row],[BookieInnsats]])</f>
        <v>0</v>
      </c>
      <c r="AD373" s="43" t="e">
        <f>(LayTable[[#This Row],[LayWin-Commission]])+LayTable[[#This Row],[LayLiability]]</f>
        <v>#VALUE!</v>
      </c>
      <c r="AE373" s="181"/>
      <c r="AF373" s="288"/>
    </row>
    <row r="374" spans="1:32">
      <c r="A374" s="84"/>
      <c r="B374" s="177"/>
      <c r="C374" s="40"/>
      <c r="D374" s="41"/>
      <c r="E374" s="178"/>
      <c r="F374" s="179"/>
      <c r="G374" s="183"/>
      <c r="H374" s="38"/>
      <c r="I374" s="42"/>
      <c r="J374" s="42"/>
      <c r="K374" s="43"/>
      <c r="L374" s="43"/>
      <c r="M374" s="44" t="str">
        <f>IF(LayTable[[#This Row],[Sport]]="","",LayTable[[#This Row],[LayInnsats]]*(LayTable[[#This Row],[LayOdds]]-1))</f>
        <v/>
      </c>
      <c r="N374" s="45" t="str">
        <f>IF(LayTable[[#This Row],[Sport]]="","",1/((1/LayTable[[#This Row],[BookieOdds]])+(1/((1/((1+((LayTable[[#This Row],[LayOdds]]-1)*(1+LayTable[[#This Row],[C% Lay]])))-1))+1)))-1)</f>
        <v/>
      </c>
      <c r="Q374" s="46" t="str">
        <f>IF(LayTable[[#This Row],[Sport]]="","",LayTable[[#This Row],[BookieInnsats]]+LayTable[[#This Row],[LayLiability]])</f>
        <v/>
      </c>
      <c r="R3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4" s="47" t="str">
        <f>IF(LayTable[[#This Row],[Utfall bookie]]="","",LayTable[[#This Row],[WBABack]]+LayTable[[#This Row],[WBALay]]-LayTable[[#This Row],[Total inns]])</f>
        <v/>
      </c>
      <c r="U3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4" s="48" t="str">
        <f>IFERROR(IF(LayTable[[#This Row],[Total inns]]="","",LayTable[[#This Row],[Rback]]/LayTable[[#This Row],[Total inns]]),"")</f>
        <v/>
      </c>
      <c r="X374" s="48" t="str">
        <f>IFERROR(IF(LayTable[[#This Row],[Total inns]]="","",LayTable[[#This Row],[Rlay]]/LayTable[[#This Row],[Total inns]]),"")</f>
        <v/>
      </c>
      <c r="Y374" s="48" t="str">
        <f>IFERROR(LayTable[[#This Row],[Faktisk res]]/LayTable[[#This Row],[Total inns]],"")</f>
        <v/>
      </c>
      <c r="Z374" s="47">
        <f>(LayTable[[#This Row],[BookieInnsats]]*LayTable[[#This Row],[BookieOdds]]-LayTable[[#This Row],[BookieInnsats]])*(1-LayTable[[#This Row],[C% Bookie]])</f>
        <v>0</v>
      </c>
      <c r="AA374" s="43">
        <f>LayTable[[#This Row],[LayInnsats]]*(1-LayTable[[#This Row],[C% Lay]])</f>
        <v>0</v>
      </c>
      <c r="AB374" s="43" t="str">
        <f>IFERROR(IF(LayTable[[#This Row],[Sport]]="",AB373,LayTable[[#This Row],[Faktisk res]]+AB373),"")</f>
        <v/>
      </c>
      <c r="AC374" s="43">
        <f>(LayTable[[#This Row],[BackWin-Commission]]+LayTable[[#This Row],[BookieInnsats]])</f>
        <v>0</v>
      </c>
      <c r="AD374" s="43" t="e">
        <f>(LayTable[[#This Row],[LayWin-Commission]])+LayTable[[#This Row],[LayLiability]]</f>
        <v>#VALUE!</v>
      </c>
      <c r="AE374" s="181"/>
      <c r="AF374" s="288"/>
    </row>
    <row r="375" spans="1:32">
      <c r="A375" s="84"/>
      <c r="B375" s="177"/>
      <c r="C375" s="40"/>
      <c r="D375" s="41"/>
      <c r="E375" s="178"/>
      <c r="F375" s="179"/>
      <c r="G375" s="183"/>
      <c r="H375" s="38"/>
      <c r="I375" s="42"/>
      <c r="J375" s="42"/>
      <c r="K375" s="43"/>
      <c r="L375" s="43"/>
      <c r="M375" s="44" t="str">
        <f>IF(LayTable[[#This Row],[Sport]]="","",LayTable[[#This Row],[LayInnsats]]*(LayTable[[#This Row],[LayOdds]]-1))</f>
        <v/>
      </c>
      <c r="N375" s="45" t="str">
        <f>IF(LayTable[[#This Row],[Sport]]="","",1/((1/LayTable[[#This Row],[BookieOdds]])+(1/((1/((1+((LayTable[[#This Row],[LayOdds]]-1)*(1+LayTable[[#This Row],[C% Lay]])))-1))+1)))-1)</f>
        <v/>
      </c>
      <c r="Q375" s="46" t="str">
        <f>IF(LayTable[[#This Row],[Sport]]="","",LayTable[[#This Row],[BookieInnsats]]+LayTable[[#This Row],[LayLiability]])</f>
        <v/>
      </c>
      <c r="R3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5" s="47" t="str">
        <f>IF(LayTable[[#This Row],[Utfall bookie]]="","",LayTable[[#This Row],[WBABack]]+LayTable[[#This Row],[WBALay]]-LayTable[[#This Row],[Total inns]])</f>
        <v/>
      </c>
      <c r="U3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5" s="48" t="str">
        <f>IFERROR(IF(LayTable[[#This Row],[Total inns]]="","",LayTable[[#This Row],[Rback]]/LayTable[[#This Row],[Total inns]]),"")</f>
        <v/>
      </c>
      <c r="X375" s="48" t="str">
        <f>IFERROR(IF(LayTable[[#This Row],[Total inns]]="","",LayTable[[#This Row],[Rlay]]/LayTable[[#This Row],[Total inns]]),"")</f>
        <v/>
      </c>
      <c r="Y375" s="48" t="str">
        <f>IFERROR(LayTable[[#This Row],[Faktisk res]]/LayTable[[#This Row],[Total inns]],"")</f>
        <v/>
      </c>
      <c r="Z375" s="47">
        <f>(LayTable[[#This Row],[BookieInnsats]]*LayTable[[#This Row],[BookieOdds]]-LayTable[[#This Row],[BookieInnsats]])*(1-LayTable[[#This Row],[C% Bookie]])</f>
        <v>0</v>
      </c>
      <c r="AA375" s="43">
        <f>LayTable[[#This Row],[LayInnsats]]*(1-LayTable[[#This Row],[C% Lay]])</f>
        <v>0</v>
      </c>
      <c r="AB375" s="43" t="str">
        <f>IFERROR(IF(LayTable[[#This Row],[Sport]]="",AB374,LayTable[[#This Row],[Faktisk res]]+AB374),"")</f>
        <v/>
      </c>
      <c r="AC375" s="43">
        <f>(LayTable[[#This Row],[BackWin-Commission]]+LayTable[[#This Row],[BookieInnsats]])</f>
        <v>0</v>
      </c>
      <c r="AD375" s="43" t="e">
        <f>(LayTable[[#This Row],[LayWin-Commission]])+LayTable[[#This Row],[LayLiability]]</f>
        <v>#VALUE!</v>
      </c>
      <c r="AE375" s="181"/>
      <c r="AF375" s="288"/>
    </row>
    <row r="376" spans="1:32">
      <c r="A376" s="84"/>
      <c r="B376" s="177"/>
      <c r="C376" s="40"/>
      <c r="D376" s="41"/>
      <c r="E376" s="178"/>
      <c r="F376" s="179"/>
      <c r="G376" s="183"/>
      <c r="H376" s="38"/>
      <c r="I376" s="42"/>
      <c r="J376" s="42"/>
      <c r="K376" s="43"/>
      <c r="L376" s="43"/>
      <c r="M376" s="44" t="str">
        <f>IF(LayTable[[#This Row],[Sport]]="","",LayTable[[#This Row],[LayInnsats]]*(LayTable[[#This Row],[LayOdds]]-1))</f>
        <v/>
      </c>
      <c r="N376" s="45" t="str">
        <f>IF(LayTable[[#This Row],[Sport]]="","",1/((1/LayTable[[#This Row],[BookieOdds]])+(1/((1/((1+((LayTable[[#This Row],[LayOdds]]-1)*(1+LayTable[[#This Row],[C% Lay]])))-1))+1)))-1)</f>
        <v/>
      </c>
      <c r="Q376" s="46" t="str">
        <f>IF(LayTable[[#This Row],[Sport]]="","",LayTable[[#This Row],[BookieInnsats]]+LayTable[[#This Row],[LayLiability]])</f>
        <v/>
      </c>
      <c r="R3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6" s="47" t="str">
        <f>IF(LayTable[[#This Row],[Utfall bookie]]="","",LayTable[[#This Row],[WBABack]]+LayTable[[#This Row],[WBALay]]-LayTable[[#This Row],[Total inns]])</f>
        <v/>
      </c>
      <c r="U3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6" s="48" t="str">
        <f>IFERROR(IF(LayTable[[#This Row],[Total inns]]="","",LayTable[[#This Row],[Rback]]/LayTable[[#This Row],[Total inns]]),"")</f>
        <v/>
      </c>
      <c r="X376" s="48" t="str">
        <f>IFERROR(IF(LayTable[[#This Row],[Total inns]]="","",LayTable[[#This Row],[Rlay]]/LayTable[[#This Row],[Total inns]]),"")</f>
        <v/>
      </c>
      <c r="Y376" s="48" t="str">
        <f>IFERROR(LayTable[[#This Row],[Faktisk res]]/LayTable[[#This Row],[Total inns]],"")</f>
        <v/>
      </c>
      <c r="Z376" s="47">
        <f>(LayTable[[#This Row],[BookieInnsats]]*LayTable[[#This Row],[BookieOdds]]-LayTable[[#This Row],[BookieInnsats]])*(1-LayTable[[#This Row],[C% Bookie]])</f>
        <v>0</v>
      </c>
      <c r="AA376" s="43">
        <f>LayTable[[#This Row],[LayInnsats]]*(1-LayTable[[#This Row],[C% Lay]])</f>
        <v>0</v>
      </c>
      <c r="AB376" s="43" t="str">
        <f>IFERROR(IF(LayTable[[#This Row],[Sport]]="",AB375,LayTable[[#This Row],[Faktisk res]]+AB375),"")</f>
        <v/>
      </c>
      <c r="AC376" s="43">
        <f>(LayTable[[#This Row],[BackWin-Commission]]+LayTable[[#This Row],[BookieInnsats]])</f>
        <v>0</v>
      </c>
      <c r="AD376" s="43" t="e">
        <f>(LayTable[[#This Row],[LayWin-Commission]])+LayTable[[#This Row],[LayLiability]]</f>
        <v>#VALUE!</v>
      </c>
      <c r="AE376" s="181"/>
      <c r="AF376" s="288"/>
    </row>
    <row r="377" spans="1:32">
      <c r="A377" s="84"/>
      <c r="B377" s="177"/>
      <c r="C377" s="40"/>
      <c r="D377" s="41"/>
      <c r="E377" s="178"/>
      <c r="F377" s="179"/>
      <c r="G377" s="183"/>
      <c r="H377" s="38"/>
      <c r="I377" s="42"/>
      <c r="J377" s="42"/>
      <c r="K377" s="43"/>
      <c r="L377" s="43"/>
      <c r="M377" s="44" t="str">
        <f>IF(LayTable[[#This Row],[Sport]]="","",LayTable[[#This Row],[LayInnsats]]*(LayTable[[#This Row],[LayOdds]]-1))</f>
        <v/>
      </c>
      <c r="N377" s="45" t="str">
        <f>IF(LayTable[[#This Row],[Sport]]="","",1/((1/LayTable[[#This Row],[BookieOdds]])+(1/((1/((1+((LayTable[[#This Row],[LayOdds]]-1)*(1+LayTable[[#This Row],[C% Lay]])))-1))+1)))-1)</f>
        <v/>
      </c>
      <c r="Q377" s="46" t="str">
        <f>IF(LayTable[[#This Row],[Sport]]="","",LayTable[[#This Row],[BookieInnsats]]+LayTable[[#This Row],[LayLiability]])</f>
        <v/>
      </c>
      <c r="R3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7" s="47" t="str">
        <f>IF(LayTable[[#This Row],[Utfall bookie]]="","",LayTable[[#This Row],[WBABack]]+LayTable[[#This Row],[WBALay]]-LayTable[[#This Row],[Total inns]])</f>
        <v/>
      </c>
      <c r="U3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7" s="48" t="str">
        <f>IFERROR(IF(LayTable[[#This Row],[Total inns]]="","",LayTable[[#This Row],[Rback]]/LayTable[[#This Row],[Total inns]]),"")</f>
        <v/>
      </c>
      <c r="X377" s="48" t="str">
        <f>IFERROR(IF(LayTable[[#This Row],[Total inns]]="","",LayTable[[#This Row],[Rlay]]/LayTable[[#This Row],[Total inns]]),"")</f>
        <v/>
      </c>
      <c r="Y377" s="48" t="str">
        <f>IFERROR(LayTable[[#This Row],[Faktisk res]]/LayTable[[#This Row],[Total inns]],"")</f>
        <v/>
      </c>
      <c r="Z377" s="47">
        <f>(LayTable[[#This Row],[BookieInnsats]]*LayTable[[#This Row],[BookieOdds]]-LayTable[[#This Row],[BookieInnsats]])*(1-LayTable[[#This Row],[C% Bookie]])</f>
        <v>0</v>
      </c>
      <c r="AA377" s="43">
        <f>LayTable[[#This Row],[LayInnsats]]*(1-LayTable[[#This Row],[C% Lay]])</f>
        <v>0</v>
      </c>
      <c r="AB377" s="43" t="str">
        <f>IFERROR(IF(LayTable[[#This Row],[Sport]]="",AB376,LayTable[[#This Row],[Faktisk res]]+AB376),"")</f>
        <v/>
      </c>
      <c r="AC377" s="43">
        <f>(LayTable[[#This Row],[BackWin-Commission]]+LayTable[[#This Row],[BookieInnsats]])</f>
        <v>0</v>
      </c>
      <c r="AD377" s="43" t="e">
        <f>(LayTable[[#This Row],[LayWin-Commission]])+LayTable[[#This Row],[LayLiability]]</f>
        <v>#VALUE!</v>
      </c>
      <c r="AE377" s="43"/>
      <c r="AF377" s="181"/>
    </row>
    <row r="378" spans="1:32">
      <c r="A378" s="84"/>
      <c r="B378" s="177"/>
      <c r="C378" s="40"/>
      <c r="D378" s="41"/>
      <c r="E378" s="178"/>
      <c r="F378" s="179"/>
      <c r="G378" s="183"/>
      <c r="H378" s="38"/>
      <c r="I378" s="42"/>
      <c r="J378" s="42"/>
      <c r="K378" s="43"/>
      <c r="L378" s="43"/>
      <c r="M378" s="44" t="str">
        <f>IF(LayTable[[#This Row],[Sport]]="","",LayTable[[#This Row],[LayInnsats]]*(LayTable[[#This Row],[LayOdds]]-1))</f>
        <v/>
      </c>
      <c r="N378" s="45" t="str">
        <f>IF(LayTable[[#This Row],[Sport]]="","",1/((1/LayTable[[#This Row],[BookieOdds]])+(1/((1/((1+((LayTable[[#This Row],[LayOdds]]-1)*(1+LayTable[[#This Row],[C% Lay]])))-1))+1)))-1)</f>
        <v/>
      </c>
      <c r="Q378" s="46" t="str">
        <f>IF(LayTable[[#This Row],[Sport]]="","",LayTable[[#This Row],[BookieInnsats]]+LayTable[[#This Row],[LayLiability]])</f>
        <v/>
      </c>
      <c r="R3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8" s="47" t="str">
        <f>IF(LayTable[[#This Row],[Utfall bookie]]="","",LayTable[[#This Row],[WBABack]]+LayTable[[#This Row],[WBALay]]-LayTable[[#This Row],[Total inns]])</f>
        <v/>
      </c>
      <c r="U3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8" s="48" t="str">
        <f>IFERROR(IF(LayTable[[#This Row],[Total inns]]="","",LayTable[[#This Row],[Rback]]/LayTable[[#This Row],[Total inns]]),"")</f>
        <v/>
      </c>
      <c r="X378" s="48" t="str">
        <f>IFERROR(IF(LayTable[[#This Row],[Total inns]]="","",LayTable[[#This Row],[Rlay]]/LayTable[[#This Row],[Total inns]]),"")</f>
        <v/>
      </c>
      <c r="Y378" s="48" t="str">
        <f>IFERROR(LayTable[[#This Row],[Faktisk res]]/LayTable[[#This Row],[Total inns]],"")</f>
        <v/>
      </c>
      <c r="Z378" s="47">
        <f>(LayTable[[#This Row],[BookieInnsats]]*LayTable[[#This Row],[BookieOdds]]-LayTable[[#This Row],[BookieInnsats]])*(1-LayTable[[#This Row],[C% Bookie]])</f>
        <v>0</v>
      </c>
      <c r="AA378" s="43">
        <f>LayTable[[#This Row],[LayInnsats]]*(1-LayTable[[#This Row],[C% Lay]])</f>
        <v>0</v>
      </c>
      <c r="AB378" s="43" t="str">
        <f>IFERROR(IF(LayTable[[#This Row],[Sport]]="",AB377,LayTable[[#This Row],[Faktisk res]]+AB377),"")</f>
        <v/>
      </c>
      <c r="AC378" s="43">
        <f>(LayTable[[#This Row],[BackWin-Commission]]+LayTable[[#This Row],[BookieInnsats]])</f>
        <v>0</v>
      </c>
      <c r="AD378" s="43" t="e">
        <f>(LayTable[[#This Row],[LayWin-Commission]])+LayTable[[#This Row],[LayLiability]]</f>
        <v>#VALUE!</v>
      </c>
      <c r="AE378" s="43"/>
      <c r="AF378" s="181"/>
    </row>
    <row r="379" spans="1:32">
      <c r="A379" s="84"/>
      <c r="B379" s="177"/>
      <c r="C379" s="40"/>
      <c r="D379" s="41"/>
      <c r="E379" s="178"/>
      <c r="F379" s="179"/>
      <c r="G379" s="183"/>
      <c r="H379" s="38"/>
      <c r="I379" s="42"/>
      <c r="J379" s="42"/>
      <c r="K379" s="43"/>
      <c r="L379" s="43"/>
      <c r="M379" s="44" t="str">
        <f>IF(LayTable[[#This Row],[Sport]]="","",LayTable[[#This Row],[LayInnsats]]*(LayTable[[#This Row],[LayOdds]]-1))</f>
        <v/>
      </c>
      <c r="N379" s="45" t="str">
        <f>IF(LayTable[[#This Row],[Sport]]="","",1/((1/LayTable[[#This Row],[BookieOdds]])+(1/((1/((1+((LayTable[[#This Row],[LayOdds]]-1)*(1+LayTable[[#This Row],[C% Lay]])))-1))+1)))-1)</f>
        <v/>
      </c>
      <c r="Q379" s="46" t="str">
        <f>IF(LayTable[[#This Row],[Sport]]="","",LayTable[[#This Row],[BookieInnsats]]+LayTable[[#This Row],[LayLiability]])</f>
        <v/>
      </c>
      <c r="R3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79" s="47" t="str">
        <f>IF(LayTable[[#This Row],[Utfall bookie]]="","",LayTable[[#This Row],[WBABack]]+LayTable[[#This Row],[WBALay]]-LayTable[[#This Row],[Total inns]])</f>
        <v/>
      </c>
      <c r="U3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79" s="48" t="str">
        <f>IFERROR(IF(LayTable[[#This Row],[Total inns]]="","",LayTable[[#This Row],[Rback]]/LayTable[[#This Row],[Total inns]]),"")</f>
        <v/>
      </c>
      <c r="X379" s="48" t="str">
        <f>IFERROR(IF(LayTable[[#This Row],[Total inns]]="","",LayTable[[#This Row],[Rlay]]/LayTable[[#This Row],[Total inns]]),"")</f>
        <v/>
      </c>
      <c r="Y379" s="48" t="str">
        <f>IFERROR(LayTable[[#This Row],[Faktisk res]]/LayTable[[#This Row],[Total inns]],"")</f>
        <v/>
      </c>
      <c r="Z379" s="47">
        <f>(LayTable[[#This Row],[BookieInnsats]]*LayTable[[#This Row],[BookieOdds]]-LayTable[[#This Row],[BookieInnsats]])*(1-LayTable[[#This Row],[C% Bookie]])</f>
        <v>0</v>
      </c>
      <c r="AA379" s="43">
        <f>LayTable[[#This Row],[LayInnsats]]*(1-LayTable[[#This Row],[C% Lay]])</f>
        <v>0</v>
      </c>
      <c r="AB379" s="43" t="str">
        <f>IFERROR(IF(LayTable[[#This Row],[Sport]]="",AB378,LayTable[[#This Row],[Faktisk res]]+AB378),"")</f>
        <v/>
      </c>
      <c r="AC379" s="43">
        <f>(LayTable[[#This Row],[BackWin-Commission]]+LayTable[[#This Row],[BookieInnsats]])</f>
        <v>0</v>
      </c>
      <c r="AD379" s="43" t="e">
        <f>(LayTable[[#This Row],[LayWin-Commission]])+LayTable[[#This Row],[LayLiability]]</f>
        <v>#VALUE!</v>
      </c>
      <c r="AE379" s="181"/>
      <c r="AF379" s="181"/>
    </row>
    <row r="380" spans="1:32">
      <c r="A380" s="84"/>
      <c r="B380" s="177"/>
      <c r="C380" s="178"/>
      <c r="D380" s="41"/>
      <c r="E380" s="178"/>
      <c r="F380" s="179"/>
      <c r="G380" s="183"/>
      <c r="H380" s="38"/>
      <c r="I380" s="42"/>
      <c r="J380" s="42"/>
      <c r="K380" s="43"/>
      <c r="L380" s="43"/>
      <c r="M380" s="44" t="str">
        <f>IF(LayTable[[#This Row],[Sport]]="","",LayTable[[#This Row],[LayInnsats]]*(LayTable[[#This Row],[LayOdds]]-1))</f>
        <v/>
      </c>
      <c r="N380" s="45" t="str">
        <f>IF(LayTable[[#This Row],[Sport]]="","",1/((1/LayTable[[#This Row],[BookieOdds]])+(1/((1/((1+((LayTable[[#This Row],[LayOdds]]-1)*(1+LayTable[[#This Row],[C% Lay]])))-1))+1)))-1)</f>
        <v/>
      </c>
      <c r="Q380" s="46" t="str">
        <f>IF(LayTable[[#This Row],[Sport]]="","",LayTable[[#This Row],[BookieInnsats]]+LayTable[[#This Row],[LayLiability]])</f>
        <v/>
      </c>
      <c r="R3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0" s="47" t="str">
        <f>IF(LayTable[[#This Row],[Utfall bookie]]="","",LayTable[[#This Row],[WBABack]]+LayTable[[#This Row],[WBALay]]-LayTable[[#This Row],[Total inns]])</f>
        <v/>
      </c>
      <c r="U3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0" s="48" t="str">
        <f>IFERROR(IF(LayTable[[#This Row],[Total inns]]="","",LayTable[[#This Row],[Rback]]/LayTable[[#This Row],[Total inns]]),"")</f>
        <v/>
      </c>
      <c r="X380" s="48" t="str">
        <f>IFERROR(IF(LayTable[[#This Row],[Total inns]]="","",LayTable[[#This Row],[Rlay]]/LayTable[[#This Row],[Total inns]]),"")</f>
        <v/>
      </c>
      <c r="Y380" s="48" t="str">
        <f>IFERROR(LayTable[[#This Row],[Faktisk res]]/LayTable[[#This Row],[Total inns]],"")</f>
        <v/>
      </c>
      <c r="Z380" s="47">
        <f>(LayTable[[#This Row],[BookieInnsats]]*LayTable[[#This Row],[BookieOdds]]-LayTable[[#This Row],[BookieInnsats]])*(1-LayTable[[#This Row],[C% Bookie]])</f>
        <v>0</v>
      </c>
      <c r="AA380" s="43">
        <f>LayTable[[#This Row],[LayInnsats]]*(1-LayTable[[#This Row],[C% Lay]])</f>
        <v>0</v>
      </c>
      <c r="AB380" s="43" t="str">
        <f>IFERROR(IF(LayTable[[#This Row],[Sport]]="",#REF!,LayTable[[#This Row],[Faktisk res]]+#REF!),"")</f>
        <v/>
      </c>
      <c r="AC380" s="43">
        <f>(LayTable[[#This Row],[BackWin-Commission]]+LayTable[[#This Row],[BookieInnsats]])</f>
        <v>0</v>
      </c>
      <c r="AD380" s="43" t="e">
        <f>(LayTable[[#This Row],[LayWin-Commission]])+LayTable[[#This Row],[LayLiability]]</f>
        <v>#VALUE!</v>
      </c>
      <c r="AE380" s="181"/>
      <c r="AF380" s="181"/>
    </row>
    <row r="381" spans="1:32">
      <c r="A381" s="183"/>
      <c r="B381" s="177"/>
      <c r="C381" s="178"/>
      <c r="D381" s="302"/>
      <c r="E381" s="178"/>
      <c r="F381" s="302"/>
      <c r="G381" s="183"/>
      <c r="H381" s="176"/>
      <c r="I381" s="180"/>
      <c r="J381" s="180"/>
      <c r="K381" s="181"/>
      <c r="L381" s="181"/>
      <c r="M381" s="44" t="str">
        <f>IF(LayTable[[#This Row],[Sport]]="","",LayTable[[#This Row],[LayInnsats]]*(LayTable[[#This Row],[LayOdds]]-1))</f>
        <v/>
      </c>
      <c r="N381" s="45" t="str">
        <f>IF(LayTable[[#This Row],[Sport]]="","",1/((1/LayTable[[#This Row],[BookieOdds]])+(1/((1/((1+((LayTable[[#This Row],[LayOdds]]-1)*(1+LayTable[[#This Row],[C% Lay]])))-1))+1)))-1)</f>
        <v/>
      </c>
      <c r="Q381" s="46" t="str">
        <f>IF(LayTable[[#This Row],[Sport]]="","",LayTable[[#This Row],[BookieInnsats]]+LayTable[[#This Row],[LayLiability]])</f>
        <v/>
      </c>
      <c r="R3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1" s="47" t="str">
        <f>IF(LayTable[[#This Row],[Utfall bookie]]="","",LayTable[[#This Row],[WBABack]]+LayTable[[#This Row],[WBALay]]-LayTable[[#This Row],[Total inns]])</f>
        <v/>
      </c>
      <c r="U3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1" s="48" t="str">
        <f>IFERROR(IF(LayTable[[#This Row],[Total inns]]="","",LayTable[[#This Row],[Rback]]/LayTable[[#This Row],[Total inns]]),"")</f>
        <v/>
      </c>
      <c r="X381" s="48" t="str">
        <f>IFERROR(IF(LayTable[[#This Row],[Total inns]]="","",LayTable[[#This Row],[Rlay]]/LayTable[[#This Row],[Total inns]]),"")</f>
        <v/>
      </c>
      <c r="Y381" s="48" t="str">
        <f>IFERROR(LayTable[[#This Row],[Faktisk res]]/LayTable[[#This Row],[Total inns]],"")</f>
        <v/>
      </c>
      <c r="Z381" s="47">
        <f>(LayTable[[#This Row],[BookieInnsats]]*LayTable[[#This Row],[BookieOdds]]-LayTable[[#This Row],[BookieInnsats]])*(1-LayTable[[#This Row],[C% Bookie]])</f>
        <v>0</v>
      </c>
      <c r="AA381" s="43">
        <f>LayTable[[#This Row],[LayInnsats]]*(1-LayTable[[#This Row],[C% Lay]])</f>
        <v>0</v>
      </c>
      <c r="AB381" s="43" t="str">
        <f>IFERROR(IF(LayTable[[#This Row],[Sport]]="",#REF!,LayTable[[#This Row],[Faktisk res]]+#REF!),"")</f>
        <v/>
      </c>
      <c r="AC381" s="43">
        <f>(LayTable[[#This Row],[BackWin-Commission]]+LayTable[[#This Row],[BookieInnsats]])</f>
        <v>0</v>
      </c>
      <c r="AD381" s="43" t="e">
        <f>(LayTable[[#This Row],[LayWin-Commission]])+LayTable[[#This Row],[LayLiability]]</f>
        <v>#VALUE!</v>
      </c>
      <c r="AE381" s="303"/>
      <c r="AF381" s="181"/>
    </row>
    <row r="382" spans="1:32">
      <c r="A382" s="183"/>
      <c r="B382" s="177"/>
      <c r="C382" s="178"/>
      <c r="D382" s="41"/>
      <c r="E382" s="178"/>
      <c r="F382" s="179"/>
      <c r="G382" s="183"/>
      <c r="H382" s="176"/>
      <c r="I382" s="180"/>
      <c r="J382" s="180"/>
      <c r="K382" s="181"/>
      <c r="L382" s="181"/>
      <c r="M382" s="44" t="str">
        <f>IF(LayTable[[#This Row],[Sport]]="","",LayTable[[#This Row],[LayInnsats]]*(LayTable[[#This Row],[LayOdds]]-1))</f>
        <v/>
      </c>
      <c r="N382" s="45" t="str">
        <f>IF(LayTable[[#This Row],[Sport]]="","",1/((1/LayTable[[#This Row],[BookieOdds]])+(1/((1/((1+((LayTable[[#This Row],[LayOdds]]-1)*(1+LayTable[[#This Row],[C% Lay]])))-1))+1)))-1)</f>
        <v/>
      </c>
      <c r="Q382" s="46" t="str">
        <f>IF(LayTable[[#This Row],[Sport]]="","",LayTable[[#This Row],[BookieInnsats]]+LayTable[[#This Row],[LayLiability]])</f>
        <v/>
      </c>
      <c r="R3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2" s="47" t="str">
        <f>IF(LayTable[[#This Row],[Utfall bookie]]="","",LayTable[[#This Row],[WBABack]]+LayTable[[#This Row],[WBALay]]-LayTable[[#This Row],[Total inns]])</f>
        <v/>
      </c>
      <c r="U3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2" s="48" t="str">
        <f>IFERROR(IF(LayTable[[#This Row],[Total inns]]="","",LayTable[[#This Row],[Rback]]/LayTable[[#This Row],[Total inns]]),"")</f>
        <v/>
      </c>
      <c r="X382" s="48" t="str">
        <f>IFERROR(IF(LayTable[[#This Row],[Total inns]]="","",LayTable[[#This Row],[Rlay]]/LayTable[[#This Row],[Total inns]]),"")</f>
        <v/>
      </c>
      <c r="Y382" s="48" t="str">
        <f>IFERROR(LayTable[[#This Row],[Faktisk res]]/LayTable[[#This Row],[Total inns]],"")</f>
        <v/>
      </c>
      <c r="Z382" s="47">
        <f>(LayTable[[#This Row],[BookieInnsats]]*LayTable[[#This Row],[BookieOdds]]-LayTable[[#This Row],[BookieInnsats]])*(1-LayTable[[#This Row],[C% Bookie]])</f>
        <v>0</v>
      </c>
      <c r="AA382" s="43">
        <f>LayTable[[#This Row],[LayInnsats]]*(1-LayTable[[#This Row],[C% Lay]])</f>
        <v>0</v>
      </c>
      <c r="AB382" s="43" t="str">
        <f>IFERROR(IF(LayTable[[#This Row],[Sport]]="",AB381,LayTable[[#This Row],[Faktisk res]]+AB381),"")</f>
        <v/>
      </c>
      <c r="AC382" s="43">
        <f>(LayTable[[#This Row],[BackWin-Commission]]+LayTable[[#This Row],[BookieInnsats]])</f>
        <v>0</v>
      </c>
      <c r="AD382" s="43" t="e">
        <f>(LayTable[[#This Row],[LayWin-Commission]])+LayTable[[#This Row],[LayLiability]]</f>
        <v>#VALUE!</v>
      </c>
      <c r="AE382" s="43"/>
      <c r="AF382" s="181"/>
    </row>
    <row r="383" spans="1:32">
      <c r="A383" s="183"/>
      <c r="B383" s="177"/>
      <c r="C383" s="178"/>
      <c r="D383" s="41"/>
      <c r="E383" s="178"/>
      <c r="F383" s="179"/>
      <c r="G383" s="183"/>
      <c r="H383" s="176"/>
      <c r="I383" s="180"/>
      <c r="J383" s="180"/>
      <c r="K383" s="181"/>
      <c r="L383" s="181"/>
      <c r="M383" s="44" t="str">
        <f>IF(LayTable[[#This Row],[Sport]]="","",LayTable[[#This Row],[LayInnsats]]*(LayTable[[#This Row],[LayOdds]]-1))</f>
        <v/>
      </c>
      <c r="N383" s="45" t="str">
        <f>IF(LayTable[[#This Row],[Sport]]="","",1/((1/LayTable[[#This Row],[BookieOdds]])+(1/((1/((1+((LayTable[[#This Row],[LayOdds]]-1)*(1+LayTable[[#This Row],[C% Lay]])))-1))+1)))-1)</f>
        <v/>
      </c>
      <c r="Q383" s="46" t="str">
        <f>IF(LayTable[[#This Row],[Sport]]="","",LayTable[[#This Row],[BookieInnsats]]+LayTable[[#This Row],[LayLiability]])</f>
        <v/>
      </c>
      <c r="R3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3" s="47" t="str">
        <f>IF(LayTable[[#This Row],[Utfall bookie]]="","",LayTable[[#This Row],[WBABack]]+LayTable[[#This Row],[WBALay]]-LayTable[[#This Row],[Total inns]])</f>
        <v/>
      </c>
      <c r="U3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3" s="48" t="str">
        <f>IFERROR(IF(LayTable[[#This Row],[Total inns]]="","",LayTable[[#This Row],[Rback]]/LayTable[[#This Row],[Total inns]]),"")</f>
        <v/>
      </c>
      <c r="X383" s="48" t="str">
        <f>IFERROR(IF(LayTable[[#This Row],[Total inns]]="","",LayTable[[#This Row],[Rlay]]/LayTable[[#This Row],[Total inns]]),"")</f>
        <v/>
      </c>
      <c r="Y383" s="48" t="str">
        <f>IFERROR(LayTable[[#This Row],[Faktisk res]]/LayTable[[#This Row],[Total inns]],"")</f>
        <v/>
      </c>
      <c r="Z383" s="47">
        <f>(LayTable[[#This Row],[BookieInnsats]]*LayTable[[#This Row],[BookieOdds]]-LayTable[[#This Row],[BookieInnsats]])*(1-LayTable[[#This Row],[C% Bookie]])</f>
        <v>0</v>
      </c>
      <c r="AA383" s="43">
        <f>LayTable[[#This Row],[LayInnsats]]*(1-LayTable[[#This Row],[C% Lay]])</f>
        <v>0</v>
      </c>
      <c r="AB383" s="43" t="str">
        <f>IFERROR(IF(LayTable[[#This Row],[Sport]]="",AB382,LayTable[[#This Row],[Faktisk res]]+AB382),"")</f>
        <v/>
      </c>
      <c r="AC383" s="43">
        <f>(LayTable[[#This Row],[BackWin-Commission]]+LayTable[[#This Row],[BookieInnsats]])</f>
        <v>0</v>
      </c>
      <c r="AD383" s="43" t="e">
        <f>(LayTable[[#This Row],[LayWin-Commission]])+LayTable[[#This Row],[LayLiability]]</f>
        <v>#VALUE!</v>
      </c>
      <c r="AE383" s="43"/>
      <c r="AF383" s="181"/>
    </row>
    <row r="384" spans="1:32">
      <c r="A384" s="84"/>
      <c r="B384" s="177"/>
      <c r="C384" s="178"/>
      <c r="D384" s="41"/>
      <c r="E384" s="178"/>
      <c r="F384" s="179"/>
      <c r="G384" s="183"/>
      <c r="H384" s="38"/>
      <c r="I384" s="42"/>
      <c r="J384" s="42"/>
      <c r="K384" s="43"/>
      <c r="L384" s="43"/>
      <c r="M384" s="44" t="str">
        <f>IF(LayTable[[#This Row],[Sport]]="","",LayTable[[#This Row],[LayInnsats]]*(LayTable[[#This Row],[LayOdds]]-1))</f>
        <v/>
      </c>
      <c r="N384" s="45" t="str">
        <f>IF(LayTable[[#This Row],[Sport]]="","",1/((1/LayTable[[#This Row],[BookieOdds]])+(1/((1/((1+((LayTable[[#This Row],[LayOdds]]-1)*(1+LayTable[[#This Row],[C% Lay]])))-1))+1)))-1)</f>
        <v/>
      </c>
      <c r="Q384" s="46" t="str">
        <f>IF(LayTable[[#This Row],[Sport]]="","",LayTable[[#This Row],[BookieInnsats]]+LayTable[[#This Row],[LayLiability]])</f>
        <v/>
      </c>
      <c r="R3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4" s="47" t="str">
        <f>IF(LayTable[[#This Row],[Utfall bookie]]="","",LayTable[[#This Row],[WBABack]]+LayTable[[#This Row],[WBALay]]-LayTable[[#This Row],[Total inns]])</f>
        <v/>
      </c>
      <c r="U3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4" s="48" t="str">
        <f>IFERROR(IF(LayTable[[#This Row],[Total inns]]="","",LayTable[[#This Row],[Rback]]/LayTable[[#This Row],[Total inns]]),"")</f>
        <v/>
      </c>
      <c r="X384" s="48" t="str">
        <f>IFERROR(IF(LayTable[[#This Row],[Total inns]]="","",LayTable[[#This Row],[Rlay]]/LayTable[[#This Row],[Total inns]]),"")</f>
        <v/>
      </c>
      <c r="Y384" s="48" t="str">
        <f>IFERROR(LayTable[[#This Row],[Faktisk res]]/LayTable[[#This Row],[Total inns]],"")</f>
        <v/>
      </c>
      <c r="Z384" s="47">
        <f>(LayTable[[#This Row],[BookieInnsats]]*LayTable[[#This Row],[BookieOdds]]-LayTable[[#This Row],[BookieInnsats]])*(1-LayTable[[#This Row],[C% Bookie]])</f>
        <v>0</v>
      </c>
      <c r="AA384" s="43">
        <f>LayTable[[#This Row],[LayInnsats]]*(1-LayTable[[#This Row],[C% Lay]])</f>
        <v>0</v>
      </c>
      <c r="AB384" s="43" t="str">
        <f>IFERROR(IF(LayTable[[#This Row],[Sport]]="",#REF!,LayTable[[#This Row],[Faktisk res]]+#REF!),"")</f>
        <v/>
      </c>
      <c r="AC384" s="43">
        <f>(LayTable[[#This Row],[BackWin-Commission]]+LayTable[[#This Row],[BookieInnsats]])</f>
        <v>0</v>
      </c>
      <c r="AD384" s="43" t="e">
        <f>(LayTable[[#This Row],[LayWin-Commission]])+LayTable[[#This Row],[LayLiability]]</f>
        <v>#VALUE!</v>
      </c>
      <c r="AE384" s="43"/>
      <c r="AF384" s="181"/>
    </row>
    <row r="385" spans="1:32">
      <c r="A385" s="84"/>
      <c r="B385" s="177"/>
      <c r="C385" s="178"/>
      <c r="D385" s="41"/>
      <c r="E385" s="178"/>
      <c r="F385" s="179"/>
      <c r="G385" s="183"/>
      <c r="H385" s="38"/>
      <c r="I385" s="42"/>
      <c r="J385" s="42"/>
      <c r="K385" s="43"/>
      <c r="L385" s="43"/>
      <c r="M385" s="44" t="str">
        <f>IF(LayTable[[#This Row],[Sport]]="","",LayTable[[#This Row],[LayInnsats]]*(LayTable[[#This Row],[LayOdds]]-1))</f>
        <v/>
      </c>
      <c r="N385" s="45" t="str">
        <f>IF(LayTable[[#This Row],[Sport]]="","",1/((1/LayTable[[#This Row],[BookieOdds]])+(1/((1/((1+((LayTable[[#This Row],[LayOdds]]-1)*(1+LayTable[[#This Row],[C% Lay]])))-1))+1)))-1)</f>
        <v/>
      </c>
      <c r="Q385" s="46" t="str">
        <f>IF(LayTable[[#This Row],[Sport]]="","",LayTable[[#This Row],[BookieInnsats]]+LayTable[[#This Row],[LayLiability]])</f>
        <v/>
      </c>
      <c r="R3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5" s="47" t="str">
        <f>IF(LayTable[[#This Row],[Utfall bookie]]="","",LayTable[[#This Row],[WBABack]]+LayTable[[#This Row],[WBALay]]-LayTable[[#This Row],[Total inns]])</f>
        <v/>
      </c>
      <c r="U3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5" s="48" t="str">
        <f>IFERROR(IF(LayTable[[#This Row],[Total inns]]="","",LayTable[[#This Row],[Rback]]/LayTable[[#This Row],[Total inns]]),"")</f>
        <v/>
      </c>
      <c r="X385" s="48" t="str">
        <f>IFERROR(IF(LayTable[[#This Row],[Total inns]]="","",LayTable[[#This Row],[Rlay]]/LayTable[[#This Row],[Total inns]]),"")</f>
        <v/>
      </c>
      <c r="Y385" s="48" t="str">
        <f>IFERROR(LayTable[[#This Row],[Faktisk res]]/LayTable[[#This Row],[Total inns]],"")</f>
        <v/>
      </c>
      <c r="Z385" s="47">
        <f>(LayTable[[#This Row],[BookieInnsats]]*LayTable[[#This Row],[BookieOdds]]-LayTable[[#This Row],[BookieInnsats]])*(1-LayTable[[#This Row],[C% Bookie]])</f>
        <v>0</v>
      </c>
      <c r="AA385" s="43">
        <f>LayTable[[#This Row],[LayInnsats]]*(1-LayTable[[#This Row],[C% Lay]])</f>
        <v>0</v>
      </c>
      <c r="AB385" s="43" t="str">
        <f>IFERROR(IF(LayTable[[#This Row],[Sport]]="",AB384,LayTable[[#This Row],[Faktisk res]]+AB384),"")</f>
        <v/>
      </c>
      <c r="AC385" s="43">
        <f>(LayTable[[#This Row],[BackWin-Commission]]+LayTable[[#This Row],[BookieInnsats]])</f>
        <v>0</v>
      </c>
      <c r="AD385" s="43" t="e">
        <f>(LayTable[[#This Row],[LayWin-Commission]])+LayTable[[#This Row],[LayLiability]]</f>
        <v>#VALUE!</v>
      </c>
      <c r="AE385" s="43"/>
      <c r="AF385" s="181"/>
    </row>
    <row r="386" spans="1:32">
      <c r="A386" s="84"/>
      <c r="B386" s="177"/>
      <c r="C386" s="40"/>
      <c r="D386" s="41"/>
      <c r="E386" s="178"/>
      <c r="F386" s="179"/>
      <c r="G386" s="183"/>
      <c r="H386" s="38"/>
      <c r="I386" s="42"/>
      <c r="J386" s="42"/>
      <c r="K386" s="43"/>
      <c r="L386" s="43"/>
      <c r="M386" s="44" t="str">
        <f>IF(LayTable[[#This Row],[Sport]]="","",LayTable[[#This Row],[LayInnsats]]*(LayTable[[#This Row],[LayOdds]]-1))</f>
        <v/>
      </c>
      <c r="N386" s="45" t="str">
        <f>IF(LayTable[[#This Row],[Sport]]="","",1/((1/LayTable[[#This Row],[BookieOdds]])+(1/((1/((1+((LayTable[[#This Row],[LayOdds]]-1)*(1+LayTable[[#This Row],[C% Lay]])))-1))+1)))-1)</f>
        <v/>
      </c>
      <c r="Q386" s="46" t="str">
        <f>IF(LayTable[[#This Row],[Sport]]="","",LayTable[[#This Row],[BookieInnsats]]+LayTable[[#This Row],[LayLiability]])</f>
        <v/>
      </c>
      <c r="R3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6" s="47" t="str">
        <f>IF(LayTable[[#This Row],[Utfall bookie]]="","",LayTable[[#This Row],[WBABack]]+LayTable[[#This Row],[WBALay]]-LayTable[[#This Row],[Total inns]])</f>
        <v/>
      </c>
      <c r="U3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6" s="48" t="str">
        <f>IFERROR(IF(LayTable[[#This Row],[Total inns]]="","",LayTable[[#This Row],[Rback]]/LayTable[[#This Row],[Total inns]]),"")</f>
        <v/>
      </c>
      <c r="X386" s="48" t="str">
        <f>IFERROR(IF(LayTable[[#This Row],[Total inns]]="","",LayTable[[#This Row],[Rlay]]/LayTable[[#This Row],[Total inns]]),"")</f>
        <v/>
      </c>
      <c r="Y386" s="48" t="str">
        <f>IFERROR(LayTable[[#This Row],[Faktisk res]]/LayTable[[#This Row],[Total inns]],"")</f>
        <v/>
      </c>
      <c r="Z386" s="47">
        <f>(LayTable[[#This Row],[BookieInnsats]]*LayTable[[#This Row],[BookieOdds]]-LayTable[[#This Row],[BookieInnsats]])*(1-LayTable[[#This Row],[C% Bookie]])</f>
        <v>0</v>
      </c>
      <c r="AA386" s="43">
        <f>LayTable[[#This Row],[LayInnsats]]*(1-LayTable[[#This Row],[C% Lay]])</f>
        <v>0</v>
      </c>
      <c r="AB386" s="43" t="str">
        <f>IFERROR(IF(LayTable[[#This Row],[Sport]]="",AB385,LayTable[[#This Row],[Faktisk res]]+AB385),"")</f>
        <v/>
      </c>
      <c r="AC386" s="43">
        <f>(LayTable[[#This Row],[BackWin-Commission]]+LayTable[[#This Row],[BookieInnsats]])</f>
        <v>0</v>
      </c>
      <c r="AD386" s="43" t="e">
        <f>(LayTable[[#This Row],[LayWin-Commission]])+LayTable[[#This Row],[LayLiability]]</f>
        <v>#VALUE!</v>
      </c>
      <c r="AE386" s="43"/>
      <c r="AF386" s="181"/>
    </row>
    <row r="387" spans="1:32">
      <c r="A387" s="84"/>
      <c r="B387" s="177"/>
      <c r="C387" s="40"/>
      <c r="D387" s="41"/>
      <c r="E387" s="178"/>
      <c r="F387" s="179"/>
      <c r="G387" s="183"/>
      <c r="H387" s="38"/>
      <c r="I387" s="42"/>
      <c r="J387" s="42"/>
      <c r="K387" s="43"/>
      <c r="L387" s="43"/>
      <c r="M387" s="44" t="str">
        <f>IF(LayTable[[#This Row],[Sport]]="","",LayTable[[#This Row],[LayInnsats]]*(LayTable[[#This Row],[LayOdds]]-1))</f>
        <v/>
      </c>
      <c r="N387" s="45" t="str">
        <f>IF(LayTable[[#This Row],[Sport]]="","",1/((1/LayTable[[#This Row],[BookieOdds]])+(1/((1/((1+((LayTable[[#This Row],[LayOdds]]-1)*(1+LayTable[[#This Row],[C% Lay]])))-1))+1)))-1)</f>
        <v/>
      </c>
      <c r="Q387" s="46" t="str">
        <f>IF(LayTable[[#This Row],[Sport]]="","",LayTable[[#This Row],[BookieInnsats]]+LayTable[[#This Row],[LayLiability]])</f>
        <v/>
      </c>
      <c r="R3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7" s="47" t="str">
        <f>IF(LayTable[[#This Row],[Utfall bookie]]="","",LayTable[[#This Row],[WBABack]]+LayTable[[#This Row],[WBALay]]-LayTable[[#This Row],[Total inns]])</f>
        <v/>
      </c>
      <c r="U3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7" s="48" t="str">
        <f>IFERROR(IF(LayTable[[#This Row],[Total inns]]="","",LayTable[[#This Row],[Rback]]/LayTable[[#This Row],[Total inns]]),"")</f>
        <v/>
      </c>
      <c r="X387" s="48" t="str">
        <f>IFERROR(IF(LayTable[[#This Row],[Total inns]]="","",LayTable[[#This Row],[Rlay]]/LayTable[[#This Row],[Total inns]]),"")</f>
        <v/>
      </c>
      <c r="Y387" s="48" t="str">
        <f>IFERROR(LayTable[[#This Row],[Faktisk res]]/LayTable[[#This Row],[Total inns]],"")</f>
        <v/>
      </c>
      <c r="Z387" s="47">
        <f>(LayTable[[#This Row],[BookieInnsats]]*LayTable[[#This Row],[BookieOdds]]-LayTable[[#This Row],[BookieInnsats]])*(1-LayTable[[#This Row],[C% Bookie]])</f>
        <v>0</v>
      </c>
      <c r="AA387" s="43">
        <f>LayTable[[#This Row],[LayInnsats]]*(1-LayTable[[#This Row],[C% Lay]])</f>
        <v>0</v>
      </c>
      <c r="AB387" s="43" t="str">
        <f>IFERROR(IF(LayTable[[#This Row],[Sport]]="",AB386,LayTable[[#This Row],[Faktisk res]]+AB386),"")</f>
        <v/>
      </c>
      <c r="AC387" s="43">
        <f>(LayTable[[#This Row],[BackWin-Commission]]+LayTable[[#This Row],[BookieInnsats]])</f>
        <v>0</v>
      </c>
      <c r="AD387" s="43" t="e">
        <f>(LayTable[[#This Row],[LayWin-Commission]])+LayTable[[#This Row],[LayLiability]]</f>
        <v>#VALUE!</v>
      </c>
      <c r="AE387" s="43"/>
      <c r="AF387" s="181"/>
    </row>
    <row r="388" spans="1:32">
      <c r="A388" s="84"/>
      <c r="B388" s="177"/>
      <c r="C388" s="40"/>
      <c r="D388" s="41"/>
      <c r="E388" s="178"/>
      <c r="F388" s="179"/>
      <c r="G388" s="183"/>
      <c r="H388" s="176"/>
      <c r="I388" s="180"/>
      <c r="J388" s="180"/>
      <c r="K388" s="181"/>
      <c r="L388" s="43"/>
      <c r="M388" s="44" t="str">
        <f>IF(LayTable[[#This Row],[Sport]]="","",LayTable[[#This Row],[LayInnsats]]*(LayTable[[#This Row],[LayOdds]]-1))</f>
        <v/>
      </c>
      <c r="N388" s="45" t="str">
        <f>IF(LayTable[[#This Row],[Sport]]="","",1/((1/LayTable[[#This Row],[BookieOdds]])+(1/((1/((1+((LayTable[[#This Row],[LayOdds]]-1)*(1+LayTable[[#This Row],[C% Lay]])))-1))+1)))-1)</f>
        <v/>
      </c>
      <c r="Q388" s="46" t="str">
        <f>IF(LayTable[[#This Row],[Sport]]="","",LayTable[[#This Row],[BookieInnsats]]+LayTable[[#This Row],[LayLiability]])</f>
        <v/>
      </c>
      <c r="R3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8" s="47" t="str">
        <f>IF(LayTable[[#This Row],[Utfall bookie]]="","",LayTable[[#This Row],[WBABack]]+LayTable[[#This Row],[WBALay]]-LayTable[[#This Row],[Total inns]])</f>
        <v/>
      </c>
      <c r="U3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8" s="48" t="str">
        <f>IFERROR(IF(LayTable[[#This Row],[Total inns]]="","",LayTable[[#This Row],[Rback]]/LayTable[[#This Row],[Total inns]]),"")</f>
        <v/>
      </c>
      <c r="X388" s="48" t="str">
        <f>IFERROR(IF(LayTable[[#This Row],[Total inns]]="","",LayTable[[#This Row],[Rlay]]/LayTable[[#This Row],[Total inns]]),"")</f>
        <v/>
      </c>
      <c r="Y388" s="48" t="str">
        <f>IFERROR(LayTable[[#This Row],[Faktisk res]]/LayTable[[#This Row],[Total inns]],"")</f>
        <v/>
      </c>
      <c r="Z388" s="47">
        <f>(LayTable[[#This Row],[BookieInnsats]]*LayTable[[#This Row],[BookieOdds]]-LayTable[[#This Row],[BookieInnsats]])*(1-LayTable[[#This Row],[C% Bookie]])</f>
        <v>0</v>
      </c>
      <c r="AA388" s="43">
        <f>LayTable[[#This Row],[LayInnsats]]*(1-LayTable[[#This Row],[C% Lay]])</f>
        <v>0</v>
      </c>
      <c r="AB388" s="43" t="str">
        <f>IFERROR(IF(LayTable[[#This Row],[Sport]]="",#REF!,LayTable[[#This Row],[Faktisk res]]+#REF!),"")</f>
        <v/>
      </c>
      <c r="AC388" s="43">
        <f>(LayTable[[#This Row],[BackWin-Commission]]+LayTable[[#This Row],[BookieInnsats]])</f>
        <v>0</v>
      </c>
      <c r="AD388" s="43" t="e">
        <f>(LayTable[[#This Row],[LayWin-Commission]])+LayTable[[#This Row],[LayLiability]]</f>
        <v>#VALUE!</v>
      </c>
      <c r="AE388" s="181"/>
      <c r="AF388" s="181"/>
    </row>
    <row r="389" spans="1:32">
      <c r="A389" s="183"/>
      <c r="B389" s="177"/>
      <c r="C389" s="40"/>
      <c r="D389" s="41"/>
      <c r="E389" s="178"/>
      <c r="F389" s="179"/>
      <c r="G389" s="183"/>
      <c r="H389" s="38"/>
      <c r="I389" s="42"/>
      <c r="J389" s="42"/>
      <c r="K389" s="43"/>
      <c r="L389" s="43"/>
      <c r="M389" s="44" t="str">
        <f>IF(LayTable[[#This Row],[Sport]]="","",LayTable[[#This Row],[LayInnsats]]*(LayTable[[#This Row],[LayOdds]]-1))</f>
        <v/>
      </c>
      <c r="N389" s="45" t="str">
        <f>IF(LayTable[[#This Row],[Sport]]="","",1/((1/LayTable[[#This Row],[BookieOdds]])+(1/((1/((1+((LayTable[[#This Row],[LayOdds]]-1)*(1+LayTable[[#This Row],[C% Lay]])))-1))+1)))-1)</f>
        <v/>
      </c>
      <c r="Q389" s="46" t="str">
        <f>IF(LayTable[[#This Row],[Sport]]="","",LayTable[[#This Row],[BookieInnsats]]+LayTable[[#This Row],[LayLiability]])</f>
        <v/>
      </c>
      <c r="R3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89" s="47" t="str">
        <f>IF(LayTable[[#This Row],[Utfall bookie]]="","",LayTable[[#This Row],[WBABack]]+LayTable[[#This Row],[WBALay]]-LayTable[[#This Row],[Total inns]])</f>
        <v/>
      </c>
      <c r="U3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89" s="48" t="str">
        <f>IFERROR(IF(LayTable[[#This Row],[Total inns]]="","",LayTable[[#This Row],[Rback]]/LayTable[[#This Row],[Total inns]]),"")</f>
        <v/>
      </c>
      <c r="X389" s="48" t="str">
        <f>IFERROR(IF(LayTable[[#This Row],[Total inns]]="","",LayTable[[#This Row],[Rlay]]/LayTable[[#This Row],[Total inns]]),"")</f>
        <v/>
      </c>
      <c r="Y389" s="48" t="str">
        <f>IFERROR(LayTable[[#This Row],[Faktisk res]]/LayTable[[#This Row],[Total inns]],"")</f>
        <v/>
      </c>
      <c r="Z389" s="47">
        <f>(LayTable[[#This Row],[BookieInnsats]]*LayTable[[#This Row],[BookieOdds]]-LayTable[[#This Row],[BookieInnsats]])*(1-LayTable[[#This Row],[C% Bookie]])</f>
        <v>0</v>
      </c>
      <c r="AA389" s="43">
        <f>LayTable[[#This Row],[LayInnsats]]*(1-LayTable[[#This Row],[C% Lay]])</f>
        <v>0</v>
      </c>
      <c r="AB389" s="43" t="str">
        <f>IFERROR(IF(LayTable[[#This Row],[Sport]]="",AB388,LayTable[[#This Row],[Faktisk res]]+AB388),"")</f>
        <v/>
      </c>
      <c r="AC389" s="43">
        <f>(LayTable[[#This Row],[BackWin-Commission]]+LayTable[[#This Row],[BookieInnsats]])</f>
        <v>0</v>
      </c>
      <c r="AD389" s="43" t="e">
        <f>(LayTable[[#This Row],[LayWin-Commission]])+LayTable[[#This Row],[LayLiability]]</f>
        <v>#VALUE!</v>
      </c>
      <c r="AE389" s="43"/>
      <c r="AF389" s="181"/>
    </row>
    <row r="390" spans="1:32">
      <c r="A390" s="183"/>
      <c r="B390" s="177"/>
      <c r="C390" s="40"/>
      <c r="D390" s="41"/>
      <c r="E390" s="178"/>
      <c r="F390" s="179"/>
      <c r="G390" s="183"/>
      <c r="H390" s="38"/>
      <c r="I390" s="42"/>
      <c r="J390" s="42"/>
      <c r="K390" s="43"/>
      <c r="L390" s="43"/>
      <c r="M390" s="44" t="str">
        <f>IF(LayTable[[#This Row],[Sport]]="","",LayTable[[#This Row],[LayInnsats]]*(LayTable[[#This Row],[LayOdds]]-1))</f>
        <v/>
      </c>
      <c r="N390" s="45" t="str">
        <f>IF(LayTable[[#This Row],[Sport]]="","",1/((1/LayTable[[#This Row],[BookieOdds]])+(1/((1/((1+((LayTable[[#This Row],[LayOdds]]-1)*(1+LayTable[[#This Row],[C% Lay]])))-1))+1)))-1)</f>
        <v/>
      </c>
      <c r="Q390" s="46" t="str">
        <f>IF(LayTable[[#This Row],[Sport]]="","",LayTable[[#This Row],[BookieInnsats]]+LayTable[[#This Row],[LayLiability]])</f>
        <v/>
      </c>
      <c r="R3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0" s="47" t="str">
        <f>IF(LayTable[[#This Row],[Utfall bookie]]="","",LayTable[[#This Row],[WBABack]]+LayTable[[#This Row],[WBALay]]-LayTable[[#This Row],[Total inns]])</f>
        <v/>
      </c>
      <c r="U3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0" s="48" t="str">
        <f>IFERROR(IF(LayTable[[#This Row],[Total inns]]="","",LayTable[[#This Row],[Rback]]/LayTable[[#This Row],[Total inns]]),"")</f>
        <v/>
      </c>
      <c r="X390" s="48" t="str">
        <f>IFERROR(IF(LayTable[[#This Row],[Total inns]]="","",LayTable[[#This Row],[Rlay]]/LayTable[[#This Row],[Total inns]]),"")</f>
        <v/>
      </c>
      <c r="Y390" s="48" t="str">
        <f>IFERROR(LayTable[[#This Row],[Faktisk res]]/LayTable[[#This Row],[Total inns]],"")</f>
        <v/>
      </c>
      <c r="Z390" s="47">
        <f>(LayTable[[#This Row],[BookieInnsats]]*LayTable[[#This Row],[BookieOdds]]-LayTable[[#This Row],[BookieInnsats]])*(1-LayTable[[#This Row],[C% Bookie]])</f>
        <v>0</v>
      </c>
      <c r="AA390" s="43">
        <f>LayTable[[#This Row],[LayInnsats]]*(1-LayTable[[#This Row],[C% Lay]])</f>
        <v>0</v>
      </c>
      <c r="AB390" s="43" t="str">
        <f>IFERROR(IF(LayTable[[#This Row],[Sport]]="",AB389,LayTable[[#This Row],[Faktisk res]]+AB389),"")</f>
        <v/>
      </c>
      <c r="AC390" s="43">
        <f>(LayTable[[#This Row],[BackWin-Commission]]+LayTable[[#This Row],[BookieInnsats]])</f>
        <v>0</v>
      </c>
      <c r="AD390" s="43" t="e">
        <f>(LayTable[[#This Row],[LayWin-Commission]])+LayTable[[#This Row],[LayLiability]]</f>
        <v>#VALUE!</v>
      </c>
      <c r="AE390" s="43"/>
      <c r="AF390" s="181"/>
    </row>
    <row r="391" spans="1:32">
      <c r="A391" s="84"/>
      <c r="B391" s="177"/>
      <c r="C391" s="40"/>
      <c r="D391" s="41"/>
      <c r="E391" s="178"/>
      <c r="F391" s="179"/>
      <c r="G391" s="183"/>
      <c r="H391" s="38"/>
      <c r="I391" s="42"/>
      <c r="J391" s="42"/>
      <c r="K391" s="43"/>
      <c r="L391" s="43"/>
      <c r="M391" s="44" t="str">
        <f>IF(LayTable[[#This Row],[Sport]]="","",LayTable[[#This Row],[LayInnsats]]*(LayTable[[#This Row],[LayOdds]]-1))</f>
        <v/>
      </c>
      <c r="N391" s="45" t="str">
        <f>IF(LayTable[[#This Row],[Sport]]="","",1/((1/LayTable[[#This Row],[BookieOdds]])+(1/((1/((1+((LayTable[[#This Row],[LayOdds]]-1)*(1+LayTable[[#This Row],[C% Lay]])))-1))+1)))-1)</f>
        <v/>
      </c>
      <c r="Q391" s="46" t="str">
        <f>IF(LayTable[[#This Row],[Sport]]="","",LayTable[[#This Row],[BookieInnsats]]+LayTable[[#This Row],[LayLiability]])</f>
        <v/>
      </c>
      <c r="R3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1" s="47" t="str">
        <f>IF(LayTable[[#This Row],[Utfall bookie]]="","",LayTable[[#This Row],[WBABack]]+LayTable[[#This Row],[WBALay]]-LayTable[[#This Row],[Total inns]])</f>
        <v/>
      </c>
      <c r="U3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1" s="48" t="str">
        <f>IFERROR(IF(LayTable[[#This Row],[Total inns]]="","",LayTable[[#This Row],[Rback]]/LayTable[[#This Row],[Total inns]]),"")</f>
        <v/>
      </c>
      <c r="X391" s="48" t="str">
        <f>IFERROR(IF(LayTable[[#This Row],[Total inns]]="","",LayTable[[#This Row],[Rlay]]/LayTable[[#This Row],[Total inns]]),"")</f>
        <v/>
      </c>
      <c r="Y391" s="48" t="str">
        <f>IFERROR(LayTable[[#This Row],[Faktisk res]]/LayTable[[#This Row],[Total inns]],"")</f>
        <v/>
      </c>
      <c r="Z391" s="47">
        <f>(LayTable[[#This Row],[BookieInnsats]]*LayTable[[#This Row],[BookieOdds]]-LayTable[[#This Row],[BookieInnsats]])*(1-LayTable[[#This Row],[C% Bookie]])</f>
        <v>0</v>
      </c>
      <c r="AA391" s="43">
        <f>LayTable[[#This Row],[LayInnsats]]*(1-LayTable[[#This Row],[C% Lay]])</f>
        <v>0</v>
      </c>
      <c r="AB391" s="43" t="str">
        <f>IFERROR(IF(LayTable[[#This Row],[Sport]]="",AB390,LayTable[[#This Row],[Faktisk res]]+AB390),"")</f>
        <v/>
      </c>
      <c r="AC391" s="43">
        <f>(LayTable[[#This Row],[BackWin-Commission]]+LayTable[[#This Row],[BookieInnsats]])</f>
        <v>0</v>
      </c>
      <c r="AD391" s="43" t="e">
        <f>(LayTable[[#This Row],[LayWin-Commission]])+LayTable[[#This Row],[LayLiability]]</f>
        <v>#VALUE!</v>
      </c>
      <c r="AE391" s="43"/>
      <c r="AF391" s="181"/>
    </row>
    <row r="392" spans="1:32">
      <c r="A392" s="84"/>
      <c r="B392" s="177"/>
      <c r="C392" s="40"/>
      <c r="D392" s="41"/>
      <c r="E392" s="178"/>
      <c r="F392" s="179"/>
      <c r="G392" s="183"/>
      <c r="H392" s="38"/>
      <c r="I392" s="42"/>
      <c r="J392" s="42"/>
      <c r="K392" s="43"/>
      <c r="L392" s="43"/>
      <c r="M392" s="44" t="str">
        <f>IF(LayTable[[#This Row],[Sport]]="","",LayTable[[#This Row],[LayInnsats]]*(LayTable[[#This Row],[LayOdds]]-1))</f>
        <v/>
      </c>
      <c r="N392" s="45" t="str">
        <f>IF(LayTable[[#This Row],[Sport]]="","",1/((1/LayTable[[#This Row],[BookieOdds]])+(1/((1/((1+((LayTable[[#This Row],[LayOdds]]-1)*(1+LayTable[[#This Row],[C% Lay]])))-1))+1)))-1)</f>
        <v/>
      </c>
      <c r="Q392" s="46" t="str">
        <f>IF(LayTable[[#This Row],[Sport]]="","",LayTable[[#This Row],[BookieInnsats]]+LayTable[[#This Row],[LayLiability]])</f>
        <v/>
      </c>
      <c r="R3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2" s="47" t="str">
        <f>IF(LayTable[[#This Row],[Utfall bookie]]="","",LayTable[[#This Row],[WBABack]]+LayTable[[#This Row],[WBALay]]-LayTable[[#This Row],[Total inns]])</f>
        <v/>
      </c>
      <c r="U3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2" s="48" t="str">
        <f>IFERROR(IF(LayTable[[#This Row],[Total inns]]="","",LayTable[[#This Row],[Rback]]/LayTable[[#This Row],[Total inns]]),"")</f>
        <v/>
      </c>
      <c r="X392" s="48" t="str">
        <f>IFERROR(IF(LayTable[[#This Row],[Total inns]]="","",LayTable[[#This Row],[Rlay]]/LayTable[[#This Row],[Total inns]]),"")</f>
        <v/>
      </c>
      <c r="Y392" s="48" t="str">
        <f>IFERROR(LayTable[[#This Row],[Faktisk res]]/LayTable[[#This Row],[Total inns]],"")</f>
        <v/>
      </c>
      <c r="Z392" s="47">
        <f>(LayTable[[#This Row],[BookieInnsats]]*LayTable[[#This Row],[BookieOdds]]-LayTable[[#This Row],[BookieInnsats]])*(1-LayTable[[#This Row],[C% Bookie]])</f>
        <v>0</v>
      </c>
      <c r="AA392" s="43">
        <f>LayTable[[#This Row],[LayInnsats]]*(1-LayTable[[#This Row],[C% Lay]])</f>
        <v>0</v>
      </c>
      <c r="AB392" s="43" t="str">
        <f>IFERROR(IF(LayTable[[#This Row],[Sport]]="",AB391,LayTable[[#This Row],[Faktisk res]]+AB391),"")</f>
        <v/>
      </c>
      <c r="AC392" s="43">
        <f>(LayTable[[#This Row],[BackWin-Commission]]+LayTable[[#This Row],[BookieInnsats]])</f>
        <v>0</v>
      </c>
      <c r="AD392" s="43" t="e">
        <f>(LayTable[[#This Row],[LayWin-Commission]])+LayTable[[#This Row],[LayLiability]]</f>
        <v>#VALUE!</v>
      </c>
      <c r="AE392" s="181"/>
      <c r="AF392" s="181"/>
    </row>
    <row r="393" spans="1:32">
      <c r="A393" s="84"/>
      <c r="B393" s="177"/>
      <c r="C393" s="40"/>
      <c r="D393" s="41"/>
      <c r="E393" s="178"/>
      <c r="F393" s="179"/>
      <c r="G393" s="183"/>
      <c r="H393" s="38"/>
      <c r="I393" s="42"/>
      <c r="J393" s="42"/>
      <c r="K393" s="43"/>
      <c r="L393" s="43"/>
      <c r="M393" s="44" t="str">
        <f>IF(LayTable[[#This Row],[Sport]]="","",LayTable[[#This Row],[LayInnsats]]*(LayTable[[#This Row],[LayOdds]]-1))</f>
        <v/>
      </c>
      <c r="N393" s="45" t="str">
        <f>IF(LayTable[[#This Row],[Sport]]="","",1/((1/LayTable[[#This Row],[BookieOdds]])+(1/((1/((1+((LayTable[[#This Row],[LayOdds]]-1)*(1+LayTable[[#This Row],[C% Lay]])))-1))+1)))-1)</f>
        <v/>
      </c>
      <c r="Q393" s="46" t="str">
        <f>IF(LayTable[[#This Row],[Sport]]="","",LayTable[[#This Row],[BookieInnsats]]+LayTable[[#This Row],[LayLiability]])</f>
        <v/>
      </c>
      <c r="R3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3" s="47" t="str">
        <f>IF(LayTable[[#This Row],[Utfall bookie]]="","",LayTable[[#This Row],[WBABack]]+LayTable[[#This Row],[WBALay]]-LayTable[[#This Row],[Total inns]])</f>
        <v/>
      </c>
      <c r="U3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3" s="48" t="str">
        <f>IFERROR(IF(LayTable[[#This Row],[Total inns]]="","",LayTable[[#This Row],[Rback]]/LayTable[[#This Row],[Total inns]]),"")</f>
        <v/>
      </c>
      <c r="X393" s="48" t="str">
        <f>IFERROR(IF(LayTable[[#This Row],[Total inns]]="","",LayTable[[#This Row],[Rlay]]/LayTable[[#This Row],[Total inns]]),"")</f>
        <v/>
      </c>
      <c r="Y393" s="48" t="str">
        <f>IFERROR(LayTable[[#This Row],[Faktisk res]]/LayTable[[#This Row],[Total inns]],"")</f>
        <v/>
      </c>
      <c r="Z393" s="47">
        <f>(LayTable[[#This Row],[BookieInnsats]]*LayTable[[#This Row],[BookieOdds]]-LayTable[[#This Row],[BookieInnsats]])*(1-LayTable[[#This Row],[C% Bookie]])</f>
        <v>0</v>
      </c>
      <c r="AA393" s="43">
        <f>LayTable[[#This Row],[LayInnsats]]*(1-LayTable[[#This Row],[C% Lay]])</f>
        <v>0</v>
      </c>
      <c r="AB393" s="43" t="str">
        <f>IFERROR(IF(LayTable[[#This Row],[Sport]]="",AB392,LayTable[[#This Row],[Faktisk res]]+AB392),"")</f>
        <v/>
      </c>
      <c r="AC393" s="43">
        <f>(LayTable[[#This Row],[BackWin-Commission]]+LayTable[[#This Row],[BookieInnsats]])</f>
        <v>0</v>
      </c>
      <c r="AD393" s="43" t="e">
        <f>(LayTable[[#This Row],[LayWin-Commission]])+LayTable[[#This Row],[LayLiability]]</f>
        <v>#VALUE!</v>
      </c>
      <c r="AE393" s="181"/>
      <c r="AF393" s="181"/>
    </row>
    <row r="394" spans="1:32">
      <c r="A394" s="84"/>
      <c r="B394" s="177"/>
      <c r="C394" s="40"/>
      <c r="D394" s="41"/>
      <c r="E394" s="178"/>
      <c r="F394" s="179"/>
      <c r="G394" s="183"/>
      <c r="H394" s="38"/>
      <c r="I394" s="42"/>
      <c r="J394" s="42"/>
      <c r="K394" s="43"/>
      <c r="L394" s="43"/>
      <c r="M394" s="44" t="str">
        <f>IF(LayTable[[#This Row],[Sport]]="","",LayTable[[#This Row],[LayInnsats]]*(LayTable[[#This Row],[LayOdds]]-1))</f>
        <v/>
      </c>
      <c r="N394" s="45" t="str">
        <f>IF(LayTable[[#This Row],[Sport]]="","",1/((1/LayTable[[#This Row],[BookieOdds]])+(1/((1/((1+((LayTable[[#This Row],[LayOdds]]-1)*(1+LayTable[[#This Row],[C% Lay]])))-1))+1)))-1)</f>
        <v/>
      </c>
      <c r="Q394" s="46" t="str">
        <f>IF(LayTable[[#This Row],[Sport]]="","",LayTable[[#This Row],[BookieInnsats]]+LayTable[[#This Row],[LayLiability]])</f>
        <v/>
      </c>
      <c r="R3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4" s="47" t="str">
        <f>IF(LayTable[[#This Row],[Utfall bookie]]="","",LayTable[[#This Row],[WBABack]]+LayTable[[#This Row],[WBALay]]-LayTable[[#This Row],[Total inns]])</f>
        <v/>
      </c>
      <c r="U3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4" s="48" t="str">
        <f>IFERROR(IF(LayTable[[#This Row],[Total inns]]="","",LayTable[[#This Row],[Rback]]/LayTable[[#This Row],[Total inns]]),"")</f>
        <v/>
      </c>
      <c r="X394" s="48" t="str">
        <f>IFERROR(IF(LayTable[[#This Row],[Total inns]]="","",LayTable[[#This Row],[Rlay]]/LayTable[[#This Row],[Total inns]]),"")</f>
        <v/>
      </c>
      <c r="Y394" s="48" t="str">
        <f>IFERROR(LayTable[[#This Row],[Faktisk res]]/LayTable[[#This Row],[Total inns]],"")</f>
        <v/>
      </c>
      <c r="Z394" s="47">
        <f>(LayTable[[#This Row],[BookieInnsats]]*LayTable[[#This Row],[BookieOdds]]-LayTable[[#This Row],[BookieInnsats]])*(1-LayTable[[#This Row],[C% Bookie]])</f>
        <v>0</v>
      </c>
      <c r="AA394" s="43">
        <f>LayTable[[#This Row],[LayInnsats]]*(1-LayTable[[#This Row],[C% Lay]])</f>
        <v>0</v>
      </c>
      <c r="AB394" s="43" t="str">
        <f>IFERROR(IF(LayTable[[#This Row],[Sport]]="",AB393,LayTable[[#This Row],[Faktisk res]]+AB393),"")</f>
        <v/>
      </c>
      <c r="AC394" s="43">
        <f>(LayTable[[#This Row],[BackWin-Commission]]+LayTable[[#This Row],[BookieInnsats]])</f>
        <v>0</v>
      </c>
      <c r="AD394" s="43" t="e">
        <f>(LayTable[[#This Row],[LayWin-Commission]])+LayTable[[#This Row],[LayLiability]]</f>
        <v>#VALUE!</v>
      </c>
      <c r="AE394" s="181"/>
      <c r="AF394" s="181"/>
    </row>
    <row r="395" spans="1:32">
      <c r="A395" s="84"/>
      <c r="B395" s="177"/>
      <c r="C395" s="40"/>
      <c r="D395" s="41"/>
      <c r="E395" s="178"/>
      <c r="F395" s="179"/>
      <c r="G395" s="183"/>
      <c r="H395" s="38"/>
      <c r="I395" s="42"/>
      <c r="J395" s="42"/>
      <c r="K395" s="303"/>
      <c r="L395" s="303"/>
      <c r="M395" s="44" t="str">
        <f>IF(LayTable[[#This Row],[Sport]]="","",LayTable[[#This Row],[LayInnsats]]*(LayTable[[#This Row],[LayOdds]]-1))</f>
        <v/>
      </c>
      <c r="N395" s="45" t="str">
        <f>IF(LayTable[[#This Row],[Sport]]="","",1/((1/LayTable[[#This Row],[BookieOdds]])+(1/((1/((1+((LayTable[[#This Row],[LayOdds]]-1)*(1+LayTable[[#This Row],[C% Lay]])))-1))+1)))-1)</f>
        <v/>
      </c>
      <c r="Q395" s="46" t="str">
        <f>IF(LayTable[[#This Row],[Sport]]="","",LayTable[[#This Row],[BookieInnsats]]+LayTable[[#This Row],[LayLiability]])</f>
        <v/>
      </c>
      <c r="R3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5" s="47" t="str">
        <f>IF(LayTable[[#This Row],[Utfall bookie]]="","",LayTable[[#This Row],[WBABack]]+LayTable[[#This Row],[WBALay]]-LayTable[[#This Row],[Total inns]])</f>
        <v/>
      </c>
      <c r="U3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5" s="48" t="str">
        <f>IFERROR(IF(LayTable[[#This Row],[Total inns]]="","",LayTable[[#This Row],[Rback]]/LayTable[[#This Row],[Total inns]]),"")</f>
        <v/>
      </c>
      <c r="X395" s="48" t="str">
        <f>IFERROR(IF(LayTable[[#This Row],[Total inns]]="","",LayTable[[#This Row],[Rlay]]/LayTable[[#This Row],[Total inns]]),"")</f>
        <v/>
      </c>
      <c r="Y395" s="48" t="str">
        <f>IFERROR(LayTable[[#This Row],[Faktisk res]]/LayTable[[#This Row],[Total inns]],"")</f>
        <v/>
      </c>
      <c r="Z395" s="47">
        <f>(LayTable[[#This Row],[BookieInnsats]]*LayTable[[#This Row],[BookieOdds]]-LayTable[[#This Row],[BookieInnsats]])*(1-LayTable[[#This Row],[C% Bookie]])</f>
        <v>0</v>
      </c>
      <c r="AA395" s="43">
        <f>LayTable[[#This Row],[LayInnsats]]*(1-LayTable[[#This Row],[C% Lay]])</f>
        <v>0</v>
      </c>
      <c r="AB395" s="43" t="str">
        <f>IFERROR(IF(LayTable[[#This Row],[Sport]]="",AB394,LayTable[[#This Row],[Faktisk res]]+AB394),"")</f>
        <v/>
      </c>
      <c r="AC395" s="43">
        <f>(LayTable[[#This Row],[BackWin-Commission]]+LayTable[[#This Row],[BookieInnsats]])</f>
        <v>0</v>
      </c>
      <c r="AD395" s="43" t="e">
        <f>(LayTable[[#This Row],[LayWin-Commission]])+LayTable[[#This Row],[LayLiability]]</f>
        <v>#VALUE!</v>
      </c>
      <c r="AE395" s="181"/>
      <c r="AF395" s="181"/>
    </row>
    <row r="396" spans="1:32">
      <c r="A396" s="84"/>
      <c r="B396" s="177"/>
      <c r="C396" s="40"/>
      <c r="D396" s="41"/>
      <c r="E396" s="178"/>
      <c r="F396" s="179"/>
      <c r="G396" s="183"/>
      <c r="H396" s="38"/>
      <c r="I396" s="42"/>
      <c r="J396" s="42"/>
      <c r="K396" s="43"/>
      <c r="L396" s="43"/>
      <c r="M396" s="44" t="str">
        <f>IF(LayTable[[#This Row],[Sport]]="","",LayTable[[#This Row],[LayInnsats]]*(LayTable[[#This Row],[LayOdds]]-1))</f>
        <v/>
      </c>
      <c r="N396" s="45" t="str">
        <f>IF(LayTable[[#This Row],[Sport]]="","",1/((1/LayTable[[#This Row],[BookieOdds]])+(1/((1/((1+((LayTable[[#This Row],[LayOdds]]-1)*(1+LayTable[[#This Row],[C% Lay]])))-1))+1)))-1)</f>
        <v/>
      </c>
      <c r="Q396" s="46" t="str">
        <f>IF(LayTable[[#This Row],[Sport]]="","",LayTable[[#This Row],[BookieInnsats]]+LayTable[[#This Row],[LayLiability]])</f>
        <v/>
      </c>
      <c r="R3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6" s="47" t="str">
        <f>IF(LayTable[[#This Row],[Utfall bookie]]="","",LayTable[[#This Row],[WBABack]]+LayTable[[#This Row],[WBALay]]-LayTable[[#This Row],[Total inns]])</f>
        <v/>
      </c>
      <c r="U3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6" s="48" t="str">
        <f>IFERROR(IF(LayTable[[#This Row],[Total inns]]="","",LayTable[[#This Row],[Rback]]/LayTable[[#This Row],[Total inns]]),"")</f>
        <v/>
      </c>
      <c r="X396" s="48" t="str">
        <f>IFERROR(IF(LayTable[[#This Row],[Total inns]]="","",LayTable[[#This Row],[Rlay]]/LayTable[[#This Row],[Total inns]]),"")</f>
        <v/>
      </c>
      <c r="Y396" s="48" t="str">
        <f>IFERROR(LayTable[[#This Row],[Faktisk res]]/LayTable[[#This Row],[Total inns]],"")</f>
        <v/>
      </c>
      <c r="Z396" s="47">
        <f>(LayTable[[#This Row],[BookieInnsats]]*LayTable[[#This Row],[BookieOdds]]-LayTable[[#This Row],[BookieInnsats]])*(1-LayTable[[#This Row],[C% Bookie]])</f>
        <v>0</v>
      </c>
      <c r="AA396" s="43">
        <f>LayTable[[#This Row],[LayInnsats]]*(1-LayTable[[#This Row],[C% Lay]])</f>
        <v>0</v>
      </c>
      <c r="AB396" s="43" t="str">
        <f>IFERROR(IF(LayTable[[#This Row],[Sport]]="",AB395,LayTable[[#This Row],[Faktisk res]]+AB395),"")</f>
        <v/>
      </c>
      <c r="AC396" s="43">
        <f>(LayTable[[#This Row],[BackWin-Commission]]+LayTable[[#This Row],[BookieInnsats]])</f>
        <v>0</v>
      </c>
      <c r="AD396" s="43" t="e">
        <f>(LayTable[[#This Row],[LayWin-Commission]])+LayTable[[#This Row],[LayLiability]]</f>
        <v>#VALUE!</v>
      </c>
      <c r="AE396" s="181"/>
      <c r="AF396" s="181"/>
    </row>
    <row r="397" spans="1:32">
      <c r="A397" s="84"/>
      <c r="B397" s="177"/>
      <c r="C397" s="40"/>
      <c r="D397" s="41"/>
      <c r="E397" s="178"/>
      <c r="F397" s="179"/>
      <c r="G397" s="183"/>
      <c r="H397" s="38"/>
      <c r="I397" s="42"/>
      <c r="J397" s="42"/>
      <c r="K397" s="43"/>
      <c r="L397" s="43"/>
      <c r="M397" s="44" t="str">
        <f>IF(LayTable[[#This Row],[Sport]]="","",LayTable[[#This Row],[LayInnsats]]*(LayTable[[#This Row],[LayOdds]]-1))</f>
        <v/>
      </c>
      <c r="N397" s="45" t="str">
        <f>IF(LayTable[[#This Row],[Sport]]="","",1/((1/LayTable[[#This Row],[BookieOdds]])+(1/((1/((1+((LayTable[[#This Row],[LayOdds]]-1)*(1+LayTable[[#This Row],[C% Lay]])))-1))+1)))-1)</f>
        <v/>
      </c>
      <c r="Q397" s="46" t="str">
        <f>IF(LayTable[[#This Row],[Sport]]="","",LayTable[[#This Row],[BookieInnsats]]+LayTable[[#This Row],[LayLiability]])</f>
        <v/>
      </c>
      <c r="R3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7" s="47" t="str">
        <f>IF(LayTable[[#This Row],[Utfall bookie]]="","",LayTable[[#This Row],[WBABack]]+LayTable[[#This Row],[WBALay]]-LayTable[[#This Row],[Total inns]])</f>
        <v/>
      </c>
      <c r="U3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7" s="48" t="str">
        <f>IFERROR(IF(LayTable[[#This Row],[Total inns]]="","",LayTable[[#This Row],[Rback]]/LayTable[[#This Row],[Total inns]]),"")</f>
        <v/>
      </c>
      <c r="X397" s="48" t="str">
        <f>IFERROR(IF(LayTable[[#This Row],[Total inns]]="","",LayTable[[#This Row],[Rlay]]/LayTable[[#This Row],[Total inns]]),"")</f>
        <v/>
      </c>
      <c r="Y397" s="48" t="str">
        <f>IFERROR(LayTable[[#This Row],[Faktisk res]]/LayTable[[#This Row],[Total inns]],"")</f>
        <v/>
      </c>
      <c r="Z397" s="47">
        <f>(LayTable[[#This Row],[BookieInnsats]]*LayTable[[#This Row],[BookieOdds]]-LayTable[[#This Row],[BookieInnsats]])*(1-LayTable[[#This Row],[C% Bookie]])</f>
        <v>0</v>
      </c>
      <c r="AA397" s="43">
        <f>LayTable[[#This Row],[LayInnsats]]*(1-LayTable[[#This Row],[C% Lay]])</f>
        <v>0</v>
      </c>
      <c r="AB397" s="43" t="str">
        <f>IFERROR(IF(LayTable[[#This Row],[Sport]]="",AB396,LayTable[[#This Row],[Faktisk res]]+AB396),"")</f>
        <v/>
      </c>
      <c r="AC397" s="43">
        <f>(LayTable[[#This Row],[BackWin-Commission]]+LayTable[[#This Row],[BookieInnsats]])</f>
        <v>0</v>
      </c>
      <c r="AD397" s="43" t="e">
        <f>(LayTable[[#This Row],[LayWin-Commission]])+LayTable[[#This Row],[LayLiability]]</f>
        <v>#VALUE!</v>
      </c>
      <c r="AE397" s="181"/>
      <c r="AF397" s="181"/>
    </row>
    <row r="398" spans="1:32">
      <c r="A398" s="183"/>
      <c r="B398" s="177"/>
      <c r="C398" s="40"/>
      <c r="D398" s="41"/>
      <c r="E398" s="178"/>
      <c r="F398" s="179"/>
      <c r="G398" s="183"/>
      <c r="H398" s="38"/>
      <c r="I398" s="42"/>
      <c r="J398" s="42"/>
      <c r="K398" s="43"/>
      <c r="L398" s="43"/>
      <c r="M398" s="44" t="str">
        <f>IF(LayTable[[#This Row],[Sport]]="","",LayTable[[#This Row],[LayInnsats]]*(LayTable[[#This Row],[LayOdds]]-1))</f>
        <v/>
      </c>
      <c r="N398" s="45" t="str">
        <f>IF(LayTable[[#This Row],[Sport]]="","",1/((1/LayTable[[#This Row],[BookieOdds]])+(1/((1/((1+((LayTable[[#This Row],[LayOdds]]-1)*(1+LayTable[[#This Row],[C% Lay]])))-1))+1)))-1)</f>
        <v/>
      </c>
      <c r="Q398" s="46" t="str">
        <f>IF(LayTable[[#This Row],[Sport]]="","",LayTable[[#This Row],[BookieInnsats]]+LayTable[[#This Row],[LayLiability]])</f>
        <v/>
      </c>
      <c r="R3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8" s="47" t="str">
        <f>IF(LayTable[[#This Row],[Utfall bookie]]="","",LayTable[[#This Row],[WBABack]]+LayTable[[#This Row],[WBALay]]-LayTable[[#This Row],[Total inns]])</f>
        <v/>
      </c>
      <c r="U3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8" s="48" t="str">
        <f>IFERROR(IF(LayTable[[#This Row],[Total inns]]="","",LayTable[[#This Row],[Rback]]/LayTable[[#This Row],[Total inns]]),"")</f>
        <v/>
      </c>
      <c r="X398" s="48" t="str">
        <f>IFERROR(IF(LayTable[[#This Row],[Total inns]]="","",LayTable[[#This Row],[Rlay]]/LayTable[[#This Row],[Total inns]]),"")</f>
        <v/>
      </c>
      <c r="Y398" s="48" t="str">
        <f>IFERROR(LayTable[[#This Row],[Faktisk res]]/LayTable[[#This Row],[Total inns]],"")</f>
        <v/>
      </c>
      <c r="Z398" s="47">
        <f>(LayTable[[#This Row],[BookieInnsats]]*LayTable[[#This Row],[BookieOdds]]-LayTable[[#This Row],[BookieInnsats]])*(1-LayTable[[#This Row],[C% Bookie]])</f>
        <v>0</v>
      </c>
      <c r="AA398" s="43">
        <f>LayTable[[#This Row],[LayInnsats]]*(1-LayTable[[#This Row],[C% Lay]])</f>
        <v>0</v>
      </c>
      <c r="AB398" s="43" t="str">
        <f>IFERROR(IF(LayTable[[#This Row],[Sport]]="",AB397,LayTable[[#This Row],[Faktisk res]]+AB397),"")</f>
        <v/>
      </c>
      <c r="AC398" s="43">
        <f>(LayTable[[#This Row],[BackWin-Commission]]+LayTable[[#This Row],[BookieInnsats]])</f>
        <v>0</v>
      </c>
      <c r="AD398" s="43" t="e">
        <f>(LayTable[[#This Row],[LayWin-Commission]])+LayTable[[#This Row],[LayLiability]]</f>
        <v>#VALUE!</v>
      </c>
      <c r="AE398" s="181"/>
      <c r="AF398" s="181"/>
    </row>
    <row r="399" spans="1:32">
      <c r="A399" s="183"/>
      <c r="B399" s="177"/>
      <c r="C399" s="40"/>
      <c r="D399" s="41"/>
      <c r="E399" s="178"/>
      <c r="F399" s="179"/>
      <c r="G399" s="183"/>
      <c r="H399" s="38"/>
      <c r="I399" s="42"/>
      <c r="J399" s="42"/>
      <c r="K399" s="43"/>
      <c r="L399" s="43"/>
      <c r="M399" s="44" t="str">
        <f>IF(LayTable[[#This Row],[Sport]]="","",LayTable[[#This Row],[LayInnsats]]*(LayTable[[#This Row],[LayOdds]]-1))</f>
        <v/>
      </c>
      <c r="N399" s="45" t="str">
        <f>IF(LayTable[[#This Row],[Sport]]="","",1/((1/LayTable[[#This Row],[BookieOdds]])+(1/((1/((1+((LayTable[[#This Row],[LayOdds]]-1)*(1+LayTable[[#This Row],[C% Lay]])))-1))+1)))-1)</f>
        <v/>
      </c>
      <c r="Q399" s="46" t="str">
        <f>IF(LayTable[[#This Row],[Sport]]="","",LayTable[[#This Row],[BookieInnsats]]+LayTable[[#This Row],[LayLiability]])</f>
        <v/>
      </c>
      <c r="R3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3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399" s="47" t="str">
        <f>IF(LayTable[[#This Row],[Utfall bookie]]="","",LayTable[[#This Row],[WBABack]]+LayTable[[#This Row],[WBALay]]-LayTable[[#This Row],[Total inns]])</f>
        <v/>
      </c>
      <c r="U3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3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399" s="48" t="str">
        <f>IFERROR(IF(LayTable[[#This Row],[Total inns]]="","",LayTable[[#This Row],[Rback]]/LayTable[[#This Row],[Total inns]]),"")</f>
        <v/>
      </c>
      <c r="X399" s="48" t="str">
        <f>IFERROR(IF(LayTable[[#This Row],[Total inns]]="","",LayTable[[#This Row],[Rlay]]/LayTable[[#This Row],[Total inns]]),"")</f>
        <v/>
      </c>
      <c r="Y399" s="48" t="str">
        <f>IFERROR(LayTable[[#This Row],[Faktisk res]]/LayTable[[#This Row],[Total inns]],"")</f>
        <v/>
      </c>
      <c r="Z399" s="47">
        <f>(LayTable[[#This Row],[BookieInnsats]]*LayTable[[#This Row],[BookieOdds]]-LayTable[[#This Row],[BookieInnsats]])*(1-LayTable[[#This Row],[C% Bookie]])</f>
        <v>0</v>
      </c>
      <c r="AA399" s="43">
        <f>LayTable[[#This Row],[LayInnsats]]*(1-LayTable[[#This Row],[C% Lay]])</f>
        <v>0</v>
      </c>
      <c r="AB399" s="43" t="str">
        <f>IFERROR(IF(LayTable[[#This Row],[Sport]]="",AB398,LayTable[[#This Row],[Faktisk res]]+AB398),"")</f>
        <v/>
      </c>
      <c r="AC399" s="43">
        <f>(LayTable[[#This Row],[BackWin-Commission]]+LayTable[[#This Row],[BookieInnsats]])</f>
        <v>0</v>
      </c>
      <c r="AD399" s="43" t="e">
        <f>(LayTable[[#This Row],[LayWin-Commission]])+LayTable[[#This Row],[LayLiability]]</f>
        <v>#VALUE!</v>
      </c>
      <c r="AE399" s="181"/>
      <c r="AF399" s="181"/>
    </row>
    <row r="400" spans="1:32">
      <c r="A400" s="84"/>
      <c r="B400" s="177"/>
      <c r="C400" s="40"/>
      <c r="D400" s="41"/>
      <c r="E400" s="178"/>
      <c r="F400" s="179"/>
      <c r="G400" s="183"/>
      <c r="H400" s="38"/>
      <c r="I400" s="42"/>
      <c r="J400" s="42"/>
      <c r="K400" s="43"/>
      <c r="L400" s="43"/>
      <c r="M400" s="44" t="str">
        <f>IF(LayTable[[#This Row],[Sport]]="","",LayTable[[#This Row],[LayInnsats]]*(LayTable[[#This Row],[LayOdds]]-1))</f>
        <v/>
      </c>
      <c r="N400" s="45" t="str">
        <f>IF(LayTable[[#This Row],[Sport]]="","",1/((1/LayTable[[#This Row],[BookieOdds]])+(1/((1/((1+((LayTable[[#This Row],[LayOdds]]-1)*(1+LayTable[[#This Row],[C% Lay]])))-1))+1)))-1)</f>
        <v/>
      </c>
      <c r="Q400" s="46" t="str">
        <f>IF(LayTable[[#This Row],[Sport]]="","",LayTable[[#This Row],[BookieInnsats]]+LayTable[[#This Row],[LayLiability]])</f>
        <v/>
      </c>
      <c r="R4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0" s="47" t="str">
        <f>IF(LayTable[[#This Row],[Utfall bookie]]="","",LayTable[[#This Row],[WBABack]]+LayTable[[#This Row],[WBALay]]-LayTable[[#This Row],[Total inns]])</f>
        <v/>
      </c>
      <c r="U4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0" s="48" t="str">
        <f>IFERROR(IF(LayTable[[#This Row],[Total inns]]="","",LayTable[[#This Row],[Rback]]/LayTable[[#This Row],[Total inns]]),"")</f>
        <v/>
      </c>
      <c r="X400" s="48" t="str">
        <f>IFERROR(IF(LayTable[[#This Row],[Total inns]]="","",LayTable[[#This Row],[Rlay]]/LayTable[[#This Row],[Total inns]]),"")</f>
        <v/>
      </c>
      <c r="Y400" s="48" t="str">
        <f>IFERROR(LayTable[[#This Row],[Faktisk res]]/LayTable[[#This Row],[Total inns]],"")</f>
        <v/>
      </c>
      <c r="Z400" s="47">
        <f>(LayTable[[#This Row],[BookieInnsats]]*LayTable[[#This Row],[BookieOdds]]-LayTable[[#This Row],[BookieInnsats]])*(1-LayTable[[#This Row],[C% Bookie]])</f>
        <v>0</v>
      </c>
      <c r="AA400" s="43">
        <f>LayTable[[#This Row],[LayInnsats]]*(1-LayTable[[#This Row],[C% Lay]])</f>
        <v>0</v>
      </c>
      <c r="AB400" s="43" t="str">
        <f>IFERROR(IF(LayTable[[#This Row],[Sport]]="",AB399,LayTable[[#This Row],[Faktisk res]]+AB399),"")</f>
        <v/>
      </c>
      <c r="AC400" s="43">
        <f>(LayTable[[#This Row],[BackWin-Commission]]+LayTable[[#This Row],[BookieInnsats]])</f>
        <v>0</v>
      </c>
      <c r="AD400" s="43" t="e">
        <f>(LayTable[[#This Row],[LayWin-Commission]])+LayTable[[#This Row],[LayLiability]]</f>
        <v>#VALUE!</v>
      </c>
      <c r="AE400" s="181"/>
      <c r="AF400" s="181"/>
    </row>
    <row r="401" spans="1:32">
      <c r="A401" s="84"/>
      <c r="B401" s="177"/>
      <c r="C401" s="40"/>
      <c r="D401" s="41"/>
      <c r="E401" s="178"/>
      <c r="F401" s="179"/>
      <c r="G401" s="183"/>
      <c r="H401" s="38"/>
      <c r="I401" s="42"/>
      <c r="J401" s="42"/>
      <c r="K401" s="43"/>
      <c r="L401" s="43"/>
      <c r="M401" s="44" t="str">
        <f>IF(LayTable[[#This Row],[Sport]]="","",LayTable[[#This Row],[LayInnsats]]*(LayTable[[#This Row],[LayOdds]]-1))</f>
        <v/>
      </c>
      <c r="N401" s="45" t="str">
        <f>IF(LayTable[[#This Row],[Sport]]="","",1/((1/LayTable[[#This Row],[BookieOdds]])+(1/((1/((1+((LayTable[[#This Row],[LayOdds]]-1)*(1+LayTable[[#This Row],[C% Lay]])))-1))+1)))-1)</f>
        <v/>
      </c>
      <c r="Q401" s="46" t="str">
        <f>IF(LayTable[[#This Row],[Sport]]="","",LayTable[[#This Row],[BookieInnsats]]+LayTable[[#This Row],[LayLiability]])</f>
        <v/>
      </c>
      <c r="R4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1" s="47" t="str">
        <f>IF(LayTable[[#This Row],[Utfall bookie]]="","",LayTable[[#This Row],[WBABack]]+LayTable[[#This Row],[WBALay]]-LayTable[[#This Row],[Total inns]])</f>
        <v/>
      </c>
      <c r="U4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1" s="48" t="str">
        <f>IFERROR(IF(LayTable[[#This Row],[Total inns]]="","",LayTable[[#This Row],[Rback]]/LayTable[[#This Row],[Total inns]]),"")</f>
        <v/>
      </c>
      <c r="X401" s="48" t="str">
        <f>IFERROR(IF(LayTable[[#This Row],[Total inns]]="","",LayTable[[#This Row],[Rlay]]/LayTable[[#This Row],[Total inns]]),"")</f>
        <v/>
      </c>
      <c r="Y401" s="48" t="str">
        <f>IFERROR(LayTable[[#This Row],[Faktisk res]]/LayTable[[#This Row],[Total inns]],"")</f>
        <v/>
      </c>
      <c r="Z401" s="47">
        <f>(LayTable[[#This Row],[BookieInnsats]]*LayTable[[#This Row],[BookieOdds]]-LayTable[[#This Row],[BookieInnsats]])*(1-LayTable[[#This Row],[C% Bookie]])</f>
        <v>0</v>
      </c>
      <c r="AA401" s="43">
        <f>LayTable[[#This Row],[LayInnsats]]*(1-LayTable[[#This Row],[C% Lay]])</f>
        <v>0</v>
      </c>
      <c r="AB401" s="43" t="str">
        <f>IFERROR(IF(LayTable[[#This Row],[Sport]]="",AB400,LayTable[[#This Row],[Faktisk res]]+AB400),"")</f>
        <v/>
      </c>
      <c r="AC401" s="43">
        <f>(LayTable[[#This Row],[BackWin-Commission]]+LayTable[[#This Row],[BookieInnsats]])</f>
        <v>0</v>
      </c>
      <c r="AD401" s="43" t="e">
        <f>(LayTable[[#This Row],[LayWin-Commission]])+LayTable[[#This Row],[LayLiability]]</f>
        <v>#VALUE!</v>
      </c>
      <c r="AE401" s="181"/>
      <c r="AF401" s="181"/>
    </row>
    <row r="402" spans="1:32">
      <c r="A402" s="84"/>
      <c r="B402" s="177"/>
      <c r="C402" s="40"/>
      <c r="D402" s="41"/>
      <c r="E402" s="178"/>
      <c r="F402" s="179"/>
      <c r="G402" s="183"/>
      <c r="H402" s="38"/>
      <c r="I402" s="42"/>
      <c r="J402" s="42"/>
      <c r="K402" s="43"/>
      <c r="L402" s="42"/>
      <c r="M402" s="44" t="str">
        <f>IF(LayTable[[#This Row],[Sport]]="","",LayTable[[#This Row],[LayInnsats]]*(LayTable[[#This Row],[LayOdds]]-1))</f>
        <v/>
      </c>
      <c r="N402" s="45" t="str">
        <f>IF(LayTable[[#This Row],[Sport]]="","",1/((1/LayTable[[#This Row],[BookieOdds]])+(1/((1/((1+((LayTable[[#This Row],[LayOdds]]-1)*(1+LayTable[[#This Row],[C% Lay]])))-1))+1)))-1)</f>
        <v/>
      </c>
      <c r="Q402" s="46" t="str">
        <f>IF(LayTable[[#This Row],[Sport]]="","",LayTable[[#This Row],[BookieInnsats]]+LayTable[[#This Row],[LayLiability]])</f>
        <v/>
      </c>
      <c r="R4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2" s="47" t="str">
        <f>IF(LayTable[[#This Row],[Utfall bookie]]="","",LayTable[[#This Row],[WBABack]]+LayTable[[#This Row],[WBALay]]-LayTable[[#This Row],[Total inns]])</f>
        <v/>
      </c>
      <c r="U4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2" s="48" t="str">
        <f>IFERROR(IF(LayTable[[#This Row],[Total inns]]="","",LayTable[[#This Row],[Rback]]/LayTable[[#This Row],[Total inns]]),"")</f>
        <v/>
      </c>
      <c r="X402" s="48" t="str">
        <f>IFERROR(IF(LayTable[[#This Row],[Total inns]]="","",LayTable[[#This Row],[Rlay]]/LayTable[[#This Row],[Total inns]]),"")</f>
        <v/>
      </c>
      <c r="Y402" s="48" t="str">
        <f>IFERROR(LayTable[[#This Row],[Faktisk res]]/LayTable[[#This Row],[Total inns]],"")</f>
        <v/>
      </c>
      <c r="Z402" s="47">
        <f>(LayTable[[#This Row],[BookieInnsats]]*LayTable[[#This Row],[BookieOdds]]-LayTable[[#This Row],[BookieInnsats]])*(1-LayTable[[#This Row],[C% Bookie]])</f>
        <v>0</v>
      </c>
      <c r="AA402" s="43">
        <f>LayTable[[#This Row],[LayInnsats]]*(1-LayTable[[#This Row],[C% Lay]])</f>
        <v>0</v>
      </c>
      <c r="AB402" s="43" t="str">
        <f>IFERROR(IF(LayTable[[#This Row],[Sport]]="",AB401,LayTable[[#This Row],[Faktisk res]]+AB401),"")</f>
        <v/>
      </c>
      <c r="AC402" s="43">
        <f>(LayTable[[#This Row],[BackWin-Commission]]+LayTable[[#This Row],[BookieInnsats]])</f>
        <v>0</v>
      </c>
      <c r="AD402" s="43" t="e">
        <f>(LayTable[[#This Row],[LayWin-Commission]])+LayTable[[#This Row],[LayLiability]]</f>
        <v>#VALUE!</v>
      </c>
      <c r="AE402" s="181"/>
      <c r="AF402" s="181"/>
    </row>
    <row r="403" spans="1:32">
      <c r="A403" s="183"/>
      <c r="B403" s="177"/>
      <c r="C403" s="40"/>
      <c r="D403" s="41"/>
      <c r="E403" s="178"/>
      <c r="F403" s="179"/>
      <c r="G403" s="183"/>
      <c r="H403" s="38"/>
      <c r="I403" s="42"/>
      <c r="J403" s="42"/>
      <c r="K403" s="43"/>
      <c r="L403" s="43"/>
      <c r="M403" s="44" t="str">
        <f>IF(LayTable[[#This Row],[Sport]]="","",LayTable[[#This Row],[LayInnsats]]*(LayTable[[#This Row],[LayOdds]]-1))</f>
        <v/>
      </c>
      <c r="N403" s="45" t="str">
        <f>IF(LayTable[[#This Row],[Sport]]="","",1/((1/LayTable[[#This Row],[BookieOdds]])+(1/((1/((1+((LayTable[[#This Row],[LayOdds]]-1)*(1+LayTable[[#This Row],[C% Lay]])))-1))+1)))-1)</f>
        <v/>
      </c>
      <c r="Q403" s="46" t="str">
        <f>IF(LayTable[[#This Row],[Sport]]="","",LayTable[[#This Row],[BookieInnsats]]+LayTable[[#This Row],[LayLiability]])</f>
        <v/>
      </c>
      <c r="R4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3" s="47" t="str">
        <f>IF(LayTable[[#This Row],[Utfall bookie]]="","",LayTable[[#This Row],[WBABack]]+LayTable[[#This Row],[WBALay]]-LayTable[[#This Row],[Total inns]])</f>
        <v/>
      </c>
      <c r="U4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3" s="48" t="str">
        <f>IFERROR(IF(LayTable[[#This Row],[Total inns]]="","",LayTable[[#This Row],[Rback]]/LayTable[[#This Row],[Total inns]]),"")</f>
        <v/>
      </c>
      <c r="X403" s="48" t="str">
        <f>IFERROR(IF(LayTable[[#This Row],[Total inns]]="","",LayTable[[#This Row],[Rlay]]/LayTable[[#This Row],[Total inns]]),"")</f>
        <v/>
      </c>
      <c r="Y403" s="48" t="str">
        <f>IFERROR(LayTable[[#This Row],[Faktisk res]]/LayTable[[#This Row],[Total inns]],"")</f>
        <v/>
      </c>
      <c r="Z403" s="47">
        <f>(LayTable[[#This Row],[BookieInnsats]]*LayTable[[#This Row],[BookieOdds]]-LayTable[[#This Row],[BookieInnsats]])*(1-LayTable[[#This Row],[C% Bookie]])</f>
        <v>0</v>
      </c>
      <c r="AA403" s="43">
        <f>LayTable[[#This Row],[LayInnsats]]*(1-LayTable[[#This Row],[C% Lay]])</f>
        <v>0</v>
      </c>
      <c r="AB403" s="43" t="str">
        <f>IFERROR(IF(LayTable[[#This Row],[Sport]]="",AB402,LayTable[[#This Row],[Faktisk res]]+AB402),"")</f>
        <v/>
      </c>
      <c r="AC403" s="43">
        <f>(LayTable[[#This Row],[BackWin-Commission]]+LayTable[[#This Row],[BookieInnsats]])</f>
        <v>0</v>
      </c>
      <c r="AD403" s="43" t="e">
        <f>(LayTable[[#This Row],[LayWin-Commission]])+LayTable[[#This Row],[LayLiability]]</f>
        <v>#VALUE!</v>
      </c>
      <c r="AE403" s="181"/>
      <c r="AF403" s="181"/>
    </row>
    <row r="404" spans="1:32">
      <c r="A404" s="183"/>
      <c r="B404" s="177"/>
      <c r="C404" s="40"/>
      <c r="D404" s="41"/>
      <c r="E404" s="178"/>
      <c r="F404" s="179"/>
      <c r="G404" s="183"/>
      <c r="H404" s="38"/>
      <c r="I404" s="42"/>
      <c r="J404" s="42"/>
      <c r="K404" s="43"/>
      <c r="L404" s="43"/>
      <c r="M404" s="44" t="str">
        <f>IF(LayTable[[#This Row],[Sport]]="","",LayTable[[#This Row],[LayInnsats]]*(LayTable[[#This Row],[LayOdds]]-1))</f>
        <v/>
      </c>
      <c r="N404" s="45" t="str">
        <f>IF(LayTable[[#This Row],[Sport]]="","",1/((1/LayTable[[#This Row],[BookieOdds]])+(1/((1/((1+((LayTable[[#This Row],[LayOdds]]-1)*(1+LayTable[[#This Row],[C% Lay]])))-1))+1)))-1)</f>
        <v/>
      </c>
      <c r="Q404" s="46" t="str">
        <f>IF(LayTable[[#This Row],[Sport]]="","",LayTable[[#This Row],[BookieInnsats]]+LayTable[[#This Row],[LayLiability]])</f>
        <v/>
      </c>
      <c r="R4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4" s="47" t="str">
        <f>IF(LayTable[[#This Row],[Utfall bookie]]="","",LayTable[[#This Row],[WBABack]]+LayTable[[#This Row],[WBALay]]-LayTable[[#This Row],[Total inns]])</f>
        <v/>
      </c>
      <c r="U4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4" s="48" t="str">
        <f>IFERROR(IF(LayTable[[#This Row],[Total inns]]="","",LayTable[[#This Row],[Rback]]/LayTable[[#This Row],[Total inns]]),"")</f>
        <v/>
      </c>
      <c r="X404" s="48" t="str">
        <f>IFERROR(IF(LayTable[[#This Row],[Total inns]]="","",LayTable[[#This Row],[Rlay]]/LayTable[[#This Row],[Total inns]]),"")</f>
        <v/>
      </c>
      <c r="Y404" s="48" t="str">
        <f>IFERROR(LayTable[[#This Row],[Faktisk res]]/LayTable[[#This Row],[Total inns]],"")</f>
        <v/>
      </c>
      <c r="Z404" s="47">
        <f>(LayTable[[#This Row],[BookieInnsats]]*LayTable[[#This Row],[BookieOdds]]-LayTable[[#This Row],[BookieInnsats]])*(1-LayTable[[#This Row],[C% Bookie]])</f>
        <v>0</v>
      </c>
      <c r="AA404" s="43">
        <f>LayTable[[#This Row],[LayInnsats]]*(1-LayTable[[#This Row],[C% Lay]])</f>
        <v>0</v>
      </c>
      <c r="AB404" s="43" t="str">
        <f>IFERROR(IF(LayTable[[#This Row],[Sport]]="",AB403,LayTable[[#This Row],[Faktisk res]]+AB403),"")</f>
        <v/>
      </c>
      <c r="AC404" s="43">
        <f>(LayTable[[#This Row],[BackWin-Commission]]+LayTable[[#This Row],[BookieInnsats]])</f>
        <v>0</v>
      </c>
      <c r="AD404" s="43" t="e">
        <f>(LayTable[[#This Row],[LayWin-Commission]])+LayTable[[#This Row],[LayLiability]]</f>
        <v>#VALUE!</v>
      </c>
      <c r="AE404" s="181"/>
      <c r="AF404" s="181"/>
    </row>
    <row r="405" spans="1:32">
      <c r="A405" s="84"/>
      <c r="B405" s="177"/>
      <c r="C405" s="40"/>
      <c r="D405" s="41"/>
      <c r="E405" s="178"/>
      <c r="F405" s="179"/>
      <c r="G405" s="183"/>
      <c r="H405" s="38"/>
      <c r="I405" s="42"/>
      <c r="J405" s="42"/>
      <c r="K405" s="43"/>
      <c r="L405" s="43"/>
      <c r="M405" s="44" t="str">
        <f>IF(LayTable[[#This Row],[Sport]]="","",LayTable[[#This Row],[LayInnsats]]*(LayTable[[#This Row],[LayOdds]]-1))</f>
        <v/>
      </c>
      <c r="N405" s="45" t="str">
        <f>IF(LayTable[[#This Row],[Sport]]="","",1/((1/LayTable[[#This Row],[BookieOdds]])+(1/((1/((1+((LayTable[[#This Row],[LayOdds]]-1)*(1+LayTable[[#This Row],[C% Lay]])))-1))+1)))-1)</f>
        <v/>
      </c>
      <c r="Q405" s="46" t="str">
        <f>IF(LayTable[[#This Row],[Sport]]="","",LayTable[[#This Row],[BookieInnsats]]+LayTable[[#This Row],[LayLiability]])</f>
        <v/>
      </c>
      <c r="R4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5" s="47" t="str">
        <f>IF(LayTable[[#This Row],[Utfall bookie]]="","",LayTable[[#This Row],[WBABack]]+LayTable[[#This Row],[WBALay]]-LayTable[[#This Row],[Total inns]])</f>
        <v/>
      </c>
      <c r="U4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5" s="48" t="str">
        <f>IFERROR(IF(LayTable[[#This Row],[Total inns]]="","",LayTable[[#This Row],[Rback]]/LayTable[[#This Row],[Total inns]]),"")</f>
        <v/>
      </c>
      <c r="X405" s="48" t="str">
        <f>IFERROR(IF(LayTable[[#This Row],[Total inns]]="","",LayTable[[#This Row],[Rlay]]/LayTable[[#This Row],[Total inns]]),"")</f>
        <v/>
      </c>
      <c r="Y405" s="48" t="str">
        <f>IFERROR(LayTable[[#This Row],[Faktisk res]]/LayTable[[#This Row],[Total inns]],"")</f>
        <v/>
      </c>
      <c r="Z405" s="47">
        <f>(LayTable[[#This Row],[BookieInnsats]]*LayTable[[#This Row],[BookieOdds]]-LayTable[[#This Row],[BookieInnsats]])*(1-LayTable[[#This Row],[C% Bookie]])</f>
        <v>0</v>
      </c>
      <c r="AA405" s="43">
        <f>LayTable[[#This Row],[LayInnsats]]*(1-LayTable[[#This Row],[C% Lay]])</f>
        <v>0</v>
      </c>
      <c r="AB405" s="43" t="str">
        <f>IFERROR(IF(LayTable[[#This Row],[Sport]]="",AB404,LayTable[[#This Row],[Faktisk res]]+AB404),"")</f>
        <v/>
      </c>
      <c r="AC405" s="43">
        <f>(LayTable[[#This Row],[BackWin-Commission]]+LayTable[[#This Row],[BookieInnsats]])</f>
        <v>0</v>
      </c>
      <c r="AD405" s="43" t="e">
        <f>(LayTable[[#This Row],[LayWin-Commission]])+LayTable[[#This Row],[LayLiability]]</f>
        <v>#VALUE!</v>
      </c>
      <c r="AE405" s="181"/>
      <c r="AF405" s="181"/>
    </row>
    <row r="406" spans="1:32">
      <c r="A406" s="84"/>
      <c r="B406" s="177"/>
      <c r="C406" s="40"/>
      <c r="D406" s="41"/>
      <c r="E406" s="178"/>
      <c r="F406" s="179"/>
      <c r="G406" s="183"/>
      <c r="H406" s="38"/>
      <c r="I406" s="42"/>
      <c r="J406" s="42"/>
      <c r="K406" s="43"/>
      <c r="L406" s="43"/>
      <c r="M406" s="44" t="str">
        <f>IF(LayTable[[#This Row],[Sport]]="","",LayTable[[#This Row],[LayInnsats]]*(LayTable[[#This Row],[LayOdds]]-1))</f>
        <v/>
      </c>
      <c r="N406" s="45" t="str">
        <f>IF(LayTable[[#This Row],[Sport]]="","",1/((1/LayTable[[#This Row],[BookieOdds]])+(1/((1/((1+((LayTable[[#This Row],[LayOdds]]-1)*(1+LayTable[[#This Row],[C% Lay]])))-1))+1)))-1)</f>
        <v/>
      </c>
      <c r="Q406" s="46" t="str">
        <f>IF(LayTable[[#This Row],[Sport]]="","",LayTable[[#This Row],[BookieInnsats]]+LayTable[[#This Row],[LayLiability]])</f>
        <v/>
      </c>
      <c r="R4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6" s="47" t="str">
        <f>IF(LayTable[[#This Row],[Utfall bookie]]="","",LayTable[[#This Row],[WBABack]]+LayTable[[#This Row],[WBALay]]-LayTable[[#This Row],[Total inns]])</f>
        <v/>
      </c>
      <c r="U4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6" s="48" t="str">
        <f>IFERROR(IF(LayTable[[#This Row],[Total inns]]="","",LayTable[[#This Row],[Rback]]/LayTable[[#This Row],[Total inns]]),"")</f>
        <v/>
      </c>
      <c r="X406" s="48" t="str">
        <f>IFERROR(IF(LayTable[[#This Row],[Total inns]]="","",LayTable[[#This Row],[Rlay]]/LayTable[[#This Row],[Total inns]]),"")</f>
        <v/>
      </c>
      <c r="Y406" s="48" t="str">
        <f>IFERROR(LayTable[[#This Row],[Faktisk res]]/LayTable[[#This Row],[Total inns]],"")</f>
        <v/>
      </c>
      <c r="Z406" s="47">
        <f>(LayTable[[#This Row],[BookieInnsats]]*LayTable[[#This Row],[BookieOdds]]-LayTable[[#This Row],[BookieInnsats]])*(1-LayTable[[#This Row],[C% Bookie]])</f>
        <v>0</v>
      </c>
      <c r="AA406" s="43">
        <f>LayTable[[#This Row],[LayInnsats]]*(1-LayTable[[#This Row],[C% Lay]])</f>
        <v>0</v>
      </c>
      <c r="AB406" s="43" t="str">
        <f>IFERROR(IF(LayTable[[#This Row],[Sport]]="",AB405,LayTable[[#This Row],[Faktisk res]]+AB405),"")</f>
        <v/>
      </c>
      <c r="AC406" s="43">
        <f>(LayTable[[#This Row],[BackWin-Commission]]+LayTable[[#This Row],[BookieInnsats]])</f>
        <v>0</v>
      </c>
      <c r="AD406" s="43" t="e">
        <f>(LayTable[[#This Row],[LayWin-Commission]])+LayTable[[#This Row],[LayLiability]]</f>
        <v>#VALUE!</v>
      </c>
      <c r="AE406" s="181"/>
      <c r="AF406" s="181"/>
    </row>
    <row r="407" spans="1:32">
      <c r="A407" s="84"/>
      <c r="B407" s="177"/>
      <c r="C407" s="40"/>
      <c r="D407" s="41"/>
      <c r="E407" s="178"/>
      <c r="F407" s="179"/>
      <c r="G407" s="183"/>
      <c r="H407" s="38"/>
      <c r="I407" s="42"/>
      <c r="J407" s="42"/>
      <c r="K407" s="43"/>
      <c r="L407" s="43"/>
      <c r="M407" s="44" t="str">
        <f>IF(LayTable[[#This Row],[Sport]]="","",LayTable[[#This Row],[LayInnsats]]*(LayTable[[#This Row],[LayOdds]]-1))</f>
        <v/>
      </c>
      <c r="N407" s="45" t="str">
        <f>IF(LayTable[[#This Row],[Sport]]="","",1/((1/LayTable[[#This Row],[BookieOdds]])+(1/((1/((1+((LayTable[[#This Row],[LayOdds]]-1)*(1+LayTable[[#This Row],[C% Lay]])))-1))+1)))-1)</f>
        <v/>
      </c>
      <c r="Q407" s="46" t="str">
        <f>IF(LayTable[[#This Row],[Sport]]="","",LayTable[[#This Row],[BookieInnsats]]+LayTable[[#This Row],[LayLiability]])</f>
        <v/>
      </c>
      <c r="R4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7" s="47" t="str">
        <f>IF(LayTable[[#This Row],[Utfall bookie]]="","",LayTable[[#This Row],[WBABack]]+LayTable[[#This Row],[WBALay]]-LayTable[[#This Row],[Total inns]])</f>
        <v/>
      </c>
      <c r="U4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7" s="48" t="str">
        <f>IFERROR(IF(LayTable[[#This Row],[Total inns]]="","",LayTable[[#This Row],[Rback]]/LayTable[[#This Row],[Total inns]]),"")</f>
        <v/>
      </c>
      <c r="X407" s="48" t="str">
        <f>IFERROR(IF(LayTable[[#This Row],[Total inns]]="","",LayTable[[#This Row],[Rlay]]/LayTable[[#This Row],[Total inns]]),"")</f>
        <v/>
      </c>
      <c r="Y407" s="48" t="str">
        <f>IFERROR(LayTable[[#This Row],[Faktisk res]]/LayTable[[#This Row],[Total inns]],"")</f>
        <v/>
      </c>
      <c r="Z407" s="47">
        <f>(LayTable[[#This Row],[BookieInnsats]]*LayTable[[#This Row],[BookieOdds]]-LayTable[[#This Row],[BookieInnsats]])*(1-LayTable[[#This Row],[C% Bookie]])</f>
        <v>0</v>
      </c>
      <c r="AA407" s="43">
        <f>LayTable[[#This Row],[LayInnsats]]*(1-LayTable[[#This Row],[C% Lay]])</f>
        <v>0</v>
      </c>
      <c r="AB407" s="43" t="str">
        <f>IFERROR(IF(LayTable[[#This Row],[Sport]]="",AB406,LayTable[[#This Row],[Faktisk res]]+AB406),"")</f>
        <v/>
      </c>
      <c r="AC407" s="43">
        <f>(LayTable[[#This Row],[BackWin-Commission]]+LayTable[[#This Row],[BookieInnsats]])</f>
        <v>0</v>
      </c>
      <c r="AD407" s="43" t="e">
        <f>(LayTable[[#This Row],[LayWin-Commission]])+LayTable[[#This Row],[LayLiability]]</f>
        <v>#VALUE!</v>
      </c>
      <c r="AE407" s="181"/>
      <c r="AF407" s="181"/>
    </row>
    <row r="408" spans="1:32">
      <c r="A408" s="84"/>
      <c r="B408" s="177"/>
      <c r="C408" s="40"/>
      <c r="D408" s="41"/>
      <c r="E408" s="178"/>
      <c r="F408" s="179"/>
      <c r="G408" s="183"/>
      <c r="H408" s="38"/>
      <c r="I408" s="42"/>
      <c r="J408" s="42"/>
      <c r="K408" s="43"/>
      <c r="L408" s="43"/>
      <c r="M408" s="44" t="str">
        <f>IF(LayTable[[#This Row],[Sport]]="","",LayTable[[#This Row],[LayInnsats]]*(LayTable[[#This Row],[LayOdds]]-1))</f>
        <v/>
      </c>
      <c r="N408" s="45" t="str">
        <f>IF(LayTable[[#This Row],[Sport]]="","",1/((1/LayTable[[#This Row],[BookieOdds]])+(1/((1/((1+((LayTable[[#This Row],[LayOdds]]-1)*(1+LayTable[[#This Row],[C% Lay]])))-1))+1)))-1)</f>
        <v/>
      </c>
      <c r="Q408" s="46" t="str">
        <f>IF(LayTable[[#This Row],[Sport]]="","",LayTable[[#This Row],[BookieInnsats]]+LayTable[[#This Row],[LayLiability]])</f>
        <v/>
      </c>
      <c r="R4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8" s="47" t="str">
        <f>IF(LayTable[[#This Row],[Utfall bookie]]="","",LayTable[[#This Row],[WBABack]]+LayTable[[#This Row],[WBALay]]-LayTable[[#This Row],[Total inns]])</f>
        <v/>
      </c>
      <c r="U4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8" s="48" t="str">
        <f>IFERROR(IF(LayTable[[#This Row],[Total inns]]="","",LayTable[[#This Row],[Rback]]/LayTable[[#This Row],[Total inns]]),"")</f>
        <v/>
      </c>
      <c r="X408" s="48" t="str">
        <f>IFERROR(IF(LayTable[[#This Row],[Total inns]]="","",LayTable[[#This Row],[Rlay]]/LayTable[[#This Row],[Total inns]]),"")</f>
        <v/>
      </c>
      <c r="Y408" s="48" t="str">
        <f>IFERROR(LayTable[[#This Row],[Faktisk res]]/LayTable[[#This Row],[Total inns]],"")</f>
        <v/>
      </c>
      <c r="Z408" s="47">
        <f>(LayTable[[#This Row],[BookieInnsats]]*LayTable[[#This Row],[BookieOdds]]-LayTable[[#This Row],[BookieInnsats]])*(1-LayTable[[#This Row],[C% Bookie]])</f>
        <v>0</v>
      </c>
      <c r="AA408" s="43">
        <f>LayTable[[#This Row],[LayInnsats]]*(1-LayTable[[#This Row],[C% Lay]])</f>
        <v>0</v>
      </c>
      <c r="AB408" s="43" t="str">
        <f>IFERROR(IF(LayTable[[#This Row],[Sport]]="",AB407,LayTable[[#This Row],[Faktisk res]]+AB407),"")</f>
        <v/>
      </c>
      <c r="AC408" s="43">
        <f>(LayTable[[#This Row],[BackWin-Commission]]+LayTable[[#This Row],[BookieInnsats]])</f>
        <v>0</v>
      </c>
      <c r="AD408" s="43" t="e">
        <f>(LayTable[[#This Row],[LayWin-Commission]])+LayTable[[#This Row],[LayLiability]]</f>
        <v>#VALUE!</v>
      </c>
      <c r="AE408" s="181"/>
      <c r="AF408" s="181"/>
    </row>
    <row r="409" spans="1:32">
      <c r="A409" s="84"/>
      <c r="B409" s="177"/>
      <c r="C409" s="40"/>
      <c r="D409" s="41"/>
      <c r="E409" s="178"/>
      <c r="F409" s="179"/>
      <c r="G409" s="183"/>
      <c r="H409" s="38"/>
      <c r="I409" s="42"/>
      <c r="J409" s="42"/>
      <c r="K409" s="43"/>
      <c r="L409" s="43"/>
      <c r="M409" s="44" t="str">
        <f>IF(LayTable[[#This Row],[Sport]]="","",LayTable[[#This Row],[LayInnsats]]*(LayTable[[#This Row],[LayOdds]]-1))</f>
        <v/>
      </c>
      <c r="N409" s="45" t="str">
        <f>IF(LayTable[[#This Row],[Sport]]="","",1/((1/LayTable[[#This Row],[BookieOdds]])+(1/((1/((1+((LayTable[[#This Row],[LayOdds]]-1)*(1+LayTable[[#This Row],[C% Lay]])))-1))+1)))-1)</f>
        <v/>
      </c>
      <c r="Q409" s="46" t="str">
        <f>IF(LayTable[[#This Row],[Sport]]="","",LayTable[[#This Row],[BookieInnsats]]+LayTable[[#This Row],[LayLiability]])</f>
        <v/>
      </c>
      <c r="R4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09" s="47" t="str">
        <f>IF(LayTable[[#This Row],[Utfall bookie]]="","",LayTable[[#This Row],[WBABack]]+LayTable[[#This Row],[WBALay]]-LayTable[[#This Row],[Total inns]])</f>
        <v/>
      </c>
      <c r="U4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09" s="48" t="str">
        <f>IFERROR(IF(LayTable[[#This Row],[Total inns]]="","",LayTable[[#This Row],[Rback]]/LayTable[[#This Row],[Total inns]]),"")</f>
        <v/>
      </c>
      <c r="X409" s="48" t="str">
        <f>IFERROR(IF(LayTable[[#This Row],[Total inns]]="","",LayTable[[#This Row],[Rlay]]/LayTable[[#This Row],[Total inns]]),"")</f>
        <v/>
      </c>
      <c r="Y409" s="48" t="str">
        <f>IFERROR(LayTable[[#This Row],[Faktisk res]]/LayTable[[#This Row],[Total inns]],"")</f>
        <v/>
      </c>
      <c r="Z409" s="47">
        <f>(LayTable[[#This Row],[BookieInnsats]]*LayTable[[#This Row],[BookieOdds]]-LayTable[[#This Row],[BookieInnsats]])*(1-LayTable[[#This Row],[C% Bookie]])</f>
        <v>0</v>
      </c>
      <c r="AA409" s="43">
        <f>LayTable[[#This Row],[LayInnsats]]*(1-LayTable[[#This Row],[C% Lay]])</f>
        <v>0</v>
      </c>
      <c r="AB409" s="43" t="str">
        <f>IFERROR(IF(LayTable[[#This Row],[Sport]]="",#REF!,LayTable[[#This Row],[Faktisk res]]+#REF!),"")</f>
        <v/>
      </c>
      <c r="AC409" s="43">
        <f>(LayTable[[#This Row],[BackWin-Commission]]+LayTable[[#This Row],[BookieInnsats]])</f>
        <v>0</v>
      </c>
      <c r="AD409" s="43" t="e">
        <f>(LayTable[[#This Row],[LayWin-Commission]])+LayTable[[#This Row],[LayLiability]]</f>
        <v>#VALUE!</v>
      </c>
      <c r="AE409" s="181"/>
      <c r="AF409" s="181"/>
    </row>
    <row r="410" spans="1:32">
      <c r="A410" s="84"/>
      <c r="B410" s="177"/>
      <c r="C410" s="40"/>
      <c r="D410" s="41"/>
      <c r="E410" s="178"/>
      <c r="F410" s="179"/>
      <c r="G410" s="183"/>
      <c r="H410" s="38"/>
      <c r="I410" s="42"/>
      <c r="J410" s="42"/>
      <c r="K410" s="43"/>
      <c r="L410" s="43"/>
      <c r="M410" s="44" t="str">
        <f>IF(LayTable[[#This Row],[Sport]]="","",LayTable[[#This Row],[LayInnsats]]*(LayTable[[#This Row],[LayOdds]]-1))</f>
        <v/>
      </c>
      <c r="N410" s="45" t="str">
        <f>IF(LayTable[[#This Row],[Sport]]="","",1/((1/LayTable[[#This Row],[BookieOdds]])+(1/((1/((1+((LayTable[[#This Row],[LayOdds]]-1)*(1+LayTable[[#This Row],[C% Lay]])))-1))+1)))-1)</f>
        <v/>
      </c>
      <c r="Q410" s="46" t="str">
        <f>IF(LayTable[[#This Row],[Sport]]="","",LayTable[[#This Row],[BookieInnsats]]+LayTable[[#This Row],[LayLiability]])</f>
        <v/>
      </c>
      <c r="R4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0" s="47" t="str">
        <f>IF(LayTable[[#This Row],[Utfall bookie]]="","",LayTable[[#This Row],[WBABack]]+LayTable[[#This Row],[WBALay]]-LayTable[[#This Row],[Total inns]])</f>
        <v/>
      </c>
      <c r="U4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0" s="48" t="str">
        <f>IFERROR(IF(LayTable[[#This Row],[Total inns]]="","",LayTable[[#This Row],[Rback]]/LayTable[[#This Row],[Total inns]]),"")</f>
        <v/>
      </c>
      <c r="X410" s="48" t="str">
        <f>IFERROR(IF(LayTable[[#This Row],[Total inns]]="","",LayTable[[#This Row],[Rlay]]/LayTable[[#This Row],[Total inns]]),"")</f>
        <v/>
      </c>
      <c r="Y410" s="48" t="str">
        <f>IFERROR(LayTable[[#This Row],[Faktisk res]]/LayTable[[#This Row],[Total inns]],"")</f>
        <v/>
      </c>
      <c r="Z410" s="47">
        <f>(LayTable[[#This Row],[BookieInnsats]]*LayTable[[#This Row],[BookieOdds]]-LayTable[[#This Row],[BookieInnsats]])*(1-LayTable[[#This Row],[C% Bookie]])</f>
        <v>0</v>
      </c>
      <c r="AA410" s="43">
        <f>LayTable[[#This Row],[LayInnsats]]*(1-LayTable[[#This Row],[C% Lay]])</f>
        <v>0</v>
      </c>
      <c r="AB410" s="43" t="str">
        <f>IFERROR(IF(LayTable[[#This Row],[Sport]]="",AB409,LayTable[[#This Row],[Faktisk res]]+AB409),"")</f>
        <v/>
      </c>
      <c r="AC410" s="43">
        <f>(LayTable[[#This Row],[BackWin-Commission]]+LayTable[[#This Row],[BookieInnsats]])</f>
        <v>0</v>
      </c>
      <c r="AD410" s="43" t="e">
        <f>(LayTable[[#This Row],[LayWin-Commission]])+LayTable[[#This Row],[LayLiability]]</f>
        <v>#VALUE!</v>
      </c>
      <c r="AE410" s="43"/>
      <c r="AF410" s="181"/>
    </row>
    <row r="411" spans="1:32">
      <c r="A411" s="84"/>
      <c r="B411" s="177"/>
      <c r="C411" s="40"/>
      <c r="D411" s="41"/>
      <c r="E411" s="178"/>
      <c r="F411" s="179"/>
      <c r="G411" s="183"/>
      <c r="H411" s="38"/>
      <c r="I411" s="42"/>
      <c r="J411" s="42"/>
      <c r="K411" s="43"/>
      <c r="L411" s="43"/>
      <c r="M411" s="44" t="str">
        <f>IF(LayTable[[#This Row],[Sport]]="","",LayTable[[#This Row],[LayInnsats]]*(LayTable[[#This Row],[LayOdds]]-1))</f>
        <v/>
      </c>
      <c r="N411" s="45" t="str">
        <f>IF(LayTable[[#This Row],[Sport]]="","",1/((1/LayTable[[#This Row],[BookieOdds]])+(1/((1/((1+((LayTable[[#This Row],[LayOdds]]-1)*(1+LayTable[[#This Row],[C% Lay]])))-1))+1)))-1)</f>
        <v/>
      </c>
      <c r="Q411" s="46" t="str">
        <f>IF(LayTable[[#This Row],[Sport]]="","",LayTable[[#This Row],[BookieInnsats]]+LayTable[[#This Row],[LayLiability]])</f>
        <v/>
      </c>
      <c r="R4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1" s="47" t="str">
        <f>IF(LayTable[[#This Row],[Utfall bookie]]="","",LayTable[[#This Row],[WBABack]]+LayTable[[#This Row],[WBALay]]-LayTable[[#This Row],[Total inns]])</f>
        <v/>
      </c>
      <c r="U4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1" s="48" t="str">
        <f>IFERROR(IF(LayTable[[#This Row],[Total inns]]="","",LayTable[[#This Row],[Rback]]/LayTable[[#This Row],[Total inns]]),"")</f>
        <v/>
      </c>
      <c r="X411" s="48" t="str">
        <f>IFERROR(IF(LayTable[[#This Row],[Total inns]]="","",LayTable[[#This Row],[Rlay]]/LayTable[[#This Row],[Total inns]]),"")</f>
        <v/>
      </c>
      <c r="Y411" s="48" t="str">
        <f>IFERROR(LayTable[[#This Row],[Faktisk res]]/LayTable[[#This Row],[Total inns]],"")</f>
        <v/>
      </c>
      <c r="Z411" s="47">
        <f>(LayTable[[#This Row],[BookieInnsats]]*LayTable[[#This Row],[BookieOdds]]-LayTable[[#This Row],[BookieInnsats]])*(1-LayTable[[#This Row],[C% Bookie]])</f>
        <v>0</v>
      </c>
      <c r="AA411" s="43">
        <f>LayTable[[#This Row],[LayInnsats]]*(1-LayTable[[#This Row],[C% Lay]])</f>
        <v>0</v>
      </c>
      <c r="AB411" s="43" t="str">
        <f>IFERROR(IF(LayTable[[#This Row],[Sport]]="",AB410,LayTable[[#This Row],[Faktisk res]]+AB410),"")</f>
        <v/>
      </c>
      <c r="AC411" s="43">
        <f>(LayTable[[#This Row],[BackWin-Commission]]+LayTable[[#This Row],[BookieInnsats]])</f>
        <v>0</v>
      </c>
      <c r="AD411" s="43" t="e">
        <f>(LayTable[[#This Row],[LayWin-Commission]])+LayTable[[#This Row],[LayLiability]]</f>
        <v>#VALUE!</v>
      </c>
      <c r="AE411" s="43"/>
      <c r="AF411" s="181"/>
    </row>
    <row r="412" spans="1:32">
      <c r="A412" s="84"/>
      <c r="B412" s="177"/>
      <c r="C412" s="40"/>
      <c r="D412" s="41"/>
      <c r="E412" s="178"/>
      <c r="F412" s="179"/>
      <c r="G412" s="183"/>
      <c r="H412" s="38"/>
      <c r="I412" s="42"/>
      <c r="J412" s="42"/>
      <c r="K412" s="43"/>
      <c r="L412" s="43"/>
      <c r="M412" s="44" t="str">
        <f>IF(LayTable[[#This Row],[Sport]]="","",LayTable[[#This Row],[LayInnsats]]*(LayTable[[#This Row],[LayOdds]]-1))</f>
        <v/>
      </c>
      <c r="N412" s="45" t="str">
        <f>IF(LayTable[[#This Row],[Sport]]="","",1/((1/LayTable[[#This Row],[BookieOdds]])+(1/((1/((1+((LayTable[[#This Row],[LayOdds]]-1)*(1+LayTable[[#This Row],[C% Lay]])))-1))+1)))-1)</f>
        <v/>
      </c>
      <c r="Q412" s="46" t="str">
        <f>IF(LayTable[[#This Row],[Sport]]="","",LayTable[[#This Row],[BookieInnsats]]+LayTable[[#This Row],[LayLiability]])</f>
        <v/>
      </c>
      <c r="R4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2" s="47" t="str">
        <f>IF(LayTable[[#This Row],[Utfall bookie]]="","",LayTable[[#This Row],[WBABack]]+LayTable[[#This Row],[WBALay]]-LayTable[[#This Row],[Total inns]])</f>
        <v/>
      </c>
      <c r="U4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2" s="48" t="str">
        <f>IFERROR(IF(LayTable[[#This Row],[Total inns]]="","",LayTable[[#This Row],[Rback]]/LayTable[[#This Row],[Total inns]]),"")</f>
        <v/>
      </c>
      <c r="X412" s="48" t="str">
        <f>IFERROR(IF(LayTable[[#This Row],[Total inns]]="","",LayTable[[#This Row],[Rlay]]/LayTable[[#This Row],[Total inns]]),"")</f>
        <v/>
      </c>
      <c r="Y412" s="48" t="str">
        <f>IFERROR(LayTable[[#This Row],[Faktisk res]]/LayTable[[#This Row],[Total inns]],"")</f>
        <v/>
      </c>
      <c r="Z412" s="47">
        <f>(LayTable[[#This Row],[BookieInnsats]]*LayTable[[#This Row],[BookieOdds]]-LayTable[[#This Row],[BookieInnsats]])*(1-LayTable[[#This Row],[C% Bookie]])</f>
        <v>0</v>
      </c>
      <c r="AA412" s="43">
        <f>LayTable[[#This Row],[LayInnsats]]*(1-LayTable[[#This Row],[C% Lay]])</f>
        <v>0</v>
      </c>
      <c r="AB412" s="43" t="str">
        <f>IFERROR(IF(LayTable[[#This Row],[Sport]]="",AB411,LayTable[[#This Row],[Faktisk res]]+AB411),"")</f>
        <v/>
      </c>
      <c r="AC412" s="43">
        <f>(LayTable[[#This Row],[BackWin-Commission]]+LayTable[[#This Row],[BookieInnsats]])</f>
        <v>0</v>
      </c>
      <c r="AD412" s="43" t="e">
        <f>(LayTable[[#This Row],[LayWin-Commission]])+LayTable[[#This Row],[LayLiability]]</f>
        <v>#VALUE!</v>
      </c>
      <c r="AE412" s="43"/>
      <c r="AF412" s="181"/>
    </row>
    <row r="413" spans="1:32">
      <c r="A413" s="84"/>
      <c r="B413" s="177"/>
      <c r="C413" s="40"/>
      <c r="D413" s="41"/>
      <c r="E413" s="178"/>
      <c r="F413" s="179"/>
      <c r="G413" s="183"/>
      <c r="H413" s="38"/>
      <c r="I413" s="42"/>
      <c r="J413" s="42"/>
      <c r="K413" s="43"/>
      <c r="L413" s="43"/>
      <c r="M413" s="44" t="str">
        <f>IF(LayTable[[#This Row],[Sport]]="","",LayTable[[#This Row],[LayInnsats]]*(LayTable[[#This Row],[LayOdds]]-1))</f>
        <v/>
      </c>
      <c r="N413" s="45" t="str">
        <f>IF(LayTable[[#This Row],[Sport]]="","",1/((1/LayTable[[#This Row],[BookieOdds]])+(1/((1/((1+((LayTable[[#This Row],[LayOdds]]-1)*(1+LayTable[[#This Row],[C% Lay]])))-1))+1)))-1)</f>
        <v/>
      </c>
      <c r="Q413" s="46" t="str">
        <f>IF(LayTable[[#This Row],[Sport]]="","",LayTable[[#This Row],[BookieInnsats]]+LayTable[[#This Row],[LayLiability]])</f>
        <v/>
      </c>
      <c r="R4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3" s="47" t="str">
        <f>IF(LayTable[[#This Row],[Utfall bookie]]="","",LayTable[[#This Row],[WBABack]]+LayTable[[#This Row],[WBALay]]-LayTable[[#This Row],[Total inns]])</f>
        <v/>
      </c>
      <c r="U4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3" s="48" t="str">
        <f>IFERROR(IF(LayTable[[#This Row],[Total inns]]="","",LayTable[[#This Row],[Rback]]/LayTable[[#This Row],[Total inns]]),"")</f>
        <v/>
      </c>
      <c r="X413" s="48" t="str">
        <f>IFERROR(IF(LayTable[[#This Row],[Total inns]]="","",LayTable[[#This Row],[Rlay]]/LayTable[[#This Row],[Total inns]]),"")</f>
        <v/>
      </c>
      <c r="Y413" s="48" t="str">
        <f>IFERROR(LayTable[[#This Row],[Faktisk res]]/LayTable[[#This Row],[Total inns]],"")</f>
        <v/>
      </c>
      <c r="Z413" s="47">
        <f>(LayTable[[#This Row],[BookieInnsats]]*LayTable[[#This Row],[BookieOdds]]-LayTable[[#This Row],[BookieInnsats]])*(1-LayTable[[#This Row],[C% Bookie]])</f>
        <v>0</v>
      </c>
      <c r="AA413" s="43">
        <f>LayTable[[#This Row],[LayInnsats]]*(1-LayTable[[#This Row],[C% Lay]])</f>
        <v>0</v>
      </c>
      <c r="AB413" s="43" t="str">
        <f>IFERROR(IF(LayTable[[#This Row],[Sport]]="",AB412,LayTable[[#This Row],[Faktisk res]]+AB412),"")</f>
        <v/>
      </c>
      <c r="AC413" s="43">
        <f>(LayTable[[#This Row],[BackWin-Commission]]+LayTable[[#This Row],[BookieInnsats]])</f>
        <v>0</v>
      </c>
      <c r="AD413" s="43" t="e">
        <f>(LayTable[[#This Row],[LayWin-Commission]])+LayTable[[#This Row],[LayLiability]]</f>
        <v>#VALUE!</v>
      </c>
      <c r="AE413" s="43"/>
      <c r="AF413" s="181"/>
    </row>
    <row r="414" spans="1:32">
      <c r="A414" s="84"/>
      <c r="B414" s="177"/>
      <c r="C414" s="40"/>
      <c r="D414" s="41"/>
      <c r="E414" s="178"/>
      <c r="F414" s="179"/>
      <c r="G414" s="183"/>
      <c r="H414" s="38"/>
      <c r="I414" s="42"/>
      <c r="J414" s="42"/>
      <c r="K414" s="43"/>
      <c r="L414" s="43"/>
      <c r="M414" s="44" t="str">
        <f>IF(LayTable[[#This Row],[Sport]]="","",LayTable[[#This Row],[LayInnsats]]*(LayTable[[#This Row],[LayOdds]]-1))</f>
        <v/>
      </c>
      <c r="N414" s="45" t="str">
        <f>IF(LayTable[[#This Row],[Sport]]="","",1/((1/LayTable[[#This Row],[BookieOdds]])+(1/((1/((1+((LayTable[[#This Row],[LayOdds]]-1)*(1+LayTable[[#This Row],[C% Lay]])))-1))+1)))-1)</f>
        <v/>
      </c>
      <c r="Q414" s="46" t="str">
        <f>IF(LayTable[[#This Row],[Sport]]="","",LayTable[[#This Row],[BookieInnsats]]+LayTable[[#This Row],[LayLiability]])</f>
        <v/>
      </c>
      <c r="R4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4" s="47" t="str">
        <f>IF(LayTable[[#This Row],[Utfall bookie]]="","",LayTable[[#This Row],[WBABack]]+LayTable[[#This Row],[WBALay]]-LayTable[[#This Row],[Total inns]])</f>
        <v/>
      </c>
      <c r="U4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4" s="48" t="str">
        <f>IFERROR(IF(LayTable[[#This Row],[Total inns]]="","",LayTable[[#This Row],[Rback]]/LayTable[[#This Row],[Total inns]]),"")</f>
        <v/>
      </c>
      <c r="X414" s="48" t="str">
        <f>IFERROR(IF(LayTable[[#This Row],[Total inns]]="","",LayTable[[#This Row],[Rlay]]/LayTable[[#This Row],[Total inns]]),"")</f>
        <v/>
      </c>
      <c r="Y414" s="48" t="str">
        <f>IFERROR(LayTable[[#This Row],[Faktisk res]]/LayTable[[#This Row],[Total inns]],"")</f>
        <v/>
      </c>
      <c r="Z414" s="47">
        <f>(LayTable[[#This Row],[BookieInnsats]]*LayTable[[#This Row],[BookieOdds]]-LayTable[[#This Row],[BookieInnsats]])*(1-LayTable[[#This Row],[C% Bookie]])</f>
        <v>0</v>
      </c>
      <c r="AA414" s="43">
        <f>LayTable[[#This Row],[LayInnsats]]*(1-LayTable[[#This Row],[C% Lay]])</f>
        <v>0</v>
      </c>
      <c r="AB414" s="43" t="str">
        <f>IFERROR(IF(LayTable[[#This Row],[Sport]]="",AB413,LayTable[[#This Row],[Faktisk res]]+AB413),"")</f>
        <v/>
      </c>
      <c r="AC414" s="43">
        <f>(LayTable[[#This Row],[BackWin-Commission]]+LayTable[[#This Row],[BookieInnsats]])</f>
        <v>0</v>
      </c>
      <c r="AD414" s="43" t="e">
        <f>(LayTable[[#This Row],[LayWin-Commission]])+LayTable[[#This Row],[LayLiability]]</f>
        <v>#VALUE!</v>
      </c>
      <c r="AE414" s="43"/>
      <c r="AF414" s="181"/>
    </row>
    <row r="415" spans="1:32">
      <c r="A415" s="84"/>
      <c r="B415" s="177"/>
      <c r="C415" s="40"/>
      <c r="D415" s="41"/>
      <c r="E415" s="178"/>
      <c r="F415" s="251"/>
      <c r="G415" s="183"/>
      <c r="H415" s="38"/>
      <c r="I415" s="42"/>
      <c r="J415" s="42"/>
      <c r="K415" s="43"/>
      <c r="L415" s="43"/>
      <c r="M415" s="44" t="str">
        <f>IF(LayTable[[#This Row],[Sport]]="","",LayTable[[#This Row],[LayInnsats]]*(LayTable[[#This Row],[LayOdds]]-1))</f>
        <v/>
      </c>
      <c r="N415" s="45" t="str">
        <f>IF(LayTable[[#This Row],[Sport]]="","",1/((1/LayTable[[#This Row],[BookieOdds]])+(1/((1/((1+((LayTable[[#This Row],[LayOdds]]-1)*(1+LayTable[[#This Row],[C% Lay]])))-1))+1)))-1)</f>
        <v/>
      </c>
      <c r="Q415" s="46" t="str">
        <f>IF(LayTable[[#This Row],[Sport]]="","",LayTable[[#This Row],[BookieInnsats]]+LayTable[[#This Row],[LayLiability]])</f>
        <v/>
      </c>
      <c r="R4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5" s="47" t="str">
        <f>IF(LayTable[[#This Row],[Utfall bookie]]="","",LayTable[[#This Row],[WBABack]]+LayTable[[#This Row],[WBALay]]-LayTable[[#This Row],[Total inns]])</f>
        <v/>
      </c>
      <c r="U4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5" s="48" t="str">
        <f>IFERROR(IF(LayTable[[#This Row],[Total inns]]="","",LayTable[[#This Row],[Rback]]/LayTable[[#This Row],[Total inns]]),"")</f>
        <v/>
      </c>
      <c r="X415" s="48" t="str">
        <f>IFERROR(IF(LayTable[[#This Row],[Total inns]]="","",LayTable[[#This Row],[Rlay]]/LayTable[[#This Row],[Total inns]]),"")</f>
        <v/>
      </c>
      <c r="Y415" s="48" t="str">
        <f>IFERROR(LayTable[[#This Row],[Faktisk res]]/LayTable[[#This Row],[Total inns]],"")</f>
        <v/>
      </c>
      <c r="Z415" s="47">
        <f>(LayTable[[#This Row],[BookieInnsats]]*LayTable[[#This Row],[BookieOdds]]-LayTable[[#This Row],[BookieInnsats]])*(1-LayTable[[#This Row],[C% Bookie]])</f>
        <v>0</v>
      </c>
      <c r="AA415" s="43">
        <f>LayTable[[#This Row],[LayInnsats]]*(1-LayTable[[#This Row],[C% Lay]])</f>
        <v>0</v>
      </c>
      <c r="AB415" s="43" t="str">
        <f>IFERROR(IF(LayTable[[#This Row],[Sport]]="",AB414,LayTable[[#This Row],[Faktisk res]]+AB414),"")</f>
        <v/>
      </c>
      <c r="AC415" s="43">
        <f>(LayTable[[#This Row],[BackWin-Commission]]+LayTable[[#This Row],[BookieInnsats]])</f>
        <v>0</v>
      </c>
      <c r="AD415" s="43" t="e">
        <f>(LayTable[[#This Row],[LayWin-Commission]])+LayTable[[#This Row],[LayLiability]]</f>
        <v>#VALUE!</v>
      </c>
      <c r="AE415" s="43"/>
      <c r="AF415" s="181"/>
    </row>
    <row r="416" spans="1:32">
      <c r="A416" s="84"/>
      <c r="B416" s="177"/>
      <c r="C416" s="40"/>
      <c r="D416" s="41"/>
      <c r="E416" s="178"/>
      <c r="F416" s="251"/>
      <c r="G416" s="183"/>
      <c r="H416" s="38"/>
      <c r="I416" s="42"/>
      <c r="J416" s="42"/>
      <c r="K416" s="43"/>
      <c r="L416" s="43"/>
      <c r="M416" s="44" t="str">
        <f>IF(LayTable[[#This Row],[Sport]]="","",LayTable[[#This Row],[LayInnsats]]*(LayTable[[#This Row],[LayOdds]]-1))</f>
        <v/>
      </c>
      <c r="N416" s="45" t="str">
        <f>IF(LayTable[[#This Row],[Sport]]="","",1/((1/LayTable[[#This Row],[BookieOdds]])+(1/((1/((1+((LayTable[[#This Row],[LayOdds]]-1)*(1+LayTable[[#This Row],[C% Lay]])))-1))+1)))-1)</f>
        <v/>
      </c>
      <c r="Q416" s="46" t="str">
        <f>IF(LayTable[[#This Row],[Sport]]="","",LayTable[[#This Row],[BookieInnsats]]+LayTable[[#This Row],[LayLiability]])</f>
        <v/>
      </c>
      <c r="R4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6" s="47" t="str">
        <f>IF(LayTable[[#This Row],[Utfall bookie]]="","",LayTable[[#This Row],[WBABack]]+LayTable[[#This Row],[WBALay]]-LayTable[[#This Row],[Total inns]])</f>
        <v/>
      </c>
      <c r="U4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6" s="48" t="str">
        <f>IFERROR(IF(LayTable[[#This Row],[Total inns]]="","",LayTable[[#This Row],[Rback]]/LayTable[[#This Row],[Total inns]]),"")</f>
        <v/>
      </c>
      <c r="X416" s="48" t="str">
        <f>IFERROR(IF(LayTable[[#This Row],[Total inns]]="","",LayTable[[#This Row],[Rlay]]/LayTable[[#This Row],[Total inns]]),"")</f>
        <v/>
      </c>
      <c r="Y416" s="48" t="str">
        <f>IFERROR(LayTable[[#This Row],[Faktisk res]]/LayTable[[#This Row],[Total inns]],"")</f>
        <v/>
      </c>
      <c r="Z416" s="47">
        <f>(LayTable[[#This Row],[BookieInnsats]]*LayTable[[#This Row],[BookieOdds]]-LayTable[[#This Row],[BookieInnsats]])*(1-LayTable[[#This Row],[C% Bookie]])</f>
        <v>0</v>
      </c>
      <c r="AA416" s="43">
        <f>LayTable[[#This Row],[LayInnsats]]*(1-LayTable[[#This Row],[C% Lay]])</f>
        <v>0</v>
      </c>
      <c r="AB416" s="43" t="str">
        <f>IFERROR(IF(LayTable[[#This Row],[Sport]]="",AB415,LayTable[[#This Row],[Faktisk res]]+AB415),"")</f>
        <v/>
      </c>
      <c r="AC416" s="43">
        <f>(LayTable[[#This Row],[BackWin-Commission]]+LayTable[[#This Row],[BookieInnsats]])</f>
        <v>0</v>
      </c>
      <c r="AD416" s="43" t="e">
        <f>(LayTable[[#This Row],[LayWin-Commission]])+LayTable[[#This Row],[LayLiability]]</f>
        <v>#VALUE!</v>
      </c>
      <c r="AE416" s="43"/>
      <c r="AF416" s="181"/>
    </row>
    <row r="417" spans="1:32">
      <c r="A417" s="84"/>
      <c r="B417" s="177"/>
      <c r="C417" s="40"/>
      <c r="D417" s="41"/>
      <c r="E417" s="178"/>
      <c r="F417" s="251"/>
      <c r="G417" s="183"/>
      <c r="H417" s="176"/>
      <c r="I417" s="180"/>
      <c r="J417" s="180"/>
      <c r="K417" s="43"/>
      <c r="L417" s="43"/>
      <c r="M417" s="44" t="str">
        <f>IF(LayTable[[#This Row],[Sport]]="","",LayTable[[#This Row],[LayInnsats]]*(LayTable[[#This Row],[LayOdds]]-1))</f>
        <v/>
      </c>
      <c r="N417" s="45" t="str">
        <f>IF(LayTable[[#This Row],[Sport]]="","",1/((1/LayTable[[#This Row],[BookieOdds]])+(1/((1/((1+((LayTable[[#This Row],[LayOdds]]-1)*(1+LayTable[[#This Row],[C% Lay]])))-1))+1)))-1)</f>
        <v/>
      </c>
      <c r="Q417" s="46" t="str">
        <f>IF(LayTable[[#This Row],[Sport]]="","",LayTable[[#This Row],[BookieInnsats]]+LayTable[[#This Row],[LayLiability]])</f>
        <v/>
      </c>
      <c r="R4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7" s="47" t="str">
        <f>IF(LayTable[[#This Row],[Utfall bookie]]="","",LayTable[[#This Row],[WBABack]]+LayTable[[#This Row],[WBALay]]-LayTable[[#This Row],[Total inns]])</f>
        <v/>
      </c>
      <c r="U4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7" s="48" t="str">
        <f>IFERROR(IF(LayTable[[#This Row],[Total inns]]="","",LayTable[[#This Row],[Rback]]/LayTable[[#This Row],[Total inns]]),"")</f>
        <v/>
      </c>
      <c r="X417" s="48" t="str">
        <f>IFERROR(IF(LayTable[[#This Row],[Total inns]]="","",LayTable[[#This Row],[Rlay]]/LayTable[[#This Row],[Total inns]]),"")</f>
        <v/>
      </c>
      <c r="Y417" s="48" t="str">
        <f>IFERROR(LayTable[[#This Row],[Faktisk res]]/LayTable[[#This Row],[Total inns]],"")</f>
        <v/>
      </c>
      <c r="Z417" s="47">
        <f>(LayTable[[#This Row],[BookieInnsats]]*LayTable[[#This Row],[BookieOdds]]-LayTable[[#This Row],[BookieInnsats]])*(1-LayTable[[#This Row],[C% Bookie]])</f>
        <v>0</v>
      </c>
      <c r="AA417" s="43">
        <f>LayTable[[#This Row],[LayInnsats]]*(1-LayTable[[#This Row],[C% Lay]])</f>
        <v>0</v>
      </c>
      <c r="AB417" s="43" t="str">
        <f>IFERROR(IF(LayTable[[#This Row],[Sport]]="",#REF!,LayTable[[#This Row],[Faktisk res]]+#REF!),"")</f>
        <v/>
      </c>
      <c r="AC417" s="43">
        <f>(LayTable[[#This Row],[BackWin-Commission]]+LayTable[[#This Row],[BookieInnsats]])</f>
        <v>0</v>
      </c>
      <c r="AD417" s="43" t="e">
        <f>(LayTable[[#This Row],[LayWin-Commission]])+LayTable[[#This Row],[LayLiability]]</f>
        <v>#VALUE!</v>
      </c>
      <c r="AE417" s="43"/>
      <c r="AF417" s="181"/>
    </row>
    <row r="418" spans="1:32">
      <c r="A418" s="84"/>
      <c r="B418" s="177"/>
      <c r="C418" s="40"/>
      <c r="D418" s="41"/>
      <c r="E418" s="178"/>
      <c r="F418" s="251"/>
      <c r="G418" s="183"/>
      <c r="H418" s="38"/>
      <c r="I418" s="42"/>
      <c r="J418" s="42"/>
      <c r="K418" s="43"/>
      <c r="L418" s="43"/>
      <c r="M418" s="44" t="str">
        <f>IF(LayTable[[#This Row],[Sport]]="","",LayTable[[#This Row],[LayInnsats]]*(LayTable[[#This Row],[LayOdds]]-1))</f>
        <v/>
      </c>
      <c r="N418" s="45" t="str">
        <f>IF(LayTable[[#This Row],[Sport]]="","",1/((1/LayTable[[#This Row],[BookieOdds]])+(1/((1/((1+((LayTable[[#This Row],[LayOdds]]-1)*(1+LayTable[[#This Row],[C% Lay]])))-1))+1)))-1)</f>
        <v/>
      </c>
      <c r="Q418" s="46" t="str">
        <f>IF(LayTable[[#This Row],[Sport]]="","",LayTable[[#This Row],[BookieInnsats]]+LayTable[[#This Row],[LayLiability]])</f>
        <v/>
      </c>
      <c r="R4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8" s="47" t="str">
        <f>IF(LayTable[[#This Row],[Utfall bookie]]="","",LayTable[[#This Row],[WBABack]]+LayTable[[#This Row],[WBALay]]-LayTable[[#This Row],[Total inns]])</f>
        <v/>
      </c>
      <c r="U4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8" s="48" t="str">
        <f>IFERROR(IF(LayTable[[#This Row],[Total inns]]="","",LayTable[[#This Row],[Rback]]/LayTable[[#This Row],[Total inns]]),"")</f>
        <v/>
      </c>
      <c r="X418" s="48" t="str">
        <f>IFERROR(IF(LayTable[[#This Row],[Total inns]]="","",LayTable[[#This Row],[Rlay]]/LayTable[[#This Row],[Total inns]]),"")</f>
        <v/>
      </c>
      <c r="Y418" s="48" t="str">
        <f>IFERROR(LayTable[[#This Row],[Faktisk res]]/LayTable[[#This Row],[Total inns]],"")</f>
        <v/>
      </c>
      <c r="Z418" s="47">
        <f>(LayTable[[#This Row],[BookieInnsats]]*LayTable[[#This Row],[BookieOdds]]-LayTable[[#This Row],[BookieInnsats]])*(1-LayTable[[#This Row],[C% Bookie]])</f>
        <v>0</v>
      </c>
      <c r="AA418" s="43">
        <f>LayTable[[#This Row],[LayInnsats]]*(1-LayTable[[#This Row],[C% Lay]])</f>
        <v>0</v>
      </c>
      <c r="AB418" s="43" t="str">
        <f>IFERROR(IF(LayTable[[#This Row],[Sport]]="",AB417,LayTable[[#This Row],[Faktisk res]]+AB417),"")</f>
        <v/>
      </c>
      <c r="AC418" s="43">
        <f>(LayTable[[#This Row],[BackWin-Commission]]+LayTable[[#This Row],[BookieInnsats]])</f>
        <v>0</v>
      </c>
      <c r="AD418" s="43" t="e">
        <f>(LayTable[[#This Row],[LayWin-Commission]])+LayTable[[#This Row],[LayLiability]]</f>
        <v>#VALUE!</v>
      </c>
      <c r="AE418" s="43"/>
      <c r="AF418" s="181"/>
    </row>
    <row r="419" spans="1:32">
      <c r="A419" s="84"/>
      <c r="B419" s="177"/>
      <c r="C419" s="40"/>
      <c r="D419" s="41"/>
      <c r="E419" s="178"/>
      <c r="F419" s="251"/>
      <c r="G419" s="183"/>
      <c r="H419" s="38"/>
      <c r="I419" s="42"/>
      <c r="J419" s="42"/>
      <c r="K419" s="43"/>
      <c r="L419" s="43"/>
      <c r="M419" s="44" t="str">
        <f>IF(LayTable[[#This Row],[Sport]]="","",LayTable[[#This Row],[LayInnsats]]*(LayTable[[#This Row],[LayOdds]]-1))</f>
        <v/>
      </c>
      <c r="N419" s="45" t="str">
        <f>IF(LayTable[[#This Row],[Sport]]="","",1/((1/LayTable[[#This Row],[BookieOdds]])+(1/((1/((1+((LayTable[[#This Row],[LayOdds]]-1)*(1+LayTable[[#This Row],[C% Lay]])))-1))+1)))-1)</f>
        <v/>
      </c>
      <c r="Q419" s="46" t="str">
        <f>IF(LayTable[[#This Row],[Sport]]="","",LayTable[[#This Row],[BookieInnsats]]+LayTable[[#This Row],[LayLiability]])</f>
        <v/>
      </c>
      <c r="R4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19" s="47" t="str">
        <f>IF(LayTable[[#This Row],[Utfall bookie]]="","",LayTable[[#This Row],[WBABack]]+LayTable[[#This Row],[WBALay]]-LayTable[[#This Row],[Total inns]])</f>
        <v/>
      </c>
      <c r="U4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19" s="48" t="str">
        <f>IFERROR(IF(LayTable[[#This Row],[Total inns]]="","",LayTable[[#This Row],[Rback]]/LayTable[[#This Row],[Total inns]]),"")</f>
        <v/>
      </c>
      <c r="X419" s="48" t="str">
        <f>IFERROR(IF(LayTable[[#This Row],[Total inns]]="","",LayTable[[#This Row],[Rlay]]/LayTable[[#This Row],[Total inns]]),"")</f>
        <v/>
      </c>
      <c r="Y419" s="48" t="str">
        <f>IFERROR(LayTable[[#This Row],[Faktisk res]]/LayTable[[#This Row],[Total inns]],"")</f>
        <v/>
      </c>
      <c r="Z419" s="47">
        <f>(LayTable[[#This Row],[BookieInnsats]]*LayTable[[#This Row],[BookieOdds]]-LayTable[[#This Row],[BookieInnsats]])*(1-LayTable[[#This Row],[C% Bookie]])</f>
        <v>0</v>
      </c>
      <c r="AA419" s="43">
        <f>LayTable[[#This Row],[LayInnsats]]*(1-LayTable[[#This Row],[C% Lay]])</f>
        <v>0</v>
      </c>
      <c r="AB419" s="43" t="str">
        <f>IFERROR(IF(LayTable[[#This Row],[Sport]]="",AB418,LayTable[[#This Row],[Faktisk res]]+AB418),"")</f>
        <v/>
      </c>
      <c r="AC419" s="43">
        <f>(LayTable[[#This Row],[BackWin-Commission]]+LayTable[[#This Row],[BookieInnsats]])</f>
        <v>0</v>
      </c>
      <c r="AD419" s="43" t="e">
        <f>(LayTable[[#This Row],[LayWin-Commission]])+LayTable[[#This Row],[LayLiability]]</f>
        <v>#VALUE!</v>
      </c>
      <c r="AE419" s="43"/>
      <c r="AF419" s="181"/>
    </row>
    <row r="420" spans="1:32">
      <c r="A420" s="84"/>
      <c r="B420" s="177"/>
      <c r="C420" s="40"/>
      <c r="D420" s="41"/>
      <c r="E420" s="178"/>
      <c r="F420" s="251"/>
      <c r="G420" s="183"/>
      <c r="H420" s="38"/>
      <c r="I420" s="42"/>
      <c r="J420" s="42"/>
      <c r="K420" s="43"/>
      <c r="L420" s="43"/>
      <c r="M420" s="44" t="str">
        <f>IF(LayTable[[#This Row],[Sport]]="","",LayTable[[#This Row],[LayInnsats]]*(LayTable[[#This Row],[LayOdds]]-1))</f>
        <v/>
      </c>
      <c r="N420" s="45" t="str">
        <f>IF(LayTable[[#This Row],[Sport]]="","",1/((1/LayTable[[#This Row],[BookieOdds]])+(1/((1/((1+((LayTable[[#This Row],[LayOdds]]-1)*(1+LayTable[[#This Row],[C% Lay]])))-1))+1)))-1)</f>
        <v/>
      </c>
      <c r="Q420" s="46" t="str">
        <f>IF(LayTable[[#This Row],[Sport]]="","",LayTable[[#This Row],[BookieInnsats]]+LayTable[[#This Row],[LayLiability]])</f>
        <v/>
      </c>
      <c r="R4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0" s="47" t="str">
        <f>IF(LayTable[[#This Row],[Utfall bookie]]="","",LayTable[[#This Row],[WBABack]]+LayTable[[#This Row],[WBALay]]-LayTable[[#This Row],[Total inns]])</f>
        <v/>
      </c>
      <c r="U4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0" s="48" t="str">
        <f>IFERROR(IF(LayTable[[#This Row],[Total inns]]="","",LayTable[[#This Row],[Rback]]/LayTable[[#This Row],[Total inns]]),"")</f>
        <v/>
      </c>
      <c r="X420" s="48" t="str">
        <f>IFERROR(IF(LayTable[[#This Row],[Total inns]]="","",LayTable[[#This Row],[Rlay]]/LayTable[[#This Row],[Total inns]]),"")</f>
        <v/>
      </c>
      <c r="Y420" s="48" t="str">
        <f>IFERROR(LayTable[[#This Row],[Faktisk res]]/LayTable[[#This Row],[Total inns]],"")</f>
        <v/>
      </c>
      <c r="Z420" s="47">
        <f>(LayTable[[#This Row],[BookieInnsats]]*LayTable[[#This Row],[BookieOdds]]-LayTable[[#This Row],[BookieInnsats]])*(1-LayTable[[#This Row],[C% Bookie]])</f>
        <v>0</v>
      </c>
      <c r="AA420" s="43">
        <f>LayTable[[#This Row],[LayInnsats]]*(1-LayTable[[#This Row],[C% Lay]])</f>
        <v>0</v>
      </c>
      <c r="AB420" s="43" t="str">
        <f>IFERROR(IF(LayTable[[#This Row],[Sport]]="",AB419,LayTable[[#This Row],[Faktisk res]]+AB419),"")</f>
        <v/>
      </c>
      <c r="AC420" s="43">
        <f>(LayTable[[#This Row],[BackWin-Commission]]+LayTable[[#This Row],[BookieInnsats]])</f>
        <v>0</v>
      </c>
      <c r="AD420" s="43" t="e">
        <f>(LayTable[[#This Row],[LayWin-Commission]])+LayTable[[#This Row],[LayLiability]]</f>
        <v>#VALUE!</v>
      </c>
      <c r="AE420" s="43"/>
      <c r="AF420" s="181"/>
    </row>
    <row r="421" spans="1:32">
      <c r="A421" s="183"/>
      <c r="B421" s="177"/>
      <c r="C421" s="178"/>
      <c r="D421" s="41"/>
      <c r="E421" s="178"/>
      <c r="F421" s="251"/>
      <c r="G421" s="183"/>
      <c r="H421" s="38"/>
      <c r="I421" s="42"/>
      <c r="J421" s="42"/>
      <c r="K421" s="43"/>
      <c r="L421" s="43"/>
      <c r="M421" s="44" t="str">
        <f>IF(LayTable[[#This Row],[Sport]]="","",LayTable[[#This Row],[LayInnsats]]*(LayTable[[#This Row],[LayOdds]]-1))</f>
        <v/>
      </c>
      <c r="N421" s="45" t="str">
        <f>IF(LayTable[[#This Row],[Sport]]="","",1/((1/LayTable[[#This Row],[BookieOdds]])+(1/((1/((1+((LayTable[[#This Row],[LayOdds]]-1)*(1+LayTable[[#This Row],[C% Lay]])))-1))+1)))-1)</f>
        <v/>
      </c>
      <c r="Q421" s="46" t="str">
        <f>IF(LayTable[[#This Row],[Sport]]="","",LayTable[[#This Row],[BookieInnsats]]+LayTable[[#This Row],[LayLiability]])</f>
        <v/>
      </c>
      <c r="R4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1" s="47" t="str">
        <f>IF(LayTable[[#This Row],[Utfall bookie]]="","",LayTable[[#This Row],[WBABack]]+LayTable[[#This Row],[WBALay]]-LayTable[[#This Row],[Total inns]])</f>
        <v/>
      </c>
      <c r="U4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1" s="48" t="str">
        <f>IFERROR(IF(LayTable[[#This Row],[Total inns]]="","",LayTable[[#This Row],[Rback]]/LayTable[[#This Row],[Total inns]]),"")</f>
        <v/>
      </c>
      <c r="X421" s="48" t="str">
        <f>IFERROR(IF(LayTable[[#This Row],[Total inns]]="","",LayTable[[#This Row],[Rlay]]/LayTable[[#This Row],[Total inns]]),"")</f>
        <v/>
      </c>
      <c r="Y421" s="48" t="str">
        <f>IFERROR(LayTable[[#This Row],[Faktisk res]]/LayTable[[#This Row],[Total inns]],"")</f>
        <v/>
      </c>
      <c r="Z421" s="47">
        <f>(LayTable[[#This Row],[BookieInnsats]]*LayTable[[#This Row],[BookieOdds]]-LayTable[[#This Row],[BookieInnsats]])*(1-LayTable[[#This Row],[C% Bookie]])</f>
        <v>0</v>
      </c>
      <c r="AA421" s="43">
        <f>LayTable[[#This Row],[LayInnsats]]*(1-LayTable[[#This Row],[C% Lay]])</f>
        <v>0</v>
      </c>
      <c r="AB421" s="43" t="str">
        <f>IFERROR(IF(LayTable[[#This Row],[Sport]]="",AB420,LayTable[[#This Row],[Faktisk res]]+AB420),"")</f>
        <v/>
      </c>
      <c r="AC421" s="43">
        <f>(LayTable[[#This Row],[BackWin-Commission]]+LayTable[[#This Row],[BookieInnsats]])</f>
        <v>0</v>
      </c>
      <c r="AD421" s="43" t="e">
        <f>(LayTable[[#This Row],[LayWin-Commission]])+LayTable[[#This Row],[LayLiability]]</f>
        <v>#VALUE!</v>
      </c>
      <c r="AE421" s="43"/>
      <c r="AF421" s="181"/>
    </row>
    <row r="422" spans="1:32">
      <c r="A422" s="84"/>
      <c r="B422" s="177"/>
      <c r="C422" s="40"/>
      <c r="D422" s="41"/>
      <c r="E422" s="178"/>
      <c r="F422" s="251"/>
      <c r="G422" s="183"/>
      <c r="H422" s="38"/>
      <c r="I422" s="42"/>
      <c r="J422" s="42"/>
      <c r="K422" s="43"/>
      <c r="L422" s="43"/>
      <c r="M422" s="44" t="str">
        <f>IF(LayTable[[#This Row],[Sport]]="","",LayTable[[#This Row],[LayInnsats]]*(LayTable[[#This Row],[LayOdds]]-1))</f>
        <v/>
      </c>
      <c r="N422" s="45" t="str">
        <f>IF(LayTable[[#This Row],[Sport]]="","",1/((1/LayTable[[#This Row],[BookieOdds]])+(1/((1/((1+((LayTable[[#This Row],[LayOdds]]-1)*(1+LayTable[[#This Row],[C% Lay]])))-1))+1)))-1)</f>
        <v/>
      </c>
      <c r="Q422" s="46" t="str">
        <f>IF(LayTable[[#This Row],[Sport]]="","",LayTable[[#This Row],[BookieInnsats]]+LayTable[[#This Row],[LayLiability]])</f>
        <v/>
      </c>
      <c r="R4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2" s="47" t="str">
        <f>IF(LayTable[[#This Row],[Utfall bookie]]="","",LayTable[[#This Row],[WBABack]]+LayTable[[#This Row],[WBALay]]-LayTable[[#This Row],[Total inns]])</f>
        <v/>
      </c>
      <c r="U4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2" s="48" t="str">
        <f>IFERROR(IF(LayTable[[#This Row],[Total inns]]="","",LayTable[[#This Row],[Rback]]/LayTable[[#This Row],[Total inns]]),"")</f>
        <v/>
      </c>
      <c r="X422" s="48" t="str">
        <f>IFERROR(IF(LayTable[[#This Row],[Total inns]]="","",LayTable[[#This Row],[Rlay]]/LayTable[[#This Row],[Total inns]]),"")</f>
        <v/>
      </c>
      <c r="Y422" s="48" t="str">
        <f>IFERROR(LayTable[[#This Row],[Faktisk res]]/LayTable[[#This Row],[Total inns]],"")</f>
        <v/>
      </c>
      <c r="Z422" s="47">
        <f>(LayTable[[#This Row],[BookieInnsats]]*LayTable[[#This Row],[BookieOdds]]-LayTable[[#This Row],[BookieInnsats]])*(1-LayTable[[#This Row],[C% Bookie]])</f>
        <v>0</v>
      </c>
      <c r="AA422" s="43">
        <f>LayTable[[#This Row],[LayInnsats]]*(1-LayTable[[#This Row],[C% Lay]])</f>
        <v>0</v>
      </c>
      <c r="AB422" s="43" t="str">
        <f>IFERROR(IF(LayTable[[#This Row],[Sport]]="",AB421,LayTable[[#This Row],[Faktisk res]]+AB421),"")</f>
        <v/>
      </c>
      <c r="AC422" s="43">
        <f>(LayTable[[#This Row],[BackWin-Commission]]+LayTable[[#This Row],[BookieInnsats]])</f>
        <v>0</v>
      </c>
      <c r="AD422" s="43" t="e">
        <f>(LayTable[[#This Row],[LayWin-Commission]])+LayTable[[#This Row],[LayLiability]]</f>
        <v>#VALUE!</v>
      </c>
      <c r="AE422" s="43"/>
      <c r="AF422" s="183"/>
    </row>
    <row r="423" spans="1:32">
      <c r="A423" s="84"/>
      <c r="B423" s="177"/>
      <c r="C423" s="40"/>
      <c r="D423" s="41"/>
      <c r="E423" s="178"/>
      <c r="F423" s="251"/>
      <c r="G423" s="183"/>
      <c r="H423" s="38"/>
      <c r="I423" s="42"/>
      <c r="J423" s="42"/>
      <c r="K423" s="43"/>
      <c r="L423" s="43"/>
      <c r="M423" s="44" t="str">
        <f>IF(LayTable[[#This Row],[Sport]]="","",LayTable[[#This Row],[LayInnsats]]*(LayTable[[#This Row],[LayOdds]]-1))</f>
        <v/>
      </c>
      <c r="N423" s="45" t="str">
        <f>IF(LayTable[[#This Row],[Sport]]="","",1/((1/LayTable[[#This Row],[BookieOdds]])+(1/((1/((1+((LayTable[[#This Row],[LayOdds]]-1)*(1+LayTable[[#This Row],[C% Lay]])))-1))+1)))-1)</f>
        <v/>
      </c>
      <c r="Q423" s="46" t="str">
        <f>IF(LayTable[[#This Row],[Sport]]="","",LayTable[[#This Row],[BookieInnsats]]+LayTable[[#This Row],[LayLiability]])</f>
        <v/>
      </c>
      <c r="R4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3" s="47" t="str">
        <f>IF(LayTable[[#This Row],[Utfall bookie]]="","",LayTable[[#This Row],[WBABack]]+LayTable[[#This Row],[WBALay]]-LayTable[[#This Row],[Total inns]])</f>
        <v/>
      </c>
      <c r="U4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3" s="48" t="str">
        <f>IFERROR(IF(LayTable[[#This Row],[Total inns]]="","",LayTable[[#This Row],[Rback]]/LayTable[[#This Row],[Total inns]]),"")</f>
        <v/>
      </c>
      <c r="X423" s="48" t="str">
        <f>IFERROR(IF(LayTable[[#This Row],[Total inns]]="","",LayTable[[#This Row],[Rlay]]/LayTable[[#This Row],[Total inns]]),"")</f>
        <v/>
      </c>
      <c r="Y423" s="48" t="str">
        <f>IFERROR(LayTable[[#This Row],[Faktisk res]]/LayTable[[#This Row],[Total inns]],"")</f>
        <v/>
      </c>
      <c r="Z423" s="47">
        <f>(LayTable[[#This Row],[BookieInnsats]]*LayTable[[#This Row],[BookieOdds]]-LayTable[[#This Row],[BookieInnsats]])*(1-LayTable[[#This Row],[C% Bookie]])</f>
        <v>0</v>
      </c>
      <c r="AA423" s="43">
        <f>LayTable[[#This Row],[LayInnsats]]*(1-LayTable[[#This Row],[C% Lay]])</f>
        <v>0</v>
      </c>
      <c r="AB423" s="43" t="str">
        <f>IFERROR(IF(LayTable[[#This Row],[Sport]]="",AB422,LayTable[[#This Row],[Faktisk res]]+AB422),"")</f>
        <v/>
      </c>
      <c r="AC423" s="43">
        <f>(LayTable[[#This Row],[BackWin-Commission]]+LayTable[[#This Row],[BookieInnsats]])</f>
        <v>0</v>
      </c>
      <c r="AD423" s="43" t="e">
        <f>(LayTable[[#This Row],[LayWin-Commission]])+LayTable[[#This Row],[LayLiability]]</f>
        <v>#VALUE!</v>
      </c>
      <c r="AE423" s="181"/>
      <c r="AF423" s="303"/>
    </row>
    <row r="424" spans="1:32">
      <c r="A424" s="84"/>
      <c r="B424" s="177"/>
      <c r="C424" s="40"/>
      <c r="D424" s="41"/>
      <c r="E424" s="178"/>
      <c r="F424" s="251"/>
      <c r="G424" s="183"/>
      <c r="H424" s="38"/>
      <c r="I424" s="42"/>
      <c r="J424" s="42"/>
      <c r="K424" s="43"/>
      <c r="L424" s="43"/>
      <c r="M424" s="44" t="str">
        <f>IF(LayTable[[#This Row],[Sport]]="","",LayTable[[#This Row],[LayInnsats]]*(LayTable[[#This Row],[LayOdds]]-1))</f>
        <v/>
      </c>
      <c r="N424" s="45" t="str">
        <f>IF(LayTable[[#This Row],[Sport]]="","",1/((1/LayTable[[#This Row],[BookieOdds]])+(1/((1/((1+((LayTable[[#This Row],[LayOdds]]-1)*(1+LayTable[[#This Row],[C% Lay]])))-1))+1)))-1)</f>
        <v/>
      </c>
      <c r="Q424" s="46" t="str">
        <f>IF(LayTable[[#This Row],[Sport]]="","",LayTable[[#This Row],[BookieInnsats]]+LayTable[[#This Row],[LayLiability]])</f>
        <v/>
      </c>
      <c r="R4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4" s="47" t="str">
        <f>IF(LayTable[[#This Row],[Utfall bookie]]="","",LayTable[[#This Row],[WBABack]]+LayTable[[#This Row],[WBALay]]-LayTable[[#This Row],[Total inns]])</f>
        <v/>
      </c>
      <c r="U4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4" s="48" t="str">
        <f>IFERROR(IF(LayTable[[#This Row],[Total inns]]="","",LayTable[[#This Row],[Rback]]/LayTable[[#This Row],[Total inns]]),"")</f>
        <v/>
      </c>
      <c r="X424" s="48" t="str">
        <f>IFERROR(IF(LayTable[[#This Row],[Total inns]]="","",LayTable[[#This Row],[Rlay]]/LayTable[[#This Row],[Total inns]]),"")</f>
        <v/>
      </c>
      <c r="Y424" s="48" t="str">
        <f>IFERROR(LayTable[[#This Row],[Faktisk res]]/LayTable[[#This Row],[Total inns]],"")</f>
        <v/>
      </c>
      <c r="Z424" s="47">
        <f>(LayTable[[#This Row],[BookieInnsats]]*LayTable[[#This Row],[BookieOdds]]-LayTable[[#This Row],[BookieInnsats]])*(1-LayTable[[#This Row],[C% Bookie]])</f>
        <v>0</v>
      </c>
      <c r="AA424" s="43">
        <f>LayTable[[#This Row],[LayInnsats]]*(1-LayTable[[#This Row],[C% Lay]])</f>
        <v>0</v>
      </c>
      <c r="AB424" s="43" t="str">
        <f>IFERROR(IF(LayTable[[#This Row],[Sport]]="",AB423,LayTable[[#This Row],[Faktisk res]]+AB423),"")</f>
        <v/>
      </c>
      <c r="AC424" s="43">
        <f>(LayTable[[#This Row],[BackWin-Commission]]+LayTable[[#This Row],[BookieInnsats]])</f>
        <v>0</v>
      </c>
      <c r="AD424" s="43" t="e">
        <f>(LayTable[[#This Row],[LayWin-Commission]])+LayTable[[#This Row],[LayLiability]]</f>
        <v>#VALUE!</v>
      </c>
      <c r="AE424" s="181"/>
      <c r="AF424" s="303"/>
    </row>
    <row r="425" spans="1:32">
      <c r="A425" s="84"/>
      <c r="B425" s="177"/>
      <c r="C425" s="40"/>
      <c r="D425" s="41"/>
      <c r="E425" s="178"/>
      <c r="F425" s="251"/>
      <c r="G425" s="183"/>
      <c r="H425" s="38"/>
      <c r="I425" s="42"/>
      <c r="J425" s="42"/>
      <c r="K425" s="43"/>
      <c r="L425" s="43"/>
      <c r="M425" s="44" t="str">
        <f>IF(LayTable[[#This Row],[Sport]]="","",LayTable[[#This Row],[LayInnsats]]*(LayTable[[#This Row],[LayOdds]]-1))</f>
        <v/>
      </c>
      <c r="N425" s="45" t="str">
        <f>IF(LayTable[[#This Row],[Sport]]="","",1/((1/LayTable[[#This Row],[BookieOdds]])+(1/((1/((1+((LayTable[[#This Row],[LayOdds]]-1)*(1+LayTable[[#This Row],[C% Lay]])))-1))+1)))-1)</f>
        <v/>
      </c>
      <c r="Q425" s="46" t="str">
        <f>IF(LayTable[[#This Row],[Sport]]="","",LayTable[[#This Row],[BookieInnsats]]+LayTable[[#This Row],[LayLiability]])</f>
        <v/>
      </c>
      <c r="R4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5" s="47" t="str">
        <f>IF(LayTable[[#This Row],[Utfall bookie]]="","",LayTable[[#This Row],[WBABack]]+LayTable[[#This Row],[WBALay]]-LayTable[[#This Row],[Total inns]])</f>
        <v/>
      </c>
      <c r="U4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5" s="48" t="str">
        <f>IFERROR(IF(LayTable[[#This Row],[Total inns]]="","",LayTable[[#This Row],[Rback]]/LayTable[[#This Row],[Total inns]]),"")</f>
        <v/>
      </c>
      <c r="X425" s="48" t="str">
        <f>IFERROR(IF(LayTable[[#This Row],[Total inns]]="","",LayTable[[#This Row],[Rlay]]/LayTable[[#This Row],[Total inns]]),"")</f>
        <v/>
      </c>
      <c r="Y425" s="48" t="str">
        <f>IFERROR(LayTable[[#This Row],[Faktisk res]]/LayTable[[#This Row],[Total inns]],"")</f>
        <v/>
      </c>
      <c r="Z425" s="47">
        <f>(LayTable[[#This Row],[BookieInnsats]]*LayTable[[#This Row],[BookieOdds]]-LayTable[[#This Row],[BookieInnsats]])*(1-LayTable[[#This Row],[C% Bookie]])</f>
        <v>0</v>
      </c>
      <c r="AA425" s="43">
        <f>LayTable[[#This Row],[LayInnsats]]*(1-LayTable[[#This Row],[C% Lay]])</f>
        <v>0</v>
      </c>
      <c r="AB425" s="43" t="str">
        <f>IFERROR(IF(LayTable[[#This Row],[Sport]]="",AB424,LayTable[[#This Row],[Faktisk res]]+AB424),"")</f>
        <v/>
      </c>
      <c r="AC425" s="43">
        <f>(LayTable[[#This Row],[BackWin-Commission]]+LayTable[[#This Row],[BookieInnsats]])</f>
        <v>0</v>
      </c>
      <c r="AD425" s="43" t="e">
        <f>(LayTable[[#This Row],[LayWin-Commission]])+LayTable[[#This Row],[LayLiability]]</f>
        <v>#VALUE!</v>
      </c>
      <c r="AE425" s="181"/>
      <c r="AF425" s="303"/>
    </row>
    <row r="426" spans="1:32">
      <c r="A426" s="84"/>
      <c r="B426" s="177"/>
      <c r="C426" s="40"/>
      <c r="D426" s="41"/>
      <c r="E426" s="178"/>
      <c r="F426" s="251"/>
      <c r="G426" s="183"/>
      <c r="H426" s="38"/>
      <c r="I426" s="42"/>
      <c r="J426" s="42"/>
      <c r="K426" s="43"/>
      <c r="L426" s="43"/>
      <c r="M426" s="44" t="str">
        <f>IF(LayTable[[#This Row],[Sport]]="","",LayTable[[#This Row],[LayInnsats]]*(LayTable[[#This Row],[LayOdds]]-1))</f>
        <v/>
      </c>
      <c r="N426" s="45" t="str">
        <f>IF(LayTable[[#This Row],[Sport]]="","",1/((1/LayTable[[#This Row],[BookieOdds]])+(1/((1/((1+((LayTable[[#This Row],[LayOdds]]-1)*(1+LayTable[[#This Row],[C% Lay]])))-1))+1)))-1)</f>
        <v/>
      </c>
      <c r="Q426" s="46" t="str">
        <f>IF(LayTable[[#This Row],[Sport]]="","",LayTable[[#This Row],[BookieInnsats]]+LayTable[[#This Row],[LayLiability]])</f>
        <v/>
      </c>
      <c r="R4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6" s="47" t="str">
        <f>IF(LayTable[[#This Row],[Utfall bookie]]="","",LayTable[[#This Row],[WBABack]]+LayTable[[#This Row],[WBALay]]-LayTable[[#This Row],[Total inns]])</f>
        <v/>
      </c>
      <c r="U4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6" s="48" t="str">
        <f>IFERROR(IF(LayTable[[#This Row],[Total inns]]="","",LayTable[[#This Row],[Rback]]/LayTable[[#This Row],[Total inns]]),"")</f>
        <v/>
      </c>
      <c r="X426" s="48" t="str">
        <f>IFERROR(IF(LayTable[[#This Row],[Total inns]]="","",LayTable[[#This Row],[Rlay]]/LayTable[[#This Row],[Total inns]]),"")</f>
        <v/>
      </c>
      <c r="Y426" s="48" t="str">
        <f>IFERROR(LayTable[[#This Row],[Faktisk res]]/LayTable[[#This Row],[Total inns]],"")</f>
        <v/>
      </c>
      <c r="Z426" s="47">
        <f>(LayTable[[#This Row],[BookieInnsats]]*LayTable[[#This Row],[BookieOdds]]-LayTable[[#This Row],[BookieInnsats]])*(1-LayTable[[#This Row],[C% Bookie]])</f>
        <v>0</v>
      </c>
      <c r="AA426" s="43">
        <f>LayTable[[#This Row],[LayInnsats]]*(1-LayTable[[#This Row],[C% Lay]])</f>
        <v>0</v>
      </c>
      <c r="AB426" s="43" t="str">
        <f>IFERROR(IF(LayTable[[#This Row],[Sport]]="",AB425,LayTable[[#This Row],[Faktisk res]]+AB425),"")</f>
        <v/>
      </c>
      <c r="AC426" s="43">
        <f>(LayTable[[#This Row],[BackWin-Commission]]+LayTable[[#This Row],[BookieInnsats]])</f>
        <v>0</v>
      </c>
      <c r="AD426" s="43" t="e">
        <f>(LayTable[[#This Row],[LayWin-Commission]])+LayTable[[#This Row],[LayLiability]]</f>
        <v>#VALUE!</v>
      </c>
      <c r="AE426" s="181"/>
      <c r="AF426" s="303"/>
    </row>
    <row r="427" spans="1:32">
      <c r="A427" s="84"/>
      <c r="B427" s="177"/>
      <c r="C427" s="40"/>
      <c r="D427" s="41"/>
      <c r="E427" s="178"/>
      <c r="F427" s="251"/>
      <c r="G427" s="183"/>
      <c r="H427" s="176"/>
      <c r="I427" s="180"/>
      <c r="J427" s="180"/>
      <c r="K427" s="181"/>
      <c r="L427" s="181"/>
      <c r="M427" s="44" t="str">
        <f>IF(LayTable[[#This Row],[Sport]]="","",LayTable[[#This Row],[LayInnsats]]*(LayTable[[#This Row],[LayOdds]]-1))</f>
        <v/>
      </c>
      <c r="N427" s="45" t="str">
        <f>IF(LayTable[[#This Row],[Sport]]="","",1/((1/LayTable[[#This Row],[BookieOdds]])+(1/((1/((1+((LayTable[[#This Row],[LayOdds]]-1)*(1+LayTable[[#This Row],[C% Lay]])))-1))+1)))-1)</f>
        <v/>
      </c>
      <c r="Q427" s="46" t="str">
        <f>IF(LayTable[[#This Row],[Sport]]="","",LayTable[[#This Row],[BookieInnsats]]+LayTable[[#This Row],[LayLiability]])</f>
        <v/>
      </c>
      <c r="R4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7" s="47" t="str">
        <f>IF(LayTable[[#This Row],[Utfall bookie]]="","",LayTable[[#This Row],[WBABack]]+LayTable[[#This Row],[WBALay]]-LayTable[[#This Row],[Total inns]])</f>
        <v/>
      </c>
      <c r="U4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7" s="48" t="str">
        <f>IFERROR(IF(LayTable[[#This Row],[Total inns]]="","",LayTable[[#This Row],[Rback]]/LayTable[[#This Row],[Total inns]]),"")</f>
        <v/>
      </c>
      <c r="X427" s="48" t="str">
        <f>IFERROR(IF(LayTable[[#This Row],[Total inns]]="","",LayTable[[#This Row],[Rlay]]/LayTable[[#This Row],[Total inns]]),"")</f>
        <v/>
      </c>
      <c r="Y427" s="48" t="str">
        <f>IFERROR(LayTable[[#This Row],[Faktisk res]]/LayTable[[#This Row],[Total inns]],"")</f>
        <v/>
      </c>
      <c r="Z427" s="47">
        <f>(LayTable[[#This Row],[BookieInnsats]]*LayTable[[#This Row],[BookieOdds]]-LayTable[[#This Row],[BookieInnsats]])*(1-LayTable[[#This Row],[C% Bookie]])</f>
        <v>0</v>
      </c>
      <c r="AA427" s="43">
        <f>LayTable[[#This Row],[LayInnsats]]*(1-LayTable[[#This Row],[C% Lay]])</f>
        <v>0</v>
      </c>
      <c r="AB427" s="43" t="str">
        <f>IFERROR(IF(LayTable[[#This Row],[Sport]]="",AB426,LayTable[[#This Row],[Faktisk res]]+AB426),"")</f>
        <v/>
      </c>
      <c r="AC427" s="43">
        <f>(LayTable[[#This Row],[BackWin-Commission]]+LayTable[[#This Row],[BookieInnsats]])</f>
        <v>0</v>
      </c>
      <c r="AD427" s="43" t="e">
        <f>(LayTable[[#This Row],[LayWin-Commission]])+LayTable[[#This Row],[LayLiability]]</f>
        <v>#VALUE!</v>
      </c>
      <c r="AE427" s="181"/>
      <c r="AF427" s="303"/>
    </row>
    <row r="428" spans="1:32">
      <c r="A428" s="84"/>
      <c r="B428" s="177"/>
      <c r="C428" s="40"/>
      <c r="D428" s="41"/>
      <c r="E428" s="178"/>
      <c r="F428" s="251"/>
      <c r="G428" s="183"/>
      <c r="H428" s="38"/>
      <c r="I428" s="42"/>
      <c r="J428" s="42"/>
      <c r="K428" s="43"/>
      <c r="L428" s="43"/>
      <c r="M428" s="44" t="str">
        <f>IF(LayTable[[#This Row],[Sport]]="","",LayTable[[#This Row],[LayInnsats]]*(LayTable[[#This Row],[LayOdds]]-1))</f>
        <v/>
      </c>
      <c r="N428" s="45" t="str">
        <f>IF(LayTable[[#This Row],[Sport]]="","",1/((1/LayTable[[#This Row],[BookieOdds]])+(1/((1/((1+((LayTable[[#This Row],[LayOdds]]-1)*(1+LayTable[[#This Row],[C% Lay]])))-1))+1)))-1)</f>
        <v/>
      </c>
      <c r="Q428" s="46" t="str">
        <f>IF(LayTable[[#This Row],[Sport]]="","",LayTable[[#This Row],[BookieInnsats]]+LayTable[[#This Row],[LayLiability]])</f>
        <v/>
      </c>
      <c r="R4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8" s="47" t="str">
        <f>IF(LayTable[[#This Row],[Utfall bookie]]="","",LayTable[[#This Row],[WBABack]]+LayTable[[#This Row],[WBALay]]-LayTable[[#This Row],[Total inns]])</f>
        <v/>
      </c>
      <c r="U4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8" s="48" t="str">
        <f>IFERROR(IF(LayTable[[#This Row],[Total inns]]="","",LayTable[[#This Row],[Rback]]/LayTable[[#This Row],[Total inns]]),"")</f>
        <v/>
      </c>
      <c r="X428" s="48" t="str">
        <f>IFERROR(IF(LayTable[[#This Row],[Total inns]]="","",LayTable[[#This Row],[Rlay]]/LayTable[[#This Row],[Total inns]]),"")</f>
        <v/>
      </c>
      <c r="Y428" s="48" t="str">
        <f>IFERROR(LayTable[[#This Row],[Faktisk res]]/LayTable[[#This Row],[Total inns]],"")</f>
        <v/>
      </c>
      <c r="Z428" s="47">
        <f>(LayTable[[#This Row],[BookieInnsats]]*LayTable[[#This Row],[BookieOdds]]-LayTable[[#This Row],[BookieInnsats]])*(1-LayTable[[#This Row],[C% Bookie]])</f>
        <v>0</v>
      </c>
      <c r="AA428" s="43">
        <f>LayTable[[#This Row],[LayInnsats]]*(1-LayTable[[#This Row],[C% Lay]])</f>
        <v>0</v>
      </c>
      <c r="AB428" s="43" t="str">
        <f>IFERROR(IF(LayTable[[#This Row],[Sport]]="",AB427,LayTable[[#This Row],[Faktisk res]]+AB427),"")</f>
        <v/>
      </c>
      <c r="AC428" s="43">
        <f>(LayTable[[#This Row],[BackWin-Commission]]+LayTable[[#This Row],[BookieInnsats]])</f>
        <v>0</v>
      </c>
      <c r="AD428" s="43" t="e">
        <f>(LayTable[[#This Row],[LayWin-Commission]])+LayTable[[#This Row],[LayLiability]]</f>
        <v>#VALUE!</v>
      </c>
      <c r="AE428" s="181"/>
      <c r="AF428" s="303"/>
    </row>
    <row r="429" spans="1:32">
      <c r="A429" s="183"/>
      <c r="B429" s="177"/>
      <c r="C429" s="40"/>
      <c r="D429" s="41"/>
      <c r="E429" s="178"/>
      <c r="F429" s="251"/>
      <c r="G429" s="183"/>
      <c r="H429" s="38"/>
      <c r="I429" s="42"/>
      <c r="J429" s="42"/>
      <c r="K429" s="43"/>
      <c r="L429" s="43"/>
      <c r="M429" s="44" t="str">
        <f>IF(LayTable[[#This Row],[Sport]]="","",LayTable[[#This Row],[LayInnsats]]*(LayTable[[#This Row],[LayOdds]]-1))</f>
        <v/>
      </c>
      <c r="N429" s="45" t="str">
        <f>IF(LayTable[[#This Row],[Sport]]="","",1/((1/LayTable[[#This Row],[BookieOdds]])+(1/((1/((1+((LayTable[[#This Row],[LayOdds]]-1)*(1+LayTable[[#This Row],[C% Lay]])))-1))+1)))-1)</f>
        <v/>
      </c>
      <c r="Q429" s="46" t="str">
        <f>IF(LayTable[[#This Row],[Sport]]="","",LayTable[[#This Row],[BookieInnsats]]+LayTable[[#This Row],[LayLiability]])</f>
        <v/>
      </c>
      <c r="R4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29" s="47" t="str">
        <f>IF(LayTable[[#This Row],[Utfall bookie]]="","",LayTable[[#This Row],[WBABack]]+LayTable[[#This Row],[WBALay]]-LayTable[[#This Row],[Total inns]])</f>
        <v/>
      </c>
      <c r="U4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29" s="48" t="str">
        <f>IFERROR(IF(LayTable[[#This Row],[Total inns]]="","",LayTable[[#This Row],[Rback]]/LayTable[[#This Row],[Total inns]]),"")</f>
        <v/>
      </c>
      <c r="X429" s="48" t="str">
        <f>IFERROR(IF(LayTable[[#This Row],[Total inns]]="","",LayTable[[#This Row],[Rlay]]/LayTable[[#This Row],[Total inns]]),"")</f>
        <v/>
      </c>
      <c r="Y429" s="48" t="str">
        <f>IFERROR(LayTable[[#This Row],[Faktisk res]]/LayTable[[#This Row],[Total inns]],"")</f>
        <v/>
      </c>
      <c r="Z429" s="47">
        <f>(LayTable[[#This Row],[BookieInnsats]]*LayTable[[#This Row],[BookieOdds]]-LayTable[[#This Row],[BookieInnsats]])*(1-LayTable[[#This Row],[C% Bookie]])</f>
        <v>0</v>
      </c>
      <c r="AA429" s="43">
        <f>LayTable[[#This Row],[LayInnsats]]*(1-LayTable[[#This Row],[C% Lay]])</f>
        <v>0</v>
      </c>
      <c r="AB429" s="43" t="str">
        <f>IFERROR(IF(LayTable[[#This Row],[Sport]]="",AB428,LayTable[[#This Row],[Faktisk res]]+AB428),"")</f>
        <v/>
      </c>
      <c r="AC429" s="43">
        <f>(LayTable[[#This Row],[BackWin-Commission]]+LayTable[[#This Row],[BookieInnsats]])</f>
        <v>0</v>
      </c>
      <c r="AD429" s="43" t="e">
        <f>(LayTable[[#This Row],[LayWin-Commission]])+LayTable[[#This Row],[LayLiability]]</f>
        <v>#VALUE!</v>
      </c>
      <c r="AE429" s="181"/>
      <c r="AF429" s="303"/>
    </row>
    <row r="430" spans="1:32">
      <c r="A430" s="183"/>
      <c r="B430" s="177"/>
      <c r="C430" s="40"/>
      <c r="D430" s="41"/>
      <c r="E430" s="178"/>
      <c r="F430" s="251"/>
      <c r="G430" s="183"/>
      <c r="H430" s="38"/>
      <c r="I430" s="42"/>
      <c r="J430" s="42"/>
      <c r="K430" s="43"/>
      <c r="L430" s="43"/>
      <c r="M430" s="44" t="str">
        <f>IF(LayTable[[#This Row],[Sport]]="","",LayTable[[#This Row],[LayInnsats]]*(LayTable[[#This Row],[LayOdds]]-1))</f>
        <v/>
      </c>
      <c r="N430" s="45" t="str">
        <f>IF(LayTable[[#This Row],[Sport]]="","",1/((1/LayTable[[#This Row],[BookieOdds]])+(1/((1/((1+((LayTable[[#This Row],[LayOdds]]-1)*(1+LayTable[[#This Row],[C% Lay]])))-1))+1)))-1)</f>
        <v/>
      </c>
      <c r="Q430" s="46" t="str">
        <f>IF(LayTable[[#This Row],[Sport]]="","",LayTable[[#This Row],[BookieInnsats]]+LayTable[[#This Row],[LayLiability]])</f>
        <v/>
      </c>
      <c r="R4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0" s="47" t="str">
        <f>IF(LayTable[[#This Row],[Utfall bookie]]="","",LayTable[[#This Row],[WBABack]]+LayTable[[#This Row],[WBALay]]-LayTable[[#This Row],[Total inns]])</f>
        <v/>
      </c>
      <c r="U4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0" s="48" t="str">
        <f>IFERROR(IF(LayTable[[#This Row],[Total inns]]="","",LayTable[[#This Row],[Rback]]/LayTable[[#This Row],[Total inns]]),"")</f>
        <v/>
      </c>
      <c r="X430" s="48" t="str">
        <f>IFERROR(IF(LayTable[[#This Row],[Total inns]]="","",LayTable[[#This Row],[Rlay]]/LayTable[[#This Row],[Total inns]]),"")</f>
        <v/>
      </c>
      <c r="Y430" s="48" t="str">
        <f>IFERROR(LayTable[[#This Row],[Faktisk res]]/LayTable[[#This Row],[Total inns]],"")</f>
        <v/>
      </c>
      <c r="Z430" s="47">
        <f>(LayTable[[#This Row],[BookieInnsats]]*LayTable[[#This Row],[BookieOdds]]-LayTable[[#This Row],[BookieInnsats]])*(1-LayTable[[#This Row],[C% Bookie]])</f>
        <v>0</v>
      </c>
      <c r="AA430" s="43">
        <f>LayTable[[#This Row],[LayInnsats]]*(1-LayTable[[#This Row],[C% Lay]])</f>
        <v>0</v>
      </c>
      <c r="AB430" s="43" t="str">
        <f>IFERROR(IF(LayTable[[#This Row],[Sport]]="",AB429,LayTable[[#This Row],[Faktisk res]]+AB429),"")</f>
        <v/>
      </c>
      <c r="AC430" s="43">
        <f>(LayTable[[#This Row],[BackWin-Commission]]+LayTable[[#This Row],[BookieInnsats]])</f>
        <v>0</v>
      </c>
      <c r="AD430" s="43" t="e">
        <f>(LayTable[[#This Row],[LayWin-Commission]])+LayTable[[#This Row],[LayLiability]]</f>
        <v>#VALUE!</v>
      </c>
      <c r="AE430" s="181"/>
      <c r="AF430" s="303"/>
    </row>
    <row r="431" spans="1:32">
      <c r="A431" s="84"/>
      <c r="B431" s="177"/>
      <c r="C431" s="40"/>
      <c r="D431" s="41"/>
      <c r="E431" s="178"/>
      <c r="F431" s="251"/>
      <c r="G431" s="183"/>
      <c r="H431" s="38"/>
      <c r="I431" s="42"/>
      <c r="J431" s="42"/>
      <c r="K431" s="43"/>
      <c r="L431" s="43"/>
      <c r="M431" s="44" t="str">
        <f>IF(LayTable[[#This Row],[Sport]]="","",LayTable[[#This Row],[LayInnsats]]*(LayTable[[#This Row],[LayOdds]]-1))</f>
        <v/>
      </c>
      <c r="N431" s="45" t="str">
        <f>IF(LayTable[[#This Row],[Sport]]="","",1/((1/LayTable[[#This Row],[BookieOdds]])+(1/((1/((1+((LayTable[[#This Row],[LayOdds]]-1)*(1+LayTable[[#This Row],[C% Lay]])))-1))+1)))-1)</f>
        <v/>
      </c>
      <c r="Q431" s="46" t="str">
        <f>IF(LayTable[[#This Row],[Sport]]="","",LayTable[[#This Row],[BookieInnsats]]+LayTable[[#This Row],[LayLiability]])</f>
        <v/>
      </c>
      <c r="R4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1" s="47" t="str">
        <f>IF(LayTable[[#This Row],[Utfall bookie]]="","",LayTable[[#This Row],[WBABack]]+LayTable[[#This Row],[WBALay]]-LayTable[[#This Row],[Total inns]])</f>
        <v/>
      </c>
      <c r="U4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1" s="48" t="str">
        <f>IFERROR(IF(LayTable[[#This Row],[Total inns]]="","",LayTable[[#This Row],[Rback]]/LayTable[[#This Row],[Total inns]]),"")</f>
        <v/>
      </c>
      <c r="X431" s="48" t="str">
        <f>IFERROR(IF(LayTable[[#This Row],[Total inns]]="","",LayTable[[#This Row],[Rlay]]/LayTable[[#This Row],[Total inns]]),"")</f>
        <v/>
      </c>
      <c r="Y431" s="48" t="str">
        <f>IFERROR(LayTable[[#This Row],[Faktisk res]]/LayTable[[#This Row],[Total inns]],"")</f>
        <v/>
      </c>
      <c r="Z431" s="47">
        <f>(LayTable[[#This Row],[BookieInnsats]]*LayTable[[#This Row],[BookieOdds]]-LayTable[[#This Row],[BookieInnsats]])*(1-LayTable[[#This Row],[C% Bookie]])</f>
        <v>0</v>
      </c>
      <c r="AA431" s="43">
        <f>LayTable[[#This Row],[LayInnsats]]*(1-LayTable[[#This Row],[C% Lay]])</f>
        <v>0</v>
      </c>
      <c r="AB431" s="43" t="str">
        <f>IFERROR(IF(LayTable[[#This Row],[Sport]]="",AB430,LayTable[[#This Row],[Faktisk res]]+AB430),"")</f>
        <v/>
      </c>
      <c r="AC431" s="43">
        <f>(LayTable[[#This Row],[BackWin-Commission]]+LayTable[[#This Row],[BookieInnsats]])</f>
        <v>0</v>
      </c>
      <c r="AD431" s="43" t="e">
        <f>(LayTable[[#This Row],[LayWin-Commission]])+LayTable[[#This Row],[LayLiability]]</f>
        <v>#VALUE!</v>
      </c>
      <c r="AE431" s="181"/>
      <c r="AF431" s="303"/>
    </row>
    <row r="432" spans="1:32">
      <c r="A432" s="84"/>
      <c r="B432" s="177"/>
      <c r="C432" s="40"/>
      <c r="D432" s="41"/>
      <c r="E432" s="178"/>
      <c r="F432" s="251"/>
      <c r="G432" s="183"/>
      <c r="H432" s="38"/>
      <c r="I432" s="42"/>
      <c r="J432" s="42"/>
      <c r="K432" s="43"/>
      <c r="L432" s="43"/>
      <c r="M432" s="44" t="str">
        <f>IF(LayTable[[#This Row],[Sport]]="","",LayTable[[#This Row],[LayInnsats]]*(LayTable[[#This Row],[LayOdds]]-1))</f>
        <v/>
      </c>
      <c r="N432" s="45" t="str">
        <f>IF(LayTable[[#This Row],[Sport]]="","",1/((1/LayTable[[#This Row],[BookieOdds]])+(1/((1/((1+((LayTable[[#This Row],[LayOdds]]-1)*(1+LayTable[[#This Row],[C% Lay]])))-1))+1)))-1)</f>
        <v/>
      </c>
      <c r="Q432" s="46" t="str">
        <f>IF(LayTable[[#This Row],[Sport]]="","",LayTable[[#This Row],[BookieInnsats]]+LayTable[[#This Row],[LayLiability]])</f>
        <v/>
      </c>
      <c r="R4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2" s="47" t="str">
        <f>IF(LayTable[[#This Row],[Utfall bookie]]="","",LayTable[[#This Row],[WBABack]]+LayTable[[#This Row],[WBALay]]-LayTable[[#This Row],[Total inns]])</f>
        <v/>
      </c>
      <c r="U4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2" s="48" t="str">
        <f>IFERROR(IF(LayTable[[#This Row],[Total inns]]="","",LayTable[[#This Row],[Rback]]/LayTable[[#This Row],[Total inns]]),"")</f>
        <v/>
      </c>
      <c r="X432" s="48" t="str">
        <f>IFERROR(IF(LayTable[[#This Row],[Total inns]]="","",LayTable[[#This Row],[Rlay]]/LayTable[[#This Row],[Total inns]]),"")</f>
        <v/>
      </c>
      <c r="Y432" s="48" t="str">
        <f>IFERROR(LayTable[[#This Row],[Faktisk res]]/LayTable[[#This Row],[Total inns]],"")</f>
        <v/>
      </c>
      <c r="Z432" s="47">
        <f>(LayTable[[#This Row],[BookieInnsats]]*LayTable[[#This Row],[BookieOdds]]-LayTable[[#This Row],[BookieInnsats]])*(1-LayTable[[#This Row],[C% Bookie]])</f>
        <v>0</v>
      </c>
      <c r="AA432" s="43">
        <f>LayTable[[#This Row],[LayInnsats]]*(1-LayTable[[#This Row],[C% Lay]])</f>
        <v>0</v>
      </c>
      <c r="AB432" s="43" t="str">
        <f>IFERROR(IF(LayTable[[#This Row],[Sport]]="",#REF!,LayTable[[#This Row],[Faktisk res]]+#REF!),"")</f>
        <v/>
      </c>
      <c r="AC432" s="43">
        <f>(LayTable[[#This Row],[BackWin-Commission]]+LayTable[[#This Row],[BookieInnsats]])</f>
        <v>0</v>
      </c>
      <c r="AD432" s="43" t="e">
        <f>(LayTable[[#This Row],[LayWin-Commission]])+LayTable[[#This Row],[LayLiability]]</f>
        <v>#VALUE!</v>
      </c>
      <c r="AE432" s="181"/>
      <c r="AF432" s="303"/>
    </row>
    <row r="433" spans="1:32">
      <c r="A433" s="183"/>
      <c r="B433" s="177"/>
      <c r="C433" s="40"/>
      <c r="D433" s="41"/>
      <c r="E433" s="178"/>
      <c r="F433" s="251"/>
      <c r="G433" s="183"/>
      <c r="H433" s="38"/>
      <c r="I433" s="42"/>
      <c r="J433" s="42"/>
      <c r="K433" s="43"/>
      <c r="L433" s="43"/>
      <c r="M433" s="44" t="str">
        <f>IF(LayTable[[#This Row],[Sport]]="","",LayTable[[#This Row],[LayInnsats]]*(LayTable[[#This Row],[LayOdds]]-1))</f>
        <v/>
      </c>
      <c r="N433" s="45" t="str">
        <f>IF(LayTable[[#This Row],[Sport]]="","",1/((1/LayTable[[#This Row],[BookieOdds]])+(1/((1/((1+((LayTable[[#This Row],[LayOdds]]-1)*(1+LayTable[[#This Row],[C% Lay]])))-1))+1)))-1)</f>
        <v/>
      </c>
      <c r="Q433" s="46" t="str">
        <f>IF(LayTable[[#This Row],[Sport]]="","",LayTable[[#This Row],[BookieInnsats]]+LayTable[[#This Row],[LayLiability]])</f>
        <v/>
      </c>
      <c r="R4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3" s="47" t="str">
        <f>IF(LayTable[[#This Row],[Utfall bookie]]="","",LayTable[[#This Row],[WBABack]]+LayTable[[#This Row],[WBALay]]-LayTable[[#This Row],[Total inns]])</f>
        <v/>
      </c>
      <c r="U4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3" s="48" t="str">
        <f>IFERROR(IF(LayTable[[#This Row],[Total inns]]="","",LayTable[[#This Row],[Rback]]/LayTable[[#This Row],[Total inns]]),"")</f>
        <v/>
      </c>
      <c r="X433" s="48" t="str">
        <f>IFERROR(IF(LayTable[[#This Row],[Total inns]]="","",LayTable[[#This Row],[Rlay]]/LayTable[[#This Row],[Total inns]]),"")</f>
        <v/>
      </c>
      <c r="Y433" s="48" t="str">
        <f>IFERROR(LayTable[[#This Row],[Faktisk res]]/LayTable[[#This Row],[Total inns]],"")</f>
        <v/>
      </c>
      <c r="Z433" s="47">
        <f>(LayTable[[#This Row],[BookieInnsats]]*LayTable[[#This Row],[BookieOdds]]-LayTable[[#This Row],[BookieInnsats]])*(1-LayTable[[#This Row],[C% Bookie]])</f>
        <v>0</v>
      </c>
      <c r="AA433" s="43">
        <f>LayTable[[#This Row],[LayInnsats]]*(1-LayTable[[#This Row],[C% Lay]])</f>
        <v>0</v>
      </c>
      <c r="AB433" s="43" t="str">
        <f>IFERROR(IF(LayTable[[#This Row],[Sport]]="",AB432,LayTable[[#This Row],[Faktisk res]]+AB432),"")</f>
        <v/>
      </c>
      <c r="AC433" s="43">
        <f>(LayTable[[#This Row],[BackWin-Commission]]+LayTable[[#This Row],[BookieInnsats]])</f>
        <v>0</v>
      </c>
      <c r="AD433" s="43" t="e">
        <f>(LayTable[[#This Row],[LayWin-Commission]])+LayTable[[#This Row],[LayLiability]]</f>
        <v>#VALUE!</v>
      </c>
      <c r="AE433" s="303"/>
      <c r="AF433" s="303"/>
    </row>
    <row r="434" spans="1:32">
      <c r="A434" s="84"/>
      <c r="B434" s="177"/>
      <c r="C434" s="40"/>
      <c r="D434" s="41"/>
      <c r="E434" s="178"/>
      <c r="F434" s="251"/>
      <c r="G434" s="183"/>
      <c r="H434" s="38"/>
      <c r="I434" s="42"/>
      <c r="J434" s="42"/>
      <c r="K434" s="43"/>
      <c r="L434" s="43"/>
      <c r="M434" s="44" t="str">
        <f>IF(LayTable[[#This Row],[Sport]]="","",LayTable[[#This Row],[LayInnsats]]*(LayTable[[#This Row],[LayOdds]]-1))</f>
        <v/>
      </c>
      <c r="N434" s="45" t="str">
        <f>IF(LayTable[[#This Row],[Sport]]="","",1/((1/LayTable[[#This Row],[BookieOdds]])+(1/((1/((1+((LayTable[[#This Row],[LayOdds]]-1)*(1+LayTable[[#This Row],[C% Lay]])))-1))+1)))-1)</f>
        <v/>
      </c>
      <c r="Q434" s="46" t="str">
        <f>IF(LayTable[[#This Row],[Sport]]="","",LayTable[[#This Row],[BookieInnsats]]+LayTable[[#This Row],[LayLiability]])</f>
        <v/>
      </c>
      <c r="R4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4" s="47" t="str">
        <f>IF(LayTable[[#This Row],[Utfall bookie]]="","",LayTable[[#This Row],[WBABack]]+LayTable[[#This Row],[WBALay]]-LayTable[[#This Row],[Total inns]])</f>
        <v/>
      </c>
      <c r="U4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4" s="48" t="str">
        <f>IFERROR(IF(LayTable[[#This Row],[Total inns]]="","",LayTable[[#This Row],[Rback]]/LayTable[[#This Row],[Total inns]]),"")</f>
        <v/>
      </c>
      <c r="X434" s="48" t="str">
        <f>IFERROR(IF(LayTable[[#This Row],[Total inns]]="","",LayTable[[#This Row],[Rlay]]/LayTable[[#This Row],[Total inns]]),"")</f>
        <v/>
      </c>
      <c r="Y434" s="48" t="str">
        <f>IFERROR(LayTable[[#This Row],[Faktisk res]]/LayTable[[#This Row],[Total inns]],"")</f>
        <v/>
      </c>
      <c r="Z434" s="47">
        <f>(LayTable[[#This Row],[BookieInnsats]]*LayTable[[#This Row],[BookieOdds]]-LayTable[[#This Row],[BookieInnsats]])*(1-LayTable[[#This Row],[C% Bookie]])</f>
        <v>0</v>
      </c>
      <c r="AA434" s="43">
        <f>LayTable[[#This Row],[LayInnsats]]*(1-LayTable[[#This Row],[C% Lay]])</f>
        <v>0</v>
      </c>
      <c r="AB434" s="43" t="str">
        <f>IFERROR(IF(LayTable[[#This Row],[Sport]]="",#REF!,LayTable[[#This Row],[Faktisk res]]+#REF!),"")</f>
        <v/>
      </c>
      <c r="AC434" s="43">
        <f>(LayTable[[#This Row],[BackWin-Commission]]+LayTable[[#This Row],[BookieInnsats]])</f>
        <v>0</v>
      </c>
      <c r="AD434" s="43" t="e">
        <f>(LayTable[[#This Row],[LayWin-Commission]])+LayTable[[#This Row],[LayLiability]]</f>
        <v>#VALUE!</v>
      </c>
      <c r="AE434" s="181"/>
      <c r="AF434" s="303"/>
    </row>
    <row r="435" spans="1:32">
      <c r="A435" s="183"/>
      <c r="B435" s="177"/>
      <c r="C435" s="40"/>
      <c r="D435" s="41"/>
      <c r="E435" s="178"/>
      <c r="F435" s="251"/>
      <c r="G435" s="183"/>
      <c r="H435" s="38"/>
      <c r="I435" s="42"/>
      <c r="J435" s="42"/>
      <c r="K435" s="43"/>
      <c r="L435" s="43"/>
      <c r="M435" s="44" t="str">
        <f>IF(LayTable[[#This Row],[Sport]]="","",LayTable[[#This Row],[LayInnsats]]*(LayTable[[#This Row],[LayOdds]]-1))</f>
        <v/>
      </c>
      <c r="N435" s="45" t="str">
        <f>IF(LayTable[[#This Row],[Sport]]="","",1/((1/LayTable[[#This Row],[BookieOdds]])+(1/((1/((1+((LayTable[[#This Row],[LayOdds]]-1)*(1+LayTable[[#This Row],[C% Lay]])))-1))+1)))-1)</f>
        <v/>
      </c>
      <c r="Q435" s="46" t="str">
        <f>IF(LayTable[[#This Row],[Sport]]="","",LayTable[[#This Row],[BookieInnsats]]+LayTable[[#This Row],[LayLiability]])</f>
        <v/>
      </c>
      <c r="R4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5" s="47" t="str">
        <f>IF(LayTable[[#This Row],[Utfall bookie]]="","",LayTable[[#This Row],[WBABack]]+LayTable[[#This Row],[WBALay]]-LayTable[[#This Row],[Total inns]])</f>
        <v/>
      </c>
      <c r="U4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5" s="48" t="str">
        <f>IFERROR(IF(LayTable[[#This Row],[Total inns]]="","",LayTable[[#This Row],[Rback]]/LayTable[[#This Row],[Total inns]]),"")</f>
        <v/>
      </c>
      <c r="X435" s="48" t="str">
        <f>IFERROR(IF(LayTable[[#This Row],[Total inns]]="","",LayTable[[#This Row],[Rlay]]/LayTable[[#This Row],[Total inns]]),"")</f>
        <v/>
      </c>
      <c r="Y435" s="48" t="str">
        <f>IFERROR(LayTable[[#This Row],[Faktisk res]]/LayTable[[#This Row],[Total inns]],"")</f>
        <v/>
      </c>
      <c r="Z435" s="47">
        <f>(LayTable[[#This Row],[BookieInnsats]]*LayTable[[#This Row],[BookieOdds]]-LayTable[[#This Row],[BookieInnsats]])*(1-LayTable[[#This Row],[C% Bookie]])</f>
        <v>0</v>
      </c>
      <c r="AA435" s="43">
        <f>LayTable[[#This Row],[LayInnsats]]*(1-LayTable[[#This Row],[C% Lay]])</f>
        <v>0</v>
      </c>
      <c r="AB435" s="43" t="str">
        <f>IFERROR(IF(LayTable[[#This Row],[Sport]]="",AB434,LayTable[[#This Row],[Faktisk res]]+AB434),"")</f>
        <v/>
      </c>
      <c r="AC435" s="43">
        <f>(LayTable[[#This Row],[BackWin-Commission]]+LayTable[[#This Row],[BookieInnsats]])</f>
        <v>0</v>
      </c>
      <c r="AD435" s="43" t="e">
        <f>(LayTable[[#This Row],[LayWin-Commission]])+LayTable[[#This Row],[LayLiability]]</f>
        <v>#VALUE!</v>
      </c>
      <c r="AE435" s="181"/>
      <c r="AF435" s="303"/>
    </row>
    <row r="436" spans="1:32">
      <c r="A436" s="183"/>
      <c r="B436" s="177"/>
      <c r="C436" s="178"/>
      <c r="D436" s="41"/>
      <c r="E436" s="178"/>
      <c r="F436" s="251"/>
      <c r="G436" s="183"/>
      <c r="H436" s="38"/>
      <c r="I436" s="42"/>
      <c r="J436" s="42"/>
      <c r="K436" s="43"/>
      <c r="L436" s="43"/>
      <c r="M436" s="44" t="str">
        <f>IF(LayTable[[#This Row],[Sport]]="","",LayTable[[#This Row],[LayInnsats]]*(LayTable[[#This Row],[LayOdds]]-1))</f>
        <v/>
      </c>
      <c r="N436" s="45" t="str">
        <f>IF(LayTable[[#This Row],[Sport]]="","",1/((1/LayTable[[#This Row],[BookieOdds]])+(1/((1/((1+((LayTable[[#This Row],[LayOdds]]-1)*(1+LayTable[[#This Row],[C% Lay]])))-1))+1)))-1)</f>
        <v/>
      </c>
      <c r="Q436" s="46" t="str">
        <f>IF(LayTable[[#This Row],[Sport]]="","",LayTable[[#This Row],[BookieInnsats]]+LayTable[[#This Row],[LayLiability]])</f>
        <v/>
      </c>
      <c r="R4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6" s="47" t="str">
        <f>IF(LayTable[[#This Row],[Utfall bookie]]="","",LayTable[[#This Row],[WBABack]]+LayTable[[#This Row],[WBALay]]-LayTable[[#This Row],[Total inns]])</f>
        <v/>
      </c>
      <c r="U4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6" s="48" t="str">
        <f>IFERROR(IF(LayTable[[#This Row],[Total inns]]="","",LayTable[[#This Row],[Rback]]/LayTable[[#This Row],[Total inns]]),"")</f>
        <v/>
      </c>
      <c r="X436" s="48" t="str">
        <f>IFERROR(IF(LayTable[[#This Row],[Total inns]]="","",LayTable[[#This Row],[Rlay]]/LayTable[[#This Row],[Total inns]]),"")</f>
        <v/>
      </c>
      <c r="Y436" s="48" t="str">
        <f>IFERROR(LayTable[[#This Row],[Faktisk res]]/LayTable[[#This Row],[Total inns]],"")</f>
        <v/>
      </c>
      <c r="Z436" s="47">
        <f>(LayTable[[#This Row],[BookieInnsats]]*LayTable[[#This Row],[BookieOdds]]-LayTable[[#This Row],[BookieInnsats]])*(1-LayTable[[#This Row],[C% Bookie]])</f>
        <v>0</v>
      </c>
      <c r="AA436" s="43">
        <f>LayTable[[#This Row],[LayInnsats]]*(1-LayTable[[#This Row],[C% Lay]])</f>
        <v>0</v>
      </c>
      <c r="AB436" s="43" t="str">
        <f>IFERROR(IF(LayTable[[#This Row],[Sport]]="",AB435,LayTable[[#This Row],[Faktisk res]]+AB435),"")</f>
        <v/>
      </c>
      <c r="AC436" s="43">
        <f>(LayTable[[#This Row],[BackWin-Commission]]+LayTable[[#This Row],[BookieInnsats]])</f>
        <v>0</v>
      </c>
      <c r="AD436" s="43" t="e">
        <f>(LayTable[[#This Row],[LayWin-Commission]])+LayTable[[#This Row],[LayLiability]]</f>
        <v>#VALUE!</v>
      </c>
      <c r="AE436" s="181"/>
      <c r="AF436" s="303"/>
    </row>
    <row r="437" spans="1:32">
      <c r="A437" s="84"/>
      <c r="B437" s="177"/>
      <c r="C437" s="40"/>
      <c r="D437" s="41"/>
      <c r="E437" s="178"/>
      <c r="F437" s="179"/>
      <c r="G437" s="183"/>
      <c r="H437" s="38"/>
      <c r="I437" s="42"/>
      <c r="J437" s="42"/>
      <c r="K437" s="43"/>
      <c r="L437" s="43"/>
      <c r="M437" s="44" t="str">
        <f>IF(LayTable[[#This Row],[Sport]]="","",LayTable[[#This Row],[LayInnsats]]*(LayTable[[#This Row],[LayOdds]]-1))</f>
        <v/>
      </c>
      <c r="N437" s="45" t="str">
        <f>IF(LayTable[[#This Row],[Sport]]="","",1/((1/LayTable[[#This Row],[BookieOdds]])+(1/((1/((1+((LayTable[[#This Row],[LayOdds]]-1)*(1+LayTable[[#This Row],[C% Lay]])))-1))+1)))-1)</f>
        <v/>
      </c>
      <c r="Q437" s="46" t="str">
        <f>IF(LayTable[[#This Row],[Sport]]="","",LayTable[[#This Row],[BookieInnsats]]+LayTable[[#This Row],[LayLiability]])</f>
        <v/>
      </c>
      <c r="R4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7" s="47" t="str">
        <f>IF(LayTable[[#This Row],[Utfall bookie]]="","",LayTable[[#This Row],[WBABack]]+LayTable[[#This Row],[WBALay]]-LayTable[[#This Row],[Total inns]])</f>
        <v/>
      </c>
      <c r="U4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7" s="48" t="str">
        <f>IFERROR(IF(LayTable[[#This Row],[Total inns]]="","",LayTable[[#This Row],[Rback]]/LayTable[[#This Row],[Total inns]]),"")</f>
        <v/>
      </c>
      <c r="X437" s="48" t="str">
        <f>IFERROR(IF(LayTable[[#This Row],[Total inns]]="","",LayTable[[#This Row],[Rlay]]/LayTable[[#This Row],[Total inns]]),"")</f>
        <v/>
      </c>
      <c r="Y437" s="48" t="str">
        <f>IFERROR(LayTable[[#This Row],[Faktisk res]]/LayTable[[#This Row],[Total inns]],"")</f>
        <v/>
      </c>
      <c r="Z437" s="47">
        <f>(LayTable[[#This Row],[BookieInnsats]]*LayTable[[#This Row],[BookieOdds]]-LayTable[[#This Row],[BookieInnsats]])*(1-LayTable[[#This Row],[C% Bookie]])</f>
        <v>0</v>
      </c>
      <c r="AA437" s="43">
        <f>LayTable[[#This Row],[LayInnsats]]*(1-LayTable[[#This Row],[C% Lay]])</f>
        <v>0</v>
      </c>
      <c r="AB437" s="43" t="str">
        <f>IFERROR(IF(LayTable[[#This Row],[Sport]]="",AB436,LayTable[[#This Row],[Faktisk res]]+AB436),"")</f>
        <v/>
      </c>
      <c r="AC437" s="43">
        <f>(LayTable[[#This Row],[BackWin-Commission]]+LayTable[[#This Row],[BookieInnsats]])</f>
        <v>0</v>
      </c>
      <c r="AD437" s="43" t="e">
        <f>(LayTable[[#This Row],[LayWin-Commission]])+LayTable[[#This Row],[LayLiability]]</f>
        <v>#VALUE!</v>
      </c>
      <c r="AE437" s="181"/>
      <c r="AF437" s="303"/>
    </row>
    <row r="438" spans="1:32">
      <c r="A438" s="84"/>
      <c r="B438" s="177"/>
      <c r="C438" s="40"/>
      <c r="D438" s="41"/>
      <c r="E438" s="178"/>
      <c r="F438" s="179"/>
      <c r="G438" s="183"/>
      <c r="H438" s="38"/>
      <c r="I438" s="42"/>
      <c r="J438" s="42"/>
      <c r="K438" s="43"/>
      <c r="L438" s="43"/>
      <c r="M438" s="44" t="str">
        <f>IF(LayTable[[#This Row],[Sport]]="","",LayTable[[#This Row],[LayInnsats]]*(LayTable[[#This Row],[LayOdds]]-1))</f>
        <v/>
      </c>
      <c r="N438" s="45" t="str">
        <f>IF(LayTable[[#This Row],[Sport]]="","",1/((1/LayTable[[#This Row],[BookieOdds]])+(1/((1/((1+((LayTable[[#This Row],[LayOdds]]-1)*(1+LayTable[[#This Row],[C% Lay]])))-1))+1)))-1)</f>
        <v/>
      </c>
      <c r="Q438" s="46" t="str">
        <f>IF(LayTable[[#This Row],[Sport]]="","",LayTable[[#This Row],[BookieInnsats]]+LayTable[[#This Row],[LayLiability]])</f>
        <v/>
      </c>
      <c r="R4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8" s="47" t="str">
        <f>IF(LayTable[[#This Row],[Utfall bookie]]="","",LayTable[[#This Row],[WBABack]]+LayTable[[#This Row],[WBALay]]-LayTable[[#This Row],[Total inns]])</f>
        <v/>
      </c>
      <c r="U4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8" s="48" t="str">
        <f>IFERROR(IF(LayTable[[#This Row],[Total inns]]="","",LayTable[[#This Row],[Rback]]/LayTable[[#This Row],[Total inns]]),"")</f>
        <v/>
      </c>
      <c r="X438" s="48" t="str">
        <f>IFERROR(IF(LayTable[[#This Row],[Total inns]]="","",LayTable[[#This Row],[Rlay]]/LayTable[[#This Row],[Total inns]]),"")</f>
        <v/>
      </c>
      <c r="Y438" s="48" t="str">
        <f>IFERROR(LayTable[[#This Row],[Faktisk res]]/LayTable[[#This Row],[Total inns]],"")</f>
        <v/>
      </c>
      <c r="Z438" s="47">
        <f>(LayTable[[#This Row],[BookieInnsats]]*LayTable[[#This Row],[BookieOdds]]-LayTable[[#This Row],[BookieInnsats]])*(1-LayTable[[#This Row],[C% Bookie]])</f>
        <v>0</v>
      </c>
      <c r="AA438" s="43">
        <f>LayTable[[#This Row],[LayInnsats]]*(1-LayTable[[#This Row],[C% Lay]])</f>
        <v>0</v>
      </c>
      <c r="AB438" s="43" t="str">
        <f>IFERROR(IF(LayTable[[#This Row],[Sport]]="",AB437,LayTable[[#This Row],[Faktisk res]]+AB437),"")</f>
        <v/>
      </c>
      <c r="AC438" s="43">
        <f>(LayTable[[#This Row],[BackWin-Commission]]+LayTable[[#This Row],[BookieInnsats]])</f>
        <v>0</v>
      </c>
      <c r="AD438" s="43" t="e">
        <f>(LayTable[[#This Row],[LayWin-Commission]])+LayTable[[#This Row],[LayLiability]]</f>
        <v>#VALUE!</v>
      </c>
      <c r="AE438" s="303"/>
      <c r="AF438" s="303"/>
    </row>
    <row r="439" spans="1:32">
      <c r="A439" s="84"/>
      <c r="B439" s="177"/>
      <c r="C439" s="40"/>
      <c r="D439" s="41"/>
      <c r="E439" s="178"/>
      <c r="F439" s="179"/>
      <c r="G439" s="183"/>
      <c r="H439" s="38"/>
      <c r="I439" s="42"/>
      <c r="J439" s="42"/>
      <c r="K439" s="43"/>
      <c r="L439" s="43"/>
      <c r="M439" s="44" t="str">
        <f>IF(LayTable[[#This Row],[Sport]]="","",LayTable[[#This Row],[LayInnsats]]*(LayTable[[#This Row],[LayOdds]]-1))</f>
        <v/>
      </c>
      <c r="N439" s="45" t="str">
        <f>IF(LayTable[[#This Row],[Sport]]="","",1/((1/LayTable[[#This Row],[BookieOdds]])+(1/((1/((1+((LayTable[[#This Row],[LayOdds]]-1)*(1+LayTable[[#This Row],[C% Lay]])))-1))+1)))-1)</f>
        <v/>
      </c>
      <c r="Q439" s="46" t="str">
        <f>IF(LayTable[[#This Row],[Sport]]="","",LayTable[[#This Row],[BookieInnsats]]+LayTable[[#This Row],[LayLiability]])</f>
        <v/>
      </c>
      <c r="R4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39" s="47" t="str">
        <f>IF(LayTable[[#This Row],[Utfall bookie]]="","",LayTable[[#This Row],[WBABack]]+LayTable[[#This Row],[WBALay]]-LayTable[[#This Row],[Total inns]])</f>
        <v/>
      </c>
      <c r="U4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39" s="48" t="str">
        <f>IFERROR(IF(LayTable[[#This Row],[Total inns]]="","",LayTable[[#This Row],[Rback]]/LayTable[[#This Row],[Total inns]]),"")</f>
        <v/>
      </c>
      <c r="X439" s="48" t="str">
        <f>IFERROR(IF(LayTable[[#This Row],[Total inns]]="","",LayTable[[#This Row],[Rlay]]/LayTable[[#This Row],[Total inns]]),"")</f>
        <v/>
      </c>
      <c r="Y439" s="48" t="str">
        <f>IFERROR(LayTable[[#This Row],[Faktisk res]]/LayTable[[#This Row],[Total inns]],"")</f>
        <v/>
      </c>
      <c r="Z439" s="47">
        <f>(LayTable[[#This Row],[BookieInnsats]]*LayTable[[#This Row],[BookieOdds]]-LayTable[[#This Row],[BookieInnsats]])*(1-LayTable[[#This Row],[C% Bookie]])</f>
        <v>0</v>
      </c>
      <c r="AA439" s="43">
        <f>LayTable[[#This Row],[LayInnsats]]*(1-LayTable[[#This Row],[C% Lay]])</f>
        <v>0</v>
      </c>
      <c r="AB439" s="43" t="str">
        <f>IFERROR(IF(LayTable[[#This Row],[Sport]]="",AB438,LayTable[[#This Row],[Faktisk res]]+AB438),"")</f>
        <v/>
      </c>
      <c r="AC439" s="43">
        <f>(LayTable[[#This Row],[BackWin-Commission]]+LayTable[[#This Row],[BookieInnsats]])</f>
        <v>0</v>
      </c>
      <c r="AD439" s="43" t="e">
        <f>(LayTable[[#This Row],[LayWin-Commission]])+LayTable[[#This Row],[LayLiability]]</f>
        <v>#VALUE!</v>
      </c>
      <c r="AE439" s="303"/>
      <c r="AF439" s="303"/>
    </row>
    <row r="440" spans="1:32">
      <c r="A440" s="84"/>
      <c r="B440" s="177"/>
      <c r="C440" s="40"/>
      <c r="D440" s="41"/>
      <c r="E440" s="178"/>
      <c r="F440" s="179"/>
      <c r="G440" s="183"/>
      <c r="H440" s="176"/>
      <c r="I440" s="42"/>
      <c r="J440" s="42"/>
      <c r="K440" s="43"/>
      <c r="L440" s="43"/>
      <c r="M440" s="44" t="str">
        <f>IF(LayTable[[#This Row],[Sport]]="","",LayTable[[#This Row],[LayInnsats]]*(LayTable[[#This Row],[LayOdds]]-1))</f>
        <v/>
      </c>
      <c r="N440" s="45" t="str">
        <f>IF(LayTable[[#This Row],[Sport]]="","",1/((1/LayTable[[#This Row],[BookieOdds]])+(1/((1/((1+((LayTable[[#This Row],[LayOdds]]-1)*(1+LayTable[[#This Row],[C% Lay]])))-1))+1)))-1)</f>
        <v/>
      </c>
      <c r="Q440" s="46" t="str">
        <f>IF(LayTable[[#This Row],[Sport]]="","",LayTable[[#This Row],[BookieInnsats]]+LayTable[[#This Row],[LayLiability]])</f>
        <v/>
      </c>
      <c r="R4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0" s="47" t="str">
        <f>IF(LayTable[[#This Row],[Utfall bookie]]="","",LayTable[[#This Row],[WBABack]]+LayTable[[#This Row],[WBALay]]-LayTable[[#This Row],[Total inns]])</f>
        <v/>
      </c>
      <c r="U4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0" s="48" t="str">
        <f>IFERROR(IF(LayTable[[#This Row],[Total inns]]="","",LayTable[[#This Row],[Rback]]/LayTable[[#This Row],[Total inns]]),"")</f>
        <v/>
      </c>
      <c r="X440" s="48" t="str">
        <f>IFERROR(IF(LayTable[[#This Row],[Total inns]]="","",LayTable[[#This Row],[Rlay]]/LayTable[[#This Row],[Total inns]]),"")</f>
        <v/>
      </c>
      <c r="Y440" s="48" t="str">
        <f>IFERROR(LayTable[[#This Row],[Faktisk res]]/LayTable[[#This Row],[Total inns]],"")</f>
        <v/>
      </c>
      <c r="Z440" s="47">
        <f>(LayTable[[#This Row],[BookieInnsats]]*LayTable[[#This Row],[BookieOdds]]-LayTable[[#This Row],[BookieInnsats]])*(1-LayTable[[#This Row],[C% Bookie]])</f>
        <v>0</v>
      </c>
      <c r="AA440" s="43">
        <f>LayTable[[#This Row],[LayInnsats]]*(1-LayTable[[#This Row],[C% Lay]])</f>
        <v>0</v>
      </c>
      <c r="AB440" s="43" t="str">
        <f>IFERROR(IF(LayTable[[#This Row],[Sport]]="",AB439,LayTable[[#This Row],[Faktisk res]]+AB439),"")</f>
        <v/>
      </c>
      <c r="AC440" s="43">
        <f>(LayTable[[#This Row],[BackWin-Commission]]+LayTable[[#This Row],[BookieInnsats]])</f>
        <v>0</v>
      </c>
      <c r="AD440" s="43" t="e">
        <f>(LayTable[[#This Row],[LayWin-Commission]])+LayTable[[#This Row],[LayLiability]]</f>
        <v>#VALUE!</v>
      </c>
      <c r="AE440" s="303"/>
      <c r="AF440" s="303"/>
    </row>
    <row r="441" spans="1:32">
      <c r="A441" s="84"/>
      <c r="B441" s="177"/>
      <c r="C441" s="40"/>
      <c r="D441" s="41"/>
      <c r="E441" s="178"/>
      <c r="F441" s="179"/>
      <c r="G441" s="183"/>
      <c r="H441" s="38"/>
      <c r="I441" s="42"/>
      <c r="J441" s="42"/>
      <c r="K441" s="43"/>
      <c r="L441" s="43"/>
      <c r="M441" s="44" t="str">
        <f>IF(LayTable[[#This Row],[Sport]]="","",LayTable[[#This Row],[LayInnsats]]*(LayTable[[#This Row],[LayOdds]]-1))</f>
        <v/>
      </c>
      <c r="N441" s="45" t="str">
        <f>IF(LayTable[[#This Row],[Sport]]="","",1/((1/LayTable[[#This Row],[BookieOdds]])+(1/((1/((1+((LayTable[[#This Row],[LayOdds]]-1)*(1+LayTable[[#This Row],[C% Lay]])))-1))+1)))-1)</f>
        <v/>
      </c>
      <c r="Q441" s="46" t="str">
        <f>IF(LayTable[[#This Row],[Sport]]="","",LayTable[[#This Row],[BookieInnsats]]+LayTable[[#This Row],[LayLiability]])</f>
        <v/>
      </c>
      <c r="R4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1" s="47" t="str">
        <f>IF(LayTable[[#This Row],[Utfall bookie]]="","",LayTable[[#This Row],[WBABack]]+LayTable[[#This Row],[WBALay]]-LayTable[[#This Row],[Total inns]])</f>
        <v/>
      </c>
      <c r="U4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1" s="48" t="str">
        <f>IFERROR(IF(LayTable[[#This Row],[Total inns]]="","",LayTable[[#This Row],[Rback]]/LayTable[[#This Row],[Total inns]]),"")</f>
        <v/>
      </c>
      <c r="X441" s="48" t="str">
        <f>IFERROR(IF(LayTable[[#This Row],[Total inns]]="","",LayTable[[#This Row],[Rlay]]/LayTable[[#This Row],[Total inns]]),"")</f>
        <v/>
      </c>
      <c r="Y441" s="48" t="str">
        <f>IFERROR(LayTable[[#This Row],[Faktisk res]]/LayTable[[#This Row],[Total inns]],"")</f>
        <v/>
      </c>
      <c r="Z441" s="47">
        <f>(LayTable[[#This Row],[BookieInnsats]]*LayTable[[#This Row],[BookieOdds]]-LayTable[[#This Row],[BookieInnsats]])*(1-LayTable[[#This Row],[C% Bookie]])</f>
        <v>0</v>
      </c>
      <c r="AA441" s="43">
        <f>LayTable[[#This Row],[LayInnsats]]*(1-LayTable[[#This Row],[C% Lay]])</f>
        <v>0</v>
      </c>
      <c r="AB441" s="43" t="str">
        <f>IFERROR(IF(LayTable[[#This Row],[Sport]]="",#REF!,LayTable[[#This Row],[Faktisk res]]+#REF!),"")</f>
        <v/>
      </c>
      <c r="AC441" s="43">
        <f>(LayTable[[#This Row],[BackWin-Commission]]+LayTable[[#This Row],[BookieInnsats]])</f>
        <v>0</v>
      </c>
      <c r="AD441" s="43" t="e">
        <f>(LayTable[[#This Row],[LayWin-Commission]])+LayTable[[#This Row],[LayLiability]]</f>
        <v>#VALUE!</v>
      </c>
      <c r="AE441" s="181"/>
      <c r="AF441" s="303"/>
    </row>
    <row r="442" spans="1:32">
      <c r="A442" s="84"/>
      <c r="B442" s="177"/>
      <c r="C442" s="40"/>
      <c r="D442" s="41"/>
      <c r="E442" s="178"/>
      <c r="F442" s="179"/>
      <c r="G442" s="183"/>
      <c r="H442" s="38"/>
      <c r="I442" s="42"/>
      <c r="J442" s="42"/>
      <c r="K442" s="43"/>
      <c r="L442" s="43"/>
      <c r="M442" s="44" t="str">
        <f>IF(LayTable[[#This Row],[Sport]]="","",LayTable[[#This Row],[LayInnsats]]*(LayTable[[#This Row],[LayOdds]]-1))</f>
        <v/>
      </c>
      <c r="N442" s="45" t="str">
        <f>IF(LayTable[[#This Row],[Sport]]="","",1/((1/LayTable[[#This Row],[BookieOdds]])+(1/((1/((1+((LayTable[[#This Row],[LayOdds]]-1)*(1+LayTable[[#This Row],[C% Lay]])))-1))+1)))-1)</f>
        <v/>
      </c>
      <c r="Q442" s="46" t="str">
        <f>IF(LayTable[[#This Row],[Sport]]="","",LayTable[[#This Row],[BookieInnsats]]+LayTable[[#This Row],[LayLiability]])</f>
        <v/>
      </c>
      <c r="R4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2" s="47" t="str">
        <f>IF(LayTable[[#This Row],[Utfall bookie]]="","",LayTable[[#This Row],[WBABack]]+LayTable[[#This Row],[WBALay]]-LayTable[[#This Row],[Total inns]])</f>
        <v/>
      </c>
      <c r="U4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2" s="48" t="str">
        <f>IFERROR(IF(LayTable[[#This Row],[Total inns]]="","",LayTable[[#This Row],[Rback]]/LayTable[[#This Row],[Total inns]]),"")</f>
        <v/>
      </c>
      <c r="X442" s="48" t="str">
        <f>IFERROR(IF(LayTable[[#This Row],[Total inns]]="","",LayTable[[#This Row],[Rlay]]/LayTable[[#This Row],[Total inns]]),"")</f>
        <v/>
      </c>
      <c r="Y442" s="48" t="str">
        <f>IFERROR(LayTable[[#This Row],[Faktisk res]]/LayTable[[#This Row],[Total inns]],"")</f>
        <v/>
      </c>
      <c r="Z442" s="47">
        <f>(LayTable[[#This Row],[BookieInnsats]]*LayTable[[#This Row],[BookieOdds]]-LayTable[[#This Row],[BookieInnsats]])*(1-LayTable[[#This Row],[C% Bookie]])</f>
        <v>0</v>
      </c>
      <c r="AA442" s="43">
        <f>LayTable[[#This Row],[LayInnsats]]*(1-LayTable[[#This Row],[C% Lay]])</f>
        <v>0</v>
      </c>
      <c r="AB442" s="43" t="str">
        <f>IFERROR(IF(LayTable[[#This Row],[Sport]]="",AB441,LayTable[[#This Row],[Faktisk res]]+AB441),"")</f>
        <v/>
      </c>
      <c r="AC442" s="43">
        <f>(LayTable[[#This Row],[BackWin-Commission]]+LayTable[[#This Row],[BookieInnsats]])</f>
        <v>0</v>
      </c>
      <c r="AD442" s="43" t="e">
        <f>(LayTable[[#This Row],[LayWin-Commission]])+LayTable[[#This Row],[LayLiability]]</f>
        <v>#VALUE!</v>
      </c>
      <c r="AE442" s="181"/>
      <c r="AF442" s="303"/>
    </row>
    <row r="443" spans="1:32">
      <c r="A443" s="84"/>
      <c r="B443" s="177"/>
      <c r="C443" s="40"/>
      <c r="D443" s="41"/>
      <c r="E443" s="178"/>
      <c r="F443" s="179"/>
      <c r="G443" s="183"/>
      <c r="H443" s="38"/>
      <c r="I443" s="42"/>
      <c r="J443" s="42"/>
      <c r="K443" s="43"/>
      <c r="L443" s="43"/>
      <c r="M443" s="44" t="str">
        <f>IF(LayTable[[#This Row],[Sport]]="","",LayTable[[#This Row],[LayInnsats]]*(LayTable[[#This Row],[LayOdds]]-1))</f>
        <v/>
      </c>
      <c r="N443" s="45" t="str">
        <f>IF(LayTable[[#This Row],[Sport]]="","",1/((1/LayTable[[#This Row],[BookieOdds]])+(1/((1/((1+((LayTable[[#This Row],[LayOdds]]-1)*(1+LayTable[[#This Row],[C% Lay]])))-1))+1)))-1)</f>
        <v/>
      </c>
      <c r="Q443" s="46" t="str">
        <f>IF(LayTable[[#This Row],[Sport]]="","",LayTable[[#This Row],[BookieInnsats]]+LayTable[[#This Row],[LayLiability]])</f>
        <v/>
      </c>
      <c r="R4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3" s="47" t="str">
        <f>IF(LayTable[[#This Row],[Utfall bookie]]="","",LayTable[[#This Row],[WBABack]]+LayTable[[#This Row],[WBALay]]-LayTable[[#This Row],[Total inns]])</f>
        <v/>
      </c>
      <c r="U4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3" s="48" t="str">
        <f>IFERROR(IF(LayTable[[#This Row],[Total inns]]="","",LayTable[[#This Row],[Rback]]/LayTable[[#This Row],[Total inns]]),"")</f>
        <v/>
      </c>
      <c r="X443" s="48" t="str">
        <f>IFERROR(IF(LayTable[[#This Row],[Total inns]]="","",LayTable[[#This Row],[Rlay]]/LayTable[[#This Row],[Total inns]]),"")</f>
        <v/>
      </c>
      <c r="Y443" s="48" t="str">
        <f>IFERROR(LayTable[[#This Row],[Faktisk res]]/LayTable[[#This Row],[Total inns]],"")</f>
        <v/>
      </c>
      <c r="Z443" s="47">
        <f>(LayTable[[#This Row],[BookieInnsats]]*LayTable[[#This Row],[BookieOdds]]-LayTable[[#This Row],[BookieInnsats]])*(1-LayTable[[#This Row],[C% Bookie]])</f>
        <v>0</v>
      </c>
      <c r="AA443" s="43">
        <f>LayTable[[#This Row],[LayInnsats]]*(1-LayTable[[#This Row],[C% Lay]])</f>
        <v>0</v>
      </c>
      <c r="AB443" s="43" t="str">
        <f>IFERROR(IF(LayTable[[#This Row],[Sport]]="",AB442,LayTable[[#This Row],[Faktisk res]]+AB442),"")</f>
        <v/>
      </c>
      <c r="AC443" s="43">
        <f>(LayTable[[#This Row],[BackWin-Commission]]+LayTable[[#This Row],[BookieInnsats]])</f>
        <v>0</v>
      </c>
      <c r="AD443" s="43" t="e">
        <f>(LayTable[[#This Row],[LayWin-Commission]])+LayTable[[#This Row],[LayLiability]]</f>
        <v>#VALUE!</v>
      </c>
      <c r="AE443" s="181"/>
      <c r="AF443" s="303"/>
    </row>
    <row r="444" spans="1:32">
      <c r="A444" s="84"/>
      <c r="B444" s="177"/>
      <c r="C444" s="40"/>
      <c r="D444" s="41"/>
      <c r="E444" s="178"/>
      <c r="F444" s="179"/>
      <c r="G444" s="183"/>
      <c r="H444" s="38"/>
      <c r="I444" s="42"/>
      <c r="J444" s="42"/>
      <c r="K444" s="43"/>
      <c r="L444" s="43"/>
      <c r="M444" s="44" t="str">
        <f>IF(LayTable[[#This Row],[Sport]]="","",LayTable[[#This Row],[LayInnsats]]*(LayTable[[#This Row],[LayOdds]]-1))</f>
        <v/>
      </c>
      <c r="N444" s="45" t="str">
        <f>IF(LayTable[[#This Row],[Sport]]="","",1/((1/LayTable[[#This Row],[BookieOdds]])+(1/((1/((1+((LayTable[[#This Row],[LayOdds]]-1)*(1+LayTable[[#This Row],[C% Lay]])))-1))+1)))-1)</f>
        <v/>
      </c>
      <c r="Q444" s="46" t="str">
        <f>IF(LayTable[[#This Row],[Sport]]="","",LayTable[[#This Row],[BookieInnsats]]+LayTable[[#This Row],[LayLiability]])</f>
        <v/>
      </c>
      <c r="R4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4" s="47" t="str">
        <f>IF(LayTable[[#This Row],[Utfall bookie]]="","",LayTable[[#This Row],[WBABack]]+LayTable[[#This Row],[WBALay]]-LayTable[[#This Row],[Total inns]])</f>
        <v/>
      </c>
      <c r="U4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4" s="48" t="str">
        <f>IFERROR(IF(LayTable[[#This Row],[Total inns]]="","",LayTable[[#This Row],[Rback]]/LayTable[[#This Row],[Total inns]]),"")</f>
        <v/>
      </c>
      <c r="X444" s="48" t="str">
        <f>IFERROR(IF(LayTable[[#This Row],[Total inns]]="","",LayTable[[#This Row],[Rlay]]/LayTable[[#This Row],[Total inns]]),"")</f>
        <v/>
      </c>
      <c r="Y444" s="48" t="str">
        <f>IFERROR(LayTable[[#This Row],[Faktisk res]]/LayTable[[#This Row],[Total inns]],"")</f>
        <v/>
      </c>
      <c r="Z444" s="47">
        <f>(LayTable[[#This Row],[BookieInnsats]]*LayTable[[#This Row],[BookieOdds]]-LayTable[[#This Row],[BookieInnsats]])*(1-LayTable[[#This Row],[C% Bookie]])</f>
        <v>0</v>
      </c>
      <c r="AA444" s="43">
        <f>LayTable[[#This Row],[LayInnsats]]*(1-LayTable[[#This Row],[C% Lay]])</f>
        <v>0</v>
      </c>
      <c r="AB444" s="43" t="str">
        <f>IFERROR(IF(LayTable[[#This Row],[Sport]]="",AB443,LayTable[[#This Row],[Faktisk res]]+AB443),"")</f>
        <v/>
      </c>
      <c r="AC444" s="43">
        <f>(LayTable[[#This Row],[BackWin-Commission]]+LayTable[[#This Row],[BookieInnsats]])</f>
        <v>0</v>
      </c>
      <c r="AD444" s="43" t="e">
        <f>(LayTable[[#This Row],[LayWin-Commission]])+LayTable[[#This Row],[LayLiability]]</f>
        <v>#VALUE!</v>
      </c>
      <c r="AE444" s="181"/>
      <c r="AF444" s="303"/>
    </row>
    <row r="445" spans="1:32">
      <c r="A445" s="84"/>
      <c r="B445" s="177"/>
      <c r="C445" s="40"/>
      <c r="D445" s="41"/>
      <c r="E445" s="178"/>
      <c r="F445" s="179"/>
      <c r="G445" s="183"/>
      <c r="H445" s="38"/>
      <c r="I445" s="42"/>
      <c r="J445" s="42"/>
      <c r="K445" s="43"/>
      <c r="L445" s="43"/>
      <c r="M445" s="44" t="str">
        <f>IF(LayTable[[#This Row],[Sport]]="","",LayTable[[#This Row],[LayInnsats]]*(LayTable[[#This Row],[LayOdds]]-1))</f>
        <v/>
      </c>
      <c r="N445" s="45" t="str">
        <f>IF(LayTable[[#This Row],[Sport]]="","",1/((1/LayTable[[#This Row],[BookieOdds]])+(1/((1/((1+((LayTable[[#This Row],[LayOdds]]-1)*(1+LayTable[[#This Row],[C% Lay]])))-1))+1)))-1)</f>
        <v/>
      </c>
      <c r="Q445" s="46" t="str">
        <f>IF(LayTable[[#This Row],[Sport]]="","",LayTable[[#This Row],[BookieInnsats]]+LayTable[[#This Row],[LayLiability]])</f>
        <v/>
      </c>
      <c r="R4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5" s="47" t="str">
        <f>IF(LayTable[[#This Row],[Utfall bookie]]="","",LayTable[[#This Row],[WBABack]]+LayTable[[#This Row],[WBALay]]-LayTable[[#This Row],[Total inns]])</f>
        <v/>
      </c>
      <c r="U4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5" s="48" t="str">
        <f>IFERROR(IF(LayTable[[#This Row],[Total inns]]="","",LayTable[[#This Row],[Rback]]/LayTable[[#This Row],[Total inns]]),"")</f>
        <v/>
      </c>
      <c r="X445" s="48" t="str">
        <f>IFERROR(IF(LayTable[[#This Row],[Total inns]]="","",LayTable[[#This Row],[Rlay]]/LayTable[[#This Row],[Total inns]]),"")</f>
        <v/>
      </c>
      <c r="Y445" s="48" t="str">
        <f>IFERROR(LayTable[[#This Row],[Faktisk res]]/LayTable[[#This Row],[Total inns]],"")</f>
        <v/>
      </c>
      <c r="Z445" s="47">
        <f>(LayTable[[#This Row],[BookieInnsats]]*LayTable[[#This Row],[BookieOdds]]-LayTable[[#This Row],[BookieInnsats]])*(1-LayTable[[#This Row],[C% Bookie]])</f>
        <v>0</v>
      </c>
      <c r="AA445" s="43">
        <f>LayTable[[#This Row],[LayInnsats]]*(1-LayTable[[#This Row],[C% Lay]])</f>
        <v>0</v>
      </c>
      <c r="AB445" s="43" t="str">
        <f>IFERROR(IF(LayTable[[#This Row],[Sport]]="",#REF!,LayTable[[#This Row],[Faktisk res]]+#REF!),"")</f>
        <v/>
      </c>
      <c r="AC445" s="43">
        <f>(LayTable[[#This Row],[BackWin-Commission]]+LayTable[[#This Row],[BookieInnsats]])</f>
        <v>0</v>
      </c>
      <c r="AD445" s="43" t="e">
        <f>(LayTable[[#This Row],[LayWin-Commission]])+LayTable[[#This Row],[LayLiability]]</f>
        <v>#VALUE!</v>
      </c>
      <c r="AE445" s="43"/>
      <c r="AF445" s="181"/>
    </row>
    <row r="446" spans="1:32">
      <c r="A446" s="84"/>
      <c r="B446" s="177"/>
      <c r="C446" s="40"/>
      <c r="D446" s="41"/>
      <c r="E446" s="178"/>
      <c r="F446" s="179"/>
      <c r="G446" s="183"/>
      <c r="H446" s="38"/>
      <c r="I446" s="42"/>
      <c r="J446" s="42"/>
      <c r="K446" s="43"/>
      <c r="L446" s="43"/>
      <c r="M446" s="44" t="str">
        <f>IF(LayTable[[#This Row],[Sport]]="","",LayTable[[#This Row],[LayInnsats]]*(LayTable[[#This Row],[LayOdds]]-1))</f>
        <v/>
      </c>
      <c r="N446" s="45" t="str">
        <f>IF(LayTable[[#This Row],[Sport]]="","",1/((1/LayTable[[#This Row],[BookieOdds]])+(1/((1/((1+((LayTable[[#This Row],[LayOdds]]-1)*(1+LayTable[[#This Row],[C% Lay]])))-1))+1)))-1)</f>
        <v/>
      </c>
      <c r="Q446" s="46" t="str">
        <f>IF(LayTable[[#This Row],[Sport]]="","",LayTable[[#This Row],[BookieInnsats]]+LayTable[[#This Row],[LayLiability]])</f>
        <v/>
      </c>
      <c r="R4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6" s="47" t="str">
        <f>IF(LayTable[[#This Row],[Utfall bookie]]="","",LayTable[[#This Row],[WBABack]]+LayTable[[#This Row],[WBALay]]-LayTable[[#This Row],[Total inns]])</f>
        <v/>
      </c>
      <c r="U4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6" s="48" t="str">
        <f>IFERROR(IF(LayTable[[#This Row],[Total inns]]="","",LayTable[[#This Row],[Rback]]/LayTable[[#This Row],[Total inns]]),"")</f>
        <v/>
      </c>
      <c r="X446" s="48" t="str">
        <f>IFERROR(IF(LayTable[[#This Row],[Total inns]]="","",LayTable[[#This Row],[Rlay]]/LayTable[[#This Row],[Total inns]]),"")</f>
        <v/>
      </c>
      <c r="Y446" s="48" t="str">
        <f>IFERROR(LayTable[[#This Row],[Faktisk res]]/LayTable[[#This Row],[Total inns]],"")</f>
        <v/>
      </c>
      <c r="Z446" s="47">
        <f>(LayTable[[#This Row],[BookieInnsats]]*LayTable[[#This Row],[BookieOdds]]-LayTable[[#This Row],[BookieInnsats]])*(1-LayTable[[#This Row],[C% Bookie]])</f>
        <v>0</v>
      </c>
      <c r="AA446" s="43">
        <f>LayTable[[#This Row],[LayInnsats]]*(1-LayTable[[#This Row],[C% Lay]])</f>
        <v>0</v>
      </c>
      <c r="AB446" s="43" t="str">
        <f>IFERROR(IF(LayTable[[#This Row],[Sport]]="",#REF!,LayTable[[#This Row],[Faktisk res]]+#REF!),"")</f>
        <v/>
      </c>
      <c r="AC446" s="43">
        <f>(LayTable[[#This Row],[BackWin-Commission]]+LayTable[[#This Row],[BookieInnsats]])</f>
        <v>0</v>
      </c>
      <c r="AD446" s="43" t="e">
        <f>(LayTable[[#This Row],[LayWin-Commission]])+LayTable[[#This Row],[LayLiability]]</f>
        <v>#VALUE!</v>
      </c>
      <c r="AE446" s="43"/>
      <c r="AF446" s="181"/>
    </row>
    <row r="447" spans="1:32">
      <c r="A447" s="84"/>
      <c r="B447" s="177"/>
      <c r="C447" s="40"/>
      <c r="D447" s="41"/>
      <c r="E447" s="178"/>
      <c r="F447" s="179"/>
      <c r="G447" s="183"/>
      <c r="H447" s="176"/>
      <c r="I447" s="180"/>
      <c r="J447" s="180"/>
      <c r="K447" s="43"/>
      <c r="L447" s="43"/>
      <c r="M447" s="44" t="str">
        <f>IF(LayTable[[#This Row],[Sport]]="","",LayTable[[#This Row],[LayInnsats]]*(LayTable[[#This Row],[LayOdds]]-1))</f>
        <v/>
      </c>
      <c r="N447" s="45" t="str">
        <f>IF(LayTable[[#This Row],[Sport]]="","",1/((1/LayTable[[#This Row],[BookieOdds]])+(1/((1/((1+((LayTable[[#This Row],[LayOdds]]-1)*(1+LayTable[[#This Row],[C% Lay]])))-1))+1)))-1)</f>
        <v/>
      </c>
      <c r="Q447" s="46" t="str">
        <f>IF(LayTable[[#This Row],[Sport]]="","",LayTable[[#This Row],[BookieInnsats]]+LayTable[[#This Row],[LayLiability]])</f>
        <v/>
      </c>
      <c r="R4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7" s="47" t="str">
        <f>IF(LayTable[[#This Row],[Utfall bookie]]="","",LayTable[[#This Row],[WBABack]]+LayTable[[#This Row],[WBALay]]-LayTable[[#This Row],[Total inns]])</f>
        <v/>
      </c>
      <c r="U4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7" s="48" t="str">
        <f>IFERROR(IF(LayTable[[#This Row],[Total inns]]="","",LayTable[[#This Row],[Rback]]/LayTable[[#This Row],[Total inns]]),"")</f>
        <v/>
      </c>
      <c r="X447" s="48" t="str">
        <f>IFERROR(IF(LayTable[[#This Row],[Total inns]]="","",LayTable[[#This Row],[Rlay]]/LayTable[[#This Row],[Total inns]]),"")</f>
        <v/>
      </c>
      <c r="Y447" s="48" t="str">
        <f>IFERROR(LayTable[[#This Row],[Faktisk res]]/LayTable[[#This Row],[Total inns]],"")</f>
        <v/>
      </c>
      <c r="Z447" s="47">
        <f>(LayTable[[#This Row],[BookieInnsats]]*LayTable[[#This Row],[BookieOdds]]-LayTable[[#This Row],[BookieInnsats]])*(1-LayTable[[#This Row],[C% Bookie]])</f>
        <v>0</v>
      </c>
      <c r="AA447" s="43">
        <f>LayTable[[#This Row],[LayInnsats]]*(1-LayTable[[#This Row],[C% Lay]])</f>
        <v>0</v>
      </c>
      <c r="AB447" s="43" t="str">
        <f>IFERROR(IF(LayTable[[#This Row],[Sport]]="",AB446,LayTable[[#This Row],[Faktisk res]]+AB446),"")</f>
        <v/>
      </c>
      <c r="AC447" s="43">
        <f>(LayTable[[#This Row],[BackWin-Commission]]+LayTable[[#This Row],[BookieInnsats]])</f>
        <v>0</v>
      </c>
      <c r="AD447" s="43" t="e">
        <f>(LayTable[[#This Row],[LayWin-Commission]])+LayTable[[#This Row],[LayLiability]]</f>
        <v>#VALUE!</v>
      </c>
      <c r="AE447" s="43"/>
      <c r="AF447" s="181"/>
    </row>
    <row r="448" spans="1:32">
      <c r="A448" s="84"/>
      <c r="B448" s="177"/>
      <c r="C448" s="40"/>
      <c r="D448" s="41"/>
      <c r="E448" s="178"/>
      <c r="F448" s="179"/>
      <c r="G448" s="183"/>
      <c r="H448" s="38"/>
      <c r="I448" s="42"/>
      <c r="J448" s="42"/>
      <c r="K448" s="43"/>
      <c r="L448" s="43"/>
      <c r="M448" s="44" t="str">
        <f>IF(LayTable[[#This Row],[Sport]]="","",LayTable[[#This Row],[LayInnsats]]*(LayTable[[#This Row],[LayOdds]]-1))</f>
        <v/>
      </c>
      <c r="N448" s="45" t="str">
        <f>IF(LayTable[[#This Row],[Sport]]="","",1/((1/LayTable[[#This Row],[BookieOdds]])+(1/((1/((1+((LayTable[[#This Row],[LayOdds]]-1)*(1+LayTable[[#This Row],[C% Lay]])))-1))+1)))-1)</f>
        <v/>
      </c>
      <c r="Q448" s="46" t="str">
        <f>IF(LayTable[[#This Row],[Sport]]="","",LayTable[[#This Row],[BookieInnsats]]+LayTable[[#This Row],[LayLiability]])</f>
        <v/>
      </c>
      <c r="R4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8" s="47" t="str">
        <f>IF(LayTable[[#This Row],[Utfall bookie]]="","",LayTable[[#This Row],[WBABack]]+LayTable[[#This Row],[WBALay]]-LayTable[[#This Row],[Total inns]])</f>
        <v/>
      </c>
      <c r="U4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8" s="48" t="str">
        <f>IFERROR(IF(LayTable[[#This Row],[Total inns]]="","",LayTable[[#This Row],[Rback]]/LayTable[[#This Row],[Total inns]]),"")</f>
        <v/>
      </c>
      <c r="X448" s="48" t="str">
        <f>IFERROR(IF(LayTable[[#This Row],[Total inns]]="","",LayTable[[#This Row],[Rlay]]/LayTable[[#This Row],[Total inns]]),"")</f>
        <v/>
      </c>
      <c r="Y448" s="48" t="str">
        <f>IFERROR(LayTable[[#This Row],[Faktisk res]]/LayTable[[#This Row],[Total inns]],"")</f>
        <v/>
      </c>
      <c r="Z448" s="47">
        <f>(LayTable[[#This Row],[BookieInnsats]]*LayTable[[#This Row],[BookieOdds]]-LayTable[[#This Row],[BookieInnsats]])*(1-LayTable[[#This Row],[C% Bookie]])</f>
        <v>0</v>
      </c>
      <c r="AA448" s="43">
        <f>LayTable[[#This Row],[LayInnsats]]*(1-LayTable[[#This Row],[C% Lay]])</f>
        <v>0</v>
      </c>
      <c r="AB448" s="43" t="str">
        <f>IFERROR(IF(LayTable[[#This Row],[Sport]]="",AB447,LayTable[[#This Row],[Faktisk res]]+AB447),"")</f>
        <v/>
      </c>
      <c r="AC448" s="43">
        <f>(LayTable[[#This Row],[BackWin-Commission]]+LayTable[[#This Row],[BookieInnsats]])</f>
        <v>0</v>
      </c>
      <c r="AD448" s="43" t="e">
        <f>(LayTable[[#This Row],[LayWin-Commission]])+LayTable[[#This Row],[LayLiability]]</f>
        <v>#VALUE!</v>
      </c>
      <c r="AE448" s="43"/>
      <c r="AF448" s="181"/>
    </row>
    <row r="449" spans="1:32">
      <c r="A449" s="84"/>
      <c r="B449" s="177"/>
      <c r="C449" s="40"/>
      <c r="D449" s="41"/>
      <c r="E449" s="178"/>
      <c r="F449" s="179"/>
      <c r="G449" s="183"/>
      <c r="H449" s="38"/>
      <c r="I449" s="42"/>
      <c r="J449" s="42"/>
      <c r="K449" s="43"/>
      <c r="L449" s="43"/>
      <c r="M449" s="44" t="str">
        <f>IF(LayTable[[#This Row],[Sport]]="","",LayTable[[#This Row],[LayInnsats]]*(LayTable[[#This Row],[LayOdds]]-1))</f>
        <v/>
      </c>
      <c r="N449" s="45" t="str">
        <f>IF(LayTable[[#This Row],[Sport]]="","",1/((1/LayTable[[#This Row],[BookieOdds]])+(1/((1/((1+((LayTable[[#This Row],[LayOdds]]-1)*(1+LayTable[[#This Row],[C% Lay]])))-1))+1)))-1)</f>
        <v/>
      </c>
      <c r="Q449" s="46" t="str">
        <f>IF(LayTable[[#This Row],[Sport]]="","",LayTable[[#This Row],[BookieInnsats]]+LayTable[[#This Row],[LayLiability]])</f>
        <v/>
      </c>
      <c r="R4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49" s="47" t="str">
        <f>IF(LayTable[[#This Row],[Utfall bookie]]="","",LayTable[[#This Row],[WBABack]]+LayTable[[#This Row],[WBALay]]-LayTable[[#This Row],[Total inns]])</f>
        <v/>
      </c>
      <c r="U4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49" s="48" t="str">
        <f>IFERROR(IF(LayTable[[#This Row],[Total inns]]="","",LayTable[[#This Row],[Rback]]/LayTable[[#This Row],[Total inns]]),"")</f>
        <v/>
      </c>
      <c r="X449" s="48" t="str">
        <f>IFERROR(IF(LayTable[[#This Row],[Total inns]]="","",LayTable[[#This Row],[Rlay]]/LayTable[[#This Row],[Total inns]]),"")</f>
        <v/>
      </c>
      <c r="Y449" s="48" t="str">
        <f>IFERROR(LayTable[[#This Row],[Faktisk res]]/LayTable[[#This Row],[Total inns]],"")</f>
        <v/>
      </c>
      <c r="Z449" s="47">
        <f>(LayTable[[#This Row],[BookieInnsats]]*LayTable[[#This Row],[BookieOdds]]-LayTable[[#This Row],[BookieInnsats]])*(1-LayTable[[#This Row],[C% Bookie]])</f>
        <v>0</v>
      </c>
      <c r="AA449" s="43">
        <f>LayTable[[#This Row],[LayInnsats]]*(1-LayTable[[#This Row],[C% Lay]])</f>
        <v>0</v>
      </c>
      <c r="AB449" s="43" t="str">
        <f>IFERROR(IF(LayTable[[#This Row],[Sport]]="",AB448,LayTable[[#This Row],[Faktisk res]]+AB448),"")</f>
        <v/>
      </c>
      <c r="AC449" s="43">
        <f>(LayTable[[#This Row],[BackWin-Commission]]+LayTable[[#This Row],[BookieInnsats]])</f>
        <v>0</v>
      </c>
      <c r="AD449" s="43" t="e">
        <f>(LayTable[[#This Row],[LayWin-Commission]])+LayTable[[#This Row],[LayLiability]]</f>
        <v>#VALUE!</v>
      </c>
      <c r="AE449" s="303"/>
      <c r="AF449" s="303"/>
    </row>
    <row r="450" spans="1:32">
      <c r="A450" s="84"/>
      <c r="B450" s="177"/>
      <c r="C450" s="40"/>
      <c r="D450" s="41"/>
      <c r="E450" s="178"/>
      <c r="F450" s="179"/>
      <c r="G450" s="183"/>
      <c r="H450" s="38"/>
      <c r="I450" s="42"/>
      <c r="J450" s="42"/>
      <c r="K450" s="43"/>
      <c r="L450" s="43"/>
      <c r="M450" s="44" t="str">
        <f>IF(LayTable[[#This Row],[Sport]]="","",LayTable[[#This Row],[LayInnsats]]*(LayTable[[#This Row],[LayOdds]]-1))</f>
        <v/>
      </c>
      <c r="N450" s="45" t="str">
        <f>IF(LayTable[[#This Row],[Sport]]="","",1/((1/LayTable[[#This Row],[BookieOdds]])+(1/((1/((1+((LayTable[[#This Row],[LayOdds]]-1)*(1+LayTable[[#This Row],[C% Lay]])))-1))+1)))-1)</f>
        <v/>
      </c>
      <c r="Q450" s="46" t="str">
        <f>IF(LayTable[[#This Row],[Sport]]="","",LayTable[[#This Row],[BookieInnsats]]+LayTable[[#This Row],[LayLiability]])</f>
        <v/>
      </c>
      <c r="R4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0" s="47" t="str">
        <f>IF(LayTable[[#This Row],[Utfall bookie]]="","",LayTable[[#This Row],[WBABack]]+LayTable[[#This Row],[WBALay]]-LayTable[[#This Row],[Total inns]])</f>
        <v/>
      </c>
      <c r="U4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0" s="48" t="str">
        <f>IFERROR(IF(LayTable[[#This Row],[Total inns]]="","",LayTable[[#This Row],[Rback]]/LayTable[[#This Row],[Total inns]]),"")</f>
        <v/>
      </c>
      <c r="X450" s="48" t="str">
        <f>IFERROR(IF(LayTable[[#This Row],[Total inns]]="","",LayTable[[#This Row],[Rlay]]/LayTable[[#This Row],[Total inns]]),"")</f>
        <v/>
      </c>
      <c r="Y450" s="48" t="str">
        <f>IFERROR(LayTable[[#This Row],[Faktisk res]]/LayTable[[#This Row],[Total inns]],"")</f>
        <v/>
      </c>
      <c r="Z450" s="47">
        <f>(LayTable[[#This Row],[BookieInnsats]]*LayTable[[#This Row],[BookieOdds]]-LayTable[[#This Row],[BookieInnsats]])*(1-LayTable[[#This Row],[C% Bookie]])</f>
        <v>0</v>
      </c>
      <c r="AA450" s="43">
        <f>LayTable[[#This Row],[LayInnsats]]*(1-LayTable[[#This Row],[C% Lay]])</f>
        <v>0</v>
      </c>
      <c r="AB450" s="43" t="str">
        <f>IFERROR(IF(LayTable[[#This Row],[Sport]]="",AB449,LayTable[[#This Row],[Faktisk res]]+AB449),"")</f>
        <v/>
      </c>
      <c r="AC450" s="43">
        <f>(LayTable[[#This Row],[BackWin-Commission]]+LayTable[[#This Row],[BookieInnsats]])</f>
        <v>0</v>
      </c>
      <c r="AD450" s="43" t="e">
        <f>(LayTable[[#This Row],[LayWin-Commission]])+LayTable[[#This Row],[LayLiability]]</f>
        <v>#VALUE!</v>
      </c>
      <c r="AE450" s="181"/>
      <c r="AF450" s="303"/>
    </row>
    <row r="451" spans="1:32">
      <c r="A451" s="84"/>
      <c r="B451" s="177"/>
      <c r="C451" s="178"/>
      <c r="D451" s="41"/>
      <c r="E451" s="178"/>
      <c r="F451" s="179"/>
      <c r="G451" s="183"/>
      <c r="H451" s="38"/>
      <c r="I451" s="42"/>
      <c r="J451" s="42"/>
      <c r="K451" s="180"/>
      <c r="L451" s="43"/>
      <c r="M451" s="44" t="str">
        <f>IF(LayTable[[#This Row],[Sport]]="","",LayTable[[#This Row],[LayInnsats]]*(LayTable[[#This Row],[LayOdds]]-1))</f>
        <v/>
      </c>
      <c r="N451" s="45" t="str">
        <f>IF(LayTable[[#This Row],[Sport]]="","",1/((1/LayTable[[#This Row],[BookieOdds]])+(1/((1/((1+((LayTable[[#This Row],[LayOdds]]-1)*(1+LayTable[[#This Row],[C% Lay]])))-1))+1)))-1)</f>
        <v/>
      </c>
      <c r="Q451" s="46" t="str">
        <f>IF(LayTable[[#This Row],[Sport]]="","",LayTable[[#This Row],[BookieInnsats]]+LayTable[[#This Row],[LayLiability]])</f>
        <v/>
      </c>
      <c r="R4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1" s="47" t="str">
        <f>IF(LayTable[[#This Row],[Utfall bookie]]="","",LayTable[[#This Row],[WBABack]]+LayTable[[#This Row],[WBALay]]-LayTable[[#This Row],[Total inns]])</f>
        <v/>
      </c>
      <c r="U4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1" s="48" t="str">
        <f>IFERROR(IF(LayTable[[#This Row],[Total inns]]="","",LayTable[[#This Row],[Rback]]/LayTable[[#This Row],[Total inns]]),"")</f>
        <v/>
      </c>
      <c r="X451" s="48" t="str">
        <f>IFERROR(IF(LayTable[[#This Row],[Total inns]]="","",LayTable[[#This Row],[Rlay]]/LayTable[[#This Row],[Total inns]]),"")</f>
        <v/>
      </c>
      <c r="Y451" s="48" t="str">
        <f>IFERROR(LayTable[[#This Row],[Faktisk res]]/LayTable[[#This Row],[Total inns]],"")</f>
        <v/>
      </c>
      <c r="Z451" s="47">
        <f>(LayTable[[#This Row],[BookieInnsats]]*LayTable[[#This Row],[BookieOdds]]-LayTable[[#This Row],[BookieInnsats]])*(1-LayTable[[#This Row],[C% Bookie]])</f>
        <v>0</v>
      </c>
      <c r="AA451" s="43">
        <f>LayTable[[#This Row],[LayInnsats]]*(1-LayTable[[#This Row],[C% Lay]])</f>
        <v>0</v>
      </c>
      <c r="AB451" s="43" t="str">
        <f>IFERROR(IF(LayTable[[#This Row],[Sport]]="",#REF!,LayTable[[#This Row],[Faktisk res]]+#REF!),"")</f>
        <v/>
      </c>
      <c r="AC451" s="43">
        <f>(LayTable[[#This Row],[BackWin-Commission]]+LayTable[[#This Row],[BookieInnsats]])</f>
        <v>0</v>
      </c>
      <c r="AD451" s="43" t="e">
        <f>(LayTable[[#This Row],[LayWin-Commission]])+LayTable[[#This Row],[LayLiability]]</f>
        <v>#VALUE!</v>
      </c>
      <c r="AE451" s="303"/>
      <c r="AF451" s="303"/>
    </row>
    <row r="452" spans="1:32">
      <c r="A452" s="183"/>
      <c r="B452" s="177"/>
      <c r="C452" s="178"/>
      <c r="D452" s="41"/>
      <c r="E452" s="178"/>
      <c r="F452" s="179"/>
      <c r="G452" s="183"/>
      <c r="H452" s="38"/>
      <c r="I452" s="42"/>
      <c r="J452" s="42"/>
      <c r="K452" s="181"/>
      <c r="L452" s="43"/>
      <c r="M452" s="44" t="str">
        <f>IF(LayTable[[#This Row],[Sport]]="","",LayTable[[#This Row],[LayInnsats]]*(LayTable[[#This Row],[LayOdds]]-1))</f>
        <v/>
      </c>
      <c r="N452" s="45" t="str">
        <f>IF(LayTable[[#This Row],[Sport]]="","",1/((1/LayTable[[#This Row],[BookieOdds]])+(1/((1/((1+((LayTable[[#This Row],[LayOdds]]-1)*(1+LayTable[[#This Row],[C% Lay]])))-1))+1)))-1)</f>
        <v/>
      </c>
      <c r="Q452" s="46" t="str">
        <f>IF(LayTable[[#This Row],[Sport]]="","",LayTable[[#This Row],[BookieInnsats]]+LayTable[[#This Row],[LayLiability]])</f>
        <v/>
      </c>
      <c r="R4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2" s="47" t="str">
        <f>IF(LayTable[[#This Row],[Utfall bookie]]="","",LayTable[[#This Row],[WBABack]]+LayTable[[#This Row],[WBALay]]-LayTable[[#This Row],[Total inns]])</f>
        <v/>
      </c>
      <c r="U4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2" s="48" t="str">
        <f>IFERROR(IF(LayTable[[#This Row],[Total inns]]="","",LayTable[[#This Row],[Rback]]/LayTable[[#This Row],[Total inns]]),"")</f>
        <v/>
      </c>
      <c r="X452" s="48" t="str">
        <f>IFERROR(IF(LayTable[[#This Row],[Total inns]]="","",LayTable[[#This Row],[Rlay]]/LayTable[[#This Row],[Total inns]]),"")</f>
        <v/>
      </c>
      <c r="Y452" s="48" t="str">
        <f>IFERROR(LayTable[[#This Row],[Faktisk res]]/LayTable[[#This Row],[Total inns]],"")</f>
        <v/>
      </c>
      <c r="Z452" s="47">
        <f>(LayTable[[#This Row],[BookieInnsats]]*LayTable[[#This Row],[BookieOdds]]-LayTable[[#This Row],[BookieInnsats]])*(1-LayTable[[#This Row],[C% Bookie]])</f>
        <v>0</v>
      </c>
      <c r="AA452" s="43">
        <f>LayTable[[#This Row],[LayInnsats]]*(1-LayTable[[#This Row],[C% Lay]])</f>
        <v>0</v>
      </c>
      <c r="AB452" s="43" t="str">
        <f>IFERROR(IF(LayTable[[#This Row],[Sport]]="",AB451,LayTable[[#This Row],[Faktisk res]]+AB451),"")</f>
        <v/>
      </c>
      <c r="AC452" s="43">
        <f>(LayTable[[#This Row],[BackWin-Commission]]+LayTable[[#This Row],[BookieInnsats]])</f>
        <v>0</v>
      </c>
      <c r="AD452" s="43" t="e">
        <f>(LayTable[[#This Row],[LayWin-Commission]])+LayTable[[#This Row],[LayLiability]]</f>
        <v>#VALUE!</v>
      </c>
      <c r="AE452" s="303"/>
      <c r="AF452" s="303"/>
    </row>
    <row r="453" spans="1:32">
      <c r="A453" s="183"/>
      <c r="B453" s="177"/>
      <c r="C453" s="178"/>
      <c r="D453" s="41"/>
      <c r="E453" s="178"/>
      <c r="F453" s="179"/>
      <c r="G453" s="183"/>
      <c r="H453" s="38"/>
      <c r="I453" s="42"/>
      <c r="J453" s="180"/>
      <c r="K453" s="42"/>
      <c r="L453" s="43"/>
      <c r="M453" s="44" t="str">
        <f>IF(LayTable[[#This Row],[Sport]]="","",LayTable[[#This Row],[LayInnsats]]*(LayTable[[#This Row],[LayOdds]]-1))</f>
        <v/>
      </c>
      <c r="N453" s="45" t="str">
        <f>IF(LayTable[[#This Row],[Sport]]="","",1/((1/LayTable[[#This Row],[BookieOdds]])+(1/((1/((1+((LayTable[[#This Row],[LayOdds]]-1)*(1+LayTable[[#This Row],[C% Lay]])))-1))+1)))-1)</f>
        <v/>
      </c>
      <c r="Q453" s="46" t="str">
        <f>IF(LayTable[[#This Row],[Sport]]="","",LayTable[[#This Row],[BookieInnsats]]+LayTable[[#This Row],[LayLiability]])</f>
        <v/>
      </c>
      <c r="R4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3" s="47" t="str">
        <f>IF(LayTable[[#This Row],[Utfall bookie]]="","",LayTable[[#This Row],[WBABack]]+LayTable[[#This Row],[WBALay]]-LayTable[[#This Row],[Total inns]])</f>
        <v/>
      </c>
      <c r="U4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3" s="48" t="str">
        <f>IFERROR(IF(LayTable[[#This Row],[Total inns]]="","",LayTable[[#This Row],[Rback]]/LayTable[[#This Row],[Total inns]]),"")</f>
        <v/>
      </c>
      <c r="X453" s="48" t="str">
        <f>IFERROR(IF(LayTable[[#This Row],[Total inns]]="","",LayTable[[#This Row],[Rlay]]/LayTable[[#This Row],[Total inns]]),"")</f>
        <v/>
      </c>
      <c r="Y453" s="48" t="str">
        <f>IFERROR(LayTable[[#This Row],[Faktisk res]]/LayTable[[#This Row],[Total inns]],"")</f>
        <v/>
      </c>
      <c r="Z453" s="47">
        <f>(LayTable[[#This Row],[BookieInnsats]]*LayTable[[#This Row],[BookieOdds]]-LayTable[[#This Row],[BookieInnsats]])*(1-LayTable[[#This Row],[C% Bookie]])</f>
        <v>0</v>
      </c>
      <c r="AA453" s="43">
        <f>LayTable[[#This Row],[LayInnsats]]*(1-LayTable[[#This Row],[C% Lay]])</f>
        <v>0</v>
      </c>
      <c r="AB453" s="43" t="str">
        <f>IFERROR(IF(LayTable[[#This Row],[Sport]]="",AB452,LayTable[[#This Row],[Faktisk res]]+AB452),"")</f>
        <v/>
      </c>
      <c r="AC453" s="43">
        <f>(LayTable[[#This Row],[BackWin-Commission]]+LayTable[[#This Row],[BookieInnsats]])</f>
        <v>0</v>
      </c>
      <c r="AD453" s="43" t="e">
        <f>(LayTable[[#This Row],[LayWin-Commission]])+LayTable[[#This Row],[LayLiability]]</f>
        <v>#VALUE!</v>
      </c>
      <c r="AE453" s="303"/>
      <c r="AF453" s="303"/>
    </row>
    <row r="454" spans="1:32">
      <c r="A454" s="84"/>
      <c r="B454" s="177"/>
      <c r="C454" s="40"/>
      <c r="D454" s="41"/>
      <c r="E454" s="178"/>
      <c r="F454" s="179"/>
      <c r="G454" s="183"/>
      <c r="H454" s="38"/>
      <c r="I454" s="42"/>
      <c r="J454" s="42"/>
      <c r="K454" s="43"/>
      <c r="L454" s="43"/>
      <c r="M454" s="44" t="str">
        <f>IF(LayTable[[#This Row],[Sport]]="","",LayTable[[#This Row],[LayInnsats]]*(LayTable[[#This Row],[LayOdds]]-1))</f>
        <v/>
      </c>
      <c r="N454" s="45" t="str">
        <f>IF(LayTable[[#This Row],[Sport]]="","",1/((1/LayTable[[#This Row],[BookieOdds]])+(1/((1/((1+((LayTable[[#This Row],[LayOdds]]-1)*(1+LayTable[[#This Row],[C% Lay]])))-1))+1)))-1)</f>
        <v/>
      </c>
      <c r="Q454" s="46" t="str">
        <f>IF(LayTable[[#This Row],[Sport]]="","",LayTable[[#This Row],[BookieInnsats]]+LayTable[[#This Row],[LayLiability]])</f>
        <v/>
      </c>
      <c r="R4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4" s="47" t="str">
        <f>IF(LayTable[[#This Row],[Utfall bookie]]="","",LayTable[[#This Row],[WBABack]]+LayTable[[#This Row],[WBALay]]-LayTable[[#This Row],[Total inns]])</f>
        <v/>
      </c>
      <c r="U4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4" s="48" t="str">
        <f>IFERROR(IF(LayTable[[#This Row],[Total inns]]="","",LayTable[[#This Row],[Rback]]/LayTable[[#This Row],[Total inns]]),"")</f>
        <v/>
      </c>
      <c r="X454" s="48" t="str">
        <f>IFERROR(IF(LayTable[[#This Row],[Total inns]]="","",LayTable[[#This Row],[Rlay]]/LayTable[[#This Row],[Total inns]]),"")</f>
        <v/>
      </c>
      <c r="Y454" s="48" t="str">
        <f>IFERROR(LayTable[[#This Row],[Faktisk res]]/LayTable[[#This Row],[Total inns]],"")</f>
        <v/>
      </c>
      <c r="Z454" s="47">
        <f>(LayTable[[#This Row],[BookieInnsats]]*LayTable[[#This Row],[BookieOdds]]-LayTable[[#This Row],[BookieInnsats]])*(1-LayTable[[#This Row],[C% Bookie]])</f>
        <v>0</v>
      </c>
      <c r="AA454" s="43">
        <f>LayTable[[#This Row],[LayInnsats]]*(1-LayTable[[#This Row],[C% Lay]])</f>
        <v>0</v>
      </c>
      <c r="AB454" s="43" t="str">
        <f>IFERROR(IF(LayTable[[#This Row],[Sport]]="",AB453,LayTable[[#This Row],[Faktisk res]]+AB453),"")</f>
        <v/>
      </c>
      <c r="AC454" s="43">
        <f>(LayTable[[#This Row],[BackWin-Commission]]+LayTable[[#This Row],[BookieInnsats]])</f>
        <v>0</v>
      </c>
      <c r="AD454" s="43" t="e">
        <f>(LayTable[[#This Row],[LayWin-Commission]])+LayTable[[#This Row],[LayLiability]]</f>
        <v>#VALUE!</v>
      </c>
      <c r="AE454" s="181"/>
      <c r="AF454" s="303"/>
    </row>
    <row r="455" spans="1:32">
      <c r="A455" s="84"/>
      <c r="B455" s="177"/>
      <c r="C455" s="40"/>
      <c r="D455" s="41"/>
      <c r="E455" s="178"/>
      <c r="F455" s="179"/>
      <c r="G455" s="183"/>
      <c r="H455" s="38"/>
      <c r="I455" s="42"/>
      <c r="J455" s="42"/>
      <c r="K455" s="43"/>
      <c r="L455" s="43"/>
      <c r="M455" s="44" t="str">
        <f>IF(LayTable[[#This Row],[Sport]]="","",LayTable[[#This Row],[LayInnsats]]*(LayTable[[#This Row],[LayOdds]]-1))</f>
        <v/>
      </c>
      <c r="N455" s="45" t="str">
        <f>IF(LayTable[[#This Row],[Sport]]="","",1/((1/LayTable[[#This Row],[BookieOdds]])+(1/((1/((1+((LayTable[[#This Row],[LayOdds]]-1)*(1+LayTable[[#This Row],[C% Lay]])))-1))+1)))-1)</f>
        <v/>
      </c>
      <c r="Q455" s="46" t="str">
        <f>IF(LayTable[[#This Row],[Sport]]="","",LayTable[[#This Row],[BookieInnsats]]+LayTable[[#This Row],[LayLiability]])</f>
        <v/>
      </c>
      <c r="R4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5" s="47" t="str">
        <f>IF(LayTable[[#This Row],[Utfall bookie]]="","",LayTable[[#This Row],[WBABack]]+LayTable[[#This Row],[WBALay]]-LayTable[[#This Row],[Total inns]])</f>
        <v/>
      </c>
      <c r="U4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5" s="48" t="str">
        <f>IFERROR(IF(LayTable[[#This Row],[Total inns]]="","",LayTable[[#This Row],[Rback]]/LayTable[[#This Row],[Total inns]]),"")</f>
        <v/>
      </c>
      <c r="X455" s="48" t="str">
        <f>IFERROR(IF(LayTable[[#This Row],[Total inns]]="","",LayTable[[#This Row],[Rlay]]/LayTable[[#This Row],[Total inns]]),"")</f>
        <v/>
      </c>
      <c r="Y455" s="48" t="str">
        <f>IFERROR(LayTable[[#This Row],[Faktisk res]]/LayTable[[#This Row],[Total inns]],"")</f>
        <v/>
      </c>
      <c r="Z455" s="47">
        <f>(LayTable[[#This Row],[BookieInnsats]]*LayTable[[#This Row],[BookieOdds]]-LayTable[[#This Row],[BookieInnsats]])*(1-LayTable[[#This Row],[C% Bookie]])</f>
        <v>0</v>
      </c>
      <c r="AA455" s="43">
        <f>LayTable[[#This Row],[LayInnsats]]*(1-LayTable[[#This Row],[C% Lay]])</f>
        <v>0</v>
      </c>
      <c r="AB455" s="43" t="str">
        <f>IFERROR(IF(LayTable[[#This Row],[Sport]]="",#REF!,LayTable[[#This Row],[Faktisk res]]+#REF!),"")</f>
        <v/>
      </c>
      <c r="AC455" s="43">
        <f>(LayTable[[#This Row],[BackWin-Commission]]+LayTable[[#This Row],[BookieInnsats]])</f>
        <v>0</v>
      </c>
      <c r="AD455" s="43" t="e">
        <f>(LayTable[[#This Row],[LayWin-Commission]])+LayTable[[#This Row],[LayLiability]]</f>
        <v>#VALUE!</v>
      </c>
      <c r="AE455" s="181"/>
      <c r="AF455" s="303"/>
    </row>
    <row r="456" spans="1:32">
      <c r="A456" s="84"/>
      <c r="B456" s="177"/>
      <c r="C456" s="40"/>
      <c r="D456" s="41"/>
      <c r="E456" s="178"/>
      <c r="F456" s="179"/>
      <c r="G456" s="183"/>
      <c r="H456" s="38"/>
      <c r="I456" s="42"/>
      <c r="J456" s="42"/>
      <c r="K456" s="43"/>
      <c r="L456" s="43"/>
      <c r="M456" s="44" t="str">
        <f>IF(LayTable[[#This Row],[Sport]]="","",LayTable[[#This Row],[LayInnsats]]*(LayTable[[#This Row],[LayOdds]]-1))</f>
        <v/>
      </c>
      <c r="N456" s="45" t="str">
        <f>IF(LayTable[[#This Row],[Sport]]="","",1/((1/LayTable[[#This Row],[BookieOdds]])+(1/((1/((1+((LayTable[[#This Row],[LayOdds]]-1)*(1+LayTable[[#This Row],[C% Lay]])))-1))+1)))-1)</f>
        <v/>
      </c>
      <c r="Q456" s="46" t="str">
        <f>IF(LayTable[[#This Row],[Sport]]="","",LayTable[[#This Row],[BookieInnsats]]+LayTable[[#This Row],[LayLiability]])</f>
        <v/>
      </c>
      <c r="R4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6" s="47" t="str">
        <f>IF(LayTable[[#This Row],[Utfall bookie]]="","",LayTable[[#This Row],[WBABack]]+LayTable[[#This Row],[WBALay]]-LayTable[[#This Row],[Total inns]])</f>
        <v/>
      </c>
      <c r="U4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6" s="48" t="str">
        <f>IFERROR(IF(LayTable[[#This Row],[Total inns]]="","",LayTable[[#This Row],[Rback]]/LayTable[[#This Row],[Total inns]]),"")</f>
        <v/>
      </c>
      <c r="X456" s="48" t="str">
        <f>IFERROR(IF(LayTable[[#This Row],[Total inns]]="","",LayTable[[#This Row],[Rlay]]/LayTable[[#This Row],[Total inns]]),"")</f>
        <v/>
      </c>
      <c r="Y456" s="48" t="str">
        <f>IFERROR(LayTable[[#This Row],[Faktisk res]]/LayTable[[#This Row],[Total inns]],"")</f>
        <v/>
      </c>
      <c r="Z456" s="47">
        <f>(LayTable[[#This Row],[BookieInnsats]]*LayTable[[#This Row],[BookieOdds]]-LayTable[[#This Row],[BookieInnsats]])*(1-LayTable[[#This Row],[C% Bookie]])</f>
        <v>0</v>
      </c>
      <c r="AA456" s="43">
        <f>LayTable[[#This Row],[LayInnsats]]*(1-LayTable[[#This Row],[C% Lay]])</f>
        <v>0</v>
      </c>
      <c r="AB456" s="43" t="str">
        <f>IFERROR(IF(LayTable[[#This Row],[Sport]]="",#REF!,LayTable[[#This Row],[Faktisk res]]+#REF!),"")</f>
        <v/>
      </c>
      <c r="AC456" s="43">
        <f>(LayTable[[#This Row],[BackWin-Commission]]+LayTable[[#This Row],[BookieInnsats]])</f>
        <v>0</v>
      </c>
      <c r="AD456" s="43" t="e">
        <f>(LayTable[[#This Row],[LayWin-Commission]])+LayTable[[#This Row],[LayLiability]]</f>
        <v>#VALUE!</v>
      </c>
      <c r="AE456" s="181"/>
      <c r="AF456" s="303"/>
    </row>
    <row r="457" spans="1:32">
      <c r="A457" s="84"/>
      <c r="B457" s="177"/>
      <c r="C457" s="40"/>
      <c r="D457" s="41"/>
      <c r="E457" s="178"/>
      <c r="F457" s="179"/>
      <c r="G457" s="183"/>
      <c r="H457" s="176"/>
      <c r="I457" s="180"/>
      <c r="J457" s="180"/>
      <c r="K457" s="181"/>
      <c r="L457" s="181"/>
      <c r="M457" s="44" t="str">
        <f>IF(LayTable[[#This Row],[Sport]]="","",LayTable[[#This Row],[LayInnsats]]*(LayTable[[#This Row],[LayOdds]]-1))</f>
        <v/>
      </c>
      <c r="N457" s="45" t="str">
        <f>IF(LayTable[[#This Row],[Sport]]="","",1/((1/LayTable[[#This Row],[BookieOdds]])+(1/((1/((1+((LayTable[[#This Row],[LayOdds]]-1)*(1+LayTable[[#This Row],[C% Lay]])))-1))+1)))-1)</f>
        <v/>
      </c>
      <c r="Q457" s="46" t="str">
        <f>IF(LayTable[[#This Row],[Sport]]="","",LayTable[[#This Row],[BookieInnsats]]+LayTable[[#This Row],[LayLiability]])</f>
        <v/>
      </c>
      <c r="R4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7" s="47" t="str">
        <f>IF(LayTable[[#This Row],[Utfall bookie]]="","",LayTable[[#This Row],[WBABack]]+LayTable[[#This Row],[WBALay]]-LayTable[[#This Row],[Total inns]])</f>
        <v/>
      </c>
      <c r="U4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7" s="48" t="str">
        <f>IFERROR(IF(LayTable[[#This Row],[Total inns]]="","",LayTable[[#This Row],[Rback]]/LayTable[[#This Row],[Total inns]]),"")</f>
        <v/>
      </c>
      <c r="X457" s="48" t="str">
        <f>IFERROR(IF(LayTable[[#This Row],[Total inns]]="","",LayTable[[#This Row],[Rlay]]/LayTable[[#This Row],[Total inns]]),"")</f>
        <v/>
      </c>
      <c r="Y457" s="48" t="str">
        <f>IFERROR(LayTable[[#This Row],[Faktisk res]]/LayTable[[#This Row],[Total inns]],"")</f>
        <v/>
      </c>
      <c r="Z457" s="47">
        <f>(LayTable[[#This Row],[BookieInnsats]]*LayTable[[#This Row],[BookieOdds]]-LayTable[[#This Row],[BookieInnsats]])*(1-LayTable[[#This Row],[C% Bookie]])</f>
        <v>0</v>
      </c>
      <c r="AA457" s="43">
        <f>LayTable[[#This Row],[LayInnsats]]*(1-LayTable[[#This Row],[C% Lay]])</f>
        <v>0</v>
      </c>
      <c r="AB457" s="43" t="str">
        <f>IFERROR(IF(LayTable[[#This Row],[Sport]]="",AB456,LayTable[[#This Row],[Faktisk res]]+AB456),"")</f>
        <v/>
      </c>
      <c r="AC457" s="43">
        <f>(LayTable[[#This Row],[BackWin-Commission]]+LayTable[[#This Row],[BookieInnsats]])</f>
        <v>0</v>
      </c>
      <c r="AD457" s="43" t="e">
        <f>(LayTable[[#This Row],[LayWin-Commission]])+LayTable[[#This Row],[LayLiability]]</f>
        <v>#VALUE!</v>
      </c>
      <c r="AE457" s="181"/>
      <c r="AF457" s="303"/>
    </row>
    <row r="458" spans="1:32">
      <c r="A458" s="84"/>
      <c r="B458" s="177"/>
      <c r="C458" s="40"/>
      <c r="D458" s="41"/>
      <c r="E458" s="178"/>
      <c r="F458" s="179"/>
      <c r="G458" s="183"/>
      <c r="H458" s="38"/>
      <c r="I458" s="42"/>
      <c r="J458" s="42"/>
      <c r="K458" s="43"/>
      <c r="L458" s="43"/>
      <c r="M458" s="44" t="str">
        <f>IF(LayTable[[#This Row],[Sport]]="","",LayTable[[#This Row],[LayInnsats]]*(LayTable[[#This Row],[LayOdds]]-1))</f>
        <v/>
      </c>
      <c r="N458" s="45" t="str">
        <f>IF(LayTable[[#This Row],[Sport]]="","",1/((1/LayTable[[#This Row],[BookieOdds]])+(1/((1/((1+((LayTable[[#This Row],[LayOdds]]-1)*(1+LayTable[[#This Row],[C% Lay]])))-1))+1)))-1)</f>
        <v/>
      </c>
      <c r="Q458" s="46" t="str">
        <f>IF(LayTable[[#This Row],[Sport]]="","",LayTable[[#This Row],[BookieInnsats]]+LayTable[[#This Row],[LayLiability]])</f>
        <v/>
      </c>
      <c r="R4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8" s="47" t="str">
        <f>IF(LayTable[[#This Row],[Utfall bookie]]="","",LayTable[[#This Row],[WBABack]]+LayTable[[#This Row],[WBALay]]-LayTable[[#This Row],[Total inns]])</f>
        <v/>
      </c>
      <c r="U4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8" s="48" t="str">
        <f>IFERROR(IF(LayTable[[#This Row],[Total inns]]="","",LayTable[[#This Row],[Rback]]/LayTable[[#This Row],[Total inns]]),"")</f>
        <v/>
      </c>
      <c r="X458" s="48" t="str">
        <f>IFERROR(IF(LayTable[[#This Row],[Total inns]]="","",LayTable[[#This Row],[Rlay]]/LayTable[[#This Row],[Total inns]]),"")</f>
        <v/>
      </c>
      <c r="Y458" s="48" t="str">
        <f>IFERROR(LayTable[[#This Row],[Faktisk res]]/LayTable[[#This Row],[Total inns]],"")</f>
        <v/>
      </c>
      <c r="Z458" s="47">
        <f>(LayTable[[#This Row],[BookieInnsats]]*LayTable[[#This Row],[BookieOdds]]-LayTable[[#This Row],[BookieInnsats]])*(1-LayTable[[#This Row],[C% Bookie]])</f>
        <v>0</v>
      </c>
      <c r="AA458" s="43">
        <f>LayTable[[#This Row],[LayInnsats]]*(1-LayTable[[#This Row],[C% Lay]])</f>
        <v>0</v>
      </c>
      <c r="AB458" s="43" t="str">
        <f>IFERROR(IF(LayTable[[#This Row],[Sport]]="",#REF!,LayTable[[#This Row],[Faktisk res]]+#REF!),"")</f>
        <v/>
      </c>
      <c r="AC458" s="43">
        <f>(LayTable[[#This Row],[BackWin-Commission]]+LayTable[[#This Row],[BookieInnsats]])</f>
        <v>0</v>
      </c>
      <c r="AD458" s="43" t="e">
        <f>(LayTable[[#This Row],[LayWin-Commission]])+LayTable[[#This Row],[LayLiability]]</f>
        <v>#VALUE!</v>
      </c>
      <c r="AE458" s="181"/>
      <c r="AF458" s="303"/>
    </row>
    <row r="459" spans="1:32">
      <c r="A459" s="183"/>
      <c r="B459" s="177"/>
      <c r="C459" s="40"/>
      <c r="D459" s="41"/>
      <c r="E459" s="178"/>
      <c r="F459" s="179"/>
      <c r="G459" s="183"/>
      <c r="H459" s="176"/>
      <c r="I459" s="180"/>
      <c r="J459" s="42"/>
      <c r="K459" s="43"/>
      <c r="L459" s="43"/>
      <c r="M459" s="44" t="str">
        <f>IF(LayTable[[#This Row],[Sport]]="","",LayTable[[#This Row],[LayInnsats]]*(LayTable[[#This Row],[LayOdds]]-1))</f>
        <v/>
      </c>
      <c r="N459" s="45" t="str">
        <f>IF(LayTable[[#This Row],[Sport]]="","",1/((1/LayTable[[#This Row],[BookieOdds]])+(1/((1/((1+((LayTable[[#This Row],[LayOdds]]-1)*(1+LayTable[[#This Row],[C% Lay]])))-1))+1)))-1)</f>
        <v/>
      </c>
      <c r="Q459" s="46" t="str">
        <f>IF(LayTable[[#This Row],[Sport]]="","",LayTable[[#This Row],[BookieInnsats]]+LayTable[[#This Row],[LayLiability]])</f>
        <v/>
      </c>
      <c r="R4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59" s="47" t="str">
        <f>IF(LayTable[[#This Row],[Utfall bookie]]="","",LayTable[[#This Row],[WBABack]]+LayTable[[#This Row],[WBALay]]-LayTable[[#This Row],[Total inns]])</f>
        <v/>
      </c>
      <c r="U4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59" s="48" t="str">
        <f>IFERROR(IF(LayTable[[#This Row],[Total inns]]="","",LayTable[[#This Row],[Rback]]/LayTable[[#This Row],[Total inns]]),"")</f>
        <v/>
      </c>
      <c r="X459" s="48" t="str">
        <f>IFERROR(IF(LayTable[[#This Row],[Total inns]]="","",LayTable[[#This Row],[Rlay]]/LayTable[[#This Row],[Total inns]]),"")</f>
        <v/>
      </c>
      <c r="Y459" s="48" t="str">
        <f>IFERROR(LayTable[[#This Row],[Faktisk res]]/LayTable[[#This Row],[Total inns]],"")</f>
        <v/>
      </c>
      <c r="Z459" s="47">
        <f>(LayTable[[#This Row],[BookieInnsats]]*LayTable[[#This Row],[BookieOdds]]-LayTable[[#This Row],[BookieInnsats]])*(1-LayTable[[#This Row],[C% Bookie]])</f>
        <v>0</v>
      </c>
      <c r="AA459" s="43">
        <f>LayTable[[#This Row],[LayInnsats]]*(1-LayTable[[#This Row],[C% Lay]])</f>
        <v>0</v>
      </c>
      <c r="AB459" s="43" t="str">
        <f>IFERROR(IF(LayTable[[#This Row],[Sport]]="",#REF!,LayTable[[#This Row],[Faktisk res]]+#REF!),"")</f>
        <v/>
      </c>
      <c r="AC459" s="43">
        <f>(LayTable[[#This Row],[BackWin-Commission]]+LayTable[[#This Row],[BookieInnsats]])</f>
        <v>0</v>
      </c>
      <c r="AD459" s="43" t="e">
        <f>(LayTable[[#This Row],[LayWin-Commission]])+LayTable[[#This Row],[LayLiability]]</f>
        <v>#VALUE!</v>
      </c>
      <c r="AE459" s="181"/>
      <c r="AF459" s="303"/>
    </row>
    <row r="460" spans="1:32">
      <c r="A460" s="183"/>
      <c r="B460" s="177"/>
      <c r="C460" s="40"/>
      <c r="D460" s="41"/>
      <c r="E460" s="178"/>
      <c r="F460" s="179"/>
      <c r="G460" s="183"/>
      <c r="H460" s="38"/>
      <c r="I460" s="42"/>
      <c r="J460" s="42"/>
      <c r="K460" s="43"/>
      <c r="L460" s="43"/>
      <c r="M460" s="44" t="str">
        <f>IF(LayTable[[#This Row],[Sport]]="","",LayTable[[#This Row],[LayInnsats]]*(LayTable[[#This Row],[LayOdds]]-1))</f>
        <v/>
      </c>
      <c r="N460" s="45" t="str">
        <f>IF(LayTable[[#This Row],[Sport]]="","",1/((1/LayTable[[#This Row],[BookieOdds]])+(1/((1/((1+((LayTable[[#This Row],[LayOdds]]-1)*(1+LayTable[[#This Row],[C% Lay]])))-1))+1)))-1)</f>
        <v/>
      </c>
      <c r="Q460" s="46" t="str">
        <f>IF(LayTable[[#This Row],[Sport]]="","",LayTable[[#This Row],[BookieInnsats]]+LayTable[[#This Row],[LayLiability]])</f>
        <v/>
      </c>
      <c r="R4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0" s="47" t="str">
        <f>IF(LayTable[[#This Row],[Utfall bookie]]="","",LayTable[[#This Row],[WBABack]]+LayTable[[#This Row],[WBALay]]-LayTable[[#This Row],[Total inns]])</f>
        <v/>
      </c>
      <c r="U4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0" s="48" t="str">
        <f>IFERROR(IF(LayTable[[#This Row],[Total inns]]="","",LayTable[[#This Row],[Rback]]/LayTable[[#This Row],[Total inns]]),"")</f>
        <v/>
      </c>
      <c r="X460" s="48" t="str">
        <f>IFERROR(IF(LayTable[[#This Row],[Total inns]]="","",LayTable[[#This Row],[Rlay]]/LayTable[[#This Row],[Total inns]]),"")</f>
        <v/>
      </c>
      <c r="Y460" s="48" t="str">
        <f>IFERROR(LayTable[[#This Row],[Faktisk res]]/LayTable[[#This Row],[Total inns]],"")</f>
        <v/>
      </c>
      <c r="Z460" s="47">
        <f>(LayTable[[#This Row],[BookieInnsats]]*LayTable[[#This Row],[BookieOdds]]-LayTable[[#This Row],[BookieInnsats]])*(1-LayTable[[#This Row],[C% Bookie]])</f>
        <v>0</v>
      </c>
      <c r="AA460" s="43">
        <f>LayTable[[#This Row],[LayInnsats]]*(1-LayTable[[#This Row],[C% Lay]])</f>
        <v>0</v>
      </c>
      <c r="AB460" s="43" t="str">
        <f>IFERROR(IF(LayTable[[#This Row],[Sport]]="",AB459,LayTable[[#This Row],[Faktisk res]]+AB459),"")</f>
        <v/>
      </c>
      <c r="AC460" s="43">
        <f>(LayTable[[#This Row],[BackWin-Commission]]+LayTable[[#This Row],[BookieInnsats]])</f>
        <v>0</v>
      </c>
      <c r="AD460" s="43" t="e">
        <f>(LayTable[[#This Row],[LayWin-Commission]])+LayTable[[#This Row],[LayLiability]]</f>
        <v>#VALUE!</v>
      </c>
      <c r="AE460" s="303"/>
      <c r="AF460" s="303"/>
    </row>
    <row r="461" spans="1:32">
      <c r="A461" s="183"/>
      <c r="B461" s="177"/>
      <c r="C461" s="40"/>
      <c r="D461" s="41"/>
      <c r="E461" s="178"/>
      <c r="F461" s="179"/>
      <c r="G461" s="183"/>
      <c r="H461" s="38"/>
      <c r="I461" s="42"/>
      <c r="J461" s="42"/>
      <c r="K461" s="43"/>
      <c r="L461" s="43"/>
      <c r="M461" s="44" t="str">
        <f>IF(LayTable[[#This Row],[Sport]]="","",LayTable[[#This Row],[LayInnsats]]*(LayTable[[#This Row],[LayOdds]]-1))</f>
        <v/>
      </c>
      <c r="N461" s="45" t="str">
        <f>IF(LayTable[[#This Row],[Sport]]="","",1/((1/LayTable[[#This Row],[BookieOdds]])+(1/((1/((1+((LayTable[[#This Row],[LayOdds]]-1)*(1+LayTable[[#This Row],[C% Lay]])))-1))+1)))-1)</f>
        <v/>
      </c>
      <c r="Q461" s="46" t="str">
        <f>IF(LayTable[[#This Row],[Sport]]="","",LayTable[[#This Row],[BookieInnsats]]+LayTable[[#This Row],[LayLiability]])</f>
        <v/>
      </c>
      <c r="R4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1" s="47" t="str">
        <f>IF(LayTable[[#This Row],[Utfall bookie]]="","",LayTable[[#This Row],[WBABack]]+LayTable[[#This Row],[WBALay]]-LayTable[[#This Row],[Total inns]])</f>
        <v/>
      </c>
      <c r="U4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1" s="48" t="str">
        <f>IFERROR(IF(LayTable[[#This Row],[Total inns]]="","",LayTable[[#This Row],[Rback]]/LayTable[[#This Row],[Total inns]]),"")</f>
        <v/>
      </c>
      <c r="X461" s="48" t="str">
        <f>IFERROR(IF(LayTable[[#This Row],[Total inns]]="","",LayTable[[#This Row],[Rlay]]/LayTable[[#This Row],[Total inns]]),"")</f>
        <v/>
      </c>
      <c r="Y461" s="48" t="str">
        <f>IFERROR(LayTable[[#This Row],[Faktisk res]]/LayTable[[#This Row],[Total inns]],"")</f>
        <v/>
      </c>
      <c r="Z461" s="47">
        <f>(LayTable[[#This Row],[BookieInnsats]]*LayTable[[#This Row],[BookieOdds]]-LayTable[[#This Row],[BookieInnsats]])*(1-LayTable[[#This Row],[C% Bookie]])</f>
        <v>0</v>
      </c>
      <c r="AA461" s="43">
        <f>LayTable[[#This Row],[LayInnsats]]*(1-LayTable[[#This Row],[C% Lay]])</f>
        <v>0</v>
      </c>
      <c r="AB461" s="43" t="str">
        <f>IFERROR(IF(LayTable[[#This Row],[Sport]]="",#REF!,LayTable[[#This Row],[Faktisk res]]+#REF!),"")</f>
        <v/>
      </c>
      <c r="AC461" s="43">
        <f>(LayTable[[#This Row],[BackWin-Commission]]+LayTable[[#This Row],[BookieInnsats]])</f>
        <v>0</v>
      </c>
      <c r="AD461" s="43" t="e">
        <f>(LayTable[[#This Row],[LayWin-Commission]])+LayTable[[#This Row],[LayLiability]]</f>
        <v>#VALUE!</v>
      </c>
      <c r="AE461" s="181"/>
      <c r="AF461" s="303"/>
    </row>
    <row r="462" spans="1:32">
      <c r="A462" s="84"/>
      <c r="B462" s="177"/>
      <c r="C462" s="40"/>
      <c r="D462" s="41"/>
      <c r="E462" s="178"/>
      <c r="F462" s="179"/>
      <c r="G462" s="183"/>
      <c r="H462" s="38"/>
      <c r="I462" s="42"/>
      <c r="J462" s="42"/>
      <c r="K462" s="43"/>
      <c r="L462" s="43"/>
      <c r="M462" s="44" t="str">
        <f>IF(LayTable[[#This Row],[Sport]]="","",LayTable[[#This Row],[LayInnsats]]*(LayTable[[#This Row],[LayOdds]]-1))</f>
        <v/>
      </c>
      <c r="N462" s="45" t="str">
        <f>IF(LayTable[[#This Row],[Sport]]="","",1/((1/LayTable[[#This Row],[BookieOdds]])+(1/((1/((1+((LayTable[[#This Row],[LayOdds]]-1)*(1+LayTable[[#This Row],[C% Lay]])))-1))+1)))-1)</f>
        <v/>
      </c>
      <c r="Q462" s="46" t="str">
        <f>IF(LayTable[[#This Row],[Sport]]="","",LayTable[[#This Row],[BookieInnsats]]+LayTable[[#This Row],[LayLiability]])</f>
        <v/>
      </c>
      <c r="R4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2" s="47" t="str">
        <f>IF(LayTable[[#This Row],[Utfall bookie]]="","",LayTable[[#This Row],[WBABack]]+LayTable[[#This Row],[WBALay]]-LayTable[[#This Row],[Total inns]])</f>
        <v/>
      </c>
      <c r="U4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2" s="48" t="str">
        <f>IFERROR(IF(LayTable[[#This Row],[Total inns]]="","",LayTable[[#This Row],[Rback]]/LayTable[[#This Row],[Total inns]]),"")</f>
        <v/>
      </c>
      <c r="X462" s="48" t="str">
        <f>IFERROR(IF(LayTable[[#This Row],[Total inns]]="","",LayTable[[#This Row],[Rlay]]/LayTable[[#This Row],[Total inns]]),"")</f>
        <v/>
      </c>
      <c r="Y462" s="48" t="str">
        <f>IFERROR(LayTable[[#This Row],[Faktisk res]]/LayTable[[#This Row],[Total inns]],"")</f>
        <v/>
      </c>
      <c r="Z462" s="47">
        <f>(LayTable[[#This Row],[BookieInnsats]]*LayTable[[#This Row],[BookieOdds]]-LayTable[[#This Row],[BookieInnsats]])*(1-LayTable[[#This Row],[C% Bookie]])</f>
        <v>0</v>
      </c>
      <c r="AA462" s="43">
        <f>LayTable[[#This Row],[LayInnsats]]*(1-LayTable[[#This Row],[C% Lay]])</f>
        <v>0</v>
      </c>
      <c r="AB462" s="43" t="str">
        <f>IFERROR(IF(LayTable[[#This Row],[Sport]]="",AB461,LayTable[[#This Row],[Faktisk res]]+AB461),"")</f>
        <v/>
      </c>
      <c r="AC462" s="43">
        <f>(LayTable[[#This Row],[BackWin-Commission]]+LayTable[[#This Row],[BookieInnsats]])</f>
        <v>0</v>
      </c>
      <c r="AD462" s="43" t="e">
        <f>(LayTable[[#This Row],[LayWin-Commission]])+LayTable[[#This Row],[LayLiability]]</f>
        <v>#VALUE!</v>
      </c>
      <c r="AE462" s="181"/>
      <c r="AF462" s="303"/>
    </row>
    <row r="463" spans="1:32">
      <c r="A463" s="84"/>
      <c r="B463" s="177"/>
      <c r="C463" s="40"/>
      <c r="D463" s="41"/>
      <c r="E463" s="178"/>
      <c r="F463" s="179"/>
      <c r="G463" s="183"/>
      <c r="H463" s="38"/>
      <c r="I463" s="42"/>
      <c r="J463" s="42"/>
      <c r="K463" s="43"/>
      <c r="L463" s="43"/>
      <c r="M463" s="44" t="str">
        <f>IF(LayTable[[#This Row],[Sport]]="","",LayTable[[#This Row],[LayInnsats]]*(LayTable[[#This Row],[LayOdds]]-1))</f>
        <v/>
      </c>
      <c r="N463" s="45" t="str">
        <f>IF(LayTable[[#This Row],[Sport]]="","",1/((1/LayTable[[#This Row],[BookieOdds]])+(1/((1/((1+((LayTable[[#This Row],[LayOdds]]-1)*(1+LayTable[[#This Row],[C% Lay]])))-1))+1)))-1)</f>
        <v/>
      </c>
      <c r="Q463" s="46" t="str">
        <f>IF(LayTable[[#This Row],[Sport]]="","",LayTable[[#This Row],[BookieInnsats]]+LayTable[[#This Row],[LayLiability]])</f>
        <v/>
      </c>
      <c r="R4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3" s="47" t="str">
        <f>IF(LayTable[[#This Row],[Utfall bookie]]="","",LayTable[[#This Row],[WBABack]]+LayTable[[#This Row],[WBALay]]-LayTable[[#This Row],[Total inns]])</f>
        <v/>
      </c>
      <c r="U4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3" s="48" t="str">
        <f>IFERROR(IF(LayTable[[#This Row],[Total inns]]="","",LayTable[[#This Row],[Rback]]/LayTable[[#This Row],[Total inns]]),"")</f>
        <v/>
      </c>
      <c r="X463" s="48" t="str">
        <f>IFERROR(IF(LayTable[[#This Row],[Total inns]]="","",LayTable[[#This Row],[Rlay]]/LayTable[[#This Row],[Total inns]]),"")</f>
        <v/>
      </c>
      <c r="Y463" s="48" t="str">
        <f>IFERROR(LayTable[[#This Row],[Faktisk res]]/LayTable[[#This Row],[Total inns]],"")</f>
        <v/>
      </c>
      <c r="Z463" s="47">
        <f>(LayTable[[#This Row],[BookieInnsats]]*LayTable[[#This Row],[BookieOdds]]-LayTable[[#This Row],[BookieInnsats]])*(1-LayTable[[#This Row],[C% Bookie]])</f>
        <v>0</v>
      </c>
      <c r="AA463" s="43">
        <f>LayTable[[#This Row],[LayInnsats]]*(1-LayTable[[#This Row],[C% Lay]])</f>
        <v>0</v>
      </c>
      <c r="AB463" s="43" t="str">
        <f>IFERROR(IF(LayTable[[#This Row],[Sport]]="",AB462,LayTable[[#This Row],[Faktisk res]]+AB462),"")</f>
        <v/>
      </c>
      <c r="AC463" s="43">
        <f>(LayTable[[#This Row],[BackWin-Commission]]+LayTable[[#This Row],[BookieInnsats]])</f>
        <v>0</v>
      </c>
      <c r="AD463" s="43" t="e">
        <f>(LayTable[[#This Row],[LayWin-Commission]])+LayTable[[#This Row],[LayLiability]]</f>
        <v>#VALUE!</v>
      </c>
      <c r="AE463" s="303"/>
      <c r="AF463" s="303"/>
    </row>
    <row r="464" spans="1:32">
      <c r="A464" s="84"/>
      <c r="B464" s="177"/>
      <c r="C464" s="40"/>
      <c r="D464" s="41"/>
      <c r="E464" s="178"/>
      <c r="F464" s="179"/>
      <c r="G464" s="183"/>
      <c r="H464" s="38"/>
      <c r="I464" s="42"/>
      <c r="J464" s="42"/>
      <c r="K464" s="43"/>
      <c r="L464" s="43"/>
      <c r="M464" s="44" t="str">
        <f>IF(LayTable[[#This Row],[Sport]]="","",LayTable[[#This Row],[LayInnsats]]*(LayTable[[#This Row],[LayOdds]]-1))</f>
        <v/>
      </c>
      <c r="N464" s="45" t="str">
        <f>IF(LayTable[[#This Row],[Sport]]="","",1/((1/LayTable[[#This Row],[BookieOdds]])+(1/((1/((1+((LayTable[[#This Row],[LayOdds]]-1)*(1+LayTable[[#This Row],[C% Lay]])))-1))+1)))-1)</f>
        <v/>
      </c>
      <c r="Q464" s="46" t="str">
        <f>IF(LayTable[[#This Row],[Sport]]="","",LayTable[[#This Row],[BookieInnsats]]+LayTable[[#This Row],[LayLiability]])</f>
        <v/>
      </c>
      <c r="R4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4" s="47" t="str">
        <f>IF(LayTable[[#This Row],[Utfall bookie]]="","",LayTable[[#This Row],[WBABack]]+LayTable[[#This Row],[WBALay]]-LayTable[[#This Row],[Total inns]])</f>
        <v/>
      </c>
      <c r="U4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4" s="48" t="str">
        <f>IFERROR(IF(LayTable[[#This Row],[Total inns]]="","",LayTable[[#This Row],[Rback]]/LayTable[[#This Row],[Total inns]]),"")</f>
        <v/>
      </c>
      <c r="X464" s="48" t="str">
        <f>IFERROR(IF(LayTable[[#This Row],[Total inns]]="","",LayTable[[#This Row],[Rlay]]/LayTable[[#This Row],[Total inns]]),"")</f>
        <v/>
      </c>
      <c r="Y464" s="48" t="str">
        <f>IFERROR(LayTable[[#This Row],[Faktisk res]]/LayTable[[#This Row],[Total inns]],"")</f>
        <v/>
      </c>
      <c r="Z464" s="47">
        <f>(LayTable[[#This Row],[BookieInnsats]]*LayTable[[#This Row],[BookieOdds]]-LayTable[[#This Row],[BookieInnsats]])*(1-LayTable[[#This Row],[C% Bookie]])</f>
        <v>0</v>
      </c>
      <c r="AA464" s="43">
        <f>LayTable[[#This Row],[LayInnsats]]*(1-LayTable[[#This Row],[C% Lay]])</f>
        <v>0</v>
      </c>
      <c r="AB464" s="43" t="str">
        <f>IFERROR(IF(LayTable[[#This Row],[Sport]]="",AB463,LayTable[[#This Row],[Faktisk res]]+AB463),"")</f>
        <v/>
      </c>
      <c r="AC464" s="43">
        <f>(LayTable[[#This Row],[BackWin-Commission]]+LayTable[[#This Row],[BookieInnsats]])</f>
        <v>0</v>
      </c>
      <c r="AD464" s="43" t="e">
        <f>(LayTable[[#This Row],[LayWin-Commission]])+LayTable[[#This Row],[LayLiability]]</f>
        <v>#VALUE!</v>
      </c>
      <c r="AE464" s="181"/>
      <c r="AF464" s="303"/>
    </row>
    <row r="465" spans="1:32">
      <c r="A465" s="84"/>
      <c r="B465" s="177"/>
      <c r="C465" s="40"/>
      <c r="D465" s="41"/>
      <c r="E465" s="178"/>
      <c r="F465" s="179"/>
      <c r="G465" s="183"/>
      <c r="H465" s="38"/>
      <c r="I465" s="42"/>
      <c r="J465" s="42"/>
      <c r="K465" s="43"/>
      <c r="L465" s="43"/>
      <c r="M465" s="44" t="str">
        <f>IF(LayTable[[#This Row],[Sport]]="","",LayTable[[#This Row],[LayInnsats]]*(LayTable[[#This Row],[LayOdds]]-1))</f>
        <v/>
      </c>
      <c r="N465" s="45" t="str">
        <f>IF(LayTable[[#This Row],[Sport]]="","",1/((1/LayTable[[#This Row],[BookieOdds]])+(1/((1/((1+((LayTable[[#This Row],[LayOdds]]-1)*(1+LayTable[[#This Row],[C% Lay]])))-1))+1)))-1)</f>
        <v/>
      </c>
      <c r="Q465" s="46" t="str">
        <f>IF(LayTable[[#This Row],[Sport]]="","",LayTable[[#This Row],[BookieInnsats]]+LayTable[[#This Row],[LayLiability]])</f>
        <v/>
      </c>
      <c r="R4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5" s="47" t="str">
        <f>IF(LayTable[[#This Row],[Utfall bookie]]="","",LayTable[[#This Row],[WBABack]]+LayTable[[#This Row],[WBALay]]-LayTable[[#This Row],[Total inns]])</f>
        <v/>
      </c>
      <c r="U4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5" s="48" t="str">
        <f>IFERROR(IF(LayTable[[#This Row],[Total inns]]="","",LayTable[[#This Row],[Rback]]/LayTable[[#This Row],[Total inns]]),"")</f>
        <v/>
      </c>
      <c r="X465" s="48" t="str">
        <f>IFERROR(IF(LayTable[[#This Row],[Total inns]]="","",LayTable[[#This Row],[Rlay]]/LayTable[[#This Row],[Total inns]]),"")</f>
        <v/>
      </c>
      <c r="Y465" s="48" t="str">
        <f>IFERROR(LayTable[[#This Row],[Faktisk res]]/LayTable[[#This Row],[Total inns]],"")</f>
        <v/>
      </c>
      <c r="Z465" s="47">
        <f>(LayTable[[#This Row],[BookieInnsats]]*LayTable[[#This Row],[BookieOdds]]-LayTable[[#This Row],[BookieInnsats]])*(1-LayTable[[#This Row],[C% Bookie]])</f>
        <v>0</v>
      </c>
      <c r="AA465" s="43">
        <f>LayTable[[#This Row],[LayInnsats]]*(1-LayTable[[#This Row],[C% Lay]])</f>
        <v>0</v>
      </c>
      <c r="AB465" s="43" t="str">
        <f>IFERROR(IF(LayTable[[#This Row],[Sport]]="",#REF!,LayTable[[#This Row],[Faktisk res]]+#REF!),"")</f>
        <v/>
      </c>
      <c r="AC465" s="43">
        <f>(LayTable[[#This Row],[BackWin-Commission]]+LayTable[[#This Row],[BookieInnsats]])</f>
        <v>0</v>
      </c>
      <c r="AD465" s="43" t="e">
        <f>(LayTable[[#This Row],[LayWin-Commission]])+LayTable[[#This Row],[LayLiability]]</f>
        <v>#VALUE!</v>
      </c>
      <c r="AE465" s="181"/>
      <c r="AF465" s="303"/>
    </row>
    <row r="466" spans="1:32">
      <c r="A466" s="84"/>
      <c r="B466" s="177"/>
      <c r="C466" s="40"/>
      <c r="D466" s="41"/>
      <c r="E466" s="178"/>
      <c r="F466" s="179"/>
      <c r="G466" s="183"/>
      <c r="H466" s="38"/>
      <c r="I466" s="42"/>
      <c r="J466" s="42"/>
      <c r="K466" s="43"/>
      <c r="L466" s="43"/>
      <c r="M466" s="44" t="str">
        <f>IF(LayTable[[#This Row],[Sport]]="","",LayTable[[#This Row],[LayInnsats]]*(LayTable[[#This Row],[LayOdds]]-1))</f>
        <v/>
      </c>
      <c r="N466" s="45" t="str">
        <f>IF(LayTable[[#This Row],[Sport]]="","",1/((1/LayTable[[#This Row],[BookieOdds]])+(1/((1/((1+((LayTable[[#This Row],[LayOdds]]-1)*(1+LayTable[[#This Row],[C% Lay]])))-1))+1)))-1)</f>
        <v/>
      </c>
      <c r="Q466" s="46" t="str">
        <f>IF(LayTable[[#This Row],[Sport]]="","",LayTable[[#This Row],[BookieInnsats]]+LayTable[[#This Row],[LayLiability]])</f>
        <v/>
      </c>
      <c r="R4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6" s="47" t="str">
        <f>IF(LayTable[[#This Row],[Utfall bookie]]="","",LayTable[[#This Row],[WBABack]]+LayTable[[#This Row],[WBALay]]-LayTable[[#This Row],[Total inns]])</f>
        <v/>
      </c>
      <c r="U4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6" s="48" t="str">
        <f>IFERROR(IF(LayTable[[#This Row],[Total inns]]="","",LayTable[[#This Row],[Rback]]/LayTable[[#This Row],[Total inns]]),"")</f>
        <v/>
      </c>
      <c r="X466" s="48" t="str">
        <f>IFERROR(IF(LayTable[[#This Row],[Total inns]]="","",LayTable[[#This Row],[Rlay]]/LayTable[[#This Row],[Total inns]]),"")</f>
        <v/>
      </c>
      <c r="Y466" s="48" t="str">
        <f>IFERROR(LayTable[[#This Row],[Faktisk res]]/LayTable[[#This Row],[Total inns]],"")</f>
        <v/>
      </c>
      <c r="Z466" s="47">
        <f>(LayTable[[#This Row],[BookieInnsats]]*LayTable[[#This Row],[BookieOdds]]-LayTable[[#This Row],[BookieInnsats]])*(1-LayTable[[#This Row],[C% Bookie]])</f>
        <v>0</v>
      </c>
      <c r="AA466" s="43">
        <f>LayTable[[#This Row],[LayInnsats]]*(1-LayTable[[#This Row],[C% Lay]])</f>
        <v>0</v>
      </c>
      <c r="AB466" s="43" t="str">
        <f>IFERROR(IF(LayTable[[#This Row],[Sport]]="",AB465,LayTable[[#This Row],[Faktisk res]]+AB465),"")</f>
        <v/>
      </c>
      <c r="AC466" s="43">
        <f>(LayTable[[#This Row],[BackWin-Commission]]+LayTable[[#This Row],[BookieInnsats]])</f>
        <v>0</v>
      </c>
      <c r="AD466" s="43" t="e">
        <f>(LayTable[[#This Row],[LayWin-Commission]])+LayTable[[#This Row],[LayLiability]]</f>
        <v>#VALUE!</v>
      </c>
      <c r="AE466" s="181"/>
      <c r="AF466" s="303"/>
    </row>
    <row r="467" spans="1:32">
      <c r="A467" s="183"/>
      <c r="B467" s="177"/>
      <c r="C467" s="178"/>
      <c r="D467" s="251"/>
      <c r="E467" s="178"/>
      <c r="F467" s="251"/>
      <c r="G467" s="183"/>
      <c r="H467" s="176"/>
      <c r="I467" s="180"/>
      <c r="J467" s="180"/>
      <c r="K467" s="181"/>
      <c r="L467" s="181"/>
      <c r="M467" s="44" t="str">
        <f>IF(LayTable[[#This Row],[Sport]]="","",LayTable[[#This Row],[LayInnsats]]*(LayTable[[#This Row],[LayOdds]]-1))</f>
        <v/>
      </c>
      <c r="N467" s="45" t="str">
        <f>IF(LayTable[[#This Row],[Sport]]="","",1/((1/LayTable[[#This Row],[BookieOdds]])+(1/((1/((1+((LayTable[[#This Row],[LayOdds]]-1)*(1+LayTable[[#This Row],[C% Lay]])))-1))+1)))-1)</f>
        <v/>
      </c>
      <c r="Q467" s="46" t="str">
        <f>IF(LayTable[[#This Row],[Sport]]="","",LayTable[[#This Row],[BookieInnsats]]+LayTable[[#This Row],[LayLiability]])</f>
        <v/>
      </c>
      <c r="R4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7" s="47" t="str">
        <f>IF(LayTable[[#This Row],[Utfall bookie]]="","",LayTable[[#This Row],[WBABack]]+LayTable[[#This Row],[WBALay]]-LayTable[[#This Row],[Total inns]])</f>
        <v/>
      </c>
      <c r="U4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7" s="48" t="str">
        <f>IFERROR(IF(LayTable[[#This Row],[Total inns]]="","",LayTable[[#This Row],[Rback]]/LayTable[[#This Row],[Total inns]]),"")</f>
        <v/>
      </c>
      <c r="X467" s="48" t="str">
        <f>IFERROR(IF(LayTable[[#This Row],[Total inns]]="","",LayTable[[#This Row],[Rlay]]/LayTable[[#This Row],[Total inns]]),"")</f>
        <v/>
      </c>
      <c r="Y467" s="48" t="str">
        <f>IFERROR(LayTable[[#This Row],[Faktisk res]]/LayTable[[#This Row],[Total inns]],"")</f>
        <v/>
      </c>
      <c r="Z467" s="47">
        <f>(LayTable[[#This Row],[BookieInnsats]]*LayTable[[#This Row],[BookieOdds]]-LayTable[[#This Row],[BookieInnsats]])*(1-LayTable[[#This Row],[C% Bookie]])</f>
        <v>0</v>
      </c>
      <c r="AA467" s="43">
        <f>LayTable[[#This Row],[LayInnsats]]*(1-LayTable[[#This Row],[C% Lay]])</f>
        <v>0</v>
      </c>
      <c r="AB467" s="43" t="str">
        <f>IFERROR(IF(LayTable[[#This Row],[Sport]]="",AB466,LayTable[[#This Row],[Faktisk res]]+AB466),"")</f>
        <v/>
      </c>
      <c r="AC467" s="43">
        <f>(LayTable[[#This Row],[BackWin-Commission]]+LayTable[[#This Row],[BookieInnsats]])</f>
        <v>0</v>
      </c>
      <c r="AD467" s="43" t="e">
        <f>(LayTable[[#This Row],[LayWin-Commission]])+LayTable[[#This Row],[LayLiability]]</f>
        <v>#VALUE!</v>
      </c>
      <c r="AE467" s="181"/>
      <c r="AF467" s="303"/>
    </row>
    <row r="468" spans="1:32">
      <c r="A468" s="84"/>
      <c r="B468" s="177"/>
      <c r="C468" s="40"/>
      <c r="D468" s="41"/>
      <c r="E468" s="178"/>
      <c r="F468" s="179"/>
      <c r="G468" s="183"/>
      <c r="H468" s="38"/>
      <c r="I468" s="42"/>
      <c r="J468" s="42"/>
      <c r="K468" s="43"/>
      <c r="L468" s="43"/>
      <c r="M468" s="44" t="str">
        <f>IF(LayTable[[#This Row],[Sport]]="","",LayTable[[#This Row],[LayInnsats]]*(LayTable[[#This Row],[LayOdds]]-1))</f>
        <v/>
      </c>
      <c r="N468" s="45" t="str">
        <f>IF(LayTable[[#This Row],[Sport]]="","",1/((1/LayTable[[#This Row],[BookieOdds]])+(1/((1/((1+((LayTable[[#This Row],[LayOdds]]-1)*(1+LayTable[[#This Row],[C% Lay]])))-1))+1)))-1)</f>
        <v/>
      </c>
      <c r="Q468" s="46" t="str">
        <f>IF(LayTable[[#This Row],[Sport]]="","",LayTable[[#This Row],[BookieInnsats]]+LayTable[[#This Row],[LayLiability]])</f>
        <v/>
      </c>
      <c r="R4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8" s="47" t="str">
        <f>IF(LayTable[[#This Row],[Utfall bookie]]="","",LayTable[[#This Row],[WBABack]]+LayTable[[#This Row],[WBALay]]-LayTable[[#This Row],[Total inns]])</f>
        <v/>
      </c>
      <c r="U4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8" s="48" t="str">
        <f>IFERROR(IF(LayTable[[#This Row],[Total inns]]="","",LayTable[[#This Row],[Rback]]/LayTable[[#This Row],[Total inns]]),"")</f>
        <v/>
      </c>
      <c r="X468" s="48" t="str">
        <f>IFERROR(IF(LayTable[[#This Row],[Total inns]]="","",LayTable[[#This Row],[Rlay]]/LayTable[[#This Row],[Total inns]]),"")</f>
        <v/>
      </c>
      <c r="Y468" s="48" t="str">
        <f>IFERROR(LayTable[[#This Row],[Faktisk res]]/LayTable[[#This Row],[Total inns]],"")</f>
        <v/>
      </c>
      <c r="Z468" s="47">
        <f>(LayTable[[#This Row],[BookieInnsats]]*LayTable[[#This Row],[BookieOdds]]-LayTable[[#This Row],[BookieInnsats]])*(1-LayTable[[#This Row],[C% Bookie]])</f>
        <v>0</v>
      </c>
      <c r="AA468" s="43">
        <f>LayTable[[#This Row],[LayInnsats]]*(1-LayTable[[#This Row],[C% Lay]])</f>
        <v>0</v>
      </c>
      <c r="AB468" s="43" t="str">
        <f>IFERROR(IF(LayTable[[#This Row],[Sport]]="",#REF!,LayTable[[#This Row],[Faktisk res]]+#REF!),"")</f>
        <v/>
      </c>
      <c r="AC468" s="43">
        <f>(LayTable[[#This Row],[BackWin-Commission]]+LayTable[[#This Row],[BookieInnsats]])</f>
        <v>0</v>
      </c>
      <c r="AD468" s="43" t="e">
        <f>(LayTable[[#This Row],[LayWin-Commission]])+LayTable[[#This Row],[LayLiability]]</f>
        <v>#VALUE!</v>
      </c>
      <c r="AE468" s="181"/>
      <c r="AF468" s="303"/>
    </row>
    <row r="469" spans="1:32">
      <c r="A469" s="84"/>
      <c r="B469" s="177"/>
      <c r="C469" s="40"/>
      <c r="D469" s="41"/>
      <c r="E469" s="178"/>
      <c r="F469" s="179"/>
      <c r="G469" s="183"/>
      <c r="H469" s="38"/>
      <c r="I469" s="42"/>
      <c r="J469" s="42"/>
      <c r="K469" s="43"/>
      <c r="L469" s="43"/>
      <c r="M469" s="44" t="str">
        <f>IF(LayTable[[#This Row],[Sport]]="","",LayTable[[#This Row],[LayInnsats]]*(LayTable[[#This Row],[LayOdds]]-1))</f>
        <v/>
      </c>
      <c r="N469" s="45" t="str">
        <f>IF(LayTable[[#This Row],[Sport]]="","",1/((1/LayTable[[#This Row],[BookieOdds]])+(1/((1/((1+((LayTable[[#This Row],[LayOdds]]-1)*(1+LayTable[[#This Row],[C% Lay]])))-1))+1)))-1)</f>
        <v/>
      </c>
      <c r="Q469" s="46" t="str">
        <f>IF(LayTable[[#This Row],[Sport]]="","",LayTable[[#This Row],[BookieInnsats]]+LayTable[[#This Row],[LayLiability]])</f>
        <v/>
      </c>
      <c r="R4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69" s="47" t="str">
        <f>IF(LayTable[[#This Row],[Utfall bookie]]="","",LayTable[[#This Row],[WBABack]]+LayTable[[#This Row],[WBALay]]-LayTable[[#This Row],[Total inns]])</f>
        <v/>
      </c>
      <c r="U4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69" s="48" t="str">
        <f>IFERROR(IF(LayTable[[#This Row],[Total inns]]="","",LayTable[[#This Row],[Rback]]/LayTable[[#This Row],[Total inns]]),"")</f>
        <v/>
      </c>
      <c r="X469" s="48" t="str">
        <f>IFERROR(IF(LayTable[[#This Row],[Total inns]]="","",LayTable[[#This Row],[Rlay]]/LayTable[[#This Row],[Total inns]]),"")</f>
        <v/>
      </c>
      <c r="Y469" s="48" t="str">
        <f>IFERROR(LayTable[[#This Row],[Faktisk res]]/LayTable[[#This Row],[Total inns]],"")</f>
        <v/>
      </c>
      <c r="Z469" s="47">
        <f>(LayTable[[#This Row],[BookieInnsats]]*LayTable[[#This Row],[BookieOdds]]-LayTable[[#This Row],[BookieInnsats]])*(1-LayTable[[#This Row],[C% Bookie]])</f>
        <v>0</v>
      </c>
      <c r="AA469" s="43">
        <f>LayTable[[#This Row],[LayInnsats]]*(1-LayTable[[#This Row],[C% Lay]])</f>
        <v>0</v>
      </c>
      <c r="AB469" s="43" t="str">
        <f>IFERROR(IF(LayTable[[#This Row],[Sport]]="",AB468,LayTable[[#This Row],[Faktisk res]]+AB468),"")</f>
        <v/>
      </c>
      <c r="AC469" s="43">
        <f>(LayTable[[#This Row],[BackWin-Commission]]+LayTable[[#This Row],[BookieInnsats]])</f>
        <v>0</v>
      </c>
      <c r="AD469" s="43" t="e">
        <f>(LayTable[[#This Row],[LayWin-Commission]])+LayTable[[#This Row],[LayLiability]]</f>
        <v>#VALUE!</v>
      </c>
      <c r="AE469" s="181"/>
      <c r="AF469" s="303"/>
    </row>
    <row r="470" spans="1:32">
      <c r="A470" s="84"/>
      <c r="B470" s="177"/>
      <c r="C470" s="40"/>
      <c r="D470" s="41"/>
      <c r="E470" s="178"/>
      <c r="F470" s="179"/>
      <c r="G470" s="101"/>
      <c r="H470" s="38"/>
      <c r="I470" s="42"/>
      <c r="J470" s="42"/>
      <c r="K470" s="43"/>
      <c r="L470" s="43"/>
      <c r="M470" s="44" t="str">
        <f>IF(LayTable[[#This Row],[Sport]]="","",LayTable[[#This Row],[LayInnsats]]*(LayTable[[#This Row],[LayOdds]]-1))</f>
        <v/>
      </c>
      <c r="N470" s="45" t="str">
        <f>IF(LayTable[[#This Row],[Sport]]="","",1/((1/LayTable[[#This Row],[BookieOdds]])+(1/((1/((1+((LayTable[[#This Row],[LayOdds]]-1)*(1+LayTable[[#This Row],[C% Lay]])))-1))+1)))-1)</f>
        <v/>
      </c>
      <c r="Q470" s="46" t="str">
        <f>IF(LayTable[[#This Row],[Sport]]="","",LayTable[[#This Row],[BookieInnsats]]+LayTable[[#This Row],[LayLiability]])</f>
        <v/>
      </c>
      <c r="R4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0" s="47" t="str">
        <f>IF(LayTable[[#This Row],[Utfall bookie]]="","",LayTable[[#This Row],[WBABack]]+LayTable[[#This Row],[WBALay]]-LayTable[[#This Row],[Total inns]])</f>
        <v/>
      </c>
      <c r="U4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0" s="48" t="str">
        <f>IFERROR(IF(LayTable[[#This Row],[Total inns]]="","",LayTable[[#This Row],[Rback]]/LayTable[[#This Row],[Total inns]]),"")</f>
        <v/>
      </c>
      <c r="X470" s="48" t="str">
        <f>IFERROR(IF(LayTable[[#This Row],[Total inns]]="","",LayTable[[#This Row],[Rlay]]/LayTable[[#This Row],[Total inns]]),"")</f>
        <v/>
      </c>
      <c r="Y470" s="48" t="str">
        <f>IFERROR(LayTable[[#This Row],[Faktisk res]]/LayTable[[#This Row],[Total inns]],"")</f>
        <v/>
      </c>
      <c r="Z470" s="47">
        <f>(LayTable[[#This Row],[BookieInnsats]]*LayTable[[#This Row],[BookieOdds]]-LayTable[[#This Row],[BookieInnsats]])*(1-LayTable[[#This Row],[C% Bookie]])</f>
        <v>0</v>
      </c>
      <c r="AA470" s="43">
        <f>LayTable[[#This Row],[LayInnsats]]*(1-LayTable[[#This Row],[C% Lay]])</f>
        <v>0</v>
      </c>
      <c r="AB470" s="43" t="str">
        <f>IFERROR(IF(LayTable[[#This Row],[Sport]]="",AB469,LayTable[[#This Row],[Faktisk res]]+AB469),"")</f>
        <v/>
      </c>
      <c r="AC470" s="43">
        <f>(LayTable[[#This Row],[BackWin-Commission]]+LayTable[[#This Row],[BookieInnsats]])</f>
        <v>0</v>
      </c>
      <c r="AD470" s="43" t="e">
        <f>(LayTable[[#This Row],[LayWin-Commission]])+LayTable[[#This Row],[LayLiability]]</f>
        <v>#VALUE!</v>
      </c>
      <c r="AE470" s="303"/>
      <c r="AF470" s="303"/>
    </row>
    <row r="471" spans="1:32">
      <c r="A471" s="183"/>
      <c r="B471" s="177"/>
      <c r="C471" s="40"/>
      <c r="D471" s="41"/>
      <c r="E471" s="178"/>
      <c r="F471" s="179"/>
      <c r="G471" s="101"/>
      <c r="H471" s="38"/>
      <c r="I471" s="42"/>
      <c r="J471" s="42"/>
      <c r="K471" s="43"/>
      <c r="L471" s="43"/>
      <c r="M471" s="44" t="str">
        <f>IF(LayTable[[#This Row],[Sport]]="","",LayTable[[#This Row],[LayInnsats]]*(LayTable[[#This Row],[LayOdds]]-1))</f>
        <v/>
      </c>
      <c r="N471" s="45" t="str">
        <f>IF(LayTable[[#This Row],[Sport]]="","",1/((1/LayTable[[#This Row],[BookieOdds]])+(1/((1/((1+((LayTable[[#This Row],[LayOdds]]-1)*(1+LayTable[[#This Row],[C% Lay]])))-1))+1)))-1)</f>
        <v/>
      </c>
      <c r="Q471" s="46" t="str">
        <f>IF(LayTable[[#This Row],[Sport]]="","",LayTable[[#This Row],[BookieInnsats]]+LayTable[[#This Row],[LayLiability]])</f>
        <v/>
      </c>
      <c r="R4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1" s="47" t="str">
        <f>IF(LayTable[[#This Row],[Utfall bookie]]="","",LayTable[[#This Row],[WBABack]]+LayTable[[#This Row],[WBALay]]-LayTable[[#This Row],[Total inns]])</f>
        <v/>
      </c>
      <c r="U4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1" s="48" t="str">
        <f>IFERROR(IF(LayTable[[#This Row],[Total inns]]="","",LayTable[[#This Row],[Rback]]/LayTable[[#This Row],[Total inns]]),"")</f>
        <v/>
      </c>
      <c r="X471" s="48" t="str">
        <f>IFERROR(IF(LayTable[[#This Row],[Total inns]]="","",LayTable[[#This Row],[Rlay]]/LayTable[[#This Row],[Total inns]]),"")</f>
        <v/>
      </c>
      <c r="Y471" s="48" t="str">
        <f>IFERROR(LayTable[[#This Row],[Faktisk res]]/LayTable[[#This Row],[Total inns]],"")</f>
        <v/>
      </c>
      <c r="Z471" s="47">
        <f>(LayTable[[#This Row],[BookieInnsats]]*LayTable[[#This Row],[BookieOdds]]-LayTable[[#This Row],[BookieInnsats]])*(1-LayTable[[#This Row],[C% Bookie]])</f>
        <v>0</v>
      </c>
      <c r="AA471" s="43">
        <f>LayTable[[#This Row],[LayInnsats]]*(1-LayTable[[#This Row],[C% Lay]])</f>
        <v>0</v>
      </c>
      <c r="AB471" s="43" t="str">
        <f>IFERROR(IF(LayTable[[#This Row],[Sport]]="",AB470,LayTable[[#This Row],[Faktisk res]]+AB470),"")</f>
        <v/>
      </c>
      <c r="AC471" s="43">
        <f>(LayTable[[#This Row],[BackWin-Commission]]+LayTable[[#This Row],[BookieInnsats]])</f>
        <v>0</v>
      </c>
      <c r="AD471" s="43" t="e">
        <f>(LayTable[[#This Row],[LayWin-Commission]])+LayTable[[#This Row],[LayLiability]]</f>
        <v>#VALUE!</v>
      </c>
      <c r="AE471" s="303"/>
      <c r="AF471" s="303"/>
    </row>
    <row r="472" spans="1:32">
      <c r="A472" s="183"/>
      <c r="B472" s="177"/>
      <c r="C472" s="40"/>
      <c r="D472" s="41"/>
      <c r="E472" s="178"/>
      <c r="F472" s="179"/>
      <c r="G472" s="101"/>
      <c r="H472" s="38"/>
      <c r="I472" s="42"/>
      <c r="J472" s="42"/>
      <c r="K472" s="43"/>
      <c r="L472" s="43"/>
      <c r="M472" s="44" t="str">
        <f>IF(LayTable[[#This Row],[Sport]]="","",LayTable[[#This Row],[LayInnsats]]*(LayTable[[#This Row],[LayOdds]]-1))</f>
        <v/>
      </c>
      <c r="N472" s="45" t="str">
        <f>IF(LayTable[[#This Row],[Sport]]="","",1/((1/LayTable[[#This Row],[BookieOdds]])+(1/((1/((1+((LayTable[[#This Row],[LayOdds]]-1)*(1+LayTable[[#This Row],[C% Lay]])))-1))+1)))-1)</f>
        <v/>
      </c>
      <c r="Q472" s="46" t="str">
        <f>IF(LayTable[[#This Row],[Sport]]="","",LayTable[[#This Row],[BookieInnsats]]+LayTable[[#This Row],[LayLiability]])</f>
        <v/>
      </c>
      <c r="R4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2" s="47" t="str">
        <f>IF(LayTable[[#This Row],[Utfall bookie]]="","",LayTable[[#This Row],[WBABack]]+LayTable[[#This Row],[WBALay]]-LayTable[[#This Row],[Total inns]])</f>
        <v/>
      </c>
      <c r="U4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2" s="48" t="str">
        <f>IFERROR(IF(LayTable[[#This Row],[Total inns]]="","",LayTable[[#This Row],[Rback]]/LayTable[[#This Row],[Total inns]]),"")</f>
        <v/>
      </c>
      <c r="X472" s="48" t="str">
        <f>IFERROR(IF(LayTable[[#This Row],[Total inns]]="","",LayTable[[#This Row],[Rlay]]/LayTable[[#This Row],[Total inns]]),"")</f>
        <v/>
      </c>
      <c r="Y472" s="48" t="str">
        <f>IFERROR(LayTable[[#This Row],[Faktisk res]]/LayTable[[#This Row],[Total inns]],"")</f>
        <v/>
      </c>
      <c r="Z472" s="47">
        <f>(LayTable[[#This Row],[BookieInnsats]]*LayTable[[#This Row],[BookieOdds]]-LayTable[[#This Row],[BookieInnsats]])*(1-LayTable[[#This Row],[C% Bookie]])</f>
        <v>0</v>
      </c>
      <c r="AA472" s="43">
        <f>LayTable[[#This Row],[LayInnsats]]*(1-LayTable[[#This Row],[C% Lay]])</f>
        <v>0</v>
      </c>
      <c r="AB472" s="43" t="str">
        <f>IFERROR(IF(LayTable[[#This Row],[Sport]]="",AB471,LayTable[[#This Row],[Faktisk res]]+AB471),"")</f>
        <v/>
      </c>
      <c r="AC472" s="43">
        <f>(LayTable[[#This Row],[BackWin-Commission]]+LayTable[[#This Row],[BookieInnsats]])</f>
        <v>0</v>
      </c>
      <c r="AD472" s="43" t="e">
        <f>(LayTable[[#This Row],[LayWin-Commission]])+LayTable[[#This Row],[LayLiability]]</f>
        <v>#VALUE!</v>
      </c>
      <c r="AE472" s="303"/>
      <c r="AF472" s="303"/>
    </row>
    <row r="473" spans="1:32">
      <c r="A473" s="183"/>
      <c r="B473" s="177"/>
      <c r="C473" s="40"/>
      <c r="D473" s="41"/>
      <c r="E473" s="178"/>
      <c r="F473" s="179"/>
      <c r="G473" s="101"/>
      <c r="H473" s="38"/>
      <c r="I473" s="42"/>
      <c r="J473" s="42"/>
      <c r="K473" s="43"/>
      <c r="L473" s="43"/>
      <c r="M473" s="44" t="str">
        <f>IF(LayTable[[#This Row],[Sport]]="","",LayTable[[#This Row],[LayInnsats]]*(LayTable[[#This Row],[LayOdds]]-1))</f>
        <v/>
      </c>
      <c r="N473" s="45" t="str">
        <f>IF(LayTable[[#This Row],[Sport]]="","",1/((1/LayTable[[#This Row],[BookieOdds]])+(1/((1/((1+((LayTable[[#This Row],[LayOdds]]-1)*(1+LayTable[[#This Row],[C% Lay]])))-1))+1)))-1)</f>
        <v/>
      </c>
      <c r="Q473" s="46" t="str">
        <f>IF(LayTable[[#This Row],[Sport]]="","",LayTable[[#This Row],[BookieInnsats]]+LayTable[[#This Row],[LayLiability]])</f>
        <v/>
      </c>
      <c r="R4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3" s="47" t="str">
        <f>IF(LayTable[[#This Row],[Utfall bookie]]="","",LayTable[[#This Row],[WBABack]]+LayTable[[#This Row],[WBALay]]-LayTable[[#This Row],[Total inns]])</f>
        <v/>
      </c>
      <c r="U4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3" s="48" t="str">
        <f>IFERROR(IF(LayTable[[#This Row],[Total inns]]="","",LayTable[[#This Row],[Rback]]/LayTable[[#This Row],[Total inns]]),"")</f>
        <v/>
      </c>
      <c r="X473" s="48" t="str">
        <f>IFERROR(IF(LayTable[[#This Row],[Total inns]]="","",LayTable[[#This Row],[Rlay]]/LayTable[[#This Row],[Total inns]]),"")</f>
        <v/>
      </c>
      <c r="Y473" s="48" t="str">
        <f>IFERROR(LayTable[[#This Row],[Faktisk res]]/LayTable[[#This Row],[Total inns]],"")</f>
        <v/>
      </c>
      <c r="Z473" s="47">
        <f>(LayTable[[#This Row],[BookieInnsats]]*LayTable[[#This Row],[BookieOdds]]-LayTable[[#This Row],[BookieInnsats]])*(1-LayTable[[#This Row],[C% Bookie]])</f>
        <v>0</v>
      </c>
      <c r="AA473" s="43">
        <f>LayTable[[#This Row],[LayInnsats]]*(1-LayTable[[#This Row],[C% Lay]])</f>
        <v>0</v>
      </c>
      <c r="AB473" s="43" t="str">
        <f>IFERROR(IF(LayTable[[#This Row],[Sport]]="",AB472,LayTable[[#This Row],[Faktisk res]]+AB472),"")</f>
        <v/>
      </c>
      <c r="AC473" s="43">
        <f>(LayTable[[#This Row],[BackWin-Commission]]+LayTable[[#This Row],[BookieInnsats]])</f>
        <v>0</v>
      </c>
      <c r="AD473" s="43" t="e">
        <f>(LayTable[[#This Row],[LayWin-Commission]])+LayTable[[#This Row],[LayLiability]]</f>
        <v>#VALUE!</v>
      </c>
      <c r="AE473" s="303"/>
      <c r="AF473" s="303"/>
    </row>
    <row r="474" spans="1:32">
      <c r="A474" s="183"/>
      <c r="B474" s="177"/>
      <c r="C474" s="40"/>
      <c r="D474" s="41"/>
      <c r="E474" s="178"/>
      <c r="F474" s="179"/>
      <c r="G474" s="101"/>
      <c r="H474" s="38"/>
      <c r="I474" s="42"/>
      <c r="J474" s="42"/>
      <c r="K474" s="43"/>
      <c r="L474" s="43"/>
      <c r="M474" s="44" t="str">
        <f>IF(LayTable[[#This Row],[Sport]]="","",LayTable[[#This Row],[LayInnsats]]*(LayTable[[#This Row],[LayOdds]]-1))</f>
        <v/>
      </c>
      <c r="N474" s="45" t="str">
        <f>IF(LayTable[[#This Row],[Sport]]="","",1/((1/LayTable[[#This Row],[BookieOdds]])+(1/((1/((1+((LayTable[[#This Row],[LayOdds]]-1)*(1+LayTable[[#This Row],[C% Lay]])))-1))+1)))-1)</f>
        <v/>
      </c>
      <c r="Q474" s="46" t="str">
        <f>IF(LayTable[[#This Row],[Sport]]="","",LayTable[[#This Row],[BookieInnsats]]+LayTable[[#This Row],[LayLiability]])</f>
        <v/>
      </c>
      <c r="R4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4" s="47" t="str">
        <f>IF(LayTable[[#This Row],[Utfall bookie]]="","",LayTable[[#This Row],[WBABack]]+LayTable[[#This Row],[WBALay]]-LayTable[[#This Row],[Total inns]])</f>
        <v/>
      </c>
      <c r="U4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4" s="48" t="str">
        <f>IFERROR(IF(LayTable[[#This Row],[Total inns]]="","",LayTable[[#This Row],[Rback]]/LayTable[[#This Row],[Total inns]]),"")</f>
        <v/>
      </c>
      <c r="X474" s="48" t="str">
        <f>IFERROR(IF(LayTable[[#This Row],[Total inns]]="","",LayTable[[#This Row],[Rlay]]/LayTable[[#This Row],[Total inns]]),"")</f>
        <v/>
      </c>
      <c r="Y474" s="48" t="str">
        <f>IFERROR(LayTable[[#This Row],[Faktisk res]]/LayTable[[#This Row],[Total inns]],"")</f>
        <v/>
      </c>
      <c r="Z474" s="47">
        <f>(LayTable[[#This Row],[BookieInnsats]]*LayTable[[#This Row],[BookieOdds]]-LayTable[[#This Row],[BookieInnsats]])*(1-LayTable[[#This Row],[C% Bookie]])</f>
        <v>0</v>
      </c>
      <c r="AA474" s="43">
        <f>LayTable[[#This Row],[LayInnsats]]*(1-LayTable[[#This Row],[C% Lay]])</f>
        <v>0</v>
      </c>
      <c r="AB474" s="43" t="str">
        <f>IFERROR(IF(LayTable[[#This Row],[Sport]]="",AB473,LayTable[[#This Row],[Faktisk res]]+AB473),"")</f>
        <v/>
      </c>
      <c r="AC474" s="43">
        <f>(LayTable[[#This Row],[BackWin-Commission]]+LayTable[[#This Row],[BookieInnsats]])</f>
        <v>0</v>
      </c>
      <c r="AD474" s="43" t="e">
        <f>(LayTable[[#This Row],[LayWin-Commission]])+LayTable[[#This Row],[LayLiability]]</f>
        <v>#VALUE!</v>
      </c>
      <c r="AE474" s="303"/>
      <c r="AF474" s="303"/>
    </row>
    <row r="475" spans="1:32">
      <c r="A475" s="183"/>
      <c r="B475" s="177"/>
      <c r="C475" s="40"/>
      <c r="D475" s="41"/>
      <c r="E475" s="178"/>
      <c r="F475" s="179"/>
      <c r="G475" s="101"/>
      <c r="H475" s="38"/>
      <c r="I475" s="42"/>
      <c r="J475" s="42"/>
      <c r="K475" s="43"/>
      <c r="L475" s="43"/>
      <c r="M475" s="44" t="str">
        <f>IF(LayTable[[#This Row],[Sport]]="","",LayTable[[#This Row],[LayInnsats]]*(LayTable[[#This Row],[LayOdds]]-1))</f>
        <v/>
      </c>
      <c r="N475" s="45" t="str">
        <f>IF(LayTable[[#This Row],[Sport]]="","",1/((1/LayTable[[#This Row],[BookieOdds]])+(1/((1/((1+((LayTable[[#This Row],[LayOdds]]-1)*(1+LayTable[[#This Row],[C% Lay]])))-1))+1)))-1)</f>
        <v/>
      </c>
      <c r="Q475" s="46" t="str">
        <f>IF(LayTable[[#This Row],[Sport]]="","",LayTable[[#This Row],[BookieInnsats]]+LayTable[[#This Row],[LayLiability]])</f>
        <v/>
      </c>
      <c r="R4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5" s="47" t="str">
        <f>IF(LayTable[[#This Row],[Utfall bookie]]="","",LayTable[[#This Row],[WBABack]]+LayTable[[#This Row],[WBALay]]-LayTable[[#This Row],[Total inns]])</f>
        <v/>
      </c>
      <c r="U4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5" s="48" t="str">
        <f>IFERROR(IF(LayTable[[#This Row],[Total inns]]="","",LayTable[[#This Row],[Rback]]/LayTable[[#This Row],[Total inns]]),"")</f>
        <v/>
      </c>
      <c r="X475" s="48" t="str">
        <f>IFERROR(IF(LayTable[[#This Row],[Total inns]]="","",LayTable[[#This Row],[Rlay]]/LayTable[[#This Row],[Total inns]]),"")</f>
        <v/>
      </c>
      <c r="Y475" s="48" t="str">
        <f>IFERROR(LayTable[[#This Row],[Faktisk res]]/LayTable[[#This Row],[Total inns]],"")</f>
        <v/>
      </c>
      <c r="Z475" s="47">
        <f>(LayTable[[#This Row],[BookieInnsats]]*LayTable[[#This Row],[BookieOdds]]-LayTable[[#This Row],[BookieInnsats]])*(1-LayTable[[#This Row],[C% Bookie]])</f>
        <v>0</v>
      </c>
      <c r="AA475" s="43">
        <f>LayTable[[#This Row],[LayInnsats]]*(1-LayTable[[#This Row],[C% Lay]])</f>
        <v>0</v>
      </c>
      <c r="AB475" s="43" t="str">
        <f>IFERROR(IF(LayTable[[#This Row],[Sport]]="",#REF!,LayTable[[#This Row],[Faktisk res]]+#REF!),"")</f>
        <v/>
      </c>
      <c r="AC475" s="43">
        <f>(LayTable[[#This Row],[BackWin-Commission]]+LayTable[[#This Row],[BookieInnsats]])</f>
        <v>0</v>
      </c>
      <c r="AD475" s="43" t="e">
        <f>(LayTable[[#This Row],[LayWin-Commission]])+LayTable[[#This Row],[LayLiability]]</f>
        <v>#VALUE!</v>
      </c>
      <c r="AE475" s="303"/>
      <c r="AF475" s="303"/>
    </row>
    <row r="476" spans="1:32">
      <c r="A476" s="84"/>
      <c r="B476" s="177"/>
      <c r="C476" s="40"/>
      <c r="D476" s="41"/>
      <c r="E476" s="178"/>
      <c r="F476" s="179"/>
      <c r="G476" s="101"/>
      <c r="H476" s="38"/>
      <c r="I476" s="42"/>
      <c r="J476" s="180"/>
      <c r="K476" s="43"/>
      <c r="L476" s="43"/>
      <c r="M476" s="44" t="str">
        <f>IF(LayTable[[#This Row],[Sport]]="","",LayTable[[#This Row],[LayInnsats]]*(LayTable[[#This Row],[LayOdds]]-1))</f>
        <v/>
      </c>
      <c r="N476" s="45" t="str">
        <f>IF(LayTable[[#This Row],[Sport]]="","",1/((1/LayTable[[#This Row],[BookieOdds]])+(1/((1/((1+((LayTable[[#This Row],[LayOdds]]-1)*(1+LayTable[[#This Row],[C% Lay]])))-1))+1)))-1)</f>
        <v/>
      </c>
      <c r="Q476" s="46" t="str">
        <f>IF(LayTable[[#This Row],[Sport]]="","",LayTable[[#This Row],[BookieInnsats]]+LayTable[[#This Row],[LayLiability]])</f>
        <v/>
      </c>
      <c r="R4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6" s="47" t="str">
        <f>IF(LayTable[[#This Row],[Utfall bookie]]="","",LayTable[[#This Row],[WBABack]]+LayTable[[#This Row],[WBALay]]-LayTable[[#This Row],[Total inns]])</f>
        <v/>
      </c>
      <c r="U4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6" s="48" t="str">
        <f>IFERROR(IF(LayTable[[#This Row],[Total inns]]="","",LayTable[[#This Row],[Rback]]/LayTable[[#This Row],[Total inns]]),"")</f>
        <v/>
      </c>
      <c r="X476" s="48" t="str">
        <f>IFERROR(IF(LayTable[[#This Row],[Total inns]]="","",LayTable[[#This Row],[Rlay]]/LayTable[[#This Row],[Total inns]]),"")</f>
        <v/>
      </c>
      <c r="Y476" s="48" t="str">
        <f>IFERROR(LayTable[[#This Row],[Faktisk res]]/LayTable[[#This Row],[Total inns]],"")</f>
        <v/>
      </c>
      <c r="Z476" s="47">
        <f>(LayTable[[#This Row],[BookieInnsats]]*LayTable[[#This Row],[BookieOdds]]-LayTable[[#This Row],[BookieInnsats]])*(1-LayTable[[#This Row],[C% Bookie]])</f>
        <v>0</v>
      </c>
      <c r="AA476" s="43">
        <f>LayTable[[#This Row],[LayInnsats]]*(1-LayTable[[#This Row],[C% Lay]])</f>
        <v>0</v>
      </c>
      <c r="AB476" s="43" t="str">
        <f>IFERROR(IF(LayTable[[#This Row],[Sport]]="",#REF!,LayTable[[#This Row],[Faktisk res]]+#REF!),"")</f>
        <v/>
      </c>
      <c r="AC476" s="43">
        <f>(LayTable[[#This Row],[BackWin-Commission]]+LayTable[[#This Row],[BookieInnsats]])</f>
        <v>0</v>
      </c>
      <c r="AD476" s="43" t="e">
        <f>(LayTable[[#This Row],[LayWin-Commission]])+LayTable[[#This Row],[LayLiability]]</f>
        <v>#VALUE!</v>
      </c>
      <c r="AE476" s="303"/>
      <c r="AF476" s="303"/>
    </row>
    <row r="477" spans="1:32">
      <c r="A477" s="84"/>
      <c r="B477" s="177"/>
      <c r="C477" s="40"/>
      <c r="D477" s="41"/>
      <c r="E477" s="178"/>
      <c r="F477" s="179"/>
      <c r="G477" s="101"/>
      <c r="H477" s="38"/>
      <c r="I477" s="180"/>
      <c r="J477" s="180"/>
      <c r="K477" s="43"/>
      <c r="L477" s="43"/>
      <c r="M477" s="44" t="str">
        <f>IF(LayTable[[#This Row],[Sport]]="","",LayTable[[#This Row],[LayInnsats]]*(LayTable[[#This Row],[LayOdds]]-1))</f>
        <v/>
      </c>
      <c r="N477" s="45" t="str">
        <f>IF(LayTable[[#This Row],[Sport]]="","",1/((1/LayTable[[#This Row],[BookieOdds]])+(1/((1/((1+((LayTable[[#This Row],[LayOdds]]-1)*(1+LayTable[[#This Row],[C% Lay]])))-1))+1)))-1)</f>
        <v/>
      </c>
      <c r="Q477" s="46" t="str">
        <f>IF(LayTable[[#This Row],[Sport]]="","",LayTable[[#This Row],[BookieInnsats]]+LayTable[[#This Row],[LayLiability]])</f>
        <v/>
      </c>
      <c r="R4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7" s="47" t="str">
        <f>IF(LayTable[[#This Row],[Utfall bookie]]="","",LayTable[[#This Row],[WBABack]]+LayTable[[#This Row],[WBALay]]-LayTable[[#This Row],[Total inns]])</f>
        <v/>
      </c>
      <c r="U4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7" s="48" t="str">
        <f>IFERROR(IF(LayTable[[#This Row],[Total inns]]="","",LayTable[[#This Row],[Rback]]/LayTable[[#This Row],[Total inns]]),"")</f>
        <v/>
      </c>
      <c r="X477" s="48" t="str">
        <f>IFERROR(IF(LayTable[[#This Row],[Total inns]]="","",LayTable[[#This Row],[Rlay]]/LayTable[[#This Row],[Total inns]]),"")</f>
        <v/>
      </c>
      <c r="Y477" s="48" t="str">
        <f>IFERROR(LayTable[[#This Row],[Faktisk res]]/LayTable[[#This Row],[Total inns]],"")</f>
        <v/>
      </c>
      <c r="Z477" s="47">
        <f>(LayTable[[#This Row],[BookieInnsats]]*LayTable[[#This Row],[BookieOdds]]-LayTable[[#This Row],[BookieInnsats]])*(1-LayTable[[#This Row],[C% Bookie]])</f>
        <v>0</v>
      </c>
      <c r="AA477" s="43">
        <f>LayTable[[#This Row],[LayInnsats]]*(1-LayTable[[#This Row],[C% Lay]])</f>
        <v>0</v>
      </c>
      <c r="AB477" s="43" t="str">
        <f>IFERROR(IF(LayTable[[#This Row],[Sport]]="",#REF!,LayTable[[#This Row],[Faktisk res]]+#REF!),"")</f>
        <v/>
      </c>
      <c r="AC477" s="43">
        <f>(LayTable[[#This Row],[BackWin-Commission]]+LayTable[[#This Row],[BookieInnsats]])</f>
        <v>0</v>
      </c>
      <c r="AD477" s="43" t="e">
        <f>(LayTable[[#This Row],[LayWin-Commission]])+LayTable[[#This Row],[LayLiability]]</f>
        <v>#VALUE!</v>
      </c>
      <c r="AE477" s="181"/>
      <c r="AF477" s="303"/>
    </row>
    <row r="478" spans="1:32">
      <c r="A478" s="84"/>
      <c r="B478" s="177"/>
      <c r="C478" s="40"/>
      <c r="D478" s="41"/>
      <c r="E478" s="178"/>
      <c r="F478" s="179"/>
      <c r="G478" s="101"/>
      <c r="H478" s="38"/>
      <c r="I478" s="42"/>
      <c r="J478" s="42"/>
      <c r="K478" s="43"/>
      <c r="L478" s="43"/>
      <c r="M478" s="44" t="str">
        <f>IF(LayTable[[#This Row],[Sport]]="","",LayTable[[#This Row],[LayInnsats]]*(LayTable[[#This Row],[LayOdds]]-1))</f>
        <v/>
      </c>
      <c r="N478" s="45" t="str">
        <f>IF(LayTable[[#This Row],[Sport]]="","",1/((1/LayTable[[#This Row],[BookieOdds]])+(1/((1/((1+((LayTable[[#This Row],[LayOdds]]-1)*(1+LayTable[[#This Row],[C% Lay]])))-1))+1)))-1)</f>
        <v/>
      </c>
      <c r="Q478" s="46" t="str">
        <f>IF(LayTable[[#This Row],[Sport]]="","",LayTable[[#This Row],[BookieInnsats]]+LayTable[[#This Row],[LayLiability]])</f>
        <v/>
      </c>
      <c r="R4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8" s="47" t="str">
        <f>IF(LayTable[[#This Row],[Utfall bookie]]="","",LayTable[[#This Row],[WBABack]]+LayTable[[#This Row],[WBALay]]-LayTable[[#This Row],[Total inns]])</f>
        <v/>
      </c>
      <c r="U4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8" s="48" t="str">
        <f>IFERROR(IF(LayTable[[#This Row],[Total inns]]="","",LayTable[[#This Row],[Rback]]/LayTable[[#This Row],[Total inns]]),"")</f>
        <v/>
      </c>
      <c r="X478" s="48" t="str">
        <f>IFERROR(IF(LayTable[[#This Row],[Total inns]]="","",LayTable[[#This Row],[Rlay]]/LayTable[[#This Row],[Total inns]]),"")</f>
        <v/>
      </c>
      <c r="Y478" s="48" t="str">
        <f>IFERROR(LayTable[[#This Row],[Faktisk res]]/LayTable[[#This Row],[Total inns]],"")</f>
        <v/>
      </c>
      <c r="Z478" s="47">
        <f>(LayTable[[#This Row],[BookieInnsats]]*LayTable[[#This Row],[BookieOdds]]-LayTable[[#This Row],[BookieInnsats]])*(1-LayTable[[#This Row],[C% Bookie]])</f>
        <v>0</v>
      </c>
      <c r="AA478" s="43">
        <f>LayTable[[#This Row],[LayInnsats]]*(1-LayTable[[#This Row],[C% Lay]])</f>
        <v>0</v>
      </c>
      <c r="AB478" s="43" t="str">
        <f>IFERROR(IF(LayTable[[#This Row],[Sport]]="",AB477,LayTable[[#This Row],[Faktisk res]]+AB477),"")</f>
        <v/>
      </c>
      <c r="AC478" s="43">
        <f>(LayTable[[#This Row],[BackWin-Commission]]+LayTable[[#This Row],[BookieInnsats]])</f>
        <v>0</v>
      </c>
      <c r="AD478" s="43" t="e">
        <f>(LayTable[[#This Row],[LayWin-Commission]])+LayTable[[#This Row],[LayLiability]]</f>
        <v>#VALUE!</v>
      </c>
      <c r="AE478" s="181"/>
      <c r="AF478" s="303"/>
    </row>
    <row r="479" spans="1:32">
      <c r="A479" s="84"/>
      <c r="B479" s="177"/>
      <c r="C479" s="40"/>
      <c r="D479" s="41"/>
      <c r="E479" s="178"/>
      <c r="F479" s="179"/>
      <c r="G479" s="101"/>
      <c r="H479" s="38"/>
      <c r="I479" s="42"/>
      <c r="J479" s="42"/>
      <c r="K479" s="43"/>
      <c r="L479" s="43"/>
      <c r="M479" s="44" t="str">
        <f>IF(LayTable[[#This Row],[Sport]]="","",LayTable[[#This Row],[LayInnsats]]*(LayTable[[#This Row],[LayOdds]]-1))</f>
        <v/>
      </c>
      <c r="N479" s="45" t="str">
        <f>IF(LayTable[[#This Row],[Sport]]="","",1/((1/LayTable[[#This Row],[BookieOdds]])+(1/((1/((1+((LayTable[[#This Row],[LayOdds]]-1)*(1+LayTable[[#This Row],[C% Lay]])))-1))+1)))-1)</f>
        <v/>
      </c>
      <c r="Q479" s="46" t="str">
        <f>IF(LayTable[[#This Row],[Sport]]="","",LayTable[[#This Row],[BookieInnsats]]+LayTable[[#This Row],[LayLiability]])</f>
        <v/>
      </c>
      <c r="R4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79" s="47" t="str">
        <f>IF(LayTable[[#This Row],[Utfall bookie]]="","",LayTable[[#This Row],[WBABack]]+LayTable[[#This Row],[WBALay]]-LayTable[[#This Row],[Total inns]])</f>
        <v/>
      </c>
      <c r="U4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79" s="48" t="str">
        <f>IFERROR(IF(LayTable[[#This Row],[Total inns]]="","",LayTable[[#This Row],[Rback]]/LayTable[[#This Row],[Total inns]]),"")</f>
        <v/>
      </c>
      <c r="X479" s="48" t="str">
        <f>IFERROR(IF(LayTable[[#This Row],[Total inns]]="","",LayTable[[#This Row],[Rlay]]/LayTable[[#This Row],[Total inns]]),"")</f>
        <v/>
      </c>
      <c r="Y479" s="48" t="str">
        <f>IFERROR(LayTable[[#This Row],[Faktisk res]]/LayTable[[#This Row],[Total inns]],"")</f>
        <v/>
      </c>
      <c r="Z479" s="47">
        <f>(LayTable[[#This Row],[BookieInnsats]]*LayTable[[#This Row],[BookieOdds]]-LayTable[[#This Row],[BookieInnsats]])*(1-LayTable[[#This Row],[C% Bookie]])</f>
        <v>0</v>
      </c>
      <c r="AA479" s="43">
        <f>LayTable[[#This Row],[LayInnsats]]*(1-LayTable[[#This Row],[C% Lay]])</f>
        <v>0</v>
      </c>
      <c r="AB479" s="43" t="str">
        <f>IFERROR(IF(LayTable[[#This Row],[Sport]]="",AB478,LayTable[[#This Row],[Faktisk res]]+AB478),"")</f>
        <v/>
      </c>
      <c r="AC479" s="43">
        <f>(LayTable[[#This Row],[BackWin-Commission]]+LayTable[[#This Row],[BookieInnsats]])</f>
        <v>0</v>
      </c>
      <c r="AD479" s="43" t="e">
        <f>(LayTable[[#This Row],[LayWin-Commission]])+LayTable[[#This Row],[LayLiability]]</f>
        <v>#VALUE!</v>
      </c>
      <c r="AE479" s="181"/>
      <c r="AF479" s="303"/>
    </row>
    <row r="480" spans="1:32">
      <c r="A480" s="84"/>
      <c r="B480" s="177"/>
      <c r="C480" s="40"/>
      <c r="D480" s="41"/>
      <c r="E480" s="178"/>
      <c r="F480" s="179"/>
      <c r="G480" s="101"/>
      <c r="H480" s="38"/>
      <c r="I480" s="42"/>
      <c r="J480" s="42"/>
      <c r="K480" s="43"/>
      <c r="L480" s="43"/>
      <c r="M480" s="44" t="str">
        <f>IF(LayTable[[#This Row],[Sport]]="","",LayTable[[#This Row],[LayInnsats]]*(LayTable[[#This Row],[LayOdds]]-1))</f>
        <v/>
      </c>
      <c r="N480" s="45" t="str">
        <f>IF(LayTable[[#This Row],[Sport]]="","",1/((1/LayTable[[#This Row],[BookieOdds]])+(1/((1/((1+((LayTable[[#This Row],[LayOdds]]-1)*(1+LayTable[[#This Row],[C% Lay]])))-1))+1)))-1)</f>
        <v/>
      </c>
      <c r="Q480" s="46" t="str">
        <f>IF(LayTable[[#This Row],[Sport]]="","",LayTable[[#This Row],[BookieInnsats]]+LayTable[[#This Row],[LayLiability]])</f>
        <v/>
      </c>
      <c r="R4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0" s="47" t="str">
        <f>IF(LayTable[[#This Row],[Utfall bookie]]="","",LayTable[[#This Row],[WBABack]]+LayTable[[#This Row],[WBALay]]-LayTable[[#This Row],[Total inns]])</f>
        <v/>
      </c>
      <c r="U4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0" s="48" t="str">
        <f>IFERROR(IF(LayTable[[#This Row],[Total inns]]="","",LayTable[[#This Row],[Rback]]/LayTable[[#This Row],[Total inns]]),"")</f>
        <v/>
      </c>
      <c r="X480" s="48" t="str">
        <f>IFERROR(IF(LayTable[[#This Row],[Total inns]]="","",LayTable[[#This Row],[Rlay]]/LayTable[[#This Row],[Total inns]]),"")</f>
        <v/>
      </c>
      <c r="Y480" s="48" t="str">
        <f>IFERROR(LayTable[[#This Row],[Faktisk res]]/LayTable[[#This Row],[Total inns]],"")</f>
        <v/>
      </c>
      <c r="Z480" s="47">
        <f>(LayTable[[#This Row],[BookieInnsats]]*LayTable[[#This Row],[BookieOdds]]-LayTable[[#This Row],[BookieInnsats]])*(1-LayTable[[#This Row],[C% Bookie]])</f>
        <v>0</v>
      </c>
      <c r="AA480" s="43">
        <f>LayTable[[#This Row],[LayInnsats]]*(1-LayTable[[#This Row],[C% Lay]])</f>
        <v>0</v>
      </c>
      <c r="AB480" s="43" t="str">
        <f>IFERROR(IF(LayTable[[#This Row],[Sport]]="",AB479,LayTable[[#This Row],[Faktisk res]]+AB479),"")</f>
        <v/>
      </c>
      <c r="AC480" s="43">
        <f>(LayTable[[#This Row],[BackWin-Commission]]+LayTable[[#This Row],[BookieInnsats]])</f>
        <v>0</v>
      </c>
      <c r="AD480" s="43" t="e">
        <f>(LayTable[[#This Row],[LayWin-Commission]])+LayTable[[#This Row],[LayLiability]]</f>
        <v>#VALUE!</v>
      </c>
      <c r="AE480" s="303"/>
      <c r="AF480" s="303"/>
    </row>
    <row r="481" spans="1:32">
      <c r="A481" s="84"/>
      <c r="B481" s="177"/>
      <c r="C481" s="40"/>
      <c r="D481" s="41"/>
      <c r="E481" s="178"/>
      <c r="F481" s="179"/>
      <c r="G481" s="101"/>
      <c r="H481" s="38"/>
      <c r="I481" s="42"/>
      <c r="J481" s="42"/>
      <c r="K481" s="43"/>
      <c r="L481" s="43"/>
      <c r="M481" s="44" t="str">
        <f>IF(LayTable[[#This Row],[Sport]]="","",LayTable[[#This Row],[LayInnsats]]*(LayTable[[#This Row],[LayOdds]]-1))</f>
        <v/>
      </c>
      <c r="N481" s="45" t="str">
        <f>IF(LayTable[[#This Row],[Sport]]="","",1/((1/LayTable[[#This Row],[BookieOdds]])+(1/((1/((1+((LayTable[[#This Row],[LayOdds]]-1)*(1+LayTable[[#This Row],[C% Lay]])))-1))+1)))-1)</f>
        <v/>
      </c>
      <c r="Q481" s="46" t="str">
        <f>IF(LayTable[[#This Row],[Sport]]="","",LayTable[[#This Row],[BookieInnsats]]+LayTable[[#This Row],[LayLiability]])</f>
        <v/>
      </c>
      <c r="R4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1" s="47" t="str">
        <f>IF(LayTable[[#This Row],[Utfall bookie]]="","",LayTable[[#This Row],[WBABack]]+LayTable[[#This Row],[WBALay]]-LayTable[[#This Row],[Total inns]])</f>
        <v/>
      </c>
      <c r="U4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1" s="48" t="str">
        <f>IFERROR(IF(LayTable[[#This Row],[Total inns]]="","",LayTable[[#This Row],[Rback]]/LayTable[[#This Row],[Total inns]]),"")</f>
        <v/>
      </c>
      <c r="X481" s="48" t="str">
        <f>IFERROR(IF(LayTable[[#This Row],[Total inns]]="","",LayTable[[#This Row],[Rlay]]/LayTable[[#This Row],[Total inns]]),"")</f>
        <v/>
      </c>
      <c r="Y481" s="48" t="str">
        <f>IFERROR(LayTable[[#This Row],[Faktisk res]]/LayTable[[#This Row],[Total inns]],"")</f>
        <v/>
      </c>
      <c r="Z481" s="47">
        <f>(LayTable[[#This Row],[BookieInnsats]]*LayTable[[#This Row],[BookieOdds]]-LayTable[[#This Row],[BookieInnsats]])*(1-LayTable[[#This Row],[C% Bookie]])</f>
        <v>0</v>
      </c>
      <c r="AA481" s="43">
        <f>LayTable[[#This Row],[LayInnsats]]*(1-LayTable[[#This Row],[C% Lay]])</f>
        <v>0</v>
      </c>
      <c r="AB481" s="43" t="str">
        <f>IFERROR(IF(LayTable[[#This Row],[Sport]]="",#REF!,LayTable[[#This Row],[Faktisk res]]+#REF!),"")</f>
        <v/>
      </c>
      <c r="AC481" s="43">
        <f>(LayTable[[#This Row],[BackWin-Commission]]+LayTable[[#This Row],[BookieInnsats]])</f>
        <v>0</v>
      </c>
      <c r="AD481" s="43" t="e">
        <f>(LayTable[[#This Row],[LayWin-Commission]])+LayTable[[#This Row],[LayLiability]]</f>
        <v>#VALUE!</v>
      </c>
      <c r="AE481" s="303"/>
      <c r="AF481" s="303"/>
    </row>
    <row r="482" spans="1:32">
      <c r="A482" s="84"/>
      <c r="B482" s="177"/>
      <c r="C482" s="40"/>
      <c r="D482" s="41"/>
      <c r="E482" s="178"/>
      <c r="F482" s="179"/>
      <c r="G482" s="101"/>
      <c r="H482" s="38"/>
      <c r="I482" s="42"/>
      <c r="J482" s="42"/>
      <c r="K482" s="43"/>
      <c r="L482" s="43"/>
      <c r="M482" s="44" t="str">
        <f>IF(LayTable[[#This Row],[Sport]]="","",LayTable[[#This Row],[LayInnsats]]*(LayTable[[#This Row],[LayOdds]]-1))</f>
        <v/>
      </c>
      <c r="N482" s="45" t="str">
        <f>IF(LayTable[[#This Row],[Sport]]="","",1/((1/LayTable[[#This Row],[BookieOdds]])+(1/((1/((1+((LayTable[[#This Row],[LayOdds]]-1)*(1+LayTable[[#This Row],[C% Lay]])))-1))+1)))-1)</f>
        <v/>
      </c>
      <c r="Q482" s="46" t="str">
        <f>IF(LayTable[[#This Row],[Sport]]="","",LayTable[[#This Row],[BookieInnsats]]+LayTable[[#This Row],[LayLiability]])</f>
        <v/>
      </c>
      <c r="R4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2" s="47" t="str">
        <f>IF(LayTable[[#This Row],[Utfall bookie]]="","",LayTable[[#This Row],[WBABack]]+LayTable[[#This Row],[WBALay]]-LayTable[[#This Row],[Total inns]])</f>
        <v/>
      </c>
      <c r="U4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2" s="48" t="str">
        <f>IFERROR(IF(LayTable[[#This Row],[Total inns]]="","",LayTable[[#This Row],[Rback]]/LayTable[[#This Row],[Total inns]]),"")</f>
        <v/>
      </c>
      <c r="X482" s="48" t="str">
        <f>IFERROR(IF(LayTable[[#This Row],[Total inns]]="","",LayTable[[#This Row],[Rlay]]/LayTable[[#This Row],[Total inns]]),"")</f>
        <v/>
      </c>
      <c r="Y482" s="48" t="str">
        <f>IFERROR(LayTable[[#This Row],[Faktisk res]]/LayTable[[#This Row],[Total inns]],"")</f>
        <v/>
      </c>
      <c r="Z482" s="47">
        <f>(LayTable[[#This Row],[BookieInnsats]]*LayTable[[#This Row],[BookieOdds]]-LayTable[[#This Row],[BookieInnsats]])*(1-LayTable[[#This Row],[C% Bookie]])</f>
        <v>0</v>
      </c>
      <c r="AA482" s="43">
        <f>LayTable[[#This Row],[LayInnsats]]*(1-LayTable[[#This Row],[C% Lay]])</f>
        <v>0</v>
      </c>
      <c r="AB482" s="43" t="str">
        <f>IFERROR(IF(LayTable[[#This Row],[Sport]]="",AB481,LayTable[[#This Row],[Faktisk res]]+AB481),"")</f>
        <v/>
      </c>
      <c r="AC482" s="43">
        <f>(LayTable[[#This Row],[BackWin-Commission]]+LayTable[[#This Row],[BookieInnsats]])</f>
        <v>0</v>
      </c>
      <c r="AD482" s="43" t="e">
        <f>(LayTable[[#This Row],[LayWin-Commission]])+LayTable[[#This Row],[LayLiability]]</f>
        <v>#VALUE!</v>
      </c>
      <c r="AE482" s="181"/>
      <c r="AF482" s="181"/>
    </row>
    <row r="483" spans="1:32">
      <c r="A483" s="84"/>
      <c r="B483" s="177"/>
      <c r="C483" s="40"/>
      <c r="D483" s="41"/>
      <c r="E483" s="178"/>
      <c r="F483" s="179"/>
      <c r="G483" s="101"/>
      <c r="H483" s="38"/>
      <c r="I483" s="42"/>
      <c r="J483" s="42"/>
      <c r="K483" s="43"/>
      <c r="L483" s="43"/>
      <c r="M483" s="44" t="str">
        <f>IF(LayTable[[#This Row],[Sport]]="","",LayTable[[#This Row],[LayInnsats]]*(LayTable[[#This Row],[LayOdds]]-1))</f>
        <v/>
      </c>
      <c r="N483" s="45" t="str">
        <f>IF(LayTable[[#This Row],[Sport]]="","",1/((1/LayTable[[#This Row],[BookieOdds]])+(1/((1/((1+((LayTable[[#This Row],[LayOdds]]-1)*(1+LayTable[[#This Row],[C% Lay]])))-1))+1)))-1)</f>
        <v/>
      </c>
      <c r="Q483" s="46" t="str">
        <f>IF(LayTable[[#This Row],[Sport]]="","",LayTable[[#This Row],[BookieInnsats]]+LayTable[[#This Row],[LayLiability]])</f>
        <v/>
      </c>
      <c r="R4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3" s="47" t="str">
        <f>IF(LayTable[[#This Row],[Utfall bookie]]="","",LayTable[[#This Row],[WBABack]]+LayTable[[#This Row],[WBALay]]-LayTable[[#This Row],[Total inns]])</f>
        <v/>
      </c>
      <c r="U4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3" s="48" t="str">
        <f>IFERROR(IF(LayTable[[#This Row],[Total inns]]="","",LayTable[[#This Row],[Rback]]/LayTable[[#This Row],[Total inns]]),"")</f>
        <v/>
      </c>
      <c r="X483" s="48" t="str">
        <f>IFERROR(IF(LayTable[[#This Row],[Total inns]]="","",LayTable[[#This Row],[Rlay]]/LayTable[[#This Row],[Total inns]]),"")</f>
        <v/>
      </c>
      <c r="Y483" s="48" t="str">
        <f>IFERROR(LayTable[[#This Row],[Faktisk res]]/LayTable[[#This Row],[Total inns]],"")</f>
        <v/>
      </c>
      <c r="Z483" s="47">
        <f>(LayTable[[#This Row],[BookieInnsats]]*LayTable[[#This Row],[BookieOdds]]-LayTable[[#This Row],[BookieInnsats]])*(1-LayTable[[#This Row],[C% Bookie]])</f>
        <v>0</v>
      </c>
      <c r="AA483" s="43">
        <f>LayTable[[#This Row],[LayInnsats]]*(1-LayTable[[#This Row],[C% Lay]])</f>
        <v>0</v>
      </c>
      <c r="AB483" s="43" t="str">
        <f>IFERROR(IF(LayTable[[#This Row],[Sport]]="",AB482,LayTable[[#This Row],[Faktisk res]]+AB482),"")</f>
        <v/>
      </c>
      <c r="AC483" s="43">
        <f>(LayTable[[#This Row],[BackWin-Commission]]+LayTable[[#This Row],[BookieInnsats]])</f>
        <v>0</v>
      </c>
      <c r="AD483" s="43" t="e">
        <f>(LayTable[[#This Row],[LayWin-Commission]])+LayTable[[#This Row],[LayLiability]]</f>
        <v>#VALUE!</v>
      </c>
      <c r="AE483" s="181"/>
      <c r="AF483" s="181"/>
    </row>
    <row r="484" spans="1:32">
      <c r="A484" s="183"/>
      <c r="B484" s="177"/>
      <c r="C484" s="40"/>
      <c r="D484" s="41"/>
      <c r="E484" s="178"/>
      <c r="F484" s="179"/>
      <c r="G484" s="101"/>
      <c r="H484" s="38"/>
      <c r="I484" s="42"/>
      <c r="J484" s="42"/>
      <c r="K484" s="43"/>
      <c r="L484" s="43"/>
      <c r="M484" s="44" t="str">
        <f>IF(LayTable[[#This Row],[Sport]]="","",LayTable[[#This Row],[LayInnsats]]*(LayTable[[#This Row],[LayOdds]]-1))</f>
        <v/>
      </c>
      <c r="N484" s="45" t="str">
        <f>IF(LayTable[[#This Row],[Sport]]="","",1/((1/LayTable[[#This Row],[BookieOdds]])+(1/((1/((1+((LayTable[[#This Row],[LayOdds]]-1)*(1+LayTable[[#This Row],[C% Lay]])))-1))+1)))-1)</f>
        <v/>
      </c>
      <c r="Q484" s="46" t="str">
        <f>IF(LayTable[[#This Row],[Sport]]="","",LayTable[[#This Row],[BookieInnsats]]+LayTable[[#This Row],[LayLiability]])</f>
        <v/>
      </c>
      <c r="R4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4" s="47" t="str">
        <f>IF(LayTable[[#This Row],[Utfall bookie]]="","",LayTable[[#This Row],[WBABack]]+LayTable[[#This Row],[WBALay]]-LayTable[[#This Row],[Total inns]])</f>
        <v/>
      </c>
      <c r="U4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4" s="48" t="str">
        <f>IFERROR(IF(LayTable[[#This Row],[Total inns]]="","",LayTable[[#This Row],[Rback]]/LayTable[[#This Row],[Total inns]]),"")</f>
        <v/>
      </c>
      <c r="X484" s="48" t="str">
        <f>IFERROR(IF(LayTable[[#This Row],[Total inns]]="","",LayTable[[#This Row],[Rlay]]/LayTable[[#This Row],[Total inns]]),"")</f>
        <v/>
      </c>
      <c r="Y484" s="48" t="str">
        <f>IFERROR(LayTable[[#This Row],[Faktisk res]]/LayTable[[#This Row],[Total inns]],"")</f>
        <v/>
      </c>
      <c r="Z484" s="47">
        <f>(LayTable[[#This Row],[BookieInnsats]]*LayTable[[#This Row],[BookieOdds]]-LayTable[[#This Row],[BookieInnsats]])*(1-LayTable[[#This Row],[C% Bookie]])</f>
        <v>0</v>
      </c>
      <c r="AA484" s="43">
        <f>LayTable[[#This Row],[LayInnsats]]*(1-LayTable[[#This Row],[C% Lay]])</f>
        <v>0</v>
      </c>
      <c r="AB484" s="43" t="str">
        <f>IFERROR(IF(LayTable[[#This Row],[Sport]]="",AB483,LayTable[[#This Row],[Faktisk res]]+AB483),"")</f>
        <v/>
      </c>
      <c r="AC484" s="43">
        <f>(LayTable[[#This Row],[BackWin-Commission]]+LayTable[[#This Row],[BookieInnsats]])</f>
        <v>0</v>
      </c>
      <c r="AD484" s="43" t="e">
        <f>(LayTable[[#This Row],[LayWin-Commission]])+LayTable[[#This Row],[LayLiability]]</f>
        <v>#VALUE!</v>
      </c>
      <c r="AE484" s="181"/>
      <c r="AF484" s="181"/>
    </row>
    <row r="485" spans="1:32">
      <c r="A485" s="84"/>
      <c r="B485" s="177"/>
      <c r="C485" s="40"/>
      <c r="D485" s="41"/>
      <c r="E485" s="178"/>
      <c r="F485" s="251"/>
      <c r="G485" s="101"/>
      <c r="H485" s="38"/>
      <c r="I485" s="42"/>
      <c r="J485" s="42"/>
      <c r="K485" s="43"/>
      <c r="L485" s="43"/>
      <c r="M485" s="44" t="str">
        <f>IF(LayTable[[#This Row],[Sport]]="","",LayTable[[#This Row],[LayInnsats]]*(LayTable[[#This Row],[LayOdds]]-1))</f>
        <v/>
      </c>
      <c r="N485" s="45" t="str">
        <f>IF(LayTable[[#This Row],[Sport]]="","",1/((1/LayTable[[#This Row],[BookieOdds]])+(1/((1/((1+((LayTable[[#This Row],[LayOdds]]-1)*(1+LayTable[[#This Row],[C% Lay]])))-1))+1)))-1)</f>
        <v/>
      </c>
      <c r="Q485" s="46" t="str">
        <f>IF(LayTable[[#This Row],[Sport]]="","",LayTable[[#This Row],[BookieInnsats]]+LayTable[[#This Row],[LayLiability]])</f>
        <v/>
      </c>
      <c r="R4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5" s="47" t="str">
        <f>IF(LayTable[[#This Row],[Utfall bookie]]="","",LayTable[[#This Row],[WBABack]]+LayTable[[#This Row],[WBALay]]-LayTable[[#This Row],[Total inns]])</f>
        <v/>
      </c>
      <c r="U4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5" s="48" t="str">
        <f>IFERROR(IF(LayTable[[#This Row],[Total inns]]="","",LayTable[[#This Row],[Rback]]/LayTable[[#This Row],[Total inns]]),"")</f>
        <v/>
      </c>
      <c r="X485" s="48" t="str">
        <f>IFERROR(IF(LayTable[[#This Row],[Total inns]]="","",LayTable[[#This Row],[Rlay]]/LayTable[[#This Row],[Total inns]]),"")</f>
        <v/>
      </c>
      <c r="Y485" s="48" t="str">
        <f>IFERROR(LayTable[[#This Row],[Faktisk res]]/LayTable[[#This Row],[Total inns]],"")</f>
        <v/>
      </c>
      <c r="Z485" s="47">
        <f>(LayTable[[#This Row],[BookieInnsats]]*LayTable[[#This Row],[BookieOdds]]-LayTable[[#This Row],[BookieInnsats]])*(1-LayTable[[#This Row],[C% Bookie]])</f>
        <v>0</v>
      </c>
      <c r="AA485" s="43">
        <f>LayTable[[#This Row],[LayInnsats]]*(1-LayTable[[#This Row],[C% Lay]])</f>
        <v>0</v>
      </c>
      <c r="AB485" s="43" t="str">
        <f>IFERROR(IF(LayTable[[#This Row],[Sport]]="",AB484,LayTable[[#This Row],[Faktisk res]]+AB484),"")</f>
        <v/>
      </c>
      <c r="AC485" s="43">
        <f>(LayTable[[#This Row],[BackWin-Commission]]+LayTable[[#This Row],[BookieInnsats]])</f>
        <v>0</v>
      </c>
      <c r="AD485" s="43" t="e">
        <f>(LayTable[[#This Row],[LayWin-Commission]])+LayTable[[#This Row],[LayLiability]]</f>
        <v>#VALUE!</v>
      </c>
      <c r="AE485" s="181"/>
      <c r="AF485" s="181"/>
    </row>
    <row r="486" spans="1:32">
      <c r="A486" s="183"/>
      <c r="B486" s="177"/>
      <c r="C486" s="40"/>
      <c r="D486" s="41"/>
      <c r="E486" s="178"/>
      <c r="F486" s="251"/>
      <c r="G486" s="101"/>
      <c r="H486" s="38"/>
      <c r="I486" s="42"/>
      <c r="J486" s="42"/>
      <c r="K486" s="43"/>
      <c r="L486" s="43"/>
      <c r="M486" s="44" t="str">
        <f>IF(LayTable[[#This Row],[Sport]]="","",LayTable[[#This Row],[LayInnsats]]*(LayTable[[#This Row],[LayOdds]]-1))</f>
        <v/>
      </c>
      <c r="N486" s="45" t="str">
        <f>IF(LayTable[[#This Row],[Sport]]="","",1/((1/LayTable[[#This Row],[BookieOdds]])+(1/((1/((1+((LayTable[[#This Row],[LayOdds]]-1)*(1+LayTable[[#This Row],[C% Lay]])))-1))+1)))-1)</f>
        <v/>
      </c>
      <c r="Q486" s="46" t="str">
        <f>IF(LayTable[[#This Row],[Sport]]="","",LayTable[[#This Row],[BookieInnsats]]+LayTable[[#This Row],[LayLiability]])</f>
        <v/>
      </c>
      <c r="R4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6" s="47" t="str">
        <f>IF(LayTable[[#This Row],[Utfall bookie]]="","",LayTable[[#This Row],[WBABack]]+LayTable[[#This Row],[WBALay]]-LayTable[[#This Row],[Total inns]])</f>
        <v/>
      </c>
      <c r="U4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6" s="48" t="str">
        <f>IFERROR(IF(LayTable[[#This Row],[Total inns]]="","",LayTable[[#This Row],[Rback]]/LayTable[[#This Row],[Total inns]]),"")</f>
        <v/>
      </c>
      <c r="X486" s="48" t="str">
        <f>IFERROR(IF(LayTable[[#This Row],[Total inns]]="","",LayTable[[#This Row],[Rlay]]/LayTable[[#This Row],[Total inns]]),"")</f>
        <v/>
      </c>
      <c r="Y486" s="48" t="str">
        <f>IFERROR(LayTable[[#This Row],[Faktisk res]]/LayTable[[#This Row],[Total inns]],"")</f>
        <v/>
      </c>
      <c r="Z486" s="47">
        <f>(LayTable[[#This Row],[BookieInnsats]]*LayTable[[#This Row],[BookieOdds]]-LayTable[[#This Row],[BookieInnsats]])*(1-LayTable[[#This Row],[C% Bookie]])</f>
        <v>0</v>
      </c>
      <c r="AA486" s="43">
        <f>LayTable[[#This Row],[LayInnsats]]*(1-LayTable[[#This Row],[C% Lay]])</f>
        <v>0</v>
      </c>
      <c r="AB486" s="43" t="str">
        <f>IFERROR(IF(LayTable[[#This Row],[Sport]]="",AB485,LayTable[[#This Row],[Faktisk res]]+AB485),"")</f>
        <v/>
      </c>
      <c r="AC486" s="43">
        <f>(LayTable[[#This Row],[BackWin-Commission]]+LayTable[[#This Row],[BookieInnsats]])</f>
        <v>0</v>
      </c>
      <c r="AD486" s="43" t="e">
        <f>(LayTable[[#This Row],[LayWin-Commission]])+LayTable[[#This Row],[LayLiability]]</f>
        <v>#VALUE!</v>
      </c>
      <c r="AE486" s="181"/>
      <c r="AF486" s="181"/>
    </row>
    <row r="487" spans="1:32">
      <c r="A487" s="183"/>
      <c r="B487" s="177"/>
      <c r="C487" s="40"/>
      <c r="D487" s="41"/>
      <c r="E487" s="178"/>
      <c r="F487" s="251"/>
      <c r="G487" s="184"/>
      <c r="H487" s="176"/>
      <c r="I487" s="42"/>
      <c r="J487" s="180"/>
      <c r="K487" s="43"/>
      <c r="L487" s="43"/>
      <c r="M487" s="44" t="str">
        <f>IF(LayTable[[#This Row],[Sport]]="","",LayTable[[#This Row],[LayInnsats]]*(LayTable[[#This Row],[LayOdds]]-1))</f>
        <v/>
      </c>
      <c r="N487" s="45" t="str">
        <f>IF(LayTable[[#This Row],[Sport]]="","",1/((1/LayTable[[#This Row],[BookieOdds]])+(1/((1/((1+((LayTable[[#This Row],[LayOdds]]-1)*(1+LayTable[[#This Row],[C% Lay]])))-1))+1)))-1)</f>
        <v/>
      </c>
      <c r="Q487" s="46" t="str">
        <f>IF(LayTable[[#This Row],[Sport]]="","",LayTable[[#This Row],[BookieInnsats]]+LayTable[[#This Row],[LayLiability]])</f>
        <v/>
      </c>
      <c r="R4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7" s="47" t="str">
        <f>IF(LayTable[[#This Row],[Utfall bookie]]="","",LayTable[[#This Row],[WBABack]]+LayTable[[#This Row],[WBALay]]-LayTable[[#This Row],[Total inns]])</f>
        <v/>
      </c>
      <c r="U4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7" s="48" t="str">
        <f>IFERROR(IF(LayTable[[#This Row],[Total inns]]="","",LayTable[[#This Row],[Rback]]/LayTable[[#This Row],[Total inns]]),"")</f>
        <v/>
      </c>
      <c r="X487" s="48" t="str">
        <f>IFERROR(IF(LayTable[[#This Row],[Total inns]]="","",LayTable[[#This Row],[Rlay]]/LayTable[[#This Row],[Total inns]]),"")</f>
        <v/>
      </c>
      <c r="Y487" s="48" t="str">
        <f>IFERROR(LayTable[[#This Row],[Faktisk res]]/LayTable[[#This Row],[Total inns]],"")</f>
        <v/>
      </c>
      <c r="Z487" s="47">
        <f>(LayTable[[#This Row],[BookieInnsats]]*LayTable[[#This Row],[BookieOdds]]-LayTable[[#This Row],[BookieInnsats]])*(1-LayTable[[#This Row],[C% Bookie]])</f>
        <v>0</v>
      </c>
      <c r="AA487" s="43">
        <f>LayTable[[#This Row],[LayInnsats]]*(1-LayTable[[#This Row],[C% Lay]])</f>
        <v>0</v>
      </c>
      <c r="AB487" s="43" t="str">
        <f>IFERROR(IF(LayTable[[#This Row],[Sport]]="",AB486,LayTable[[#This Row],[Faktisk res]]+AB486),"")</f>
        <v/>
      </c>
      <c r="AC487" s="43">
        <f>(LayTable[[#This Row],[BackWin-Commission]]+LayTable[[#This Row],[BookieInnsats]])</f>
        <v>0</v>
      </c>
      <c r="AD487" s="43" t="e">
        <f>(LayTable[[#This Row],[LayWin-Commission]])+LayTable[[#This Row],[LayLiability]]</f>
        <v>#VALUE!</v>
      </c>
      <c r="AE487" s="181"/>
      <c r="AF487" s="181"/>
    </row>
    <row r="488" spans="1:32">
      <c r="A488" s="84"/>
      <c r="B488" s="177"/>
      <c r="C488" s="40"/>
      <c r="D488" s="41"/>
      <c r="E488" s="178"/>
      <c r="F488" s="251"/>
      <c r="G488" s="101"/>
      <c r="H488" s="38"/>
      <c r="I488" s="42"/>
      <c r="J488" s="42"/>
      <c r="K488" s="43"/>
      <c r="L488" s="43"/>
      <c r="M488" s="44" t="str">
        <f>IF(LayTable[[#This Row],[Sport]]="","",LayTable[[#This Row],[LayInnsats]]*(LayTable[[#This Row],[LayOdds]]-1))</f>
        <v/>
      </c>
      <c r="N488" s="45" t="str">
        <f>IF(LayTable[[#This Row],[Sport]]="","",1/((1/LayTable[[#This Row],[BookieOdds]])+(1/((1/((1+((LayTable[[#This Row],[LayOdds]]-1)*(1+LayTable[[#This Row],[C% Lay]])))-1))+1)))-1)</f>
        <v/>
      </c>
      <c r="Q488" s="46" t="str">
        <f>IF(LayTable[[#This Row],[Sport]]="","",LayTable[[#This Row],[BookieInnsats]]+LayTable[[#This Row],[LayLiability]])</f>
        <v/>
      </c>
      <c r="R4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8" s="47" t="str">
        <f>IF(LayTable[[#This Row],[Utfall bookie]]="","",LayTable[[#This Row],[WBABack]]+LayTable[[#This Row],[WBALay]]-LayTable[[#This Row],[Total inns]])</f>
        <v/>
      </c>
      <c r="U4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8" s="48" t="str">
        <f>IFERROR(IF(LayTable[[#This Row],[Total inns]]="","",LayTable[[#This Row],[Rback]]/LayTable[[#This Row],[Total inns]]),"")</f>
        <v/>
      </c>
      <c r="X488" s="48" t="str">
        <f>IFERROR(IF(LayTable[[#This Row],[Total inns]]="","",LayTable[[#This Row],[Rlay]]/LayTable[[#This Row],[Total inns]]),"")</f>
        <v/>
      </c>
      <c r="Y488" s="48" t="str">
        <f>IFERROR(LayTable[[#This Row],[Faktisk res]]/LayTable[[#This Row],[Total inns]],"")</f>
        <v/>
      </c>
      <c r="Z488" s="47">
        <f>(LayTable[[#This Row],[BookieInnsats]]*LayTable[[#This Row],[BookieOdds]]-LayTable[[#This Row],[BookieInnsats]])*(1-LayTable[[#This Row],[C% Bookie]])</f>
        <v>0</v>
      </c>
      <c r="AA488" s="43">
        <f>LayTable[[#This Row],[LayInnsats]]*(1-LayTable[[#This Row],[C% Lay]])</f>
        <v>0</v>
      </c>
      <c r="AB488" s="43" t="str">
        <f>IFERROR(IF(LayTable[[#This Row],[Sport]]="",AB487,LayTable[[#This Row],[Faktisk res]]+AB487),"")</f>
        <v/>
      </c>
      <c r="AC488" s="43">
        <f>(LayTable[[#This Row],[BackWin-Commission]]+LayTable[[#This Row],[BookieInnsats]])</f>
        <v>0</v>
      </c>
      <c r="AD488" s="43" t="e">
        <f>(LayTable[[#This Row],[LayWin-Commission]])+LayTable[[#This Row],[LayLiability]]</f>
        <v>#VALUE!</v>
      </c>
      <c r="AE488" s="181"/>
      <c r="AF488" s="181"/>
    </row>
    <row r="489" spans="1:32">
      <c r="A489" s="84"/>
      <c r="B489" s="177"/>
      <c r="C489" s="40"/>
      <c r="D489" s="41"/>
      <c r="E489" s="178"/>
      <c r="F489" s="251"/>
      <c r="G489" s="101"/>
      <c r="H489" s="38"/>
      <c r="I489" s="42"/>
      <c r="J489" s="42"/>
      <c r="K489" s="43"/>
      <c r="L489" s="43"/>
      <c r="M489" s="44" t="str">
        <f>IF(LayTable[[#This Row],[Sport]]="","",LayTable[[#This Row],[LayInnsats]]*(LayTable[[#This Row],[LayOdds]]-1))</f>
        <v/>
      </c>
      <c r="N489" s="45" t="str">
        <f>IF(LayTable[[#This Row],[Sport]]="","",1/((1/LayTable[[#This Row],[BookieOdds]])+(1/((1/((1+((LayTable[[#This Row],[LayOdds]]-1)*(1+LayTable[[#This Row],[C% Lay]])))-1))+1)))-1)</f>
        <v/>
      </c>
      <c r="Q489" s="46" t="str">
        <f>IF(LayTable[[#This Row],[Sport]]="","",LayTable[[#This Row],[BookieInnsats]]+LayTable[[#This Row],[LayLiability]])</f>
        <v/>
      </c>
      <c r="R4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89" s="47" t="str">
        <f>IF(LayTable[[#This Row],[Utfall bookie]]="","",LayTable[[#This Row],[WBABack]]+LayTable[[#This Row],[WBALay]]-LayTable[[#This Row],[Total inns]])</f>
        <v/>
      </c>
      <c r="U4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89" s="48" t="str">
        <f>IFERROR(IF(LayTable[[#This Row],[Total inns]]="","",LayTable[[#This Row],[Rback]]/LayTable[[#This Row],[Total inns]]),"")</f>
        <v/>
      </c>
      <c r="X489" s="48" t="str">
        <f>IFERROR(IF(LayTable[[#This Row],[Total inns]]="","",LayTable[[#This Row],[Rlay]]/LayTable[[#This Row],[Total inns]]),"")</f>
        <v/>
      </c>
      <c r="Y489" s="48" t="str">
        <f>IFERROR(LayTable[[#This Row],[Faktisk res]]/LayTable[[#This Row],[Total inns]],"")</f>
        <v/>
      </c>
      <c r="Z489" s="47">
        <f>(LayTable[[#This Row],[BookieInnsats]]*LayTable[[#This Row],[BookieOdds]]-LayTable[[#This Row],[BookieInnsats]])*(1-LayTable[[#This Row],[C% Bookie]])</f>
        <v>0</v>
      </c>
      <c r="AA489" s="43">
        <f>LayTable[[#This Row],[LayInnsats]]*(1-LayTable[[#This Row],[C% Lay]])</f>
        <v>0</v>
      </c>
      <c r="AB489" s="43" t="str">
        <f>IFERROR(IF(LayTable[[#This Row],[Sport]]="",AB488,LayTable[[#This Row],[Faktisk res]]+AB488),"")</f>
        <v/>
      </c>
      <c r="AC489" s="43">
        <f>(LayTable[[#This Row],[BackWin-Commission]]+LayTable[[#This Row],[BookieInnsats]])</f>
        <v>0</v>
      </c>
      <c r="AD489" s="43" t="e">
        <f>(LayTable[[#This Row],[LayWin-Commission]])+LayTable[[#This Row],[LayLiability]]</f>
        <v>#VALUE!</v>
      </c>
      <c r="AE489" s="181"/>
      <c r="AF489" s="181"/>
    </row>
    <row r="490" spans="1:32">
      <c r="A490" s="84"/>
      <c r="B490" s="177"/>
      <c r="C490" s="40"/>
      <c r="D490" s="41"/>
      <c r="E490" s="178"/>
      <c r="F490" s="251"/>
      <c r="G490" s="101"/>
      <c r="H490" s="38"/>
      <c r="I490" s="42"/>
      <c r="J490" s="42"/>
      <c r="K490" s="43"/>
      <c r="L490" s="43"/>
      <c r="M490" s="44" t="str">
        <f>IF(LayTable[[#This Row],[Sport]]="","",LayTable[[#This Row],[LayInnsats]]*(LayTable[[#This Row],[LayOdds]]-1))</f>
        <v/>
      </c>
      <c r="N490" s="45" t="str">
        <f>IF(LayTable[[#This Row],[Sport]]="","",1/((1/LayTable[[#This Row],[BookieOdds]])+(1/((1/((1+((LayTable[[#This Row],[LayOdds]]-1)*(1+LayTable[[#This Row],[C% Lay]])))-1))+1)))-1)</f>
        <v/>
      </c>
      <c r="Q490" s="46" t="str">
        <f>IF(LayTable[[#This Row],[Sport]]="","",LayTable[[#This Row],[BookieInnsats]]+LayTable[[#This Row],[LayLiability]])</f>
        <v/>
      </c>
      <c r="R4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0" s="47" t="str">
        <f>IF(LayTable[[#This Row],[Utfall bookie]]="","",LayTable[[#This Row],[WBABack]]+LayTable[[#This Row],[WBALay]]-LayTable[[#This Row],[Total inns]])</f>
        <v/>
      </c>
      <c r="U4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0" s="48" t="str">
        <f>IFERROR(IF(LayTable[[#This Row],[Total inns]]="","",LayTable[[#This Row],[Rback]]/LayTable[[#This Row],[Total inns]]),"")</f>
        <v/>
      </c>
      <c r="X490" s="48" t="str">
        <f>IFERROR(IF(LayTable[[#This Row],[Total inns]]="","",LayTable[[#This Row],[Rlay]]/LayTable[[#This Row],[Total inns]]),"")</f>
        <v/>
      </c>
      <c r="Y490" s="48" t="str">
        <f>IFERROR(LayTable[[#This Row],[Faktisk res]]/LayTable[[#This Row],[Total inns]],"")</f>
        <v/>
      </c>
      <c r="Z490" s="47">
        <f>(LayTable[[#This Row],[BookieInnsats]]*LayTable[[#This Row],[BookieOdds]]-LayTable[[#This Row],[BookieInnsats]])*(1-LayTable[[#This Row],[C% Bookie]])</f>
        <v>0</v>
      </c>
      <c r="AA490" s="43">
        <f>LayTable[[#This Row],[LayInnsats]]*(1-LayTable[[#This Row],[C% Lay]])</f>
        <v>0</v>
      </c>
      <c r="AB490" s="43" t="str">
        <f>IFERROR(IF(LayTable[[#This Row],[Sport]]="",#REF!,LayTable[[#This Row],[Faktisk res]]+#REF!),"")</f>
        <v/>
      </c>
      <c r="AC490" s="43">
        <f>(LayTable[[#This Row],[BackWin-Commission]]+LayTable[[#This Row],[BookieInnsats]])</f>
        <v>0</v>
      </c>
      <c r="AD490" s="43" t="e">
        <f>(LayTable[[#This Row],[LayWin-Commission]])+LayTable[[#This Row],[LayLiability]]</f>
        <v>#VALUE!</v>
      </c>
      <c r="AE490" s="181"/>
      <c r="AF490" s="181"/>
    </row>
    <row r="491" spans="1:32">
      <c r="A491" s="84"/>
      <c r="B491" s="177"/>
      <c r="C491" s="40"/>
      <c r="D491" s="41"/>
      <c r="E491" s="178"/>
      <c r="F491" s="251"/>
      <c r="G491" s="101"/>
      <c r="H491" s="38"/>
      <c r="I491" s="42"/>
      <c r="J491" s="42"/>
      <c r="K491" s="43"/>
      <c r="L491" s="43"/>
      <c r="M491" s="44" t="str">
        <f>IF(LayTable[[#This Row],[Sport]]="","",LayTable[[#This Row],[LayInnsats]]*(LayTable[[#This Row],[LayOdds]]-1))</f>
        <v/>
      </c>
      <c r="N491" s="45" t="str">
        <f>IF(LayTable[[#This Row],[Sport]]="","",1/((1/LayTable[[#This Row],[BookieOdds]])+(1/((1/((1+((LayTable[[#This Row],[LayOdds]]-1)*(1+LayTable[[#This Row],[C% Lay]])))-1))+1)))-1)</f>
        <v/>
      </c>
      <c r="Q491" s="46" t="str">
        <f>IF(LayTable[[#This Row],[Sport]]="","",LayTable[[#This Row],[BookieInnsats]]+LayTable[[#This Row],[LayLiability]])</f>
        <v/>
      </c>
      <c r="R4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1" s="47" t="str">
        <f>IF(LayTable[[#This Row],[Utfall bookie]]="","",LayTable[[#This Row],[WBABack]]+LayTable[[#This Row],[WBALay]]-LayTable[[#This Row],[Total inns]])</f>
        <v/>
      </c>
      <c r="U4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1" s="48" t="str">
        <f>IFERROR(IF(LayTable[[#This Row],[Total inns]]="","",LayTable[[#This Row],[Rback]]/LayTable[[#This Row],[Total inns]]),"")</f>
        <v/>
      </c>
      <c r="X491" s="48" t="str">
        <f>IFERROR(IF(LayTable[[#This Row],[Total inns]]="","",LayTable[[#This Row],[Rlay]]/LayTable[[#This Row],[Total inns]]),"")</f>
        <v/>
      </c>
      <c r="Y491" s="48" t="str">
        <f>IFERROR(LayTable[[#This Row],[Faktisk res]]/LayTable[[#This Row],[Total inns]],"")</f>
        <v/>
      </c>
      <c r="Z491" s="47">
        <f>(LayTable[[#This Row],[BookieInnsats]]*LayTable[[#This Row],[BookieOdds]]-LayTable[[#This Row],[BookieInnsats]])*(1-LayTable[[#This Row],[C% Bookie]])</f>
        <v>0</v>
      </c>
      <c r="AA491" s="43">
        <f>LayTable[[#This Row],[LayInnsats]]*(1-LayTable[[#This Row],[C% Lay]])</f>
        <v>0</v>
      </c>
      <c r="AB491" s="43" t="str">
        <f>IFERROR(IF(LayTable[[#This Row],[Sport]]="",AB490,LayTable[[#This Row],[Faktisk res]]+AB490),"")</f>
        <v/>
      </c>
      <c r="AC491" s="43">
        <f>(LayTable[[#This Row],[BackWin-Commission]]+LayTable[[#This Row],[BookieInnsats]])</f>
        <v>0</v>
      </c>
      <c r="AD491" s="43" t="e">
        <f>(LayTable[[#This Row],[LayWin-Commission]])+LayTable[[#This Row],[LayLiability]]</f>
        <v>#VALUE!</v>
      </c>
      <c r="AE491" s="181"/>
      <c r="AF491" s="181"/>
    </row>
    <row r="492" spans="1:32">
      <c r="A492" s="84"/>
      <c r="B492" s="177"/>
      <c r="C492" s="40"/>
      <c r="D492" s="41"/>
      <c r="E492" s="178"/>
      <c r="F492" s="251"/>
      <c r="G492" s="101"/>
      <c r="H492" s="38"/>
      <c r="I492" s="42"/>
      <c r="J492" s="42"/>
      <c r="K492" s="43"/>
      <c r="L492" s="43"/>
      <c r="M492" s="44" t="str">
        <f>IF(LayTable[[#This Row],[Sport]]="","",LayTable[[#This Row],[LayInnsats]]*(LayTable[[#This Row],[LayOdds]]-1))</f>
        <v/>
      </c>
      <c r="N492" s="45" t="str">
        <f>IF(LayTable[[#This Row],[Sport]]="","",1/((1/LayTable[[#This Row],[BookieOdds]])+(1/((1/((1+((LayTable[[#This Row],[LayOdds]]-1)*(1+LayTable[[#This Row],[C% Lay]])))-1))+1)))-1)</f>
        <v/>
      </c>
      <c r="Q492" s="46" t="str">
        <f>IF(LayTable[[#This Row],[Sport]]="","",LayTable[[#This Row],[BookieInnsats]]+LayTable[[#This Row],[LayLiability]])</f>
        <v/>
      </c>
      <c r="R4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2" s="47" t="str">
        <f>IF(LayTable[[#This Row],[Utfall bookie]]="","",LayTable[[#This Row],[WBABack]]+LayTable[[#This Row],[WBALay]]-LayTable[[#This Row],[Total inns]])</f>
        <v/>
      </c>
      <c r="U4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2" s="48" t="str">
        <f>IFERROR(IF(LayTable[[#This Row],[Total inns]]="","",LayTable[[#This Row],[Rback]]/LayTable[[#This Row],[Total inns]]),"")</f>
        <v/>
      </c>
      <c r="X492" s="48" t="str">
        <f>IFERROR(IF(LayTable[[#This Row],[Total inns]]="","",LayTable[[#This Row],[Rlay]]/LayTable[[#This Row],[Total inns]]),"")</f>
        <v/>
      </c>
      <c r="Y492" s="48" t="str">
        <f>IFERROR(LayTable[[#This Row],[Faktisk res]]/LayTable[[#This Row],[Total inns]],"")</f>
        <v/>
      </c>
      <c r="Z492" s="47">
        <f>(LayTable[[#This Row],[BookieInnsats]]*LayTable[[#This Row],[BookieOdds]]-LayTable[[#This Row],[BookieInnsats]])*(1-LayTable[[#This Row],[C% Bookie]])</f>
        <v>0</v>
      </c>
      <c r="AA492" s="43">
        <f>LayTable[[#This Row],[LayInnsats]]*(1-LayTable[[#This Row],[C% Lay]])</f>
        <v>0</v>
      </c>
      <c r="AB492" s="43" t="str">
        <f>IFERROR(IF(LayTable[[#This Row],[Sport]]="",AB491,LayTable[[#This Row],[Faktisk res]]+AB491),"")</f>
        <v/>
      </c>
      <c r="AC492" s="43">
        <f>(LayTable[[#This Row],[BackWin-Commission]]+LayTable[[#This Row],[BookieInnsats]])</f>
        <v>0</v>
      </c>
      <c r="AD492" s="43" t="e">
        <f>(LayTable[[#This Row],[LayWin-Commission]])+LayTable[[#This Row],[LayLiability]]</f>
        <v>#VALUE!</v>
      </c>
      <c r="AE492" s="181"/>
      <c r="AF492" s="181"/>
    </row>
    <row r="493" spans="1:32">
      <c r="A493" s="84"/>
      <c r="B493" s="177"/>
      <c r="C493" s="40"/>
      <c r="D493" s="41"/>
      <c r="E493" s="178"/>
      <c r="F493" s="251"/>
      <c r="G493" s="101"/>
      <c r="H493" s="38"/>
      <c r="I493" s="42"/>
      <c r="J493" s="42"/>
      <c r="K493" s="43"/>
      <c r="L493" s="43"/>
      <c r="M493" s="44" t="str">
        <f>IF(LayTable[[#This Row],[Sport]]="","",LayTable[[#This Row],[LayInnsats]]*(LayTable[[#This Row],[LayOdds]]-1))</f>
        <v/>
      </c>
      <c r="N493" s="45" t="str">
        <f>IF(LayTable[[#This Row],[Sport]]="","",1/((1/LayTable[[#This Row],[BookieOdds]])+(1/((1/((1+((LayTable[[#This Row],[LayOdds]]-1)*(1+LayTable[[#This Row],[C% Lay]])))-1))+1)))-1)</f>
        <v/>
      </c>
      <c r="Q493" s="46" t="str">
        <f>IF(LayTable[[#This Row],[Sport]]="","",LayTable[[#This Row],[BookieInnsats]]+LayTable[[#This Row],[LayLiability]])</f>
        <v/>
      </c>
      <c r="R4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3" s="47" t="str">
        <f>IF(LayTable[[#This Row],[Utfall bookie]]="","",LayTable[[#This Row],[WBABack]]+LayTable[[#This Row],[WBALay]]-LayTable[[#This Row],[Total inns]])</f>
        <v/>
      </c>
      <c r="U4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3" s="48" t="str">
        <f>IFERROR(IF(LayTable[[#This Row],[Total inns]]="","",LayTable[[#This Row],[Rback]]/LayTable[[#This Row],[Total inns]]),"")</f>
        <v/>
      </c>
      <c r="X493" s="48" t="str">
        <f>IFERROR(IF(LayTable[[#This Row],[Total inns]]="","",LayTable[[#This Row],[Rlay]]/LayTable[[#This Row],[Total inns]]),"")</f>
        <v/>
      </c>
      <c r="Y493" s="48" t="str">
        <f>IFERROR(LayTable[[#This Row],[Faktisk res]]/LayTable[[#This Row],[Total inns]],"")</f>
        <v/>
      </c>
      <c r="Z493" s="47">
        <f>(LayTable[[#This Row],[BookieInnsats]]*LayTable[[#This Row],[BookieOdds]]-LayTable[[#This Row],[BookieInnsats]])*(1-LayTable[[#This Row],[C% Bookie]])</f>
        <v>0</v>
      </c>
      <c r="AA493" s="43">
        <f>LayTable[[#This Row],[LayInnsats]]*(1-LayTable[[#This Row],[C% Lay]])</f>
        <v>0</v>
      </c>
      <c r="AB493" s="43" t="str">
        <f>IFERROR(IF(LayTable[[#This Row],[Sport]]="",AB492,LayTable[[#This Row],[Faktisk res]]+AB492),"")</f>
        <v/>
      </c>
      <c r="AC493" s="43">
        <f>(LayTable[[#This Row],[BackWin-Commission]]+LayTable[[#This Row],[BookieInnsats]])</f>
        <v>0</v>
      </c>
      <c r="AD493" s="43" t="e">
        <f>(LayTable[[#This Row],[LayWin-Commission]])+LayTable[[#This Row],[LayLiability]]</f>
        <v>#VALUE!</v>
      </c>
      <c r="AE493" s="181"/>
      <c r="AF493" s="181"/>
    </row>
    <row r="494" spans="1:32">
      <c r="A494" s="84"/>
      <c r="B494" s="177"/>
      <c r="C494" s="40"/>
      <c r="D494" s="41"/>
      <c r="E494" s="178"/>
      <c r="F494" s="251"/>
      <c r="G494" s="101"/>
      <c r="H494" s="38"/>
      <c r="I494" s="42"/>
      <c r="J494" s="42"/>
      <c r="K494" s="43"/>
      <c r="L494" s="43"/>
      <c r="M494" s="44" t="str">
        <f>IF(LayTable[[#This Row],[Sport]]="","",LayTable[[#This Row],[LayInnsats]]*(LayTable[[#This Row],[LayOdds]]-1))</f>
        <v/>
      </c>
      <c r="N494" s="45" t="str">
        <f>IF(LayTable[[#This Row],[Sport]]="","",1/((1/LayTable[[#This Row],[BookieOdds]])+(1/((1/((1+((LayTable[[#This Row],[LayOdds]]-1)*(1+LayTable[[#This Row],[C% Lay]])))-1))+1)))-1)</f>
        <v/>
      </c>
      <c r="Q494" s="46" t="str">
        <f>IF(LayTable[[#This Row],[Sport]]="","",LayTable[[#This Row],[BookieInnsats]]+LayTable[[#This Row],[LayLiability]])</f>
        <v/>
      </c>
      <c r="R4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4" s="47" t="str">
        <f>IF(LayTable[[#This Row],[Utfall bookie]]="","",LayTable[[#This Row],[WBABack]]+LayTable[[#This Row],[WBALay]]-LayTable[[#This Row],[Total inns]])</f>
        <v/>
      </c>
      <c r="U4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4" s="48" t="str">
        <f>IFERROR(IF(LayTable[[#This Row],[Total inns]]="","",LayTable[[#This Row],[Rback]]/LayTable[[#This Row],[Total inns]]),"")</f>
        <v/>
      </c>
      <c r="X494" s="48" t="str">
        <f>IFERROR(IF(LayTable[[#This Row],[Total inns]]="","",LayTable[[#This Row],[Rlay]]/LayTable[[#This Row],[Total inns]]),"")</f>
        <v/>
      </c>
      <c r="Y494" s="48" t="str">
        <f>IFERROR(LayTable[[#This Row],[Faktisk res]]/LayTable[[#This Row],[Total inns]],"")</f>
        <v/>
      </c>
      <c r="Z494" s="47">
        <f>(LayTable[[#This Row],[BookieInnsats]]*LayTable[[#This Row],[BookieOdds]]-LayTable[[#This Row],[BookieInnsats]])*(1-LayTable[[#This Row],[C% Bookie]])</f>
        <v>0</v>
      </c>
      <c r="AA494" s="43">
        <f>LayTable[[#This Row],[LayInnsats]]*(1-LayTable[[#This Row],[C% Lay]])</f>
        <v>0</v>
      </c>
      <c r="AB494" s="43" t="str">
        <f>IFERROR(IF(LayTable[[#This Row],[Sport]]="",AB493,LayTable[[#This Row],[Faktisk res]]+AB493),"")</f>
        <v/>
      </c>
      <c r="AC494" s="43">
        <f>(LayTable[[#This Row],[BackWin-Commission]]+LayTable[[#This Row],[BookieInnsats]])</f>
        <v>0</v>
      </c>
      <c r="AD494" s="43" t="e">
        <f>(LayTable[[#This Row],[LayWin-Commission]])+LayTable[[#This Row],[LayLiability]]</f>
        <v>#VALUE!</v>
      </c>
      <c r="AE494" s="309"/>
      <c r="AF494" s="181"/>
    </row>
    <row r="495" spans="1:32">
      <c r="A495" s="84"/>
      <c r="B495" s="177"/>
      <c r="C495" s="40"/>
      <c r="D495" s="41"/>
      <c r="E495" s="178"/>
      <c r="F495" s="251"/>
      <c r="G495" s="101"/>
      <c r="H495" s="38"/>
      <c r="I495" s="42"/>
      <c r="J495" s="42"/>
      <c r="K495" s="43"/>
      <c r="L495" s="43"/>
      <c r="M495" s="44" t="str">
        <f>IF(LayTable[[#This Row],[Sport]]="","",LayTable[[#This Row],[LayInnsats]]*(LayTable[[#This Row],[LayOdds]]-1))</f>
        <v/>
      </c>
      <c r="N495" s="45" t="str">
        <f>IF(LayTable[[#This Row],[Sport]]="","",1/((1/LayTable[[#This Row],[BookieOdds]])+(1/((1/((1+((LayTable[[#This Row],[LayOdds]]-1)*(1+LayTable[[#This Row],[C% Lay]])))-1))+1)))-1)</f>
        <v/>
      </c>
      <c r="Q495" s="46" t="str">
        <f>IF(LayTable[[#This Row],[Sport]]="","",LayTable[[#This Row],[BookieInnsats]]+LayTable[[#This Row],[LayLiability]])</f>
        <v/>
      </c>
      <c r="R4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5" s="47" t="str">
        <f>IF(LayTable[[#This Row],[Utfall bookie]]="","",LayTable[[#This Row],[WBABack]]+LayTable[[#This Row],[WBALay]]-LayTable[[#This Row],[Total inns]])</f>
        <v/>
      </c>
      <c r="U4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5" s="48" t="str">
        <f>IFERROR(IF(LayTable[[#This Row],[Total inns]]="","",LayTable[[#This Row],[Rback]]/LayTable[[#This Row],[Total inns]]),"")</f>
        <v/>
      </c>
      <c r="X495" s="48" t="str">
        <f>IFERROR(IF(LayTable[[#This Row],[Total inns]]="","",LayTable[[#This Row],[Rlay]]/LayTable[[#This Row],[Total inns]]),"")</f>
        <v/>
      </c>
      <c r="Y495" s="48" t="str">
        <f>IFERROR(LayTable[[#This Row],[Faktisk res]]/LayTable[[#This Row],[Total inns]],"")</f>
        <v/>
      </c>
      <c r="Z495" s="47">
        <f>(LayTable[[#This Row],[BookieInnsats]]*LayTable[[#This Row],[BookieOdds]]-LayTable[[#This Row],[BookieInnsats]])*(1-LayTable[[#This Row],[C% Bookie]])</f>
        <v>0</v>
      </c>
      <c r="AA495" s="43">
        <f>LayTable[[#This Row],[LayInnsats]]*(1-LayTable[[#This Row],[C% Lay]])</f>
        <v>0</v>
      </c>
      <c r="AB495" s="43" t="str">
        <f>IFERROR(IF(LayTable[[#This Row],[Sport]]="",AB494,LayTable[[#This Row],[Faktisk res]]+AB494),"")</f>
        <v/>
      </c>
      <c r="AC495" s="43">
        <f>(LayTable[[#This Row],[BackWin-Commission]]+LayTable[[#This Row],[BookieInnsats]])</f>
        <v>0</v>
      </c>
      <c r="AD495" s="43" t="e">
        <f>(LayTable[[#This Row],[LayWin-Commission]])+LayTable[[#This Row],[LayLiability]]</f>
        <v>#VALUE!</v>
      </c>
      <c r="AE495" s="181"/>
      <c r="AF495" s="181"/>
    </row>
    <row r="496" spans="1:32">
      <c r="A496" s="84"/>
      <c r="B496" s="177"/>
      <c r="C496" s="40"/>
      <c r="D496" s="41"/>
      <c r="E496" s="178"/>
      <c r="F496" s="251"/>
      <c r="G496" s="101"/>
      <c r="H496" s="38"/>
      <c r="I496" s="42"/>
      <c r="J496" s="42"/>
      <c r="K496" s="43"/>
      <c r="L496" s="43"/>
      <c r="M496" s="44" t="str">
        <f>IF(LayTable[[#This Row],[Sport]]="","",LayTable[[#This Row],[LayInnsats]]*(LayTable[[#This Row],[LayOdds]]-1))</f>
        <v/>
      </c>
      <c r="N496" s="45" t="str">
        <f>IF(LayTable[[#This Row],[Sport]]="","",1/((1/LayTable[[#This Row],[BookieOdds]])+(1/((1/((1+((LayTable[[#This Row],[LayOdds]]-1)*(1+LayTable[[#This Row],[C% Lay]])))-1))+1)))-1)</f>
        <v/>
      </c>
      <c r="Q496" s="46" t="str">
        <f>IF(LayTable[[#This Row],[Sport]]="","",LayTable[[#This Row],[BookieInnsats]]+LayTable[[#This Row],[LayLiability]])</f>
        <v/>
      </c>
      <c r="R4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6" s="47" t="str">
        <f>IF(LayTable[[#This Row],[Utfall bookie]]="","",LayTable[[#This Row],[WBABack]]+LayTable[[#This Row],[WBALay]]-LayTable[[#This Row],[Total inns]])</f>
        <v/>
      </c>
      <c r="U4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6" s="48" t="str">
        <f>IFERROR(IF(LayTable[[#This Row],[Total inns]]="","",LayTable[[#This Row],[Rback]]/LayTable[[#This Row],[Total inns]]),"")</f>
        <v/>
      </c>
      <c r="X496" s="48" t="str">
        <f>IFERROR(IF(LayTable[[#This Row],[Total inns]]="","",LayTable[[#This Row],[Rlay]]/LayTable[[#This Row],[Total inns]]),"")</f>
        <v/>
      </c>
      <c r="Y496" s="48" t="str">
        <f>IFERROR(LayTable[[#This Row],[Faktisk res]]/LayTable[[#This Row],[Total inns]],"")</f>
        <v/>
      </c>
      <c r="Z496" s="47">
        <f>(LayTable[[#This Row],[BookieInnsats]]*LayTable[[#This Row],[BookieOdds]]-LayTable[[#This Row],[BookieInnsats]])*(1-LayTable[[#This Row],[C% Bookie]])</f>
        <v>0</v>
      </c>
      <c r="AA496" s="43">
        <f>LayTable[[#This Row],[LayInnsats]]*(1-LayTable[[#This Row],[C% Lay]])</f>
        <v>0</v>
      </c>
      <c r="AB496" s="43" t="str">
        <f>IFERROR(IF(LayTable[[#This Row],[Sport]]="",AB495,LayTable[[#This Row],[Faktisk res]]+AB495),"")</f>
        <v/>
      </c>
      <c r="AC496" s="43">
        <f>(LayTable[[#This Row],[BackWin-Commission]]+LayTable[[#This Row],[BookieInnsats]])</f>
        <v>0</v>
      </c>
      <c r="AD496" s="43" t="e">
        <f>(LayTable[[#This Row],[LayWin-Commission]])+LayTable[[#This Row],[LayLiability]]</f>
        <v>#VALUE!</v>
      </c>
      <c r="AE496" s="181"/>
      <c r="AF496" s="181"/>
    </row>
    <row r="497" spans="1:32">
      <c r="A497" s="84"/>
      <c r="B497" s="177"/>
      <c r="C497" s="40"/>
      <c r="D497" s="41"/>
      <c r="E497" s="178"/>
      <c r="F497" s="251"/>
      <c r="G497" s="101"/>
      <c r="H497" s="38"/>
      <c r="I497" s="42"/>
      <c r="J497" s="42"/>
      <c r="K497" s="43"/>
      <c r="L497" s="43"/>
      <c r="M497" s="44" t="str">
        <f>IF(LayTable[[#This Row],[Sport]]="","",LayTable[[#This Row],[LayInnsats]]*(LayTable[[#This Row],[LayOdds]]-1))</f>
        <v/>
      </c>
      <c r="N497" s="45" t="str">
        <f>IF(LayTable[[#This Row],[Sport]]="","",1/((1/LayTable[[#This Row],[BookieOdds]])+(1/((1/((1+((LayTable[[#This Row],[LayOdds]]-1)*(1+LayTable[[#This Row],[C% Lay]])))-1))+1)))-1)</f>
        <v/>
      </c>
      <c r="Q497" s="46" t="str">
        <f>IF(LayTable[[#This Row],[Sport]]="","",LayTable[[#This Row],[BookieInnsats]]+LayTable[[#This Row],[LayLiability]])</f>
        <v/>
      </c>
      <c r="R4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7" s="47" t="str">
        <f>IF(LayTable[[#This Row],[Utfall bookie]]="","",LayTable[[#This Row],[WBABack]]+LayTable[[#This Row],[WBALay]]-LayTable[[#This Row],[Total inns]])</f>
        <v/>
      </c>
      <c r="U4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7" s="48" t="str">
        <f>IFERROR(IF(LayTable[[#This Row],[Total inns]]="","",LayTable[[#This Row],[Rback]]/LayTable[[#This Row],[Total inns]]),"")</f>
        <v/>
      </c>
      <c r="X497" s="48" t="str">
        <f>IFERROR(IF(LayTable[[#This Row],[Total inns]]="","",LayTable[[#This Row],[Rlay]]/LayTable[[#This Row],[Total inns]]),"")</f>
        <v/>
      </c>
      <c r="Y497" s="48" t="str">
        <f>IFERROR(LayTable[[#This Row],[Faktisk res]]/LayTable[[#This Row],[Total inns]],"")</f>
        <v/>
      </c>
      <c r="Z497" s="47">
        <f>(LayTable[[#This Row],[BookieInnsats]]*LayTable[[#This Row],[BookieOdds]]-LayTable[[#This Row],[BookieInnsats]])*(1-LayTable[[#This Row],[C% Bookie]])</f>
        <v>0</v>
      </c>
      <c r="AA497" s="43">
        <f>LayTable[[#This Row],[LayInnsats]]*(1-LayTable[[#This Row],[C% Lay]])</f>
        <v>0</v>
      </c>
      <c r="AB497" s="43" t="str">
        <f>IFERROR(IF(LayTable[[#This Row],[Sport]]="",AB496,LayTable[[#This Row],[Faktisk res]]+AB496),"")</f>
        <v/>
      </c>
      <c r="AC497" s="43">
        <f>(LayTable[[#This Row],[BackWin-Commission]]+LayTable[[#This Row],[BookieInnsats]])</f>
        <v>0</v>
      </c>
      <c r="AD497" s="43" t="e">
        <f>(LayTable[[#This Row],[LayWin-Commission]])+LayTable[[#This Row],[LayLiability]]</f>
        <v>#VALUE!</v>
      </c>
      <c r="AE497" s="181"/>
      <c r="AF497" s="181"/>
    </row>
    <row r="498" spans="1:32">
      <c r="A498" s="84"/>
      <c r="B498" s="177"/>
      <c r="C498" s="40"/>
      <c r="D498" s="41"/>
      <c r="E498" s="178"/>
      <c r="F498" s="251"/>
      <c r="G498" s="101"/>
      <c r="H498" s="38"/>
      <c r="I498" s="43"/>
      <c r="J498" s="43"/>
      <c r="K498" s="42"/>
      <c r="L498" s="42"/>
      <c r="M498" s="44" t="str">
        <f>IF(LayTable[[#This Row],[Sport]]="","",LayTable[[#This Row],[LayInnsats]]*(LayTable[[#This Row],[LayOdds]]-1))</f>
        <v/>
      </c>
      <c r="N498" s="45" t="str">
        <f>IF(LayTable[[#This Row],[Sport]]="","",1/((1/LayTable[[#This Row],[BookieOdds]])+(1/((1/((1+((LayTable[[#This Row],[LayOdds]]-1)*(1+LayTable[[#This Row],[C% Lay]])))-1))+1)))-1)</f>
        <v/>
      </c>
      <c r="Q498" s="46" t="str">
        <f>IF(LayTable[[#This Row],[Sport]]="","",LayTable[[#This Row],[BookieInnsats]]+LayTable[[#This Row],[LayLiability]])</f>
        <v/>
      </c>
      <c r="R4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8" s="47" t="str">
        <f>IF(LayTable[[#This Row],[Utfall bookie]]="","",LayTable[[#This Row],[WBABack]]+LayTable[[#This Row],[WBALay]]-LayTable[[#This Row],[Total inns]])</f>
        <v/>
      </c>
      <c r="U4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8" s="48" t="str">
        <f>IFERROR(IF(LayTable[[#This Row],[Total inns]]="","",LayTable[[#This Row],[Rback]]/LayTable[[#This Row],[Total inns]]),"")</f>
        <v/>
      </c>
      <c r="X498" s="48" t="str">
        <f>IFERROR(IF(LayTable[[#This Row],[Total inns]]="","",LayTable[[#This Row],[Rlay]]/LayTable[[#This Row],[Total inns]]),"")</f>
        <v/>
      </c>
      <c r="Y498" s="48" t="str">
        <f>IFERROR(LayTable[[#This Row],[Faktisk res]]/LayTable[[#This Row],[Total inns]],"")</f>
        <v/>
      </c>
      <c r="Z498" s="47">
        <f>(LayTable[[#This Row],[BookieInnsats]]*LayTable[[#This Row],[BookieOdds]]-LayTable[[#This Row],[BookieInnsats]])*(1-LayTable[[#This Row],[C% Bookie]])</f>
        <v>0</v>
      </c>
      <c r="AA498" s="43">
        <f>LayTable[[#This Row],[LayInnsats]]*(1-LayTable[[#This Row],[C% Lay]])</f>
        <v>0</v>
      </c>
      <c r="AB498" s="43" t="str">
        <f>IFERROR(IF(LayTable[[#This Row],[Sport]]="",#REF!,LayTable[[#This Row],[Faktisk res]]+#REF!),"")</f>
        <v/>
      </c>
      <c r="AC498" s="43">
        <f>(LayTable[[#This Row],[BackWin-Commission]]+LayTable[[#This Row],[BookieInnsats]])</f>
        <v>0</v>
      </c>
      <c r="AD498" s="43" t="e">
        <f>(LayTable[[#This Row],[LayWin-Commission]])+LayTable[[#This Row],[LayLiability]]</f>
        <v>#VALUE!</v>
      </c>
      <c r="AE498" s="181"/>
      <c r="AF498" s="181"/>
    </row>
    <row r="499" spans="1:32">
      <c r="A499" s="183"/>
      <c r="B499" s="177"/>
      <c r="C499" s="178"/>
      <c r="D499" s="41"/>
      <c r="E499" s="178"/>
      <c r="F499" s="251"/>
      <c r="G499" s="101"/>
      <c r="H499" s="38"/>
      <c r="I499" s="313"/>
      <c r="J499" s="313"/>
      <c r="K499" s="42"/>
      <c r="L499" s="42"/>
      <c r="M499" s="44" t="str">
        <f>IF(LayTable[[#This Row],[Sport]]="","",LayTable[[#This Row],[LayInnsats]]*(LayTable[[#This Row],[LayOdds]]-1))</f>
        <v/>
      </c>
      <c r="N499" s="45" t="str">
        <f>IF(LayTable[[#This Row],[Sport]]="","",1/((1/LayTable[[#This Row],[BookieOdds]])+(1/((1/((1+((LayTable[[#This Row],[LayOdds]]-1)*(1+LayTable[[#This Row],[C% Lay]])))-1))+1)))-1)</f>
        <v/>
      </c>
      <c r="Q499" s="46" t="str">
        <f>IF(LayTable[[#This Row],[Sport]]="","",LayTable[[#This Row],[BookieInnsats]]+LayTable[[#This Row],[LayLiability]])</f>
        <v/>
      </c>
      <c r="R4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4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499" s="47" t="str">
        <f>IF(LayTable[[#This Row],[Utfall bookie]]="","",LayTable[[#This Row],[WBABack]]+LayTable[[#This Row],[WBALay]]-LayTable[[#This Row],[Total inns]])</f>
        <v/>
      </c>
      <c r="U4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4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499" s="48" t="str">
        <f>IFERROR(IF(LayTable[[#This Row],[Total inns]]="","",LayTable[[#This Row],[Rback]]/LayTable[[#This Row],[Total inns]]),"")</f>
        <v/>
      </c>
      <c r="X499" s="48" t="str">
        <f>IFERROR(IF(LayTable[[#This Row],[Total inns]]="","",LayTable[[#This Row],[Rlay]]/LayTable[[#This Row],[Total inns]]),"")</f>
        <v/>
      </c>
      <c r="Y499" s="48" t="str">
        <f>IFERROR(LayTable[[#This Row],[Faktisk res]]/LayTable[[#This Row],[Total inns]],"")</f>
        <v/>
      </c>
      <c r="Z499" s="47">
        <f>(LayTable[[#This Row],[BookieInnsats]]*LayTable[[#This Row],[BookieOdds]]-LayTable[[#This Row],[BookieInnsats]])*(1-LayTable[[#This Row],[C% Bookie]])</f>
        <v>0</v>
      </c>
      <c r="AA499" s="43">
        <f>LayTable[[#This Row],[LayInnsats]]*(1-LayTable[[#This Row],[C% Lay]])</f>
        <v>0</v>
      </c>
      <c r="AB499" s="43" t="str">
        <f>IFERROR(IF(LayTable[[#This Row],[Sport]]="",AB498,LayTable[[#This Row],[Faktisk res]]+AB498),"")</f>
        <v/>
      </c>
      <c r="AC499" s="43">
        <f>(LayTable[[#This Row],[BackWin-Commission]]+LayTable[[#This Row],[BookieInnsats]])</f>
        <v>0</v>
      </c>
      <c r="AD499" s="43" t="e">
        <f>(LayTable[[#This Row],[LayWin-Commission]])+LayTable[[#This Row],[LayLiability]]</f>
        <v>#VALUE!</v>
      </c>
      <c r="AE499" s="181"/>
      <c r="AF499" s="181"/>
    </row>
    <row r="500" spans="1:32">
      <c r="A500" s="183"/>
      <c r="B500" s="177"/>
      <c r="C500" s="40"/>
      <c r="D500" s="41"/>
      <c r="E500" s="178"/>
      <c r="F500" s="251"/>
      <c r="G500" s="184"/>
      <c r="H500" s="176"/>
      <c r="I500" s="313"/>
      <c r="J500" s="313"/>
      <c r="K500" s="43"/>
      <c r="L500" s="43"/>
      <c r="M500" s="44" t="str">
        <f>IF(LayTable[[#This Row],[Sport]]="","",LayTable[[#This Row],[LayInnsats]]*(LayTable[[#This Row],[LayOdds]]-1))</f>
        <v/>
      </c>
      <c r="N500" s="45" t="str">
        <f>IF(LayTable[[#This Row],[Sport]]="","",1/((1/LayTable[[#This Row],[BookieOdds]])+(1/((1/((1+((LayTable[[#This Row],[LayOdds]]-1)*(1+LayTable[[#This Row],[C% Lay]])))-1))+1)))-1)</f>
        <v/>
      </c>
      <c r="Q500" s="46" t="str">
        <f>IF(LayTable[[#This Row],[Sport]]="","",LayTable[[#This Row],[BookieInnsats]]+LayTable[[#This Row],[LayLiability]])</f>
        <v/>
      </c>
      <c r="R5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0" s="47" t="str">
        <f>IF(LayTable[[#This Row],[Utfall bookie]]="","",LayTable[[#This Row],[WBABack]]+LayTable[[#This Row],[WBALay]]-LayTable[[#This Row],[Total inns]])</f>
        <v/>
      </c>
      <c r="U5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0" s="48" t="str">
        <f>IFERROR(IF(LayTable[[#This Row],[Total inns]]="","",LayTable[[#This Row],[Rback]]/LayTable[[#This Row],[Total inns]]),"")</f>
        <v/>
      </c>
      <c r="X500" s="48" t="str">
        <f>IFERROR(IF(LayTable[[#This Row],[Total inns]]="","",LayTable[[#This Row],[Rlay]]/LayTable[[#This Row],[Total inns]]),"")</f>
        <v/>
      </c>
      <c r="Y500" s="48" t="str">
        <f>IFERROR(LayTable[[#This Row],[Faktisk res]]/LayTable[[#This Row],[Total inns]],"")</f>
        <v/>
      </c>
      <c r="Z500" s="47">
        <f>(LayTable[[#This Row],[BookieInnsats]]*LayTable[[#This Row],[BookieOdds]]-LayTable[[#This Row],[BookieInnsats]])*(1-LayTable[[#This Row],[C% Bookie]])</f>
        <v>0</v>
      </c>
      <c r="AA500" s="43">
        <f>LayTable[[#This Row],[LayInnsats]]*(1-LayTable[[#This Row],[C% Lay]])</f>
        <v>0</v>
      </c>
      <c r="AB500" s="43" t="str">
        <f>IFERROR(IF(LayTable[[#This Row],[Sport]]="",AB499,LayTable[[#This Row],[Faktisk res]]+AB499),"")</f>
        <v/>
      </c>
      <c r="AC500" s="43">
        <f>(LayTable[[#This Row],[BackWin-Commission]]+LayTable[[#This Row],[BookieInnsats]])</f>
        <v>0</v>
      </c>
      <c r="AD500" s="43" t="e">
        <f>(LayTable[[#This Row],[LayWin-Commission]])+LayTable[[#This Row],[LayLiability]]</f>
        <v>#VALUE!</v>
      </c>
      <c r="AE500" s="181"/>
      <c r="AF500" s="181"/>
    </row>
    <row r="501" spans="1:32">
      <c r="A501" s="84"/>
      <c r="B501" s="177"/>
      <c r="C501" s="40"/>
      <c r="D501" s="41"/>
      <c r="E501" s="178"/>
      <c r="F501" s="251"/>
      <c r="G501" s="101"/>
      <c r="H501" s="38"/>
      <c r="I501" s="42"/>
      <c r="J501" s="42"/>
      <c r="K501" s="43"/>
      <c r="L501" s="43"/>
      <c r="M501" s="44" t="str">
        <f>IF(LayTable[[#This Row],[Sport]]="","",LayTable[[#This Row],[LayInnsats]]*(LayTable[[#This Row],[LayOdds]]-1))</f>
        <v/>
      </c>
      <c r="N501" s="45" t="str">
        <f>IF(LayTable[[#This Row],[Sport]]="","",1/((1/LayTable[[#This Row],[BookieOdds]])+(1/((1/((1+((LayTable[[#This Row],[LayOdds]]-1)*(1+LayTable[[#This Row],[C% Lay]])))-1))+1)))-1)</f>
        <v/>
      </c>
      <c r="Q501" s="46" t="str">
        <f>IF(LayTable[[#This Row],[Sport]]="","",LayTable[[#This Row],[BookieInnsats]]+LayTable[[#This Row],[LayLiability]])</f>
        <v/>
      </c>
      <c r="R5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1" s="47" t="str">
        <f>IF(LayTable[[#This Row],[Utfall bookie]]="","",LayTable[[#This Row],[WBABack]]+LayTable[[#This Row],[WBALay]]-LayTable[[#This Row],[Total inns]])</f>
        <v/>
      </c>
      <c r="U5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1" s="48" t="str">
        <f>IFERROR(IF(LayTable[[#This Row],[Total inns]]="","",LayTable[[#This Row],[Rback]]/LayTable[[#This Row],[Total inns]]),"")</f>
        <v/>
      </c>
      <c r="X501" s="48" t="str">
        <f>IFERROR(IF(LayTable[[#This Row],[Total inns]]="","",LayTable[[#This Row],[Rlay]]/LayTable[[#This Row],[Total inns]]),"")</f>
        <v/>
      </c>
      <c r="Y501" s="48" t="str">
        <f>IFERROR(LayTable[[#This Row],[Faktisk res]]/LayTable[[#This Row],[Total inns]],"")</f>
        <v/>
      </c>
      <c r="Z501" s="47">
        <f>(LayTable[[#This Row],[BookieInnsats]]*LayTable[[#This Row],[BookieOdds]]-LayTable[[#This Row],[BookieInnsats]])*(1-LayTable[[#This Row],[C% Bookie]])</f>
        <v>0</v>
      </c>
      <c r="AA501" s="43">
        <f>LayTable[[#This Row],[LayInnsats]]*(1-LayTable[[#This Row],[C% Lay]])</f>
        <v>0</v>
      </c>
      <c r="AB501" s="43" t="str">
        <f>IFERROR(IF(LayTable[[#This Row],[Sport]]="",AB500,LayTable[[#This Row],[Faktisk res]]+AB500),"")</f>
        <v/>
      </c>
      <c r="AC501" s="43">
        <f>(LayTable[[#This Row],[BackWin-Commission]]+LayTable[[#This Row],[BookieInnsats]])</f>
        <v>0</v>
      </c>
      <c r="AD501" s="43" t="e">
        <f>(LayTable[[#This Row],[LayWin-Commission]])+LayTable[[#This Row],[LayLiability]]</f>
        <v>#VALUE!</v>
      </c>
      <c r="AE501" s="181"/>
      <c r="AF501" s="181"/>
    </row>
    <row r="502" spans="1:32">
      <c r="A502" s="84"/>
      <c r="B502" s="177"/>
      <c r="C502" s="40"/>
      <c r="D502" s="41"/>
      <c r="E502" s="178"/>
      <c r="F502" s="251"/>
      <c r="G502" s="101"/>
      <c r="H502" s="38"/>
      <c r="I502" s="42"/>
      <c r="J502" s="42"/>
      <c r="K502" s="43"/>
      <c r="L502" s="43"/>
      <c r="M502" s="44" t="str">
        <f>IF(LayTable[[#This Row],[Sport]]="","",LayTable[[#This Row],[LayInnsats]]*(LayTable[[#This Row],[LayOdds]]-1))</f>
        <v/>
      </c>
      <c r="N502" s="45" t="str">
        <f>IF(LayTable[[#This Row],[Sport]]="","",1/((1/LayTable[[#This Row],[BookieOdds]])+(1/((1/((1+((LayTable[[#This Row],[LayOdds]]-1)*(1+LayTable[[#This Row],[C% Lay]])))-1))+1)))-1)</f>
        <v/>
      </c>
      <c r="Q502" s="46" t="str">
        <f>IF(LayTable[[#This Row],[Sport]]="","",LayTable[[#This Row],[BookieInnsats]]+LayTable[[#This Row],[LayLiability]])</f>
        <v/>
      </c>
      <c r="R5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2" s="47" t="str">
        <f>IF(LayTable[[#This Row],[Utfall bookie]]="","",LayTable[[#This Row],[WBABack]]+LayTable[[#This Row],[WBALay]]-LayTable[[#This Row],[Total inns]])</f>
        <v/>
      </c>
      <c r="U5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2" s="48" t="str">
        <f>IFERROR(IF(LayTable[[#This Row],[Total inns]]="","",LayTable[[#This Row],[Rback]]/LayTable[[#This Row],[Total inns]]),"")</f>
        <v/>
      </c>
      <c r="X502" s="48" t="str">
        <f>IFERROR(IF(LayTable[[#This Row],[Total inns]]="","",LayTable[[#This Row],[Rlay]]/LayTable[[#This Row],[Total inns]]),"")</f>
        <v/>
      </c>
      <c r="Y502" s="48" t="str">
        <f>IFERROR(LayTable[[#This Row],[Faktisk res]]/LayTable[[#This Row],[Total inns]],"")</f>
        <v/>
      </c>
      <c r="Z502" s="47">
        <f>(LayTable[[#This Row],[BookieInnsats]]*LayTable[[#This Row],[BookieOdds]]-LayTable[[#This Row],[BookieInnsats]])*(1-LayTable[[#This Row],[C% Bookie]])</f>
        <v>0</v>
      </c>
      <c r="AA502" s="43">
        <f>LayTable[[#This Row],[LayInnsats]]*(1-LayTable[[#This Row],[C% Lay]])</f>
        <v>0</v>
      </c>
      <c r="AB502" s="43" t="str">
        <f>IFERROR(IF(LayTable[[#This Row],[Sport]]="",AB501,LayTable[[#This Row],[Faktisk res]]+AB501),"")</f>
        <v/>
      </c>
      <c r="AC502" s="43">
        <f>(LayTable[[#This Row],[BackWin-Commission]]+LayTable[[#This Row],[BookieInnsats]])</f>
        <v>0</v>
      </c>
      <c r="AD502" s="43" t="e">
        <f>(LayTable[[#This Row],[LayWin-Commission]])+LayTable[[#This Row],[LayLiability]]</f>
        <v>#VALUE!</v>
      </c>
      <c r="AE502" s="181"/>
      <c r="AF502" s="181"/>
    </row>
    <row r="503" spans="1:32">
      <c r="A503" s="84"/>
      <c r="B503" s="177"/>
      <c r="C503" s="40"/>
      <c r="D503" s="41"/>
      <c r="E503" s="178"/>
      <c r="F503" s="251"/>
      <c r="G503" s="101"/>
      <c r="H503" s="38"/>
      <c r="I503" s="42"/>
      <c r="J503" s="42"/>
      <c r="K503" s="43"/>
      <c r="L503" s="43"/>
      <c r="M503" s="44" t="str">
        <f>IF(LayTable[[#This Row],[Sport]]="","",LayTable[[#This Row],[LayInnsats]]*(LayTable[[#This Row],[LayOdds]]-1))</f>
        <v/>
      </c>
      <c r="N503" s="45" t="str">
        <f>IF(LayTable[[#This Row],[Sport]]="","",1/((1/LayTable[[#This Row],[BookieOdds]])+(1/((1/((1+((LayTable[[#This Row],[LayOdds]]-1)*(1+LayTable[[#This Row],[C% Lay]])))-1))+1)))-1)</f>
        <v/>
      </c>
      <c r="Q503" s="46" t="str">
        <f>IF(LayTable[[#This Row],[Sport]]="","",LayTable[[#This Row],[BookieInnsats]]+LayTable[[#This Row],[LayLiability]])</f>
        <v/>
      </c>
      <c r="R5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3" s="47" t="str">
        <f>IF(LayTable[[#This Row],[Utfall bookie]]="","",LayTable[[#This Row],[WBABack]]+LayTable[[#This Row],[WBALay]]-LayTable[[#This Row],[Total inns]])</f>
        <v/>
      </c>
      <c r="U5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3" s="48" t="str">
        <f>IFERROR(IF(LayTable[[#This Row],[Total inns]]="","",LayTable[[#This Row],[Rback]]/LayTable[[#This Row],[Total inns]]),"")</f>
        <v/>
      </c>
      <c r="X503" s="48" t="str">
        <f>IFERROR(IF(LayTable[[#This Row],[Total inns]]="","",LayTable[[#This Row],[Rlay]]/LayTable[[#This Row],[Total inns]]),"")</f>
        <v/>
      </c>
      <c r="Y503" s="48" t="str">
        <f>IFERROR(LayTable[[#This Row],[Faktisk res]]/LayTable[[#This Row],[Total inns]],"")</f>
        <v/>
      </c>
      <c r="Z503" s="47">
        <f>(LayTable[[#This Row],[BookieInnsats]]*LayTable[[#This Row],[BookieOdds]]-LayTable[[#This Row],[BookieInnsats]])*(1-LayTable[[#This Row],[C% Bookie]])</f>
        <v>0</v>
      </c>
      <c r="AA503" s="43">
        <f>LayTable[[#This Row],[LayInnsats]]*(1-LayTable[[#This Row],[C% Lay]])</f>
        <v>0</v>
      </c>
      <c r="AB503" s="43" t="str">
        <f>IFERROR(IF(LayTable[[#This Row],[Sport]]="",AB502,LayTable[[#This Row],[Faktisk res]]+AB502),"")</f>
        <v/>
      </c>
      <c r="AC503" s="43">
        <f>(LayTable[[#This Row],[BackWin-Commission]]+LayTable[[#This Row],[BookieInnsats]])</f>
        <v>0</v>
      </c>
      <c r="AD503" s="43" t="e">
        <f>(LayTable[[#This Row],[LayWin-Commission]])+LayTable[[#This Row],[LayLiability]]</f>
        <v>#VALUE!</v>
      </c>
      <c r="AE503" s="181"/>
      <c r="AF503" s="181"/>
    </row>
    <row r="504" spans="1:32">
      <c r="A504" s="84"/>
      <c r="B504" s="177"/>
      <c r="C504" s="40"/>
      <c r="D504" s="41"/>
      <c r="E504" s="178"/>
      <c r="F504" s="251"/>
      <c r="G504" s="101"/>
      <c r="H504" s="38"/>
      <c r="I504" s="42"/>
      <c r="J504" s="42"/>
      <c r="K504" s="43"/>
      <c r="L504" s="43"/>
      <c r="M504" s="44" t="str">
        <f>IF(LayTable[[#This Row],[Sport]]="","",LayTable[[#This Row],[LayInnsats]]*(LayTable[[#This Row],[LayOdds]]-1))</f>
        <v/>
      </c>
      <c r="N504" s="45" t="str">
        <f>IF(LayTable[[#This Row],[Sport]]="","",1/((1/LayTable[[#This Row],[BookieOdds]])+(1/((1/((1+((LayTable[[#This Row],[LayOdds]]-1)*(1+LayTable[[#This Row],[C% Lay]])))-1))+1)))-1)</f>
        <v/>
      </c>
      <c r="Q504" s="46" t="str">
        <f>IF(LayTable[[#This Row],[Sport]]="","",LayTable[[#This Row],[BookieInnsats]]+LayTable[[#This Row],[LayLiability]])</f>
        <v/>
      </c>
      <c r="R5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4" s="47" t="str">
        <f>IF(LayTable[[#This Row],[Utfall bookie]]="","",LayTable[[#This Row],[WBABack]]+LayTable[[#This Row],[WBALay]]-LayTable[[#This Row],[Total inns]])</f>
        <v/>
      </c>
      <c r="U5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4" s="48" t="str">
        <f>IFERROR(IF(LayTable[[#This Row],[Total inns]]="","",LayTable[[#This Row],[Rback]]/LayTable[[#This Row],[Total inns]]),"")</f>
        <v/>
      </c>
      <c r="X504" s="48" t="str">
        <f>IFERROR(IF(LayTable[[#This Row],[Total inns]]="","",LayTable[[#This Row],[Rlay]]/LayTable[[#This Row],[Total inns]]),"")</f>
        <v/>
      </c>
      <c r="Y504" s="48" t="str">
        <f>IFERROR(LayTable[[#This Row],[Faktisk res]]/LayTable[[#This Row],[Total inns]],"")</f>
        <v/>
      </c>
      <c r="Z504" s="47">
        <f>(LayTable[[#This Row],[BookieInnsats]]*LayTable[[#This Row],[BookieOdds]]-LayTable[[#This Row],[BookieInnsats]])*(1-LayTable[[#This Row],[C% Bookie]])</f>
        <v>0</v>
      </c>
      <c r="AA504" s="43">
        <f>LayTable[[#This Row],[LayInnsats]]*(1-LayTable[[#This Row],[C% Lay]])</f>
        <v>0</v>
      </c>
      <c r="AB504" s="43" t="str">
        <f>IFERROR(IF(LayTable[[#This Row],[Sport]]="",AB503,LayTable[[#This Row],[Faktisk res]]+AB503),"")</f>
        <v/>
      </c>
      <c r="AC504" s="43">
        <f>(LayTable[[#This Row],[BackWin-Commission]]+LayTable[[#This Row],[BookieInnsats]])</f>
        <v>0</v>
      </c>
      <c r="AD504" s="43" t="e">
        <f>(LayTable[[#This Row],[LayWin-Commission]])+LayTable[[#This Row],[LayLiability]]</f>
        <v>#VALUE!</v>
      </c>
      <c r="AE504" s="181"/>
      <c r="AF504" s="309"/>
    </row>
    <row r="505" spans="1:32">
      <c r="A505" s="84"/>
      <c r="B505" s="177"/>
      <c r="C505" s="40"/>
      <c r="D505" s="41"/>
      <c r="E505" s="178"/>
      <c r="F505" s="251"/>
      <c r="G505" s="101"/>
      <c r="H505" s="38"/>
      <c r="I505" s="42"/>
      <c r="J505" s="42"/>
      <c r="K505" s="43"/>
      <c r="L505" s="43"/>
      <c r="M505" s="44" t="str">
        <f>IF(LayTable[[#This Row],[Sport]]="","",LayTable[[#This Row],[LayInnsats]]*(LayTable[[#This Row],[LayOdds]]-1))</f>
        <v/>
      </c>
      <c r="N505" s="45" t="str">
        <f>IF(LayTable[[#This Row],[Sport]]="","",1/((1/LayTable[[#This Row],[BookieOdds]])+(1/((1/((1+((LayTable[[#This Row],[LayOdds]]-1)*(1+LayTable[[#This Row],[C% Lay]])))-1))+1)))-1)</f>
        <v/>
      </c>
      <c r="Q505" s="46" t="str">
        <f>IF(LayTable[[#This Row],[Sport]]="","",LayTable[[#This Row],[BookieInnsats]]+LayTable[[#This Row],[LayLiability]])</f>
        <v/>
      </c>
      <c r="R5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5" s="47" t="str">
        <f>IF(LayTable[[#This Row],[Utfall bookie]]="","",LayTable[[#This Row],[WBABack]]+LayTable[[#This Row],[WBALay]]-LayTable[[#This Row],[Total inns]])</f>
        <v/>
      </c>
      <c r="U5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5" s="48" t="str">
        <f>IFERROR(IF(LayTable[[#This Row],[Total inns]]="","",LayTable[[#This Row],[Rback]]/LayTable[[#This Row],[Total inns]]),"")</f>
        <v/>
      </c>
      <c r="X505" s="48" t="str">
        <f>IFERROR(IF(LayTable[[#This Row],[Total inns]]="","",LayTable[[#This Row],[Rlay]]/LayTable[[#This Row],[Total inns]]),"")</f>
        <v/>
      </c>
      <c r="Y505" s="48" t="str">
        <f>IFERROR(LayTable[[#This Row],[Faktisk res]]/LayTable[[#This Row],[Total inns]],"")</f>
        <v/>
      </c>
      <c r="Z505" s="47">
        <f>(LayTable[[#This Row],[BookieInnsats]]*LayTable[[#This Row],[BookieOdds]]-LayTable[[#This Row],[BookieInnsats]])*(1-LayTable[[#This Row],[C% Bookie]])</f>
        <v>0</v>
      </c>
      <c r="AA505" s="43">
        <f>LayTable[[#This Row],[LayInnsats]]*(1-LayTable[[#This Row],[C% Lay]])</f>
        <v>0</v>
      </c>
      <c r="AB505" s="43" t="str">
        <f>IFERROR(IF(LayTable[[#This Row],[Sport]]="",AB504,LayTable[[#This Row],[Faktisk res]]+AB504),"")</f>
        <v/>
      </c>
      <c r="AC505" s="43">
        <f>(LayTable[[#This Row],[BackWin-Commission]]+LayTable[[#This Row],[BookieInnsats]])</f>
        <v>0</v>
      </c>
      <c r="AD505" s="43" t="e">
        <f>(LayTable[[#This Row],[LayWin-Commission]])+LayTable[[#This Row],[LayLiability]]</f>
        <v>#VALUE!</v>
      </c>
      <c r="AE505" s="181"/>
      <c r="AF505" s="309"/>
    </row>
    <row r="506" spans="1:32">
      <c r="A506" s="84"/>
      <c r="B506" s="177"/>
      <c r="C506" s="40"/>
      <c r="D506" s="41"/>
      <c r="E506" s="178"/>
      <c r="F506" s="251"/>
      <c r="G506" s="101"/>
      <c r="H506" s="38"/>
      <c r="I506" s="42"/>
      <c r="J506" s="42"/>
      <c r="K506" s="43"/>
      <c r="L506" s="43"/>
      <c r="M506" s="44" t="str">
        <f>IF(LayTable[[#This Row],[Sport]]="","",LayTable[[#This Row],[LayInnsats]]*(LayTable[[#This Row],[LayOdds]]-1))</f>
        <v/>
      </c>
      <c r="N506" s="45" t="str">
        <f>IF(LayTable[[#This Row],[Sport]]="","",1/((1/LayTable[[#This Row],[BookieOdds]])+(1/((1/((1+((LayTable[[#This Row],[LayOdds]]-1)*(1+LayTable[[#This Row],[C% Lay]])))-1))+1)))-1)</f>
        <v/>
      </c>
      <c r="Q506" s="46" t="str">
        <f>IF(LayTable[[#This Row],[Sport]]="","",LayTable[[#This Row],[BookieInnsats]]+LayTable[[#This Row],[LayLiability]])</f>
        <v/>
      </c>
      <c r="R5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6" s="47" t="str">
        <f>IF(LayTable[[#This Row],[Utfall bookie]]="","",LayTable[[#This Row],[WBABack]]+LayTable[[#This Row],[WBALay]]-LayTable[[#This Row],[Total inns]])</f>
        <v/>
      </c>
      <c r="U5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6" s="48" t="str">
        <f>IFERROR(IF(LayTable[[#This Row],[Total inns]]="","",LayTable[[#This Row],[Rback]]/LayTable[[#This Row],[Total inns]]),"")</f>
        <v/>
      </c>
      <c r="X506" s="48" t="str">
        <f>IFERROR(IF(LayTable[[#This Row],[Total inns]]="","",LayTable[[#This Row],[Rlay]]/LayTable[[#This Row],[Total inns]]),"")</f>
        <v/>
      </c>
      <c r="Y506" s="48" t="str">
        <f>IFERROR(LayTable[[#This Row],[Faktisk res]]/LayTable[[#This Row],[Total inns]],"")</f>
        <v/>
      </c>
      <c r="Z506" s="47">
        <f>(LayTable[[#This Row],[BookieInnsats]]*LayTable[[#This Row],[BookieOdds]]-LayTable[[#This Row],[BookieInnsats]])*(1-LayTable[[#This Row],[C% Bookie]])</f>
        <v>0</v>
      </c>
      <c r="AA506" s="43">
        <f>LayTable[[#This Row],[LayInnsats]]*(1-LayTable[[#This Row],[C% Lay]])</f>
        <v>0</v>
      </c>
      <c r="AB506" s="43" t="str">
        <f>IFERROR(IF(LayTable[[#This Row],[Sport]]="",AB505,LayTable[[#This Row],[Faktisk res]]+AB505),"")</f>
        <v/>
      </c>
      <c r="AC506" s="43">
        <f>(LayTable[[#This Row],[BackWin-Commission]]+LayTable[[#This Row],[BookieInnsats]])</f>
        <v>0</v>
      </c>
      <c r="AD506" s="43" t="e">
        <f>(LayTable[[#This Row],[LayWin-Commission]])+LayTable[[#This Row],[LayLiability]]</f>
        <v>#VALUE!</v>
      </c>
      <c r="AE506" s="181"/>
      <c r="AF506" s="309"/>
    </row>
    <row r="507" spans="1:32">
      <c r="A507" s="84"/>
      <c r="B507" s="177"/>
      <c r="C507" s="40"/>
      <c r="D507" s="41"/>
      <c r="E507" s="178"/>
      <c r="F507" s="251"/>
      <c r="G507" s="101"/>
      <c r="H507" s="38"/>
      <c r="I507" s="42"/>
      <c r="J507" s="42"/>
      <c r="K507" s="43"/>
      <c r="L507" s="43"/>
      <c r="M507" s="44" t="str">
        <f>IF(LayTable[[#This Row],[Sport]]="","",LayTable[[#This Row],[LayInnsats]]*(LayTable[[#This Row],[LayOdds]]-1))</f>
        <v/>
      </c>
      <c r="N507" s="45" t="str">
        <f>IF(LayTable[[#This Row],[Sport]]="","",1/((1/LayTable[[#This Row],[BookieOdds]])+(1/((1/((1+((LayTable[[#This Row],[LayOdds]]-1)*(1+LayTable[[#This Row],[C% Lay]])))-1))+1)))-1)</f>
        <v/>
      </c>
      <c r="Q507" s="46" t="str">
        <f>IF(LayTable[[#This Row],[Sport]]="","",LayTable[[#This Row],[BookieInnsats]]+LayTable[[#This Row],[LayLiability]])</f>
        <v/>
      </c>
      <c r="R5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7" s="47" t="str">
        <f>IF(LayTable[[#This Row],[Utfall bookie]]="","",LayTable[[#This Row],[WBABack]]+LayTable[[#This Row],[WBALay]]-LayTable[[#This Row],[Total inns]])</f>
        <v/>
      </c>
      <c r="U5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7" s="48" t="str">
        <f>IFERROR(IF(LayTable[[#This Row],[Total inns]]="","",LayTable[[#This Row],[Rback]]/LayTable[[#This Row],[Total inns]]),"")</f>
        <v/>
      </c>
      <c r="X507" s="48" t="str">
        <f>IFERROR(IF(LayTable[[#This Row],[Total inns]]="","",LayTable[[#This Row],[Rlay]]/LayTable[[#This Row],[Total inns]]),"")</f>
        <v/>
      </c>
      <c r="Y507" s="48" t="str">
        <f>IFERROR(LayTable[[#This Row],[Faktisk res]]/LayTable[[#This Row],[Total inns]],"")</f>
        <v/>
      </c>
      <c r="Z507" s="47">
        <f>(LayTable[[#This Row],[BookieInnsats]]*LayTable[[#This Row],[BookieOdds]]-LayTable[[#This Row],[BookieInnsats]])*(1-LayTable[[#This Row],[C% Bookie]])</f>
        <v>0</v>
      </c>
      <c r="AA507" s="43">
        <f>LayTable[[#This Row],[LayInnsats]]*(1-LayTable[[#This Row],[C% Lay]])</f>
        <v>0</v>
      </c>
      <c r="AB507" s="43" t="str">
        <f>IFERROR(IF(LayTable[[#This Row],[Sport]]="",AB506,LayTable[[#This Row],[Faktisk res]]+AB506),"")</f>
        <v/>
      </c>
      <c r="AC507" s="43">
        <f>(LayTable[[#This Row],[BackWin-Commission]]+LayTable[[#This Row],[BookieInnsats]])</f>
        <v>0</v>
      </c>
      <c r="AD507" s="43" t="e">
        <f>(LayTable[[#This Row],[LayWin-Commission]])+LayTable[[#This Row],[LayLiability]]</f>
        <v>#VALUE!</v>
      </c>
      <c r="AE507" s="181"/>
      <c r="AF507" s="309"/>
    </row>
    <row r="508" spans="1:32">
      <c r="A508" s="183"/>
      <c r="B508" s="177"/>
      <c r="C508" s="40"/>
      <c r="D508" s="41"/>
      <c r="E508" s="178"/>
      <c r="F508" s="251"/>
      <c r="G508" s="101"/>
      <c r="H508" s="38"/>
      <c r="I508" s="42"/>
      <c r="J508" s="42"/>
      <c r="K508" s="43"/>
      <c r="L508" s="43"/>
      <c r="M508" s="44" t="str">
        <f>IF(LayTable[[#This Row],[Sport]]="","",LayTable[[#This Row],[LayInnsats]]*(LayTable[[#This Row],[LayOdds]]-1))</f>
        <v/>
      </c>
      <c r="N508" s="45" t="str">
        <f>IF(LayTable[[#This Row],[Sport]]="","",1/((1/LayTable[[#This Row],[BookieOdds]])+(1/((1/((1+((LayTable[[#This Row],[LayOdds]]-1)*(1+LayTable[[#This Row],[C% Lay]])))-1))+1)))-1)</f>
        <v/>
      </c>
      <c r="Q508" s="46" t="str">
        <f>IF(LayTable[[#This Row],[Sport]]="","",LayTable[[#This Row],[BookieInnsats]]+LayTable[[#This Row],[LayLiability]])</f>
        <v/>
      </c>
      <c r="R5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8" s="47" t="str">
        <f>IF(LayTable[[#This Row],[Utfall bookie]]="","",LayTable[[#This Row],[WBABack]]+LayTable[[#This Row],[WBALay]]-LayTable[[#This Row],[Total inns]])</f>
        <v/>
      </c>
      <c r="U5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8" s="48" t="str">
        <f>IFERROR(IF(LayTable[[#This Row],[Total inns]]="","",LayTable[[#This Row],[Rback]]/LayTable[[#This Row],[Total inns]]),"")</f>
        <v/>
      </c>
      <c r="X508" s="48" t="str">
        <f>IFERROR(IF(LayTable[[#This Row],[Total inns]]="","",LayTable[[#This Row],[Rlay]]/LayTable[[#This Row],[Total inns]]),"")</f>
        <v/>
      </c>
      <c r="Y508" s="48" t="str">
        <f>IFERROR(LayTable[[#This Row],[Faktisk res]]/LayTable[[#This Row],[Total inns]],"")</f>
        <v/>
      </c>
      <c r="Z508" s="47">
        <f>(LayTable[[#This Row],[BookieInnsats]]*LayTable[[#This Row],[BookieOdds]]-LayTable[[#This Row],[BookieInnsats]])*(1-LayTable[[#This Row],[C% Bookie]])</f>
        <v>0</v>
      </c>
      <c r="AA508" s="43">
        <f>LayTable[[#This Row],[LayInnsats]]*(1-LayTable[[#This Row],[C% Lay]])</f>
        <v>0</v>
      </c>
      <c r="AB508" s="43" t="str">
        <f>IFERROR(IF(LayTable[[#This Row],[Sport]]="",AB507,LayTable[[#This Row],[Faktisk res]]+AB507),"")</f>
        <v/>
      </c>
      <c r="AC508" s="43">
        <f>(LayTable[[#This Row],[BackWin-Commission]]+LayTable[[#This Row],[BookieInnsats]])</f>
        <v>0</v>
      </c>
      <c r="AD508" s="43" t="e">
        <f>(LayTable[[#This Row],[LayWin-Commission]])+LayTable[[#This Row],[LayLiability]]</f>
        <v>#VALUE!</v>
      </c>
      <c r="AE508" s="181"/>
      <c r="AF508" s="309"/>
    </row>
    <row r="509" spans="1:32">
      <c r="A509" s="183"/>
      <c r="B509" s="177"/>
      <c r="C509" s="40"/>
      <c r="D509" s="41"/>
      <c r="E509" s="178"/>
      <c r="F509" s="251"/>
      <c r="G509" s="101"/>
      <c r="H509" s="38"/>
      <c r="I509" s="42"/>
      <c r="J509" s="42"/>
      <c r="K509" s="43"/>
      <c r="L509" s="43"/>
      <c r="M509" s="44" t="str">
        <f>IF(LayTable[[#This Row],[Sport]]="","",LayTable[[#This Row],[LayInnsats]]*(LayTable[[#This Row],[LayOdds]]-1))</f>
        <v/>
      </c>
      <c r="N509" s="45" t="str">
        <f>IF(LayTable[[#This Row],[Sport]]="","",1/((1/LayTable[[#This Row],[BookieOdds]])+(1/((1/((1+((LayTable[[#This Row],[LayOdds]]-1)*(1+LayTable[[#This Row],[C% Lay]])))-1))+1)))-1)</f>
        <v/>
      </c>
      <c r="Q509" s="46" t="str">
        <f>IF(LayTable[[#This Row],[Sport]]="","",LayTable[[#This Row],[BookieInnsats]]+LayTable[[#This Row],[LayLiability]])</f>
        <v/>
      </c>
      <c r="R5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09" s="47" t="str">
        <f>IF(LayTable[[#This Row],[Utfall bookie]]="","",LayTable[[#This Row],[WBABack]]+LayTable[[#This Row],[WBALay]]-LayTable[[#This Row],[Total inns]])</f>
        <v/>
      </c>
      <c r="U5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09" s="48" t="str">
        <f>IFERROR(IF(LayTable[[#This Row],[Total inns]]="","",LayTable[[#This Row],[Rback]]/LayTable[[#This Row],[Total inns]]),"")</f>
        <v/>
      </c>
      <c r="X509" s="48" t="str">
        <f>IFERROR(IF(LayTable[[#This Row],[Total inns]]="","",LayTable[[#This Row],[Rlay]]/LayTable[[#This Row],[Total inns]]),"")</f>
        <v/>
      </c>
      <c r="Y509" s="48" t="str">
        <f>IFERROR(LayTable[[#This Row],[Faktisk res]]/LayTable[[#This Row],[Total inns]],"")</f>
        <v/>
      </c>
      <c r="Z509" s="47">
        <f>(LayTable[[#This Row],[BookieInnsats]]*LayTable[[#This Row],[BookieOdds]]-LayTable[[#This Row],[BookieInnsats]])*(1-LayTable[[#This Row],[C% Bookie]])</f>
        <v>0</v>
      </c>
      <c r="AA509" s="43">
        <f>LayTable[[#This Row],[LayInnsats]]*(1-LayTable[[#This Row],[C% Lay]])</f>
        <v>0</v>
      </c>
      <c r="AB509" s="43" t="str">
        <f>IFERROR(IF(LayTable[[#This Row],[Sport]]="",AB508,LayTable[[#This Row],[Faktisk res]]+AB508),"")</f>
        <v/>
      </c>
      <c r="AC509" s="43">
        <f>(LayTable[[#This Row],[BackWin-Commission]]+LayTable[[#This Row],[BookieInnsats]])</f>
        <v>0</v>
      </c>
      <c r="AD509" s="43" t="e">
        <f>(LayTable[[#This Row],[LayWin-Commission]])+LayTable[[#This Row],[LayLiability]]</f>
        <v>#VALUE!</v>
      </c>
      <c r="AE509" s="181"/>
      <c r="AF509" s="309"/>
    </row>
    <row r="510" spans="1:32">
      <c r="A510" s="183"/>
      <c r="B510" s="177"/>
      <c r="C510" s="40"/>
      <c r="D510" s="41"/>
      <c r="E510" s="178"/>
      <c r="F510" s="251"/>
      <c r="G510" s="101"/>
      <c r="H510" s="38"/>
      <c r="I510" s="42"/>
      <c r="J510" s="42"/>
      <c r="K510" s="43"/>
      <c r="L510" s="43"/>
      <c r="M510" s="44" t="str">
        <f>IF(LayTable[[#This Row],[Sport]]="","",LayTable[[#This Row],[LayInnsats]]*(LayTable[[#This Row],[LayOdds]]-1))</f>
        <v/>
      </c>
      <c r="N510" s="45" t="str">
        <f>IF(LayTable[[#This Row],[Sport]]="","",1/((1/LayTable[[#This Row],[BookieOdds]])+(1/((1/((1+((LayTable[[#This Row],[LayOdds]]-1)*(1+LayTable[[#This Row],[C% Lay]])))-1))+1)))-1)</f>
        <v/>
      </c>
      <c r="Q510" s="46" t="str">
        <f>IF(LayTable[[#This Row],[Sport]]="","",LayTable[[#This Row],[BookieInnsats]]+LayTable[[#This Row],[LayLiability]])</f>
        <v/>
      </c>
      <c r="R5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0" s="47" t="str">
        <f>IF(LayTable[[#This Row],[Utfall bookie]]="","",LayTable[[#This Row],[WBABack]]+LayTable[[#This Row],[WBALay]]-LayTable[[#This Row],[Total inns]])</f>
        <v/>
      </c>
      <c r="U5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0" s="48" t="str">
        <f>IFERROR(IF(LayTable[[#This Row],[Total inns]]="","",LayTable[[#This Row],[Rback]]/LayTable[[#This Row],[Total inns]]),"")</f>
        <v/>
      </c>
      <c r="X510" s="48" t="str">
        <f>IFERROR(IF(LayTable[[#This Row],[Total inns]]="","",LayTable[[#This Row],[Rlay]]/LayTable[[#This Row],[Total inns]]),"")</f>
        <v/>
      </c>
      <c r="Y510" s="48" t="str">
        <f>IFERROR(LayTable[[#This Row],[Faktisk res]]/LayTable[[#This Row],[Total inns]],"")</f>
        <v/>
      </c>
      <c r="Z510" s="47">
        <f>(LayTable[[#This Row],[BookieInnsats]]*LayTable[[#This Row],[BookieOdds]]-LayTable[[#This Row],[BookieInnsats]])*(1-LayTable[[#This Row],[C% Bookie]])</f>
        <v>0</v>
      </c>
      <c r="AA510" s="43">
        <f>LayTable[[#This Row],[LayInnsats]]*(1-LayTable[[#This Row],[C% Lay]])</f>
        <v>0</v>
      </c>
      <c r="AB510" s="43" t="str">
        <f>IFERROR(IF(LayTable[[#This Row],[Sport]]="",AB509,LayTable[[#This Row],[Faktisk res]]+AB509),"")</f>
        <v/>
      </c>
      <c r="AC510" s="43">
        <f>(LayTable[[#This Row],[BackWin-Commission]]+LayTable[[#This Row],[BookieInnsats]])</f>
        <v>0</v>
      </c>
      <c r="AD510" s="43" t="e">
        <f>(LayTable[[#This Row],[LayWin-Commission]])+LayTable[[#This Row],[LayLiability]]</f>
        <v>#VALUE!</v>
      </c>
      <c r="AE510" s="181"/>
      <c r="AF510" s="309"/>
    </row>
    <row r="511" spans="1:32">
      <c r="A511" s="183"/>
      <c r="B511" s="177"/>
      <c r="C511" s="40"/>
      <c r="D511" s="41"/>
      <c r="E511" s="178"/>
      <c r="F511" s="251"/>
      <c r="G511" s="101"/>
      <c r="H511" s="38"/>
      <c r="I511" s="42"/>
      <c r="J511" s="42"/>
      <c r="K511" s="43"/>
      <c r="L511" s="43"/>
      <c r="M511" s="44" t="str">
        <f>IF(LayTable[[#This Row],[Sport]]="","",LayTable[[#This Row],[LayInnsats]]*(LayTable[[#This Row],[LayOdds]]-1))</f>
        <v/>
      </c>
      <c r="N511" s="45" t="str">
        <f>IF(LayTable[[#This Row],[Sport]]="","",1/((1/LayTable[[#This Row],[BookieOdds]])+(1/((1/((1+((LayTable[[#This Row],[LayOdds]]-1)*(1+LayTable[[#This Row],[C% Lay]])))-1))+1)))-1)</f>
        <v/>
      </c>
      <c r="Q511" s="46" t="str">
        <f>IF(LayTable[[#This Row],[Sport]]="","",LayTable[[#This Row],[BookieInnsats]]+LayTable[[#This Row],[LayLiability]])</f>
        <v/>
      </c>
      <c r="R5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1" s="47" t="str">
        <f>IF(LayTable[[#This Row],[Utfall bookie]]="","",LayTable[[#This Row],[WBABack]]+LayTable[[#This Row],[WBALay]]-LayTable[[#This Row],[Total inns]])</f>
        <v/>
      </c>
      <c r="U5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1" s="48" t="str">
        <f>IFERROR(IF(LayTable[[#This Row],[Total inns]]="","",LayTable[[#This Row],[Rback]]/LayTable[[#This Row],[Total inns]]),"")</f>
        <v/>
      </c>
      <c r="X511" s="48" t="str">
        <f>IFERROR(IF(LayTable[[#This Row],[Total inns]]="","",LayTable[[#This Row],[Rlay]]/LayTable[[#This Row],[Total inns]]),"")</f>
        <v/>
      </c>
      <c r="Y511" s="48" t="str">
        <f>IFERROR(LayTable[[#This Row],[Faktisk res]]/LayTable[[#This Row],[Total inns]],"")</f>
        <v/>
      </c>
      <c r="Z511" s="47">
        <f>(LayTable[[#This Row],[BookieInnsats]]*LayTable[[#This Row],[BookieOdds]]-LayTable[[#This Row],[BookieInnsats]])*(1-LayTable[[#This Row],[C% Bookie]])</f>
        <v>0</v>
      </c>
      <c r="AA511" s="43">
        <f>LayTable[[#This Row],[LayInnsats]]*(1-LayTable[[#This Row],[C% Lay]])</f>
        <v>0</v>
      </c>
      <c r="AB511" s="43" t="str">
        <f>IFERROR(IF(LayTable[[#This Row],[Sport]]="",AB510,LayTable[[#This Row],[Faktisk res]]+AB510),"")</f>
        <v/>
      </c>
      <c r="AC511" s="43">
        <f>(LayTable[[#This Row],[BackWin-Commission]]+LayTable[[#This Row],[BookieInnsats]])</f>
        <v>0</v>
      </c>
      <c r="AD511" s="43" t="e">
        <f>(LayTable[[#This Row],[LayWin-Commission]])+LayTable[[#This Row],[LayLiability]]</f>
        <v>#VALUE!</v>
      </c>
      <c r="AE511" s="181"/>
      <c r="AF511" s="309"/>
    </row>
    <row r="512" spans="1:32">
      <c r="A512" s="84"/>
      <c r="B512" s="177"/>
      <c r="C512" s="40"/>
      <c r="D512" s="41"/>
      <c r="E512" s="178"/>
      <c r="F512" s="251"/>
      <c r="G512" s="184"/>
      <c r="H512" s="176"/>
      <c r="I512" s="180"/>
      <c r="J512" s="180"/>
      <c r="K512" s="181"/>
      <c r="L512" s="43"/>
      <c r="M512" s="44" t="str">
        <f>IF(LayTable[[#This Row],[Sport]]="","",LayTable[[#This Row],[LayInnsats]]*(LayTable[[#This Row],[LayOdds]]-1))</f>
        <v/>
      </c>
      <c r="N512" s="45" t="str">
        <f>IF(LayTable[[#This Row],[Sport]]="","",1/((1/LayTable[[#This Row],[BookieOdds]])+(1/((1/((1+((LayTable[[#This Row],[LayOdds]]-1)*(1+LayTable[[#This Row],[C% Lay]])))-1))+1)))-1)</f>
        <v/>
      </c>
      <c r="Q512" s="46" t="str">
        <f>IF(LayTable[[#This Row],[Sport]]="","",LayTable[[#This Row],[BookieInnsats]]+LayTable[[#This Row],[LayLiability]])</f>
        <v/>
      </c>
      <c r="R5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2" s="47" t="str">
        <f>IF(LayTable[[#This Row],[Utfall bookie]]="","",LayTable[[#This Row],[WBABack]]+LayTable[[#This Row],[WBALay]]-LayTable[[#This Row],[Total inns]])</f>
        <v/>
      </c>
      <c r="U5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2" s="48" t="str">
        <f>IFERROR(IF(LayTable[[#This Row],[Total inns]]="","",LayTable[[#This Row],[Rback]]/LayTable[[#This Row],[Total inns]]),"")</f>
        <v/>
      </c>
      <c r="X512" s="48" t="str">
        <f>IFERROR(IF(LayTable[[#This Row],[Total inns]]="","",LayTable[[#This Row],[Rlay]]/LayTable[[#This Row],[Total inns]]),"")</f>
        <v/>
      </c>
      <c r="Y512" s="48" t="str">
        <f>IFERROR(LayTable[[#This Row],[Faktisk res]]/LayTable[[#This Row],[Total inns]],"")</f>
        <v/>
      </c>
      <c r="Z512" s="47">
        <f>(LayTable[[#This Row],[BookieInnsats]]*LayTable[[#This Row],[BookieOdds]]-LayTable[[#This Row],[BookieInnsats]])*(1-LayTable[[#This Row],[C% Bookie]])</f>
        <v>0</v>
      </c>
      <c r="AA512" s="43">
        <f>LayTable[[#This Row],[LayInnsats]]*(1-LayTable[[#This Row],[C% Lay]])</f>
        <v>0</v>
      </c>
      <c r="AB512" s="43" t="str">
        <f>IFERROR(IF(LayTable[[#This Row],[Sport]]="",AB511,LayTable[[#This Row],[Faktisk res]]+AB511),"")</f>
        <v/>
      </c>
      <c r="AC512" s="43">
        <f>(LayTable[[#This Row],[BackWin-Commission]]+LayTable[[#This Row],[BookieInnsats]])</f>
        <v>0</v>
      </c>
      <c r="AD512" s="43" t="e">
        <f>(LayTable[[#This Row],[LayWin-Commission]])+LayTable[[#This Row],[LayLiability]]</f>
        <v>#VALUE!</v>
      </c>
      <c r="AE512" s="181"/>
      <c r="AF512" s="309"/>
    </row>
    <row r="513" spans="1:32">
      <c r="A513" s="84"/>
      <c r="B513" s="177"/>
      <c r="C513" s="40"/>
      <c r="D513" s="41"/>
      <c r="E513" s="178"/>
      <c r="F513" s="251"/>
      <c r="G513" s="101"/>
      <c r="H513" s="38"/>
      <c r="I513" s="313"/>
      <c r="J513" s="313"/>
      <c r="K513" s="42"/>
      <c r="L513" s="42"/>
      <c r="M513" s="44" t="str">
        <f>IF(LayTable[[#This Row],[Sport]]="","",LayTable[[#This Row],[LayInnsats]]*(LayTable[[#This Row],[LayOdds]]-1))</f>
        <v/>
      </c>
      <c r="N513" s="45" t="str">
        <f>IF(LayTable[[#This Row],[Sport]]="","",1/((1/LayTable[[#This Row],[BookieOdds]])+(1/((1/((1+((LayTable[[#This Row],[LayOdds]]-1)*(1+LayTable[[#This Row],[C% Lay]])))-1))+1)))-1)</f>
        <v/>
      </c>
      <c r="Q513" s="46" t="str">
        <f>IF(LayTable[[#This Row],[Sport]]="","",LayTable[[#This Row],[BookieInnsats]]+LayTable[[#This Row],[LayLiability]])</f>
        <v/>
      </c>
      <c r="R5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3" s="47" t="str">
        <f>IF(LayTable[[#This Row],[Utfall bookie]]="","",LayTable[[#This Row],[WBABack]]+LayTable[[#This Row],[WBALay]]-LayTable[[#This Row],[Total inns]])</f>
        <v/>
      </c>
      <c r="U5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3" s="48" t="str">
        <f>IFERROR(IF(LayTable[[#This Row],[Total inns]]="","",LayTable[[#This Row],[Rback]]/LayTable[[#This Row],[Total inns]]),"")</f>
        <v/>
      </c>
      <c r="X513" s="48" t="str">
        <f>IFERROR(IF(LayTable[[#This Row],[Total inns]]="","",LayTable[[#This Row],[Rlay]]/LayTable[[#This Row],[Total inns]]),"")</f>
        <v/>
      </c>
      <c r="Y513" s="48" t="str">
        <f>IFERROR(LayTable[[#This Row],[Faktisk res]]/LayTable[[#This Row],[Total inns]],"")</f>
        <v/>
      </c>
      <c r="Z513" s="47">
        <f>(LayTable[[#This Row],[BookieInnsats]]*LayTable[[#This Row],[BookieOdds]]-LayTable[[#This Row],[BookieInnsats]])*(1-LayTable[[#This Row],[C% Bookie]])</f>
        <v>0</v>
      </c>
      <c r="AA513" s="43">
        <f>LayTable[[#This Row],[LayInnsats]]*(1-LayTable[[#This Row],[C% Lay]])</f>
        <v>0</v>
      </c>
      <c r="AB513" s="43" t="str">
        <f>IFERROR(IF(LayTable[[#This Row],[Sport]]="",AB512,LayTable[[#This Row],[Faktisk res]]+AB512),"")</f>
        <v/>
      </c>
      <c r="AC513" s="43">
        <f>(LayTable[[#This Row],[BackWin-Commission]]+LayTable[[#This Row],[BookieInnsats]])</f>
        <v>0</v>
      </c>
      <c r="AD513" s="43" t="e">
        <f>(LayTable[[#This Row],[LayWin-Commission]])+LayTable[[#This Row],[LayLiability]]</f>
        <v>#VALUE!</v>
      </c>
      <c r="AE513" s="181"/>
      <c r="AF513" s="309"/>
    </row>
    <row r="514" spans="1:32">
      <c r="A514" s="84"/>
      <c r="B514" s="177"/>
      <c r="C514" s="40"/>
      <c r="D514" s="41"/>
      <c r="E514" s="178"/>
      <c r="F514" s="251"/>
      <c r="G514" s="101"/>
      <c r="H514" s="38"/>
      <c r="I514" s="42"/>
      <c r="J514" s="42"/>
      <c r="K514" s="43"/>
      <c r="L514" s="43"/>
      <c r="M514" s="44" t="str">
        <f>IF(LayTable[[#This Row],[Sport]]="","",LayTable[[#This Row],[LayInnsats]]*(LayTable[[#This Row],[LayOdds]]-1))</f>
        <v/>
      </c>
      <c r="N514" s="45" t="str">
        <f>IF(LayTable[[#This Row],[Sport]]="","",1/((1/LayTable[[#This Row],[BookieOdds]])+(1/((1/((1+((LayTable[[#This Row],[LayOdds]]-1)*(1+LayTable[[#This Row],[C% Lay]])))-1))+1)))-1)</f>
        <v/>
      </c>
      <c r="Q514" s="46" t="str">
        <f>IF(LayTable[[#This Row],[Sport]]="","",LayTable[[#This Row],[BookieInnsats]]+LayTable[[#This Row],[LayLiability]])</f>
        <v/>
      </c>
      <c r="R5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4" s="47" t="str">
        <f>IF(LayTable[[#This Row],[Utfall bookie]]="","",LayTable[[#This Row],[WBABack]]+LayTable[[#This Row],[WBALay]]-LayTable[[#This Row],[Total inns]])</f>
        <v/>
      </c>
      <c r="U5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4" s="48" t="str">
        <f>IFERROR(IF(LayTable[[#This Row],[Total inns]]="","",LayTable[[#This Row],[Rback]]/LayTable[[#This Row],[Total inns]]),"")</f>
        <v/>
      </c>
      <c r="X514" s="48" t="str">
        <f>IFERROR(IF(LayTable[[#This Row],[Total inns]]="","",LayTable[[#This Row],[Rlay]]/LayTable[[#This Row],[Total inns]]),"")</f>
        <v/>
      </c>
      <c r="Y514" s="48" t="str">
        <f>IFERROR(LayTable[[#This Row],[Faktisk res]]/LayTable[[#This Row],[Total inns]],"")</f>
        <v/>
      </c>
      <c r="Z514" s="47">
        <f>(LayTable[[#This Row],[BookieInnsats]]*LayTable[[#This Row],[BookieOdds]]-LayTable[[#This Row],[BookieInnsats]])*(1-LayTable[[#This Row],[C% Bookie]])</f>
        <v>0</v>
      </c>
      <c r="AA514" s="43">
        <f>LayTable[[#This Row],[LayInnsats]]*(1-LayTable[[#This Row],[C% Lay]])</f>
        <v>0</v>
      </c>
      <c r="AB514" s="43" t="str">
        <f>IFERROR(IF(LayTable[[#This Row],[Sport]]="",AB513,LayTable[[#This Row],[Faktisk res]]+AB513),"")</f>
        <v/>
      </c>
      <c r="AC514" s="43">
        <f>(LayTable[[#This Row],[BackWin-Commission]]+LayTable[[#This Row],[BookieInnsats]])</f>
        <v>0</v>
      </c>
      <c r="AD514" s="43" t="e">
        <f>(LayTable[[#This Row],[LayWin-Commission]])+LayTable[[#This Row],[LayLiability]]</f>
        <v>#VALUE!</v>
      </c>
      <c r="AE514" s="181"/>
      <c r="AF514" s="309"/>
    </row>
    <row r="515" spans="1:32">
      <c r="A515" s="183"/>
      <c r="B515" s="177"/>
      <c r="C515" s="40"/>
      <c r="D515" s="41"/>
      <c r="E515" s="178"/>
      <c r="F515" s="251"/>
      <c r="G515" s="184"/>
      <c r="H515" s="176"/>
      <c r="I515" s="180"/>
      <c r="J515" s="180"/>
      <c r="K515" s="181"/>
      <c r="L515" s="181"/>
      <c r="M515" s="44" t="str">
        <f>IF(LayTable[[#This Row],[Sport]]="","",LayTable[[#This Row],[LayInnsats]]*(LayTable[[#This Row],[LayOdds]]-1))</f>
        <v/>
      </c>
      <c r="N515" s="45" t="str">
        <f>IF(LayTable[[#This Row],[Sport]]="","",1/((1/LayTable[[#This Row],[BookieOdds]])+(1/((1/((1+((LayTable[[#This Row],[LayOdds]]-1)*(1+LayTable[[#This Row],[C% Lay]])))-1))+1)))-1)</f>
        <v/>
      </c>
      <c r="Q515" s="46" t="str">
        <f>IF(LayTable[[#This Row],[Sport]]="","",LayTable[[#This Row],[BookieInnsats]]+LayTable[[#This Row],[LayLiability]])</f>
        <v/>
      </c>
      <c r="R5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5" s="47" t="str">
        <f>IF(LayTable[[#This Row],[Utfall bookie]]="","",LayTable[[#This Row],[WBABack]]+LayTable[[#This Row],[WBALay]]-LayTable[[#This Row],[Total inns]])</f>
        <v/>
      </c>
      <c r="U5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5" s="48" t="str">
        <f>IFERROR(IF(LayTable[[#This Row],[Total inns]]="","",LayTable[[#This Row],[Rback]]/LayTable[[#This Row],[Total inns]]),"")</f>
        <v/>
      </c>
      <c r="X515" s="48" t="str">
        <f>IFERROR(IF(LayTable[[#This Row],[Total inns]]="","",LayTable[[#This Row],[Rlay]]/LayTable[[#This Row],[Total inns]]),"")</f>
        <v/>
      </c>
      <c r="Y515" s="48" t="str">
        <f>IFERROR(LayTable[[#This Row],[Faktisk res]]/LayTable[[#This Row],[Total inns]],"")</f>
        <v/>
      </c>
      <c r="Z515" s="47">
        <f>(LayTable[[#This Row],[BookieInnsats]]*LayTable[[#This Row],[BookieOdds]]-LayTable[[#This Row],[BookieInnsats]])*(1-LayTable[[#This Row],[C% Bookie]])</f>
        <v>0</v>
      </c>
      <c r="AA515" s="43">
        <f>LayTable[[#This Row],[LayInnsats]]*(1-LayTable[[#This Row],[C% Lay]])</f>
        <v>0</v>
      </c>
      <c r="AB515" s="43" t="str">
        <f>IFERROR(IF(LayTable[[#This Row],[Sport]]="",AB514,LayTable[[#This Row],[Faktisk res]]+AB514),"")</f>
        <v/>
      </c>
      <c r="AC515" s="43">
        <f>(LayTable[[#This Row],[BackWin-Commission]]+LayTable[[#This Row],[BookieInnsats]])</f>
        <v>0</v>
      </c>
      <c r="AD515" s="43" t="e">
        <f>(LayTable[[#This Row],[LayWin-Commission]])+LayTable[[#This Row],[LayLiability]]</f>
        <v>#VALUE!</v>
      </c>
      <c r="AE515" s="181"/>
      <c r="AF515" s="309"/>
    </row>
    <row r="516" spans="1:32">
      <c r="A516" s="183"/>
      <c r="B516" s="177"/>
      <c r="C516" s="40"/>
      <c r="D516" s="41"/>
      <c r="E516" s="178"/>
      <c r="F516" s="251"/>
      <c r="G516" s="184"/>
      <c r="H516" s="176"/>
      <c r="I516" s="180"/>
      <c r="J516" s="180"/>
      <c r="K516" s="43"/>
      <c r="L516" s="43"/>
      <c r="M516" s="44" t="str">
        <f>IF(LayTable[[#This Row],[Sport]]="","",LayTable[[#This Row],[LayInnsats]]*(LayTable[[#This Row],[LayOdds]]-1))</f>
        <v/>
      </c>
      <c r="N516" s="45" t="str">
        <f>IF(LayTable[[#This Row],[Sport]]="","",1/((1/LayTable[[#This Row],[BookieOdds]])+(1/((1/((1+((LayTable[[#This Row],[LayOdds]]-1)*(1+LayTable[[#This Row],[C% Lay]])))-1))+1)))-1)</f>
        <v/>
      </c>
      <c r="Q516" s="46" t="str">
        <f>IF(LayTable[[#This Row],[Sport]]="","",LayTable[[#This Row],[BookieInnsats]]+LayTable[[#This Row],[LayLiability]])</f>
        <v/>
      </c>
      <c r="R5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6" s="47" t="str">
        <f>IF(LayTable[[#This Row],[Utfall bookie]]="","",LayTable[[#This Row],[WBABack]]+LayTable[[#This Row],[WBALay]]-LayTable[[#This Row],[Total inns]])</f>
        <v/>
      </c>
      <c r="U5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6" s="48" t="str">
        <f>IFERROR(IF(LayTable[[#This Row],[Total inns]]="","",LayTable[[#This Row],[Rback]]/LayTable[[#This Row],[Total inns]]),"")</f>
        <v/>
      </c>
      <c r="X516" s="48" t="str">
        <f>IFERROR(IF(LayTable[[#This Row],[Total inns]]="","",LayTable[[#This Row],[Rlay]]/LayTable[[#This Row],[Total inns]]),"")</f>
        <v/>
      </c>
      <c r="Y516" s="48" t="str">
        <f>IFERROR(LayTable[[#This Row],[Faktisk res]]/LayTable[[#This Row],[Total inns]],"")</f>
        <v/>
      </c>
      <c r="Z516" s="47">
        <f>(LayTable[[#This Row],[BookieInnsats]]*LayTable[[#This Row],[BookieOdds]]-LayTable[[#This Row],[BookieInnsats]])*(1-LayTable[[#This Row],[C% Bookie]])</f>
        <v>0</v>
      </c>
      <c r="AA516" s="43">
        <f>LayTable[[#This Row],[LayInnsats]]*(1-LayTable[[#This Row],[C% Lay]])</f>
        <v>0</v>
      </c>
      <c r="AB516" s="43" t="str">
        <f>IFERROR(IF(LayTable[[#This Row],[Sport]]="",AB515,LayTable[[#This Row],[Faktisk res]]+AB515),"")</f>
        <v/>
      </c>
      <c r="AC516" s="43">
        <f>(LayTable[[#This Row],[BackWin-Commission]]+LayTable[[#This Row],[BookieInnsats]])</f>
        <v>0</v>
      </c>
      <c r="AD516" s="43" t="e">
        <f>(LayTable[[#This Row],[LayWin-Commission]])+LayTable[[#This Row],[LayLiability]]</f>
        <v>#VALUE!</v>
      </c>
      <c r="AE516" s="181"/>
      <c r="AF516" s="309"/>
    </row>
    <row r="517" spans="1:32">
      <c r="A517" s="84"/>
      <c r="B517" s="177"/>
      <c r="C517" s="40"/>
      <c r="D517" s="41"/>
      <c r="E517" s="178"/>
      <c r="F517" s="251"/>
      <c r="G517" s="101"/>
      <c r="H517" s="38"/>
      <c r="I517" s="42"/>
      <c r="J517" s="42"/>
      <c r="K517" s="43"/>
      <c r="L517" s="43"/>
      <c r="M517" s="44" t="str">
        <f>IF(LayTable[[#This Row],[Sport]]="","",LayTable[[#This Row],[LayInnsats]]*(LayTable[[#This Row],[LayOdds]]-1))</f>
        <v/>
      </c>
      <c r="N517" s="45" t="str">
        <f>IF(LayTable[[#This Row],[Sport]]="","",1/((1/LayTable[[#This Row],[BookieOdds]])+(1/((1/((1+((LayTable[[#This Row],[LayOdds]]-1)*(1+LayTable[[#This Row],[C% Lay]])))-1))+1)))-1)</f>
        <v/>
      </c>
      <c r="Q517" s="46" t="str">
        <f>IF(LayTable[[#This Row],[Sport]]="","",LayTable[[#This Row],[BookieInnsats]]+LayTable[[#This Row],[LayLiability]])</f>
        <v/>
      </c>
      <c r="R5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7" s="47" t="str">
        <f>IF(LayTable[[#This Row],[Utfall bookie]]="","",LayTable[[#This Row],[WBABack]]+LayTable[[#This Row],[WBALay]]-LayTable[[#This Row],[Total inns]])</f>
        <v/>
      </c>
      <c r="U5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7" s="48" t="str">
        <f>IFERROR(IF(LayTable[[#This Row],[Total inns]]="","",LayTable[[#This Row],[Rback]]/LayTable[[#This Row],[Total inns]]),"")</f>
        <v/>
      </c>
      <c r="X517" s="48" t="str">
        <f>IFERROR(IF(LayTable[[#This Row],[Total inns]]="","",LayTable[[#This Row],[Rlay]]/LayTable[[#This Row],[Total inns]]),"")</f>
        <v/>
      </c>
      <c r="Y517" s="48" t="str">
        <f>IFERROR(LayTable[[#This Row],[Faktisk res]]/LayTable[[#This Row],[Total inns]],"")</f>
        <v/>
      </c>
      <c r="Z517" s="47">
        <f>(LayTable[[#This Row],[BookieInnsats]]*LayTable[[#This Row],[BookieOdds]]-LayTable[[#This Row],[BookieInnsats]])*(1-LayTable[[#This Row],[C% Bookie]])</f>
        <v>0</v>
      </c>
      <c r="AA517" s="43">
        <f>LayTable[[#This Row],[LayInnsats]]*(1-LayTable[[#This Row],[C% Lay]])</f>
        <v>0</v>
      </c>
      <c r="AB517" s="43" t="str">
        <f>IFERROR(IF(LayTable[[#This Row],[Sport]]="",AB516,LayTable[[#This Row],[Faktisk res]]+AB516),"")</f>
        <v/>
      </c>
      <c r="AC517" s="43">
        <f>(LayTable[[#This Row],[BackWin-Commission]]+LayTable[[#This Row],[BookieInnsats]])</f>
        <v>0</v>
      </c>
      <c r="AD517" s="43" t="e">
        <f>(LayTable[[#This Row],[LayWin-Commission]])+LayTable[[#This Row],[LayLiability]]</f>
        <v>#VALUE!</v>
      </c>
      <c r="AE517" s="181"/>
      <c r="AF517" s="309"/>
    </row>
    <row r="518" spans="1:32">
      <c r="A518" s="84"/>
      <c r="B518" s="177"/>
      <c r="C518" s="40"/>
      <c r="D518" s="41"/>
      <c r="E518" s="178"/>
      <c r="F518" s="251"/>
      <c r="G518" s="101"/>
      <c r="H518" s="38"/>
      <c r="I518" s="42"/>
      <c r="J518" s="42"/>
      <c r="K518" s="43"/>
      <c r="L518" s="43"/>
      <c r="M518" s="44" t="str">
        <f>IF(LayTable[[#This Row],[Sport]]="","",LayTable[[#This Row],[LayInnsats]]*(LayTable[[#This Row],[LayOdds]]-1))</f>
        <v/>
      </c>
      <c r="N518" s="45" t="str">
        <f>IF(LayTable[[#This Row],[Sport]]="","",1/((1/LayTable[[#This Row],[BookieOdds]])+(1/((1/((1+((LayTable[[#This Row],[LayOdds]]-1)*(1+LayTable[[#This Row],[C% Lay]])))-1))+1)))-1)</f>
        <v/>
      </c>
      <c r="Q518" s="46" t="str">
        <f>IF(LayTable[[#This Row],[Sport]]="","",LayTable[[#This Row],[BookieInnsats]]+LayTable[[#This Row],[LayLiability]])</f>
        <v/>
      </c>
      <c r="R5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8" s="47" t="str">
        <f>IF(LayTable[[#This Row],[Utfall bookie]]="","",LayTable[[#This Row],[WBABack]]+LayTable[[#This Row],[WBALay]]-LayTable[[#This Row],[Total inns]])</f>
        <v/>
      </c>
      <c r="U5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8" s="48" t="str">
        <f>IFERROR(IF(LayTable[[#This Row],[Total inns]]="","",LayTable[[#This Row],[Rback]]/LayTable[[#This Row],[Total inns]]),"")</f>
        <v/>
      </c>
      <c r="X518" s="48" t="str">
        <f>IFERROR(IF(LayTable[[#This Row],[Total inns]]="","",LayTable[[#This Row],[Rlay]]/LayTable[[#This Row],[Total inns]]),"")</f>
        <v/>
      </c>
      <c r="Y518" s="48" t="str">
        <f>IFERROR(LayTable[[#This Row],[Faktisk res]]/LayTable[[#This Row],[Total inns]],"")</f>
        <v/>
      </c>
      <c r="Z518" s="47">
        <f>(LayTable[[#This Row],[BookieInnsats]]*LayTable[[#This Row],[BookieOdds]]-LayTable[[#This Row],[BookieInnsats]])*(1-LayTable[[#This Row],[C% Bookie]])</f>
        <v>0</v>
      </c>
      <c r="AA518" s="43">
        <f>LayTable[[#This Row],[LayInnsats]]*(1-LayTable[[#This Row],[C% Lay]])</f>
        <v>0</v>
      </c>
      <c r="AB518" s="43" t="str">
        <f>IFERROR(IF(LayTable[[#This Row],[Sport]]="",AB517,LayTable[[#This Row],[Faktisk res]]+AB517),"")</f>
        <v/>
      </c>
      <c r="AC518" s="43">
        <f>(LayTable[[#This Row],[BackWin-Commission]]+LayTable[[#This Row],[BookieInnsats]])</f>
        <v>0</v>
      </c>
      <c r="AD518" s="43" t="e">
        <f>(LayTable[[#This Row],[LayWin-Commission]])+LayTable[[#This Row],[LayLiability]]</f>
        <v>#VALUE!</v>
      </c>
      <c r="AE518" s="181"/>
      <c r="AF518" s="309"/>
    </row>
    <row r="519" spans="1:32">
      <c r="A519" s="84"/>
      <c r="B519" s="177"/>
      <c r="C519" s="40"/>
      <c r="D519" s="41"/>
      <c r="E519" s="178"/>
      <c r="F519" s="251"/>
      <c r="G519" s="184"/>
      <c r="H519" s="176"/>
      <c r="I519" s="180"/>
      <c r="J519" s="180"/>
      <c r="K519" s="43"/>
      <c r="L519" s="43"/>
      <c r="M519" s="44" t="str">
        <f>IF(LayTable[[#This Row],[Sport]]="","",LayTable[[#This Row],[LayInnsats]]*(LayTable[[#This Row],[LayOdds]]-1))</f>
        <v/>
      </c>
      <c r="N519" s="45" t="str">
        <f>IF(LayTable[[#This Row],[Sport]]="","",1/((1/LayTable[[#This Row],[BookieOdds]])+(1/((1/((1+((LayTable[[#This Row],[LayOdds]]-1)*(1+LayTable[[#This Row],[C% Lay]])))-1))+1)))-1)</f>
        <v/>
      </c>
      <c r="Q519" s="46" t="str">
        <f>IF(LayTable[[#This Row],[Sport]]="","",LayTable[[#This Row],[BookieInnsats]]+LayTable[[#This Row],[LayLiability]])</f>
        <v/>
      </c>
      <c r="R5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19" s="47" t="str">
        <f>IF(LayTable[[#This Row],[Utfall bookie]]="","",LayTable[[#This Row],[WBABack]]+LayTable[[#This Row],[WBALay]]-LayTable[[#This Row],[Total inns]])</f>
        <v/>
      </c>
      <c r="U5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19" s="48" t="str">
        <f>IFERROR(IF(LayTable[[#This Row],[Total inns]]="","",LayTable[[#This Row],[Rback]]/LayTable[[#This Row],[Total inns]]),"")</f>
        <v/>
      </c>
      <c r="X519" s="48" t="str">
        <f>IFERROR(IF(LayTable[[#This Row],[Total inns]]="","",LayTable[[#This Row],[Rlay]]/LayTable[[#This Row],[Total inns]]),"")</f>
        <v/>
      </c>
      <c r="Y519" s="48" t="str">
        <f>IFERROR(LayTable[[#This Row],[Faktisk res]]/LayTable[[#This Row],[Total inns]],"")</f>
        <v/>
      </c>
      <c r="Z519" s="47">
        <f>(LayTable[[#This Row],[BookieInnsats]]*LayTable[[#This Row],[BookieOdds]]-LayTable[[#This Row],[BookieInnsats]])*(1-LayTable[[#This Row],[C% Bookie]])</f>
        <v>0</v>
      </c>
      <c r="AA519" s="43">
        <f>LayTable[[#This Row],[LayInnsats]]*(1-LayTable[[#This Row],[C% Lay]])</f>
        <v>0</v>
      </c>
      <c r="AB519" s="43" t="str">
        <f>IFERROR(IF(LayTable[[#This Row],[Sport]]="",AB518,LayTable[[#This Row],[Faktisk res]]+AB518),"")</f>
        <v/>
      </c>
      <c r="AC519" s="43">
        <f>(LayTable[[#This Row],[BackWin-Commission]]+LayTable[[#This Row],[BookieInnsats]])</f>
        <v>0</v>
      </c>
      <c r="AD519" s="43" t="e">
        <f>(LayTable[[#This Row],[LayWin-Commission]])+LayTable[[#This Row],[LayLiability]]</f>
        <v>#VALUE!</v>
      </c>
      <c r="AE519" s="309"/>
      <c r="AF519" s="309"/>
    </row>
    <row r="520" spans="1:32">
      <c r="A520" s="84"/>
      <c r="B520" s="177"/>
      <c r="C520" s="40"/>
      <c r="D520" s="41"/>
      <c r="E520" s="178"/>
      <c r="F520" s="251"/>
      <c r="G520" s="101"/>
      <c r="H520" s="38"/>
      <c r="I520" s="42"/>
      <c r="J520" s="42"/>
      <c r="K520" s="43"/>
      <c r="L520" s="43"/>
      <c r="M520" s="44" t="str">
        <f>IF(LayTable[[#This Row],[Sport]]="","",LayTable[[#This Row],[LayInnsats]]*(LayTable[[#This Row],[LayOdds]]-1))</f>
        <v/>
      </c>
      <c r="N520" s="45" t="str">
        <f>IF(LayTable[[#This Row],[Sport]]="","",1/((1/LayTable[[#This Row],[BookieOdds]])+(1/((1/((1+((LayTable[[#This Row],[LayOdds]]-1)*(1+LayTable[[#This Row],[C% Lay]])))-1))+1)))-1)</f>
        <v/>
      </c>
      <c r="Q520" s="46" t="str">
        <f>IF(LayTable[[#This Row],[Sport]]="","",LayTable[[#This Row],[BookieInnsats]]+LayTable[[#This Row],[LayLiability]])</f>
        <v/>
      </c>
      <c r="R5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0" s="47" t="str">
        <f>IF(LayTable[[#This Row],[Utfall bookie]]="","",LayTable[[#This Row],[WBABack]]+LayTable[[#This Row],[WBALay]]-LayTable[[#This Row],[Total inns]])</f>
        <v/>
      </c>
      <c r="U5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0" s="48" t="str">
        <f>IFERROR(IF(LayTable[[#This Row],[Total inns]]="","",LayTable[[#This Row],[Rback]]/LayTable[[#This Row],[Total inns]]),"")</f>
        <v/>
      </c>
      <c r="X520" s="48" t="str">
        <f>IFERROR(IF(LayTable[[#This Row],[Total inns]]="","",LayTable[[#This Row],[Rlay]]/LayTable[[#This Row],[Total inns]]),"")</f>
        <v/>
      </c>
      <c r="Y520" s="48" t="str">
        <f>IFERROR(LayTable[[#This Row],[Faktisk res]]/LayTable[[#This Row],[Total inns]],"")</f>
        <v/>
      </c>
      <c r="Z520" s="47">
        <f>(LayTable[[#This Row],[BookieInnsats]]*LayTable[[#This Row],[BookieOdds]]-LayTable[[#This Row],[BookieInnsats]])*(1-LayTable[[#This Row],[C% Bookie]])</f>
        <v>0</v>
      </c>
      <c r="AA520" s="43">
        <f>LayTable[[#This Row],[LayInnsats]]*(1-LayTable[[#This Row],[C% Lay]])</f>
        <v>0</v>
      </c>
      <c r="AB520" s="43" t="str">
        <f>IFERROR(IF(LayTable[[#This Row],[Sport]]="",AB519,LayTable[[#This Row],[Faktisk res]]+AB519),"")</f>
        <v/>
      </c>
      <c r="AC520" s="43">
        <f>(LayTable[[#This Row],[BackWin-Commission]]+LayTable[[#This Row],[BookieInnsats]])</f>
        <v>0</v>
      </c>
      <c r="AD520" s="43" t="e">
        <f>(LayTable[[#This Row],[LayWin-Commission]])+LayTable[[#This Row],[LayLiability]]</f>
        <v>#VALUE!</v>
      </c>
      <c r="AE520" s="181"/>
      <c r="AF520" s="309"/>
    </row>
    <row r="521" spans="1:32">
      <c r="A521" s="84"/>
      <c r="B521" s="177"/>
      <c r="C521" s="40"/>
      <c r="D521" s="41"/>
      <c r="E521" s="178"/>
      <c r="F521" s="251"/>
      <c r="G521" s="101"/>
      <c r="H521" s="38"/>
      <c r="I521" s="42"/>
      <c r="J521" s="42"/>
      <c r="K521" s="43"/>
      <c r="L521" s="43"/>
      <c r="M521" s="44" t="str">
        <f>IF(LayTable[[#This Row],[Sport]]="","",LayTable[[#This Row],[LayInnsats]]*(LayTable[[#This Row],[LayOdds]]-1))</f>
        <v/>
      </c>
      <c r="N521" s="45" t="str">
        <f>IF(LayTable[[#This Row],[Sport]]="","",1/((1/LayTable[[#This Row],[BookieOdds]])+(1/((1/((1+((LayTable[[#This Row],[LayOdds]]-1)*(1+LayTable[[#This Row],[C% Lay]])))-1))+1)))-1)</f>
        <v/>
      </c>
      <c r="Q521" s="46" t="str">
        <f>IF(LayTable[[#This Row],[Sport]]="","",LayTable[[#This Row],[BookieInnsats]]+LayTable[[#This Row],[LayLiability]])</f>
        <v/>
      </c>
      <c r="R5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1" s="47" t="str">
        <f>IF(LayTable[[#This Row],[Utfall bookie]]="","",LayTable[[#This Row],[WBABack]]+LayTable[[#This Row],[WBALay]]-LayTable[[#This Row],[Total inns]])</f>
        <v/>
      </c>
      <c r="U5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1" s="48" t="str">
        <f>IFERROR(IF(LayTable[[#This Row],[Total inns]]="","",LayTable[[#This Row],[Rback]]/LayTable[[#This Row],[Total inns]]),"")</f>
        <v/>
      </c>
      <c r="X521" s="48" t="str">
        <f>IFERROR(IF(LayTable[[#This Row],[Total inns]]="","",LayTable[[#This Row],[Rlay]]/LayTable[[#This Row],[Total inns]]),"")</f>
        <v/>
      </c>
      <c r="Y521" s="48" t="str">
        <f>IFERROR(LayTable[[#This Row],[Faktisk res]]/LayTable[[#This Row],[Total inns]],"")</f>
        <v/>
      </c>
      <c r="Z521" s="47">
        <f>(LayTable[[#This Row],[BookieInnsats]]*LayTable[[#This Row],[BookieOdds]]-LayTable[[#This Row],[BookieInnsats]])*(1-LayTable[[#This Row],[C% Bookie]])</f>
        <v>0</v>
      </c>
      <c r="AA521" s="43">
        <f>LayTable[[#This Row],[LayInnsats]]*(1-LayTable[[#This Row],[C% Lay]])</f>
        <v>0</v>
      </c>
      <c r="AB521" s="43" t="str">
        <f>IFERROR(IF(LayTable[[#This Row],[Sport]]="",AB520,LayTable[[#This Row],[Faktisk res]]+AB520),"")</f>
        <v/>
      </c>
      <c r="AC521" s="43">
        <f>(LayTable[[#This Row],[BackWin-Commission]]+LayTable[[#This Row],[BookieInnsats]])</f>
        <v>0</v>
      </c>
      <c r="AD521" s="43" t="e">
        <f>(LayTable[[#This Row],[LayWin-Commission]])+LayTable[[#This Row],[LayLiability]]</f>
        <v>#VALUE!</v>
      </c>
      <c r="AE521" s="181"/>
      <c r="AF521" s="309"/>
    </row>
    <row r="522" spans="1:32">
      <c r="A522" s="84"/>
      <c r="B522" s="177"/>
      <c r="C522" s="40"/>
      <c r="D522" s="41"/>
      <c r="E522" s="178"/>
      <c r="F522" s="251"/>
      <c r="G522" s="184"/>
      <c r="H522" s="176"/>
      <c r="I522" s="180"/>
      <c r="J522" s="180"/>
      <c r="K522" s="43"/>
      <c r="L522" s="43"/>
      <c r="M522" s="44" t="str">
        <f>IF(LayTable[[#This Row],[Sport]]="","",LayTable[[#This Row],[LayInnsats]]*(LayTable[[#This Row],[LayOdds]]-1))</f>
        <v/>
      </c>
      <c r="N522" s="45" t="str">
        <f>IF(LayTable[[#This Row],[Sport]]="","",1/((1/LayTable[[#This Row],[BookieOdds]])+(1/((1/((1+((LayTable[[#This Row],[LayOdds]]-1)*(1+LayTable[[#This Row],[C% Lay]])))-1))+1)))-1)</f>
        <v/>
      </c>
      <c r="Q522" s="46" t="str">
        <f>IF(LayTable[[#This Row],[Sport]]="","",LayTable[[#This Row],[BookieInnsats]]+LayTable[[#This Row],[LayLiability]])</f>
        <v/>
      </c>
      <c r="R5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2" s="47" t="str">
        <f>IF(LayTable[[#This Row],[Utfall bookie]]="","",LayTable[[#This Row],[WBABack]]+LayTable[[#This Row],[WBALay]]-LayTable[[#This Row],[Total inns]])</f>
        <v/>
      </c>
      <c r="U5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2" s="48" t="str">
        <f>IFERROR(IF(LayTable[[#This Row],[Total inns]]="","",LayTable[[#This Row],[Rback]]/LayTable[[#This Row],[Total inns]]),"")</f>
        <v/>
      </c>
      <c r="X522" s="48" t="str">
        <f>IFERROR(IF(LayTable[[#This Row],[Total inns]]="","",LayTable[[#This Row],[Rlay]]/LayTable[[#This Row],[Total inns]]),"")</f>
        <v/>
      </c>
      <c r="Y522" s="48" t="str">
        <f>IFERROR(LayTable[[#This Row],[Faktisk res]]/LayTable[[#This Row],[Total inns]],"")</f>
        <v/>
      </c>
      <c r="Z522" s="47">
        <f>(LayTable[[#This Row],[BookieInnsats]]*LayTable[[#This Row],[BookieOdds]]-LayTable[[#This Row],[BookieInnsats]])*(1-LayTable[[#This Row],[C% Bookie]])</f>
        <v>0</v>
      </c>
      <c r="AA522" s="43">
        <f>LayTable[[#This Row],[LayInnsats]]*(1-LayTable[[#This Row],[C% Lay]])</f>
        <v>0</v>
      </c>
      <c r="AB522" s="43" t="str">
        <f>IFERROR(IF(LayTable[[#This Row],[Sport]]="",AB521,LayTable[[#This Row],[Faktisk res]]+AB521),"")</f>
        <v/>
      </c>
      <c r="AC522" s="43">
        <f>(LayTable[[#This Row],[BackWin-Commission]]+LayTable[[#This Row],[BookieInnsats]])</f>
        <v>0</v>
      </c>
      <c r="AD522" s="43" t="e">
        <f>(LayTable[[#This Row],[LayWin-Commission]])+LayTable[[#This Row],[LayLiability]]</f>
        <v>#VALUE!</v>
      </c>
      <c r="AE522" s="181"/>
      <c r="AF522" s="309"/>
    </row>
    <row r="523" spans="1:32">
      <c r="A523" s="84"/>
      <c r="B523" s="177"/>
      <c r="C523" s="40"/>
      <c r="D523" s="41"/>
      <c r="E523" s="178"/>
      <c r="F523" s="251"/>
      <c r="G523" s="184"/>
      <c r="H523" s="176"/>
      <c r="I523" s="180"/>
      <c r="J523" s="180"/>
      <c r="K523" s="181"/>
      <c r="L523" s="181"/>
      <c r="M523" s="44" t="str">
        <f>IF(LayTable[[#This Row],[Sport]]="","",LayTable[[#This Row],[LayInnsats]]*(LayTable[[#This Row],[LayOdds]]-1))</f>
        <v/>
      </c>
      <c r="N523" s="45" t="str">
        <f>IF(LayTable[[#This Row],[Sport]]="","",1/((1/LayTable[[#This Row],[BookieOdds]])+(1/((1/((1+((LayTable[[#This Row],[LayOdds]]-1)*(1+LayTable[[#This Row],[C% Lay]])))-1))+1)))-1)</f>
        <v/>
      </c>
      <c r="Q523" s="46" t="str">
        <f>IF(LayTable[[#This Row],[Sport]]="","",LayTable[[#This Row],[BookieInnsats]]+LayTable[[#This Row],[LayLiability]])</f>
        <v/>
      </c>
      <c r="R5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3" s="47" t="str">
        <f>IF(LayTable[[#This Row],[Utfall bookie]]="","",LayTable[[#This Row],[WBABack]]+LayTable[[#This Row],[WBALay]]-LayTable[[#This Row],[Total inns]])</f>
        <v/>
      </c>
      <c r="U5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3" s="48" t="str">
        <f>IFERROR(IF(LayTable[[#This Row],[Total inns]]="","",LayTable[[#This Row],[Rback]]/LayTable[[#This Row],[Total inns]]),"")</f>
        <v/>
      </c>
      <c r="X523" s="48" t="str">
        <f>IFERROR(IF(LayTable[[#This Row],[Total inns]]="","",LayTable[[#This Row],[Rlay]]/LayTable[[#This Row],[Total inns]]),"")</f>
        <v/>
      </c>
      <c r="Y523" s="48" t="str">
        <f>IFERROR(LayTable[[#This Row],[Faktisk res]]/LayTable[[#This Row],[Total inns]],"")</f>
        <v/>
      </c>
      <c r="Z523" s="47">
        <f>(LayTable[[#This Row],[BookieInnsats]]*LayTable[[#This Row],[BookieOdds]]-LayTable[[#This Row],[BookieInnsats]])*(1-LayTable[[#This Row],[C% Bookie]])</f>
        <v>0</v>
      </c>
      <c r="AA523" s="43">
        <f>LayTable[[#This Row],[LayInnsats]]*(1-LayTable[[#This Row],[C% Lay]])</f>
        <v>0</v>
      </c>
      <c r="AB523" s="43" t="str">
        <f>IFERROR(IF(LayTable[[#This Row],[Sport]]="",AB522,LayTable[[#This Row],[Faktisk res]]+AB522),"")</f>
        <v/>
      </c>
      <c r="AC523" s="43">
        <f>(LayTable[[#This Row],[BackWin-Commission]]+LayTable[[#This Row],[BookieInnsats]])</f>
        <v>0</v>
      </c>
      <c r="AD523" s="43" t="e">
        <f>(LayTable[[#This Row],[LayWin-Commission]])+LayTable[[#This Row],[LayLiability]]</f>
        <v>#VALUE!</v>
      </c>
      <c r="AE523" s="181"/>
      <c r="AF523" s="309"/>
    </row>
    <row r="524" spans="1:32">
      <c r="A524" s="84"/>
      <c r="B524" s="177"/>
      <c r="C524" s="40"/>
      <c r="D524" s="41"/>
      <c r="E524" s="178"/>
      <c r="F524" s="251"/>
      <c r="G524" s="101"/>
      <c r="H524" s="38"/>
      <c r="I524" s="42"/>
      <c r="J524" s="42"/>
      <c r="K524" s="43"/>
      <c r="L524" s="43"/>
      <c r="M524" s="44" t="str">
        <f>IF(LayTable[[#This Row],[Sport]]="","",LayTable[[#This Row],[LayInnsats]]*(LayTable[[#This Row],[LayOdds]]-1))</f>
        <v/>
      </c>
      <c r="N524" s="45" t="str">
        <f>IF(LayTable[[#This Row],[Sport]]="","",1/((1/LayTable[[#This Row],[BookieOdds]])+(1/((1/((1+((LayTable[[#This Row],[LayOdds]]-1)*(1+LayTable[[#This Row],[C% Lay]])))-1))+1)))-1)</f>
        <v/>
      </c>
      <c r="Q524" s="46" t="str">
        <f>IF(LayTable[[#This Row],[Sport]]="","",LayTable[[#This Row],[BookieInnsats]]+LayTable[[#This Row],[LayLiability]])</f>
        <v/>
      </c>
      <c r="R5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4" s="47" t="str">
        <f>IF(LayTable[[#This Row],[Utfall bookie]]="","",LayTable[[#This Row],[WBABack]]+LayTable[[#This Row],[WBALay]]-LayTable[[#This Row],[Total inns]])</f>
        <v/>
      </c>
      <c r="U5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4" s="48" t="str">
        <f>IFERROR(IF(LayTable[[#This Row],[Total inns]]="","",LayTable[[#This Row],[Rback]]/LayTable[[#This Row],[Total inns]]),"")</f>
        <v/>
      </c>
      <c r="X524" s="48" t="str">
        <f>IFERROR(IF(LayTable[[#This Row],[Total inns]]="","",LayTable[[#This Row],[Rlay]]/LayTable[[#This Row],[Total inns]]),"")</f>
        <v/>
      </c>
      <c r="Y524" s="48" t="str">
        <f>IFERROR(LayTable[[#This Row],[Faktisk res]]/LayTable[[#This Row],[Total inns]],"")</f>
        <v/>
      </c>
      <c r="Z524" s="47">
        <f>(LayTable[[#This Row],[BookieInnsats]]*LayTable[[#This Row],[BookieOdds]]-LayTable[[#This Row],[BookieInnsats]])*(1-LayTable[[#This Row],[C% Bookie]])</f>
        <v>0</v>
      </c>
      <c r="AA524" s="43">
        <f>LayTable[[#This Row],[LayInnsats]]*(1-LayTable[[#This Row],[C% Lay]])</f>
        <v>0</v>
      </c>
      <c r="AB524" s="43" t="str">
        <f>IFERROR(IF(LayTable[[#This Row],[Sport]]="",AB523,LayTable[[#This Row],[Faktisk res]]+AB523),"")</f>
        <v/>
      </c>
      <c r="AC524" s="43">
        <f>(LayTable[[#This Row],[BackWin-Commission]]+LayTable[[#This Row],[BookieInnsats]])</f>
        <v>0</v>
      </c>
      <c r="AD524" s="43" t="e">
        <f>(LayTable[[#This Row],[LayWin-Commission]])+LayTable[[#This Row],[LayLiability]]</f>
        <v>#VALUE!</v>
      </c>
      <c r="AE524" s="181"/>
      <c r="AF524" s="309"/>
    </row>
    <row r="525" spans="1:32">
      <c r="A525" s="84"/>
      <c r="B525" s="177"/>
      <c r="C525" s="40"/>
      <c r="D525" s="41"/>
      <c r="E525" s="178"/>
      <c r="F525" s="251"/>
      <c r="G525" s="101"/>
      <c r="H525" s="38"/>
      <c r="I525" s="42"/>
      <c r="J525" s="42"/>
      <c r="K525" s="43"/>
      <c r="L525" s="43"/>
      <c r="M525" s="44" t="str">
        <f>IF(LayTable[[#This Row],[Sport]]="","",LayTable[[#This Row],[LayInnsats]]*(LayTable[[#This Row],[LayOdds]]-1))</f>
        <v/>
      </c>
      <c r="N525" s="45" t="str">
        <f>IF(LayTable[[#This Row],[Sport]]="","",1/((1/LayTable[[#This Row],[BookieOdds]])+(1/((1/((1+((LayTable[[#This Row],[LayOdds]]-1)*(1+LayTable[[#This Row],[C% Lay]])))-1))+1)))-1)</f>
        <v/>
      </c>
      <c r="Q525" s="46" t="str">
        <f>IF(LayTable[[#This Row],[Sport]]="","",LayTable[[#This Row],[BookieInnsats]]+LayTable[[#This Row],[LayLiability]])</f>
        <v/>
      </c>
      <c r="R5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5" s="47" t="str">
        <f>IF(LayTable[[#This Row],[Utfall bookie]]="","",LayTable[[#This Row],[WBABack]]+LayTable[[#This Row],[WBALay]]-LayTable[[#This Row],[Total inns]])</f>
        <v/>
      </c>
      <c r="U5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5" s="48" t="str">
        <f>IFERROR(IF(LayTable[[#This Row],[Total inns]]="","",LayTable[[#This Row],[Rback]]/LayTable[[#This Row],[Total inns]]),"")</f>
        <v/>
      </c>
      <c r="X525" s="48" t="str">
        <f>IFERROR(IF(LayTable[[#This Row],[Total inns]]="","",LayTable[[#This Row],[Rlay]]/LayTable[[#This Row],[Total inns]]),"")</f>
        <v/>
      </c>
      <c r="Y525" s="48" t="str">
        <f>IFERROR(LayTable[[#This Row],[Faktisk res]]/LayTable[[#This Row],[Total inns]],"")</f>
        <v/>
      </c>
      <c r="Z525" s="47">
        <f>(LayTable[[#This Row],[BookieInnsats]]*LayTable[[#This Row],[BookieOdds]]-LayTable[[#This Row],[BookieInnsats]])*(1-LayTable[[#This Row],[C% Bookie]])</f>
        <v>0</v>
      </c>
      <c r="AA525" s="43">
        <f>LayTable[[#This Row],[LayInnsats]]*(1-LayTable[[#This Row],[C% Lay]])</f>
        <v>0</v>
      </c>
      <c r="AB525" s="43" t="str">
        <f>IFERROR(IF(LayTable[[#This Row],[Sport]]="",AB524,LayTable[[#This Row],[Faktisk res]]+AB524),"")</f>
        <v/>
      </c>
      <c r="AC525" s="43">
        <f>(LayTable[[#This Row],[BackWin-Commission]]+LayTable[[#This Row],[BookieInnsats]])</f>
        <v>0</v>
      </c>
      <c r="AD525" s="43" t="e">
        <f>(LayTable[[#This Row],[LayWin-Commission]])+LayTable[[#This Row],[LayLiability]]</f>
        <v>#VALUE!</v>
      </c>
      <c r="AE525" s="181"/>
      <c r="AF525" s="309"/>
    </row>
    <row r="526" spans="1:32">
      <c r="A526" s="84"/>
      <c r="B526" s="177"/>
      <c r="C526" s="40"/>
      <c r="D526" s="41"/>
      <c r="E526" s="178"/>
      <c r="F526" s="251"/>
      <c r="G526" s="101"/>
      <c r="H526" s="38"/>
      <c r="I526" s="42"/>
      <c r="J526" s="42"/>
      <c r="K526" s="43"/>
      <c r="L526" s="43"/>
      <c r="M526" s="44" t="str">
        <f>IF(LayTable[[#This Row],[Sport]]="","",LayTable[[#This Row],[LayInnsats]]*(LayTable[[#This Row],[LayOdds]]-1))</f>
        <v/>
      </c>
      <c r="N526" s="45" t="str">
        <f>IF(LayTable[[#This Row],[Sport]]="","",1/((1/LayTable[[#This Row],[BookieOdds]])+(1/((1/((1+((LayTable[[#This Row],[LayOdds]]-1)*(1+LayTable[[#This Row],[C% Lay]])))-1))+1)))-1)</f>
        <v/>
      </c>
      <c r="Q526" s="46" t="str">
        <f>IF(LayTable[[#This Row],[Sport]]="","",LayTable[[#This Row],[BookieInnsats]]+LayTable[[#This Row],[LayLiability]])</f>
        <v/>
      </c>
      <c r="R5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6" s="47" t="str">
        <f>IF(LayTable[[#This Row],[Utfall bookie]]="","",LayTable[[#This Row],[WBABack]]+LayTable[[#This Row],[WBALay]]-LayTable[[#This Row],[Total inns]])</f>
        <v/>
      </c>
      <c r="U5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6" s="48" t="str">
        <f>IFERROR(IF(LayTable[[#This Row],[Total inns]]="","",LayTable[[#This Row],[Rback]]/LayTable[[#This Row],[Total inns]]),"")</f>
        <v/>
      </c>
      <c r="X526" s="48" t="str">
        <f>IFERROR(IF(LayTable[[#This Row],[Total inns]]="","",LayTable[[#This Row],[Rlay]]/LayTable[[#This Row],[Total inns]]),"")</f>
        <v/>
      </c>
      <c r="Y526" s="48" t="str">
        <f>IFERROR(LayTable[[#This Row],[Faktisk res]]/LayTable[[#This Row],[Total inns]],"")</f>
        <v/>
      </c>
      <c r="Z526" s="47">
        <f>(LayTable[[#This Row],[BookieInnsats]]*LayTable[[#This Row],[BookieOdds]]-LayTable[[#This Row],[BookieInnsats]])*(1-LayTable[[#This Row],[C% Bookie]])</f>
        <v>0</v>
      </c>
      <c r="AA526" s="43">
        <f>LayTable[[#This Row],[LayInnsats]]*(1-LayTable[[#This Row],[C% Lay]])</f>
        <v>0</v>
      </c>
      <c r="AB526" s="43" t="str">
        <f>IFERROR(IF(LayTable[[#This Row],[Sport]]="",AB525,LayTable[[#This Row],[Faktisk res]]+AB525),"")</f>
        <v/>
      </c>
      <c r="AC526" s="43">
        <f>(LayTable[[#This Row],[BackWin-Commission]]+LayTable[[#This Row],[BookieInnsats]])</f>
        <v>0</v>
      </c>
      <c r="AD526" s="43" t="e">
        <f>(LayTable[[#This Row],[LayWin-Commission]])+LayTable[[#This Row],[LayLiability]]</f>
        <v>#VALUE!</v>
      </c>
      <c r="AE526" s="181"/>
      <c r="AF526" s="309"/>
    </row>
    <row r="527" spans="1:32">
      <c r="A527" s="84"/>
      <c r="B527" s="177"/>
      <c r="C527" s="40"/>
      <c r="D527" s="41"/>
      <c r="E527" s="178"/>
      <c r="F527" s="251"/>
      <c r="G527" s="184"/>
      <c r="H527" s="176"/>
      <c r="I527" s="180"/>
      <c r="J527" s="180"/>
      <c r="K527" s="43"/>
      <c r="L527" s="43"/>
      <c r="M527" s="44" t="str">
        <f>IF(LayTable[[#This Row],[Sport]]="","",LayTable[[#This Row],[LayInnsats]]*(LayTable[[#This Row],[LayOdds]]-1))</f>
        <v/>
      </c>
      <c r="N527" s="45" t="str">
        <f>IF(LayTable[[#This Row],[Sport]]="","",1/((1/LayTable[[#This Row],[BookieOdds]])+(1/((1/((1+((LayTable[[#This Row],[LayOdds]]-1)*(1+LayTable[[#This Row],[C% Lay]])))-1))+1)))-1)</f>
        <v/>
      </c>
      <c r="Q527" s="46" t="str">
        <f>IF(LayTable[[#This Row],[Sport]]="","",LayTable[[#This Row],[BookieInnsats]]+LayTable[[#This Row],[LayLiability]])</f>
        <v/>
      </c>
      <c r="R5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7" s="47" t="str">
        <f>IF(LayTable[[#This Row],[Utfall bookie]]="","",LayTable[[#This Row],[WBABack]]+LayTable[[#This Row],[WBALay]]-LayTable[[#This Row],[Total inns]])</f>
        <v/>
      </c>
      <c r="U5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7" s="48" t="str">
        <f>IFERROR(IF(LayTable[[#This Row],[Total inns]]="","",LayTable[[#This Row],[Rback]]/LayTable[[#This Row],[Total inns]]),"")</f>
        <v/>
      </c>
      <c r="X527" s="48" t="str">
        <f>IFERROR(IF(LayTable[[#This Row],[Total inns]]="","",LayTable[[#This Row],[Rlay]]/LayTable[[#This Row],[Total inns]]),"")</f>
        <v/>
      </c>
      <c r="Y527" s="48" t="str">
        <f>IFERROR(LayTable[[#This Row],[Faktisk res]]/LayTable[[#This Row],[Total inns]],"")</f>
        <v/>
      </c>
      <c r="Z527" s="47">
        <f>(LayTable[[#This Row],[BookieInnsats]]*LayTable[[#This Row],[BookieOdds]]-LayTable[[#This Row],[BookieInnsats]])*(1-LayTable[[#This Row],[C% Bookie]])</f>
        <v>0</v>
      </c>
      <c r="AA527" s="43">
        <f>LayTable[[#This Row],[LayInnsats]]*(1-LayTable[[#This Row],[C% Lay]])</f>
        <v>0</v>
      </c>
      <c r="AB527" s="43" t="str">
        <f>IFERROR(IF(LayTable[[#This Row],[Sport]]="",AB526,LayTable[[#This Row],[Faktisk res]]+AB526),"")</f>
        <v/>
      </c>
      <c r="AC527" s="43">
        <f>(LayTable[[#This Row],[BackWin-Commission]]+LayTable[[#This Row],[BookieInnsats]])</f>
        <v>0</v>
      </c>
      <c r="AD527" s="43" t="e">
        <f>(LayTable[[#This Row],[LayWin-Commission]])+LayTable[[#This Row],[LayLiability]]</f>
        <v>#VALUE!</v>
      </c>
      <c r="AE527" s="181"/>
      <c r="AF527" s="309"/>
    </row>
    <row r="528" spans="1:32">
      <c r="A528" s="183"/>
      <c r="B528" s="177"/>
      <c r="C528" s="40"/>
      <c r="D528" s="41"/>
      <c r="E528" s="178"/>
      <c r="F528" s="251"/>
      <c r="G528" s="101"/>
      <c r="H528" s="38"/>
      <c r="I528" s="42"/>
      <c r="J528" s="42"/>
      <c r="K528" s="43"/>
      <c r="L528" s="43"/>
      <c r="M528" s="44" t="str">
        <f>IF(LayTable[[#This Row],[Sport]]="","",LayTable[[#This Row],[LayInnsats]]*(LayTable[[#This Row],[LayOdds]]-1))</f>
        <v/>
      </c>
      <c r="N528" s="45" t="str">
        <f>IF(LayTable[[#This Row],[Sport]]="","",1/((1/LayTable[[#This Row],[BookieOdds]])+(1/((1/((1+((LayTable[[#This Row],[LayOdds]]-1)*(1+LayTable[[#This Row],[C% Lay]])))-1))+1)))-1)</f>
        <v/>
      </c>
      <c r="Q528" s="46" t="str">
        <f>IF(LayTable[[#This Row],[Sport]]="","",LayTable[[#This Row],[BookieInnsats]]+LayTable[[#This Row],[LayLiability]])</f>
        <v/>
      </c>
      <c r="R5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8" s="47" t="str">
        <f>IF(LayTable[[#This Row],[Utfall bookie]]="","",LayTable[[#This Row],[WBABack]]+LayTable[[#This Row],[WBALay]]-LayTable[[#This Row],[Total inns]])</f>
        <v/>
      </c>
      <c r="U5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8" s="48" t="str">
        <f>IFERROR(IF(LayTable[[#This Row],[Total inns]]="","",LayTable[[#This Row],[Rback]]/LayTable[[#This Row],[Total inns]]),"")</f>
        <v/>
      </c>
      <c r="X528" s="48" t="str">
        <f>IFERROR(IF(LayTable[[#This Row],[Total inns]]="","",LayTable[[#This Row],[Rlay]]/LayTable[[#This Row],[Total inns]]),"")</f>
        <v/>
      </c>
      <c r="Y528" s="48" t="str">
        <f>IFERROR(LayTable[[#This Row],[Faktisk res]]/LayTable[[#This Row],[Total inns]],"")</f>
        <v/>
      </c>
      <c r="Z528" s="47">
        <f>(LayTable[[#This Row],[BookieInnsats]]*LayTable[[#This Row],[BookieOdds]]-LayTable[[#This Row],[BookieInnsats]])*(1-LayTable[[#This Row],[C% Bookie]])</f>
        <v>0</v>
      </c>
      <c r="AA528" s="43">
        <f>LayTable[[#This Row],[LayInnsats]]*(1-LayTable[[#This Row],[C% Lay]])</f>
        <v>0</v>
      </c>
      <c r="AB528" s="43" t="str">
        <f>IFERROR(IF(LayTable[[#This Row],[Sport]]="",AB527,LayTable[[#This Row],[Faktisk res]]+AB527),"")</f>
        <v/>
      </c>
      <c r="AC528" s="43">
        <f>(LayTable[[#This Row],[BackWin-Commission]]+LayTable[[#This Row],[BookieInnsats]])</f>
        <v>0</v>
      </c>
      <c r="AD528" s="43" t="e">
        <f>(LayTable[[#This Row],[LayWin-Commission]])+LayTable[[#This Row],[LayLiability]]</f>
        <v>#VALUE!</v>
      </c>
      <c r="AE528" s="181"/>
      <c r="AF528" s="309"/>
    </row>
    <row r="529" spans="1:38">
      <c r="A529" s="183"/>
      <c r="B529" s="177"/>
      <c r="C529" s="40"/>
      <c r="D529" s="41"/>
      <c r="E529" s="178"/>
      <c r="F529" s="251"/>
      <c r="G529" s="101"/>
      <c r="H529" s="38"/>
      <c r="I529" s="42"/>
      <c r="J529" s="42"/>
      <c r="K529" s="43"/>
      <c r="L529" s="43"/>
      <c r="M529" s="44" t="str">
        <f>IF(LayTable[[#This Row],[Sport]]="","",LayTable[[#This Row],[LayInnsats]]*(LayTable[[#This Row],[LayOdds]]-1))</f>
        <v/>
      </c>
      <c r="N529" s="45" t="str">
        <f>IF(LayTable[[#This Row],[Sport]]="","",1/((1/LayTable[[#This Row],[BookieOdds]])+(1/((1/((1+((LayTable[[#This Row],[LayOdds]]-1)*(1+LayTable[[#This Row],[C% Lay]])))-1))+1)))-1)</f>
        <v/>
      </c>
      <c r="Q529" s="46" t="str">
        <f>IF(LayTable[[#This Row],[Sport]]="","",LayTable[[#This Row],[BookieInnsats]]+LayTable[[#This Row],[LayLiability]])</f>
        <v/>
      </c>
      <c r="R5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29" s="47" t="str">
        <f>IF(LayTable[[#This Row],[Utfall bookie]]="","",LayTable[[#This Row],[WBABack]]+LayTable[[#This Row],[WBALay]]-LayTable[[#This Row],[Total inns]])</f>
        <v/>
      </c>
      <c r="U5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29" s="48" t="str">
        <f>IFERROR(IF(LayTable[[#This Row],[Total inns]]="","",LayTable[[#This Row],[Rback]]/LayTable[[#This Row],[Total inns]]),"")</f>
        <v/>
      </c>
      <c r="X529" s="48" t="str">
        <f>IFERROR(IF(LayTable[[#This Row],[Total inns]]="","",LayTable[[#This Row],[Rlay]]/LayTable[[#This Row],[Total inns]]),"")</f>
        <v/>
      </c>
      <c r="Y529" s="48" t="str">
        <f>IFERROR(LayTable[[#This Row],[Faktisk res]]/LayTable[[#This Row],[Total inns]],"")</f>
        <v/>
      </c>
      <c r="Z529" s="47">
        <f>(LayTable[[#This Row],[BookieInnsats]]*LayTable[[#This Row],[BookieOdds]]-LayTable[[#This Row],[BookieInnsats]])*(1-LayTable[[#This Row],[C% Bookie]])</f>
        <v>0</v>
      </c>
      <c r="AA529" s="43">
        <f>LayTable[[#This Row],[LayInnsats]]*(1-LayTable[[#This Row],[C% Lay]])</f>
        <v>0</v>
      </c>
      <c r="AB529" s="43" t="str">
        <f>IFERROR(IF(LayTable[[#This Row],[Sport]]="",AB528,LayTable[[#This Row],[Faktisk res]]+AB528),"")</f>
        <v/>
      </c>
      <c r="AC529" s="43">
        <f>(LayTable[[#This Row],[BackWin-Commission]]+LayTable[[#This Row],[BookieInnsats]])</f>
        <v>0</v>
      </c>
      <c r="AD529" s="43" t="e">
        <f>(LayTable[[#This Row],[LayWin-Commission]])+LayTable[[#This Row],[LayLiability]]</f>
        <v>#VALUE!</v>
      </c>
      <c r="AE529" s="181"/>
      <c r="AF529" s="309"/>
    </row>
    <row r="530" spans="1:38">
      <c r="A530" s="183"/>
      <c r="B530" s="177"/>
      <c r="C530" s="40"/>
      <c r="D530" s="41"/>
      <c r="E530" s="178"/>
      <c r="F530" s="251"/>
      <c r="G530" s="101"/>
      <c r="H530" s="38"/>
      <c r="I530" s="42"/>
      <c r="J530" s="42"/>
      <c r="K530" s="43"/>
      <c r="L530" s="43"/>
      <c r="M530" s="44" t="str">
        <f>IF(LayTable[[#This Row],[Sport]]="","",LayTable[[#This Row],[LayInnsats]]*(LayTable[[#This Row],[LayOdds]]-1))</f>
        <v/>
      </c>
      <c r="N530" s="45" t="str">
        <f>IF(LayTable[[#This Row],[Sport]]="","",1/((1/LayTable[[#This Row],[BookieOdds]])+(1/((1/((1+((LayTable[[#This Row],[LayOdds]]-1)*(1+LayTable[[#This Row],[C% Lay]])))-1))+1)))-1)</f>
        <v/>
      </c>
      <c r="Q530" s="46" t="str">
        <f>IF(LayTable[[#This Row],[Sport]]="","",LayTable[[#This Row],[BookieInnsats]]+LayTable[[#This Row],[LayLiability]])</f>
        <v/>
      </c>
      <c r="R5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0" s="47" t="str">
        <f>IF(LayTable[[#This Row],[Utfall bookie]]="","",LayTable[[#This Row],[WBABack]]+LayTable[[#This Row],[WBALay]]-LayTable[[#This Row],[Total inns]])</f>
        <v/>
      </c>
      <c r="U5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0" s="48" t="str">
        <f>IFERROR(IF(LayTable[[#This Row],[Total inns]]="","",LayTable[[#This Row],[Rback]]/LayTable[[#This Row],[Total inns]]),"")</f>
        <v/>
      </c>
      <c r="X530" s="48" t="str">
        <f>IFERROR(IF(LayTable[[#This Row],[Total inns]]="","",LayTable[[#This Row],[Rlay]]/LayTable[[#This Row],[Total inns]]),"")</f>
        <v/>
      </c>
      <c r="Y530" s="48" t="str">
        <f>IFERROR(LayTable[[#This Row],[Faktisk res]]/LayTable[[#This Row],[Total inns]],"")</f>
        <v/>
      </c>
      <c r="Z530" s="47">
        <f>(LayTable[[#This Row],[BookieInnsats]]*LayTable[[#This Row],[BookieOdds]]-LayTable[[#This Row],[BookieInnsats]])*(1-LayTable[[#This Row],[C% Bookie]])</f>
        <v>0</v>
      </c>
      <c r="AA530" s="43">
        <f>LayTable[[#This Row],[LayInnsats]]*(1-LayTable[[#This Row],[C% Lay]])</f>
        <v>0</v>
      </c>
      <c r="AB530" s="43" t="str">
        <f>IFERROR(IF(LayTable[[#This Row],[Sport]]="",AB529,LayTable[[#This Row],[Faktisk res]]+AB529),"")</f>
        <v/>
      </c>
      <c r="AC530" s="43">
        <f>(LayTable[[#This Row],[BackWin-Commission]]+LayTable[[#This Row],[BookieInnsats]])</f>
        <v>0</v>
      </c>
      <c r="AD530" s="43" t="e">
        <f>(LayTable[[#This Row],[LayWin-Commission]])+LayTable[[#This Row],[LayLiability]]</f>
        <v>#VALUE!</v>
      </c>
      <c r="AE530" s="181"/>
      <c r="AF530" s="309"/>
    </row>
    <row r="531" spans="1:38">
      <c r="A531" s="84"/>
      <c r="B531" s="177"/>
      <c r="C531" s="40"/>
      <c r="D531" s="41"/>
      <c r="E531" s="178"/>
      <c r="F531" s="251"/>
      <c r="G531" s="101"/>
      <c r="H531" s="38"/>
      <c r="I531" s="42"/>
      <c r="J531" s="42"/>
      <c r="K531" s="43"/>
      <c r="L531" s="43"/>
      <c r="M531" s="44" t="str">
        <f>IF(LayTable[[#This Row],[Sport]]="","",LayTable[[#This Row],[LayInnsats]]*(LayTable[[#This Row],[LayOdds]]-1))</f>
        <v/>
      </c>
      <c r="N531" s="45" t="str">
        <f>IF(LayTable[[#This Row],[Sport]]="","",1/((1/LayTable[[#This Row],[BookieOdds]])+(1/((1/((1+((LayTable[[#This Row],[LayOdds]]-1)*(1+LayTable[[#This Row],[C% Lay]])))-1))+1)))-1)</f>
        <v/>
      </c>
      <c r="Q531" s="46" t="str">
        <f>IF(LayTable[[#This Row],[Sport]]="","",LayTable[[#This Row],[BookieInnsats]]+LayTable[[#This Row],[LayLiability]])</f>
        <v/>
      </c>
      <c r="R5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1" s="47" t="str">
        <f>IF(LayTable[[#This Row],[Utfall bookie]]="","",LayTable[[#This Row],[WBABack]]+LayTable[[#This Row],[WBALay]]-LayTable[[#This Row],[Total inns]])</f>
        <v/>
      </c>
      <c r="U5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1" s="48" t="str">
        <f>IFERROR(IF(LayTable[[#This Row],[Total inns]]="","",LayTable[[#This Row],[Rback]]/LayTable[[#This Row],[Total inns]]),"")</f>
        <v/>
      </c>
      <c r="X531" s="48" t="str">
        <f>IFERROR(IF(LayTable[[#This Row],[Total inns]]="","",LayTable[[#This Row],[Rlay]]/LayTable[[#This Row],[Total inns]]),"")</f>
        <v/>
      </c>
      <c r="Y531" s="48" t="str">
        <f>IFERROR(LayTable[[#This Row],[Faktisk res]]/LayTable[[#This Row],[Total inns]],"")</f>
        <v/>
      </c>
      <c r="Z531" s="47">
        <f>(LayTable[[#This Row],[BookieInnsats]]*LayTable[[#This Row],[BookieOdds]]-LayTable[[#This Row],[BookieInnsats]])*(1-LayTable[[#This Row],[C% Bookie]])</f>
        <v>0</v>
      </c>
      <c r="AA531" s="43">
        <f>LayTable[[#This Row],[LayInnsats]]*(1-LayTable[[#This Row],[C% Lay]])</f>
        <v>0</v>
      </c>
      <c r="AB531" s="43" t="str">
        <f>IFERROR(IF(LayTable[[#This Row],[Sport]]="",AB530,LayTable[[#This Row],[Faktisk res]]+AB530),"")</f>
        <v/>
      </c>
      <c r="AC531" s="43">
        <f>(LayTable[[#This Row],[BackWin-Commission]]+LayTable[[#This Row],[BookieInnsats]])</f>
        <v>0</v>
      </c>
      <c r="AD531" s="43" t="e">
        <f>(LayTable[[#This Row],[LayWin-Commission]])+LayTable[[#This Row],[LayLiability]]</f>
        <v>#VALUE!</v>
      </c>
      <c r="AE531" s="181"/>
      <c r="AF531" s="309"/>
    </row>
    <row r="532" spans="1:38">
      <c r="A532" s="84"/>
      <c r="B532" s="177"/>
      <c r="C532" s="40"/>
      <c r="D532" s="41"/>
      <c r="E532" s="178"/>
      <c r="F532" s="251"/>
      <c r="G532" s="101"/>
      <c r="H532" s="38"/>
      <c r="I532" s="42"/>
      <c r="J532" s="42"/>
      <c r="K532" s="43"/>
      <c r="L532" s="43"/>
      <c r="M532" s="44" t="str">
        <f>IF(LayTable[[#This Row],[Sport]]="","",LayTable[[#This Row],[LayInnsats]]*(LayTable[[#This Row],[LayOdds]]-1))</f>
        <v/>
      </c>
      <c r="N532" s="45" t="str">
        <f>IF(LayTable[[#This Row],[Sport]]="","",1/((1/LayTable[[#This Row],[BookieOdds]])+(1/((1/((1+((LayTable[[#This Row],[LayOdds]]-1)*(1+LayTable[[#This Row],[C% Lay]])))-1))+1)))-1)</f>
        <v/>
      </c>
      <c r="Q532" s="46" t="str">
        <f>IF(LayTable[[#This Row],[Sport]]="","",LayTable[[#This Row],[BookieInnsats]]+LayTable[[#This Row],[LayLiability]])</f>
        <v/>
      </c>
      <c r="R5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2" s="47" t="str">
        <f>IF(LayTable[[#This Row],[Utfall bookie]]="","",LayTable[[#This Row],[WBABack]]+LayTable[[#This Row],[WBALay]]-LayTable[[#This Row],[Total inns]])</f>
        <v/>
      </c>
      <c r="U5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2" s="48" t="str">
        <f>IFERROR(IF(LayTable[[#This Row],[Total inns]]="","",LayTable[[#This Row],[Rback]]/LayTable[[#This Row],[Total inns]]),"")</f>
        <v/>
      </c>
      <c r="X532" s="48" t="str">
        <f>IFERROR(IF(LayTable[[#This Row],[Total inns]]="","",LayTable[[#This Row],[Rlay]]/LayTable[[#This Row],[Total inns]]),"")</f>
        <v/>
      </c>
      <c r="Y532" s="48" t="str">
        <f>IFERROR(LayTable[[#This Row],[Faktisk res]]/LayTable[[#This Row],[Total inns]],"")</f>
        <v/>
      </c>
      <c r="Z532" s="47">
        <f>(LayTable[[#This Row],[BookieInnsats]]*LayTable[[#This Row],[BookieOdds]]-LayTable[[#This Row],[BookieInnsats]])*(1-LayTable[[#This Row],[C% Bookie]])</f>
        <v>0</v>
      </c>
      <c r="AA532" s="43">
        <f>LayTable[[#This Row],[LayInnsats]]*(1-LayTable[[#This Row],[C% Lay]])</f>
        <v>0</v>
      </c>
      <c r="AB532" s="43" t="str">
        <f>IFERROR(IF(LayTable[[#This Row],[Sport]]="",AB531,LayTable[[#This Row],[Faktisk res]]+AB531),"")</f>
        <v/>
      </c>
      <c r="AC532" s="43">
        <f>(LayTable[[#This Row],[BackWin-Commission]]+LayTable[[#This Row],[BookieInnsats]])</f>
        <v>0</v>
      </c>
      <c r="AD532" s="43" t="e">
        <f>(LayTable[[#This Row],[LayWin-Commission]])+LayTable[[#This Row],[LayLiability]]</f>
        <v>#VALUE!</v>
      </c>
      <c r="AE532" s="309"/>
      <c r="AF532" s="309"/>
    </row>
    <row r="533" spans="1:38">
      <c r="A533" s="84"/>
      <c r="B533" s="177"/>
      <c r="C533" s="40"/>
      <c r="D533" s="41"/>
      <c r="E533" s="178"/>
      <c r="F533" s="251"/>
      <c r="G533" s="101"/>
      <c r="H533" s="38"/>
      <c r="I533" s="42"/>
      <c r="J533" s="42"/>
      <c r="K533" s="43"/>
      <c r="L533" s="43"/>
      <c r="M533" s="44" t="str">
        <f>IF(LayTable[[#This Row],[Sport]]="","",LayTable[[#This Row],[LayInnsats]]*(LayTable[[#This Row],[LayOdds]]-1))</f>
        <v/>
      </c>
      <c r="N533" s="45"/>
      <c r="Q533" s="46" t="str">
        <f>IF(LayTable[[#This Row],[Sport]]="","",LayTable[[#This Row],[BookieInnsats]]+LayTable[[#This Row],[LayLiability]])</f>
        <v/>
      </c>
      <c r="R5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3" s="47" t="str">
        <f>IF(LayTable[[#This Row],[Utfall bookie]]="","",LayTable[[#This Row],[WBABack]]+LayTable[[#This Row],[WBALay]]-LayTable[[#This Row],[Total inns]])</f>
        <v/>
      </c>
      <c r="U5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3" s="48" t="str">
        <f>IFERROR(IF(LayTable[[#This Row],[Total inns]]="","",LayTable[[#This Row],[Rback]]/LayTable[[#This Row],[Total inns]]),"")</f>
        <v/>
      </c>
      <c r="X533" s="48" t="str">
        <f>IFERROR(IF(LayTable[[#This Row],[Total inns]]="","",LayTable[[#This Row],[Rlay]]/LayTable[[#This Row],[Total inns]]),"")</f>
        <v/>
      </c>
      <c r="Y533" s="48" t="str">
        <f>IFERROR(LayTable[[#This Row],[Faktisk res]]/LayTable[[#This Row],[Total inns]],"")</f>
        <v/>
      </c>
      <c r="Z533" s="47">
        <f>(LayTable[[#This Row],[BookieInnsats]]*LayTable[[#This Row],[BookieOdds]]-LayTable[[#This Row],[BookieInnsats]])*(1-LayTable[[#This Row],[C% Bookie]])</f>
        <v>0</v>
      </c>
      <c r="AA533" s="43">
        <f>LayTable[[#This Row],[LayInnsats]]*(1-LayTable[[#This Row],[C% Lay]])</f>
        <v>0</v>
      </c>
      <c r="AB533" s="43" t="str">
        <f>IFERROR(IF(LayTable[[#This Row],[Sport]]="",AB532,LayTable[[#This Row],[Faktisk res]]+AB532),"")</f>
        <v/>
      </c>
      <c r="AC533" s="43">
        <f>(LayTable[[#This Row],[BackWin-Commission]]+LayTable[[#This Row],[BookieInnsats]])</f>
        <v>0</v>
      </c>
      <c r="AD533" s="43" t="e">
        <f>(LayTable[[#This Row],[LayWin-Commission]])+LayTable[[#This Row],[LayLiability]]</f>
        <v>#VALUE!</v>
      </c>
      <c r="AE533" s="309"/>
      <c r="AF533" s="309"/>
    </row>
    <row r="534" spans="1:38">
      <c r="A534" s="84"/>
      <c r="B534" s="177"/>
      <c r="C534" s="40"/>
      <c r="D534" s="41"/>
      <c r="E534" s="178"/>
      <c r="F534" s="251"/>
      <c r="G534" s="101"/>
      <c r="H534" s="38"/>
      <c r="I534" s="42"/>
      <c r="J534" s="42"/>
      <c r="K534" s="43"/>
      <c r="L534" s="43"/>
      <c r="M534" s="44" t="str">
        <f>IF(LayTable[[#This Row],[Sport]]="","",LayTable[[#This Row],[LayInnsats]]*(LayTable[[#This Row],[LayOdds]]-1))</f>
        <v/>
      </c>
      <c r="N534" s="45"/>
      <c r="Q534" s="46" t="str">
        <f>IF(LayTable[[#This Row],[Sport]]="","",LayTable[[#This Row],[BookieInnsats]]+LayTable[[#This Row],[LayLiability]])</f>
        <v/>
      </c>
      <c r="R5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4" s="47" t="str">
        <f>IF(LayTable[[#This Row],[Utfall bookie]]="","",LayTable[[#This Row],[WBABack]]+LayTable[[#This Row],[WBALay]]-LayTable[[#This Row],[Total inns]])</f>
        <v/>
      </c>
      <c r="U5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4" s="48" t="str">
        <f>IFERROR(IF(LayTable[[#This Row],[Total inns]]="","",LayTable[[#This Row],[Rback]]/LayTable[[#This Row],[Total inns]]),"")</f>
        <v/>
      </c>
      <c r="X534" s="48" t="str">
        <f>IFERROR(IF(LayTable[[#This Row],[Total inns]]="","",LayTable[[#This Row],[Rlay]]/LayTable[[#This Row],[Total inns]]),"")</f>
        <v/>
      </c>
      <c r="Y534" s="48" t="str">
        <f>IFERROR(LayTable[[#This Row],[Faktisk res]]/LayTable[[#This Row],[Total inns]],"")</f>
        <v/>
      </c>
      <c r="Z534" s="47">
        <f>(LayTable[[#This Row],[BookieInnsats]]*LayTable[[#This Row],[BookieOdds]]-LayTable[[#This Row],[BookieInnsats]])*(1-LayTable[[#This Row],[C% Bookie]])</f>
        <v>0</v>
      </c>
      <c r="AA534" s="43">
        <f>LayTable[[#This Row],[LayInnsats]]*(1-LayTable[[#This Row],[C% Lay]])</f>
        <v>0</v>
      </c>
      <c r="AB534" s="43" t="str">
        <f>IFERROR(IF(LayTable[[#This Row],[Sport]]="",AB533,LayTable[[#This Row],[Faktisk res]]+AB533),"")</f>
        <v/>
      </c>
      <c r="AC534" s="43">
        <f>(LayTable[[#This Row],[BackWin-Commission]]+LayTable[[#This Row],[BookieInnsats]])</f>
        <v>0</v>
      </c>
      <c r="AD534" s="43" t="e">
        <f>(LayTable[[#This Row],[LayWin-Commission]])+LayTable[[#This Row],[LayLiability]]</f>
        <v>#VALUE!</v>
      </c>
      <c r="AE534" s="309"/>
      <c r="AF534" s="309"/>
    </row>
    <row r="535" spans="1:38">
      <c r="A535" s="84"/>
      <c r="B535" s="177"/>
      <c r="C535" s="40"/>
      <c r="D535" s="41"/>
      <c r="E535" s="178"/>
      <c r="F535" s="251"/>
      <c r="G535" s="101"/>
      <c r="H535" s="38"/>
      <c r="I535" s="42"/>
      <c r="J535" s="42"/>
      <c r="K535" s="43"/>
      <c r="L535" s="43"/>
      <c r="M535" s="44" t="str">
        <f>IF(LayTable[[#This Row],[Sport]]="","",LayTable[[#This Row],[LayInnsats]]*(LayTable[[#This Row],[LayOdds]]-1))</f>
        <v/>
      </c>
      <c r="N535" s="45"/>
      <c r="Q535" s="46" t="str">
        <f>IF(LayTable[[#This Row],[Sport]]="","",LayTable[[#This Row],[BookieInnsats]]+LayTable[[#This Row],[LayLiability]])</f>
        <v/>
      </c>
      <c r="R5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5" s="47" t="str">
        <f>IF(LayTable[[#This Row],[Utfall bookie]]="","",LayTable[[#This Row],[WBABack]]+LayTable[[#This Row],[WBALay]]-LayTable[[#This Row],[Total inns]])</f>
        <v/>
      </c>
      <c r="U5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5" s="48" t="str">
        <f>IFERROR(IF(LayTable[[#This Row],[Total inns]]="","",LayTable[[#This Row],[Rback]]/LayTable[[#This Row],[Total inns]]),"")</f>
        <v/>
      </c>
      <c r="X535" s="48" t="str">
        <f>IFERROR(IF(LayTable[[#This Row],[Total inns]]="","",LayTable[[#This Row],[Rlay]]/LayTable[[#This Row],[Total inns]]),"")</f>
        <v/>
      </c>
      <c r="Y535" s="48" t="str">
        <f>IFERROR(LayTable[[#This Row],[Faktisk res]]/LayTable[[#This Row],[Total inns]],"")</f>
        <v/>
      </c>
      <c r="Z535" s="47">
        <f>(LayTable[[#This Row],[BookieInnsats]]*LayTable[[#This Row],[BookieOdds]]-LayTable[[#This Row],[BookieInnsats]])*(1-LayTable[[#This Row],[C% Bookie]])</f>
        <v>0</v>
      </c>
      <c r="AA535" s="43">
        <f>LayTable[[#This Row],[LayInnsats]]*(1-LayTable[[#This Row],[C% Lay]])</f>
        <v>0</v>
      </c>
      <c r="AB535" s="43" t="str">
        <f>IFERROR(IF(LayTable[[#This Row],[Sport]]="",AB534,LayTable[[#This Row],[Faktisk res]]+AB534),"")</f>
        <v/>
      </c>
      <c r="AC535" s="43">
        <f>(LayTable[[#This Row],[BackWin-Commission]]+LayTable[[#This Row],[BookieInnsats]])</f>
        <v>0</v>
      </c>
      <c r="AD535" s="43" t="e">
        <f>(LayTable[[#This Row],[LayWin-Commission]])+LayTable[[#This Row],[LayLiability]]</f>
        <v>#VALUE!</v>
      </c>
      <c r="AE535" s="309"/>
      <c r="AF535" s="309"/>
    </row>
    <row r="536" spans="1:38">
      <c r="A536" s="84"/>
      <c r="B536" s="177"/>
      <c r="C536" s="40"/>
      <c r="D536" s="41"/>
      <c r="E536" s="178"/>
      <c r="F536" s="251"/>
      <c r="G536" s="101"/>
      <c r="H536" s="38"/>
      <c r="I536" s="42"/>
      <c r="J536" s="42"/>
      <c r="K536" s="43"/>
      <c r="L536" s="43"/>
      <c r="M536" s="44" t="str">
        <f>IF(LayTable[[#This Row],[Sport]]="","",LayTable[[#This Row],[LayInnsats]]*(LayTable[[#This Row],[LayOdds]]-1))</f>
        <v/>
      </c>
      <c r="N536" s="45"/>
      <c r="Q536" s="46" t="str">
        <f>IF(LayTable[[#This Row],[Sport]]="","",LayTable[[#This Row],[BookieInnsats]]+LayTable[[#This Row],[LayLiability]])</f>
        <v/>
      </c>
      <c r="R5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6" s="47" t="str">
        <f>IF(LayTable[[#This Row],[Utfall bookie]]="","",LayTable[[#This Row],[WBABack]]+LayTable[[#This Row],[WBALay]]-LayTable[[#This Row],[Total inns]])</f>
        <v/>
      </c>
      <c r="U5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6" s="48" t="str">
        <f>IFERROR(IF(LayTable[[#This Row],[Total inns]]="","",LayTable[[#This Row],[Rback]]/LayTable[[#This Row],[Total inns]]),"")</f>
        <v/>
      </c>
      <c r="X536" s="48" t="str">
        <f>IFERROR(IF(LayTable[[#This Row],[Total inns]]="","",LayTable[[#This Row],[Rlay]]/LayTable[[#This Row],[Total inns]]),"")</f>
        <v/>
      </c>
      <c r="Y536" s="48" t="str">
        <f>IFERROR(LayTable[[#This Row],[Faktisk res]]/LayTable[[#This Row],[Total inns]],"")</f>
        <v/>
      </c>
      <c r="Z536" s="47">
        <f>(LayTable[[#This Row],[BookieInnsats]]*LayTable[[#This Row],[BookieOdds]]-LayTable[[#This Row],[BookieInnsats]])*(1-LayTable[[#This Row],[C% Bookie]])</f>
        <v>0</v>
      </c>
      <c r="AA536" s="43">
        <f>LayTable[[#This Row],[LayInnsats]]*(1-LayTable[[#This Row],[C% Lay]])</f>
        <v>0</v>
      </c>
      <c r="AB536" s="43" t="str">
        <f>IFERROR(IF(LayTable[[#This Row],[Sport]]="",AB535,LayTable[[#This Row],[Faktisk res]]+AB535),"")</f>
        <v/>
      </c>
      <c r="AC536" s="43">
        <f>(LayTable[[#This Row],[BackWin-Commission]]+LayTable[[#This Row],[BookieInnsats]])</f>
        <v>0</v>
      </c>
      <c r="AD536" s="43" t="e">
        <f>(LayTable[[#This Row],[LayWin-Commission]])+LayTable[[#This Row],[LayLiability]]</f>
        <v>#VALUE!</v>
      </c>
      <c r="AE536" s="309"/>
      <c r="AF536" s="309"/>
    </row>
    <row r="537" spans="1:38">
      <c r="A537" s="84"/>
      <c r="B537" s="177"/>
      <c r="C537" s="40"/>
      <c r="D537" s="41"/>
      <c r="E537" s="178"/>
      <c r="F537" s="251"/>
      <c r="G537" s="101"/>
      <c r="H537" s="38"/>
      <c r="I537" s="42"/>
      <c r="J537" s="42"/>
      <c r="K537" s="43"/>
      <c r="L537" s="43"/>
      <c r="M537" s="44" t="str">
        <f>IF(LayTable[[#This Row],[Sport]]="","",LayTable[[#This Row],[LayInnsats]]*(LayTable[[#This Row],[LayOdds]]-1))</f>
        <v/>
      </c>
      <c r="N537" s="45"/>
      <c r="Q537" s="46" t="str">
        <f>IF(LayTable[[#This Row],[Sport]]="","",LayTable[[#This Row],[BookieInnsats]]+LayTable[[#This Row],[LayLiability]])</f>
        <v/>
      </c>
      <c r="R5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7" s="47" t="str">
        <f>IF(LayTable[[#This Row],[Utfall bookie]]="","",LayTable[[#This Row],[WBABack]]+LayTable[[#This Row],[WBALay]]-LayTable[[#This Row],[Total inns]])</f>
        <v/>
      </c>
      <c r="U5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7" s="48" t="str">
        <f>IFERROR(IF(LayTable[[#This Row],[Total inns]]="","",LayTable[[#This Row],[Rback]]/LayTable[[#This Row],[Total inns]]),"")</f>
        <v/>
      </c>
      <c r="X537" s="48" t="str">
        <f>IFERROR(IF(LayTable[[#This Row],[Total inns]]="","",LayTable[[#This Row],[Rlay]]/LayTable[[#This Row],[Total inns]]),"")</f>
        <v/>
      </c>
      <c r="Y537" s="48" t="str">
        <f>IFERROR(LayTable[[#This Row],[Faktisk res]]/LayTable[[#This Row],[Total inns]],"")</f>
        <v/>
      </c>
      <c r="Z537" s="47">
        <f>(LayTable[[#This Row],[BookieInnsats]]*LayTable[[#This Row],[BookieOdds]]-LayTable[[#This Row],[BookieInnsats]])*(1-LayTable[[#This Row],[C% Bookie]])</f>
        <v>0</v>
      </c>
      <c r="AA537" s="43">
        <f>LayTable[[#This Row],[LayInnsats]]*(1-LayTable[[#This Row],[C% Lay]])</f>
        <v>0</v>
      </c>
      <c r="AB537" s="43" t="str">
        <f>IFERROR(IF(LayTable[[#This Row],[Sport]]="",AB536,LayTable[[#This Row],[Faktisk res]]+AB536),"")</f>
        <v/>
      </c>
      <c r="AC537" s="43">
        <f>(LayTable[[#This Row],[BackWin-Commission]]+LayTable[[#This Row],[BookieInnsats]])</f>
        <v>0</v>
      </c>
      <c r="AD537" s="43" t="e">
        <f>(LayTable[[#This Row],[LayWin-Commission]])+LayTable[[#This Row],[LayLiability]]</f>
        <v>#VALUE!</v>
      </c>
      <c r="AE537" s="181"/>
      <c r="AF537" s="309"/>
    </row>
    <row r="538" spans="1:38">
      <c r="A538" s="84"/>
      <c r="B538" s="39"/>
      <c r="C538" s="40"/>
      <c r="D538" s="41"/>
      <c r="E538" s="40"/>
      <c r="F538" s="251"/>
      <c r="G538" s="101"/>
      <c r="H538" s="38"/>
      <c r="I538" s="42"/>
      <c r="J538" s="42"/>
      <c r="K538" s="43"/>
      <c r="L538" s="43"/>
      <c r="M538" s="44" t="str">
        <f>IF(LayTable[[#This Row],[Sport]]="","",LayTable[[#This Row],[LayInnsats]]*(LayTable[[#This Row],[LayOdds]]-1))</f>
        <v/>
      </c>
      <c r="N538" s="45"/>
      <c r="Q538" s="46" t="str">
        <f>IF(LayTable[[#This Row],[Sport]]="","",LayTable[[#This Row],[BookieInnsats]]+LayTable[[#This Row],[LayLiability]])</f>
        <v/>
      </c>
      <c r="R5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8" s="47" t="str">
        <f>IF(LayTable[[#This Row],[Utfall bookie]]="","",LayTable[[#This Row],[WBABack]]+LayTable[[#This Row],[WBALay]]-LayTable[[#This Row],[Total inns]])</f>
        <v/>
      </c>
      <c r="U5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8" s="48" t="str">
        <f>IFERROR(IF(LayTable[[#This Row],[Total inns]]="","",LayTable[[#This Row],[Rback]]/LayTable[[#This Row],[Total inns]]),"")</f>
        <v/>
      </c>
      <c r="X538" s="48" t="str">
        <f>IFERROR(IF(LayTable[[#This Row],[Total inns]]="","",LayTable[[#This Row],[Rlay]]/LayTable[[#This Row],[Total inns]]),"")</f>
        <v/>
      </c>
      <c r="Y538" s="48" t="str">
        <f>IFERROR(LayTable[[#This Row],[Faktisk res]]/LayTable[[#This Row],[Total inns]],"")</f>
        <v/>
      </c>
      <c r="Z538" s="47">
        <f>(LayTable[[#This Row],[BookieInnsats]]*LayTable[[#This Row],[BookieOdds]]-LayTable[[#This Row],[BookieInnsats]])*(1-LayTable[[#This Row],[C% Bookie]])</f>
        <v>0</v>
      </c>
      <c r="AA538" s="43">
        <f>LayTable[[#This Row],[LayInnsats]]*(1-LayTable[[#This Row],[C% Lay]])</f>
        <v>0</v>
      </c>
      <c r="AB538" s="43" t="str">
        <f>IFERROR(IF(LayTable[[#This Row],[Sport]]="",AB537,LayTable[[#This Row],[Faktisk res]]+AB537),"")</f>
        <v/>
      </c>
      <c r="AC538" s="43">
        <f>(LayTable[[#This Row],[BackWin-Commission]]+LayTable[[#This Row],[BookieInnsats]])</f>
        <v>0</v>
      </c>
      <c r="AD538" s="43" t="e">
        <f>(LayTable[[#This Row],[LayWin-Commission]])+LayTable[[#This Row],[LayLiability]]</f>
        <v>#VALUE!</v>
      </c>
      <c r="AE538" s="309"/>
      <c r="AF538" s="309"/>
    </row>
    <row r="539" spans="1:38">
      <c r="A539" s="84"/>
      <c r="B539" s="39"/>
      <c r="C539" s="40"/>
      <c r="D539" s="41"/>
      <c r="E539" s="40"/>
      <c r="F539" s="251"/>
      <c r="G539" s="101"/>
      <c r="H539" s="38"/>
      <c r="I539" s="42"/>
      <c r="J539" s="42"/>
      <c r="K539" s="43"/>
      <c r="L539" s="43"/>
      <c r="M539" s="44" t="str">
        <f>IF(LayTable[[#This Row],[Sport]]="","",LayTable[[#This Row],[LayInnsats]]*(LayTable[[#This Row],[LayOdds]]-1))</f>
        <v/>
      </c>
      <c r="N539" s="45"/>
      <c r="Q539" s="46" t="str">
        <f>IF(LayTable[[#This Row],[Sport]]="","",LayTable[[#This Row],[BookieInnsats]]+LayTable[[#This Row],[LayLiability]])</f>
        <v/>
      </c>
      <c r="R5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39" s="47" t="str">
        <f>IF(LayTable[[#This Row],[Utfall bookie]]="","",LayTable[[#This Row],[WBABack]]+LayTable[[#This Row],[WBALay]]-LayTable[[#This Row],[Total inns]])</f>
        <v/>
      </c>
      <c r="U5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39" s="48" t="str">
        <f>IFERROR(IF(LayTable[[#This Row],[Total inns]]="","",LayTable[[#This Row],[Rback]]/LayTable[[#This Row],[Total inns]]),"")</f>
        <v/>
      </c>
      <c r="X539" s="48" t="str">
        <f>IFERROR(IF(LayTable[[#This Row],[Total inns]]="","",LayTable[[#This Row],[Rlay]]/LayTable[[#This Row],[Total inns]]),"")</f>
        <v/>
      </c>
      <c r="Y539" s="48" t="str">
        <f>IFERROR(LayTable[[#This Row],[Faktisk res]]/LayTable[[#This Row],[Total inns]],"")</f>
        <v/>
      </c>
      <c r="Z539" s="47">
        <v>2.2599999999999998</v>
      </c>
      <c r="AA539" s="43">
        <v>4300</v>
      </c>
      <c r="AB539" s="43">
        <v>4914.29</v>
      </c>
      <c r="AC539" s="43"/>
      <c r="AD539" s="43"/>
      <c r="AE539" s="181"/>
      <c r="AF539" s="309"/>
      <c r="AL539" s="37" t="s">
        <v>485</v>
      </c>
    </row>
    <row r="540" spans="1:38">
      <c r="A540" s="84"/>
      <c r="B540" s="39"/>
      <c r="C540" s="40"/>
      <c r="D540" s="41"/>
      <c r="E540" s="40"/>
      <c r="F540" s="251"/>
      <c r="G540" s="101"/>
      <c r="H540" s="38"/>
      <c r="I540" s="42"/>
      <c r="J540" s="42"/>
      <c r="K540" s="43"/>
      <c r="L540" s="43"/>
      <c r="M540" s="44" t="str">
        <f>IF(LayTable[[#This Row],[Sport]]="","",LayTable[[#This Row],[LayInnsats]]*(LayTable[[#This Row],[LayOdds]]-1))</f>
        <v/>
      </c>
      <c r="N540" s="45"/>
      <c r="Q540" s="46" t="str">
        <f>IF(LayTable[[#This Row],[Sport]]="","",LayTable[[#This Row],[BookieInnsats]]+LayTable[[#This Row],[LayLiability]])</f>
        <v/>
      </c>
      <c r="R5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0" s="47" t="str">
        <f>IF(LayTable[[#This Row],[Utfall bookie]]="","",LayTable[[#This Row],[WBABack]]+LayTable[[#This Row],[WBALay]]-LayTable[[#This Row],[Total inns]])</f>
        <v/>
      </c>
      <c r="U5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0" s="48" t="str">
        <f>IFERROR(IF(LayTable[[#This Row],[Total inns]]="","",LayTable[[#This Row],[Rback]]/LayTable[[#This Row],[Total inns]]),"")</f>
        <v/>
      </c>
      <c r="X540" s="48" t="str">
        <f>IFERROR(IF(LayTable[[#This Row],[Total inns]]="","",LayTable[[#This Row],[Rlay]]/LayTable[[#This Row],[Total inns]]),"")</f>
        <v/>
      </c>
      <c r="Y540" s="48" t="str">
        <f>IFERROR(LayTable[[#This Row],[Faktisk res]]/LayTable[[#This Row],[Total inns]],"")</f>
        <v/>
      </c>
      <c r="Z540" s="47">
        <f>(LayTable[[#This Row],[BookieInnsats]]*LayTable[[#This Row],[BookieOdds]]-LayTable[[#This Row],[BookieInnsats]])*(1-LayTable[[#This Row],[C% Bookie]])</f>
        <v>0</v>
      </c>
      <c r="AA540" s="43">
        <f>LayTable[[#This Row],[LayInnsats]]*(1-LayTable[[#This Row],[C% Lay]])</f>
        <v>0</v>
      </c>
      <c r="AB540" s="43">
        <f>IFERROR(IF(LayTable[[#This Row],[Sport]]="",AB539,LayTable[[#This Row],[Faktisk res]]+AB539),"")</f>
        <v>4914.29</v>
      </c>
      <c r="AC540" s="43">
        <f>(LayTable[[#This Row],[BackWin-Commission]]+LayTable[[#This Row],[BookieInnsats]])</f>
        <v>0</v>
      </c>
      <c r="AD540" s="43" t="e">
        <f>(LayTable[[#This Row],[LayWin-Commission]])+LayTable[[#This Row],[LayLiability]]</f>
        <v>#VALUE!</v>
      </c>
      <c r="AE540" s="309"/>
      <c r="AF540" s="309"/>
    </row>
    <row r="541" spans="1:38">
      <c r="A541" s="84"/>
      <c r="B541" s="39"/>
      <c r="C541" s="40"/>
      <c r="D541" s="41"/>
      <c r="E541" s="40"/>
      <c r="F541" s="41"/>
      <c r="G541" s="101"/>
      <c r="H541" s="38"/>
      <c r="I541" s="42"/>
      <c r="J541" s="42"/>
      <c r="K541" s="43"/>
      <c r="L541" s="43"/>
      <c r="M541" s="44" t="str">
        <f>IF(LayTable[[#This Row],[Sport]]="","",LayTable[[#This Row],[LayInnsats]]*(LayTable[[#This Row],[LayOdds]]-1))</f>
        <v/>
      </c>
      <c r="N541" s="45"/>
      <c r="Q541" s="46" t="str">
        <f>IF(LayTable[[#This Row],[Sport]]="","",LayTable[[#This Row],[BookieInnsats]]+LayTable[[#This Row],[LayLiability]])</f>
        <v/>
      </c>
      <c r="R5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1" s="47" t="str">
        <f>IF(LayTable[[#This Row],[Utfall bookie]]="","",LayTable[[#This Row],[WBABack]]+LayTable[[#This Row],[WBALay]]-LayTable[[#This Row],[Total inns]])</f>
        <v/>
      </c>
      <c r="U5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1" s="48" t="str">
        <f>IFERROR(IF(LayTable[[#This Row],[Total inns]]="","",LayTable[[#This Row],[Rback]]/LayTable[[#This Row],[Total inns]]),"")</f>
        <v/>
      </c>
      <c r="X541" s="48" t="str">
        <f>IFERROR(IF(LayTable[[#This Row],[Total inns]]="","",LayTable[[#This Row],[Rlay]]/LayTable[[#This Row],[Total inns]]),"")</f>
        <v/>
      </c>
      <c r="Y541" s="48" t="str">
        <f>IFERROR(LayTable[[#This Row],[Faktisk res]]/LayTable[[#This Row],[Total inns]],"")</f>
        <v/>
      </c>
      <c r="Z541" s="47">
        <f>(LayTable[[#This Row],[BookieInnsats]]*LayTable[[#This Row],[BookieOdds]]-LayTable[[#This Row],[BookieInnsats]])*(1-LayTable[[#This Row],[C% Bookie]])</f>
        <v>0</v>
      </c>
      <c r="AA541" s="43">
        <f>LayTable[[#This Row],[LayInnsats]]*(1-LayTable[[#This Row],[C% Lay]])</f>
        <v>0</v>
      </c>
      <c r="AB541" s="43">
        <f>IFERROR(IF(LayTable[[#This Row],[Sport]]="",AB540,LayTable[[#This Row],[Faktisk res]]+AB540),"")</f>
        <v>4914.29</v>
      </c>
      <c r="AC541" s="43">
        <f>(LayTable[[#This Row],[BackWin-Commission]]+LayTable[[#This Row],[BookieInnsats]])</f>
        <v>0</v>
      </c>
      <c r="AD541" s="43" t="e">
        <f>(LayTable[[#This Row],[LayWin-Commission]])+LayTable[[#This Row],[LayLiability]]</f>
        <v>#VALUE!</v>
      </c>
      <c r="AE541" s="309"/>
      <c r="AF541" s="309"/>
    </row>
    <row r="542" spans="1:38">
      <c r="A542" s="84"/>
      <c r="B542" s="39"/>
      <c r="C542" s="40"/>
      <c r="D542" s="41"/>
      <c r="E542" s="40"/>
      <c r="F542" s="41"/>
      <c r="G542" s="101"/>
      <c r="H542" s="38"/>
      <c r="I542" s="42"/>
      <c r="J542" s="42"/>
      <c r="K542" s="43"/>
      <c r="L542" s="43"/>
      <c r="M542" s="44" t="str">
        <f>IF(LayTable[[#This Row],[Sport]]="","",LayTable[[#This Row],[LayInnsats]]*(LayTable[[#This Row],[LayOdds]]-1))</f>
        <v/>
      </c>
      <c r="N542" s="45"/>
      <c r="Q542" s="46" t="str">
        <f>IF(LayTable[[#This Row],[Sport]]="","",LayTable[[#This Row],[BookieInnsats]]+LayTable[[#This Row],[LayLiability]])</f>
        <v/>
      </c>
      <c r="R5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2" s="47" t="str">
        <f>IF(LayTable[[#This Row],[Utfall bookie]]="","",LayTable[[#This Row],[WBABack]]+LayTable[[#This Row],[WBALay]]-LayTable[[#This Row],[Total inns]])</f>
        <v/>
      </c>
      <c r="U5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2" s="48" t="str">
        <f>IFERROR(IF(LayTable[[#This Row],[Total inns]]="","",LayTable[[#This Row],[Rback]]/LayTable[[#This Row],[Total inns]]),"")</f>
        <v/>
      </c>
      <c r="X542" s="48" t="str">
        <f>IFERROR(IF(LayTable[[#This Row],[Total inns]]="","",LayTable[[#This Row],[Rlay]]/LayTable[[#This Row],[Total inns]]),"")</f>
        <v/>
      </c>
      <c r="Y542" s="48" t="str">
        <f>IFERROR(LayTable[[#This Row],[Faktisk res]]/LayTable[[#This Row],[Total inns]],"")</f>
        <v/>
      </c>
      <c r="Z542" s="47">
        <f>(LayTable[[#This Row],[BookieInnsats]]*LayTable[[#This Row],[BookieOdds]]-LayTable[[#This Row],[BookieInnsats]])*(1-LayTable[[#This Row],[C% Bookie]])</f>
        <v>0</v>
      </c>
      <c r="AA542" s="43">
        <f>LayTable[[#This Row],[LayInnsats]]*(1-LayTable[[#This Row],[C% Lay]])</f>
        <v>0</v>
      </c>
      <c r="AB542" s="43">
        <f>IFERROR(IF(LayTable[[#This Row],[Sport]]="",AB541,LayTable[[#This Row],[Faktisk res]]+AB541),"")</f>
        <v>4914.29</v>
      </c>
      <c r="AC542" s="43">
        <f>(LayTable[[#This Row],[BackWin-Commission]]+LayTable[[#This Row],[BookieInnsats]])</f>
        <v>0</v>
      </c>
      <c r="AD542" s="43" t="e">
        <f>(LayTable[[#This Row],[LayWin-Commission]])+LayTable[[#This Row],[LayLiability]]</f>
        <v>#VALUE!</v>
      </c>
      <c r="AE542" s="309"/>
      <c r="AF542" s="309"/>
    </row>
    <row r="543" spans="1:38">
      <c r="A543" s="84"/>
      <c r="B543" s="39"/>
      <c r="C543" s="40"/>
      <c r="D543" s="41"/>
      <c r="E543" s="40"/>
      <c r="F543" s="41"/>
      <c r="G543" s="101"/>
      <c r="H543" s="38"/>
      <c r="I543" s="42"/>
      <c r="J543" s="42"/>
      <c r="K543" s="43"/>
      <c r="L543" s="43"/>
      <c r="M543" s="44" t="str">
        <f>IF(LayTable[[#This Row],[Sport]]="","",LayTable[[#This Row],[LayInnsats]]*(LayTable[[#This Row],[LayOdds]]-1))</f>
        <v/>
      </c>
      <c r="N543" s="45" t="str">
        <f>IF(LayTable[[#This Row],[Sport]]="","",1/((1/LayTable[[#This Row],[BookieOdds]])+(1/((1/((1+((LayTable[[#This Row],[LayOdds]]-1)*(1+LayTable[[#This Row],[C% Lay]])))-1))+1)))-1)</f>
        <v/>
      </c>
      <c r="Q543" s="46" t="str">
        <f>IF(LayTable[[#This Row],[Sport]]="","",LayTable[[#This Row],[BookieInnsats]]+LayTable[[#This Row],[LayLiability]])</f>
        <v/>
      </c>
      <c r="R5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3" s="47" t="str">
        <f>IF(LayTable[[#This Row],[Utfall bookie]]="","",LayTable[[#This Row],[WBABack]]+LayTable[[#This Row],[WBALay]]-LayTable[[#This Row],[Total inns]])</f>
        <v/>
      </c>
      <c r="U5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3" s="48" t="str">
        <f>IFERROR(IF(LayTable[[#This Row],[Total inns]]="","",LayTable[[#This Row],[Rback]]/LayTable[[#This Row],[Total inns]]),"")</f>
        <v/>
      </c>
      <c r="X543" s="48" t="str">
        <f>IFERROR(IF(LayTable[[#This Row],[Total inns]]="","",LayTable[[#This Row],[Rlay]]/LayTable[[#This Row],[Total inns]]),"")</f>
        <v/>
      </c>
      <c r="Y543" s="48" t="str">
        <f>IFERROR(LayTable[[#This Row],[Faktisk res]]/LayTable[[#This Row],[Total inns]],"")</f>
        <v/>
      </c>
      <c r="Z543" s="47">
        <f>(LayTable[[#This Row],[BookieInnsats]]*LayTable[[#This Row],[BookieOdds]]-LayTable[[#This Row],[BookieInnsats]])*(1-LayTable[[#This Row],[C% Bookie]])</f>
        <v>0</v>
      </c>
      <c r="AA543" s="43">
        <f>LayTable[[#This Row],[LayInnsats]]*(1-LayTable[[#This Row],[C% Lay]])</f>
        <v>0</v>
      </c>
      <c r="AB543" s="43">
        <f>IFERROR(IF(LayTable[[#This Row],[Sport]]="",AB542,LayTable[[#This Row],[Faktisk res]]+AB542),"")</f>
        <v>4914.29</v>
      </c>
      <c r="AC543" s="43">
        <f>(LayTable[[#This Row],[BackWin-Commission]]+LayTable[[#This Row],[BookieInnsats]])</f>
        <v>0</v>
      </c>
      <c r="AD543" s="43" t="e">
        <f>(LayTable[[#This Row],[LayWin-Commission]])+LayTable[[#This Row],[LayLiability]]</f>
        <v>#VALUE!</v>
      </c>
      <c r="AE543" s="309"/>
      <c r="AF543" s="309"/>
    </row>
    <row r="544" spans="1:38">
      <c r="A544" s="84"/>
      <c r="B544" s="39"/>
      <c r="C544" s="40"/>
      <c r="D544" s="41"/>
      <c r="E544" s="40"/>
      <c r="F544" s="41"/>
      <c r="G544" s="101"/>
      <c r="H544" s="38"/>
      <c r="I544" s="42"/>
      <c r="J544" s="42"/>
      <c r="K544" s="43"/>
      <c r="L544" s="43"/>
      <c r="M544" s="44" t="str">
        <f>IF(LayTable[[#This Row],[Sport]]="","",LayTable[[#This Row],[LayInnsats]]*(LayTable[[#This Row],[LayOdds]]-1))</f>
        <v/>
      </c>
      <c r="N544" s="45" t="str">
        <f>IF(LayTable[[#This Row],[Sport]]="","",1/((1/LayTable[[#This Row],[BookieOdds]])+(1/((1/((1+((LayTable[[#This Row],[LayOdds]]-1)*(1+LayTable[[#This Row],[C% Lay]])))-1))+1)))-1)</f>
        <v/>
      </c>
      <c r="Q544" s="46" t="str">
        <f>IF(LayTable[[#This Row],[Sport]]="","",LayTable[[#This Row],[BookieInnsats]]+LayTable[[#This Row],[LayLiability]])</f>
        <v/>
      </c>
      <c r="R5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4" s="47" t="str">
        <f>IF(LayTable[[#This Row],[Utfall bookie]]="","",LayTable[[#This Row],[WBABack]]+LayTable[[#This Row],[WBALay]]-LayTable[[#This Row],[Total inns]])</f>
        <v/>
      </c>
      <c r="U5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4" s="48" t="str">
        <f>IFERROR(IF(LayTable[[#This Row],[Total inns]]="","",LayTable[[#This Row],[Rback]]/LayTable[[#This Row],[Total inns]]),"")</f>
        <v/>
      </c>
      <c r="X544" s="48" t="str">
        <f>IFERROR(IF(LayTable[[#This Row],[Total inns]]="","",LayTable[[#This Row],[Rlay]]/LayTable[[#This Row],[Total inns]]),"")</f>
        <v/>
      </c>
      <c r="Y544" s="48" t="str">
        <f>IFERROR(LayTable[[#This Row],[Faktisk res]]/LayTable[[#This Row],[Total inns]],"")</f>
        <v/>
      </c>
      <c r="Z544" s="47">
        <f>(LayTable[[#This Row],[BookieInnsats]]*LayTable[[#This Row],[BookieOdds]]-LayTable[[#This Row],[BookieInnsats]])*(1-LayTable[[#This Row],[C% Bookie]])</f>
        <v>0</v>
      </c>
      <c r="AA544" s="43">
        <f>LayTable[[#This Row],[LayInnsats]]*(1-LayTable[[#This Row],[C% Lay]])</f>
        <v>0</v>
      </c>
      <c r="AB544" s="43">
        <f>IFERROR(IF(LayTable[[#This Row],[Sport]]="",AB543,LayTable[[#This Row],[Faktisk res]]+AB543),"")</f>
        <v>4914.29</v>
      </c>
      <c r="AC544" s="43">
        <f>(LayTable[[#This Row],[BackWin-Commission]]+LayTable[[#This Row],[BookieInnsats]])</f>
        <v>0</v>
      </c>
      <c r="AD544" s="43" t="e">
        <f>(LayTable[[#This Row],[LayWin-Commission]])+LayTable[[#This Row],[LayLiability]]</f>
        <v>#VALUE!</v>
      </c>
      <c r="AE544" s="181"/>
      <c r="AF544" s="309"/>
    </row>
    <row r="545" spans="1:32">
      <c r="A545" s="84"/>
      <c r="B545" s="39"/>
      <c r="C545" s="40"/>
      <c r="D545" s="41"/>
      <c r="E545" s="40"/>
      <c r="F545" s="41"/>
      <c r="G545" s="101"/>
      <c r="H545" s="38"/>
      <c r="I545" s="42"/>
      <c r="J545" s="42"/>
      <c r="K545" s="43"/>
      <c r="L545" s="43"/>
      <c r="M545" s="44" t="str">
        <f>IF(LayTable[[#This Row],[Sport]]="","",LayTable[[#This Row],[LayInnsats]]*(LayTable[[#This Row],[LayOdds]]-1))</f>
        <v/>
      </c>
      <c r="N545" s="45" t="str">
        <f>IF(LayTable[[#This Row],[Sport]]="","",1/((1/LayTable[[#This Row],[BookieOdds]])+(1/((1/((1+((LayTable[[#This Row],[LayOdds]]-1)*(1+LayTable[[#This Row],[C% Lay]])))-1))+1)))-1)</f>
        <v/>
      </c>
      <c r="Q545" s="46" t="str">
        <f>IF(LayTable[[#This Row],[Sport]]="","",LayTable[[#This Row],[BookieInnsats]]+LayTable[[#This Row],[LayLiability]])</f>
        <v/>
      </c>
      <c r="R5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5" s="47" t="str">
        <f>IF(LayTable[[#This Row],[Utfall bookie]]="","",LayTable[[#This Row],[WBABack]]+LayTable[[#This Row],[WBALay]]-LayTable[[#This Row],[Total inns]])</f>
        <v/>
      </c>
      <c r="U5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5" s="48" t="str">
        <f>IFERROR(IF(LayTable[[#This Row],[Total inns]]="","",LayTable[[#This Row],[Rback]]/LayTable[[#This Row],[Total inns]]),"")</f>
        <v/>
      </c>
      <c r="X545" s="48" t="str">
        <f>IFERROR(IF(LayTable[[#This Row],[Total inns]]="","",LayTable[[#This Row],[Rlay]]/LayTable[[#This Row],[Total inns]]),"")</f>
        <v/>
      </c>
      <c r="Y545" s="48" t="str">
        <f>IFERROR(LayTable[[#This Row],[Faktisk res]]/LayTable[[#This Row],[Total inns]],"")</f>
        <v/>
      </c>
      <c r="Z545" s="47">
        <f>(LayTable[[#This Row],[BookieInnsats]]*LayTable[[#This Row],[BookieOdds]]-LayTable[[#This Row],[BookieInnsats]])*(1-LayTable[[#This Row],[C% Bookie]])</f>
        <v>0</v>
      </c>
      <c r="AA545" s="43">
        <f>LayTable[[#This Row],[LayInnsats]]*(1-LayTable[[#This Row],[C% Lay]])</f>
        <v>0</v>
      </c>
      <c r="AB545" s="43">
        <f>IFERROR(IF(LayTable[[#This Row],[Sport]]="",AB544,LayTable[[#This Row],[Faktisk res]]+AB544),"")</f>
        <v>4914.29</v>
      </c>
      <c r="AC545" s="43">
        <f>(LayTable[[#This Row],[BackWin-Commission]]+LayTable[[#This Row],[BookieInnsats]])</f>
        <v>0</v>
      </c>
      <c r="AD545" s="43" t="e">
        <f>(LayTable[[#This Row],[LayWin-Commission]])+LayTable[[#This Row],[LayLiability]]</f>
        <v>#VALUE!</v>
      </c>
      <c r="AE545" s="181"/>
      <c r="AF545" s="309"/>
    </row>
    <row r="546" spans="1:32">
      <c r="A546" s="84"/>
      <c r="B546" s="39"/>
      <c r="C546" s="40"/>
      <c r="D546" s="41"/>
      <c r="E546" s="40"/>
      <c r="F546" s="41"/>
      <c r="G546" s="101"/>
      <c r="H546" s="38"/>
      <c r="I546" s="42"/>
      <c r="J546" s="42"/>
      <c r="K546" s="43"/>
      <c r="L546" s="43"/>
      <c r="M546" s="44" t="str">
        <f>IF(LayTable[[#This Row],[Sport]]="","",LayTable[[#This Row],[LayInnsats]]*(LayTable[[#This Row],[LayOdds]]-1))</f>
        <v/>
      </c>
      <c r="N546" s="45" t="str">
        <f>IF(LayTable[[#This Row],[Sport]]="","",1/((1/LayTable[[#This Row],[BookieOdds]])+(1/((1/((1+((LayTable[[#This Row],[LayOdds]]-1)*(1+LayTable[[#This Row],[C% Lay]])))-1))+1)))-1)</f>
        <v/>
      </c>
      <c r="Q546" s="46" t="str">
        <f>IF(LayTable[[#This Row],[Sport]]="","",LayTable[[#This Row],[BookieInnsats]]+LayTable[[#This Row],[LayLiability]])</f>
        <v/>
      </c>
      <c r="R5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6" s="47" t="str">
        <f>IF(LayTable[[#This Row],[Utfall bookie]]="","",LayTable[[#This Row],[WBABack]]+LayTable[[#This Row],[WBALay]]-LayTable[[#This Row],[Total inns]])</f>
        <v/>
      </c>
      <c r="U5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6" s="48" t="str">
        <f>IFERROR(IF(LayTable[[#This Row],[Total inns]]="","",LayTable[[#This Row],[Rback]]/LayTable[[#This Row],[Total inns]]),"")</f>
        <v/>
      </c>
      <c r="X546" s="48" t="str">
        <f>IFERROR(IF(LayTable[[#This Row],[Total inns]]="","",LayTable[[#This Row],[Rlay]]/LayTable[[#This Row],[Total inns]]),"")</f>
        <v/>
      </c>
      <c r="Y546" s="48" t="str">
        <f>IFERROR(LayTable[[#This Row],[Faktisk res]]/LayTable[[#This Row],[Total inns]],"")</f>
        <v/>
      </c>
      <c r="Z546" s="47">
        <f>(LayTable[[#This Row],[BookieInnsats]]*LayTable[[#This Row],[BookieOdds]]-LayTable[[#This Row],[BookieInnsats]])*(1-LayTable[[#This Row],[C% Bookie]])</f>
        <v>0</v>
      </c>
      <c r="AA546" s="43">
        <f>LayTable[[#This Row],[LayInnsats]]*(1-LayTable[[#This Row],[C% Lay]])</f>
        <v>0</v>
      </c>
      <c r="AB546" s="43">
        <f>IFERROR(IF(LayTable[[#This Row],[Sport]]="",AB545,LayTable[[#This Row],[Faktisk res]]+AB545),"")</f>
        <v>4914.29</v>
      </c>
      <c r="AC546" s="43">
        <f>(LayTable[[#This Row],[BackWin-Commission]]+LayTable[[#This Row],[BookieInnsats]])</f>
        <v>0</v>
      </c>
      <c r="AD546" s="43" t="e">
        <f>(LayTable[[#This Row],[LayWin-Commission]])+LayTable[[#This Row],[LayLiability]]</f>
        <v>#VALUE!</v>
      </c>
      <c r="AE546" s="181"/>
      <c r="AF546" s="309"/>
    </row>
    <row r="547" spans="1:32">
      <c r="A547" s="84"/>
      <c r="B547" s="39"/>
      <c r="C547" s="40"/>
      <c r="D547" s="41"/>
      <c r="E547" s="40"/>
      <c r="F547" s="41"/>
      <c r="G547" s="101"/>
      <c r="H547" s="38"/>
      <c r="I547" s="42"/>
      <c r="J547" s="42"/>
      <c r="K547" s="43"/>
      <c r="L547" s="43"/>
      <c r="M547" s="44" t="str">
        <f>IF(LayTable[[#This Row],[Sport]]="","",LayTable[[#This Row],[LayInnsats]]*(LayTable[[#This Row],[LayOdds]]-1))</f>
        <v/>
      </c>
      <c r="N547" s="45" t="str">
        <f>IF(LayTable[[#This Row],[Sport]]="","",1/((1/LayTable[[#This Row],[BookieOdds]])+(1/((1/((1+((LayTable[[#This Row],[LayOdds]]-1)*(1+LayTable[[#This Row],[C% Lay]])))-1))+1)))-1)</f>
        <v/>
      </c>
      <c r="Q547" s="46" t="str">
        <f>IF(LayTable[[#This Row],[Sport]]="","",LayTable[[#This Row],[BookieInnsats]]+LayTable[[#This Row],[LayLiability]])</f>
        <v/>
      </c>
      <c r="R5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7" s="47" t="str">
        <f>IF(LayTable[[#This Row],[Utfall bookie]]="","",LayTable[[#This Row],[WBABack]]+LayTable[[#This Row],[WBALay]]-LayTable[[#This Row],[Total inns]])</f>
        <v/>
      </c>
      <c r="U5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7" s="48" t="str">
        <f>IFERROR(IF(LayTable[[#This Row],[Total inns]]="","",LayTable[[#This Row],[Rback]]/LayTable[[#This Row],[Total inns]]),"")</f>
        <v/>
      </c>
      <c r="X547" s="48" t="str">
        <f>IFERROR(IF(LayTable[[#This Row],[Total inns]]="","",LayTable[[#This Row],[Rlay]]/LayTable[[#This Row],[Total inns]]),"")</f>
        <v/>
      </c>
      <c r="Y547" s="48" t="str">
        <f>IFERROR(LayTable[[#This Row],[Faktisk res]]/LayTable[[#This Row],[Total inns]],"")</f>
        <v/>
      </c>
      <c r="Z547" s="47">
        <f>(LayTable[[#This Row],[BookieInnsats]]*LayTable[[#This Row],[BookieOdds]]-LayTable[[#This Row],[BookieInnsats]])*(1-LayTable[[#This Row],[C% Bookie]])</f>
        <v>0</v>
      </c>
      <c r="AA547" s="43">
        <f>LayTable[[#This Row],[LayInnsats]]*(1-LayTable[[#This Row],[C% Lay]])</f>
        <v>0</v>
      </c>
      <c r="AB547" s="43">
        <f>IFERROR(IF(LayTable[[#This Row],[Sport]]="",AB546,LayTable[[#This Row],[Faktisk res]]+AB546),"")</f>
        <v>4914.29</v>
      </c>
      <c r="AC547" s="43">
        <f>(LayTable[[#This Row],[BackWin-Commission]]+LayTable[[#This Row],[BookieInnsats]])</f>
        <v>0</v>
      </c>
      <c r="AD547" s="43" t="e">
        <f>(LayTable[[#This Row],[LayWin-Commission]])+LayTable[[#This Row],[LayLiability]]</f>
        <v>#VALUE!</v>
      </c>
      <c r="AE547" s="181"/>
      <c r="AF547" s="309"/>
    </row>
    <row r="548" spans="1:32">
      <c r="A548" s="84"/>
      <c r="B548" s="39"/>
      <c r="C548" s="40"/>
      <c r="D548" s="41"/>
      <c r="E548" s="40"/>
      <c r="F548" s="41"/>
      <c r="G548" s="101"/>
      <c r="H548" s="38"/>
      <c r="I548" s="42"/>
      <c r="J548" s="42"/>
      <c r="K548" s="43"/>
      <c r="L548" s="43"/>
      <c r="M548" s="44" t="str">
        <f>IF(LayTable[[#This Row],[Sport]]="","",LayTable[[#This Row],[LayInnsats]]*(LayTable[[#This Row],[LayOdds]]-1))</f>
        <v/>
      </c>
      <c r="N548" s="45" t="str">
        <f>IF(LayTable[[#This Row],[Sport]]="","",1/((1/LayTable[[#This Row],[BookieOdds]])+(1/((1/((1+((LayTable[[#This Row],[LayOdds]]-1)*(1+LayTable[[#This Row],[C% Lay]])))-1))+1)))-1)</f>
        <v/>
      </c>
      <c r="Q548" s="46" t="str">
        <f>IF(LayTable[[#This Row],[Sport]]="","",LayTable[[#This Row],[BookieInnsats]]+LayTable[[#This Row],[LayLiability]])</f>
        <v/>
      </c>
      <c r="R5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8" s="47" t="str">
        <f>IF(LayTable[[#This Row],[Utfall bookie]]="","",LayTable[[#This Row],[WBABack]]+LayTable[[#This Row],[WBALay]]-LayTable[[#This Row],[Total inns]])</f>
        <v/>
      </c>
      <c r="U5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8" s="48" t="str">
        <f>IFERROR(IF(LayTable[[#This Row],[Total inns]]="","",LayTable[[#This Row],[Rback]]/LayTable[[#This Row],[Total inns]]),"")</f>
        <v/>
      </c>
      <c r="X548" s="48" t="str">
        <f>IFERROR(IF(LayTable[[#This Row],[Total inns]]="","",LayTable[[#This Row],[Rlay]]/LayTable[[#This Row],[Total inns]]),"")</f>
        <v/>
      </c>
      <c r="Y548" s="48" t="str">
        <f>IFERROR(LayTable[[#This Row],[Faktisk res]]/LayTable[[#This Row],[Total inns]],"")</f>
        <v/>
      </c>
      <c r="Z548" s="47">
        <f>(LayTable[[#This Row],[BookieInnsats]]*LayTable[[#This Row],[BookieOdds]]-LayTable[[#This Row],[BookieInnsats]])*(1-LayTable[[#This Row],[C% Bookie]])</f>
        <v>0</v>
      </c>
      <c r="AA548" s="43">
        <f>LayTable[[#This Row],[LayInnsats]]*(1-LayTable[[#This Row],[C% Lay]])</f>
        <v>0</v>
      </c>
      <c r="AB548" s="43">
        <f>IFERROR(IF(LayTable[[#This Row],[Sport]]="",AB547,LayTable[[#This Row],[Faktisk res]]+AB547),"")</f>
        <v>4914.29</v>
      </c>
      <c r="AC548" s="43">
        <f>(LayTable[[#This Row],[BackWin-Commission]]+LayTable[[#This Row],[BookieInnsats]])</f>
        <v>0</v>
      </c>
      <c r="AD548" s="43" t="e">
        <f>(LayTable[[#This Row],[LayWin-Commission]])+LayTable[[#This Row],[LayLiability]]</f>
        <v>#VALUE!</v>
      </c>
      <c r="AE548" s="314"/>
      <c r="AF548" s="309"/>
    </row>
    <row r="549" spans="1:32">
      <c r="A549" s="84"/>
      <c r="B549" s="39"/>
      <c r="C549" s="40"/>
      <c r="D549" s="41"/>
      <c r="E549" s="40"/>
      <c r="F549" s="41"/>
      <c r="G549" s="101"/>
      <c r="H549" s="38"/>
      <c r="I549" s="42"/>
      <c r="J549" s="42"/>
      <c r="K549" s="43"/>
      <c r="L549" s="43"/>
      <c r="M549" s="44" t="str">
        <f>IF(LayTable[[#This Row],[Sport]]="","",LayTable[[#This Row],[LayInnsats]]*(LayTable[[#This Row],[LayOdds]]-1))</f>
        <v/>
      </c>
      <c r="N549" s="45" t="str">
        <f>IF(LayTable[[#This Row],[Sport]]="","",1/((1/LayTable[[#This Row],[BookieOdds]])+(1/((1/((1+((LayTable[[#This Row],[LayOdds]]-1)*(1+LayTable[[#This Row],[C% Lay]])))-1))+1)))-1)</f>
        <v/>
      </c>
      <c r="Q549" s="46" t="str">
        <f>IF(LayTable[[#This Row],[Sport]]="","",LayTable[[#This Row],[BookieInnsats]]+LayTable[[#This Row],[LayLiability]])</f>
        <v/>
      </c>
      <c r="R5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49" s="47" t="str">
        <f>IF(LayTable[[#This Row],[Utfall bookie]]="","",LayTable[[#This Row],[WBABack]]+LayTable[[#This Row],[WBALay]]-LayTable[[#This Row],[Total inns]])</f>
        <v/>
      </c>
      <c r="U5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49" s="48" t="str">
        <f>IFERROR(IF(LayTable[[#This Row],[Total inns]]="","",LayTable[[#This Row],[Rback]]/LayTable[[#This Row],[Total inns]]),"")</f>
        <v/>
      </c>
      <c r="X549" s="48" t="str">
        <f>IFERROR(IF(LayTable[[#This Row],[Total inns]]="","",LayTable[[#This Row],[Rlay]]/LayTable[[#This Row],[Total inns]]),"")</f>
        <v/>
      </c>
      <c r="Y549" s="48" t="str">
        <f>IFERROR(LayTable[[#This Row],[Faktisk res]]/LayTable[[#This Row],[Total inns]],"")</f>
        <v/>
      </c>
      <c r="Z549" s="47">
        <f>(LayTable[[#This Row],[BookieInnsats]]*LayTable[[#This Row],[BookieOdds]]-LayTable[[#This Row],[BookieInnsats]])*(1-LayTable[[#This Row],[C% Bookie]])</f>
        <v>0</v>
      </c>
      <c r="AA549" s="43">
        <f>LayTable[[#This Row],[LayInnsats]]*(1-LayTable[[#This Row],[C% Lay]])</f>
        <v>0</v>
      </c>
      <c r="AB549" s="43">
        <f>IFERROR(IF(LayTable[[#This Row],[Sport]]="",AB548,LayTable[[#This Row],[Faktisk res]]+AB548),"")</f>
        <v>4914.29</v>
      </c>
      <c r="AC549" s="43">
        <f>(LayTable[[#This Row],[BackWin-Commission]]+LayTable[[#This Row],[BookieInnsats]])</f>
        <v>0</v>
      </c>
      <c r="AD549" s="43" t="e">
        <f>(LayTable[[#This Row],[LayWin-Commission]])+LayTable[[#This Row],[LayLiability]]</f>
        <v>#VALUE!</v>
      </c>
      <c r="AE549" s="181"/>
      <c r="AF549" s="309"/>
    </row>
    <row r="550" spans="1:32">
      <c r="A550" s="183"/>
      <c r="B550" s="177"/>
      <c r="C550" s="178"/>
      <c r="D550" s="251"/>
      <c r="E550" s="178"/>
      <c r="F550" s="251"/>
      <c r="G550" s="184"/>
      <c r="H550" s="176"/>
      <c r="I550" s="180"/>
      <c r="J550" s="180"/>
      <c r="K550" s="181"/>
      <c r="L550" s="181"/>
      <c r="M550" s="44" t="str">
        <f>IF(LayTable[[#This Row],[Sport]]="","",LayTable[[#This Row],[LayInnsats]]*(LayTable[[#This Row],[LayOdds]]-1))</f>
        <v/>
      </c>
      <c r="N550" s="45" t="str">
        <f>IF(LayTable[[#This Row],[Sport]]="","",1/((1/LayTable[[#This Row],[BookieOdds]])+(1/((1/((1+((LayTable[[#This Row],[LayOdds]]-1)*(1+LayTable[[#This Row],[C% Lay]])))-1))+1)))-1)</f>
        <v/>
      </c>
      <c r="Q550" s="46" t="str">
        <f>IF(LayTable[[#This Row],[Sport]]="","",LayTable[[#This Row],[BookieInnsats]]+LayTable[[#This Row],[LayLiability]])</f>
        <v/>
      </c>
      <c r="R5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0" s="47" t="str">
        <f>IF(LayTable[[#This Row],[Utfall bookie]]="","",LayTable[[#This Row],[WBABack]]+LayTable[[#This Row],[WBALay]]-LayTable[[#This Row],[Total inns]])</f>
        <v/>
      </c>
      <c r="U5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0" s="48" t="str">
        <f>IFERROR(IF(LayTable[[#This Row],[Total inns]]="","",LayTable[[#This Row],[Rback]]/LayTable[[#This Row],[Total inns]]),"")</f>
        <v/>
      </c>
      <c r="X550" s="48" t="str">
        <f>IFERROR(IF(LayTable[[#This Row],[Total inns]]="","",LayTable[[#This Row],[Rlay]]/LayTable[[#This Row],[Total inns]]),"")</f>
        <v/>
      </c>
      <c r="Y550" s="48" t="str">
        <f>IFERROR(LayTable[[#This Row],[Faktisk res]]/LayTable[[#This Row],[Total inns]],"")</f>
        <v/>
      </c>
      <c r="Z550" s="47">
        <f>(LayTable[[#This Row],[BookieInnsats]]*LayTable[[#This Row],[BookieOdds]]-LayTable[[#This Row],[BookieInnsats]])*(1-LayTable[[#This Row],[C% Bookie]])</f>
        <v>0</v>
      </c>
      <c r="AA550" s="43">
        <f>LayTable[[#This Row],[LayInnsats]]*(1-LayTable[[#This Row],[C% Lay]])</f>
        <v>0</v>
      </c>
      <c r="AB550" s="43">
        <f>IFERROR(IF(LayTable[[#This Row],[Sport]]="",AB549,LayTable[[#This Row],[Faktisk res]]+AB549),"")</f>
        <v>4914.29</v>
      </c>
      <c r="AC550" s="43">
        <f>(LayTable[[#This Row],[BackWin-Commission]]+LayTable[[#This Row],[BookieInnsats]])</f>
        <v>0</v>
      </c>
      <c r="AD550" s="43" t="e">
        <f>(LayTable[[#This Row],[LayWin-Commission]])+LayTable[[#This Row],[LayLiability]]</f>
        <v>#VALUE!</v>
      </c>
      <c r="AE550" s="314"/>
      <c r="AF550" s="309"/>
    </row>
    <row r="551" spans="1:32">
      <c r="A551" s="84"/>
      <c r="B551" s="39"/>
      <c r="C551" s="40"/>
      <c r="D551" s="41"/>
      <c r="E551" s="40"/>
      <c r="F551" s="41"/>
      <c r="G551" s="101"/>
      <c r="H551" s="38"/>
      <c r="I551" s="42"/>
      <c r="J551" s="42"/>
      <c r="K551" s="43"/>
      <c r="L551" s="43"/>
      <c r="M551" s="44" t="str">
        <f>IF(LayTable[[#This Row],[Sport]]="","",LayTable[[#This Row],[LayInnsats]]*(LayTable[[#This Row],[LayOdds]]-1))</f>
        <v/>
      </c>
      <c r="N551" s="45" t="str">
        <f>IF(LayTable[[#This Row],[Sport]]="","",1/((1/LayTable[[#This Row],[BookieOdds]])+(1/((1/((1+((LayTable[[#This Row],[LayOdds]]-1)*(1+LayTable[[#This Row],[C% Lay]])))-1))+1)))-1)</f>
        <v/>
      </c>
      <c r="Q551" s="46" t="str">
        <f>IF(LayTable[[#This Row],[Sport]]="","",LayTable[[#This Row],[BookieInnsats]]+LayTable[[#This Row],[LayLiability]])</f>
        <v/>
      </c>
      <c r="R5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1" s="47" t="str">
        <f>IF(LayTable[[#This Row],[Utfall bookie]]="","",LayTable[[#This Row],[WBABack]]+LayTable[[#This Row],[WBALay]]-LayTable[[#This Row],[Total inns]])</f>
        <v/>
      </c>
      <c r="U5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1" s="48" t="str">
        <f>IFERROR(IF(LayTable[[#This Row],[Total inns]]="","",LayTable[[#This Row],[Rback]]/LayTable[[#This Row],[Total inns]]),"")</f>
        <v/>
      </c>
      <c r="X551" s="48" t="str">
        <f>IFERROR(IF(LayTable[[#This Row],[Total inns]]="","",LayTable[[#This Row],[Rlay]]/LayTable[[#This Row],[Total inns]]),"")</f>
        <v/>
      </c>
      <c r="Y551" s="48" t="str">
        <f>IFERROR(LayTable[[#This Row],[Faktisk res]]/LayTable[[#This Row],[Total inns]],"")</f>
        <v/>
      </c>
      <c r="Z551" s="47">
        <f>(LayTable[[#This Row],[BookieInnsats]]*LayTable[[#This Row],[BookieOdds]]-LayTable[[#This Row],[BookieInnsats]])*(1-LayTable[[#This Row],[C% Bookie]])</f>
        <v>0</v>
      </c>
      <c r="AA551" s="43">
        <f>LayTable[[#This Row],[LayInnsats]]*(1-LayTable[[#This Row],[C% Lay]])</f>
        <v>0</v>
      </c>
      <c r="AB551" s="43">
        <f>IFERROR(IF(LayTable[[#This Row],[Sport]]="",AB550,LayTable[[#This Row],[Faktisk res]]+AB550),"")</f>
        <v>4914.29</v>
      </c>
      <c r="AC551" s="43">
        <f>(LayTable[[#This Row],[BackWin-Commission]]+LayTable[[#This Row],[BookieInnsats]])</f>
        <v>0</v>
      </c>
      <c r="AD551" s="43" t="e">
        <f>(LayTable[[#This Row],[LayWin-Commission]])+LayTable[[#This Row],[LayLiability]]</f>
        <v>#VALUE!</v>
      </c>
      <c r="AE551" s="314"/>
      <c r="AF551" s="309"/>
    </row>
    <row r="552" spans="1:32">
      <c r="A552" s="84"/>
      <c r="B552" s="39"/>
      <c r="C552" s="40"/>
      <c r="D552" s="41"/>
      <c r="E552" s="40"/>
      <c r="F552" s="41"/>
      <c r="G552" s="101"/>
      <c r="H552" s="38"/>
      <c r="I552" s="42"/>
      <c r="J552" s="42"/>
      <c r="K552" s="43"/>
      <c r="L552" s="43"/>
      <c r="M552" s="44" t="str">
        <f>IF(LayTable[[#This Row],[Sport]]="","",LayTable[[#This Row],[LayInnsats]]*(LayTable[[#This Row],[LayOdds]]-1))</f>
        <v/>
      </c>
      <c r="N552" s="45" t="str">
        <f>IF(LayTable[[#This Row],[Sport]]="","",1/((1/LayTable[[#This Row],[BookieOdds]])+(1/((1/((1+((LayTable[[#This Row],[LayOdds]]-1)*(1+LayTable[[#This Row],[C% Lay]])))-1))+1)))-1)</f>
        <v/>
      </c>
      <c r="Q552" s="46" t="str">
        <f>IF(LayTable[[#This Row],[Sport]]="","",LayTable[[#This Row],[BookieInnsats]]+LayTable[[#This Row],[LayLiability]])</f>
        <v/>
      </c>
      <c r="R5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2" s="47" t="str">
        <f>IF(LayTable[[#This Row],[Utfall bookie]]="","",LayTable[[#This Row],[WBABack]]+LayTable[[#This Row],[WBALay]]-LayTable[[#This Row],[Total inns]])</f>
        <v/>
      </c>
      <c r="U5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2" s="48" t="str">
        <f>IFERROR(IF(LayTable[[#This Row],[Total inns]]="","",LayTable[[#This Row],[Rback]]/LayTable[[#This Row],[Total inns]]),"")</f>
        <v/>
      </c>
      <c r="X552" s="48" t="str">
        <f>IFERROR(IF(LayTable[[#This Row],[Total inns]]="","",LayTable[[#This Row],[Rlay]]/LayTable[[#This Row],[Total inns]]),"")</f>
        <v/>
      </c>
      <c r="Y552" s="48" t="str">
        <f>IFERROR(LayTable[[#This Row],[Faktisk res]]/LayTable[[#This Row],[Total inns]],"")</f>
        <v/>
      </c>
      <c r="Z552" s="47">
        <f>(LayTable[[#This Row],[BookieInnsats]]*LayTable[[#This Row],[BookieOdds]]-LayTable[[#This Row],[BookieInnsats]])*(1-LayTable[[#This Row],[C% Bookie]])</f>
        <v>0</v>
      </c>
      <c r="AA552" s="43">
        <f>LayTable[[#This Row],[LayInnsats]]*(1-LayTable[[#This Row],[C% Lay]])</f>
        <v>0</v>
      </c>
      <c r="AB552" s="43">
        <f>IFERROR(IF(LayTable[[#This Row],[Sport]]="",AB551,LayTable[[#This Row],[Faktisk res]]+AB551),"")</f>
        <v>4914.29</v>
      </c>
      <c r="AC552" s="43">
        <f>(LayTable[[#This Row],[BackWin-Commission]]+LayTable[[#This Row],[BookieInnsats]])</f>
        <v>0</v>
      </c>
      <c r="AD552" s="43" t="e">
        <f>(LayTable[[#This Row],[LayWin-Commission]])+LayTable[[#This Row],[LayLiability]]</f>
        <v>#VALUE!</v>
      </c>
      <c r="AE552" s="314"/>
      <c r="AF552" s="309"/>
    </row>
    <row r="553" spans="1:32">
      <c r="A553" s="84"/>
      <c r="B553" s="39"/>
      <c r="C553" s="40"/>
      <c r="D553" s="41"/>
      <c r="E553" s="40"/>
      <c r="F553" s="41"/>
      <c r="G553" s="101"/>
      <c r="H553" s="38"/>
      <c r="I553" s="42"/>
      <c r="J553" s="42"/>
      <c r="K553" s="43"/>
      <c r="L553" s="43"/>
      <c r="M553" s="44" t="str">
        <f>IF(LayTable[[#This Row],[Sport]]="","",LayTable[[#This Row],[LayInnsats]]*(LayTable[[#This Row],[LayOdds]]-1))</f>
        <v/>
      </c>
      <c r="N553" s="45" t="str">
        <f>IF(LayTable[[#This Row],[Sport]]="","",1/((1/LayTable[[#This Row],[BookieOdds]])+(1/((1/((1+((LayTable[[#This Row],[LayOdds]]-1)*(1+LayTable[[#This Row],[C% Lay]])))-1))+1)))-1)</f>
        <v/>
      </c>
      <c r="Q553" s="46" t="str">
        <f>IF(LayTable[[#This Row],[Sport]]="","",LayTable[[#This Row],[BookieInnsats]]+LayTable[[#This Row],[LayLiability]])</f>
        <v/>
      </c>
      <c r="R5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3" s="47" t="str">
        <f>IF(LayTable[[#This Row],[Utfall bookie]]="","",LayTable[[#This Row],[WBABack]]+LayTable[[#This Row],[WBALay]]-LayTable[[#This Row],[Total inns]])</f>
        <v/>
      </c>
      <c r="U5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3" s="48" t="str">
        <f>IFERROR(IF(LayTable[[#This Row],[Total inns]]="","",LayTable[[#This Row],[Rback]]/LayTable[[#This Row],[Total inns]]),"")</f>
        <v/>
      </c>
      <c r="X553" s="48" t="str">
        <f>IFERROR(IF(LayTable[[#This Row],[Total inns]]="","",LayTable[[#This Row],[Rlay]]/LayTable[[#This Row],[Total inns]]),"")</f>
        <v/>
      </c>
      <c r="Y553" s="48" t="str">
        <f>IFERROR(LayTable[[#This Row],[Faktisk res]]/LayTable[[#This Row],[Total inns]],"")</f>
        <v/>
      </c>
      <c r="Z553" s="47">
        <f>(LayTable[[#This Row],[BookieInnsats]]*LayTable[[#This Row],[BookieOdds]]-LayTable[[#This Row],[BookieInnsats]])*(1-LayTable[[#This Row],[C% Bookie]])</f>
        <v>0</v>
      </c>
      <c r="AA553" s="43">
        <f>LayTable[[#This Row],[LayInnsats]]*(1-LayTable[[#This Row],[C% Lay]])</f>
        <v>0</v>
      </c>
      <c r="AB553" s="43">
        <f>IFERROR(IF(LayTable[[#This Row],[Sport]]="",AB552,LayTable[[#This Row],[Faktisk res]]+AB552),"")</f>
        <v>4914.29</v>
      </c>
      <c r="AC553" s="43">
        <f>(LayTable[[#This Row],[BackWin-Commission]]+LayTable[[#This Row],[BookieInnsats]])</f>
        <v>0</v>
      </c>
      <c r="AD553" s="43" t="e">
        <f>(LayTable[[#This Row],[LayWin-Commission]])+LayTable[[#This Row],[LayLiability]]</f>
        <v>#VALUE!</v>
      </c>
      <c r="AE553" s="314"/>
      <c r="AF553" s="309"/>
    </row>
    <row r="554" spans="1:32">
      <c r="A554" s="84"/>
      <c r="B554" s="39"/>
      <c r="C554" s="40"/>
      <c r="D554" s="41"/>
      <c r="E554" s="40"/>
      <c r="F554" s="41"/>
      <c r="G554" s="101"/>
      <c r="H554" s="38"/>
      <c r="I554" s="42"/>
      <c r="J554" s="42"/>
      <c r="K554" s="43"/>
      <c r="L554" s="43"/>
      <c r="M554" s="44" t="str">
        <f>IF(LayTable[[#This Row],[Sport]]="","",LayTable[[#This Row],[LayInnsats]]*(LayTable[[#This Row],[LayOdds]]-1))</f>
        <v/>
      </c>
      <c r="N554" s="45" t="str">
        <f>IF(LayTable[[#This Row],[Sport]]="","",1/((1/LayTable[[#This Row],[BookieOdds]])+(1/((1/((1+((LayTable[[#This Row],[LayOdds]]-1)*(1+LayTable[[#This Row],[C% Lay]])))-1))+1)))-1)</f>
        <v/>
      </c>
      <c r="Q554" s="46" t="str">
        <f>IF(LayTable[[#This Row],[Sport]]="","",LayTable[[#This Row],[BookieInnsats]]+LayTable[[#This Row],[LayLiability]])</f>
        <v/>
      </c>
      <c r="R5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4" s="47" t="str">
        <f>IF(LayTable[[#This Row],[Utfall bookie]]="","",LayTable[[#This Row],[WBABack]]+LayTable[[#This Row],[WBALay]]-LayTable[[#This Row],[Total inns]])</f>
        <v/>
      </c>
      <c r="U5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4" s="48" t="str">
        <f>IFERROR(IF(LayTable[[#This Row],[Total inns]]="","",LayTable[[#This Row],[Rback]]/LayTable[[#This Row],[Total inns]]),"")</f>
        <v/>
      </c>
      <c r="X554" s="48" t="str">
        <f>IFERROR(IF(LayTable[[#This Row],[Total inns]]="","",LayTable[[#This Row],[Rlay]]/LayTable[[#This Row],[Total inns]]),"")</f>
        <v/>
      </c>
      <c r="Y554" s="48" t="str">
        <f>IFERROR(LayTable[[#This Row],[Faktisk res]]/LayTable[[#This Row],[Total inns]],"")</f>
        <v/>
      </c>
      <c r="Z554" s="47">
        <f>(LayTable[[#This Row],[BookieInnsats]]*LayTable[[#This Row],[BookieOdds]]-LayTable[[#This Row],[BookieInnsats]])*(1-LayTable[[#This Row],[C% Bookie]])</f>
        <v>0</v>
      </c>
      <c r="AA554" s="43">
        <f>LayTable[[#This Row],[LayInnsats]]*(1-LayTable[[#This Row],[C% Lay]])</f>
        <v>0</v>
      </c>
      <c r="AB554" s="43">
        <f>IFERROR(IF(LayTable[[#This Row],[Sport]]="",AB553,LayTable[[#This Row],[Faktisk res]]+AB553),"")</f>
        <v>4914.29</v>
      </c>
      <c r="AC554" s="43">
        <f>(LayTable[[#This Row],[BackWin-Commission]]+LayTable[[#This Row],[BookieInnsats]])</f>
        <v>0</v>
      </c>
      <c r="AD554" s="43" t="e">
        <f>(LayTable[[#This Row],[LayWin-Commission]])+LayTable[[#This Row],[LayLiability]]</f>
        <v>#VALUE!</v>
      </c>
      <c r="AE554" s="314"/>
      <c r="AF554" s="309"/>
    </row>
    <row r="555" spans="1:32">
      <c r="A555" s="84"/>
      <c r="B555" s="39"/>
      <c r="C555" s="40"/>
      <c r="D555" s="41"/>
      <c r="E555" s="40"/>
      <c r="F555" s="41"/>
      <c r="G555" s="101"/>
      <c r="H555" s="38"/>
      <c r="I555" s="42"/>
      <c r="J555" s="42"/>
      <c r="K555" s="43"/>
      <c r="L555" s="43"/>
      <c r="M555" s="44" t="str">
        <f>IF(LayTable[[#This Row],[Sport]]="","",LayTable[[#This Row],[LayInnsats]]*(LayTable[[#This Row],[LayOdds]]-1))</f>
        <v/>
      </c>
      <c r="N555" s="45" t="str">
        <f>IF(LayTable[[#This Row],[Sport]]="","",1/((1/LayTable[[#This Row],[BookieOdds]])+(1/((1/((1+((LayTable[[#This Row],[LayOdds]]-1)*(1+LayTable[[#This Row],[C% Lay]])))-1))+1)))-1)</f>
        <v/>
      </c>
      <c r="Q555" s="46" t="str">
        <f>IF(LayTable[[#This Row],[Sport]]="","",LayTable[[#This Row],[BookieInnsats]]+LayTable[[#This Row],[LayLiability]])</f>
        <v/>
      </c>
      <c r="R5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5" s="47" t="str">
        <f>IF(LayTable[[#This Row],[Utfall bookie]]="","",LayTable[[#This Row],[WBABack]]+LayTable[[#This Row],[WBALay]]-LayTable[[#This Row],[Total inns]])</f>
        <v/>
      </c>
      <c r="U5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5" s="48" t="str">
        <f>IFERROR(IF(LayTable[[#This Row],[Total inns]]="","",LayTable[[#This Row],[Rback]]/LayTable[[#This Row],[Total inns]]),"")</f>
        <v/>
      </c>
      <c r="X555" s="48" t="str">
        <f>IFERROR(IF(LayTable[[#This Row],[Total inns]]="","",LayTable[[#This Row],[Rlay]]/LayTable[[#This Row],[Total inns]]),"")</f>
        <v/>
      </c>
      <c r="Y555" s="48" t="str">
        <f>IFERROR(LayTable[[#This Row],[Faktisk res]]/LayTable[[#This Row],[Total inns]],"")</f>
        <v/>
      </c>
      <c r="Z555" s="47">
        <f>(LayTable[[#This Row],[BookieInnsats]]*LayTable[[#This Row],[BookieOdds]]-LayTable[[#This Row],[BookieInnsats]])*(1-LayTable[[#This Row],[C% Bookie]])</f>
        <v>0</v>
      </c>
      <c r="AA555" s="43">
        <f>LayTable[[#This Row],[LayInnsats]]*(1-LayTable[[#This Row],[C% Lay]])</f>
        <v>0</v>
      </c>
      <c r="AB555" s="43">
        <f>IFERROR(IF(LayTable[[#This Row],[Sport]]="",AB554,LayTable[[#This Row],[Faktisk res]]+AB554),"")</f>
        <v>4914.29</v>
      </c>
      <c r="AC555" s="43">
        <f>(LayTable[[#This Row],[BackWin-Commission]]+LayTable[[#This Row],[BookieInnsats]])</f>
        <v>0</v>
      </c>
      <c r="AD555" s="43" t="e">
        <f>(LayTable[[#This Row],[LayWin-Commission]])+LayTable[[#This Row],[LayLiability]]</f>
        <v>#VALUE!</v>
      </c>
      <c r="AE555" s="314"/>
      <c r="AF555" s="309"/>
    </row>
    <row r="556" spans="1:32">
      <c r="A556" s="84"/>
      <c r="B556" s="39"/>
      <c r="C556" s="178"/>
      <c r="D556" s="41"/>
      <c r="E556" s="40"/>
      <c r="F556" s="41"/>
      <c r="G556" s="101"/>
      <c r="H556" s="38"/>
      <c r="I556" s="42"/>
      <c r="J556" s="42"/>
      <c r="K556" s="43"/>
      <c r="L556" s="43"/>
      <c r="M556" s="44" t="str">
        <f>IF(LayTable[[#This Row],[Sport]]="","",LayTable[[#This Row],[LayInnsats]]*(LayTable[[#This Row],[LayOdds]]-1))</f>
        <v/>
      </c>
      <c r="N556" s="45" t="str">
        <f>IF(LayTable[[#This Row],[Sport]]="","",1/((1/LayTable[[#This Row],[BookieOdds]])+(1/((1/((1+((LayTable[[#This Row],[LayOdds]]-1)*(1+LayTable[[#This Row],[C% Lay]])))-1))+1)))-1)</f>
        <v/>
      </c>
      <c r="Q556" s="46" t="str">
        <f>IF(LayTable[[#This Row],[Sport]]="","",LayTable[[#This Row],[BookieInnsats]]+LayTable[[#This Row],[LayLiability]])</f>
        <v/>
      </c>
      <c r="R5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6" s="47" t="str">
        <f>IF(LayTable[[#This Row],[Utfall bookie]]="","",LayTable[[#This Row],[WBABack]]+LayTable[[#This Row],[WBALay]]-LayTable[[#This Row],[Total inns]])</f>
        <v/>
      </c>
      <c r="U5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6" s="48" t="str">
        <f>IFERROR(IF(LayTable[[#This Row],[Total inns]]="","",LayTable[[#This Row],[Rback]]/LayTable[[#This Row],[Total inns]]),"")</f>
        <v/>
      </c>
      <c r="X556" s="48" t="str">
        <f>IFERROR(IF(LayTable[[#This Row],[Total inns]]="","",LayTable[[#This Row],[Rlay]]/LayTable[[#This Row],[Total inns]]),"")</f>
        <v/>
      </c>
      <c r="Y556" s="48" t="str">
        <f>IFERROR(LayTable[[#This Row],[Faktisk res]]/LayTable[[#This Row],[Total inns]],"")</f>
        <v/>
      </c>
      <c r="Z556" s="47">
        <f>(LayTable[[#This Row],[BookieInnsats]]*LayTable[[#This Row],[BookieOdds]]-LayTable[[#This Row],[BookieInnsats]])*(1-LayTable[[#This Row],[C% Bookie]])</f>
        <v>0</v>
      </c>
      <c r="AA556" s="43">
        <f>LayTable[[#This Row],[LayInnsats]]*(1-LayTable[[#This Row],[C% Lay]])</f>
        <v>0</v>
      </c>
      <c r="AB556" s="43">
        <f>IFERROR(IF(LayTable[[#This Row],[Sport]]="",AB555,LayTable[[#This Row],[Faktisk res]]+AB555),"")</f>
        <v>4914.29</v>
      </c>
      <c r="AC556" s="43">
        <f>(LayTable[[#This Row],[BackWin-Commission]]+LayTable[[#This Row],[BookieInnsats]])</f>
        <v>0</v>
      </c>
      <c r="AD556" s="43" t="e">
        <f>(LayTable[[#This Row],[LayWin-Commission]])+LayTable[[#This Row],[LayLiability]]</f>
        <v>#VALUE!</v>
      </c>
      <c r="AE556" s="181"/>
      <c r="AF556" s="309"/>
    </row>
    <row r="557" spans="1:32">
      <c r="A557" s="84"/>
      <c r="B557" s="39"/>
      <c r="C557" s="40"/>
      <c r="D557" s="41"/>
      <c r="E557" s="40"/>
      <c r="F557" s="41"/>
      <c r="G557" s="101"/>
      <c r="H557" s="38"/>
      <c r="I557" s="42"/>
      <c r="J557" s="42"/>
      <c r="K557" s="43"/>
      <c r="L557" s="43"/>
      <c r="M557" s="44" t="str">
        <f>IF(LayTable[[#This Row],[Sport]]="","",LayTable[[#This Row],[LayInnsats]]*(LayTable[[#This Row],[LayOdds]]-1))</f>
        <v/>
      </c>
      <c r="N557" s="45" t="str">
        <f>IF(LayTable[[#This Row],[Sport]]="","",1/((1/LayTable[[#This Row],[BookieOdds]])+(1/((1/((1+((LayTable[[#This Row],[LayOdds]]-1)*(1+LayTable[[#This Row],[C% Lay]])))-1))+1)))-1)</f>
        <v/>
      </c>
      <c r="Q557" s="46" t="str">
        <f>IF(LayTable[[#This Row],[Sport]]="","",LayTable[[#This Row],[BookieInnsats]]+LayTable[[#This Row],[LayLiability]])</f>
        <v/>
      </c>
      <c r="R5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7" s="47" t="str">
        <f>IF(LayTable[[#This Row],[Utfall bookie]]="","",LayTable[[#This Row],[WBABack]]+LayTable[[#This Row],[WBALay]]-LayTable[[#This Row],[Total inns]])</f>
        <v/>
      </c>
      <c r="U5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7" s="48" t="str">
        <f>IFERROR(IF(LayTable[[#This Row],[Total inns]]="","",LayTable[[#This Row],[Rback]]/LayTable[[#This Row],[Total inns]]),"")</f>
        <v/>
      </c>
      <c r="X557" s="48" t="str">
        <f>IFERROR(IF(LayTable[[#This Row],[Total inns]]="","",LayTable[[#This Row],[Rlay]]/LayTable[[#This Row],[Total inns]]),"")</f>
        <v/>
      </c>
      <c r="Y557" s="48" t="str">
        <f>IFERROR(LayTable[[#This Row],[Faktisk res]]/LayTable[[#This Row],[Total inns]],"")</f>
        <v/>
      </c>
      <c r="Z557" s="47">
        <f>(LayTable[[#This Row],[BookieInnsats]]*LayTable[[#This Row],[BookieOdds]]-LayTable[[#This Row],[BookieInnsats]])*(1-LayTable[[#This Row],[C% Bookie]])</f>
        <v>0</v>
      </c>
      <c r="AA557" s="43">
        <f>LayTable[[#This Row],[LayInnsats]]*(1-LayTable[[#This Row],[C% Lay]])</f>
        <v>0</v>
      </c>
      <c r="AB557" s="43">
        <f>IFERROR(IF(LayTable[[#This Row],[Sport]]="",AB556,LayTable[[#This Row],[Faktisk res]]+AB556),"")</f>
        <v>4914.29</v>
      </c>
      <c r="AC557" s="43">
        <f>(LayTable[[#This Row],[BackWin-Commission]]+LayTable[[#This Row],[BookieInnsats]])</f>
        <v>0</v>
      </c>
      <c r="AD557" s="43" t="e">
        <f>(LayTable[[#This Row],[LayWin-Commission]])+LayTable[[#This Row],[LayLiability]]</f>
        <v>#VALUE!</v>
      </c>
      <c r="AE557" s="314"/>
      <c r="AF557" s="314"/>
    </row>
    <row r="558" spans="1:32">
      <c r="A558" s="84"/>
      <c r="B558" s="39"/>
      <c r="C558" s="40"/>
      <c r="D558" s="41"/>
      <c r="E558" s="40"/>
      <c r="F558" s="41"/>
      <c r="G558" s="101"/>
      <c r="H558" s="38"/>
      <c r="I558" s="42"/>
      <c r="J558" s="42"/>
      <c r="K558" s="43"/>
      <c r="L558" s="43"/>
      <c r="M558" s="44" t="str">
        <f>IF(LayTable[[#This Row],[Sport]]="","",LayTable[[#This Row],[LayInnsats]]*(LayTable[[#This Row],[LayOdds]]-1))</f>
        <v/>
      </c>
      <c r="N558" s="45" t="str">
        <f>IF(LayTable[[#This Row],[Sport]]="","",1/((1/LayTable[[#This Row],[BookieOdds]])+(1/((1/((1+((LayTable[[#This Row],[LayOdds]]-1)*(1+LayTable[[#This Row],[C% Lay]])))-1))+1)))-1)</f>
        <v/>
      </c>
      <c r="Q558" s="46" t="str">
        <f>IF(LayTable[[#This Row],[Sport]]="","",LayTable[[#This Row],[BookieInnsats]]+LayTable[[#This Row],[LayLiability]])</f>
        <v/>
      </c>
      <c r="R5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8" s="47" t="str">
        <f>IF(LayTable[[#This Row],[Utfall bookie]]="","",LayTable[[#This Row],[WBABack]]+LayTable[[#This Row],[WBALay]]-LayTable[[#This Row],[Total inns]])</f>
        <v/>
      </c>
      <c r="U5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8" s="48" t="str">
        <f>IFERROR(IF(LayTable[[#This Row],[Total inns]]="","",LayTable[[#This Row],[Rback]]/LayTable[[#This Row],[Total inns]]),"")</f>
        <v/>
      </c>
      <c r="X558" s="48" t="str">
        <f>IFERROR(IF(LayTable[[#This Row],[Total inns]]="","",LayTable[[#This Row],[Rlay]]/LayTable[[#This Row],[Total inns]]),"")</f>
        <v/>
      </c>
      <c r="Y558" s="48" t="str">
        <f>IFERROR(LayTable[[#This Row],[Faktisk res]]/LayTable[[#This Row],[Total inns]],"")</f>
        <v/>
      </c>
      <c r="Z558" s="47">
        <f>(LayTable[[#This Row],[BookieInnsats]]*LayTable[[#This Row],[BookieOdds]]-LayTable[[#This Row],[BookieInnsats]])*(1-LayTable[[#This Row],[C% Bookie]])</f>
        <v>0</v>
      </c>
      <c r="AA558" s="43">
        <f>LayTable[[#This Row],[LayInnsats]]*(1-LayTable[[#This Row],[C% Lay]])</f>
        <v>0</v>
      </c>
      <c r="AB558" s="43">
        <f>IFERROR(IF(LayTable[[#This Row],[Sport]]="",AB557,LayTable[[#This Row],[Faktisk res]]+AB557),"")</f>
        <v>4914.29</v>
      </c>
      <c r="AC558" s="43">
        <f>(LayTable[[#This Row],[BackWin-Commission]]+LayTable[[#This Row],[BookieInnsats]])</f>
        <v>0</v>
      </c>
      <c r="AD558" s="43" t="e">
        <f>(LayTable[[#This Row],[LayWin-Commission]])+LayTable[[#This Row],[LayLiability]]</f>
        <v>#VALUE!</v>
      </c>
      <c r="AE558" s="314"/>
      <c r="AF558" s="314"/>
    </row>
    <row r="559" spans="1:32">
      <c r="A559" s="84"/>
      <c r="B559" s="39"/>
      <c r="C559" s="40"/>
      <c r="D559" s="41"/>
      <c r="E559" s="40"/>
      <c r="F559" s="41"/>
      <c r="G559" s="101"/>
      <c r="H559" s="38"/>
      <c r="I559" s="42"/>
      <c r="J559" s="42"/>
      <c r="K559" s="43"/>
      <c r="L559" s="43"/>
      <c r="M559" s="44" t="str">
        <f>IF(LayTable[[#This Row],[Sport]]="","",LayTable[[#This Row],[LayInnsats]]*(LayTable[[#This Row],[LayOdds]]-1))</f>
        <v/>
      </c>
      <c r="N559" s="45" t="str">
        <f>IF(LayTable[[#This Row],[Sport]]="","",1/((1/LayTable[[#This Row],[BookieOdds]])+(1/((1/((1+((LayTable[[#This Row],[LayOdds]]-1)*(1+LayTable[[#This Row],[C% Lay]])))-1))+1)))-1)</f>
        <v/>
      </c>
      <c r="Q559" s="46" t="str">
        <f>IF(LayTable[[#This Row],[Sport]]="","",LayTable[[#This Row],[BookieInnsats]]+LayTable[[#This Row],[LayLiability]])</f>
        <v/>
      </c>
      <c r="R5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59" s="47" t="str">
        <f>IF(LayTable[[#This Row],[Utfall bookie]]="","",LayTable[[#This Row],[WBABack]]+LayTable[[#This Row],[WBALay]]-LayTable[[#This Row],[Total inns]])</f>
        <v/>
      </c>
      <c r="U5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59" s="48" t="str">
        <f>IFERROR(IF(LayTable[[#This Row],[Total inns]]="","",LayTable[[#This Row],[Rback]]/LayTable[[#This Row],[Total inns]]),"")</f>
        <v/>
      </c>
      <c r="X559" s="48" t="str">
        <f>IFERROR(IF(LayTable[[#This Row],[Total inns]]="","",LayTable[[#This Row],[Rlay]]/LayTable[[#This Row],[Total inns]]),"")</f>
        <v/>
      </c>
      <c r="Y559" s="48" t="str">
        <f>IFERROR(LayTable[[#This Row],[Faktisk res]]/LayTable[[#This Row],[Total inns]],"")</f>
        <v/>
      </c>
      <c r="Z559" s="47">
        <f>(LayTable[[#This Row],[BookieInnsats]]*LayTable[[#This Row],[BookieOdds]]-LayTable[[#This Row],[BookieInnsats]])*(1-LayTable[[#This Row],[C% Bookie]])</f>
        <v>0</v>
      </c>
      <c r="AA559" s="43">
        <f>LayTable[[#This Row],[LayInnsats]]*(1-LayTable[[#This Row],[C% Lay]])</f>
        <v>0</v>
      </c>
      <c r="AB559" s="43">
        <f>IFERROR(IF(LayTable[[#This Row],[Sport]]="",AB558,LayTable[[#This Row],[Faktisk res]]+AB558),"")</f>
        <v>4914.29</v>
      </c>
      <c r="AC559" s="43">
        <f>(LayTable[[#This Row],[BackWin-Commission]]+LayTable[[#This Row],[BookieInnsats]])</f>
        <v>0</v>
      </c>
      <c r="AD559" s="43" t="e">
        <f>(LayTable[[#This Row],[LayWin-Commission]])+LayTable[[#This Row],[LayLiability]]</f>
        <v>#VALUE!</v>
      </c>
      <c r="AE559" s="181"/>
      <c r="AF559" s="314"/>
    </row>
    <row r="560" spans="1:32">
      <c r="A560" s="84"/>
      <c r="B560" s="39"/>
      <c r="C560" s="40"/>
      <c r="D560" s="41"/>
      <c r="E560" s="40"/>
      <c r="F560" s="41"/>
      <c r="G560" s="101"/>
      <c r="H560" s="38"/>
      <c r="I560" s="42"/>
      <c r="J560" s="42"/>
      <c r="K560" s="43"/>
      <c r="L560" s="43"/>
      <c r="M560" s="44" t="str">
        <f>IF(LayTable[[#This Row],[Sport]]="","",LayTable[[#This Row],[LayInnsats]]*(LayTable[[#This Row],[LayOdds]]-1))</f>
        <v/>
      </c>
      <c r="N560" s="45" t="str">
        <f>IF(LayTable[[#This Row],[Sport]]="","",1/((1/LayTable[[#This Row],[BookieOdds]])+(1/((1/((1+((LayTable[[#This Row],[LayOdds]]-1)*(1+LayTable[[#This Row],[C% Lay]])))-1))+1)))-1)</f>
        <v/>
      </c>
      <c r="Q560" s="46" t="str">
        <f>IF(LayTable[[#This Row],[Sport]]="","",LayTable[[#This Row],[BookieInnsats]]+LayTable[[#This Row],[LayLiability]])</f>
        <v/>
      </c>
      <c r="R5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0" s="47" t="str">
        <f>IF(LayTable[[#This Row],[Utfall bookie]]="","",LayTable[[#This Row],[WBABack]]+LayTable[[#This Row],[WBALay]]-LayTable[[#This Row],[Total inns]])</f>
        <v/>
      </c>
      <c r="U5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0" s="48" t="str">
        <f>IFERROR(IF(LayTable[[#This Row],[Total inns]]="","",LayTable[[#This Row],[Rback]]/LayTable[[#This Row],[Total inns]]),"")</f>
        <v/>
      </c>
      <c r="X560" s="48" t="str">
        <f>IFERROR(IF(LayTable[[#This Row],[Total inns]]="","",LayTable[[#This Row],[Rlay]]/LayTable[[#This Row],[Total inns]]),"")</f>
        <v/>
      </c>
      <c r="Y560" s="48" t="str">
        <f>IFERROR(LayTable[[#This Row],[Faktisk res]]/LayTable[[#This Row],[Total inns]],"")</f>
        <v/>
      </c>
      <c r="Z560" s="47">
        <f>(LayTable[[#This Row],[BookieInnsats]]*LayTable[[#This Row],[BookieOdds]]-LayTable[[#This Row],[BookieInnsats]])*(1-LayTable[[#This Row],[C% Bookie]])</f>
        <v>0</v>
      </c>
      <c r="AA560" s="43">
        <f>LayTable[[#This Row],[LayInnsats]]*(1-LayTable[[#This Row],[C% Lay]])</f>
        <v>0</v>
      </c>
      <c r="AB560" s="43">
        <f>IFERROR(IF(LayTable[[#This Row],[Sport]]="",AB559,LayTable[[#This Row],[Faktisk res]]+AB559),"")</f>
        <v>4914.29</v>
      </c>
      <c r="AC560" s="43">
        <f>(LayTable[[#This Row],[BackWin-Commission]]+LayTable[[#This Row],[BookieInnsats]])</f>
        <v>0</v>
      </c>
      <c r="AD560" s="43" t="e">
        <f>(LayTable[[#This Row],[LayWin-Commission]])+LayTable[[#This Row],[LayLiability]]</f>
        <v>#VALUE!</v>
      </c>
      <c r="AE560" s="181"/>
      <c r="AF560" s="314"/>
    </row>
    <row r="561" spans="1:32">
      <c r="A561" s="183"/>
      <c r="B561" s="177"/>
      <c r="C561" s="178"/>
      <c r="D561" s="251"/>
      <c r="E561" s="178"/>
      <c r="F561" s="251"/>
      <c r="G561" s="184"/>
      <c r="H561" s="176"/>
      <c r="I561" s="180"/>
      <c r="J561" s="180"/>
      <c r="K561" s="181"/>
      <c r="L561" s="181"/>
      <c r="M561" s="44" t="str">
        <f>IF(LayTable[[#This Row],[Sport]]="","",LayTable[[#This Row],[LayInnsats]]*(LayTable[[#This Row],[LayOdds]]-1))</f>
        <v/>
      </c>
      <c r="N561" s="45" t="str">
        <f>IF(LayTable[[#This Row],[Sport]]="","",1/((1/LayTable[[#This Row],[BookieOdds]])+(1/((1/((1+((LayTable[[#This Row],[LayOdds]]-1)*(1+LayTable[[#This Row],[C% Lay]])))-1))+1)))-1)</f>
        <v/>
      </c>
      <c r="Q561" s="46" t="str">
        <f>IF(LayTable[[#This Row],[Sport]]="","",LayTable[[#This Row],[BookieInnsats]]+LayTable[[#This Row],[LayLiability]])</f>
        <v/>
      </c>
      <c r="R5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1" s="47" t="str">
        <f>IF(LayTable[[#This Row],[Utfall bookie]]="","",LayTable[[#This Row],[WBABack]]+LayTable[[#This Row],[WBALay]]-LayTable[[#This Row],[Total inns]])</f>
        <v/>
      </c>
      <c r="U5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1" s="48" t="str">
        <f>IFERROR(IF(LayTable[[#This Row],[Total inns]]="","",LayTable[[#This Row],[Rback]]/LayTable[[#This Row],[Total inns]]),"")</f>
        <v/>
      </c>
      <c r="X561" s="48" t="str">
        <f>IFERROR(IF(LayTable[[#This Row],[Total inns]]="","",LayTable[[#This Row],[Rlay]]/LayTable[[#This Row],[Total inns]]),"")</f>
        <v/>
      </c>
      <c r="Y561" s="48" t="str">
        <f>IFERROR(LayTable[[#This Row],[Faktisk res]]/LayTable[[#This Row],[Total inns]],"")</f>
        <v/>
      </c>
      <c r="Z561" s="47">
        <f>(LayTable[[#This Row],[BookieInnsats]]*LayTable[[#This Row],[BookieOdds]]-LayTable[[#This Row],[BookieInnsats]])*(1-LayTable[[#This Row],[C% Bookie]])</f>
        <v>0</v>
      </c>
      <c r="AA561" s="43">
        <f>LayTable[[#This Row],[LayInnsats]]*(1-LayTable[[#This Row],[C% Lay]])</f>
        <v>0</v>
      </c>
      <c r="AB561" s="43">
        <f>IFERROR(IF(LayTable[[#This Row],[Sport]]="",AB560,LayTable[[#This Row],[Faktisk res]]+AB560),"")</f>
        <v>4914.29</v>
      </c>
      <c r="AC561" s="43">
        <f>(LayTable[[#This Row],[BackWin-Commission]]+LayTable[[#This Row],[BookieInnsats]])</f>
        <v>0</v>
      </c>
      <c r="AD561" s="43" t="e">
        <f>(LayTable[[#This Row],[LayWin-Commission]])+LayTable[[#This Row],[LayLiability]]</f>
        <v>#VALUE!</v>
      </c>
      <c r="AE561" s="181"/>
      <c r="AF561" s="314"/>
    </row>
    <row r="562" spans="1:32">
      <c r="A562" s="84"/>
      <c r="B562" s="39"/>
      <c r="C562" s="40"/>
      <c r="D562" s="41"/>
      <c r="E562" s="40"/>
      <c r="F562" s="41"/>
      <c r="G562" s="101"/>
      <c r="H562" s="38"/>
      <c r="I562" s="42"/>
      <c r="J562" s="42"/>
      <c r="K562" s="43"/>
      <c r="L562" s="43"/>
      <c r="M562" s="44" t="str">
        <f>IF(LayTable[[#This Row],[Sport]]="","",LayTable[[#This Row],[LayInnsats]]*(LayTable[[#This Row],[LayOdds]]-1))</f>
        <v/>
      </c>
      <c r="N562" s="45" t="str">
        <f>IF(LayTable[[#This Row],[Sport]]="","",1/((1/LayTable[[#This Row],[BookieOdds]])+(1/((1/((1+((LayTable[[#This Row],[LayOdds]]-1)*(1+LayTable[[#This Row],[C% Lay]])))-1))+1)))-1)</f>
        <v/>
      </c>
      <c r="Q562" s="46" t="str">
        <f>IF(LayTable[[#This Row],[Sport]]="","",LayTable[[#This Row],[BookieInnsats]]+LayTable[[#This Row],[LayLiability]])</f>
        <v/>
      </c>
      <c r="R5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2" s="47" t="str">
        <f>IF(LayTable[[#This Row],[Utfall bookie]]="","",LayTable[[#This Row],[WBABack]]+LayTable[[#This Row],[WBALay]]-LayTable[[#This Row],[Total inns]])</f>
        <v/>
      </c>
      <c r="U5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2" s="48" t="str">
        <f>IFERROR(IF(LayTable[[#This Row],[Total inns]]="","",LayTable[[#This Row],[Rback]]/LayTable[[#This Row],[Total inns]]),"")</f>
        <v/>
      </c>
      <c r="X562" s="48" t="str">
        <f>IFERROR(IF(LayTable[[#This Row],[Total inns]]="","",LayTable[[#This Row],[Rlay]]/LayTable[[#This Row],[Total inns]]),"")</f>
        <v/>
      </c>
      <c r="Y562" s="48" t="str">
        <f>IFERROR(LayTable[[#This Row],[Faktisk res]]/LayTable[[#This Row],[Total inns]],"")</f>
        <v/>
      </c>
      <c r="Z562" s="47">
        <f>(LayTable[[#This Row],[BookieInnsats]]*LayTable[[#This Row],[BookieOdds]]-LayTable[[#This Row],[BookieInnsats]])*(1-LayTable[[#This Row],[C% Bookie]])</f>
        <v>0</v>
      </c>
      <c r="AA562" s="43">
        <f>LayTable[[#This Row],[LayInnsats]]*(1-LayTable[[#This Row],[C% Lay]])</f>
        <v>0</v>
      </c>
      <c r="AB562" s="43">
        <f>IFERROR(IF(LayTable[[#This Row],[Sport]]="",AB561,LayTable[[#This Row],[Faktisk res]]+AB561),"")</f>
        <v>4914.29</v>
      </c>
      <c r="AC562" s="43">
        <f>(LayTable[[#This Row],[BackWin-Commission]]+LayTable[[#This Row],[BookieInnsats]])</f>
        <v>0</v>
      </c>
      <c r="AD562" s="43" t="e">
        <f>(LayTable[[#This Row],[LayWin-Commission]])+LayTable[[#This Row],[LayLiability]]</f>
        <v>#VALUE!</v>
      </c>
      <c r="AE562" s="314"/>
      <c r="AF562" s="314"/>
    </row>
    <row r="563" spans="1:32">
      <c r="A563" s="84"/>
      <c r="B563" s="39"/>
      <c r="C563" s="40"/>
      <c r="D563" s="41"/>
      <c r="E563" s="40"/>
      <c r="F563" s="41"/>
      <c r="G563" s="101"/>
      <c r="H563" s="38"/>
      <c r="I563" s="42"/>
      <c r="J563" s="42"/>
      <c r="K563" s="43"/>
      <c r="L563" s="43"/>
      <c r="M563" s="44" t="str">
        <f>IF(LayTable[[#This Row],[Sport]]="","",LayTable[[#This Row],[LayInnsats]]*(LayTable[[#This Row],[LayOdds]]-1))</f>
        <v/>
      </c>
      <c r="N563" s="45" t="str">
        <f>IF(LayTable[[#This Row],[Sport]]="","",1/((1/LayTable[[#This Row],[BookieOdds]])+(1/((1/((1+((LayTable[[#This Row],[LayOdds]]-1)*(1+LayTable[[#This Row],[C% Lay]])))-1))+1)))-1)</f>
        <v/>
      </c>
      <c r="Q563" s="46" t="str">
        <f>IF(LayTable[[#This Row],[Sport]]="","",LayTable[[#This Row],[BookieInnsats]]+LayTable[[#This Row],[LayLiability]])</f>
        <v/>
      </c>
      <c r="R5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3" s="47" t="str">
        <f>IF(LayTable[[#This Row],[Utfall bookie]]="","",LayTable[[#This Row],[WBABack]]+LayTable[[#This Row],[WBALay]]-LayTable[[#This Row],[Total inns]])</f>
        <v/>
      </c>
      <c r="U5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3" s="48" t="str">
        <f>IFERROR(IF(LayTable[[#This Row],[Total inns]]="","",LayTable[[#This Row],[Rback]]/LayTable[[#This Row],[Total inns]]),"")</f>
        <v/>
      </c>
      <c r="X563" s="48" t="str">
        <f>IFERROR(IF(LayTable[[#This Row],[Total inns]]="","",LayTable[[#This Row],[Rlay]]/LayTable[[#This Row],[Total inns]]),"")</f>
        <v/>
      </c>
      <c r="Y563" s="48" t="str">
        <f>IFERROR(LayTable[[#This Row],[Faktisk res]]/LayTable[[#This Row],[Total inns]],"")</f>
        <v/>
      </c>
      <c r="Z563" s="47">
        <f>(LayTable[[#This Row],[BookieInnsats]]*LayTable[[#This Row],[BookieOdds]]-LayTable[[#This Row],[BookieInnsats]])*(1-LayTable[[#This Row],[C% Bookie]])</f>
        <v>0</v>
      </c>
      <c r="AA563" s="43">
        <f>LayTable[[#This Row],[LayInnsats]]*(1-LayTable[[#This Row],[C% Lay]])</f>
        <v>0</v>
      </c>
      <c r="AB563" s="43">
        <f>IFERROR(IF(LayTable[[#This Row],[Sport]]="",AB562,LayTable[[#This Row],[Faktisk res]]+AB562),"")</f>
        <v>4914.29</v>
      </c>
      <c r="AC563" s="43">
        <f>(LayTable[[#This Row],[BackWin-Commission]]+LayTable[[#This Row],[BookieInnsats]])</f>
        <v>0</v>
      </c>
      <c r="AD563" s="43" t="e">
        <f>(LayTable[[#This Row],[LayWin-Commission]])+LayTable[[#This Row],[LayLiability]]</f>
        <v>#VALUE!</v>
      </c>
      <c r="AE563" s="314"/>
      <c r="AF563" s="314"/>
    </row>
    <row r="564" spans="1:32">
      <c r="A564" s="84"/>
      <c r="B564" s="39"/>
      <c r="C564" s="40"/>
      <c r="D564" s="41"/>
      <c r="E564" s="40"/>
      <c r="F564" s="41"/>
      <c r="G564" s="101"/>
      <c r="H564" s="38"/>
      <c r="I564" s="42"/>
      <c r="J564" s="42"/>
      <c r="K564" s="43"/>
      <c r="L564" s="43"/>
      <c r="M564" s="44" t="str">
        <f>IF(LayTable[[#This Row],[Sport]]="","",LayTable[[#This Row],[LayInnsats]]*(LayTable[[#This Row],[LayOdds]]-1))</f>
        <v/>
      </c>
      <c r="N564" s="45" t="str">
        <f>IF(LayTable[[#This Row],[Sport]]="","",1/((1/LayTable[[#This Row],[BookieOdds]])+(1/((1/((1+((LayTable[[#This Row],[LayOdds]]-1)*(1+LayTable[[#This Row],[C% Lay]])))-1))+1)))-1)</f>
        <v/>
      </c>
      <c r="Q564" s="46" t="str">
        <f>IF(LayTable[[#This Row],[Sport]]="","",LayTable[[#This Row],[BookieInnsats]]+LayTable[[#This Row],[LayLiability]])</f>
        <v/>
      </c>
      <c r="R5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4" s="47" t="str">
        <f>IF(LayTable[[#This Row],[Utfall bookie]]="","",LayTable[[#This Row],[WBABack]]+LayTable[[#This Row],[WBALay]]-LayTable[[#This Row],[Total inns]])</f>
        <v/>
      </c>
      <c r="U5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4" s="48" t="str">
        <f>IFERROR(IF(LayTable[[#This Row],[Total inns]]="","",LayTable[[#This Row],[Rback]]/LayTable[[#This Row],[Total inns]]),"")</f>
        <v/>
      </c>
      <c r="X564" s="48" t="str">
        <f>IFERROR(IF(LayTable[[#This Row],[Total inns]]="","",LayTable[[#This Row],[Rlay]]/LayTable[[#This Row],[Total inns]]),"")</f>
        <v/>
      </c>
      <c r="Y564" s="48" t="str">
        <f>IFERROR(LayTable[[#This Row],[Faktisk res]]/LayTable[[#This Row],[Total inns]],"")</f>
        <v/>
      </c>
      <c r="Z564" s="47">
        <f>(LayTable[[#This Row],[BookieInnsats]]*LayTable[[#This Row],[BookieOdds]]-LayTable[[#This Row],[BookieInnsats]])*(1-LayTable[[#This Row],[C% Bookie]])</f>
        <v>0</v>
      </c>
      <c r="AA564" s="43">
        <f>LayTable[[#This Row],[LayInnsats]]*(1-LayTable[[#This Row],[C% Lay]])</f>
        <v>0</v>
      </c>
      <c r="AB564" s="43">
        <f>IFERROR(IF(LayTable[[#This Row],[Sport]]="",AB563,LayTable[[#This Row],[Faktisk res]]+AB563),"")</f>
        <v>4914.29</v>
      </c>
      <c r="AC564" s="43">
        <f>(LayTable[[#This Row],[BackWin-Commission]]+LayTable[[#This Row],[BookieInnsats]])</f>
        <v>0</v>
      </c>
      <c r="AD564" s="43" t="e">
        <f>(LayTable[[#This Row],[LayWin-Commission]])+LayTable[[#This Row],[LayLiability]]</f>
        <v>#VALUE!</v>
      </c>
      <c r="AE564" s="314"/>
      <c r="AF564" s="314"/>
    </row>
    <row r="565" spans="1:32">
      <c r="A565" s="84"/>
      <c r="B565" s="39"/>
      <c r="C565" s="40"/>
      <c r="D565" s="41"/>
      <c r="E565" s="40"/>
      <c r="F565" s="41"/>
      <c r="G565" s="101"/>
      <c r="H565" s="38"/>
      <c r="I565" s="42"/>
      <c r="J565" s="42"/>
      <c r="K565" s="43"/>
      <c r="L565" s="43"/>
      <c r="M565" s="44" t="str">
        <f>IF(LayTable[[#This Row],[Sport]]="","",LayTable[[#This Row],[LayInnsats]]*(LayTable[[#This Row],[LayOdds]]-1))</f>
        <v/>
      </c>
      <c r="N565" s="45" t="str">
        <f>IF(LayTable[[#This Row],[Sport]]="","",1/((1/LayTable[[#This Row],[BookieOdds]])+(1/((1/((1+((LayTable[[#This Row],[LayOdds]]-1)*(1+LayTable[[#This Row],[C% Lay]])))-1))+1)))-1)</f>
        <v/>
      </c>
      <c r="Q565" s="46" t="str">
        <f>IF(LayTable[[#This Row],[Sport]]="","",LayTable[[#This Row],[BookieInnsats]]+LayTable[[#This Row],[LayLiability]])</f>
        <v/>
      </c>
      <c r="R5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5" s="47" t="str">
        <f>IF(LayTable[[#This Row],[Utfall bookie]]="","",LayTable[[#This Row],[WBABack]]+LayTable[[#This Row],[WBALay]]-LayTable[[#This Row],[Total inns]])</f>
        <v/>
      </c>
      <c r="U5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5" s="48" t="str">
        <f>IFERROR(IF(LayTable[[#This Row],[Total inns]]="","",LayTable[[#This Row],[Rback]]/LayTable[[#This Row],[Total inns]]),"")</f>
        <v/>
      </c>
      <c r="X565" s="48" t="str">
        <f>IFERROR(IF(LayTable[[#This Row],[Total inns]]="","",LayTable[[#This Row],[Rlay]]/LayTable[[#This Row],[Total inns]]),"")</f>
        <v/>
      </c>
      <c r="Y565" s="48" t="str">
        <f>IFERROR(LayTable[[#This Row],[Faktisk res]]/LayTable[[#This Row],[Total inns]],"")</f>
        <v/>
      </c>
      <c r="Z565" s="47">
        <f>(LayTable[[#This Row],[BookieInnsats]]*LayTable[[#This Row],[BookieOdds]]-LayTable[[#This Row],[BookieInnsats]])*(1-LayTable[[#This Row],[C% Bookie]])</f>
        <v>0</v>
      </c>
      <c r="AA565" s="43">
        <f>LayTable[[#This Row],[LayInnsats]]*(1-LayTable[[#This Row],[C% Lay]])</f>
        <v>0</v>
      </c>
      <c r="AB565" s="43">
        <f>IFERROR(IF(LayTable[[#This Row],[Sport]]="",AB564,LayTable[[#This Row],[Faktisk res]]+AB564),"")</f>
        <v>4914.29</v>
      </c>
      <c r="AC565" s="43">
        <f>(LayTable[[#This Row],[BackWin-Commission]]+LayTable[[#This Row],[BookieInnsats]])</f>
        <v>0</v>
      </c>
      <c r="AD565" s="43" t="e">
        <f>(LayTable[[#This Row],[LayWin-Commission]])+LayTable[[#This Row],[LayLiability]]</f>
        <v>#VALUE!</v>
      </c>
      <c r="AE565" s="314"/>
      <c r="AF565" s="314"/>
    </row>
    <row r="566" spans="1:32">
      <c r="A566" s="84"/>
      <c r="B566" s="39"/>
      <c r="C566" s="40"/>
      <c r="D566" s="41"/>
      <c r="E566" s="40"/>
      <c r="F566" s="41"/>
      <c r="G566" s="101"/>
      <c r="H566" s="38"/>
      <c r="I566" s="42"/>
      <c r="J566" s="42"/>
      <c r="K566" s="43"/>
      <c r="L566" s="43"/>
      <c r="M566" s="44" t="str">
        <f>IF(LayTable[[#This Row],[Sport]]="","",LayTable[[#This Row],[LayInnsats]]*(LayTable[[#This Row],[LayOdds]]-1))</f>
        <v/>
      </c>
      <c r="N566" s="45" t="str">
        <f>IF(LayTable[[#This Row],[Sport]]="","",1/((1/LayTable[[#This Row],[BookieOdds]])+(1/((1/((1+((LayTable[[#This Row],[LayOdds]]-1)*(1+LayTable[[#This Row],[C% Lay]])))-1))+1)))-1)</f>
        <v/>
      </c>
      <c r="Q566" s="46" t="str">
        <f>IF(LayTable[[#This Row],[Sport]]="","",LayTable[[#This Row],[BookieInnsats]]+LayTable[[#This Row],[LayLiability]])</f>
        <v/>
      </c>
      <c r="R5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6" s="47" t="str">
        <f>IF(LayTable[[#This Row],[Utfall bookie]]="","",LayTable[[#This Row],[WBABack]]+LayTable[[#This Row],[WBALay]]-LayTable[[#This Row],[Total inns]])</f>
        <v/>
      </c>
      <c r="U5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6" s="48" t="str">
        <f>IFERROR(IF(LayTable[[#This Row],[Total inns]]="","",LayTable[[#This Row],[Rback]]/LayTable[[#This Row],[Total inns]]),"")</f>
        <v/>
      </c>
      <c r="X566" s="48" t="str">
        <f>IFERROR(IF(LayTable[[#This Row],[Total inns]]="","",LayTable[[#This Row],[Rlay]]/LayTable[[#This Row],[Total inns]]),"")</f>
        <v/>
      </c>
      <c r="Y566" s="48" t="str">
        <f>IFERROR(LayTable[[#This Row],[Faktisk res]]/LayTable[[#This Row],[Total inns]],"")</f>
        <v/>
      </c>
      <c r="Z566" s="47">
        <f>(LayTable[[#This Row],[BookieInnsats]]*LayTable[[#This Row],[BookieOdds]]-LayTable[[#This Row],[BookieInnsats]])*(1-LayTable[[#This Row],[C% Bookie]])</f>
        <v>0</v>
      </c>
      <c r="AA566" s="43">
        <f>LayTable[[#This Row],[LayInnsats]]*(1-LayTable[[#This Row],[C% Lay]])</f>
        <v>0</v>
      </c>
      <c r="AB566" s="43">
        <f>IFERROR(IF(LayTable[[#This Row],[Sport]]="",AB565,LayTable[[#This Row],[Faktisk res]]+AB565),"")</f>
        <v>4914.29</v>
      </c>
      <c r="AC566" s="43">
        <f>(LayTable[[#This Row],[BackWin-Commission]]+LayTable[[#This Row],[BookieInnsats]])</f>
        <v>0</v>
      </c>
      <c r="AD566" s="43" t="e">
        <f>(LayTable[[#This Row],[LayWin-Commission]])+LayTable[[#This Row],[LayLiability]]</f>
        <v>#VALUE!</v>
      </c>
      <c r="AE566" s="181"/>
      <c r="AF566" s="317"/>
    </row>
    <row r="567" spans="1:32">
      <c r="A567" s="84"/>
      <c r="B567" s="39"/>
      <c r="C567" s="40"/>
      <c r="D567" s="41"/>
      <c r="E567" s="40"/>
      <c r="F567" s="41"/>
      <c r="G567" s="101"/>
      <c r="H567" s="38"/>
      <c r="I567" s="42"/>
      <c r="J567" s="42"/>
      <c r="K567" s="43"/>
      <c r="L567" s="43"/>
      <c r="M567" s="44" t="str">
        <f>IF(LayTable[[#This Row],[Sport]]="","",LayTable[[#This Row],[LayInnsats]]*(LayTable[[#This Row],[LayOdds]]-1))</f>
        <v/>
      </c>
      <c r="N567" s="45" t="str">
        <f>IF(LayTable[[#This Row],[Sport]]="","",1/((1/LayTable[[#This Row],[BookieOdds]])+(1/((1/((1+((LayTable[[#This Row],[LayOdds]]-1)*(1+LayTable[[#This Row],[C% Lay]])))-1))+1)))-1)</f>
        <v/>
      </c>
      <c r="Q567" s="46" t="str">
        <f>IF(LayTable[[#This Row],[Sport]]="","",LayTable[[#This Row],[BookieInnsats]]+LayTable[[#This Row],[LayLiability]])</f>
        <v/>
      </c>
      <c r="R5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7" s="47" t="str">
        <f>IF(LayTable[[#This Row],[Utfall bookie]]="","",LayTable[[#This Row],[WBABack]]+LayTable[[#This Row],[WBALay]]-LayTable[[#This Row],[Total inns]])</f>
        <v/>
      </c>
      <c r="U5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7" s="48" t="str">
        <f>IFERROR(IF(LayTable[[#This Row],[Total inns]]="","",LayTable[[#This Row],[Rback]]/LayTable[[#This Row],[Total inns]]),"")</f>
        <v/>
      </c>
      <c r="X567" s="48" t="str">
        <f>IFERROR(IF(LayTable[[#This Row],[Total inns]]="","",LayTable[[#This Row],[Rlay]]/LayTable[[#This Row],[Total inns]]),"")</f>
        <v/>
      </c>
      <c r="Y567" s="48" t="str">
        <f>IFERROR(LayTable[[#This Row],[Faktisk res]]/LayTable[[#This Row],[Total inns]],"")</f>
        <v/>
      </c>
      <c r="Z567" s="47">
        <f>(LayTable[[#This Row],[BookieInnsats]]*LayTable[[#This Row],[BookieOdds]]-LayTable[[#This Row],[BookieInnsats]])*(1-LayTable[[#This Row],[C% Bookie]])</f>
        <v>0</v>
      </c>
      <c r="AA567" s="43">
        <f>LayTable[[#This Row],[LayInnsats]]*(1-LayTable[[#This Row],[C% Lay]])</f>
        <v>0</v>
      </c>
      <c r="AB567" s="43">
        <f>IFERROR(IF(LayTable[[#This Row],[Sport]]="",AB566,LayTable[[#This Row],[Faktisk res]]+AB566),"")</f>
        <v>4914.29</v>
      </c>
      <c r="AC567" s="43">
        <f>(LayTable[[#This Row],[BackWin-Commission]]+LayTable[[#This Row],[BookieInnsats]])</f>
        <v>0</v>
      </c>
      <c r="AD567" s="43" t="e">
        <f>(LayTable[[#This Row],[LayWin-Commission]])+LayTable[[#This Row],[LayLiability]]</f>
        <v>#VALUE!</v>
      </c>
      <c r="AE567" s="181"/>
      <c r="AF567" s="317"/>
    </row>
    <row r="568" spans="1:32">
      <c r="A568" s="84"/>
      <c r="B568" s="39"/>
      <c r="C568" s="40"/>
      <c r="D568" s="41"/>
      <c r="E568" s="40"/>
      <c r="F568" s="41"/>
      <c r="G568" s="101"/>
      <c r="H568" s="38"/>
      <c r="I568" s="42"/>
      <c r="J568" s="42"/>
      <c r="K568" s="43"/>
      <c r="L568" s="43"/>
      <c r="M568" s="44" t="str">
        <f>IF(LayTable[[#This Row],[Sport]]="","",LayTable[[#This Row],[LayInnsats]]*(LayTable[[#This Row],[LayOdds]]-1))</f>
        <v/>
      </c>
      <c r="N568" s="45" t="str">
        <f>IF(LayTable[[#This Row],[Sport]]="","",1/((1/LayTable[[#This Row],[BookieOdds]])+(1/((1/((1+((LayTable[[#This Row],[LayOdds]]-1)*(1+LayTable[[#This Row],[C% Lay]])))-1))+1)))-1)</f>
        <v/>
      </c>
      <c r="Q568" s="46" t="str">
        <f>IF(LayTable[[#This Row],[Sport]]="","",LayTable[[#This Row],[BookieInnsats]]+LayTable[[#This Row],[LayLiability]])</f>
        <v/>
      </c>
      <c r="R5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8" s="47" t="str">
        <f>IF(LayTable[[#This Row],[Utfall bookie]]="","",LayTable[[#This Row],[WBABack]]+LayTable[[#This Row],[WBALay]]-LayTable[[#This Row],[Total inns]])</f>
        <v/>
      </c>
      <c r="U5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8" s="48" t="str">
        <f>IFERROR(IF(LayTable[[#This Row],[Total inns]]="","",LayTable[[#This Row],[Rback]]/LayTable[[#This Row],[Total inns]]),"")</f>
        <v/>
      </c>
      <c r="X568" s="48" t="str">
        <f>IFERROR(IF(LayTable[[#This Row],[Total inns]]="","",LayTable[[#This Row],[Rlay]]/LayTable[[#This Row],[Total inns]]),"")</f>
        <v/>
      </c>
      <c r="Y568" s="48" t="str">
        <f>IFERROR(LayTable[[#This Row],[Faktisk res]]/LayTable[[#This Row],[Total inns]],"")</f>
        <v/>
      </c>
      <c r="Z568" s="47">
        <f>(LayTable[[#This Row],[BookieInnsats]]*LayTable[[#This Row],[BookieOdds]]-LayTable[[#This Row],[BookieInnsats]])*(1-LayTable[[#This Row],[C% Bookie]])</f>
        <v>0</v>
      </c>
      <c r="AA568" s="43">
        <f>LayTable[[#This Row],[LayInnsats]]*(1-LayTable[[#This Row],[C% Lay]])</f>
        <v>0</v>
      </c>
      <c r="AB568" s="43">
        <f>IFERROR(IF(LayTable[[#This Row],[Sport]]="",AB567,LayTable[[#This Row],[Faktisk res]]+AB567),"")</f>
        <v>4914.29</v>
      </c>
      <c r="AC568" s="43">
        <f>(LayTable[[#This Row],[BackWin-Commission]]+LayTable[[#This Row],[BookieInnsats]])</f>
        <v>0</v>
      </c>
      <c r="AD568" s="43" t="e">
        <f>(LayTable[[#This Row],[LayWin-Commission]])+LayTable[[#This Row],[LayLiability]]</f>
        <v>#VALUE!</v>
      </c>
      <c r="AE568" s="314"/>
      <c r="AF568" s="317"/>
    </row>
    <row r="569" spans="1:32">
      <c r="A569" s="84"/>
      <c r="B569" s="39"/>
      <c r="C569" s="40"/>
      <c r="D569" s="41"/>
      <c r="E569" s="40"/>
      <c r="F569" s="41"/>
      <c r="G569" s="101"/>
      <c r="H569" s="38"/>
      <c r="I569" s="42"/>
      <c r="J569" s="42"/>
      <c r="K569" s="43"/>
      <c r="L569" s="43"/>
      <c r="M569" s="44" t="str">
        <f>IF(LayTable[[#This Row],[Sport]]="","",LayTable[[#This Row],[LayInnsats]]*(LayTable[[#This Row],[LayOdds]]-1))</f>
        <v/>
      </c>
      <c r="N569" s="45" t="str">
        <f>IF(LayTable[[#This Row],[Sport]]="","",1/((1/LayTable[[#This Row],[BookieOdds]])+(1/((1/((1+((LayTable[[#This Row],[LayOdds]]-1)*(1+LayTable[[#This Row],[C% Lay]])))-1))+1)))-1)</f>
        <v/>
      </c>
      <c r="Q569" s="46" t="str">
        <f>IF(LayTable[[#This Row],[Sport]]="","",LayTable[[#This Row],[BookieInnsats]]+LayTable[[#This Row],[LayLiability]])</f>
        <v/>
      </c>
      <c r="R5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69" s="47" t="str">
        <f>IF(LayTable[[#This Row],[Utfall bookie]]="","",LayTable[[#This Row],[WBABack]]+LayTable[[#This Row],[WBALay]]-LayTable[[#This Row],[Total inns]])</f>
        <v/>
      </c>
      <c r="U5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69" s="48" t="str">
        <f>IFERROR(IF(LayTable[[#This Row],[Total inns]]="","",LayTable[[#This Row],[Rback]]/LayTable[[#This Row],[Total inns]]),"")</f>
        <v/>
      </c>
      <c r="X569" s="48" t="str">
        <f>IFERROR(IF(LayTable[[#This Row],[Total inns]]="","",LayTable[[#This Row],[Rlay]]/LayTable[[#This Row],[Total inns]]),"")</f>
        <v/>
      </c>
      <c r="Y569" s="48" t="str">
        <f>IFERROR(LayTable[[#This Row],[Faktisk res]]/LayTable[[#This Row],[Total inns]],"")</f>
        <v/>
      </c>
      <c r="Z569" s="47">
        <f>(LayTable[[#This Row],[BookieInnsats]]*LayTable[[#This Row],[BookieOdds]]-LayTable[[#This Row],[BookieInnsats]])*(1-LayTable[[#This Row],[C% Bookie]])</f>
        <v>0</v>
      </c>
      <c r="AA569" s="43">
        <f>LayTable[[#This Row],[LayInnsats]]*(1-LayTable[[#This Row],[C% Lay]])</f>
        <v>0</v>
      </c>
      <c r="AB569" s="43">
        <f>IFERROR(IF(LayTable[[#This Row],[Sport]]="",AB568,LayTable[[#This Row],[Faktisk res]]+AB568),"")</f>
        <v>4914.29</v>
      </c>
      <c r="AC569" s="43">
        <f>(LayTable[[#This Row],[BackWin-Commission]]+LayTable[[#This Row],[BookieInnsats]])</f>
        <v>0</v>
      </c>
      <c r="AD569" s="43" t="e">
        <f>(LayTable[[#This Row],[LayWin-Commission]])+LayTable[[#This Row],[LayLiability]]</f>
        <v>#VALUE!</v>
      </c>
      <c r="AE569" s="181"/>
      <c r="AF569" s="317"/>
    </row>
    <row r="570" spans="1:32">
      <c r="A570" s="84"/>
      <c r="B570" s="39"/>
      <c r="C570" s="40"/>
      <c r="D570" s="41"/>
      <c r="E570" s="40"/>
      <c r="F570" s="41"/>
      <c r="G570" s="101"/>
      <c r="H570" s="38"/>
      <c r="I570" s="42"/>
      <c r="J570" s="42"/>
      <c r="K570" s="43"/>
      <c r="L570" s="43"/>
      <c r="M570" s="44" t="str">
        <f>IF(LayTable[[#This Row],[Sport]]="","",LayTable[[#This Row],[LayInnsats]]*(LayTable[[#This Row],[LayOdds]]-1))</f>
        <v/>
      </c>
      <c r="N570" s="45" t="str">
        <f>IF(LayTable[[#This Row],[Sport]]="","",1/((1/LayTable[[#This Row],[BookieOdds]])+(1/((1/((1+((LayTable[[#This Row],[LayOdds]]-1)*(1+LayTable[[#This Row],[C% Lay]])))-1))+1)))-1)</f>
        <v/>
      </c>
      <c r="Q570" s="46" t="str">
        <f>IF(LayTable[[#This Row],[Sport]]="","",LayTable[[#This Row],[BookieInnsats]]+LayTable[[#This Row],[LayLiability]])</f>
        <v/>
      </c>
      <c r="R5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0" s="47" t="str">
        <f>IF(LayTable[[#This Row],[Utfall bookie]]="","",LayTable[[#This Row],[WBABack]]+LayTable[[#This Row],[WBALay]]-LayTable[[#This Row],[Total inns]])</f>
        <v/>
      </c>
      <c r="U5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0" s="48" t="str">
        <f>IFERROR(IF(LayTable[[#This Row],[Total inns]]="","",LayTable[[#This Row],[Rback]]/LayTable[[#This Row],[Total inns]]),"")</f>
        <v/>
      </c>
      <c r="X570" s="48" t="str">
        <f>IFERROR(IF(LayTable[[#This Row],[Total inns]]="","",LayTable[[#This Row],[Rlay]]/LayTable[[#This Row],[Total inns]]),"")</f>
        <v/>
      </c>
      <c r="Y570" s="48" t="str">
        <f>IFERROR(LayTable[[#This Row],[Faktisk res]]/LayTable[[#This Row],[Total inns]],"")</f>
        <v/>
      </c>
      <c r="Z570" s="47">
        <f>(LayTable[[#This Row],[BookieInnsats]]*LayTable[[#This Row],[BookieOdds]]-LayTable[[#This Row],[BookieInnsats]])*(1-LayTable[[#This Row],[C% Bookie]])</f>
        <v>0</v>
      </c>
      <c r="AA570" s="43">
        <f>LayTable[[#This Row],[LayInnsats]]*(1-LayTable[[#This Row],[C% Lay]])</f>
        <v>0</v>
      </c>
      <c r="AB570" s="43">
        <f>IFERROR(IF(LayTable[[#This Row],[Sport]]="",AB569,LayTable[[#This Row],[Faktisk res]]+AB569),"")</f>
        <v>4914.29</v>
      </c>
      <c r="AC570" s="43">
        <f>(LayTable[[#This Row],[BackWin-Commission]]+LayTable[[#This Row],[BookieInnsats]])</f>
        <v>0</v>
      </c>
      <c r="AD570" s="43" t="e">
        <f>(LayTable[[#This Row],[LayWin-Commission]])+LayTable[[#This Row],[LayLiability]]</f>
        <v>#VALUE!</v>
      </c>
      <c r="AE570" s="181"/>
      <c r="AF570" s="317"/>
    </row>
    <row r="571" spans="1:32">
      <c r="A571" s="84"/>
      <c r="B571" s="39"/>
      <c r="C571" s="40"/>
      <c r="D571" s="41"/>
      <c r="E571" s="40"/>
      <c r="F571" s="41"/>
      <c r="G571" s="101"/>
      <c r="H571" s="38"/>
      <c r="I571" s="42"/>
      <c r="J571" s="42"/>
      <c r="K571" s="43"/>
      <c r="L571" s="43"/>
      <c r="M571" s="44" t="str">
        <f>IF(LayTable[[#This Row],[Sport]]="","",LayTable[[#This Row],[LayInnsats]]*(LayTable[[#This Row],[LayOdds]]-1))</f>
        <v/>
      </c>
      <c r="N571" s="45" t="str">
        <f>IF(LayTable[[#This Row],[Sport]]="","",1/((1/LayTable[[#This Row],[BookieOdds]])+(1/((1/((1+((LayTable[[#This Row],[LayOdds]]-1)*(1+LayTable[[#This Row],[C% Lay]])))-1))+1)))-1)</f>
        <v/>
      </c>
      <c r="Q571" s="46" t="str">
        <f>IF(LayTable[[#This Row],[Sport]]="","",LayTable[[#This Row],[BookieInnsats]]+LayTable[[#This Row],[LayLiability]])</f>
        <v/>
      </c>
      <c r="R5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1" s="47" t="str">
        <f>IF(LayTable[[#This Row],[Utfall bookie]]="","",LayTable[[#This Row],[WBABack]]+LayTable[[#This Row],[WBALay]]-LayTable[[#This Row],[Total inns]])</f>
        <v/>
      </c>
      <c r="U5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1" s="48" t="str">
        <f>IFERROR(IF(LayTable[[#This Row],[Total inns]]="","",LayTable[[#This Row],[Rback]]/LayTable[[#This Row],[Total inns]]),"")</f>
        <v/>
      </c>
      <c r="X571" s="48" t="str">
        <f>IFERROR(IF(LayTable[[#This Row],[Total inns]]="","",LayTable[[#This Row],[Rlay]]/LayTable[[#This Row],[Total inns]]),"")</f>
        <v/>
      </c>
      <c r="Y571" s="48" t="str">
        <f>IFERROR(LayTable[[#This Row],[Faktisk res]]/LayTable[[#This Row],[Total inns]],"")</f>
        <v/>
      </c>
      <c r="Z571" s="47">
        <f>(LayTable[[#This Row],[BookieInnsats]]*LayTable[[#This Row],[BookieOdds]]-LayTable[[#This Row],[BookieInnsats]])*(1-LayTable[[#This Row],[C% Bookie]])</f>
        <v>0</v>
      </c>
      <c r="AA571" s="43">
        <f>LayTable[[#This Row],[LayInnsats]]*(1-LayTable[[#This Row],[C% Lay]])</f>
        <v>0</v>
      </c>
      <c r="AB571" s="43">
        <f>IFERROR(IF(LayTable[[#This Row],[Sport]]="",AB570,LayTable[[#This Row],[Faktisk res]]+AB570),"")</f>
        <v>4914.29</v>
      </c>
      <c r="AC571" s="43">
        <f>(LayTable[[#This Row],[BackWin-Commission]]+LayTable[[#This Row],[BookieInnsats]])</f>
        <v>0</v>
      </c>
      <c r="AD571" s="43" t="e">
        <f>(LayTable[[#This Row],[LayWin-Commission]])+LayTable[[#This Row],[LayLiability]]</f>
        <v>#VALUE!</v>
      </c>
      <c r="AE571" s="314"/>
      <c r="AF571" s="317"/>
    </row>
    <row r="572" spans="1:32">
      <c r="A572" s="84"/>
      <c r="B572" s="144"/>
      <c r="C572" s="40"/>
      <c r="D572" s="41"/>
      <c r="E572" s="40"/>
      <c r="F572" s="41"/>
      <c r="G572" s="183"/>
      <c r="H572" s="38"/>
      <c r="I572" s="42"/>
      <c r="J572" s="42"/>
      <c r="K572" s="43"/>
      <c r="L572" s="43"/>
      <c r="M572" s="44" t="str">
        <f>IF(LayTable[[#This Row],[Sport]]="","",LayTable[[#This Row],[LayInnsats]]*(LayTable[[#This Row],[LayOdds]]-1))</f>
        <v/>
      </c>
      <c r="N572" s="45" t="str">
        <f>IF(LayTable[[#This Row],[Sport]]="","",1/((1/LayTable[[#This Row],[BookieOdds]])+(1/((1/((1+((LayTable[[#This Row],[LayOdds]]-1)*(1+LayTable[[#This Row],[C% Lay]])))-1))+1)))-1)</f>
        <v/>
      </c>
      <c r="Q572" s="46" t="str">
        <f>IF(LayTable[[#This Row],[Sport]]="","",LayTable[[#This Row],[BookieInnsats]]+LayTable[[#This Row],[LayLiability]])</f>
        <v/>
      </c>
      <c r="R5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2" s="47" t="str">
        <f>IF(LayTable[[#This Row],[Utfall bookie]]="","",LayTable[[#This Row],[WBABack]]+LayTable[[#This Row],[WBALay]]-LayTable[[#This Row],[Total inns]])</f>
        <v/>
      </c>
      <c r="U5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2" s="48" t="str">
        <f>IFERROR(IF(LayTable[[#This Row],[Total inns]]="","",LayTable[[#This Row],[Rback]]/LayTable[[#This Row],[Total inns]]),"")</f>
        <v/>
      </c>
      <c r="X572" s="48" t="str">
        <f>IFERROR(IF(LayTable[[#This Row],[Total inns]]="","",LayTable[[#This Row],[Rlay]]/LayTable[[#This Row],[Total inns]]),"")</f>
        <v/>
      </c>
      <c r="Y572" s="48" t="str">
        <f>IFERROR(LayTable[[#This Row],[Faktisk res]]/LayTable[[#This Row],[Total inns]],"")</f>
        <v/>
      </c>
      <c r="Z572" s="47">
        <f>(LayTable[[#This Row],[BookieInnsats]]*LayTable[[#This Row],[BookieOdds]]-LayTable[[#This Row],[BookieInnsats]])*(1-LayTable[[#This Row],[C% Bookie]])</f>
        <v>0</v>
      </c>
      <c r="AA572" s="43">
        <f>LayTable[[#This Row],[LayInnsats]]*(1-LayTable[[#This Row],[C% Lay]])</f>
        <v>0</v>
      </c>
      <c r="AB572" s="43">
        <f>IFERROR(IF(LayTable[[#This Row],[Sport]]="",AB571,LayTable[[#This Row],[Faktisk res]]+AB571),"")</f>
        <v>4914.29</v>
      </c>
      <c r="AC572" s="43">
        <f>(LayTable[[#This Row],[BackWin-Commission]]+LayTable[[#This Row],[BookieInnsats]])</f>
        <v>0</v>
      </c>
      <c r="AD572" s="43" t="e">
        <f>(LayTable[[#This Row],[LayWin-Commission]])+LayTable[[#This Row],[LayLiability]]</f>
        <v>#VALUE!</v>
      </c>
      <c r="AE572" s="181"/>
      <c r="AF572" s="317"/>
    </row>
    <row r="573" spans="1:32">
      <c r="A573" s="84"/>
      <c r="B573" s="144"/>
      <c r="C573" s="40"/>
      <c r="D573" s="41"/>
      <c r="E573" s="40"/>
      <c r="F573" s="41"/>
      <c r="G573" s="183"/>
      <c r="H573" s="38"/>
      <c r="I573" s="42"/>
      <c r="J573" s="42"/>
      <c r="K573" s="43"/>
      <c r="L573" s="43"/>
      <c r="M573" s="44" t="str">
        <f>IF(LayTable[[#This Row],[Sport]]="","",LayTable[[#This Row],[LayInnsats]]*(LayTable[[#This Row],[LayOdds]]-1))</f>
        <v/>
      </c>
      <c r="N573" s="45" t="str">
        <f>IF(LayTable[[#This Row],[Sport]]="","",1/((1/LayTable[[#This Row],[BookieOdds]])+(1/((1/((1+((LayTable[[#This Row],[LayOdds]]-1)*(1+LayTable[[#This Row],[C% Lay]])))-1))+1)))-1)</f>
        <v/>
      </c>
      <c r="Q573" s="46" t="str">
        <f>IF(LayTable[[#This Row],[Sport]]="","",LayTable[[#This Row],[BookieInnsats]]+LayTable[[#This Row],[LayLiability]])</f>
        <v/>
      </c>
      <c r="R5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3" s="47" t="str">
        <f>IF(LayTable[[#This Row],[Utfall bookie]]="","",LayTable[[#This Row],[WBABack]]+LayTable[[#This Row],[WBALay]]-LayTable[[#This Row],[Total inns]])</f>
        <v/>
      </c>
      <c r="U5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3" s="48" t="str">
        <f>IFERROR(IF(LayTable[[#This Row],[Total inns]]="","",LayTable[[#This Row],[Rback]]/LayTable[[#This Row],[Total inns]]),"")</f>
        <v/>
      </c>
      <c r="X573" s="48" t="str">
        <f>IFERROR(IF(LayTable[[#This Row],[Total inns]]="","",LayTable[[#This Row],[Rlay]]/LayTable[[#This Row],[Total inns]]),"")</f>
        <v/>
      </c>
      <c r="Y573" s="48" t="str">
        <f>IFERROR(LayTable[[#This Row],[Faktisk res]]/LayTable[[#This Row],[Total inns]],"")</f>
        <v/>
      </c>
      <c r="Z573" s="47">
        <f>(LayTable[[#This Row],[BookieInnsats]]*LayTable[[#This Row],[BookieOdds]]-LayTable[[#This Row],[BookieInnsats]])*(1-LayTable[[#This Row],[C% Bookie]])</f>
        <v>0</v>
      </c>
      <c r="AA573" s="43">
        <f>LayTable[[#This Row],[LayInnsats]]*(1-LayTable[[#This Row],[C% Lay]])</f>
        <v>0</v>
      </c>
      <c r="AB573" s="43">
        <f>IFERROR(IF(LayTable[[#This Row],[Sport]]="",AB572,LayTable[[#This Row],[Faktisk res]]+AB572),"")</f>
        <v>4914.29</v>
      </c>
      <c r="AC573" s="43">
        <f>(LayTable[[#This Row],[BackWin-Commission]]+LayTable[[#This Row],[BookieInnsats]])</f>
        <v>0</v>
      </c>
      <c r="AD573" s="43" t="e">
        <f>(LayTable[[#This Row],[LayWin-Commission]])+LayTable[[#This Row],[LayLiability]]</f>
        <v>#VALUE!</v>
      </c>
      <c r="AE573" s="314"/>
      <c r="AF573" s="317"/>
    </row>
    <row r="574" spans="1:32">
      <c r="A574" s="84"/>
      <c r="B574" s="144"/>
      <c r="C574" s="40"/>
      <c r="D574" s="41"/>
      <c r="E574" s="40"/>
      <c r="F574" s="41"/>
      <c r="G574" s="183"/>
      <c r="H574" s="38"/>
      <c r="I574" s="42"/>
      <c r="J574" s="42"/>
      <c r="K574" s="43"/>
      <c r="L574" s="43"/>
      <c r="M574" s="44" t="str">
        <f>IF(LayTable[[#This Row],[Sport]]="","",LayTable[[#This Row],[LayInnsats]]*(LayTable[[#This Row],[LayOdds]]-1))</f>
        <v/>
      </c>
      <c r="N574" s="45" t="str">
        <f>IF(LayTable[[#This Row],[Sport]]="","",1/((1/LayTable[[#This Row],[BookieOdds]])+(1/((1/((1+((LayTable[[#This Row],[LayOdds]]-1)*(1+LayTable[[#This Row],[C% Lay]])))-1))+1)))-1)</f>
        <v/>
      </c>
      <c r="Q574" s="46" t="str">
        <f>IF(LayTable[[#This Row],[Sport]]="","",LayTable[[#This Row],[BookieInnsats]]+LayTable[[#This Row],[LayLiability]])</f>
        <v/>
      </c>
      <c r="R5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4" s="47" t="str">
        <f>IF(LayTable[[#This Row],[Utfall bookie]]="","",LayTable[[#This Row],[WBABack]]+LayTable[[#This Row],[WBALay]]-LayTable[[#This Row],[Total inns]])</f>
        <v/>
      </c>
      <c r="U5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4" s="48" t="str">
        <f>IFERROR(IF(LayTable[[#This Row],[Total inns]]="","",LayTable[[#This Row],[Rback]]/LayTable[[#This Row],[Total inns]]),"")</f>
        <v/>
      </c>
      <c r="X574" s="48" t="str">
        <f>IFERROR(IF(LayTable[[#This Row],[Total inns]]="","",LayTable[[#This Row],[Rlay]]/LayTable[[#This Row],[Total inns]]),"")</f>
        <v/>
      </c>
      <c r="Y574" s="48" t="str">
        <f>IFERROR(LayTable[[#This Row],[Faktisk res]]/LayTable[[#This Row],[Total inns]],"")</f>
        <v/>
      </c>
      <c r="Z574" s="47">
        <f>(LayTable[[#This Row],[BookieInnsats]]*LayTable[[#This Row],[BookieOdds]]-LayTable[[#This Row],[BookieInnsats]])*(1-LayTable[[#This Row],[C% Bookie]])</f>
        <v>0</v>
      </c>
      <c r="AA574" s="43">
        <f>LayTable[[#This Row],[LayInnsats]]*(1-LayTable[[#This Row],[C% Lay]])</f>
        <v>0</v>
      </c>
      <c r="AB574" s="43">
        <f>IFERROR(IF(LayTable[[#This Row],[Sport]]="",AB573,LayTable[[#This Row],[Faktisk res]]+AB573),"")</f>
        <v>4914.29</v>
      </c>
      <c r="AC574" s="43">
        <f>(LayTable[[#This Row],[BackWin-Commission]]+LayTable[[#This Row],[BookieInnsats]])</f>
        <v>0</v>
      </c>
      <c r="AD574" s="43" t="e">
        <f>(LayTable[[#This Row],[LayWin-Commission]])+LayTable[[#This Row],[LayLiability]]</f>
        <v>#VALUE!</v>
      </c>
      <c r="AE574" s="314"/>
      <c r="AF574" s="317"/>
    </row>
    <row r="575" spans="1:32">
      <c r="A575" s="84"/>
      <c r="B575" s="144"/>
      <c r="C575" s="40"/>
      <c r="D575" s="41"/>
      <c r="E575" s="40"/>
      <c r="F575" s="41"/>
      <c r="G575" s="183"/>
      <c r="H575" s="38"/>
      <c r="I575" s="42"/>
      <c r="J575" s="42"/>
      <c r="K575" s="43"/>
      <c r="L575" s="43"/>
      <c r="M575" s="44" t="str">
        <f>IF(LayTable[[#This Row],[Sport]]="","",LayTable[[#This Row],[LayInnsats]]*(LayTable[[#This Row],[LayOdds]]-1))</f>
        <v/>
      </c>
      <c r="N575" s="45" t="str">
        <f>IF(LayTable[[#This Row],[Sport]]="","",1/((1/LayTable[[#This Row],[BookieOdds]])+(1/((1/((1+((LayTable[[#This Row],[LayOdds]]-1)*(1+LayTable[[#This Row],[C% Lay]])))-1))+1)))-1)</f>
        <v/>
      </c>
      <c r="Q575" s="46" t="str">
        <f>IF(LayTable[[#This Row],[Sport]]="","",LayTable[[#This Row],[BookieInnsats]]+LayTable[[#This Row],[LayLiability]])</f>
        <v/>
      </c>
      <c r="R5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5" s="47" t="str">
        <f>IF(LayTable[[#This Row],[Utfall bookie]]="","",LayTable[[#This Row],[WBABack]]+LayTable[[#This Row],[WBALay]]-LayTable[[#This Row],[Total inns]])</f>
        <v/>
      </c>
      <c r="U5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5" s="48" t="str">
        <f>IFERROR(IF(LayTable[[#This Row],[Total inns]]="","",LayTable[[#This Row],[Rback]]/LayTable[[#This Row],[Total inns]]),"")</f>
        <v/>
      </c>
      <c r="X575" s="48" t="str">
        <f>IFERROR(IF(LayTable[[#This Row],[Total inns]]="","",LayTable[[#This Row],[Rlay]]/LayTable[[#This Row],[Total inns]]),"")</f>
        <v/>
      </c>
      <c r="Y575" s="48" t="str">
        <f>IFERROR(LayTable[[#This Row],[Faktisk res]]/LayTable[[#This Row],[Total inns]],"")</f>
        <v/>
      </c>
      <c r="Z575" s="47">
        <f>(LayTable[[#This Row],[BookieInnsats]]*LayTable[[#This Row],[BookieOdds]]-LayTable[[#This Row],[BookieInnsats]])*(1-LayTable[[#This Row],[C% Bookie]])</f>
        <v>0</v>
      </c>
      <c r="AA575" s="43">
        <f>LayTable[[#This Row],[LayInnsats]]*(1-LayTable[[#This Row],[C% Lay]])</f>
        <v>0</v>
      </c>
      <c r="AB575" s="43">
        <f>IFERROR(IF(LayTable[[#This Row],[Sport]]="",AB574,LayTable[[#This Row],[Faktisk res]]+AB574),"")</f>
        <v>4914.29</v>
      </c>
      <c r="AC575" s="43">
        <f>(LayTable[[#This Row],[BackWin-Commission]]+LayTable[[#This Row],[BookieInnsats]])</f>
        <v>0</v>
      </c>
      <c r="AD575" s="43" t="e">
        <f>(LayTable[[#This Row],[LayWin-Commission]])+LayTable[[#This Row],[LayLiability]]</f>
        <v>#VALUE!</v>
      </c>
      <c r="AE575" s="181"/>
      <c r="AF575" s="317"/>
    </row>
    <row r="576" spans="1:32">
      <c r="A576" s="84"/>
      <c r="B576" s="144"/>
      <c r="C576" s="40"/>
      <c r="D576" s="41"/>
      <c r="E576" s="40"/>
      <c r="F576" s="41"/>
      <c r="G576" s="183"/>
      <c r="H576" s="38"/>
      <c r="I576" s="42"/>
      <c r="J576" s="42"/>
      <c r="K576" s="43"/>
      <c r="L576" s="43"/>
      <c r="M576" s="44" t="str">
        <f>IF(LayTable[[#This Row],[Sport]]="","",LayTable[[#This Row],[LayInnsats]]*(LayTable[[#This Row],[LayOdds]]-1))</f>
        <v/>
      </c>
      <c r="N576" s="45" t="str">
        <f>IF(LayTable[[#This Row],[Sport]]="","",1/((1/LayTable[[#This Row],[BookieOdds]])+(1/((1/((1+((LayTable[[#This Row],[LayOdds]]-1)*(1+LayTable[[#This Row],[C% Lay]])))-1))+1)))-1)</f>
        <v/>
      </c>
      <c r="Q576" s="46" t="str">
        <f>IF(LayTable[[#This Row],[Sport]]="","",LayTable[[#This Row],[BookieInnsats]]+LayTable[[#This Row],[LayLiability]])</f>
        <v/>
      </c>
      <c r="R5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6" s="47" t="str">
        <f>IF(LayTable[[#This Row],[Utfall bookie]]="","",LayTable[[#This Row],[WBABack]]+LayTable[[#This Row],[WBALay]]-LayTable[[#This Row],[Total inns]])</f>
        <v/>
      </c>
      <c r="U5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6" s="48" t="str">
        <f>IFERROR(IF(LayTable[[#This Row],[Total inns]]="","",LayTable[[#This Row],[Rback]]/LayTable[[#This Row],[Total inns]]),"")</f>
        <v/>
      </c>
      <c r="X576" s="48" t="str">
        <f>IFERROR(IF(LayTable[[#This Row],[Total inns]]="","",LayTable[[#This Row],[Rlay]]/LayTable[[#This Row],[Total inns]]),"")</f>
        <v/>
      </c>
      <c r="Y576" s="48" t="str">
        <f>IFERROR(LayTable[[#This Row],[Faktisk res]]/LayTable[[#This Row],[Total inns]],"")</f>
        <v/>
      </c>
      <c r="Z576" s="47">
        <f>(LayTable[[#This Row],[BookieInnsats]]*LayTable[[#This Row],[BookieOdds]]-LayTable[[#This Row],[BookieInnsats]])*(1-LayTable[[#This Row],[C% Bookie]])</f>
        <v>0</v>
      </c>
      <c r="AA576" s="43">
        <f>LayTable[[#This Row],[LayInnsats]]*(1-LayTable[[#This Row],[C% Lay]])</f>
        <v>0</v>
      </c>
      <c r="AB576" s="43">
        <f>IFERROR(IF(LayTable[[#This Row],[Sport]]="",AB575,LayTable[[#This Row],[Faktisk res]]+AB575),"")</f>
        <v>4914.29</v>
      </c>
      <c r="AC576" s="43">
        <f>(LayTable[[#This Row],[BackWin-Commission]]+LayTable[[#This Row],[BookieInnsats]])</f>
        <v>0</v>
      </c>
      <c r="AD576" s="43" t="e">
        <f>(LayTable[[#This Row],[LayWin-Commission]])+LayTable[[#This Row],[LayLiability]]</f>
        <v>#VALUE!</v>
      </c>
      <c r="AE576" s="181"/>
      <c r="AF576" s="317"/>
    </row>
    <row r="577" spans="1:32">
      <c r="A577" s="84"/>
      <c r="B577" s="144"/>
      <c r="C577" s="40"/>
      <c r="D577" s="41"/>
      <c r="E577" s="40"/>
      <c r="F577" s="41"/>
      <c r="G577" s="183"/>
      <c r="H577" s="38"/>
      <c r="I577" s="42"/>
      <c r="J577" s="42"/>
      <c r="K577" s="43"/>
      <c r="L577" s="43"/>
      <c r="M577" s="44" t="str">
        <f>IF(LayTable[[#This Row],[Sport]]="","",LayTable[[#This Row],[LayInnsats]]*(LayTable[[#This Row],[LayOdds]]-1))</f>
        <v/>
      </c>
      <c r="N577" s="45" t="str">
        <f>IF(LayTable[[#This Row],[Sport]]="","",1/((1/LayTable[[#This Row],[BookieOdds]])+(1/((1/((1+((LayTable[[#This Row],[LayOdds]]-1)*(1+LayTable[[#This Row],[C% Lay]])))-1))+1)))-1)</f>
        <v/>
      </c>
      <c r="Q577" s="46" t="str">
        <f>IF(LayTable[[#This Row],[Sport]]="","",LayTable[[#This Row],[BookieInnsats]]+LayTable[[#This Row],[LayLiability]])</f>
        <v/>
      </c>
      <c r="R5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7" s="47" t="str">
        <f>IF(LayTable[[#This Row],[Utfall bookie]]="","",LayTable[[#This Row],[WBABack]]+LayTable[[#This Row],[WBALay]]-LayTable[[#This Row],[Total inns]])</f>
        <v/>
      </c>
      <c r="U5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7" s="48" t="str">
        <f>IFERROR(IF(LayTable[[#This Row],[Total inns]]="","",LayTable[[#This Row],[Rback]]/LayTable[[#This Row],[Total inns]]),"")</f>
        <v/>
      </c>
      <c r="X577" s="48" t="str">
        <f>IFERROR(IF(LayTable[[#This Row],[Total inns]]="","",LayTable[[#This Row],[Rlay]]/LayTable[[#This Row],[Total inns]]),"")</f>
        <v/>
      </c>
      <c r="Y577" s="48" t="str">
        <f>IFERROR(LayTable[[#This Row],[Faktisk res]]/LayTable[[#This Row],[Total inns]],"")</f>
        <v/>
      </c>
      <c r="Z577" s="47">
        <f>(LayTable[[#This Row],[BookieInnsats]]*LayTable[[#This Row],[BookieOdds]]-LayTable[[#This Row],[BookieInnsats]])*(1-LayTable[[#This Row],[C% Bookie]])</f>
        <v>0</v>
      </c>
      <c r="AA577" s="43">
        <f>LayTable[[#This Row],[LayInnsats]]*(1-LayTable[[#This Row],[C% Lay]])</f>
        <v>0</v>
      </c>
      <c r="AB577" s="43">
        <f>IFERROR(IF(LayTable[[#This Row],[Sport]]="",AB576,LayTable[[#This Row],[Faktisk res]]+AB576),"")</f>
        <v>4914.29</v>
      </c>
      <c r="AC577" s="43">
        <f>(LayTable[[#This Row],[BackWin-Commission]]+LayTable[[#This Row],[BookieInnsats]])</f>
        <v>0</v>
      </c>
      <c r="AD577" s="43" t="e">
        <f>(LayTable[[#This Row],[LayWin-Commission]])+LayTable[[#This Row],[LayLiability]]</f>
        <v>#VALUE!</v>
      </c>
      <c r="AE577" s="181"/>
      <c r="AF577" s="317"/>
    </row>
    <row r="578" spans="1:32">
      <c r="A578" s="84"/>
      <c r="B578" s="144"/>
      <c r="C578" s="40"/>
      <c r="D578" s="41"/>
      <c r="E578" s="40"/>
      <c r="F578" s="41"/>
      <c r="G578" s="183"/>
      <c r="H578" s="38"/>
      <c r="I578" s="42"/>
      <c r="J578" s="42"/>
      <c r="K578" s="43"/>
      <c r="L578" s="43"/>
      <c r="M578" s="44" t="str">
        <f>IF(LayTable[[#This Row],[Sport]]="","",LayTable[[#This Row],[LayInnsats]]*(LayTable[[#This Row],[LayOdds]]-1))</f>
        <v/>
      </c>
      <c r="N578" s="45" t="str">
        <f>IF(LayTable[[#This Row],[Sport]]="","",1/((1/LayTable[[#This Row],[BookieOdds]])+(1/((1/((1+((LayTable[[#This Row],[LayOdds]]-1)*(1+LayTable[[#This Row],[C% Lay]])))-1))+1)))-1)</f>
        <v/>
      </c>
      <c r="Q578" s="46" t="str">
        <f>IF(LayTable[[#This Row],[Sport]]="","",LayTable[[#This Row],[BookieInnsats]]+LayTable[[#This Row],[LayLiability]])</f>
        <v/>
      </c>
      <c r="R5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8" s="47" t="str">
        <f>IF(LayTable[[#This Row],[Utfall bookie]]="","",LayTable[[#This Row],[WBABack]]+LayTable[[#This Row],[WBALay]]-LayTable[[#This Row],[Total inns]])</f>
        <v/>
      </c>
      <c r="U5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8" s="48" t="str">
        <f>IFERROR(IF(LayTable[[#This Row],[Total inns]]="","",LayTable[[#This Row],[Rback]]/LayTable[[#This Row],[Total inns]]),"")</f>
        <v/>
      </c>
      <c r="X578" s="48" t="str">
        <f>IFERROR(IF(LayTable[[#This Row],[Total inns]]="","",LayTable[[#This Row],[Rlay]]/LayTable[[#This Row],[Total inns]]),"")</f>
        <v/>
      </c>
      <c r="Y578" s="48" t="str">
        <f>IFERROR(LayTable[[#This Row],[Faktisk res]]/LayTable[[#This Row],[Total inns]],"")</f>
        <v/>
      </c>
      <c r="Z578" s="47">
        <f>(LayTable[[#This Row],[BookieInnsats]]*LayTable[[#This Row],[BookieOdds]]-LayTable[[#This Row],[BookieInnsats]])*(1-LayTable[[#This Row],[C% Bookie]])</f>
        <v>0</v>
      </c>
      <c r="AA578" s="43">
        <f>LayTable[[#This Row],[LayInnsats]]*(1-LayTable[[#This Row],[C% Lay]])</f>
        <v>0</v>
      </c>
      <c r="AB578" s="43">
        <f>IFERROR(IF(LayTable[[#This Row],[Sport]]="",AB577,LayTable[[#This Row],[Faktisk res]]+AB577),"")</f>
        <v>4914.29</v>
      </c>
      <c r="AC578" s="43">
        <f>(LayTable[[#This Row],[BackWin-Commission]]+LayTable[[#This Row],[BookieInnsats]])</f>
        <v>0</v>
      </c>
      <c r="AD578" s="43" t="e">
        <f>(LayTable[[#This Row],[LayWin-Commission]])+LayTable[[#This Row],[LayLiability]]</f>
        <v>#VALUE!</v>
      </c>
      <c r="AE578" s="314"/>
      <c r="AF578" s="317"/>
    </row>
    <row r="579" spans="1:32">
      <c r="A579" s="84"/>
      <c r="B579" s="144"/>
      <c r="C579" s="40"/>
      <c r="D579" s="41"/>
      <c r="E579" s="40"/>
      <c r="F579" s="41"/>
      <c r="G579" s="183"/>
      <c r="H579" s="183"/>
      <c r="I579" s="42"/>
      <c r="J579" s="42"/>
      <c r="K579" s="43"/>
      <c r="L579" s="43"/>
      <c r="M579" s="44" t="str">
        <f>IF(LayTable[[#This Row],[Sport]]="","",LayTable[[#This Row],[LayInnsats]]*(LayTable[[#This Row],[LayOdds]]-1))</f>
        <v/>
      </c>
      <c r="N579" s="45" t="str">
        <f>IF(LayTable[[#This Row],[Sport]]="","",1/((1/LayTable[[#This Row],[BookieOdds]])+(1/((1/((1+((LayTable[[#This Row],[LayOdds]]-1)*(1+LayTable[[#This Row],[C% Lay]])))-1))+1)))-1)</f>
        <v/>
      </c>
      <c r="Q579" s="46" t="str">
        <f>IF(LayTable[[#This Row],[Sport]]="","",LayTable[[#This Row],[BookieInnsats]]+LayTable[[#This Row],[LayLiability]])</f>
        <v/>
      </c>
      <c r="R5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79" s="47" t="str">
        <f>IF(LayTable[[#This Row],[Utfall bookie]]="","",LayTable[[#This Row],[WBABack]]+LayTable[[#This Row],[WBALay]]-LayTable[[#This Row],[Total inns]])</f>
        <v/>
      </c>
      <c r="U5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79" s="48" t="str">
        <f>IFERROR(IF(LayTable[[#This Row],[Total inns]]="","",LayTable[[#This Row],[Rback]]/LayTable[[#This Row],[Total inns]]),"")</f>
        <v/>
      </c>
      <c r="X579" s="48" t="str">
        <f>IFERROR(IF(LayTable[[#This Row],[Total inns]]="","",LayTable[[#This Row],[Rlay]]/LayTable[[#This Row],[Total inns]]),"")</f>
        <v/>
      </c>
      <c r="Y579" s="48" t="str">
        <f>IFERROR(LayTable[[#This Row],[Faktisk res]]/LayTable[[#This Row],[Total inns]],"")</f>
        <v/>
      </c>
      <c r="Z579" s="47">
        <f>(LayTable[[#This Row],[BookieInnsats]]*LayTable[[#This Row],[BookieOdds]]-LayTable[[#This Row],[BookieInnsats]])*(1-LayTable[[#This Row],[C% Bookie]])</f>
        <v>0</v>
      </c>
      <c r="AA579" s="43">
        <f>LayTable[[#This Row],[LayInnsats]]*(1-LayTable[[#This Row],[C% Lay]])</f>
        <v>0</v>
      </c>
      <c r="AB579" s="43">
        <f>IFERROR(IF(LayTable[[#This Row],[Sport]]="",AB578,LayTable[[#This Row],[Faktisk res]]+AB578),"")</f>
        <v>4914.29</v>
      </c>
      <c r="AC579" s="43">
        <f>(LayTable[[#This Row],[BackWin-Commission]]+LayTable[[#This Row],[BookieInnsats]])</f>
        <v>0</v>
      </c>
      <c r="AD579" s="43" t="e">
        <f>(LayTable[[#This Row],[LayWin-Commission]])+LayTable[[#This Row],[LayLiability]]</f>
        <v>#VALUE!</v>
      </c>
      <c r="AE579" s="181"/>
      <c r="AF579" s="317"/>
    </row>
    <row r="580" spans="1:32">
      <c r="A580" s="84"/>
      <c r="B580" s="144"/>
      <c r="C580" s="40"/>
      <c r="D580" s="41"/>
      <c r="E580" s="40"/>
      <c r="F580" s="41"/>
      <c r="G580" s="183"/>
      <c r="H580" s="38"/>
      <c r="I580" s="42"/>
      <c r="J580" s="42"/>
      <c r="K580" s="43"/>
      <c r="L580" s="43"/>
      <c r="M580" s="44" t="str">
        <f>IF(LayTable[[#This Row],[Sport]]="","",LayTable[[#This Row],[LayInnsats]]*(LayTable[[#This Row],[LayOdds]]-1))</f>
        <v/>
      </c>
      <c r="N580" s="45" t="str">
        <f>IF(LayTable[[#This Row],[Sport]]="","",1/((1/LayTable[[#This Row],[BookieOdds]])+(1/((1/((1+((LayTable[[#This Row],[LayOdds]]-1)*(1+LayTable[[#This Row],[C% Lay]])))-1))+1)))-1)</f>
        <v/>
      </c>
      <c r="Q580" s="46" t="str">
        <f>IF(LayTable[[#This Row],[Sport]]="","",LayTable[[#This Row],[BookieInnsats]]+LayTable[[#This Row],[LayLiability]])</f>
        <v/>
      </c>
      <c r="R5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0" s="47" t="str">
        <f>IF(LayTable[[#This Row],[Utfall bookie]]="","",LayTable[[#This Row],[WBABack]]+LayTable[[#This Row],[WBALay]]-LayTable[[#This Row],[Total inns]])</f>
        <v/>
      </c>
      <c r="U5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0" s="48" t="str">
        <f>IFERROR(IF(LayTable[[#This Row],[Total inns]]="","",LayTable[[#This Row],[Rback]]/LayTable[[#This Row],[Total inns]]),"")</f>
        <v/>
      </c>
      <c r="X580" s="48" t="str">
        <f>IFERROR(IF(LayTable[[#This Row],[Total inns]]="","",LayTable[[#This Row],[Rlay]]/LayTable[[#This Row],[Total inns]]),"")</f>
        <v/>
      </c>
      <c r="Y580" s="48" t="str">
        <f>IFERROR(LayTable[[#This Row],[Faktisk res]]/LayTable[[#This Row],[Total inns]],"")</f>
        <v/>
      </c>
      <c r="Z580" s="47">
        <f>(LayTable[[#This Row],[BookieInnsats]]*LayTable[[#This Row],[BookieOdds]]-LayTable[[#This Row],[BookieInnsats]])*(1-LayTable[[#This Row],[C% Bookie]])</f>
        <v>0</v>
      </c>
      <c r="AA580" s="43">
        <f>LayTable[[#This Row],[LayInnsats]]*(1-LayTable[[#This Row],[C% Lay]])</f>
        <v>0</v>
      </c>
      <c r="AB580" s="43">
        <f>IFERROR(IF(LayTable[[#This Row],[Sport]]="",AB579,LayTable[[#This Row],[Faktisk res]]+AB579),"")</f>
        <v>4914.29</v>
      </c>
      <c r="AC580" s="43">
        <f>(LayTable[[#This Row],[BackWin-Commission]]+LayTable[[#This Row],[BookieInnsats]])</f>
        <v>0</v>
      </c>
      <c r="AD580" s="43" t="e">
        <f>(LayTable[[#This Row],[LayWin-Commission]])+LayTable[[#This Row],[LayLiability]]</f>
        <v>#VALUE!</v>
      </c>
      <c r="AE580" s="181"/>
      <c r="AF580" s="317"/>
    </row>
    <row r="581" spans="1:32">
      <c r="A581" s="84"/>
      <c r="B581" s="144"/>
      <c r="C581" s="40"/>
      <c r="D581" s="41"/>
      <c r="E581" s="40"/>
      <c r="F581" s="41"/>
      <c r="G581" s="183"/>
      <c r="H581" s="38"/>
      <c r="I581" s="42"/>
      <c r="J581" s="42"/>
      <c r="K581" s="43"/>
      <c r="L581" s="43"/>
      <c r="M581" s="44" t="str">
        <f>IF(LayTable[[#This Row],[Sport]]="","",LayTable[[#This Row],[LayInnsats]]*(LayTable[[#This Row],[LayOdds]]-1))</f>
        <v/>
      </c>
      <c r="N581" s="45" t="str">
        <f>IF(LayTable[[#This Row],[Sport]]="","",1/((1/LayTable[[#This Row],[BookieOdds]])+(1/((1/((1+((LayTable[[#This Row],[LayOdds]]-1)*(1+LayTable[[#This Row],[C% Lay]])))-1))+1)))-1)</f>
        <v/>
      </c>
      <c r="Q581" s="46" t="str">
        <f>IF(LayTable[[#This Row],[Sport]]="","",LayTable[[#This Row],[BookieInnsats]]+LayTable[[#This Row],[LayLiability]])</f>
        <v/>
      </c>
      <c r="R5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1" s="47" t="str">
        <f>IF(LayTable[[#This Row],[Utfall bookie]]="","",LayTable[[#This Row],[WBABack]]+LayTable[[#This Row],[WBALay]]-LayTable[[#This Row],[Total inns]])</f>
        <v/>
      </c>
      <c r="U5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1" s="48" t="str">
        <f>IFERROR(IF(LayTable[[#This Row],[Total inns]]="","",LayTable[[#This Row],[Rback]]/LayTable[[#This Row],[Total inns]]),"")</f>
        <v/>
      </c>
      <c r="X581" s="48" t="str">
        <f>IFERROR(IF(LayTable[[#This Row],[Total inns]]="","",LayTable[[#This Row],[Rlay]]/LayTable[[#This Row],[Total inns]]),"")</f>
        <v/>
      </c>
      <c r="Y581" s="48" t="str">
        <f>IFERROR(LayTable[[#This Row],[Faktisk res]]/LayTable[[#This Row],[Total inns]],"")</f>
        <v/>
      </c>
      <c r="Z581" s="47">
        <f>(LayTable[[#This Row],[BookieInnsats]]*LayTable[[#This Row],[BookieOdds]]-LayTable[[#This Row],[BookieInnsats]])*(1-LayTable[[#This Row],[C% Bookie]])</f>
        <v>0</v>
      </c>
      <c r="AA581" s="43">
        <f>LayTable[[#This Row],[LayInnsats]]*(1-LayTable[[#This Row],[C% Lay]])</f>
        <v>0</v>
      </c>
      <c r="AB581" s="43">
        <f>IFERROR(IF(LayTable[[#This Row],[Sport]]="",AB580,LayTable[[#This Row],[Faktisk res]]+AB580),"")</f>
        <v>4914.29</v>
      </c>
      <c r="AC581" s="43">
        <f>(LayTable[[#This Row],[BackWin-Commission]]+LayTable[[#This Row],[BookieInnsats]])</f>
        <v>0</v>
      </c>
      <c r="AD581" s="43" t="e">
        <f>(LayTable[[#This Row],[LayWin-Commission]])+LayTable[[#This Row],[LayLiability]]</f>
        <v>#VALUE!</v>
      </c>
      <c r="AE581" s="314"/>
      <c r="AF581" s="317"/>
    </row>
    <row r="582" spans="1:32">
      <c r="A582" s="84"/>
      <c r="B582" s="144"/>
      <c r="C582" s="40"/>
      <c r="D582" s="41"/>
      <c r="E582" s="40"/>
      <c r="F582" s="41"/>
      <c r="G582" s="183"/>
      <c r="H582" s="38"/>
      <c r="I582" s="42"/>
      <c r="J582" s="42"/>
      <c r="K582" s="43"/>
      <c r="L582" s="43"/>
      <c r="M582" s="44" t="str">
        <f>IF(LayTable[[#This Row],[Sport]]="","",LayTable[[#This Row],[LayInnsats]]*(LayTable[[#This Row],[LayOdds]]-1))</f>
        <v/>
      </c>
      <c r="N582" s="45" t="str">
        <f>IF(LayTable[[#This Row],[Sport]]="","",1/((1/LayTable[[#This Row],[BookieOdds]])+(1/((1/((1+((LayTable[[#This Row],[LayOdds]]-1)*(1+LayTable[[#This Row],[C% Lay]])))-1))+1)))-1)</f>
        <v/>
      </c>
      <c r="Q582" s="46" t="str">
        <f>IF(LayTable[[#This Row],[Sport]]="","",LayTable[[#This Row],[BookieInnsats]]+LayTable[[#This Row],[LayLiability]])</f>
        <v/>
      </c>
      <c r="R5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2" s="47" t="str">
        <f>IF(LayTable[[#This Row],[Utfall bookie]]="","",LayTable[[#This Row],[WBABack]]+LayTable[[#This Row],[WBALay]]-LayTable[[#This Row],[Total inns]])</f>
        <v/>
      </c>
      <c r="U5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2" s="48" t="str">
        <f>IFERROR(IF(LayTable[[#This Row],[Total inns]]="","",LayTable[[#This Row],[Rback]]/LayTable[[#This Row],[Total inns]]),"")</f>
        <v/>
      </c>
      <c r="X582" s="48" t="str">
        <f>IFERROR(IF(LayTable[[#This Row],[Total inns]]="","",LayTable[[#This Row],[Rlay]]/LayTable[[#This Row],[Total inns]]),"")</f>
        <v/>
      </c>
      <c r="Y582" s="48" t="str">
        <f>IFERROR(LayTable[[#This Row],[Faktisk res]]/LayTable[[#This Row],[Total inns]],"")</f>
        <v/>
      </c>
      <c r="Z582" s="47">
        <f>(LayTable[[#This Row],[BookieInnsats]]*LayTable[[#This Row],[BookieOdds]]-LayTable[[#This Row],[BookieInnsats]])*(1-LayTable[[#This Row],[C% Bookie]])</f>
        <v>0</v>
      </c>
      <c r="AA582" s="43">
        <f>LayTable[[#This Row],[LayInnsats]]*(1-LayTable[[#This Row],[C% Lay]])</f>
        <v>0</v>
      </c>
      <c r="AB582" s="43">
        <f>IFERROR(IF(LayTable[[#This Row],[Sport]]="",AB581,LayTable[[#This Row],[Faktisk res]]+AB581),"")</f>
        <v>4914.29</v>
      </c>
      <c r="AC582" s="43">
        <f>(LayTable[[#This Row],[BackWin-Commission]]+LayTable[[#This Row],[BookieInnsats]])</f>
        <v>0</v>
      </c>
      <c r="AD582" s="43" t="e">
        <f>(LayTable[[#This Row],[LayWin-Commission]])+LayTable[[#This Row],[LayLiability]]</f>
        <v>#VALUE!</v>
      </c>
      <c r="AE582" s="314"/>
      <c r="AF582" s="317"/>
    </row>
    <row r="583" spans="1:32">
      <c r="A583" s="84"/>
      <c r="B583" s="144"/>
      <c r="C583" s="40"/>
      <c r="D583" s="41"/>
      <c r="E583" s="40"/>
      <c r="F583" s="41"/>
      <c r="G583" s="183"/>
      <c r="H583" s="38"/>
      <c r="I583" s="42"/>
      <c r="J583" s="42"/>
      <c r="K583" s="43"/>
      <c r="L583" s="43"/>
      <c r="M583" s="44" t="str">
        <f>IF(LayTable[[#This Row],[Sport]]="","",LayTable[[#This Row],[LayInnsats]]*(LayTable[[#This Row],[LayOdds]]-1))</f>
        <v/>
      </c>
      <c r="N583" s="45" t="str">
        <f>IF(LayTable[[#This Row],[Sport]]="","",1/((1/LayTable[[#This Row],[BookieOdds]])+(1/((1/((1+((LayTable[[#This Row],[LayOdds]]-1)*(1+LayTable[[#This Row],[C% Lay]])))-1))+1)))-1)</f>
        <v/>
      </c>
      <c r="Q583" s="46" t="str">
        <f>IF(LayTable[[#This Row],[Sport]]="","",LayTable[[#This Row],[BookieInnsats]]+LayTable[[#This Row],[LayLiability]])</f>
        <v/>
      </c>
      <c r="R5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3" s="47" t="str">
        <f>IF(LayTable[[#This Row],[Utfall bookie]]="","",LayTable[[#This Row],[WBABack]]+LayTable[[#This Row],[WBALay]]-LayTable[[#This Row],[Total inns]])</f>
        <v/>
      </c>
      <c r="U5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3" s="48" t="str">
        <f>IFERROR(IF(LayTable[[#This Row],[Total inns]]="","",LayTable[[#This Row],[Rback]]/LayTable[[#This Row],[Total inns]]),"")</f>
        <v/>
      </c>
      <c r="X583" s="48" t="str">
        <f>IFERROR(IF(LayTable[[#This Row],[Total inns]]="","",LayTable[[#This Row],[Rlay]]/LayTable[[#This Row],[Total inns]]),"")</f>
        <v/>
      </c>
      <c r="Y583" s="48" t="str">
        <f>IFERROR(LayTable[[#This Row],[Faktisk res]]/LayTable[[#This Row],[Total inns]],"")</f>
        <v/>
      </c>
      <c r="Z583" s="47">
        <f>(LayTable[[#This Row],[BookieInnsats]]*LayTable[[#This Row],[BookieOdds]]-LayTable[[#This Row],[BookieInnsats]])*(1-LayTable[[#This Row],[C% Bookie]])</f>
        <v>0</v>
      </c>
      <c r="AA583" s="43">
        <f>LayTable[[#This Row],[LayInnsats]]*(1-LayTable[[#This Row],[C% Lay]])</f>
        <v>0</v>
      </c>
      <c r="AB583" s="43">
        <f>IFERROR(IF(LayTable[[#This Row],[Sport]]="",AB582,LayTable[[#This Row],[Faktisk res]]+AB582),"")</f>
        <v>4914.29</v>
      </c>
      <c r="AC583" s="43">
        <f>(LayTable[[#This Row],[BackWin-Commission]]+LayTable[[#This Row],[BookieInnsats]])</f>
        <v>0</v>
      </c>
      <c r="AD583" s="43" t="e">
        <f>(LayTable[[#This Row],[LayWin-Commission]])+LayTable[[#This Row],[LayLiability]]</f>
        <v>#VALUE!</v>
      </c>
      <c r="AE583" s="314"/>
      <c r="AF583" s="317"/>
    </row>
    <row r="584" spans="1:32">
      <c r="A584" s="84"/>
      <c r="B584" s="144"/>
      <c r="C584" s="40"/>
      <c r="D584" s="41"/>
      <c r="E584" s="40"/>
      <c r="F584" s="41"/>
      <c r="G584" s="183"/>
      <c r="H584" s="38"/>
      <c r="I584" s="42"/>
      <c r="J584" s="42"/>
      <c r="K584" s="43"/>
      <c r="L584" s="43"/>
      <c r="M584" s="44" t="str">
        <f>IF(LayTable[[#This Row],[Sport]]="","",LayTable[[#This Row],[LayInnsats]]*(LayTable[[#This Row],[LayOdds]]-1))</f>
        <v/>
      </c>
      <c r="N584" s="45" t="str">
        <f>IF(LayTable[[#This Row],[Sport]]="","",1/((1/LayTable[[#This Row],[BookieOdds]])+(1/((1/((1+((LayTable[[#This Row],[LayOdds]]-1)*(1+LayTable[[#This Row],[C% Lay]])))-1))+1)))-1)</f>
        <v/>
      </c>
      <c r="Q584" s="46" t="str">
        <f>IF(LayTable[[#This Row],[Sport]]="","",LayTable[[#This Row],[BookieInnsats]]+LayTable[[#This Row],[LayLiability]])</f>
        <v/>
      </c>
      <c r="R5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4" s="47" t="str">
        <f>IF(LayTable[[#This Row],[Utfall bookie]]="","",LayTable[[#This Row],[WBABack]]+LayTable[[#This Row],[WBALay]]-LayTable[[#This Row],[Total inns]])</f>
        <v/>
      </c>
      <c r="U5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4" s="48" t="str">
        <f>IFERROR(IF(LayTable[[#This Row],[Total inns]]="","",LayTable[[#This Row],[Rback]]/LayTable[[#This Row],[Total inns]]),"")</f>
        <v/>
      </c>
      <c r="X584" s="48" t="str">
        <f>IFERROR(IF(LayTable[[#This Row],[Total inns]]="","",LayTable[[#This Row],[Rlay]]/LayTable[[#This Row],[Total inns]]),"")</f>
        <v/>
      </c>
      <c r="Y584" s="48" t="str">
        <f>IFERROR(LayTable[[#This Row],[Faktisk res]]/LayTable[[#This Row],[Total inns]],"")</f>
        <v/>
      </c>
      <c r="Z584" s="47">
        <f>(LayTable[[#This Row],[BookieInnsats]]*LayTable[[#This Row],[BookieOdds]]-LayTable[[#This Row],[BookieInnsats]])*(1-LayTable[[#This Row],[C% Bookie]])</f>
        <v>0</v>
      </c>
      <c r="AA584" s="43">
        <f>LayTable[[#This Row],[LayInnsats]]*(1-LayTable[[#This Row],[C% Lay]])</f>
        <v>0</v>
      </c>
      <c r="AB584" s="43">
        <f>IFERROR(IF(LayTable[[#This Row],[Sport]]="",AB583,LayTable[[#This Row],[Faktisk res]]+AB583),"")</f>
        <v>4914.29</v>
      </c>
      <c r="AC584" s="43">
        <f>(LayTable[[#This Row],[BackWin-Commission]]+LayTable[[#This Row],[BookieInnsats]])</f>
        <v>0</v>
      </c>
      <c r="AD584" s="43" t="e">
        <f>(LayTable[[#This Row],[LayWin-Commission]])+LayTable[[#This Row],[LayLiability]]</f>
        <v>#VALUE!</v>
      </c>
      <c r="AE584" s="314"/>
      <c r="AF584" s="314"/>
    </row>
    <row r="585" spans="1:32">
      <c r="A585" s="144"/>
      <c r="B585" s="144"/>
      <c r="C585" s="40"/>
      <c r="D585" s="41"/>
      <c r="E585" s="40"/>
      <c r="F585" s="41"/>
      <c r="G585" s="183"/>
      <c r="H585" s="38"/>
      <c r="I585" s="42"/>
      <c r="J585" s="42"/>
      <c r="K585" s="43"/>
      <c r="L585" s="43"/>
      <c r="M585" s="44" t="str">
        <f>IF(LayTable[[#This Row],[Sport]]="","",LayTable[[#This Row],[LayInnsats]]*(LayTable[[#This Row],[LayOdds]]-1))</f>
        <v/>
      </c>
      <c r="N585" s="45" t="str">
        <f>IF(LayTable[[#This Row],[Sport]]="","",1/((1/LayTable[[#This Row],[BookieOdds]])+(1/((1/((1+((LayTable[[#This Row],[LayOdds]]-1)*(1+LayTable[[#This Row],[C% Lay]])))-1))+1)))-1)</f>
        <v/>
      </c>
      <c r="Q585" s="46" t="str">
        <f>IF(LayTable[[#This Row],[Sport]]="","",LayTable[[#This Row],[BookieInnsats]]+LayTable[[#This Row],[LayLiability]])</f>
        <v/>
      </c>
      <c r="R5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5" s="47" t="str">
        <f>IF(LayTable[[#This Row],[Utfall bookie]]="","",LayTable[[#This Row],[WBABack]]+LayTable[[#This Row],[WBALay]]-LayTable[[#This Row],[Total inns]])</f>
        <v/>
      </c>
      <c r="U5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5" s="48" t="str">
        <f>IFERROR(IF(LayTable[[#This Row],[Total inns]]="","",LayTable[[#This Row],[Rback]]/LayTable[[#This Row],[Total inns]]),"")</f>
        <v/>
      </c>
      <c r="X585" s="48" t="str">
        <f>IFERROR(IF(LayTable[[#This Row],[Total inns]]="","",LayTable[[#This Row],[Rlay]]/LayTable[[#This Row],[Total inns]]),"")</f>
        <v/>
      </c>
      <c r="Y585" s="48" t="str">
        <f>IFERROR(LayTable[[#This Row],[Faktisk res]]/LayTable[[#This Row],[Total inns]],"")</f>
        <v/>
      </c>
      <c r="Z585" s="47">
        <f>(LayTable[[#This Row],[BookieInnsats]]*LayTable[[#This Row],[BookieOdds]]-LayTable[[#This Row],[BookieInnsats]])*(1-LayTable[[#This Row],[C% Bookie]])</f>
        <v>0</v>
      </c>
      <c r="AA585" s="43">
        <f>LayTable[[#This Row],[LayInnsats]]*(1-LayTable[[#This Row],[C% Lay]])</f>
        <v>0</v>
      </c>
      <c r="AB585" s="43">
        <f>IFERROR(IF(LayTable[[#This Row],[Sport]]="",AB584,LayTable[[#This Row],[Faktisk res]]+AB584),"")</f>
        <v>4914.29</v>
      </c>
      <c r="AC585" s="43">
        <f>(LayTable[[#This Row],[BackWin-Commission]]+LayTable[[#This Row],[BookieInnsats]])</f>
        <v>0</v>
      </c>
      <c r="AD585" s="43" t="e">
        <f>(LayTable[[#This Row],[LayWin-Commission]])+LayTable[[#This Row],[LayLiability]]</f>
        <v>#VALUE!</v>
      </c>
      <c r="AE585" s="181"/>
      <c r="AF585" s="314"/>
    </row>
    <row r="586" spans="1:32">
      <c r="A586" s="84"/>
      <c r="B586" s="144"/>
      <c r="C586" s="40"/>
      <c r="D586" s="41"/>
      <c r="E586" s="40"/>
      <c r="F586" s="41"/>
      <c r="G586" s="183"/>
      <c r="H586" s="38"/>
      <c r="I586" s="42"/>
      <c r="J586" s="42"/>
      <c r="K586" s="43"/>
      <c r="L586" s="43"/>
      <c r="M586" s="44" t="str">
        <f>IF(LayTable[[#This Row],[Sport]]="","",LayTable[[#This Row],[LayInnsats]]*(LayTable[[#This Row],[LayOdds]]-1))</f>
        <v/>
      </c>
      <c r="N586" s="45" t="str">
        <f>IF(LayTable[[#This Row],[Sport]]="","",1/((1/LayTable[[#This Row],[BookieOdds]])+(1/((1/((1+((LayTable[[#This Row],[LayOdds]]-1)*(1+LayTable[[#This Row],[C% Lay]])))-1))+1)))-1)</f>
        <v/>
      </c>
      <c r="Q586" s="46" t="str">
        <f>IF(LayTable[[#This Row],[Sport]]="","",LayTable[[#This Row],[BookieInnsats]]+LayTable[[#This Row],[LayLiability]])</f>
        <v/>
      </c>
      <c r="R5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6" s="47" t="str">
        <f>IF(LayTable[[#This Row],[Utfall bookie]]="","",LayTable[[#This Row],[WBABack]]+LayTable[[#This Row],[WBALay]]-LayTable[[#This Row],[Total inns]])</f>
        <v/>
      </c>
      <c r="U5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6" s="48" t="str">
        <f>IFERROR(IF(LayTable[[#This Row],[Total inns]]="","",LayTable[[#This Row],[Rback]]/LayTable[[#This Row],[Total inns]]),"")</f>
        <v/>
      </c>
      <c r="X586" s="48" t="str">
        <f>IFERROR(IF(LayTable[[#This Row],[Total inns]]="","",LayTable[[#This Row],[Rlay]]/LayTable[[#This Row],[Total inns]]),"")</f>
        <v/>
      </c>
      <c r="Y586" s="48" t="str">
        <f>IFERROR(LayTable[[#This Row],[Faktisk res]]/LayTable[[#This Row],[Total inns]],"")</f>
        <v/>
      </c>
      <c r="Z586" s="47">
        <f>(LayTable[[#This Row],[BookieInnsats]]*LayTable[[#This Row],[BookieOdds]]-LayTable[[#This Row],[BookieInnsats]])*(1-LayTable[[#This Row],[C% Bookie]])</f>
        <v>0</v>
      </c>
      <c r="AA586" s="43">
        <f>LayTable[[#This Row],[LayInnsats]]*(1-LayTable[[#This Row],[C% Lay]])</f>
        <v>0</v>
      </c>
      <c r="AB586" s="43">
        <f>IFERROR(IF(LayTable[[#This Row],[Sport]]="",AB585,LayTable[[#This Row],[Faktisk res]]+AB585),"")</f>
        <v>4914.29</v>
      </c>
      <c r="AC586" s="43">
        <f>(LayTable[[#This Row],[BackWin-Commission]]+LayTable[[#This Row],[BookieInnsats]])</f>
        <v>0</v>
      </c>
      <c r="AD586" s="43" t="e">
        <f>(LayTable[[#This Row],[LayWin-Commission]])+LayTable[[#This Row],[LayLiability]]</f>
        <v>#VALUE!</v>
      </c>
      <c r="AE586" s="181"/>
      <c r="AF586" s="314"/>
    </row>
    <row r="587" spans="1:32">
      <c r="A587" s="84"/>
      <c r="B587" s="144"/>
      <c r="C587" s="40"/>
      <c r="D587" s="41"/>
      <c r="E587" s="40"/>
      <c r="F587" s="41"/>
      <c r="G587" s="183"/>
      <c r="H587" s="38"/>
      <c r="I587" s="42"/>
      <c r="J587" s="42"/>
      <c r="K587" s="43"/>
      <c r="L587" s="43"/>
      <c r="M587" s="44" t="str">
        <f>IF(LayTable[[#This Row],[Sport]]="","",LayTable[[#This Row],[LayInnsats]]*(LayTable[[#This Row],[LayOdds]]-1))</f>
        <v/>
      </c>
      <c r="N587" s="45" t="str">
        <f>IF(LayTable[[#This Row],[Sport]]="","",1/((1/LayTable[[#This Row],[BookieOdds]])+(1/((1/((1+((LayTable[[#This Row],[LayOdds]]-1)*(1+LayTable[[#This Row],[C% Lay]])))-1))+1)))-1)</f>
        <v/>
      </c>
      <c r="Q587" s="46" t="str">
        <f>IF(LayTable[[#This Row],[Sport]]="","",LayTable[[#This Row],[BookieInnsats]]+LayTable[[#This Row],[LayLiability]])</f>
        <v/>
      </c>
      <c r="R5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7" s="47" t="str">
        <f>IF(LayTable[[#This Row],[Utfall bookie]]="","",LayTable[[#This Row],[WBABack]]+LayTable[[#This Row],[WBALay]]-LayTable[[#This Row],[Total inns]])</f>
        <v/>
      </c>
      <c r="U5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7" s="48" t="str">
        <f>IFERROR(IF(LayTable[[#This Row],[Total inns]]="","",LayTable[[#This Row],[Rback]]/LayTable[[#This Row],[Total inns]]),"")</f>
        <v/>
      </c>
      <c r="X587" s="48" t="str">
        <f>IFERROR(IF(LayTable[[#This Row],[Total inns]]="","",LayTable[[#This Row],[Rlay]]/LayTable[[#This Row],[Total inns]]),"")</f>
        <v/>
      </c>
      <c r="Y587" s="48" t="str">
        <f>IFERROR(LayTable[[#This Row],[Faktisk res]]/LayTable[[#This Row],[Total inns]],"")</f>
        <v/>
      </c>
      <c r="Z587" s="47">
        <f>(LayTable[[#This Row],[BookieInnsats]]*LayTable[[#This Row],[BookieOdds]]-LayTable[[#This Row],[BookieInnsats]])*(1-LayTable[[#This Row],[C% Bookie]])</f>
        <v>0</v>
      </c>
      <c r="AA587" s="43">
        <f>LayTable[[#This Row],[LayInnsats]]*(1-LayTable[[#This Row],[C% Lay]])</f>
        <v>0</v>
      </c>
      <c r="AB587" s="43">
        <f>IFERROR(IF(LayTable[[#This Row],[Sport]]="",AB586,LayTable[[#This Row],[Faktisk res]]+AB586),"")</f>
        <v>4914.29</v>
      </c>
      <c r="AC587" s="43">
        <f>(LayTable[[#This Row],[BackWin-Commission]]+LayTable[[#This Row],[BookieInnsats]])</f>
        <v>0</v>
      </c>
      <c r="AD587" s="43" t="e">
        <f>(LayTable[[#This Row],[LayWin-Commission]])+LayTable[[#This Row],[LayLiability]]</f>
        <v>#VALUE!</v>
      </c>
      <c r="AE587" s="314"/>
      <c r="AF587" s="314"/>
    </row>
    <row r="588" spans="1:32">
      <c r="A588" s="84"/>
      <c r="B588" s="144"/>
      <c r="C588" s="40"/>
      <c r="D588" s="41"/>
      <c r="E588" s="40"/>
      <c r="F588" s="41"/>
      <c r="G588" s="183"/>
      <c r="H588" s="38"/>
      <c r="I588" s="42"/>
      <c r="J588" s="42"/>
      <c r="K588" s="43"/>
      <c r="L588" s="43"/>
      <c r="M588" s="44" t="str">
        <f>IF(LayTable[[#This Row],[Sport]]="","",LayTable[[#This Row],[LayInnsats]]*(LayTable[[#This Row],[LayOdds]]-1))</f>
        <v/>
      </c>
      <c r="N588" s="45" t="str">
        <f>IF(LayTable[[#This Row],[Sport]]="","",1/((1/LayTable[[#This Row],[BookieOdds]])+(1/((1/((1+((LayTable[[#This Row],[LayOdds]]-1)*(1+LayTable[[#This Row],[C% Lay]])))-1))+1)))-1)</f>
        <v/>
      </c>
      <c r="Q588" s="46" t="str">
        <f>IF(LayTable[[#This Row],[Sport]]="","",LayTable[[#This Row],[BookieInnsats]]+LayTable[[#This Row],[LayLiability]])</f>
        <v/>
      </c>
      <c r="R5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8" s="47" t="str">
        <f>IF(LayTable[[#This Row],[Utfall bookie]]="","",LayTable[[#This Row],[WBABack]]+LayTable[[#This Row],[WBALay]]-LayTable[[#This Row],[Total inns]])</f>
        <v/>
      </c>
      <c r="U5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8" s="48" t="str">
        <f>IFERROR(IF(LayTable[[#This Row],[Total inns]]="","",LayTable[[#This Row],[Rback]]/LayTable[[#This Row],[Total inns]]),"")</f>
        <v/>
      </c>
      <c r="X588" s="48" t="str">
        <f>IFERROR(IF(LayTable[[#This Row],[Total inns]]="","",LayTable[[#This Row],[Rlay]]/LayTable[[#This Row],[Total inns]]),"")</f>
        <v/>
      </c>
      <c r="Y588" s="48" t="str">
        <f>IFERROR(LayTable[[#This Row],[Faktisk res]]/LayTable[[#This Row],[Total inns]],"")</f>
        <v/>
      </c>
      <c r="Z588" s="47">
        <f>(LayTable[[#This Row],[BookieInnsats]]*LayTable[[#This Row],[BookieOdds]]-LayTable[[#This Row],[BookieInnsats]])*(1-LayTable[[#This Row],[C% Bookie]])</f>
        <v>0</v>
      </c>
      <c r="AA588" s="43">
        <f>LayTable[[#This Row],[LayInnsats]]*(1-LayTable[[#This Row],[C% Lay]])</f>
        <v>0</v>
      </c>
      <c r="AB588" s="43">
        <f>IFERROR(IF(LayTable[[#This Row],[Sport]]="",AB587,LayTable[[#This Row],[Faktisk res]]+AB587),"")</f>
        <v>4914.29</v>
      </c>
      <c r="AC588" s="43">
        <f>(LayTable[[#This Row],[BackWin-Commission]]+LayTable[[#This Row],[BookieInnsats]])</f>
        <v>0</v>
      </c>
      <c r="AD588" s="43" t="e">
        <f>(LayTable[[#This Row],[LayWin-Commission]])+LayTable[[#This Row],[LayLiability]]</f>
        <v>#VALUE!</v>
      </c>
      <c r="AE588" s="314"/>
      <c r="AF588" s="314"/>
    </row>
    <row r="589" spans="1:32">
      <c r="A589" s="84"/>
      <c r="B589" s="144"/>
      <c r="C589" s="40"/>
      <c r="D589" s="41"/>
      <c r="E589" s="40"/>
      <c r="F589" s="41"/>
      <c r="G589" s="183"/>
      <c r="H589" s="38"/>
      <c r="I589" s="42"/>
      <c r="J589" s="42"/>
      <c r="K589" s="43"/>
      <c r="L589" s="43"/>
      <c r="M589" s="44" t="str">
        <f>IF(LayTable[[#This Row],[Sport]]="","",LayTable[[#This Row],[LayInnsats]]*(LayTable[[#This Row],[LayOdds]]-1))</f>
        <v/>
      </c>
      <c r="N589" s="45" t="str">
        <f>IF(LayTable[[#This Row],[Sport]]="","",1/((1/LayTable[[#This Row],[BookieOdds]])+(1/((1/((1+((LayTable[[#This Row],[LayOdds]]-1)*(1+LayTable[[#This Row],[C% Lay]])))-1))+1)))-1)</f>
        <v/>
      </c>
      <c r="Q589" s="46" t="str">
        <f>IF(LayTable[[#This Row],[Sport]]="","",LayTable[[#This Row],[BookieInnsats]]+LayTable[[#This Row],[LayLiability]])</f>
        <v/>
      </c>
      <c r="R5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89" s="47" t="str">
        <f>IF(LayTable[[#This Row],[Utfall bookie]]="","",LayTable[[#This Row],[WBABack]]+LayTable[[#This Row],[WBALay]]-LayTable[[#This Row],[Total inns]])</f>
        <v/>
      </c>
      <c r="U5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89" s="48" t="str">
        <f>IFERROR(IF(LayTable[[#This Row],[Total inns]]="","",LayTable[[#This Row],[Rback]]/LayTable[[#This Row],[Total inns]]),"")</f>
        <v/>
      </c>
      <c r="X589" s="48" t="str">
        <f>IFERROR(IF(LayTable[[#This Row],[Total inns]]="","",LayTable[[#This Row],[Rlay]]/LayTable[[#This Row],[Total inns]]),"")</f>
        <v/>
      </c>
      <c r="Y589" s="48" t="str">
        <f>IFERROR(LayTable[[#This Row],[Faktisk res]]/LayTable[[#This Row],[Total inns]],"")</f>
        <v/>
      </c>
      <c r="Z589" s="47">
        <f>(LayTable[[#This Row],[BookieInnsats]]*LayTable[[#This Row],[BookieOdds]]-LayTable[[#This Row],[BookieInnsats]])*(1-LayTable[[#This Row],[C% Bookie]])</f>
        <v>0</v>
      </c>
      <c r="AA589" s="43">
        <f>LayTable[[#This Row],[LayInnsats]]*(1-LayTable[[#This Row],[C% Lay]])</f>
        <v>0</v>
      </c>
      <c r="AB589" s="43">
        <f>IFERROR(IF(LayTable[[#This Row],[Sport]]="",AB588,LayTable[[#This Row],[Faktisk res]]+AB588),"")</f>
        <v>4914.29</v>
      </c>
      <c r="AC589" s="43">
        <f>(LayTable[[#This Row],[BackWin-Commission]]+LayTable[[#This Row],[BookieInnsats]])</f>
        <v>0</v>
      </c>
      <c r="AD589" s="43" t="e">
        <f>(LayTable[[#This Row],[LayWin-Commission]])+LayTable[[#This Row],[LayLiability]]</f>
        <v>#VALUE!</v>
      </c>
      <c r="AE589" s="314"/>
      <c r="AF589" s="314"/>
    </row>
    <row r="590" spans="1:32">
      <c r="A590" s="84"/>
      <c r="B590" s="144"/>
      <c r="C590" s="40"/>
      <c r="D590" s="41"/>
      <c r="E590" s="40"/>
      <c r="F590" s="41"/>
      <c r="G590" s="183"/>
      <c r="H590" s="38"/>
      <c r="I590" s="42"/>
      <c r="J590" s="42"/>
      <c r="K590" s="43"/>
      <c r="L590" s="43"/>
      <c r="M590" s="44" t="str">
        <f>IF(LayTable[[#This Row],[Sport]]="","",LayTable[[#This Row],[LayInnsats]]*(LayTable[[#This Row],[LayOdds]]-1))</f>
        <v/>
      </c>
      <c r="N590" s="45" t="str">
        <f>IF(LayTable[[#This Row],[Sport]]="","",1/((1/LayTable[[#This Row],[BookieOdds]])+(1/((1/((1+((LayTable[[#This Row],[LayOdds]]-1)*(1+LayTable[[#This Row],[C% Lay]])))-1))+1)))-1)</f>
        <v/>
      </c>
      <c r="Q590" s="46" t="str">
        <f>IF(LayTable[[#This Row],[Sport]]="","",LayTable[[#This Row],[BookieInnsats]]+LayTable[[#This Row],[LayLiability]])</f>
        <v/>
      </c>
      <c r="R5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0" s="47" t="str">
        <f>IF(LayTable[[#This Row],[Utfall bookie]]="","",LayTable[[#This Row],[WBABack]]+LayTable[[#This Row],[WBALay]]-LayTable[[#This Row],[Total inns]])</f>
        <v/>
      </c>
      <c r="U5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0" s="48" t="str">
        <f>IFERROR(IF(LayTable[[#This Row],[Total inns]]="","",LayTable[[#This Row],[Rback]]/LayTable[[#This Row],[Total inns]]),"")</f>
        <v/>
      </c>
      <c r="X590" s="48" t="str">
        <f>IFERROR(IF(LayTable[[#This Row],[Total inns]]="","",LayTable[[#This Row],[Rlay]]/LayTable[[#This Row],[Total inns]]),"")</f>
        <v/>
      </c>
      <c r="Y590" s="48" t="str">
        <f>IFERROR(LayTable[[#This Row],[Faktisk res]]/LayTable[[#This Row],[Total inns]],"")</f>
        <v/>
      </c>
      <c r="Z590" s="47">
        <f>(LayTable[[#This Row],[BookieInnsats]]*LayTable[[#This Row],[BookieOdds]]-LayTable[[#This Row],[BookieInnsats]])*(1-LayTable[[#This Row],[C% Bookie]])</f>
        <v>0</v>
      </c>
      <c r="AA590" s="43">
        <f>LayTable[[#This Row],[LayInnsats]]*(1-LayTable[[#This Row],[C% Lay]])</f>
        <v>0</v>
      </c>
      <c r="AB590" s="43">
        <f>IFERROR(IF(LayTable[[#This Row],[Sport]]="",AB589,LayTable[[#This Row],[Faktisk res]]+AB589),"")</f>
        <v>4914.29</v>
      </c>
      <c r="AC590" s="43">
        <f>(LayTable[[#This Row],[BackWin-Commission]]+LayTable[[#This Row],[BookieInnsats]])</f>
        <v>0</v>
      </c>
      <c r="AD590" s="43" t="e">
        <f>(LayTable[[#This Row],[LayWin-Commission]])+LayTable[[#This Row],[LayLiability]]</f>
        <v>#VALUE!</v>
      </c>
      <c r="AE590" s="181"/>
      <c r="AF590" s="314"/>
    </row>
    <row r="591" spans="1:32">
      <c r="A591" s="84"/>
      <c r="B591" s="144"/>
      <c r="C591" s="40"/>
      <c r="D591" s="41"/>
      <c r="E591" s="40"/>
      <c r="F591" s="41"/>
      <c r="G591" s="183"/>
      <c r="H591" s="38"/>
      <c r="I591" s="42"/>
      <c r="J591" s="42"/>
      <c r="K591" s="43"/>
      <c r="L591" s="43"/>
      <c r="M591" s="44" t="str">
        <f>IF(LayTable[[#This Row],[Sport]]="","",LayTable[[#This Row],[LayInnsats]]*(LayTable[[#This Row],[LayOdds]]-1))</f>
        <v/>
      </c>
      <c r="N591" s="45" t="str">
        <f>IF(LayTable[[#This Row],[Sport]]="","",1/((1/LayTable[[#This Row],[BookieOdds]])+(1/((1/((1+((LayTable[[#This Row],[LayOdds]]-1)*(1+LayTable[[#This Row],[C% Lay]])))-1))+1)))-1)</f>
        <v/>
      </c>
      <c r="Q591" s="46" t="str">
        <f>IF(LayTable[[#This Row],[Sport]]="","",LayTable[[#This Row],[BookieInnsats]]+LayTable[[#This Row],[LayLiability]])</f>
        <v/>
      </c>
      <c r="R5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1" s="47" t="str">
        <f>IF(LayTable[[#This Row],[Utfall bookie]]="","",LayTable[[#This Row],[WBABack]]+LayTable[[#This Row],[WBALay]]-LayTable[[#This Row],[Total inns]])</f>
        <v/>
      </c>
      <c r="U5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1" s="48" t="str">
        <f>IFERROR(IF(LayTable[[#This Row],[Total inns]]="","",LayTable[[#This Row],[Rback]]/LayTable[[#This Row],[Total inns]]),"")</f>
        <v/>
      </c>
      <c r="X591" s="48" t="str">
        <f>IFERROR(IF(LayTable[[#This Row],[Total inns]]="","",LayTable[[#This Row],[Rlay]]/LayTable[[#This Row],[Total inns]]),"")</f>
        <v/>
      </c>
      <c r="Y591" s="48" t="str">
        <f>IFERROR(LayTable[[#This Row],[Faktisk res]]/LayTable[[#This Row],[Total inns]],"")</f>
        <v/>
      </c>
      <c r="Z591" s="47">
        <f>(LayTable[[#This Row],[BookieInnsats]]*LayTable[[#This Row],[BookieOdds]]-LayTable[[#This Row],[BookieInnsats]])*(1-LayTable[[#This Row],[C% Bookie]])</f>
        <v>0</v>
      </c>
      <c r="AA591" s="43">
        <f>LayTable[[#This Row],[LayInnsats]]*(1-LayTable[[#This Row],[C% Lay]])</f>
        <v>0</v>
      </c>
      <c r="AB591" s="43">
        <f>IFERROR(IF(LayTable[[#This Row],[Sport]]="",AB590,LayTable[[#This Row],[Faktisk res]]+AB590),"")</f>
        <v>4914.29</v>
      </c>
      <c r="AC591" s="43">
        <f>(LayTable[[#This Row],[BackWin-Commission]]+LayTable[[#This Row],[BookieInnsats]])</f>
        <v>0</v>
      </c>
      <c r="AD591" s="43" t="e">
        <f>(LayTable[[#This Row],[LayWin-Commission]])+LayTable[[#This Row],[LayLiability]]</f>
        <v>#VALUE!</v>
      </c>
      <c r="AE591" s="181"/>
      <c r="AF591" s="314"/>
    </row>
    <row r="592" spans="1:32">
      <c r="A592" s="183"/>
      <c r="B592" s="144"/>
      <c r="C592" s="178"/>
      <c r="D592" s="251"/>
      <c r="E592" s="178"/>
      <c r="F592" s="251"/>
      <c r="G592" s="183"/>
      <c r="H592" s="176"/>
      <c r="I592" s="42"/>
      <c r="J592" s="42"/>
      <c r="K592" s="43"/>
      <c r="L592" s="43"/>
      <c r="M592" s="44" t="str">
        <f>IF(LayTable[[#This Row],[Sport]]="","",LayTable[[#This Row],[LayInnsats]]*(LayTable[[#This Row],[LayOdds]]-1))</f>
        <v/>
      </c>
      <c r="N592" s="45" t="str">
        <f>IF(LayTable[[#This Row],[Sport]]="","",1/((1/LayTable[[#This Row],[BookieOdds]])+(1/((1/((1+((LayTable[[#This Row],[LayOdds]]-1)*(1+LayTable[[#This Row],[C% Lay]])))-1))+1)))-1)</f>
        <v/>
      </c>
      <c r="Q592" s="46" t="str">
        <f>IF(LayTable[[#This Row],[Sport]]="","",LayTable[[#This Row],[BookieInnsats]]+LayTable[[#This Row],[LayLiability]])</f>
        <v/>
      </c>
      <c r="R5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2" s="47" t="str">
        <f>IF(LayTable[[#This Row],[Utfall bookie]]="","",LayTable[[#This Row],[WBABack]]+LayTable[[#This Row],[WBALay]]-LayTable[[#This Row],[Total inns]])</f>
        <v/>
      </c>
      <c r="U5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2" s="48" t="str">
        <f>IFERROR(IF(LayTable[[#This Row],[Total inns]]="","",LayTable[[#This Row],[Rback]]/LayTable[[#This Row],[Total inns]]),"")</f>
        <v/>
      </c>
      <c r="X592" s="48" t="str">
        <f>IFERROR(IF(LayTable[[#This Row],[Total inns]]="","",LayTable[[#This Row],[Rlay]]/LayTable[[#This Row],[Total inns]]),"")</f>
        <v/>
      </c>
      <c r="Y592" s="48" t="str">
        <f>IFERROR(LayTable[[#This Row],[Faktisk res]]/LayTable[[#This Row],[Total inns]],"")</f>
        <v/>
      </c>
      <c r="Z592" s="47">
        <f>(LayTable[[#This Row],[BookieInnsats]]*LayTable[[#This Row],[BookieOdds]]-LayTable[[#This Row],[BookieInnsats]])*(1-LayTable[[#This Row],[C% Bookie]])</f>
        <v>0</v>
      </c>
      <c r="AA592" s="43">
        <f>LayTable[[#This Row],[LayInnsats]]*(1-LayTable[[#This Row],[C% Lay]])</f>
        <v>0</v>
      </c>
      <c r="AB592" s="43">
        <f>IFERROR(IF(LayTable[[#This Row],[Sport]]="",AB591,LayTable[[#This Row],[Faktisk res]]+AB591),"")</f>
        <v>4914.29</v>
      </c>
      <c r="AC592" s="43">
        <f>(LayTable[[#This Row],[BackWin-Commission]]+LayTable[[#This Row],[BookieInnsats]])</f>
        <v>0</v>
      </c>
      <c r="AD592" s="43" t="e">
        <f>(LayTable[[#This Row],[LayWin-Commission]])+LayTable[[#This Row],[LayLiability]]</f>
        <v>#VALUE!</v>
      </c>
      <c r="AE592" s="181"/>
      <c r="AF592" s="314"/>
    </row>
    <row r="593" spans="1:32">
      <c r="A593" s="84"/>
      <c r="B593" s="144"/>
      <c r="C593" s="40"/>
      <c r="D593" s="41"/>
      <c r="E593" s="40"/>
      <c r="F593" s="41"/>
      <c r="G593" s="183"/>
      <c r="H593" s="38"/>
      <c r="I593" s="42"/>
      <c r="J593" s="42"/>
      <c r="K593" s="43"/>
      <c r="L593" s="43"/>
      <c r="M593" s="44" t="str">
        <f>IF(LayTable[[#This Row],[Sport]]="","",LayTable[[#This Row],[LayInnsats]]*(LayTable[[#This Row],[LayOdds]]-1))</f>
        <v/>
      </c>
      <c r="N593" s="45" t="str">
        <f>IF(LayTable[[#This Row],[Sport]]="","",1/((1/LayTable[[#This Row],[BookieOdds]])+(1/((1/((1+((LayTable[[#This Row],[LayOdds]]-1)*(1+LayTable[[#This Row],[C% Lay]])))-1))+1)))-1)</f>
        <v/>
      </c>
      <c r="Q593" s="46" t="str">
        <f>IF(LayTable[[#This Row],[Sport]]="","",LayTable[[#This Row],[BookieInnsats]]+LayTable[[#This Row],[LayLiability]])</f>
        <v/>
      </c>
      <c r="R5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3" s="47" t="str">
        <f>IF(LayTable[[#This Row],[Utfall bookie]]="","",LayTable[[#This Row],[WBABack]]+LayTable[[#This Row],[WBALay]]-LayTable[[#This Row],[Total inns]])</f>
        <v/>
      </c>
      <c r="U5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3" s="48" t="str">
        <f>IFERROR(IF(LayTable[[#This Row],[Total inns]]="","",LayTable[[#This Row],[Rback]]/LayTable[[#This Row],[Total inns]]),"")</f>
        <v/>
      </c>
      <c r="X593" s="48" t="str">
        <f>IFERROR(IF(LayTable[[#This Row],[Total inns]]="","",LayTable[[#This Row],[Rlay]]/LayTable[[#This Row],[Total inns]]),"")</f>
        <v/>
      </c>
      <c r="Y593" s="48" t="str">
        <f>IFERROR(LayTable[[#This Row],[Faktisk res]]/LayTable[[#This Row],[Total inns]],"")</f>
        <v/>
      </c>
      <c r="Z593" s="47">
        <f>(LayTable[[#This Row],[BookieInnsats]]*LayTable[[#This Row],[BookieOdds]]-LayTable[[#This Row],[BookieInnsats]])*(1-LayTable[[#This Row],[C% Bookie]])</f>
        <v>0</v>
      </c>
      <c r="AA593" s="43">
        <f>LayTable[[#This Row],[LayInnsats]]*(1-LayTable[[#This Row],[C% Lay]])</f>
        <v>0</v>
      </c>
      <c r="AB593" s="43">
        <f>IFERROR(IF(LayTable[[#This Row],[Sport]]="",AB592,LayTable[[#This Row],[Faktisk res]]+AB592),"")</f>
        <v>4914.29</v>
      </c>
      <c r="AC593" s="43">
        <f>(LayTable[[#This Row],[BackWin-Commission]]+LayTable[[#This Row],[BookieInnsats]])</f>
        <v>0</v>
      </c>
      <c r="AD593" s="43" t="e">
        <f>(LayTable[[#This Row],[LayWin-Commission]])+LayTable[[#This Row],[LayLiability]]</f>
        <v>#VALUE!</v>
      </c>
      <c r="AE593" s="314"/>
      <c r="AF593" s="314"/>
    </row>
    <row r="594" spans="1:32">
      <c r="A594" s="84"/>
      <c r="B594" s="144"/>
      <c r="C594" s="40"/>
      <c r="D594" s="41"/>
      <c r="E594" s="40"/>
      <c r="F594" s="41"/>
      <c r="G594" s="183"/>
      <c r="H594" s="38"/>
      <c r="I594" s="42"/>
      <c r="J594" s="42"/>
      <c r="K594" s="43"/>
      <c r="L594" s="43"/>
      <c r="M594" s="44" t="str">
        <f>IF(LayTable[[#This Row],[Sport]]="","",LayTable[[#This Row],[LayInnsats]]*(LayTable[[#This Row],[LayOdds]]-1))</f>
        <v/>
      </c>
      <c r="N594" s="45" t="str">
        <f>IF(LayTable[[#This Row],[Sport]]="","",1/((1/LayTable[[#This Row],[BookieOdds]])+(1/((1/((1+((LayTable[[#This Row],[LayOdds]]-1)*(1+LayTable[[#This Row],[C% Lay]])))-1))+1)))-1)</f>
        <v/>
      </c>
      <c r="Q594" s="46" t="str">
        <f>IF(LayTable[[#This Row],[Sport]]="","",LayTable[[#This Row],[BookieInnsats]]+LayTable[[#This Row],[LayLiability]])</f>
        <v/>
      </c>
      <c r="R5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4" s="47" t="str">
        <f>IF(LayTable[[#This Row],[Utfall bookie]]="","",LayTable[[#This Row],[WBABack]]+LayTable[[#This Row],[WBALay]]-LayTable[[#This Row],[Total inns]])</f>
        <v/>
      </c>
      <c r="U5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4" s="48" t="str">
        <f>IFERROR(IF(LayTable[[#This Row],[Total inns]]="","",LayTable[[#This Row],[Rback]]/LayTable[[#This Row],[Total inns]]),"")</f>
        <v/>
      </c>
      <c r="X594" s="48" t="str">
        <f>IFERROR(IF(LayTable[[#This Row],[Total inns]]="","",LayTable[[#This Row],[Rlay]]/LayTable[[#This Row],[Total inns]]),"")</f>
        <v/>
      </c>
      <c r="Y594" s="48" t="str">
        <f>IFERROR(LayTable[[#This Row],[Faktisk res]]/LayTable[[#This Row],[Total inns]],"")</f>
        <v/>
      </c>
      <c r="Z594" s="47">
        <f>(LayTable[[#This Row],[BookieInnsats]]*LayTable[[#This Row],[BookieOdds]]-LayTable[[#This Row],[BookieInnsats]])*(1-LayTable[[#This Row],[C% Bookie]])</f>
        <v>0</v>
      </c>
      <c r="AA594" s="43">
        <f>LayTable[[#This Row],[LayInnsats]]*(1-LayTable[[#This Row],[C% Lay]])</f>
        <v>0</v>
      </c>
      <c r="AB594" s="43">
        <f>IFERROR(IF(LayTable[[#This Row],[Sport]]="",AB593,LayTable[[#This Row],[Faktisk res]]+AB593),"")</f>
        <v>4914.29</v>
      </c>
      <c r="AC594" s="43">
        <f>(LayTable[[#This Row],[BackWin-Commission]]+LayTable[[#This Row],[BookieInnsats]])</f>
        <v>0</v>
      </c>
      <c r="AD594" s="43" t="e">
        <f>(LayTable[[#This Row],[LayWin-Commission]])+LayTable[[#This Row],[LayLiability]]</f>
        <v>#VALUE!</v>
      </c>
      <c r="AE594" s="181"/>
      <c r="AF594" s="314"/>
    </row>
    <row r="595" spans="1:32">
      <c r="A595" s="84"/>
      <c r="B595" s="144"/>
      <c r="C595" s="40"/>
      <c r="D595" s="41"/>
      <c r="E595" s="40"/>
      <c r="F595" s="41"/>
      <c r="G595" s="183"/>
      <c r="H595" s="38"/>
      <c r="I595" s="42"/>
      <c r="J595" s="42"/>
      <c r="K595" s="43"/>
      <c r="L595" s="43"/>
      <c r="M595" s="44" t="str">
        <f>IF(LayTable[[#This Row],[Sport]]="","",LayTable[[#This Row],[LayInnsats]]*(LayTable[[#This Row],[LayOdds]]-1))</f>
        <v/>
      </c>
      <c r="N595" s="45" t="str">
        <f>IF(LayTable[[#This Row],[Sport]]="","",1/((1/LayTable[[#This Row],[BookieOdds]])+(1/((1/((1+((LayTable[[#This Row],[LayOdds]]-1)*(1+LayTable[[#This Row],[C% Lay]])))-1))+1)))-1)</f>
        <v/>
      </c>
      <c r="Q595" s="46" t="str">
        <f>IF(LayTable[[#This Row],[Sport]]="","",LayTable[[#This Row],[BookieInnsats]]+LayTable[[#This Row],[LayLiability]])</f>
        <v/>
      </c>
      <c r="R5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5" s="47" t="str">
        <f>IF(LayTable[[#This Row],[Utfall bookie]]="","",LayTable[[#This Row],[WBABack]]+LayTable[[#This Row],[WBALay]]-LayTable[[#This Row],[Total inns]])</f>
        <v/>
      </c>
      <c r="U5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5" s="48" t="str">
        <f>IFERROR(IF(LayTable[[#This Row],[Total inns]]="","",LayTable[[#This Row],[Rback]]/LayTable[[#This Row],[Total inns]]),"")</f>
        <v/>
      </c>
      <c r="X595" s="48" t="str">
        <f>IFERROR(IF(LayTable[[#This Row],[Total inns]]="","",LayTable[[#This Row],[Rlay]]/LayTable[[#This Row],[Total inns]]),"")</f>
        <v/>
      </c>
      <c r="Y595" s="48" t="str">
        <f>IFERROR(LayTable[[#This Row],[Faktisk res]]/LayTable[[#This Row],[Total inns]],"")</f>
        <v/>
      </c>
      <c r="Z595" s="47">
        <f>(LayTable[[#This Row],[BookieInnsats]]*LayTable[[#This Row],[BookieOdds]]-LayTable[[#This Row],[BookieInnsats]])*(1-LayTable[[#This Row],[C% Bookie]])</f>
        <v>0</v>
      </c>
      <c r="AA595" s="43">
        <f>LayTable[[#This Row],[LayInnsats]]*(1-LayTable[[#This Row],[C% Lay]])</f>
        <v>0</v>
      </c>
      <c r="AB595" s="43">
        <f>IFERROR(IF(LayTable[[#This Row],[Sport]]="",AB594,LayTable[[#This Row],[Faktisk res]]+AB594),"")</f>
        <v>4914.29</v>
      </c>
      <c r="AC595" s="43">
        <f>(LayTable[[#This Row],[BackWin-Commission]]+LayTable[[#This Row],[BookieInnsats]])</f>
        <v>0</v>
      </c>
      <c r="AD595" s="43" t="e">
        <f>(LayTable[[#This Row],[LayWin-Commission]])+LayTable[[#This Row],[LayLiability]]</f>
        <v>#VALUE!</v>
      </c>
      <c r="AE595" s="314"/>
      <c r="AF595" s="314"/>
    </row>
    <row r="596" spans="1:32">
      <c r="A596" s="84"/>
      <c r="B596" s="144"/>
      <c r="C596" s="40"/>
      <c r="D596" s="41"/>
      <c r="E596" s="40"/>
      <c r="F596" s="41"/>
      <c r="G596" s="183"/>
      <c r="H596" s="38"/>
      <c r="I596" s="42"/>
      <c r="J596" s="42"/>
      <c r="K596" s="43"/>
      <c r="L596" s="43"/>
      <c r="M596" s="44" t="str">
        <f>IF(LayTable[[#This Row],[Sport]]="","",LayTable[[#This Row],[LayInnsats]]*(LayTable[[#This Row],[LayOdds]]-1))</f>
        <v/>
      </c>
      <c r="N596" s="45" t="str">
        <f>IF(LayTable[[#This Row],[Sport]]="","",1/((1/LayTable[[#This Row],[BookieOdds]])+(1/((1/((1+((LayTable[[#This Row],[LayOdds]]-1)*(1+LayTable[[#This Row],[C% Lay]])))-1))+1)))-1)</f>
        <v/>
      </c>
      <c r="Q596" s="46" t="str">
        <f>IF(LayTable[[#This Row],[Sport]]="","",LayTable[[#This Row],[BookieInnsats]]+LayTable[[#This Row],[LayLiability]])</f>
        <v/>
      </c>
      <c r="R5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6" s="47" t="str">
        <f>IF(LayTable[[#This Row],[Utfall bookie]]="","",LayTable[[#This Row],[WBABack]]+LayTable[[#This Row],[WBALay]]-LayTable[[#This Row],[Total inns]])</f>
        <v/>
      </c>
      <c r="U5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6" s="48" t="str">
        <f>IFERROR(IF(LayTable[[#This Row],[Total inns]]="","",LayTable[[#This Row],[Rback]]/LayTable[[#This Row],[Total inns]]),"")</f>
        <v/>
      </c>
      <c r="X596" s="48" t="str">
        <f>IFERROR(IF(LayTable[[#This Row],[Total inns]]="","",LayTable[[#This Row],[Rlay]]/LayTable[[#This Row],[Total inns]]),"")</f>
        <v/>
      </c>
      <c r="Y596" s="48" t="str">
        <f>IFERROR(LayTable[[#This Row],[Faktisk res]]/LayTable[[#This Row],[Total inns]],"")</f>
        <v/>
      </c>
      <c r="Z596" s="47">
        <f>(LayTable[[#This Row],[BookieInnsats]]*LayTable[[#This Row],[BookieOdds]]-LayTable[[#This Row],[BookieInnsats]])*(1-LayTable[[#This Row],[C% Bookie]])</f>
        <v>0</v>
      </c>
      <c r="AA596" s="43">
        <f>LayTable[[#This Row],[LayInnsats]]*(1-LayTable[[#This Row],[C% Lay]])</f>
        <v>0</v>
      </c>
      <c r="AB596" s="43">
        <f>IFERROR(IF(LayTable[[#This Row],[Sport]]="",AB595,LayTable[[#This Row],[Faktisk res]]+AB595),"")</f>
        <v>4914.29</v>
      </c>
      <c r="AC596" s="43">
        <f>(LayTable[[#This Row],[BackWin-Commission]]+LayTable[[#This Row],[BookieInnsats]])</f>
        <v>0</v>
      </c>
      <c r="AD596" s="43" t="e">
        <f>(LayTable[[#This Row],[LayWin-Commission]])+LayTable[[#This Row],[LayLiability]]</f>
        <v>#VALUE!</v>
      </c>
      <c r="AE596" s="314"/>
      <c r="AF596" s="314"/>
    </row>
    <row r="597" spans="1:32">
      <c r="A597" s="84"/>
      <c r="B597" s="144"/>
      <c r="C597" s="40"/>
      <c r="D597" s="41"/>
      <c r="E597" s="40"/>
      <c r="F597" s="41"/>
      <c r="G597" s="183"/>
      <c r="H597" s="38"/>
      <c r="I597" s="42"/>
      <c r="J597" s="42"/>
      <c r="K597" s="43"/>
      <c r="L597" s="43"/>
      <c r="M597" s="44" t="str">
        <f>IF(LayTable[[#This Row],[Sport]]="","",LayTable[[#This Row],[LayInnsats]]*(LayTable[[#This Row],[LayOdds]]-1))</f>
        <v/>
      </c>
      <c r="N597" s="45" t="str">
        <f>IF(LayTable[[#This Row],[Sport]]="","",1/((1/LayTable[[#This Row],[BookieOdds]])+(1/((1/((1+((LayTable[[#This Row],[LayOdds]]-1)*(1+LayTable[[#This Row],[C% Lay]])))-1))+1)))-1)</f>
        <v/>
      </c>
      <c r="Q597" s="46" t="str">
        <f>IF(LayTable[[#This Row],[Sport]]="","",LayTable[[#This Row],[BookieInnsats]]+LayTable[[#This Row],[LayLiability]])</f>
        <v/>
      </c>
      <c r="R5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7" s="47" t="str">
        <f>IF(LayTable[[#This Row],[Utfall bookie]]="","",LayTable[[#This Row],[WBABack]]+LayTable[[#This Row],[WBALay]]-LayTable[[#This Row],[Total inns]])</f>
        <v/>
      </c>
      <c r="U5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7" s="48" t="str">
        <f>IFERROR(IF(LayTable[[#This Row],[Total inns]]="","",LayTable[[#This Row],[Rback]]/LayTable[[#This Row],[Total inns]]),"")</f>
        <v/>
      </c>
      <c r="X597" s="48" t="str">
        <f>IFERROR(IF(LayTable[[#This Row],[Total inns]]="","",LayTable[[#This Row],[Rlay]]/LayTable[[#This Row],[Total inns]]),"")</f>
        <v/>
      </c>
      <c r="Y597" s="48" t="str">
        <f>IFERROR(LayTable[[#This Row],[Faktisk res]]/LayTable[[#This Row],[Total inns]],"")</f>
        <v/>
      </c>
      <c r="Z597" s="47">
        <f>(LayTable[[#This Row],[BookieInnsats]]*LayTable[[#This Row],[BookieOdds]]-LayTable[[#This Row],[BookieInnsats]])*(1-LayTable[[#This Row],[C% Bookie]])</f>
        <v>0</v>
      </c>
      <c r="AA597" s="43">
        <f>LayTable[[#This Row],[LayInnsats]]*(1-LayTable[[#This Row],[C% Lay]])</f>
        <v>0</v>
      </c>
      <c r="AB597" s="43">
        <f>IFERROR(IF(LayTable[[#This Row],[Sport]]="",AB596,LayTable[[#This Row],[Faktisk res]]+AB596),"")</f>
        <v>4914.29</v>
      </c>
      <c r="AC597" s="43">
        <f>(LayTable[[#This Row],[BackWin-Commission]]+LayTable[[#This Row],[BookieInnsats]])</f>
        <v>0</v>
      </c>
      <c r="AD597" s="43" t="e">
        <f>(LayTable[[#This Row],[LayWin-Commission]])+LayTable[[#This Row],[LayLiability]]</f>
        <v>#VALUE!</v>
      </c>
      <c r="AE597" s="181"/>
      <c r="AF597" s="314"/>
    </row>
    <row r="598" spans="1:32">
      <c r="A598" s="84"/>
      <c r="B598" s="144"/>
      <c r="C598" s="40"/>
      <c r="D598" s="41"/>
      <c r="E598" s="40"/>
      <c r="F598" s="41"/>
      <c r="G598" s="183"/>
      <c r="H598" s="38"/>
      <c r="I598" s="42"/>
      <c r="J598" s="42"/>
      <c r="K598" s="43"/>
      <c r="L598" s="43"/>
      <c r="M598" s="44" t="str">
        <f>IF(LayTable[[#This Row],[Sport]]="","",LayTable[[#This Row],[LayInnsats]]*(LayTable[[#This Row],[LayOdds]]-1))</f>
        <v/>
      </c>
      <c r="N598" s="45" t="str">
        <f>IF(LayTable[[#This Row],[Sport]]="","",1/((1/LayTable[[#This Row],[BookieOdds]])+(1/((1/((1+((LayTable[[#This Row],[LayOdds]]-1)*(1+LayTable[[#This Row],[C% Lay]])))-1))+1)))-1)</f>
        <v/>
      </c>
      <c r="Q598" s="46" t="str">
        <f>IF(LayTable[[#This Row],[Sport]]="","",LayTable[[#This Row],[BookieInnsats]]+LayTable[[#This Row],[LayLiability]])</f>
        <v/>
      </c>
      <c r="R5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8" s="47" t="str">
        <f>IF(LayTable[[#This Row],[Utfall bookie]]="","",LayTable[[#This Row],[WBABack]]+LayTable[[#This Row],[WBALay]]-LayTable[[#This Row],[Total inns]])</f>
        <v/>
      </c>
      <c r="U5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8" s="48" t="str">
        <f>IFERROR(IF(LayTable[[#This Row],[Total inns]]="","",LayTable[[#This Row],[Rback]]/LayTable[[#This Row],[Total inns]]),"")</f>
        <v/>
      </c>
      <c r="X598" s="48" t="str">
        <f>IFERROR(IF(LayTable[[#This Row],[Total inns]]="","",LayTable[[#This Row],[Rlay]]/LayTable[[#This Row],[Total inns]]),"")</f>
        <v/>
      </c>
      <c r="Y598" s="48" t="str">
        <f>IFERROR(LayTable[[#This Row],[Faktisk res]]/LayTable[[#This Row],[Total inns]],"")</f>
        <v/>
      </c>
      <c r="Z598" s="47">
        <f>(LayTable[[#This Row],[BookieInnsats]]*LayTable[[#This Row],[BookieOdds]]-LayTable[[#This Row],[BookieInnsats]])*(1-LayTable[[#This Row],[C% Bookie]])</f>
        <v>0</v>
      </c>
      <c r="AA598" s="43">
        <f>LayTable[[#This Row],[LayInnsats]]*(1-LayTable[[#This Row],[C% Lay]])</f>
        <v>0</v>
      </c>
      <c r="AB598" s="43">
        <f>IFERROR(IF(LayTable[[#This Row],[Sport]]="",AB597,LayTable[[#This Row],[Faktisk res]]+AB597),"")</f>
        <v>4914.29</v>
      </c>
      <c r="AC598" s="43">
        <f>(LayTable[[#This Row],[BackWin-Commission]]+LayTable[[#This Row],[BookieInnsats]])</f>
        <v>0</v>
      </c>
      <c r="AD598" s="43" t="e">
        <f>(LayTable[[#This Row],[LayWin-Commission]])+LayTable[[#This Row],[LayLiability]]</f>
        <v>#VALUE!</v>
      </c>
      <c r="AE598" s="314"/>
      <c r="AF598" s="314"/>
    </row>
    <row r="599" spans="1:32">
      <c r="A599" s="84"/>
      <c r="B599" s="144"/>
      <c r="C599" s="40"/>
      <c r="D599" s="41"/>
      <c r="E599" s="40"/>
      <c r="F599" s="41"/>
      <c r="G599" s="183"/>
      <c r="H599" s="38"/>
      <c r="I599" s="42"/>
      <c r="J599" s="42"/>
      <c r="K599" s="43"/>
      <c r="L599" s="43"/>
      <c r="M599" s="44" t="str">
        <f>IF(LayTable[[#This Row],[Sport]]="","",LayTable[[#This Row],[LayInnsats]]*(LayTable[[#This Row],[LayOdds]]-1))</f>
        <v/>
      </c>
      <c r="N599" s="45" t="str">
        <f>IF(LayTable[[#This Row],[Sport]]="","",1/((1/LayTable[[#This Row],[BookieOdds]])+(1/((1/((1+((LayTable[[#This Row],[LayOdds]]-1)*(1+LayTable[[#This Row],[C% Lay]])))-1))+1)))-1)</f>
        <v/>
      </c>
      <c r="Q599" s="46" t="str">
        <f>IF(LayTable[[#This Row],[Sport]]="","",LayTable[[#This Row],[BookieInnsats]]+LayTable[[#This Row],[LayLiability]])</f>
        <v/>
      </c>
      <c r="R5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5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599" s="47" t="str">
        <f>IF(LayTable[[#This Row],[Utfall bookie]]="","",LayTable[[#This Row],[WBABack]]+LayTable[[#This Row],[WBALay]]-LayTable[[#This Row],[Total inns]])</f>
        <v/>
      </c>
      <c r="U5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5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599" s="48" t="str">
        <f>IFERROR(IF(LayTable[[#This Row],[Total inns]]="","",LayTable[[#This Row],[Rback]]/LayTable[[#This Row],[Total inns]]),"")</f>
        <v/>
      </c>
      <c r="X599" s="48" t="str">
        <f>IFERROR(IF(LayTable[[#This Row],[Total inns]]="","",LayTable[[#This Row],[Rlay]]/LayTable[[#This Row],[Total inns]]),"")</f>
        <v/>
      </c>
      <c r="Y599" s="48" t="str">
        <f>IFERROR(LayTable[[#This Row],[Faktisk res]]/LayTable[[#This Row],[Total inns]],"")</f>
        <v/>
      </c>
      <c r="Z599" s="47">
        <f>(LayTable[[#This Row],[BookieInnsats]]*LayTable[[#This Row],[BookieOdds]]-LayTable[[#This Row],[BookieInnsats]])*(1-LayTable[[#This Row],[C% Bookie]])</f>
        <v>0</v>
      </c>
      <c r="AA599" s="43">
        <f>LayTable[[#This Row],[LayInnsats]]*(1-LayTable[[#This Row],[C% Lay]])</f>
        <v>0</v>
      </c>
      <c r="AB599" s="43">
        <f>IFERROR(IF(LayTable[[#This Row],[Sport]]="",AB598,LayTable[[#This Row],[Faktisk res]]+AB598),"")</f>
        <v>4914.29</v>
      </c>
      <c r="AC599" s="43">
        <f>(LayTable[[#This Row],[BackWin-Commission]]+LayTable[[#This Row],[BookieInnsats]])</f>
        <v>0</v>
      </c>
      <c r="AD599" s="43" t="e">
        <f>(LayTable[[#This Row],[LayWin-Commission]])+LayTable[[#This Row],[LayLiability]]</f>
        <v>#VALUE!</v>
      </c>
      <c r="AE599" s="314"/>
      <c r="AF599" s="314"/>
    </row>
    <row r="600" spans="1:32">
      <c r="A600" s="84"/>
      <c r="B600" s="144"/>
      <c r="C600" s="40"/>
      <c r="D600" s="41"/>
      <c r="E600" s="40"/>
      <c r="F600" s="41"/>
      <c r="G600" s="183"/>
      <c r="H600" s="38"/>
      <c r="I600" s="42"/>
      <c r="J600" s="42"/>
      <c r="K600" s="43"/>
      <c r="L600" s="43"/>
      <c r="M600" s="44" t="str">
        <f>IF(LayTable[[#This Row],[Sport]]="","",LayTable[[#This Row],[LayInnsats]]*(LayTable[[#This Row],[LayOdds]]-1))</f>
        <v/>
      </c>
      <c r="N600" s="45" t="str">
        <f>IF(LayTable[[#This Row],[Sport]]="","",1/((1/LayTable[[#This Row],[BookieOdds]])+(1/((1/((1+((LayTable[[#This Row],[LayOdds]]-1)*(1+LayTable[[#This Row],[C% Lay]])))-1))+1)))-1)</f>
        <v/>
      </c>
      <c r="Q600" s="46" t="str">
        <f>IF(LayTable[[#This Row],[Sport]]="","",LayTable[[#This Row],[BookieInnsats]]+LayTable[[#This Row],[LayLiability]])</f>
        <v/>
      </c>
      <c r="R6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0" s="47" t="str">
        <f>IF(LayTable[[#This Row],[Utfall bookie]]="","",LayTable[[#This Row],[WBABack]]+LayTable[[#This Row],[WBALay]]-LayTable[[#This Row],[Total inns]])</f>
        <v/>
      </c>
      <c r="U6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0" s="48" t="str">
        <f>IFERROR(IF(LayTable[[#This Row],[Total inns]]="","",LayTable[[#This Row],[Rback]]/LayTable[[#This Row],[Total inns]]),"")</f>
        <v/>
      </c>
      <c r="X600" s="48" t="str">
        <f>IFERROR(IF(LayTable[[#This Row],[Total inns]]="","",LayTable[[#This Row],[Rlay]]/LayTable[[#This Row],[Total inns]]),"")</f>
        <v/>
      </c>
      <c r="Y600" s="48" t="str">
        <f>IFERROR(LayTable[[#This Row],[Faktisk res]]/LayTable[[#This Row],[Total inns]],"")</f>
        <v/>
      </c>
      <c r="Z600" s="47">
        <f>(LayTable[[#This Row],[BookieInnsats]]*LayTable[[#This Row],[BookieOdds]]-LayTable[[#This Row],[BookieInnsats]])*(1-LayTable[[#This Row],[C% Bookie]])</f>
        <v>0</v>
      </c>
      <c r="AA600" s="43">
        <f>LayTable[[#This Row],[LayInnsats]]*(1-LayTable[[#This Row],[C% Lay]])</f>
        <v>0</v>
      </c>
      <c r="AB600" s="43">
        <f>IFERROR(IF(LayTable[[#This Row],[Sport]]="",AB599,LayTable[[#This Row],[Faktisk res]]+AB599),"")</f>
        <v>4914.29</v>
      </c>
      <c r="AC600" s="43">
        <f>(LayTable[[#This Row],[BackWin-Commission]]+LayTable[[#This Row],[BookieInnsats]])</f>
        <v>0</v>
      </c>
      <c r="AD600" s="43" t="e">
        <f>(LayTable[[#This Row],[LayWin-Commission]])+LayTable[[#This Row],[LayLiability]]</f>
        <v>#VALUE!</v>
      </c>
      <c r="AE600" s="181"/>
      <c r="AF600" s="314"/>
    </row>
    <row r="601" spans="1:32">
      <c r="A601" s="84"/>
      <c r="B601" s="144"/>
      <c r="C601" s="40"/>
      <c r="D601" s="41"/>
      <c r="E601" s="40"/>
      <c r="F601" s="41"/>
      <c r="G601" s="183"/>
      <c r="H601" s="38"/>
      <c r="I601" s="42"/>
      <c r="J601" s="42"/>
      <c r="K601" s="43"/>
      <c r="L601" s="43"/>
      <c r="M601" s="44" t="str">
        <f>IF(LayTable[[#This Row],[Sport]]="","",LayTable[[#This Row],[LayInnsats]]*(LayTable[[#This Row],[LayOdds]]-1))</f>
        <v/>
      </c>
      <c r="N601" s="45" t="str">
        <f>IF(LayTable[[#This Row],[Sport]]="","",1/((1/LayTable[[#This Row],[BookieOdds]])+(1/((1/((1+((LayTable[[#This Row],[LayOdds]]-1)*(1+LayTable[[#This Row],[C% Lay]])))-1))+1)))-1)</f>
        <v/>
      </c>
      <c r="Q601" s="46" t="str">
        <f>IF(LayTable[[#This Row],[Sport]]="","",LayTable[[#This Row],[BookieInnsats]]+LayTable[[#This Row],[LayLiability]])</f>
        <v/>
      </c>
      <c r="R6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1" s="47" t="str">
        <f>IF(LayTable[[#This Row],[Utfall bookie]]="","",LayTable[[#This Row],[WBABack]]+LayTable[[#This Row],[WBALay]]-LayTable[[#This Row],[Total inns]])</f>
        <v/>
      </c>
      <c r="U6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1" s="48" t="str">
        <f>IFERROR(IF(LayTable[[#This Row],[Total inns]]="","",LayTable[[#This Row],[Rback]]/LayTable[[#This Row],[Total inns]]),"")</f>
        <v/>
      </c>
      <c r="X601" s="48" t="str">
        <f>IFERROR(IF(LayTable[[#This Row],[Total inns]]="","",LayTable[[#This Row],[Rlay]]/LayTable[[#This Row],[Total inns]]),"")</f>
        <v/>
      </c>
      <c r="Y601" s="48" t="str">
        <f>IFERROR(LayTable[[#This Row],[Faktisk res]]/LayTable[[#This Row],[Total inns]],"")</f>
        <v/>
      </c>
      <c r="Z601" s="47">
        <f>(LayTable[[#This Row],[BookieInnsats]]*LayTable[[#This Row],[BookieOdds]]-LayTable[[#This Row],[BookieInnsats]])*(1-LayTable[[#This Row],[C% Bookie]])</f>
        <v>0</v>
      </c>
      <c r="AA601" s="43">
        <f>LayTable[[#This Row],[LayInnsats]]*(1-LayTable[[#This Row],[C% Lay]])</f>
        <v>0</v>
      </c>
      <c r="AB601" s="43">
        <f>IFERROR(IF(LayTable[[#This Row],[Sport]]="",AB600,LayTable[[#This Row],[Faktisk res]]+AB600),"")</f>
        <v>4914.29</v>
      </c>
      <c r="AC601" s="43">
        <f>(LayTable[[#This Row],[BackWin-Commission]]+LayTable[[#This Row],[BookieInnsats]])</f>
        <v>0</v>
      </c>
      <c r="AD601" s="43" t="e">
        <f>(LayTable[[#This Row],[LayWin-Commission]])+LayTable[[#This Row],[LayLiability]]</f>
        <v>#VALUE!</v>
      </c>
      <c r="AE601" s="181"/>
      <c r="AF601" s="314"/>
    </row>
    <row r="602" spans="1:32">
      <c r="A602" s="84"/>
      <c r="B602" s="144"/>
      <c r="C602" s="40"/>
      <c r="D602" s="41"/>
      <c r="E602" s="40"/>
      <c r="F602" s="41"/>
      <c r="G602" s="183"/>
      <c r="H602" s="38"/>
      <c r="I602" s="42"/>
      <c r="J602" s="42"/>
      <c r="K602" s="43"/>
      <c r="L602" s="43"/>
      <c r="M602" s="44" t="str">
        <f>IF(LayTable[[#This Row],[Sport]]="","",LayTable[[#This Row],[LayInnsats]]*(LayTable[[#This Row],[LayOdds]]-1))</f>
        <v/>
      </c>
      <c r="N602" s="45" t="str">
        <f>IF(LayTable[[#This Row],[Sport]]="","",1/((1/LayTable[[#This Row],[BookieOdds]])+(1/((1/((1+((LayTable[[#This Row],[LayOdds]]-1)*(1+LayTable[[#This Row],[C% Lay]])))-1))+1)))-1)</f>
        <v/>
      </c>
      <c r="Q602" s="46" t="str">
        <f>IF(LayTable[[#This Row],[Sport]]="","",LayTable[[#This Row],[BookieInnsats]]+LayTable[[#This Row],[LayLiability]])</f>
        <v/>
      </c>
      <c r="R6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2" s="47" t="str">
        <f>IF(LayTable[[#This Row],[Utfall bookie]]="","",LayTable[[#This Row],[WBABack]]+LayTable[[#This Row],[WBALay]]-LayTable[[#This Row],[Total inns]])</f>
        <v/>
      </c>
      <c r="U6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2" s="48" t="str">
        <f>IFERROR(IF(LayTable[[#This Row],[Total inns]]="","",LayTable[[#This Row],[Rback]]/LayTable[[#This Row],[Total inns]]),"")</f>
        <v/>
      </c>
      <c r="X602" s="48" t="str">
        <f>IFERROR(IF(LayTable[[#This Row],[Total inns]]="","",LayTable[[#This Row],[Rlay]]/LayTable[[#This Row],[Total inns]]),"")</f>
        <v/>
      </c>
      <c r="Y602" s="48" t="str">
        <f>IFERROR(LayTable[[#This Row],[Faktisk res]]/LayTable[[#This Row],[Total inns]],"")</f>
        <v/>
      </c>
      <c r="Z602" s="47">
        <f>(LayTable[[#This Row],[BookieInnsats]]*LayTable[[#This Row],[BookieOdds]]-LayTable[[#This Row],[BookieInnsats]])*(1-LayTable[[#This Row],[C% Bookie]])</f>
        <v>0</v>
      </c>
      <c r="AA602" s="43">
        <f>LayTable[[#This Row],[LayInnsats]]*(1-LayTable[[#This Row],[C% Lay]])</f>
        <v>0</v>
      </c>
      <c r="AB602" s="43">
        <f>IFERROR(IF(LayTable[[#This Row],[Sport]]="",AB601,LayTable[[#This Row],[Faktisk res]]+AB601),"")</f>
        <v>4914.29</v>
      </c>
      <c r="AC602" s="43">
        <f>(LayTable[[#This Row],[BackWin-Commission]]+LayTable[[#This Row],[BookieInnsats]])</f>
        <v>0</v>
      </c>
      <c r="AD602" s="43" t="e">
        <f>(LayTable[[#This Row],[LayWin-Commission]])+LayTable[[#This Row],[LayLiability]]</f>
        <v>#VALUE!</v>
      </c>
      <c r="AE602" s="314"/>
      <c r="AF602" s="314"/>
    </row>
    <row r="603" spans="1:32">
      <c r="A603" s="84"/>
      <c r="B603" s="144"/>
      <c r="C603" s="40"/>
      <c r="D603" s="41"/>
      <c r="E603" s="40"/>
      <c r="F603" s="41"/>
      <c r="G603" s="183"/>
      <c r="H603" s="38"/>
      <c r="I603" s="42"/>
      <c r="J603" s="42"/>
      <c r="K603" s="43"/>
      <c r="L603" s="43"/>
      <c r="M603" s="44" t="str">
        <f>IF(LayTable[[#This Row],[Sport]]="","",LayTable[[#This Row],[LayInnsats]]*(LayTable[[#This Row],[LayOdds]]-1))</f>
        <v/>
      </c>
      <c r="N603" s="45" t="str">
        <f>IF(LayTable[[#This Row],[Sport]]="","",1/((1/LayTable[[#This Row],[BookieOdds]])+(1/((1/((1+((LayTable[[#This Row],[LayOdds]]-1)*(1+LayTable[[#This Row],[C% Lay]])))-1))+1)))-1)</f>
        <v/>
      </c>
      <c r="Q603" s="46" t="str">
        <f>IF(LayTable[[#This Row],[Sport]]="","",LayTable[[#This Row],[BookieInnsats]]+LayTable[[#This Row],[LayLiability]])</f>
        <v/>
      </c>
      <c r="R6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3" s="47" t="str">
        <f>IF(LayTable[[#This Row],[Utfall bookie]]="","",LayTable[[#This Row],[WBABack]]+LayTable[[#This Row],[WBALay]]-LayTable[[#This Row],[Total inns]])</f>
        <v/>
      </c>
      <c r="U6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3" s="48" t="str">
        <f>IFERROR(IF(LayTable[[#This Row],[Total inns]]="","",LayTable[[#This Row],[Rback]]/LayTable[[#This Row],[Total inns]]),"")</f>
        <v/>
      </c>
      <c r="X603" s="48" t="str">
        <f>IFERROR(IF(LayTable[[#This Row],[Total inns]]="","",LayTable[[#This Row],[Rlay]]/LayTable[[#This Row],[Total inns]]),"")</f>
        <v/>
      </c>
      <c r="Y603" s="48" t="str">
        <f>IFERROR(LayTable[[#This Row],[Faktisk res]]/LayTable[[#This Row],[Total inns]],"")</f>
        <v/>
      </c>
      <c r="Z603" s="47">
        <f>(LayTable[[#This Row],[BookieInnsats]]*LayTable[[#This Row],[BookieOdds]]-LayTable[[#This Row],[BookieInnsats]])*(1-LayTable[[#This Row],[C% Bookie]])</f>
        <v>0</v>
      </c>
      <c r="AA603" s="43">
        <f>LayTable[[#This Row],[LayInnsats]]*(1-LayTable[[#This Row],[C% Lay]])</f>
        <v>0</v>
      </c>
      <c r="AB603" s="43">
        <f>IFERROR(IF(LayTable[[#This Row],[Sport]]="",AB602,LayTable[[#This Row],[Faktisk res]]+AB602),"")</f>
        <v>4914.29</v>
      </c>
      <c r="AC603" s="43">
        <f>(LayTable[[#This Row],[BackWin-Commission]]+LayTable[[#This Row],[BookieInnsats]])</f>
        <v>0</v>
      </c>
      <c r="AD603" s="43" t="e">
        <f>(LayTable[[#This Row],[LayWin-Commission]])+LayTable[[#This Row],[LayLiability]]</f>
        <v>#VALUE!</v>
      </c>
      <c r="AE603" s="181"/>
      <c r="AF603" s="314"/>
    </row>
    <row r="604" spans="1:32">
      <c r="A604" s="84"/>
      <c r="B604" s="144"/>
      <c r="C604" s="40"/>
      <c r="D604" s="41"/>
      <c r="E604" s="40"/>
      <c r="F604" s="41"/>
      <c r="G604" s="183"/>
      <c r="H604" s="38"/>
      <c r="I604" s="42"/>
      <c r="J604" s="42"/>
      <c r="K604" s="43"/>
      <c r="L604" s="43"/>
      <c r="M604" s="44" t="str">
        <f>IF(LayTable[[#This Row],[Sport]]="","",LayTable[[#This Row],[LayInnsats]]*(LayTable[[#This Row],[LayOdds]]-1))</f>
        <v/>
      </c>
      <c r="N604" s="45" t="str">
        <f>IF(LayTable[[#This Row],[Sport]]="","",1/((1/LayTable[[#This Row],[BookieOdds]])+(1/((1/((1+((LayTable[[#This Row],[LayOdds]]-1)*(1+LayTable[[#This Row],[C% Lay]])))-1))+1)))-1)</f>
        <v/>
      </c>
      <c r="Q604" s="46" t="str">
        <f>IF(LayTable[[#This Row],[Sport]]="","",LayTable[[#This Row],[BookieInnsats]]+LayTable[[#This Row],[LayLiability]])</f>
        <v/>
      </c>
      <c r="R6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4" s="47" t="str">
        <f>IF(LayTable[[#This Row],[Utfall bookie]]="","",LayTable[[#This Row],[WBABack]]+LayTable[[#This Row],[WBALay]]-LayTable[[#This Row],[Total inns]])</f>
        <v/>
      </c>
      <c r="U6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4" s="48" t="str">
        <f>IFERROR(IF(LayTable[[#This Row],[Total inns]]="","",LayTable[[#This Row],[Rback]]/LayTable[[#This Row],[Total inns]]),"")</f>
        <v/>
      </c>
      <c r="X604" s="48" t="str">
        <f>IFERROR(IF(LayTable[[#This Row],[Total inns]]="","",LayTable[[#This Row],[Rlay]]/LayTable[[#This Row],[Total inns]]),"")</f>
        <v/>
      </c>
      <c r="Y604" s="48" t="str">
        <f>IFERROR(LayTable[[#This Row],[Faktisk res]]/LayTable[[#This Row],[Total inns]],"")</f>
        <v/>
      </c>
      <c r="Z604" s="47">
        <f>(LayTable[[#This Row],[BookieInnsats]]*LayTable[[#This Row],[BookieOdds]]-LayTable[[#This Row],[BookieInnsats]])*(1-LayTable[[#This Row],[C% Bookie]])</f>
        <v>0</v>
      </c>
      <c r="AA604" s="43">
        <f>LayTable[[#This Row],[LayInnsats]]*(1-LayTable[[#This Row],[C% Lay]])</f>
        <v>0</v>
      </c>
      <c r="AB604" s="43">
        <f>IFERROR(IF(LayTable[[#This Row],[Sport]]="",AB603,LayTable[[#This Row],[Faktisk res]]+AB603),"")</f>
        <v>4914.29</v>
      </c>
      <c r="AC604" s="43">
        <f>(LayTable[[#This Row],[BackWin-Commission]]+LayTable[[#This Row],[BookieInnsats]])</f>
        <v>0</v>
      </c>
      <c r="AD604" s="43" t="e">
        <f>(LayTable[[#This Row],[LayWin-Commission]])+LayTable[[#This Row],[LayLiability]]</f>
        <v>#VALUE!</v>
      </c>
      <c r="AE604" s="314"/>
      <c r="AF604" s="314"/>
    </row>
    <row r="605" spans="1:32">
      <c r="A605" s="84"/>
      <c r="B605" s="144"/>
      <c r="C605" s="40"/>
      <c r="D605" s="41"/>
      <c r="E605" s="40"/>
      <c r="F605" s="41"/>
      <c r="G605" s="183"/>
      <c r="H605" s="38"/>
      <c r="I605" s="42"/>
      <c r="J605" s="42"/>
      <c r="K605" s="43"/>
      <c r="L605" s="43"/>
      <c r="M605" s="44" t="str">
        <f>IF(LayTable[[#This Row],[Sport]]="","",LayTable[[#This Row],[LayInnsats]]*(LayTable[[#This Row],[LayOdds]]-1))</f>
        <v/>
      </c>
      <c r="N605" s="45" t="str">
        <f>IF(LayTable[[#This Row],[Sport]]="","",1/((1/LayTable[[#This Row],[BookieOdds]])+(1/((1/((1+((LayTable[[#This Row],[LayOdds]]-1)*(1+LayTable[[#This Row],[C% Lay]])))-1))+1)))-1)</f>
        <v/>
      </c>
      <c r="Q605" s="46" t="str">
        <f>IF(LayTable[[#This Row],[Sport]]="","",LayTable[[#This Row],[BookieInnsats]]+LayTable[[#This Row],[LayLiability]])</f>
        <v/>
      </c>
      <c r="R6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5" s="47" t="str">
        <f>IF(LayTable[[#This Row],[Utfall bookie]]="","",LayTable[[#This Row],[WBABack]]+LayTable[[#This Row],[WBALay]]-LayTable[[#This Row],[Total inns]])</f>
        <v/>
      </c>
      <c r="U6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5" s="48" t="str">
        <f>IFERROR(IF(LayTable[[#This Row],[Total inns]]="","",LayTable[[#This Row],[Rback]]/LayTable[[#This Row],[Total inns]]),"")</f>
        <v/>
      </c>
      <c r="X605" s="48" t="str">
        <f>IFERROR(IF(LayTable[[#This Row],[Total inns]]="","",LayTable[[#This Row],[Rlay]]/LayTable[[#This Row],[Total inns]]),"")</f>
        <v/>
      </c>
      <c r="Y605" s="48" t="str">
        <f>IFERROR(LayTable[[#This Row],[Faktisk res]]/LayTable[[#This Row],[Total inns]],"")</f>
        <v/>
      </c>
      <c r="Z605" s="47">
        <f>(LayTable[[#This Row],[BookieInnsats]]*LayTable[[#This Row],[BookieOdds]]-LayTable[[#This Row],[BookieInnsats]])*(1-LayTable[[#This Row],[C% Bookie]])</f>
        <v>0</v>
      </c>
      <c r="AA605" s="43">
        <f>LayTable[[#This Row],[LayInnsats]]*(1-LayTable[[#This Row],[C% Lay]])</f>
        <v>0</v>
      </c>
      <c r="AB605" s="43">
        <f>IFERROR(IF(LayTable[[#This Row],[Sport]]="",AB604,LayTable[[#This Row],[Faktisk res]]+AB604),"")</f>
        <v>4914.29</v>
      </c>
      <c r="AC605" s="43">
        <f>(LayTable[[#This Row],[BackWin-Commission]]+LayTable[[#This Row],[BookieInnsats]])</f>
        <v>0</v>
      </c>
      <c r="AD605" s="43" t="e">
        <f>(LayTable[[#This Row],[LayWin-Commission]])+LayTable[[#This Row],[LayLiability]]</f>
        <v>#VALUE!</v>
      </c>
      <c r="AE605" s="314"/>
      <c r="AF605" s="314"/>
    </row>
    <row r="606" spans="1:32">
      <c r="A606" s="84"/>
      <c r="B606" s="144"/>
      <c r="C606" s="40"/>
      <c r="D606" s="41"/>
      <c r="E606" s="40"/>
      <c r="F606" s="41"/>
      <c r="G606" s="183"/>
      <c r="H606" s="38"/>
      <c r="I606" s="42"/>
      <c r="J606" s="42"/>
      <c r="K606" s="43"/>
      <c r="L606" s="43"/>
      <c r="M606" s="44" t="str">
        <f>IF(LayTable[[#This Row],[Sport]]="","",LayTable[[#This Row],[LayInnsats]]*(LayTable[[#This Row],[LayOdds]]-1))</f>
        <v/>
      </c>
      <c r="N606" s="45" t="str">
        <f>IF(LayTable[[#This Row],[Sport]]="","",1/((1/LayTable[[#This Row],[BookieOdds]])+(1/((1/((1+((LayTable[[#This Row],[LayOdds]]-1)*(1+LayTable[[#This Row],[C% Lay]])))-1))+1)))-1)</f>
        <v/>
      </c>
      <c r="Q606" s="46" t="str">
        <f>IF(LayTable[[#This Row],[Sport]]="","",LayTable[[#This Row],[BookieInnsats]]+LayTable[[#This Row],[LayLiability]])</f>
        <v/>
      </c>
      <c r="R6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6" s="47" t="str">
        <f>IF(LayTable[[#This Row],[Utfall bookie]]="","",LayTable[[#This Row],[WBABack]]+LayTable[[#This Row],[WBALay]]-LayTable[[#This Row],[Total inns]])</f>
        <v/>
      </c>
      <c r="U6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6" s="48" t="str">
        <f>IFERROR(IF(LayTable[[#This Row],[Total inns]]="","",LayTable[[#This Row],[Rback]]/LayTable[[#This Row],[Total inns]]),"")</f>
        <v/>
      </c>
      <c r="X606" s="48" t="str">
        <f>IFERROR(IF(LayTable[[#This Row],[Total inns]]="","",LayTable[[#This Row],[Rlay]]/LayTable[[#This Row],[Total inns]]),"")</f>
        <v/>
      </c>
      <c r="Y606" s="48" t="str">
        <f>IFERROR(LayTable[[#This Row],[Faktisk res]]/LayTable[[#This Row],[Total inns]],"")</f>
        <v/>
      </c>
      <c r="Z606" s="47">
        <f>(LayTable[[#This Row],[BookieInnsats]]*LayTable[[#This Row],[BookieOdds]]-LayTable[[#This Row],[BookieInnsats]])*(1-LayTable[[#This Row],[C% Bookie]])</f>
        <v>0</v>
      </c>
      <c r="AA606" s="43">
        <f>LayTable[[#This Row],[LayInnsats]]*(1-LayTable[[#This Row],[C% Lay]])</f>
        <v>0</v>
      </c>
      <c r="AB606" s="43">
        <f>IFERROR(IF(LayTable[[#This Row],[Sport]]="",AB605,LayTable[[#This Row],[Faktisk res]]+AB605),"")</f>
        <v>4914.29</v>
      </c>
      <c r="AC606" s="43">
        <f>(LayTable[[#This Row],[BackWin-Commission]]+LayTable[[#This Row],[BookieInnsats]])</f>
        <v>0</v>
      </c>
      <c r="AD606" s="43" t="e">
        <f>(LayTable[[#This Row],[LayWin-Commission]])+LayTable[[#This Row],[LayLiability]]</f>
        <v>#VALUE!</v>
      </c>
      <c r="AE606" s="43"/>
      <c r="AF606" s="181"/>
    </row>
    <row r="607" spans="1:32">
      <c r="A607" s="84"/>
      <c r="B607" s="144"/>
      <c r="C607" s="40"/>
      <c r="D607" s="41"/>
      <c r="E607" s="40"/>
      <c r="F607" s="41"/>
      <c r="G607" s="183"/>
      <c r="H607" s="38"/>
      <c r="I607" s="42"/>
      <c r="J607" s="42"/>
      <c r="K607" s="43"/>
      <c r="L607" s="43"/>
      <c r="M607" s="44" t="str">
        <f>IF(LayTable[[#This Row],[Sport]]="","",LayTable[[#This Row],[LayInnsats]]*(LayTable[[#This Row],[LayOdds]]-1))</f>
        <v/>
      </c>
      <c r="N607" s="45" t="str">
        <f>IF(LayTable[[#This Row],[Sport]]="","",1/((1/LayTable[[#This Row],[BookieOdds]])+(1/((1/((1+((LayTable[[#This Row],[LayOdds]]-1)*(1+LayTable[[#This Row],[C% Lay]])))-1))+1)))-1)</f>
        <v/>
      </c>
      <c r="Q607" s="46" t="str">
        <f>IF(LayTable[[#This Row],[Sport]]="","",LayTable[[#This Row],[BookieInnsats]]+LayTable[[#This Row],[LayLiability]])</f>
        <v/>
      </c>
      <c r="R6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7" s="47" t="str">
        <f>IF(LayTable[[#This Row],[Utfall bookie]]="","",LayTable[[#This Row],[WBABack]]+LayTable[[#This Row],[WBALay]]-LayTable[[#This Row],[Total inns]])</f>
        <v/>
      </c>
      <c r="U6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7" s="48" t="str">
        <f>IFERROR(IF(LayTable[[#This Row],[Total inns]]="","",LayTable[[#This Row],[Rback]]/LayTable[[#This Row],[Total inns]]),"")</f>
        <v/>
      </c>
      <c r="X607" s="48" t="str">
        <f>IFERROR(IF(LayTable[[#This Row],[Total inns]]="","",LayTable[[#This Row],[Rlay]]/LayTable[[#This Row],[Total inns]]),"")</f>
        <v/>
      </c>
      <c r="Y607" s="48" t="str">
        <f>IFERROR(LayTable[[#This Row],[Faktisk res]]/LayTable[[#This Row],[Total inns]],"")</f>
        <v/>
      </c>
      <c r="Z607" s="47">
        <f>(LayTable[[#This Row],[BookieInnsats]]*LayTable[[#This Row],[BookieOdds]]-LayTable[[#This Row],[BookieInnsats]])*(1-LayTable[[#This Row],[C% Bookie]])</f>
        <v>0</v>
      </c>
      <c r="AA607" s="43">
        <f>LayTable[[#This Row],[LayInnsats]]*(1-LayTable[[#This Row],[C% Lay]])</f>
        <v>0</v>
      </c>
      <c r="AB607" s="43">
        <f>IFERROR(IF(LayTable[[#This Row],[Sport]]="",AB606,LayTable[[#This Row],[Faktisk res]]+AB606),"")</f>
        <v>4914.29</v>
      </c>
      <c r="AC607" s="43">
        <f>(LayTable[[#This Row],[BackWin-Commission]]+LayTable[[#This Row],[BookieInnsats]])</f>
        <v>0</v>
      </c>
      <c r="AD607" s="43" t="e">
        <f>(LayTable[[#This Row],[LayWin-Commission]])+LayTable[[#This Row],[LayLiability]]</f>
        <v>#VALUE!</v>
      </c>
      <c r="AE607" s="181"/>
      <c r="AF607" s="181"/>
    </row>
    <row r="608" spans="1:32">
      <c r="A608" s="84"/>
      <c r="B608" s="144"/>
      <c r="C608" s="40"/>
      <c r="D608" s="41"/>
      <c r="E608" s="40"/>
      <c r="F608" s="41"/>
      <c r="G608" s="183"/>
      <c r="H608" s="38"/>
      <c r="I608" s="42"/>
      <c r="J608" s="42"/>
      <c r="K608" s="43"/>
      <c r="L608" s="43"/>
      <c r="M608" s="44" t="str">
        <f>IF(LayTable[[#This Row],[Sport]]="","",LayTable[[#This Row],[LayInnsats]]*(LayTable[[#This Row],[LayOdds]]-1))</f>
        <v/>
      </c>
      <c r="N608" s="45" t="str">
        <f>IF(LayTable[[#This Row],[Sport]]="","",1/((1/LayTable[[#This Row],[BookieOdds]])+(1/((1/((1+((LayTable[[#This Row],[LayOdds]]-1)*(1+LayTable[[#This Row],[C% Lay]])))-1))+1)))-1)</f>
        <v/>
      </c>
      <c r="Q608" s="46" t="str">
        <f>IF(LayTable[[#This Row],[Sport]]="","",LayTable[[#This Row],[BookieInnsats]]+LayTable[[#This Row],[LayLiability]])</f>
        <v/>
      </c>
      <c r="R6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8" s="47" t="str">
        <f>IF(LayTable[[#This Row],[Utfall bookie]]="","",LayTable[[#This Row],[WBABack]]+LayTable[[#This Row],[WBALay]]-LayTable[[#This Row],[Total inns]])</f>
        <v/>
      </c>
      <c r="U6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8" s="48" t="str">
        <f>IFERROR(IF(LayTable[[#This Row],[Total inns]]="","",LayTable[[#This Row],[Rback]]/LayTable[[#This Row],[Total inns]]),"")</f>
        <v/>
      </c>
      <c r="X608" s="48" t="str">
        <f>IFERROR(IF(LayTable[[#This Row],[Total inns]]="","",LayTable[[#This Row],[Rlay]]/LayTable[[#This Row],[Total inns]]),"")</f>
        <v/>
      </c>
      <c r="Y608" s="48" t="str">
        <f>IFERROR(LayTable[[#This Row],[Faktisk res]]/LayTable[[#This Row],[Total inns]],"")</f>
        <v/>
      </c>
      <c r="Z608" s="47">
        <f>(LayTable[[#This Row],[BookieInnsats]]*LayTable[[#This Row],[BookieOdds]]-LayTable[[#This Row],[BookieInnsats]])*(1-LayTable[[#This Row],[C% Bookie]])</f>
        <v>0</v>
      </c>
      <c r="AA608" s="43">
        <f>LayTable[[#This Row],[LayInnsats]]*(1-LayTable[[#This Row],[C% Lay]])</f>
        <v>0</v>
      </c>
      <c r="AB608" s="43">
        <f>IFERROR(IF(LayTable[[#This Row],[Sport]]="",AB607,LayTable[[#This Row],[Faktisk res]]+AB607),"")</f>
        <v>4914.29</v>
      </c>
      <c r="AC608" s="43">
        <f>(LayTable[[#This Row],[BackWin-Commission]]+LayTable[[#This Row],[BookieInnsats]])</f>
        <v>0</v>
      </c>
      <c r="AD608" s="43" t="e">
        <f>(LayTable[[#This Row],[LayWin-Commission]])+LayTable[[#This Row],[LayLiability]]</f>
        <v>#VALUE!</v>
      </c>
      <c r="AE608" s="314"/>
      <c r="AF608" s="181"/>
    </row>
    <row r="609" spans="1:32">
      <c r="A609" s="84"/>
      <c r="B609" s="144"/>
      <c r="C609" s="40"/>
      <c r="D609" s="41"/>
      <c r="E609" s="40"/>
      <c r="F609" s="41"/>
      <c r="G609" s="183"/>
      <c r="H609" s="38"/>
      <c r="I609" s="42"/>
      <c r="J609" s="42"/>
      <c r="K609" s="43"/>
      <c r="L609" s="43"/>
      <c r="M609" s="44" t="str">
        <f>IF(LayTable[[#This Row],[Sport]]="","",LayTable[[#This Row],[LayInnsats]]*(LayTable[[#This Row],[LayOdds]]-1))</f>
        <v/>
      </c>
      <c r="N609" s="45" t="str">
        <f>IF(LayTable[[#This Row],[Sport]]="","",1/((1/LayTable[[#This Row],[BookieOdds]])+(1/((1/((1+((LayTable[[#This Row],[LayOdds]]-1)*(1+LayTable[[#This Row],[C% Lay]])))-1))+1)))-1)</f>
        <v/>
      </c>
      <c r="Q609" s="46" t="str">
        <f>IF(LayTable[[#This Row],[Sport]]="","",LayTable[[#This Row],[BookieInnsats]]+LayTable[[#This Row],[LayLiability]])</f>
        <v/>
      </c>
      <c r="R6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09" s="47" t="str">
        <f>IF(LayTable[[#This Row],[Utfall bookie]]="","",LayTable[[#This Row],[WBABack]]+LayTable[[#This Row],[WBALay]]-LayTable[[#This Row],[Total inns]])</f>
        <v/>
      </c>
      <c r="U6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09" s="48" t="str">
        <f>IFERROR(IF(LayTable[[#This Row],[Total inns]]="","",LayTable[[#This Row],[Rback]]/LayTable[[#This Row],[Total inns]]),"")</f>
        <v/>
      </c>
      <c r="X609" s="48" t="str">
        <f>IFERROR(IF(LayTable[[#This Row],[Total inns]]="","",LayTable[[#This Row],[Rlay]]/LayTable[[#This Row],[Total inns]]),"")</f>
        <v/>
      </c>
      <c r="Y609" s="48" t="str">
        <f>IFERROR(LayTable[[#This Row],[Faktisk res]]/LayTable[[#This Row],[Total inns]],"")</f>
        <v/>
      </c>
      <c r="Z609" s="47">
        <f>(LayTable[[#This Row],[BookieInnsats]]*LayTable[[#This Row],[BookieOdds]]-LayTable[[#This Row],[BookieInnsats]])*(1-LayTable[[#This Row],[C% Bookie]])</f>
        <v>0</v>
      </c>
      <c r="AA609" s="43">
        <f>LayTable[[#This Row],[LayInnsats]]*(1-LayTable[[#This Row],[C% Lay]])</f>
        <v>0</v>
      </c>
      <c r="AB609" s="43">
        <f>IFERROR(IF(LayTable[[#This Row],[Sport]]="",AB608,LayTable[[#This Row],[Faktisk res]]+AB608),"")</f>
        <v>4914.29</v>
      </c>
      <c r="AC609" s="43">
        <f>(LayTable[[#This Row],[BackWin-Commission]]+LayTable[[#This Row],[BookieInnsats]])</f>
        <v>0</v>
      </c>
      <c r="AD609" s="43" t="e">
        <f>(LayTable[[#This Row],[LayWin-Commission]])+LayTable[[#This Row],[LayLiability]]</f>
        <v>#VALUE!</v>
      </c>
      <c r="AE609" s="314"/>
      <c r="AF609" s="181"/>
    </row>
    <row r="610" spans="1:32">
      <c r="A610" s="84"/>
      <c r="B610" s="144"/>
      <c r="C610" s="40"/>
      <c r="D610" s="41"/>
      <c r="E610" s="40"/>
      <c r="F610" s="41"/>
      <c r="G610" s="183"/>
      <c r="H610" s="38"/>
      <c r="I610" s="42"/>
      <c r="J610" s="42"/>
      <c r="K610" s="43"/>
      <c r="L610" s="43"/>
      <c r="M610" s="44" t="str">
        <f>IF(LayTable[[#This Row],[Sport]]="","",LayTable[[#This Row],[LayInnsats]]*(LayTable[[#This Row],[LayOdds]]-1))</f>
        <v/>
      </c>
      <c r="N610" s="45" t="str">
        <f>IF(LayTable[[#This Row],[Sport]]="","",1/((1/LayTable[[#This Row],[BookieOdds]])+(1/((1/((1+((LayTable[[#This Row],[LayOdds]]-1)*(1+LayTable[[#This Row],[C% Lay]])))-1))+1)))-1)</f>
        <v/>
      </c>
      <c r="Q610" s="46" t="str">
        <f>IF(LayTable[[#This Row],[Sport]]="","",LayTable[[#This Row],[BookieInnsats]]+LayTable[[#This Row],[LayLiability]])</f>
        <v/>
      </c>
      <c r="R6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0" s="47" t="str">
        <f>IF(LayTable[[#This Row],[Utfall bookie]]="","",LayTable[[#This Row],[WBABack]]+LayTable[[#This Row],[WBALay]]-LayTable[[#This Row],[Total inns]])</f>
        <v/>
      </c>
      <c r="U6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0" s="48" t="str">
        <f>IFERROR(IF(LayTable[[#This Row],[Total inns]]="","",LayTable[[#This Row],[Rback]]/LayTable[[#This Row],[Total inns]]),"")</f>
        <v/>
      </c>
      <c r="X610" s="48" t="str">
        <f>IFERROR(IF(LayTable[[#This Row],[Total inns]]="","",LayTable[[#This Row],[Rlay]]/LayTable[[#This Row],[Total inns]]),"")</f>
        <v/>
      </c>
      <c r="Y610" s="48" t="str">
        <f>IFERROR(LayTable[[#This Row],[Faktisk res]]/LayTable[[#This Row],[Total inns]],"")</f>
        <v/>
      </c>
      <c r="Z610" s="47">
        <f>(LayTable[[#This Row],[BookieInnsats]]*LayTable[[#This Row],[BookieOdds]]-LayTable[[#This Row],[BookieInnsats]])*(1-LayTable[[#This Row],[C% Bookie]])</f>
        <v>0</v>
      </c>
      <c r="AA610" s="43">
        <f>LayTable[[#This Row],[LayInnsats]]*(1-LayTable[[#This Row],[C% Lay]])</f>
        <v>0</v>
      </c>
      <c r="AB610" s="43">
        <f>IFERROR(IF(LayTable[[#This Row],[Sport]]="",AB609,LayTable[[#This Row],[Faktisk res]]+AB609),"")</f>
        <v>4914.29</v>
      </c>
      <c r="AC610" s="43">
        <f>(LayTable[[#This Row],[BackWin-Commission]]+LayTable[[#This Row],[BookieInnsats]])</f>
        <v>0</v>
      </c>
      <c r="AD610" s="43" t="e">
        <f>(LayTable[[#This Row],[LayWin-Commission]])+LayTable[[#This Row],[LayLiability]]</f>
        <v>#VALUE!</v>
      </c>
      <c r="AE610" s="181"/>
      <c r="AF610" s="181"/>
    </row>
    <row r="611" spans="1:32">
      <c r="A611" s="84"/>
      <c r="B611" s="144"/>
      <c r="C611" s="40"/>
      <c r="D611" s="41"/>
      <c r="E611" s="40"/>
      <c r="F611" s="41"/>
      <c r="G611" s="183"/>
      <c r="H611" s="38"/>
      <c r="I611" s="42"/>
      <c r="J611" s="42"/>
      <c r="K611" s="43"/>
      <c r="L611" s="43"/>
      <c r="M611" s="44" t="str">
        <f>IF(LayTable[[#This Row],[Sport]]="","",LayTable[[#This Row],[LayInnsats]]*(LayTable[[#This Row],[LayOdds]]-1))</f>
        <v/>
      </c>
      <c r="N611" s="45" t="str">
        <f>IF(LayTable[[#This Row],[Sport]]="","",1/((1/LayTable[[#This Row],[BookieOdds]])+(1/((1/((1+((LayTable[[#This Row],[LayOdds]]-1)*(1+LayTable[[#This Row],[C% Lay]])))-1))+1)))-1)</f>
        <v/>
      </c>
      <c r="Q611" s="46" t="str">
        <f>IF(LayTable[[#This Row],[Sport]]="","",LayTable[[#This Row],[BookieInnsats]]+LayTable[[#This Row],[LayLiability]])</f>
        <v/>
      </c>
      <c r="R6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1" s="47" t="str">
        <f>IF(LayTable[[#This Row],[Utfall bookie]]="","",LayTable[[#This Row],[WBABack]]+LayTable[[#This Row],[WBALay]]-LayTable[[#This Row],[Total inns]])</f>
        <v/>
      </c>
      <c r="U6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1" s="48" t="str">
        <f>IFERROR(IF(LayTable[[#This Row],[Total inns]]="","",LayTable[[#This Row],[Rback]]/LayTable[[#This Row],[Total inns]]),"")</f>
        <v/>
      </c>
      <c r="X611" s="48" t="str">
        <f>IFERROR(IF(LayTable[[#This Row],[Total inns]]="","",LayTable[[#This Row],[Rlay]]/LayTable[[#This Row],[Total inns]]),"")</f>
        <v/>
      </c>
      <c r="Y611" s="48" t="str">
        <f>IFERROR(LayTable[[#This Row],[Faktisk res]]/LayTable[[#This Row],[Total inns]],"")</f>
        <v/>
      </c>
      <c r="Z611" s="47">
        <f>(LayTable[[#This Row],[BookieInnsats]]*LayTable[[#This Row],[BookieOdds]]-LayTable[[#This Row],[BookieInnsats]])*(1-LayTable[[#This Row],[C% Bookie]])</f>
        <v>0</v>
      </c>
      <c r="AA611" s="43">
        <f>LayTable[[#This Row],[LayInnsats]]*(1-LayTable[[#This Row],[C% Lay]])</f>
        <v>0</v>
      </c>
      <c r="AB611" s="43">
        <f>IFERROR(IF(LayTable[[#This Row],[Sport]]="",AB610,LayTable[[#This Row],[Faktisk res]]+AB610),"")</f>
        <v>4914.29</v>
      </c>
      <c r="AC611" s="43">
        <f>(LayTable[[#This Row],[BackWin-Commission]]+LayTable[[#This Row],[BookieInnsats]])</f>
        <v>0</v>
      </c>
      <c r="AD611" s="43" t="e">
        <f>(LayTable[[#This Row],[LayWin-Commission]])+LayTable[[#This Row],[LayLiability]]</f>
        <v>#VALUE!</v>
      </c>
      <c r="AE611" s="181"/>
      <c r="AF611" s="181"/>
    </row>
    <row r="612" spans="1:32">
      <c r="A612" s="183"/>
      <c r="B612" s="144"/>
      <c r="C612" s="40"/>
      <c r="D612" s="41"/>
      <c r="E612" s="178"/>
      <c r="F612" s="251"/>
      <c r="G612" s="183"/>
      <c r="H612" s="176"/>
      <c r="I612" s="180"/>
      <c r="J612" s="180"/>
      <c r="K612" s="181"/>
      <c r="L612" s="43"/>
      <c r="M612" s="44" t="str">
        <f>IF(LayTable[[#This Row],[Sport]]="","",LayTable[[#This Row],[LayInnsats]]*(LayTable[[#This Row],[LayOdds]]-1))</f>
        <v/>
      </c>
      <c r="N612" s="45" t="str">
        <f>IF(LayTable[[#This Row],[Sport]]="","",1/((1/LayTable[[#This Row],[BookieOdds]])+(1/((1/((1+((LayTable[[#This Row],[LayOdds]]-1)*(1+LayTable[[#This Row],[C% Lay]])))-1))+1)))-1)</f>
        <v/>
      </c>
      <c r="Q612" s="46" t="str">
        <f>IF(LayTable[[#This Row],[Sport]]="","",LayTable[[#This Row],[BookieInnsats]]+LayTable[[#This Row],[LayLiability]])</f>
        <v/>
      </c>
      <c r="R6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2" s="47" t="str">
        <f>IF(LayTable[[#This Row],[Utfall bookie]]="","",LayTable[[#This Row],[WBABack]]+LayTable[[#This Row],[WBALay]]-LayTable[[#This Row],[Total inns]])</f>
        <v/>
      </c>
      <c r="U6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2" s="48" t="str">
        <f>IFERROR(IF(LayTable[[#This Row],[Total inns]]="","",LayTable[[#This Row],[Rback]]/LayTable[[#This Row],[Total inns]]),"")</f>
        <v/>
      </c>
      <c r="X612" s="48" t="str">
        <f>IFERROR(IF(LayTable[[#This Row],[Total inns]]="","",LayTable[[#This Row],[Rlay]]/LayTable[[#This Row],[Total inns]]),"")</f>
        <v/>
      </c>
      <c r="Y612" s="48" t="str">
        <f>IFERROR(LayTable[[#This Row],[Faktisk res]]/LayTable[[#This Row],[Total inns]],"")</f>
        <v/>
      </c>
      <c r="Z612" s="47">
        <f>(LayTable[[#This Row],[BookieInnsats]]*LayTable[[#This Row],[BookieOdds]]-LayTable[[#This Row],[BookieInnsats]])*(1-LayTable[[#This Row],[C% Bookie]])</f>
        <v>0</v>
      </c>
      <c r="AA612" s="43">
        <f>LayTable[[#This Row],[LayInnsats]]*(1-LayTable[[#This Row],[C% Lay]])</f>
        <v>0</v>
      </c>
      <c r="AB612" s="43">
        <f>IFERROR(IF(LayTable[[#This Row],[Sport]]="",AB611,LayTable[[#This Row],[Faktisk res]]+AB611),"")</f>
        <v>4914.29</v>
      </c>
      <c r="AC612" s="43">
        <f>(LayTable[[#This Row],[BackWin-Commission]]+LayTable[[#This Row],[BookieInnsats]])</f>
        <v>0</v>
      </c>
      <c r="AD612" s="43" t="e">
        <f>(LayTable[[#This Row],[LayWin-Commission]])+LayTable[[#This Row],[LayLiability]]</f>
        <v>#VALUE!</v>
      </c>
      <c r="AE612" s="181"/>
      <c r="AF612" s="309"/>
    </row>
    <row r="613" spans="1:32">
      <c r="A613" s="84"/>
      <c r="B613" s="144"/>
      <c r="C613" s="40"/>
      <c r="D613" s="41"/>
      <c r="E613" s="40"/>
      <c r="F613" s="41"/>
      <c r="G613" s="183"/>
      <c r="H613" s="38"/>
      <c r="I613" s="42"/>
      <c r="J613" s="42"/>
      <c r="K613" s="43"/>
      <c r="L613" s="43"/>
      <c r="M613" s="44" t="str">
        <f>IF(LayTable[[#This Row],[Sport]]="","",LayTable[[#This Row],[LayInnsats]]*(LayTable[[#This Row],[LayOdds]]-1))</f>
        <v/>
      </c>
      <c r="N613" s="45" t="str">
        <f>IF(LayTable[[#This Row],[Sport]]="","",1/((1/LayTable[[#This Row],[BookieOdds]])+(1/((1/((1+((LayTable[[#This Row],[LayOdds]]-1)*(1+LayTable[[#This Row],[C% Lay]])))-1))+1)))-1)</f>
        <v/>
      </c>
      <c r="Q613" s="46" t="str">
        <f>IF(LayTable[[#This Row],[Sport]]="","",LayTable[[#This Row],[BookieInnsats]]+LayTable[[#This Row],[LayLiability]])</f>
        <v/>
      </c>
      <c r="R6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3" s="47" t="str">
        <f>IF(LayTable[[#This Row],[Utfall bookie]]="","",LayTable[[#This Row],[WBABack]]+LayTable[[#This Row],[WBALay]]-LayTable[[#This Row],[Total inns]])</f>
        <v/>
      </c>
      <c r="U6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3" s="48" t="str">
        <f>IFERROR(IF(LayTable[[#This Row],[Total inns]]="","",LayTable[[#This Row],[Rback]]/LayTable[[#This Row],[Total inns]]),"")</f>
        <v/>
      </c>
      <c r="X613" s="48" t="str">
        <f>IFERROR(IF(LayTable[[#This Row],[Total inns]]="","",LayTable[[#This Row],[Rlay]]/LayTable[[#This Row],[Total inns]]),"")</f>
        <v/>
      </c>
      <c r="Y613" s="48" t="str">
        <f>IFERROR(LayTable[[#This Row],[Faktisk res]]/LayTable[[#This Row],[Total inns]],"")</f>
        <v/>
      </c>
      <c r="Z613" s="47">
        <f>(LayTable[[#This Row],[BookieInnsats]]*LayTable[[#This Row],[BookieOdds]]-LayTable[[#This Row],[BookieInnsats]])*(1-LayTable[[#This Row],[C% Bookie]])</f>
        <v>0</v>
      </c>
      <c r="AA613" s="43">
        <f>LayTable[[#This Row],[LayInnsats]]*(1-LayTable[[#This Row],[C% Lay]])</f>
        <v>0</v>
      </c>
      <c r="AB613" s="43">
        <f>IFERROR(IF(LayTable[[#This Row],[Sport]]="",AB612,LayTable[[#This Row],[Faktisk res]]+AB612),"")</f>
        <v>4914.29</v>
      </c>
      <c r="AC613" s="43">
        <f>(LayTable[[#This Row],[BackWin-Commission]]+LayTable[[#This Row],[BookieInnsats]])</f>
        <v>0</v>
      </c>
      <c r="AD613" s="43" t="e">
        <f>(LayTable[[#This Row],[LayWin-Commission]])+LayTable[[#This Row],[LayLiability]]</f>
        <v>#VALUE!</v>
      </c>
      <c r="AE613" s="318"/>
      <c r="AF613" s="318"/>
    </row>
    <row r="614" spans="1:32">
      <c r="A614" s="84"/>
      <c r="B614" s="144"/>
      <c r="C614" s="178"/>
      <c r="D614" s="251"/>
      <c r="E614" s="178"/>
      <c r="F614" s="41"/>
      <c r="G614" s="183"/>
      <c r="H614" s="38"/>
      <c r="I614" s="42"/>
      <c r="J614" s="42"/>
      <c r="K614" s="43"/>
      <c r="L614" s="43"/>
      <c r="M614" s="44" t="str">
        <f>IF(LayTable[[#This Row],[Sport]]="","",LayTable[[#This Row],[LayInnsats]]*(LayTable[[#This Row],[LayOdds]]-1))</f>
        <v/>
      </c>
      <c r="N614" s="45" t="str">
        <f>IF(LayTable[[#This Row],[Sport]]="","",1/((1/LayTable[[#This Row],[BookieOdds]])+(1/((1/((1+((LayTable[[#This Row],[LayOdds]]-1)*(1+LayTable[[#This Row],[C% Lay]])))-1))+1)))-1)</f>
        <v/>
      </c>
      <c r="Q614" s="46" t="str">
        <f>IF(LayTable[[#This Row],[Sport]]="","",LayTable[[#This Row],[BookieInnsats]]+LayTable[[#This Row],[LayLiability]])</f>
        <v/>
      </c>
      <c r="R6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4" s="47" t="str">
        <f>IF(LayTable[[#This Row],[Utfall bookie]]="","",LayTable[[#This Row],[WBABack]]+LayTable[[#This Row],[WBALay]]-LayTable[[#This Row],[Total inns]])</f>
        <v/>
      </c>
      <c r="U6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4" s="48" t="str">
        <f>IFERROR(IF(LayTable[[#This Row],[Total inns]]="","",LayTable[[#This Row],[Rback]]/LayTable[[#This Row],[Total inns]]),"")</f>
        <v/>
      </c>
      <c r="X614" s="48" t="str">
        <f>IFERROR(IF(LayTable[[#This Row],[Total inns]]="","",LayTable[[#This Row],[Rlay]]/LayTable[[#This Row],[Total inns]]),"")</f>
        <v/>
      </c>
      <c r="Y614" s="48" t="str">
        <f>IFERROR(LayTable[[#This Row],[Faktisk res]]/LayTable[[#This Row],[Total inns]],"")</f>
        <v/>
      </c>
      <c r="Z614" s="47">
        <f>(LayTable[[#This Row],[BookieInnsats]]*LayTable[[#This Row],[BookieOdds]]-LayTable[[#This Row],[BookieInnsats]])*(1-LayTable[[#This Row],[C% Bookie]])</f>
        <v>0</v>
      </c>
      <c r="AA614" s="43">
        <f>LayTable[[#This Row],[LayInnsats]]*(1-LayTable[[#This Row],[C% Lay]])</f>
        <v>0</v>
      </c>
      <c r="AB614" s="43">
        <f>IFERROR(IF(LayTable[[#This Row],[Sport]]="",AB613,LayTable[[#This Row],[Faktisk res]]+AB613),"")</f>
        <v>4914.29</v>
      </c>
      <c r="AC614" s="43">
        <f>(LayTable[[#This Row],[BackWin-Commission]]+LayTable[[#This Row],[BookieInnsats]])</f>
        <v>0</v>
      </c>
      <c r="AD614" s="43" t="e">
        <f>(LayTable[[#This Row],[LayWin-Commission]])+LayTable[[#This Row],[LayLiability]]</f>
        <v>#VALUE!</v>
      </c>
      <c r="AE614" s="318"/>
      <c r="AF614" s="318"/>
    </row>
    <row r="615" spans="1:32">
      <c r="A615" s="84"/>
      <c r="B615" s="144"/>
      <c r="C615" s="178"/>
      <c r="D615" s="251"/>
      <c r="E615" s="178"/>
      <c r="F615" s="41"/>
      <c r="G615" s="183"/>
      <c r="H615" s="38"/>
      <c r="I615" s="42"/>
      <c r="J615" s="42"/>
      <c r="K615" s="43"/>
      <c r="L615" s="43"/>
      <c r="M615" s="44" t="str">
        <f>IF(LayTable[[#This Row],[Sport]]="","",LayTable[[#This Row],[LayInnsats]]*(LayTable[[#This Row],[LayOdds]]-1))</f>
        <v/>
      </c>
      <c r="N615" s="45" t="str">
        <f>IF(LayTable[[#This Row],[Sport]]="","",1/((1/LayTable[[#This Row],[BookieOdds]])+(1/((1/((1+((LayTable[[#This Row],[LayOdds]]-1)*(1+LayTable[[#This Row],[C% Lay]])))-1))+1)))-1)</f>
        <v/>
      </c>
      <c r="Q615" s="46" t="str">
        <f>IF(LayTable[[#This Row],[Sport]]="","",LayTable[[#This Row],[BookieInnsats]]+LayTable[[#This Row],[LayLiability]])</f>
        <v/>
      </c>
      <c r="R6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5" s="47" t="str">
        <f>IF(LayTable[[#This Row],[Utfall bookie]]="","",LayTable[[#This Row],[WBABack]]+LayTable[[#This Row],[WBALay]]-LayTable[[#This Row],[Total inns]])</f>
        <v/>
      </c>
      <c r="U6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5" s="48" t="str">
        <f>IFERROR(IF(LayTable[[#This Row],[Total inns]]="","",LayTable[[#This Row],[Rback]]/LayTable[[#This Row],[Total inns]]),"")</f>
        <v/>
      </c>
      <c r="X615" s="48" t="str">
        <f>IFERROR(IF(LayTable[[#This Row],[Total inns]]="","",LayTable[[#This Row],[Rlay]]/LayTable[[#This Row],[Total inns]]),"")</f>
        <v/>
      </c>
      <c r="Y615" s="48" t="str">
        <f>IFERROR(LayTable[[#This Row],[Faktisk res]]/LayTable[[#This Row],[Total inns]],"")</f>
        <v/>
      </c>
      <c r="Z615" s="47">
        <f>(LayTable[[#This Row],[BookieInnsats]]*LayTable[[#This Row],[BookieOdds]]-LayTable[[#This Row],[BookieInnsats]])*(1-LayTable[[#This Row],[C% Bookie]])</f>
        <v>0</v>
      </c>
      <c r="AA615" s="43">
        <f>LayTable[[#This Row],[LayInnsats]]*(1-LayTable[[#This Row],[C% Lay]])</f>
        <v>0</v>
      </c>
      <c r="AB615" s="43">
        <f>IFERROR(IF(LayTable[[#This Row],[Sport]]="",AB614,LayTable[[#This Row],[Faktisk res]]+AB614),"")</f>
        <v>4914.29</v>
      </c>
      <c r="AC615" s="43">
        <f>(LayTable[[#This Row],[BackWin-Commission]]+LayTable[[#This Row],[BookieInnsats]])</f>
        <v>0</v>
      </c>
      <c r="AD615" s="43" t="e">
        <f>(LayTable[[#This Row],[LayWin-Commission]])+LayTable[[#This Row],[LayLiability]]</f>
        <v>#VALUE!</v>
      </c>
      <c r="AE615" s="318"/>
      <c r="AF615" s="318"/>
    </row>
    <row r="616" spans="1:32">
      <c r="A616" s="84"/>
      <c r="B616" s="144"/>
      <c r="C616" s="178"/>
      <c r="D616" s="251"/>
      <c r="E616" s="178"/>
      <c r="F616" s="41"/>
      <c r="G616" s="183"/>
      <c r="H616" s="38"/>
      <c r="I616" s="42"/>
      <c r="J616" s="42"/>
      <c r="K616" s="43"/>
      <c r="L616" s="43"/>
      <c r="M616" s="44" t="str">
        <f>IF(LayTable[[#This Row],[Sport]]="","",LayTable[[#This Row],[LayInnsats]]*(LayTable[[#This Row],[LayOdds]]-1))</f>
        <v/>
      </c>
      <c r="N616" s="45" t="str">
        <f>IF(LayTable[[#This Row],[Sport]]="","",1/((1/LayTable[[#This Row],[BookieOdds]])+(1/((1/((1+((LayTable[[#This Row],[LayOdds]]-1)*(1+LayTable[[#This Row],[C% Lay]])))-1))+1)))-1)</f>
        <v/>
      </c>
      <c r="Q616" s="46" t="str">
        <f>IF(LayTable[[#This Row],[Sport]]="","",LayTable[[#This Row],[BookieInnsats]]+LayTable[[#This Row],[LayLiability]])</f>
        <v/>
      </c>
      <c r="R6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6" s="47" t="str">
        <f>IF(LayTable[[#This Row],[Utfall bookie]]="","",LayTable[[#This Row],[WBABack]]+LayTable[[#This Row],[WBALay]]-LayTable[[#This Row],[Total inns]])</f>
        <v/>
      </c>
      <c r="U6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6" s="48" t="str">
        <f>IFERROR(IF(LayTable[[#This Row],[Total inns]]="","",LayTable[[#This Row],[Rback]]/LayTable[[#This Row],[Total inns]]),"")</f>
        <v/>
      </c>
      <c r="X616" s="48" t="str">
        <f>IFERROR(IF(LayTable[[#This Row],[Total inns]]="","",LayTable[[#This Row],[Rlay]]/LayTable[[#This Row],[Total inns]]),"")</f>
        <v/>
      </c>
      <c r="Y616" s="48" t="str">
        <f>IFERROR(LayTable[[#This Row],[Faktisk res]]/LayTable[[#This Row],[Total inns]],"")</f>
        <v/>
      </c>
      <c r="Z616" s="47">
        <f>(LayTable[[#This Row],[BookieInnsats]]*LayTable[[#This Row],[BookieOdds]]-LayTable[[#This Row],[BookieInnsats]])*(1-LayTable[[#This Row],[C% Bookie]])</f>
        <v>0</v>
      </c>
      <c r="AA616" s="43">
        <f>LayTable[[#This Row],[LayInnsats]]*(1-LayTable[[#This Row],[C% Lay]])</f>
        <v>0</v>
      </c>
      <c r="AB616" s="43" t="str">
        <f>IFERROR(IF(LayTable[[#This Row],[Sport]]="",#REF!,LayTable[[#This Row],[Faktisk res]]+#REF!),"")</f>
        <v/>
      </c>
      <c r="AC616" s="43">
        <f>(LayTable[[#This Row],[BackWin-Commission]]+LayTable[[#This Row],[BookieInnsats]])</f>
        <v>0</v>
      </c>
      <c r="AD616" s="43" t="e">
        <f>(LayTable[[#This Row],[LayWin-Commission]])+LayTable[[#This Row],[LayLiability]]</f>
        <v>#VALUE!</v>
      </c>
      <c r="AE616" s="318"/>
      <c r="AF616" s="318"/>
    </row>
    <row r="617" spans="1:32">
      <c r="A617" s="84"/>
      <c r="B617" s="144"/>
      <c r="C617" s="40"/>
      <c r="D617" s="41"/>
      <c r="E617" s="40"/>
      <c r="F617" s="41"/>
      <c r="G617" s="183"/>
      <c r="H617" s="38"/>
      <c r="I617" s="42"/>
      <c r="J617" s="42"/>
      <c r="K617" s="43"/>
      <c r="L617" s="43"/>
      <c r="M617" s="44" t="str">
        <f>IF(LayTable[[#This Row],[Sport]]="","",LayTable[[#This Row],[LayInnsats]]*(LayTable[[#This Row],[LayOdds]]-1))</f>
        <v/>
      </c>
      <c r="N617" s="45" t="str">
        <f>IF(LayTable[[#This Row],[Sport]]="","",1/((1/LayTable[[#This Row],[BookieOdds]])+(1/((1/((1+((LayTable[[#This Row],[LayOdds]]-1)*(1+LayTable[[#This Row],[C% Lay]])))-1))+1)))-1)</f>
        <v/>
      </c>
      <c r="Q617" s="46" t="str">
        <f>IF(LayTable[[#This Row],[Sport]]="","",LayTable[[#This Row],[BookieInnsats]]+LayTable[[#This Row],[LayLiability]])</f>
        <v/>
      </c>
      <c r="R6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7" s="47" t="str">
        <f>IF(LayTable[[#This Row],[Utfall bookie]]="","",LayTable[[#This Row],[WBABack]]+LayTable[[#This Row],[WBALay]]-LayTable[[#This Row],[Total inns]])</f>
        <v/>
      </c>
      <c r="U6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7" s="48" t="str">
        <f>IFERROR(IF(LayTable[[#This Row],[Total inns]]="","",LayTable[[#This Row],[Rback]]/LayTable[[#This Row],[Total inns]]),"")</f>
        <v/>
      </c>
      <c r="X617" s="48" t="str">
        <f>IFERROR(IF(LayTable[[#This Row],[Total inns]]="","",LayTable[[#This Row],[Rlay]]/LayTable[[#This Row],[Total inns]]),"")</f>
        <v/>
      </c>
      <c r="Y617" s="48" t="str">
        <f>IFERROR(LayTable[[#This Row],[Faktisk res]]/LayTable[[#This Row],[Total inns]],"")</f>
        <v/>
      </c>
      <c r="Z617" s="47">
        <f>(LayTable[[#This Row],[BookieInnsats]]*LayTable[[#This Row],[BookieOdds]]-LayTable[[#This Row],[BookieInnsats]])*(1-LayTable[[#This Row],[C% Bookie]])</f>
        <v>0</v>
      </c>
      <c r="AA617" s="43">
        <f>LayTable[[#This Row],[LayInnsats]]*(1-LayTable[[#This Row],[C% Lay]])</f>
        <v>0</v>
      </c>
      <c r="AB617" s="43" t="str">
        <f>IFERROR(IF(LayTable[[#This Row],[Sport]]="",AB616,LayTable[[#This Row],[Faktisk res]]+AB616),"")</f>
        <v/>
      </c>
      <c r="AC617" s="43">
        <f>(LayTable[[#This Row],[BackWin-Commission]]+LayTable[[#This Row],[BookieInnsats]])</f>
        <v>0</v>
      </c>
      <c r="AD617" s="43" t="e">
        <f>(LayTable[[#This Row],[LayWin-Commission]])+LayTable[[#This Row],[LayLiability]]</f>
        <v>#VALUE!</v>
      </c>
      <c r="AE617" s="318"/>
      <c r="AF617" s="318"/>
    </row>
    <row r="618" spans="1:32">
      <c r="A618" s="84"/>
      <c r="B618" s="144"/>
      <c r="C618" s="40"/>
      <c r="D618" s="41"/>
      <c r="E618" s="40"/>
      <c r="F618" s="41"/>
      <c r="G618" s="183"/>
      <c r="H618" s="38"/>
      <c r="I618" s="42"/>
      <c r="J618" s="42"/>
      <c r="K618" s="43"/>
      <c r="L618" s="43"/>
      <c r="M618" s="44" t="str">
        <f>IF(LayTable[[#This Row],[Sport]]="","",LayTable[[#This Row],[LayInnsats]]*(LayTable[[#This Row],[LayOdds]]-1))</f>
        <v/>
      </c>
      <c r="N618" s="45" t="str">
        <f>IF(LayTable[[#This Row],[Sport]]="","",1/((1/LayTable[[#This Row],[BookieOdds]])+(1/((1/((1+((LayTable[[#This Row],[LayOdds]]-1)*(1+LayTable[[#This Row],[C% Lay]])))-1))+1)))-1)</f>
        <v/>
      </c>
      <c r="Q618" s="46" t="str">
        <f>IF(LayTable[[#This Row],[Sport]]="","",LayTable[[#This Row],[BookieInnsats]]+LayTable[[#This Row],[LayLiability]])</f>
        <v/>
      </c>
      <c r="R6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8" s="47" t="str">
        <f>IF(LayTable[[#This Row],[Utfall bookie]]="","",LayTable[[#This Row],[WBABack]]+LayTable[[#This Row],[WBALay]]-LayTable[[#This Row],[Total inns]])</f>
        <v/>
      </c>
      <c r="U6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8" s="48" t="str">
        <f>IFERROR(IF(LayTable[[#This Row],[Total inns]]="","",LayTable[[#This Row],[Rback]]/LayTable[[#This Row],[Total inns]]),"")</f>
        <v/>
      </c>
      <c r="X618" s="48" t="str">
        <f>IFERROR(IF(LayTable[[#This Row],[Total inns]]="","",LayTable[[#This Row],[Rlay]]/LayTable[[#This Row],[Total inns]]),"")</f>
        <v/>
      </c>
      <c r="Y618" s="48" t="str">
        <f>IFERROR(LayTable[[#This Row],[Faktisk res]]/LayTable[[#This Row],[Total inns]],"")</f>
        <v/>
      </c>
      <c r="Z618" s="47">
        <f>(LayTable[[#This Row],[BookieInnsats]]*LayTable[[#This Row],[BookieOdds]]-LayTable[[#This Row],[BookieInnsats]])*(1-LayTable[[#This Row],[C% Bookie]])</f>
        <v>0</v>
      </c>
      <c r="AA618" s="43">
        <f>LayTable[[#This Row],[LayInnsats]]*(1-LayTable[[#This Row],[C% Lay]])</f>
        <v>0</v>
      </c>
      <c r="AB618" s="43" t="str">
        <f>IFERROR(IF(LayTable[[#This Row],[Sport]]="",AB617,LayTable[[#This Row],[Faktisk res]]+AB617),"")</f>
        <v/>
      </c>
      <c r="AC618" s="43">
        <f>(LayTable[[#This Row],[BackWin-Commission]]+LayTable[[#This Row],[BookieInnsats]])</f>
        <v>0</v>
      </c>
      <c r="AD618" s="43" t="e">
        <f>(LayTable[[#This Row],[LayWin-Commission]])+LayTable[[#This Row],[LayLiability]]</f>
        <v>#VALUE!</v>
      </c>
      <c r="AE618" s="318"/>
      <c r="AF618" s="318"/>
    </row>
    <row r="619" spans="1:32">
      <c r="A619" s="84"/>
      <c r="B619" s="144"/>
      <c r="C619" s="40"/>
      <c r="D619" s="41"/>
      <c r="E619" s="40"/>
      <c r="F619" s="41"/>
      <c r="G619" s="183"/>
      <c r="H619" s="38"/>
      <c r="I619" s="42"/>
      <c r="J619" s="42"/>
      <c r="K619" s="43"/>
      <c r="L619" s="43"/>
      <c r="M619" s="44" t="str">
        <f>IF(LayTable[[#This Row],[Sport]]="","",LayTable[[#This Row],[LayInnsats]]*(LayTable[[#This Row],[LayOdds]]-1))</f>
        <v/>
      </c>
      <c r="N619" s="45" t="str">
        <f>IF(LayTable[[#This Row],[Sport]]="","",1/((1/LayTable[[#This Row],[BookieOdds]])+(1/((1/((1+((LayTable[[#This Row],[LayOdds]]-1)*(1+LayTable[[#This Row],[C% Lay]])))-1))+1)))-1)</f>
        <v/>
      </c>
      <c r="Q619" s="46" t="str">
        <f>IF(LayTable[[#This Row],[Sport]]="","",LayTable[[#This Row],[BookieInnsats]]+LayTable[[#This Row],[LayLiability]])</f>
        <v/>
      </c>
      <c r="R6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19" s="47" t="str">
        <f>IF(LayTable[[#This Row],[Utfall bookie]]="","",LayTable[[#This Row],[WBABack]]+LayTable[[#This Row],[WBALay]]-LayTable[[#This Row],[Total inns]])</f>
        <v/>
      </c>
      <c r="U6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19" s="48" t="str">
        <f>IFERROR(IF(LayTable[[#This Row],[Total inns]]="","",LayTable[[#This Row],[Rback]]/LayTable[[#This Row],[Total inns]]),"")</f>
        <v/>
      </c>
      <c r="X619" s="48" t="str">
        <f>IFERROR(IF(LayTable[[#This Row],[Total inns]]="","",LayTable[[#This Row],[Rlay]]/LayTable[[#This Row],[Total inns]]),"")</f>
        <v/>
      </c>
      <c r="Y619" s="48" t="str">
        <f>IFERROR(LayTable[[#This Row],[Faktisk res]]/LayTable[[#This Row],[Total inns]],"")</f>
        <v/>
      </c>
      <c r="Z619" s="47">
        <f>(LayTable[[#This Row],[BookieInnsats]]*LayTable[[#This Row],[BookieOdds]]-LayTable[[#This Row],[BookieInnsats]])*(1-LayTable[[#This Row],[C% Bookie]])</f>
        <v>0</v>
      </c>
      <c r="AA619" s="43">
        <f>LayTable[[#This Row],[LayInnsats]]*(1-LayTable[[#This Row],[C% Lay]])</f>
        <v>0</v>
      </c>
      <c r="AB619" s="43" t="str">
        <f>IFERROR(IF(LayTable[[#This Row],[Sport]]="",AB618,LayTable[[#This Row],[Faktisk res]]+AB618),"")</f>
        <v/>
      </c>
      <c r="AC619" s="43">
        <f>(LayTable[[#This Row],[BackWin-Commission]]+LayTable[[#This Row],[BookieInnsats]])</f>
        <v>0</v>
      </c>
      <c r="AD619" s="43" t="e">
        <f>(LayTable[[#This Row],[LayWin-Commission]])+LayTable[[#This Row],[LayLiability]]</f>
        <v>#VALUE!</v>
      </c>
      <c r="AE619" s="181"/>
      <c r="AF619" s="318"/>
    </row>
    <row r="620" spans="1:32">
      <c r="A620" s="84"/>
      <c r="B620" s="144"/>
      <c r="C620" s="40"/>
      <c r="D620" s="41"/>
      <c r="E620" s="40"/>
      <c r="F620" s="41"/>
      <c r="G620" s="183"/>
      <c r="H620" s="38"/>
      <c r="I620" s="42"/>
      <c r="J620" s="42"/>
      <c r="K620" s="43"/>
      <c r="L620" s="43"/>
      <c r="M620" s="44" t="str">
        <f>IF(LayTable[[#This Row],[Sport]]="","",LayTable[[#This Row],[LayInnsats]]*(LayTable[[#This Row],[LayOdds]]-1))</f>
        <v/>
      </c>
      <c r="N620" s="45" t="str">
        <f>IF(LayTable[[#This Row],[Sport]]="","",1/((1/LayTable[[#This Row],[BookieOdds]])+(1/((1/((1+((LayTable[[#This Row],[LayOdds]]-1)*(1+LayTable[[#This Row],[C% Lay]])))-1))+1)))-1)</f>
        <v/>
      </c>
      <c r="Q620" s="46" t="str">
        <f>IF(LayTable[[#This Row],[Sport]]="","",LayTable[[#This Row],[BookieInnsats]]+LayTable[[#This Row],[LayLiability]])</f>
        <v/>
      </c>
      <c r="R6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0" s="47" t="str">
        <f>IF(LayTable[[#This Row],[Utfall bookie]]="","",LayTable[[#This Row],[WBABack]]+LayTable[[#This Row],[WBALay]]-LayTable[[#This Row],[Total inns]])</f>
        <v/>
      </c>
      <c r="U6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0" s="48" t="str">
        <f>IFERROR(IF(LayTable[[#This Row],[Total inns]]="","",LayTable[[#This Row],[Rback]]/LayTable[[#This Row],[Total inns]]),"")</f>
        <v/>
      </c>
      <c r="X620" s="48" t="str">
        <f>IFERROR(IF(LayTable[[#This Row],[Total inns]]="","",LayTable[[#This Row],[Rlay]]/LayTable[[#This Row],[Total inns]]),"")</f>
        <v/>
      </c>
      <c r="Y620" s="48" t="str">
        <f>IFERROR(LayTable[[#This Row],[Faktisk res]]/LayTable[[#This Row],[Total inns]],"")</f>
        <v/>
      </c>
      <c r="Z620" s="47">
        <f>(LayTable[[#This Row],[BookieInnsats]]*LayTable[[#This Row],[BookieOdds]]-LayTable[[#This Row],[BookieInnsats]])*(1-LayTable[[#This Row],[C% Bookie]])</f>
        <v>0</v>
      </c>
      <c r="AA620" s="43">
        <f>LayTable[[#This Row],[LayInnsats]]*(1-LayTable[[#This Row],[C% Lay]])</f>
        <v>0</v>
      </c>
      <c r="AB620" s="43" t="str">
        <f>IFERROR(IF(LayTable[[#This Row],[Sport]]="",AB619,LayTable[[#This Row],[Faktisk res]]+AB619),"")</f>
        <v/>
      </c>
      <c r="AC620" s="43">
        <f>(LayTable[[#This Row],[BackWin-Commission]]+LayTable[[#This Row],[BookieInnsats]])</f>
        <v>0</v>
      </c>
      <c r="AD620" s="43" t="e">
        <f>(LayTable[[#This Row],[LayWin-Commission]])+LayTable[[#This Row],[LayLiability]]</f>
        <v>#VALUE!</v>
      </c>
      <c r="AE620" s="318"/>
      <c r="AF620" s="318"/>
    </row>
    <row r="621" spans="1:32">
      <c r="A621" s="84"/>
      <c r="B621" s="144"/>
      <c r="C621" s="40"/>
      <c r="D621" s="41"/>
      <c r="E621" s="40"/>
      <c r="F621" s="41"/>
      <c r="G621" s="183"/>
      <c r="H621" s="38"/>
      <c r="I621" s="42"/>
      <c r="J621" s="42"/>
      <c r="K621" s="43"/>
      <c r="L621" s="43"/>
      <c r="M621" s="44" t="str">
        <f>IF(LayTable[[#This Row],[Sport]]="","",LayTable[[#This Row],[LayInnsats]]*(LayTable[[#This Row],[LayOdds]]-1))</f>
        <v/>
      </c>
      <c r="N621" s="45" t="str">
        <f>IF(LayTable[[#This Row],[Sport]]="","",1/((1/LayTable[[#This Row],[BookieOdds]])+(1/((1/((1+((LayTable[[#This Row],[LayOdds]]-1)*(1+LayTable[[#This Row],[C% Lay]])))-1))+1)))-1)</f>
        <v/>
      </c>
      <c r="Q621" s="46" t="str">
        <f>IF(LayTable[[#This Row],[Sport]]="","",LayTable[[#This Row],[BookieInnsats]]+LayTable[[#This Row],[LayLiability]])</f>
        <v/>
      </c>
      <c r="R6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1" s="47" t="str">
        <f>IF(LayTable[[#This Row],[Utfall bookie]]="","",LayTable[[#This Row],[WBABack]]+LayTable[[#This Row],[WBALay]]-LayTable[[#This Row],[Total inns]])</f>
        <v/>
      </c>
      <c r="U6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1" s="48" t="str">
        <f>IFERROR(IF(LayTable[[#This Row],[Total inns]]="","",LayTable[[#This Row],[Rback]]/LayTable[[#This Row],[Total inns]]),"")</f>
        <v/>
      </c>
      <c r="X621" s="48" t="str">
        <f>IFERROR(IF(LayTable[[#This Row],[Total inns]]="","",LayTable[[#This Row],[Rlay]]/LayTable[[#This Row],[Total inns]]),"")</f>
        <v/>
      </c>
      <c r="Y621" s="48" t="str">
        <f>IFERROR(LayTable[[#This Row],[Faktisk res]]/LayTable[[#This Row],[Total inns]],"")</f>
        <v/>
      </c>
      <c r="Z621" s="47">
        <f>(LayTable[[#This Row],[BookieInnsats]]*LayTable[[#This Row],[BookieOdds]]-LayTable[[#This Row],[BookieInnsats]])*(1-LayTable[[#This Row],[C% Bookie]])</f>
        <v>0</v>
      </c>
      <c r="AA621" s="43">
        <f>LayTable[[#This Row],[LayInnsats]]*(1-LayTable[[#This Row],[C% Lay]])</f>
        <v>0</v>
      </c>
      <c r="AB621" s="43" t="str">
        <f>IFERROR(IF(LayTable[[#This Row],[Sport]]="",AB620,LayTable[[#This Row],[Faktisk res]]+AB620),"")</f>
        <v/>
      </c>
      <c r="AC621" s="43">
        <f>(LayTable[[#This Row],[BackWin-Commission]]+LayTable[[#This Row],[BookieInnsats]])</f>
        <v>0</v>
      </c>
      <c r="AD621" s="43" t="e">
        <f>(LayTable[[#This Row],[LayWin-Commission]])+LayTable[[#This Row],[LayLiability]]</f>
        <v>#VALUE!</v>
      </c>
      <c r="AE621" s="181"/>
      <c r="AF621" s="318"/>
    </row>
    <row r="622" spans="1:32">
      <c r="A622" s="84"/>
      <c r="B622" s="144"/>
      <c r="C622" s="40"/>
      <c r="D622" s="41"/>
      <c r="E622" s="40"/>
      <c r="F622" s="41"/>
      <c r="G622" s="183"/>
      <c r="H622" s="38"/>
      <c r="I622" s="42"/>
      <c r="J622" s="42"/>
      <c r="K622" s="43"/>
      <c r="L622" s="43"/>
      <c r="M622" s="44" t="str">
        <f>IF(LayTable[[#This Row],[Sport]]="","",LayTable[[#This Row],[LayInnsats]]*(LayTable[[#This Row],[LayOdds]]-1))</f>
        <v/>
      </c>
      <c r="N622" s="45" t="str">
        <f>IF(LayTable[[#This Row],[Sport]]="","",1/((1/LayTable[[#This Row],[BookieOdds]])+(1/((1/((1+((LayTable[[#This Row],[LayOdds]]-1)*(1+LayTable[[#This Row],[C% Lay]])))-1))+1)))-1)</f>
        <v/>
      </c>
      <c r="Q622" s="46" t="str">
        <f>IF(LayTable[[#This Row],[Sport]]="","",LayTable[[#This Row],[BookieInnsats]]+LayTable[[#This Row],[LayLiability]])</f>
        <v/>
      </c>
      <c r="R6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2" s="47" t="str">
        <f>IF(LayTable[[#This Row],[Utfall bookie]]="","",LayTable[[#This Row],[WBABack]]+LayTable[[#This Row],[WBALay]]-LayTable[[#This Row],[Total inns]])</f>
        <v/>
      </c>
      <c r="U6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2" s="48" t="str">
        <f>IFERROR(IF(LayTable[[#This Row],[Total inns]]="","",LayTable[[#This Row],[Rback]]/LayTable[[#This Row],[Total inns]]),"")</f>
        <v/>
      </c>
      <c r="X622" s="48" t="str">
        <f>IFERROR(IF(LayTable[[#This Row],[Total inns]]="","",LayTable[[#This Row],[Rlay]]/LayTable[[#This Row],[Total inns]]),"")</f>
        <v/>
      </c>
      <c r="Y622" s="48" t="str">
        <f>IFERROR(LayTable[[#This Row],[Faktisk res]]/LayTable[[#This Row],[Total inns]],"")</f>
        <v/>
      </c>
      <c r="Z622" s="47">
        <f>(LayTable[[#This Row],[BookieInnsats]]*LayTable[[#This Row],[BookieOdds]]-LayTable[[#This Row],[BookieInnsats]])*(1-LayTable[[#This Row],[C% Bookie]])</f>
        <v>0</v>
      </c>
      <c r="AA622" s="43">
        <f>LayTable[[#This Row],[LayInnsats]]*(1-LayTable[[#This Row],[C% Lay]])</f>
        <v>0</v>
      </c>
      <c r="AB622" s="43" t="str">
        <f>IFERROR(IF(LayTable[[#This Row],[Sport]]="",AB621,LayTable[[#This Row],[Faktisk res]]+AB621),"")</f>
        <v/>
      </c>
      <c r="AC622" s="43">
        <f>(LayTable[[#This Row],[BackWin-Commission]]+LayTable[[#This Row],[BookieInnsats]])</f>
        <v>0</v>
      </c>
      <c r="AD622" s="43" t="e">
        <f>(LayTable[[#This Row],[LayWin-Commission]])+LayTable[[#This Row],[LayLiability]]</f>
        <v>#VALUE!</v>
      </c>
      <c r="AE622" s="318"/>
      <c r="AF622" s="318"/>
    </row>
    <row r="623" spans="1:32">
      <c r="A623" s="84"/>
      <c r="B623" s="144"/>
      <c r="C623" s="40"/>
      <c r="D623" s="41"/>
      <c r="E623" s="40"/>
      <c r="F623" s="41"/>
      <c r="G623" s="183"/>
      <c r="H623" s="38"/>
      <c r="I623" s="42"/>
      <c r="J623" s="42"/>
      <c r="K623" s="43"/>
      <c r="L623" s="43"/>
      <c r="M623" s="44" t="str">
        <f>IF(LayTable[[#This Row],[Sport]]="","",LayTable[[#This Row],[LayInnsats]]*(LayTable[[#This Row],[LayOdds]]-1))</f>
        <v/>
      </c>
      <c r="N623" s="45" t="str">
        <f>IF(LayTable[[#This Row],[Sport]]="","",1/((1/LayTable[[#This Row],[BookieOdds]])+(1/((1/((1+((LayTable[[#This Row],[LayOdds]]-1)*(1+LayTable[[#This Row],[C% Lay]])))-1))+1)))-1)</f>
        <v/>
      </c>
      <c r="Q623" s="46" t="str">
        <f>IF(LayTable[[#This Row],[Sport]]="","",LayTable[[#This Row],[BookieInnsats]]+LayTable[[#This Row],[LayLiability]])</f>
        <v/>
      </c>
      <c r="R6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3" s="47" t="str">
        <f>IF(LayTable[[#This Row],[Utfall bookie]]="","",LayTable[[#This Row],[WBABack]]+LayTable[[#This Row],[WBALay]]-LayTable[[#This Row],[Total inns]])</f>
        <v/>
      </c>
      <c r="U6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3" s="48" t="str">
        <f>IFERROR(IF(LayTable[[#This Row],[Total inns]]="","",LayTable[[#This Row],[Rback]]/LayTable[[#This Row],[Total inns]]),"")</f>
        <v/>
      </c>
      <c r="X623" s="48" t="str">
        <f>IFERROR(IF(LayTable[[#This Row],[Total inns]]="","",LayTable[[#This Row],[Rlay]]/LayTable[[#This Row],[Total inns]]),"")</f>
        <v/>
      </c>
      <c r="Y623" s="48" t="str">
        <f>IFERROR(LayTable[[#This Row],[Faktisk res]]/LayTable[[#This Row],[Total inns]],"")</f>
        <v/>
      </c>
      <c r="Z623" s="47">
        <f>(LayTable[[#This Row],[BookieInnsats]]*LayTable[[#This Row],[BookieOdds]]-LayTable[[#This Row],[BookieInnsats]])*(1-LayTable[[#This Row],[C% Bookie]])</f>
        <v>0</v>
      </c>
      <c r="AA623" s="43">
        <f>LayTable[[#This Row],[LayInnsats]]*(1-LayTable[[#This Row],[C% Lay]])</f>
        <v>0</v>
      </c>
      <c r="AB623" s="43" t="str">
        <f>IFERROR(IF(LayTable[[#This Row],[Sport]]="",AB622,LayTable[[#This Row],[Faktisk res]]+AB622),"")</f>
        <v/>
      </c>
      <c r="AC623" s="43">
        <f>(LayTable[[#This Row],[BackWin-Commission]]+LayTable[[#This Row],[BookieInnsats]])</f>
        <v>0</v>
      </c>
      <c r="AD623" s="43" t="e">
        <f>(LayTable[[#This Row],[LayWin-Commission]])+LayTable[[#This Row],[LayLiability]]</f>
        <v>#VALUE!</v>
      </c>
      <c r="AE623" s="318"/>
      <c r="AF623" s="318"/>
    </row>
    <row r="624" spans="1:32">
      <c r="A624" s="84"/>
      <c r="B624" s="144"/>
      <c r="C624" s="40"/>
      <c r="D624" s="41"/>
      <c r="E624" s="40"/>
      <c r="F624" s="41"/>
      <c r="G624" s="183"/>
      <c r="H624" s="38"/>
      <c r="I624" s="42"/>
      <c r="J624" s="42"/>
      <c r="K624" s="43"/>
      <c r="L624" s="43"/>
      <c r="M624" s="44" t="str">
        <f>IF(LayTable[[#This Row],[Sport]]="","",LayTable[[#This Row],[LayInnsats]]*(LayTable[[#This Row],[LayOdds]]-1))</f>
        <v/>
      </c>
      <c r="N624" s="45" t="str">
        <f>IF(LayTable[[#This Row],[Sport]]="","",1/((1/LayTable[[#This Row],[BookieOdds]])+(1/((1/((1+((LayTable[[#This Row],[LayOdds]]-1)*(1+LayTable[[#This Row],[C% Lay]])))-1))+1)))-1)</f>
        <v/>
      </c>
      <c r="Q624" s="46" t="str">
        <f>IF(LayTable[[#This Row],[Sport]]="","",LayTable[[#This Row],[BookieInnsats]]+LayTable[[#This Row],[LayLiability]])</f>
        <v/>
      </c>
      <c r="R6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4" s="47" t="str">
        <f>IF(LayTable[[#This Row],[Utfall bookie]]="","",LayTable[[#This Row],[WBABack]]+LayTable[[#This Row],[WBALay]]-LayTable[[#This Row],[Total inns]])</f>
        <v/>
      </c>
      <c r="U6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4" s="48" t="str">
        <f>IFERROR(IF(LayTable[[#This Row],[Total inns]]="","",LayTable[[#This Row],[Rback]]/LayTable[[#This Row],[Total inns]]),"")</f>
        <v/>
      </c>
      <c r="X624" s="48" t="str">
        <f>IFERROR(IF(LayTable[[#This Row],[Total inns]]="","",LayTable[[#This Row],[Rlay]]/LayTable[[#This Row],[Total inns]]),"")</f>
        <v/>
      </c>
      <c r="Y624" s="48" t="str">
        <f>IFERROR(LayTable[[#This Row],[Faktisk res]]/LayTable[[#This Row],[Total inns]],"")</f>
        <v/>
      </c>
      <c r="Z624" s="47">
        <f>(LayTable[[#This Row],[BookieInnsats]]*LayTable[[#This Row],[BookieOdds]]-LayTable[[#This Row],[BookieInnsats]])*(1-LayTable[[#This Row],[C% Bookie]])</f>
        <v>0</v>
      </c>
      <c r="AA624" s="43">
        <f>LayTable[[#This Row],[LayInnsats]]*(1-LayTable[[#This Row],[C% Lay]])</f>
        <v>0</v>
      </c>
      <c r="AB624" s="43" t="str">
        <f>IFERROR(IF(LayTable[[#This Row],[Sport]]="",AB623,LayTable[[#This Row],[Faktisk res]]+AB623),"")</f>
        <v/>
      </c>
      <c r="AC624" s="43">
        <f>(LayTable[[#This Row],[BackWin-Commission]]+LayTable[[#This Row],[BookieInnsats]])</f>
        <v>0</v>
      </c>
      <c r="AD624" s="43" t="e">
        <f>(LayTable[[#This Row],[LayWin-Commission]])+LayTable[[#This Row],[LayLiability]]</f>
        <v>#VALUE!</v>
      </c>
      <c r="AE624" s="181"/>
      <c r="AF624" s="318"/>
    </row>
    <row r="625" spans="1:32">
      <c r="A625" s="84"/>
      <c r="B625" s="144"/>
      <c r="C625" s="40"/>
      <c r="D625" s="41"/>
      <c r="E625" s="40"/>
      <c r="F625" s="41"/>
      <c r="G625" s="183"/>
      <c r="H625" s="38"/>
      <c r="I625" s="42"/>
      <c r="J625" s="42"/>
      <c r="K625" s="43"/>
      <c r="L625" s="43"/>
      <c r="M625" s="44" t="str">
        <f>IF(LayTable[[#This Row],[Sport]]="","",LayTable[[#This Row],[LayInnsats]]*(LayTable[[#This Row],[LayOdds]]-1))</f>
        <v/>
      </c>
      <c r="N625" s="45" t="str">
        <f>IF(LayTable[[#This Row],[Sport]]="","",1/((1/LayTable[[#This Row],[BookieOdds]])+(1/((1/((1+((LayTable[[#This Row],[LayOdds]]-1)*(1+LayTable[[#This Row],[C% Lay]])))-1))+1)))-1)</f>
        <v/>
      </c>
      <c r="Q625" s="46" t="str">
        <f>IF(LayTable[[#This Row],[Sport]]="","",LayTable[[#This Row],[BookieInnsats]]+LayTable[[#This Row],[LayLiability]])</f>
        <v/>
      </c>
      <c r="R6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5" s="47" t="str">
        <f>IF(LayTable[[#This Row],[Utfall bookie]]="","",LayTable[[#This Row],[WBABack]]+LayTable[[#This Row],[WBALay]]-LayTable[[#This Row],[Total inns]])</f>
        <v/>
      </c>
      <c r="U6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5" s="48" t="str">
        <f>IFERROR(IF(LayTable[[#This Row],[Total inns]]="","",LayTable[[#This Row],[Rback]]/LayTable[[#This Row],[Total inns]]),"")</f>
        <v/>
      </c>
      <c r="X625" s="48" t="str">
        <f>IFERROR(IF(LayTable[[#This Row],[Total inns]]="","",LayTable[[#This Row],[Rlay]]/LayTable[[#This Row],[Total inns]]),"")</f>
        <v/>
      </c>
      <c r="Y625" s="48" t="str">
        <f>IFERROR(LayTable[[#This Row],[Faktisk res]]/LayTable[[#This Row],[Total inns]],"")</f>
        <v/>
      </c>
      <c r="Z625" s="47">
        <f>(LayTable[[#This Row],[BookieInnsats]]*LayTable[[#This Row],[BookieOdds]]-LayTable[[#This Row],[BookieInnsats]])*(1-LayTable[[#This Row],[C% Bookie]])</f>
        <v>0</v>
      </c>
      <c r="AA625" s="43">
        <f>LayTable[[#This Row],[LayInnsats]]*(1-LayTable[[#This Row],[C% Lay]])</f>
        <v>0</v>
      </c>
      <c r="AB625" s="43" t="str">
        <f>IFERROR(IF(LayTable[[#This Row],[Sport]]="",AB624,LayTable[[#This Row],[Faktisk res]]+AB624),"")</f>
        <v/>
      </c>
      <c r="AC625" s="43">
        <f>(LayTable[[#This Row],[BackWin-Commission]]+LayTable[[#This Row],[BookieInnsats]])</f>
        <v>0</v>
      </c>
      <c r="AD625" s="43" t="e">
        <f>(LayTable[[#This Row],[LayWin-Commission]])+LayTable[[#This Row],[LayLiability]]</f>
        <v>#VALUE!</v>
      </c>
      <c r="AE625" s="181"/>
      <c r="AF625" s="318"/>
    </row>
    <row r="626" spans="1:32">
      <c r="A626" s="84"/>
      <c r="B626" s="144"/>
      <c r="C626" s="40"/>
      <c r="D626" s="41"/>
      <c r="E626" s="40"/>
      <c r="F626" s="41"/>
      <c r="G626" s="183"/>
      <c r="H626" s="38"/>
      <c r="I626" s="42"/>
      <c r="J626" s="42"/>
      <c r="K626" s="43"/>
      <c r="L626" s="43"/>
      <c r="M626" s="44" t="str">
        <f>IF(LayTable[[#This Row],[Sport]]="","",LayTable[[#This Row],[LayInnsats]]*(LayTable[[#This Row],[LayOdds]]-1))</f>
        <v/>
      </c>
      <c r="N626" s="45" t="str">
        <f>IF(LayTable[[#This Row],[Sport]]="","",1/((1/LayTable[[#This Row],[BookieOdds]])+(1/((1/((1+((LayTable[[#This Row],[LayOdds]]-1)*(1+LayTable[[#This Row],[C% Lay]])))-1))+1)))-1)</f>
        <v/>
      </c>
      <c r="Q626" s="46" t="str">
        <f>IF(LayTable[[#This Row],[Sport]]="","",LayTable[[#This Row],[BookieInnsats]]+LayTable[[#This Row],[LayLiability]])</f>
        <v/>
      </c>
      <c r="R6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6" s="47" t="str">
        <f>IF(LayTable[[#This Row],[Utfall bookie]]="","",LayTable[[#This Row],[WBABack]]+LayTable[[#This Row],[WBALay]]-LayTable[[#This Row],[Total inns]])</f>
        <v/>
      </c>
      <c r="U6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6" s="48" t="str">
        <f>IFERROR(IF(LayTable[[#This Row],[Total inns]]="","",LayTable[[#This Row],[Rback]]/LayTable[[#This Row],[Total inns]]),"")</f>
        <v/>
      </c>
      <c r="X626" s="48" t="str">
        <f>IFERROR(IF(LayTable[[#This Row],[Total inns]]="","",LayTable[[#This Row],[Rlay]]/LayTable[[#This Row],[Total inns]]),"")</f>
        <v/>
      </c>
      <c r="Y626" s="48" t="str">
        <f>IFERROR(LayTable[[#This Row],[Faktisk res]]/LayTable[[#This Row],[Total inns]],"")</f>
        <v/>
      </c>
      <c r="Z626" s="47">
        <f>(LayTable[[#This Row],[BookieInnsats]]*LayTable[[#This Row],[BookieOdds]]-LayTable[[#This Row],[BookieInnsats]])*(1-LayTable[[#This Row],[C% Bookie]])</f>
        <v>0</v>
      </c>
      <c r="AA626" s="43">
        <f>LayTable[[#This Row],[LayInnsats]]*(1-LayTable[[#This Row],[C% Lay]])</f>
        <v>0</v>
      </c>
      <c r="AB626" s="43" t="str">
        <f>IFERROR(IF(LayTable[[#This Row],[Sport]]="",#REF!,LayTable[[#This Row],[Faktisk res]]+#REF!),"")</f>
        <v/>
      </c>
      <c r="AC626" s="43">
        <f>(LayTable[[#This Row],[BackWin-Commission]]+LayTable[[#This Row],[BookieInnsats]])</f>
        <v>0</v>
      </c>
      <c r="AD626" s="43" t="e">
        <f>(LayTable[[#This Row],[LayWin-Commission]])+LayTable[[#This Row],[LayLiability]]</f>
        <v>#VALUE!</v>
      </c>
      <c r="AE626" s="318"/>
      <c r="AF626" s="318"/>
    </row>
    <row r="627" spans="1:32">
      <c r="A627" s="183"/>
      <c r="B627" s="144"/>
      <c r="C627" s="178"/>
      <c r="D627" s="251"/>
      <c r="E627" s="178"/>
      <c r="F627" s="251"/>
      <c r="G627" s="183"/>
      <c r="H627" s="176"/>
      <c r="I627" s="42"/>
      <c r="J627" s="42"/>
      <c r="K627" s="43"/>
      <c r="L627" s="319"/>
      <c r="M627" s="44" t="str">
        <f>IF(LayTable[[#This Row],[Sport]]="","",LayTable[[#This Row],[LayInnsats]]*(LayTable[[#This Row],[LayOdds]]-1))</f>
        <v/>
      </c>
      <c r="N627" s="45" t="str">
        <f>IF(LayTable[[#This Row],[Sport]]="","",1/((1/LayTable[[#This Row],[BookieOdds]])+(1/((1/((1+((LayTable[[#This Row],[LayOdds]]-1)*(1+LayTable[[#This Row],[C% Lay]])))-1))+1)))-1)</f>
        <v/>
      </c>
      <c r="Q627" s="46" t="str">
        <f>IF(LayTable[[#This Row],[Sport]]="","",LayTable[[#This Row],[BookieInnsats]]+LayTable[[#This Row],[LayLiability]])</f>
        <v/>
      </c>
      <c r="R6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7" s="47" t="str">
        <f>IF(LayTable[[#This Row],[Utfall bookie]]="","",LayTable[[#This Row],[WBABack]]+LayTable[[#This Row],[WBALay]]-LayTable[[#This Row],[Total inns]])</f>
        <v/>
      </c>
      <c r="U6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7" s="48" t="str">
        <f>IFERROR(IF(LayTable[[#This Row],[Total inns]]="","",LayTable[[#This Row],[Rback]]/LayTable[[#This Row],[Total inns]]),"")</f>
        <v/>
      </c>
      <c r="X627" s="48" t="str">
        <f>IFERROR(IF(LayTable[[#This Row],[Total inns]]="","",LayTable[[#This Row],[Rlay]]/LayTable[[#This Row],[Total inns]]),"")</f>
        <v/>
      </c>
      <c r="Y627" s="48" t="str">
        <f>IFERROR(LayTable[[#This Row],[Faktisk res]]/LayTable[[#This Row],[Total inns]],"")</f>
        <v/>
      </c>
      <c r="Z627" s="47">
        <f>(LayTable[[#This Row],[BookieInnsats]]*LayTable[[#This Row],[BookieOdds]]-LayTable[[#This Row],[BookieInnsats]])*(1-LayTable[[#This Row],[C% Bookie]])</f>
        <v>0</v>
      </c>
      <c r="AA627" s="43">
        <f>LayTable[[#This Row],[LayInnsats]]*(1-LayTable[[#This Row],[C% Lay]])</f>
        <v>0</v>
      </c>
      <c r="AB627" s="43" t="str">
        <f>IFERROR(IF(LayTable[[#This Row],[Sport]]="",AB626,LayTable[[#This Row],[Faktisk res]]+AB626),"")</f>
        <v/>
      </c>
      <c r="AC627" s="43">
        <f>(LayTable[[#This Row],[BackWin-Commission]]+LayTable[[#This Row],[BookieInnsats]])</f>
        <v>0</v>
      </c>
      <c r="AD627" s="43" t="e">
        <f>(LayTable[[#This Row],[LayWin-Commission]])+LayTable[[#This Row],[LayLiability]]</f>
        <v>#VALUE!</v>
      </c>
      <c r="AE627" s="318"/>
      <c r="AF627" s="318"/>
    </row>
    <row r="628" spans="1:32">
      <c r="A628" s="183"/>
      <c r="B628" s="144"/>
      <c r="C628" s="178"/>
      <c r="D628" s="251"/>
      <c r="E628" s="178"/>
      <c r="F628" s="251"/>
      <c r="G628" s="183"/>
      <c r="H628" s="176"/>
      <c r="I628" s="42"/>
      <c r="J628" s="42"/>
      <c r="K628" s="43"/>
      <c r="L628" s="43"/>
      <c r="M628" s="44" t="str">
        <f>IF(LayTable[[#This Row],[Sport]]="","",LayTable[[#This Row],[LayInnsats]]*(LayTable[[#This Row],[LayOdds]]-1))</f>
        <v/>
      </c>
      <c r="N628" s="45" t="str">
        <f>IF(LayTable[[#This Row],[Sport]]="","",1/((1/LayTable[[#This Row],[BookieOdds]])+(1/((1/((1+((LayTable[[#This Row],[LayOdds]]-1)*(1+LayTable[[#This Row],[C% Lay]])))-1))+1)))-1)</f>
        <v/>
      </c>
      <c r="Q628" s="46" t="str">
        <f>IF(LayTable[[#This Row],[Sport]]="","",LayTable[[#This Row],[BookieInnsats]]+LayTable[[#This Row],[LayLiability]])</f>
        <v/>
      </c>
      <c r="R6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8" s="47" t="str">
        <f>IF(LayTable[[#This Row],[Utfall bookie]]="","",LayTable[[#This Row],[WBABack]]+LayTable[[#This Row],[WBALay]]-LayTable[[#This Row],[Total inns]])</f>
        <v/>
      </c>
      <c r="U6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8" s="48" t="str">
        <f>IFERROR(IF(LayTable[[#This Row],[Total inns]]="","",LayTable[[#This Row],[Rback]]/LayTable[[#This Row],[Total inns]]),"")</f>
        <v/>
      </c>
      <c r="X628" s="48" t="str">
        <f>IFERROR(IF(LayTable[[#This Row],[Total inns]]="","",LayTable[[#This Row],[Rlay]]/LayTable[[#This Row],[Total inns]]),"")</f>
        <v/>
      </c>
      <c r="Y628" s="48" t="str">
        <f>IFERROR(LayTable[[#This Row],[Faktisk res]]/LayTable[[#This Row],[Total inns]],"")</f>
        <v/>
      </c>
      <c r="Z628" s="47">
        <f>(LayTable[[#This Row],[BookieInnsats]]*LayTable[[#This Row],[BookieOdds]]-LayTable[[#This Row],[BookieInnsats]])*(1-LayTable[[#This Row],[C% Bookie]])</f>
        <v>0</v>
      </c>
      <c r="AA628" s="43">
        <f>LayTable[[#This Row],[LayInnsats]]*(1-LayTable[[#This Row],[C% Lay]])</f>
        <v>0</v>
      </c>
      <c r="AB628" s="43" t="str">
        <f>IFERROR(IF(LayTable[[#This Row],[Sport]]="",AB627,LayTable[[#This Row],[Faktisk res]]+AB627),"")</f>
        <v/>
      </c>
      <c r="AC628" s="43">
        <f>(LayTable[[#This Row],[BackWin-Commission]]+LayTable[[#This Row],[BookieInnsats]])</f>
        <v>0</v>
      </c>
      <c r="AD628" s="43" t="e">
        <f>(LayTable[[#This Row],[LayWin-Commission]])+LayTable[[#This Row],[LayLiability]]</f>
        <v>#VALUE!</v>
      </c>
      <c r="AE628" s="318"/>
      <c r="AF628" s="318"/>
    </row>
    <row r="629" spans="1:32">
      <c r="A629" s="183"/>
      <c r="B629" s="144"/>
      <c r="C629" s="178"/>
      <c r="D629" s="251"/>
      <c r="E629" s="178"/>
      <c r="F629" s="251"/>
      <c r="G629" s="183"/>
      <c r="H629" s="176"/>
      <c r="I629" s="42"/>
      <c r="J629" s="42"/>
      <c r="K629" s="43"/>
      <c r="L629" s="43"/>
      <c r="M629" s="44" t="str">
        <f>IF(LayTable[[#This Row],[Sport]]="","",LayTable[[#This Row],[LayInnsats]]*(LayTable[[#This Row],[LayOdds]]-1))</f>
        <v/>
      </c>
      <c r="N629" s="45" t="str">
        <f>IF(LayTable[[#This Row],[Sport]]="","",1/((1/LayTable[[#This Row],[BookieOdds]])+(1/((1/((1+((LayTable[[#This Row],[LayOdds]]-1)*(1+LayTable[[#This Row],[C% Lay]])))-1))+1)))-1)</f>
        <v/>
      </c>
      <c r="Q629" s="46" t="str">
        <f>IF(LayTable[[#This Row],[Sport]]="","",LayTable[[#This Row],[BookieInnsats]]+LayTable[[#This Row],[LayLiability]])</f>
        <v/>
      </c>
      <c r="R6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29" s="47" t="str">
        <f>IF(LayTable[[#This Row],[Utfall bookie]]="","",LayTable[[#This Row],[WBABack]]+LayTable[[#This Row],[WBALay]]-LayTable[[#This Row],[Total inns]])</f>
        <v/>
      </c>
      <c r="U6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29" s="48" t="str">
        <f>IFERROR(IF(LayTable[[#This Row],[Total inns]]="","",LayTable[[#This Row],[Rback]]/LayTable[[#This Row],[Total inns]]),"")</f>
        <v/>
      </c>
      <c r="X629" s="48" t="str">
        <f>IFERROR(IF(LayTable[[#This Row],[Total inns]]="","",LayTable[[#This Row],[Rlay]]/LayTable[[#This Row],[Total inns]]),"")</f>
        <v/>
      </c>
      <c r="Y629" s="48" t="str">
        <f>IFERROR(LayTable[[#This Row],[Faktisk res]]/LayTable[[#This Row],[Total inns]],"")</f>
        <v/>
      </c>
      <c r="Z629" s="47">
        <f>(LayTable[[#This Row],[BookieInnsats]]*LayTable[[#This Row],[BookieOdds]]-LayTable[[#This Row],[BookieInnsats]])*(1-LayTable[[#This Row],[C% Bookie]])</f>
        <v>0</v>
      </c>
      <c r="AA629" s="43">
        <f>LayTable[[#This Row],[LayInnsats]]*(1-LayTable[[#This Row],[C% Lay]])</f>
        <v>0</v>
      </c>
      <c r="AB629" s="43" t="str">
        <f>IFERROR(IF(LayTable[[#This Row],[Sport]]="",AB628,LayTable[[#This Row],[Faktisk res]]+AB628),"")</f>
        <v/>
      </c>
      <c r="AC629" s="43">
        <f>(LayTable[[#This Row],[BackWin-Commission]]+LayTable[[#This Row],[BookieInnsats]])</f>
        <v>0</v>
      </c>
      <c r="AD629" s="43" t="e">
        <f>(LayTable[[#This Row],[LayWin-Commission]])+LayTable[[#This Row],[LayLiability]]</f>
        <v>#VALUE!</v>
      </c>
      <c r="AE629" s="181"/>
      <c r="AF629" s="318"/>
    </row>
    <row r="630" spans="1:32">
      <c r="A630" s="84"/>
      <c r="B630" s="144"/>
      <c r="C630" s="40"/>
      <c r="D630" s="41"/>
      <c r="E630" s="40"/>
      <c r="F630" s="41"/>
      <c r="G630" s="183"/>
      <c r="H630" s="38"/>
      <c r="I630" s="42"/>
      <c r="J630" s="42"/>
      <c r="K630" s="43"/>
      <c r="L630" s="43"/>
      <c r="M630" s="44" t="str">
        <f>IF(LayTable[[#This Row],[Sport]]="","",LayTable[[#This Row],[LayInnsats]]*(LayTable[[#This Row],[LayOdds]]-1))</f>
        <v/>
      </c>
      <c r="N630" s="45" t="str">
        <f>IF(LayTable[[#This Row],[Sport]]="","",1/((1/LayTable[[#This Row],[BookieOdds]])+(1/((1/((1+((LayTable[[#This Row],[LayOdds]]-1)*(1+LayTable[[#This Row],[C% Lay]])))-1))+1)))-1)</f>
        <v/>
      </c>
      <c r="Q630" s="46" t="str">
        <f>IF(LayTable[[#This Row],[Sport]]="","",LayTable[[#This Row],[BookieInnsats]]+LayTable[[#This Row],[LayLiability]])</f>
        <v/>
      </c>
      <c r="R6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0" s="47" t="str">
        <f>IF(LayTable[[#This Row],[Utfall bookie]]="","",LayTable[[#This Row],[WBABack]]+LayTable[[#This Row],[WBALay]]-LayTable[[#This Row],[Total inns]])</f>
        <v/>
      </c>
      <c r="U6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0" s="48" t="str">
        <f>IFERROR(IF(LayTable[[#This Row],[Total inns]]="","",LayTable[[#This Row],[Rback]]/LayTable[[#This Row],[Total inns]]),"")</f>
        <v/>
      </c>
      <c r="X630" s="48" t="str">
        <f>IFERROR(IF(LayTable[[#This Row],[Total inns]]="","",LayTable[[#This Row],[Rlay]]/LayTable[[#This Row],[Total inns]]),"")</f>
        <v/>
      </c>
      <c r="Y630" s="48" t="str">
        <f>IFERROR(LayTable[[#This Row],[Faktisk res]]/LayTable[[#This Row],[Total inns]],"")</f>
        <v/>
      </c>
      <c r="Z630" s="47">
        <f>(LayTable[[#This Row],[BookieInnsats]]*LayTable[[#This Row],[BookieOdds]]-LayTable[[#This Row],[BookieInnsats]])*(1-LayTable[[#This Row],[C% Bookie]])</f>
        <v>0</v>
      </c>
      <c r="AA630" s="43">
        <f>LayTable[[#This Row],[LayInnsats]]*(1-LayTable[[#This Row],[C% Lay]])</f>
        <v>0</v>
      </c>
      <c r="AB630" s="43" t="str">
        <f>IFERROR(IF(LayTable[[#This Row],[Sport]]="",AB629,LayTable[[#This Row],[Faktisk res]]+AB629),"")</f>
        <v/>
      </c>
      <c r="AC630" s="43">
        <f>(LayTable[[#This Row],[BackWin-Commission]]+LayTable[[#This Row],[BookieInnsats]])</f>
        <v>0</v>
      </c>
      <c r="AD630" s="43" t="e">
        <f>(LayTable[[#This Row],[LayWin-Commission]])+LayTable[[#This Row],[LayLiability]]</f>
        <v>#VALUE!</v>
      </c>
      <c r="AE630" s="181"/>
      <c r="AF630" s="318"/>
    </row>
    <row r="631" spans="1:32">
      <c r="A631" s="84"/>
      <c r="B631" s="144"/>
      <c r="C631" s="40"/>
      <c r="D631" s="41"/>
      <c r="E631" s="40"/>
      <c r="F631" s="41"/>
      <c r="G631" s="183"/>
      <c r="H631" s="38"/>
      <c r="I631" s="42"/>
      <c r="J631" s="42"/>
      <c r="K631" s="43"/>
      <c r="L631" s="43"/>
      <c r="M631" s="44" t="str">
        <f>IF(LayTable[[#This Row],[Sport]]="","",LayTable[[#This Row],[LayInnsats]]*(LayTable[[#This Row],[LayOdds]]-1))</f>
        <v/>
      </c>
      <c r="N631" s="45" t="str">
        <f>IF(LayTable[[#This Row],[Sport]]="","",1/((1/LayTable[[#This Row],[BookieOdds]])+(1/((1/((1+((LayTable[[#This Row],[LayOdds]]-1)*(1+LayTable[[#This Row],[C% Lay]])))-1))+1)))-1)</f>
        <v/>
      </c>
      <c r="Q631" s="46" t="str">
        <f>IF(LayTable[[#This Row],[Sport]]="","",LayTable[[#This Row],[BookieInnsats]]+LayTable[[#This Row],[LayLiability]])</f>
        <v/>
      </c>
      <c r="R6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1" s="47" t="str">
        <f>IF(LayTable[[#This Row],[Utfall bookie]]="","",LayTable[[#This Row],[WBABack]]+LayTable[[#This Row],[WBALay]]-LayTable[[#This Row],[Total inns]])</f>
        <v/>
      </c>
      <c r="U6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1" s="48" t="str">
        <f>IFERROR(IF(LayTable[[#This Row],[Total inns]]="","",LayTable[[#This Row],[Rback]]/LayTable[[#This Row],[Total inns]]),"")</f>
        <v/>
      </c>
      <c r="X631" s="48" t="str">
        <f>IFERROR(IF(LayTable[[#This Row],[Total inns]]="","",LayTable[[#This Row],[Rlay]]/LayTable[[#This Row],[Total inns]]),"")</f>
        <v/>
      </c>
      <c r="Y631" s="48" t="str">
        <f>IFERROR(LayTable[[#This Row],[Faktisk res]]/LayTable[[#This Row],[Total inns]],"")</f>
        <v/>
      </c>
      <c r="Z631" s="47">
        <f>(LayTable[[#This Row],[BookieInnsats]]*LayTable[[#This Row],[BookieOdds]]-LayTable[[#This Row],[BookieInnsats]])*(1-LayTable[[#This Row],[C% Bookie]])</f>
        <v>0</v>
      </c>
      <c r="AA631" s="43">
        <f>LayTable[[#This Row],[LayInnsats]]*(1-LayTable[[#This Row],[C% Lay]])</f>
        <v>0</v>
      </c>
      <c r="AB631" s="43" t="str">
        <f>IFERROR(IF(LayTable[[#This Row],[Sport]]="",AB630,LayTable[[#This Row],[Faktisk res]]+AB630),"")</f>
        <v/>
      </c>
      <c r="AC631" s="43">
        <f>(LayTable[[#This Row],[BackWin-Commission]]+LayTable[[#This Row],[BookieInnsats]])</f>
        <v>0</v>
      </c>
      <c r="AD631" s="43" t="e">
        <f>(LayTable[[#This Row],[LayWin-Commission]])+LayTable[[#This Row],[LayLiability]]</f>
        <v>#VALUE!</v>
      </c>
      <c r="AE631" s="181"/>
      <c r="AF631" s="318"/>
    </row>
    <row r="632" spans="1:32">
      <c r="A632" s="84"/>
      <c r="B632" s="144"/>
      <c r="C632" s="40"/>
      <c r="D632" s="41"/>
      <c r="E632" s="40"/>
      <c r="F632" s="41"/>
      <c r="G632" s="183"/>
      <c r="H632" s="38"/>
      <c r="I632" s="42"/>
      <c r="J632" s="42"/>
      <c r="K632" s="43"/>
      <c r="L632" s="43"/>
      <c r="M632" s="44" t="str">
        <f>IF(LayTable[[#This Row],[Sport]]="","",LayTable[[#This Row],[LayInnsats]]*(LayTable[[#This Row],[LayOdds]]-1))</f>
        <v/>
      </c>
      <c r="N632" s="45" t="str">
        <f>IF(LayTable[[#This Row],[Sport]]="","",1/((1/LayTable[[#This Row],[BookieOdds]])+(1/((1/((1+((LayTable[[#This Row],[LayOdds]]-1)*(1+LayTable[[#This Row],[C% Lay]])))-1))+1)))-1)</f>
        <v/>
      </c>
      <c r="Q632" s="46" t="str">
        <f>IF(LayTable[[#This Row],[Sport]]="","",LayTable[[#This Row],[BookieInnsats]]+LayTable[[#This Row],[LayLiability]])</f>
        <v/>
      </c>
      <c r="R6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2" s="47" t="str">
        <f>IF(LayTable[[#This Row],[Utfall bookie]]="","",LayTable[[#This Row],[WBABack]]+LayTable[[#This Row],[WBALay]]-LayTable[[#This Row],[Total inns]])</f>
        <v/>
      </c>
      <c r="U6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2" s="48" t="str">
        <f>IFERROR(IF(LayTable[[#This Row],[Total inns]]="","",LayTable[[#This Row],[Rback]]/LayTable[[#This Row],[Total inns]]),"")</f>
        <v/>
      </c>
      <c r="X632" s="48" t="str">
        <f>IFERROR(IF(LayTable[[#This Row],[Total inns]]="","",LayTable[[#This Row],[Rlay]]/LayTable[[#This Row],[Total inns]]),"")</f>
        <v/>
      </c>
      <c r="Y632" s="48" t="str">
        <f>IFERROR(LayTable[[#This Row],[Faktisk res]]/LayTable[[#This Row],[Total inns]],"")</f>
        <v/>
      </c>
      <c r="Z632" s="47">
        <f>(LayTable[[#This Row],[BookieInnsats]]*LayTable[[#This Row],[BookieOdds]]-LayTable[[#This Row],[BookieInnsats]])*(1-LayTable[[#This Row],[C% Bookie]])</f>
        <v>0</v>
      </c>
      <c r="AA632" s="43">
        <f>LayTable[[#This Row],[LayInnsats]]*(1-LayTable[[#This Row],[C% Lay]])</f>
        <v>0</v>
      </c>
      <c r="AB632" s="43" t="str">
        <f>IFERROR(IF(LayTable[[#This Row],[Sport]]="",AB631,LayTable[[#This Row],[Faktisk res]]+AB631),"")</f>
        <v/>
      </c>
      <c r="AC632" s="43">
        <f>(LayTable[[#This Row],[BackWin-Commission]]+LayTable[[#This Row],[BookieInnsats]])</f>
        <v>0</v>
      </c>
      <c r="AD632" s="43" t="e">
        <f>(LayTable[[#This Row],[LayWin-Commission]])+LayTable[[#This Row],[LayLiability]]</f>
        <v>#VALUE!</v>
      </c>
      <c r="AE632" s="319"/>
      <c r="AF632" s="318"/>
    </row>
    <row r="633" spans="1:32">
      <c r="A633" s="84"/>
      <c r="B633" s="144"/>
      <c r="C633" s="40"/>
      <c r="D633" s="41"/>
      <c r="E633" s="40"/>
      <c r="F633" s="41"/>
      <c r="G633" s="183"/>
      <c r="H633" s="38"/>
      <c r="I633" s="42"/>
      <c r="J633" s="42"/>
      <c r="K633" s="43"/>
      <c r="L633" s="43"/>
      <c r="M633" s="44" t="str">
        <f>IF(LayTable[[#This Row],[Sport]]="","",LayTable[[#This Row],[LayInnsats]]*(LayTable[[#This Row],[LayOdds]]-1))</f>
        <v/>
      </c>
      <c r="N633" s="45" t="str">
        <f>IF(LayTable[[#This Row],[Sport]]="","",1/((1/LayTable[[#This Row],[BookieOdds]])+(1/((1/((1+((LayTable[[#This Row],[LayOdds]]-1)*(1+LayTable[[#This Row],[C% Lay]])))-1))+1)))-1)</f>
        <v/>
      </c>
      <c r="Q633" s="46" t="str">
        <f>IF(LayTable[[#This Row],[Sport]]="","",LayTable[[#This Row],[BookieInnsats]]+LayTable[[#This Row],[LayLiability]])</f>
        <v/>
      </c>
      <c r="R6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3" s="47" t="str">
        <f>IF(LayTable[[#This Row],[Utfall bookie]]="","",LayTable[[#This Row],[WBABack]]+LayTable[[#This Row],[WBALay]]-LayTable[[#This Row],[Total inns]])</f>
        <v/>
      </c>
      <c r="U6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3" s="48" t="str">
        <f>IFERROR(IF(LayTable[[#This Row],[Total inns]]="","",LayTable[[#This Row],[Rback]]/LayTable[[#This Row],[Total inns]]),"")</f>
        <v/>
      </c>
      <c r="X633" s="48" t="str">
        <f>IFERROR(IF(LayTable[[#This Row],[Total inns]]="","",LayTable[[#This Row],[Rlay]]/LayTable[[#This Row],[Total inns]]),"")</f>
        <v/>
      </c>
      <c r="Y633" s="48" t="str">
        <f>IFERROR(LayTable[[#This Row],[Faktisk res]]/LayTable[[#This Row],[Total inns]],"")</f>
        <v/>
      </c>
      <c r="Z633" s="47">
        <f>(LayTable[[#This Row],[BookieInnsats]]*LayTable[[#This Row],[BookieOdds]]-LayTable[[#This Row],[BookieInnsats]])*(1-LayTable[[#This Row],[C% Bookie]])</f>
        <v>0</v>
      </c>
      <c r="AA633" s="43">
        <f>LayTable[[#This Row],[LayInnsats]]*(1-LayTable[[#This Row],[C% Lay]])</f>
        <v>0</v>
      </c>
      <c r="AB633" s="43" t="str">
        <f>IFERROR(IF(LayTable[[#This Row],[Sport]]="",AB632,LayTable[[#This Row],[Faktisk res]]+AB632),"")</f>
        <v/>
      </c>
      <c r="AC633" s="43">
        <f>(LayTable[[#This Row],[BackWin-Commission]]+LayTable[[#This Row],[BookieInnsats]])</f>
        <v>0</v>
      </c>
      <c r="AD633" s="43" t="e">
        <f>(LayTable[[#This Row],[LayWin-Commission]])+LayTable[[#This Row],[LayLiability]]</f>
        <v>#VALUE!</v>
      </c>
      <c r="AE633" s="181"/>
      <c r="AF633" s="319"/>
    </row>
    <row r="634" spans="1:32">
      <c r="A634" s="183"/>
      <c r="B634" s="144"/>
      <c r="C634" s="40"/>
      <c r="D634" s="41"/>
      <c r="E634" s="40"/>
      <c r="F634" s="41"/>
      <c r="G634" s="183"/>
      <c r="H634" s="38"/>
      <c r="I634" s="42"/>
      <c r="J634" s="42"/>
      <c r="K634" s="43"/>
      <c r="L634" s="43"/>
      <c r="M634" s="44" t="str">
        <f>IF(LayTable[[#This Row],[Sport]]="","",LayTable[[#This Row],[LayInnsats]]*(LayTable[[#This Row],[LayOdds]]-1))</f>
        <v/>
      </c>
      <c r="N634" s="45" t="str">
        <f>IF(LayTable[[#This Row],[Sport]]="","",1/((1/LayTable[[#This Row],[BookieOdds]])+(1/((1/((1+((LayTable[[#This Row],[LayOdds]]-1)*(1+LayTable[[#This Row],[C% Lay]])))-1))+1)))-1)</f>
        <v/>
      </c>
      <c r="Q634" s="46" t="str">
        <f>IF(LayTable[[#This Row],[Sport]]="","",LayTable[[#This Row],[BookieInnsats]]+LayTable[[#This Row],[LayLiability]])</f>
        <v/>
      </c>
      <c r="R6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4" s="47" t="str">
        <f>IF(LayTable[[#This Row],[Utfall bookie]]="","",LayTable[[#This Row],[WBABack]]+LayTable[[#This Row],[WBALay]]-LayTable[[#This Row],[Total inns]])</f>
        <v/>
      </c>
      <c r="U6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4" s="48" t="str">
        <f>IFERROR(IF(LayTable[[#This Row],[Total inns]]="","",LayTable[[#This Row],[Rback]]/LayTable[[#This Row],[Total inns]]),"")</f>
        <v/>
      </c>
      <c r="X634" s="48" t="str">
        <f>IFERROR(IF(LayTable[[#This Row],[Total inns]]="","",LayTable[[#This Row],[Rlay]]/LayTable[[#This Row],[Total inns]]),"")</f>
        <v/>
      </c>
      <c r="Y634" s="48" t="str">
        <f>IFERROR(LayTable[[#This Row],[Faktisk res]]/LayTable[[#This Row],[Total inns]],"")</f>
        <v/>
      </c>
      <c r="Z634" s="47">
        <f>(LayTable[[#This Row],[BookieInnsats]]*LayTable[[#This Row],[BookieOdds]]-LayTable[[#This Row],[BookieInnsats]])*(1-LayTable[[#This Row],[C% Bookie]])</f>
        <v>0</v>
      </c>
      <c r="AA634" s="43">
        <f>LayTable[[#This Row],[LayInnsats]]*(1-LayTable[[#This Row],[C% Lay]])</f>
        <v>0</v>
      </c>
      <c r="AB634" s="43" t="str">
        <f>IFERROR(IF(LayTable[[#This Row],[Sport]]="",AB633,LayTable[[#This Row],[Faktisk res]]+AB633),"")</f>
        <v/>
      </c>
      <c r="AC634" s="43">
        <f>(LayTable[[#This Row],[BackWin-Commission]]+LayTable[[#This Row],[BookieInnsats]])</f>
        <v>0</v>
      </c>
      <c r="AD634" s="43" t="e">
        <f>(LayTable[[#This Row],[LayWin-Commission]])+LayTable[[#This Row],[LayLiability]]</f>
        <v>#VALUE!</v>
      </c>
      <c r="AE634" s="181"/>
      <c r="AF634" s="319"/>
    </row>
    <row r="635" spans="1:32">
      <c r="A635" s="84"/>
      <c r="B635" s="144"/>
      <c r="C635" s="40"/>
      <c r="D635" s="41"/>
      <c r="E635" s="40"/>
      <c r="F635" s="41"/>
      <c r="G635" s="183"/>
      <c r="H635" s="38"/>
      <c r="I635" s="42"/>
      <c r="J635" s="42"/>
      <c r="K635" s="43"/>
      <c r="L635" s="43"/>
      <c r="M635" s="44" t="str">
        <f>IF(LayTable[[#This Row],[Sport]]="","",LayTable[[#This Row],[LayInnsats]]*(LayTable[[#This Row],[LayOdds]]-1))</f>
        <v/>
      </c>
      <c r="N635" s="45" t="str">
        <f>IF(LayTable[[#This Row],[Sport]]="","",1/((1/LayTable[[#This Row],[BookieOdds]])+(1/((1/((1+((LayTable[[#This Row],[LayOdds]]-1)*(1+LayTable[[#This Row],[C% Lay]])))-1))+1)))-1)</f>
        <v/>
      </c>
      <c r="Q635" s="46" t="str">
        <f>IF(LayTable[[#This Row],[Sport]]="","",LayTable[[#This Row],[BookieInnsats]]+LayTable[[#This Row],[LayLiability]])</f>
        <v/>
      </c>
      <c r="R6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5" s="47" t="str">
        <f>IF(LayTable[[#This Row],[Utfall bookie]]="","",LayTable[[#This Row],[WBABack]]+LayTable[[#This Row],[WBALay]]-LayTable[[#This Row],[Total inns]])</f>
        <v/>
      </c>
      <c r="U6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5" s="48" t="str">
        <f>IFERROR(IF(LayTable[[#This Row],[Total inns]]="","",LayTable[[#This Row],[Rback]]/LayTable[[#This Row],[Total inns]]),"")</f>
        <v/>
      </c>
      <c r="X635" s="48" t="str">
        <f>IFERROR(IF(LayTable[[#This Row],[Total inns]]="","",LayTable[[#This Row],[Rlay]]/LayTable[[#This Row],[Total inns]]),"")</f>
        <v/>
      </c>
      <c r="Y635" s="48" t="str">
        <f>IFERROR(LayTable[[#This Row],[Faktisk res]]/LayTable[[#This Row],[Total inns]],"")</f>
        <v/>
      </c>
      <c r="Z635" s="47">
        <f>(LayTable[[#This Row],[BookieInnsats]]*LayTable[[#This Row],[BookieOdds]]-LayTable[[#This Row],[BookieInnsats]])*(1-LayTable[[#This Row],[C% Bookie]])</f>
        <v>0</v>
      </c>
      <c r="AA635" s="43">
        <f>LayTable[[#This Row],[LayInnsats]]*(1-LayTable[[#This Row],[C% Lay]])</f>
        <v>0</v>
      </c>
      <c r="AB635" s="43" t="str">
        <f>IFERROR(IF(LayTable[[#This Row],[Sport]]="",AB634,LayTable[[#This Row],[Faktisk res]]+AB634),"")</f>
        <v/>
      </c>
      <c r="AC635" s="43">
        <f>(LayTable[[#This Row],[BackWin-Commission]]+LayTable[[#This Row],[BookieInnsats]])</f>
        <v>0</v>
      </c>
      <c r="AD635" s="43" t="e">
        <f>(LayTable[[#This Row],[LayWin-Commission]])+LayTable[[#This Row],[LayLiability]]</f>
        <v>#VALUE!</v>
      </c>
      <c r="AE635" s="319"/>
      <c r="AF635" s="319"/>
    </row>
    <row r="636" spans="1:32">
      <c r="A636" s="183"/>
      <c r="B636" s="144"/>
      <c r="C636" s="178"/>
      <c r="D636" s="251"/>
      <c r="E636" s="178"/>
      <c r="F636" s="251"/>
      <c r="G636" s="183"/>
      <c r="H636" s="176"/>
      <c r="I636" s="180"/>
      <c r="J636" s="180"/>
      <c r="K636" s="181"/>
      <c r="L636" s="181"/>
      <c r="M636" s="44" t="str">
        <f>IF(LayTable[[#This Row],[Sport]]="","",LayTable[[#This Row],[LayInnsats]]*(LayTable[[#This Row],[LayOdds]]-1))</f>
        <v/>
      </c>
      <c r="N636" s="45" t="str">
        <f>IF(LayTable[[#This Row],[Sport]]="","",1/((1/LayTable[[#This Row],[BookieOdds]])+(1/((1/((1+((LayTable[[#This Row],[LayOdds]]-1)*(1+LayTable[[#This Row],[C% Lay]])))-1))+1)))-1)</f>
        <v/>
      </c>
      <c r="Q636" s="46" t="str">
        <f>IF(LayTable[[#This Row],[Sport]]="","",LayTable[[#This Row],[BookieInnsats]]+LayTable[[#This Row],[LayLiability]])</f>
        <v/>
      </c>
      <c r="R6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6" s="47" t="str">
        <f>IF(LayTable[[#This Row],[Utfall bookie]]="","",LayTable[[#This Row],[WBABack]]+LayTable[[#This Row],[WBALay]]-LayTable[[#This Row],[Total inns]])</f>
        <v/>
      </c>
      <c r="U6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6" s="48" t="str">
        <f>IFERROR(IF(LayTable[[#This Row],[Total inns]]="","",LayTable[[#This Row],[Rback]]/LayTable[[#This Row],[Total inns]]),"")</f>
        <v/>
      </c>
      <c r="X636" s="48" t="str">
        <f>IFERROR(IF(LayTable[[#This Row],[Total inns]]="","",LayTable[[#This Row],[Rlay]]/LayTable[[#This Row],[Total inns]]),"")</f>
        <v/>
      </c>
      <c r="Y636" s="48" t="str">
        <f>IFERROR(LayTable[[#This Row],[Faktisk res]]/LayTable[[#This Row],[Total inns]],"")</f>
        <v/>
      </c>
      <c r="Z636" s="47">
        <f>(LayTable[[#This Row],[BookieInnsats]]*LayTable[[#This Row],[BookieOdds]]-LayTable[[#This Row],[BookieInnsats]])*(1-LayTable[[#This Row],[C% Bookie]])</f>
        <v>0</v>
      </c>
      <c r="AA636" s="43">
        <f>LayTable[[#This Row],[LayInnsats]]*(1-LayTable[[#This Row],[C% Lay]])</f>
        <v>0</v>
      </c>
      <c r="AB636" s="43" t="str">
        <f>IFERROR(IF(LayTable[[#This Row],[Sport]]="",AB635,LayTable[[#This Row],[Faktisk res]]+AB635),"")</f>
        <v/>
      </c>
      <c r="AC636" s="43">
        <f>(LayTable[[#This Row],[BackWin-Commission]]+LayTable[[#This Row],[BookieInnsats]])</f>
        <v>0</v>
      </c>
      <c r="AD636" s="43" t="e">
        <f>(LayTable[[#This Row],[LayWin-Commission]])+LayTable[[#This Row],[LayLiability]]</f>
        <v>#VALUE!</v>
      </c>
      <c r="AE636" s="181"/>
      <c r="AF636" s="319"/>
    </row>
    <row r="637" spans="1:32">
      <c r="A637" s="84"/>
      <c r="B637" s="144"/>
      <c r="C637" s="40"/>
      <c r="D637" s="41"/>
      <c r="E637" s="40"/>
      <c r="F637" s="41"/>
      <c r="G637" s="183"/>
      <c r="H637" s="38"/>
      <c r="I637" s="42"/>
      <c r="J637" s="42"/>
      <c r="K637" s="43"/>
      <c r="L637" s="43"/>
      <c r="M637" s="44" t="str">
        <f>IF(LayTable[[#This Row],[Sport]]="","",LayTable[[#This Row],[LayInnsats]]*(LayTable[[#This Row],[LayOdds]]-1))</f>
        <v/>
      </c>
      <c r="N637" s="45" t="str">
        <f>IF(LayTable[[#This Row],[Sport]]="","",1/((1/LayTable[[#This Row],[BookieOdds]])+(1/((1/((1+((LayTable[[#This Row],[LayOdds]]-1)*(1+LayTable[[#This Row],[C% Lay]])))-1))+1)))-1)</f>
        <v/>
      </c>
      <c r="Q637" s="46" t="str">
        <f>IF(LayTable[[#This Row],[Sport]]="","",LayTable[[#This Row],[BookieInnsats]]+LayTable[[#This Row],[LayLiability]])</f>
        <v/>
      </c>
      <c r="R6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7" s="47" t="str">
        <f>IF(LayTable[[#This Row],[Utfall bookie]]="","",LayTable[[#This Row],[WBABack]]+LayTable[[#This Row],[WBALay]]-LayTable[[#This Row],[Total inns]])</f>
        <v/>
      </c>
      <c r="U6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7" s="48" t="str">
        <f>IFERROR(IF(LayTable[[#This Row],[Total inns]]="","",LayTable[[#This Row],[Rback]]/LayTable[[#This Row],[Total inns]]),"")</f>
        <v/>
      </c>
      <c r="X637" s="48" t="str">
        <f>IFERROR(IF(LayTable[[#This Row],[Total inns]]="","",LayTable[[#This Row],[Rlay]]/LayTable[[#This Row],[Total inns]]),"")</f>
        <v/>
      </c>
      <c r="Y637" s="48" t="str">
        <f>IFERROR(LayTable[[#This Row],[Faktisk res]]/LayTable[[#This Row],[Total inns]],"")</f>
        <v/>
      </c>
      <c r="Z637" s="47">
        <f>(LayTable[[#This Row],[BookieInnsats]]*LayTable[[#This Row],[BookieOdds]]-LayTable[[#This Row],[BookieInnsats]])*(1-LayTable[[#This Row],[C% Bookie]])</f>
        <v>0</v>
      </c>
      <c r="AA637" s="43">
        <f>LayTable[[#This Row],[LayInnsats]]*(1-LayTable[[#This Row],[C% Lay]])</f>
        <v>0</v>
      </c>
      <c r="AB637" s="43" t="str">
        <f>IFERROR(IF(LayTable[[#This Row],[Sport]]="",AB636,LayTable[[#This Row],[Faktisk res]]+AB636),"")</f>
        <v/>
      </c>
      <c r="AC637" s="43">
        <f>(LayTable[[#This Row],[BackWin-Commission]]+LayTable[[#This Row],[BookieInnsats]])</f>
        <v>0</v>
      </c>
      <c r="AD637" s="43" t="e">
        <f>(LayTable[[#This Row],[LayWin-Commission]])+LayTable[[#This Row],[LayLiability]]</f>
        <v>#VALUE!</v>
      </c>
      <c r="AE637" s="181"/>
      <c r="AF637" s="319"/>
    </row>
    <row r="638" spans="1:32">
      <c r="A638" s="84"/>
      <c r="B638" s="144"/>
      <c r="C638" s="40"/>
      <c r="D638" s="41"/>
      <c r="E638" s="40"/>
      <c r="F638" s="41"/>
      <c r="G638" s="183"/>
      <c r="H638" s="38"/>
      <c r="I638" s="42"/>
      <c r="J638" s="42"/>
      <c r="K638" s="43"/>
      <c r="L638" s="43"/>
      <c r="M638" s="44" t="str">
        <f>IF(LayTable[[#This Row],[Sport]]="","",LayTable[[#This Row],[LayInnsats]]*(LayTable[[#This Row],[LayOdds]]-1))</f>
        <v/>
      </c>
      <c r="N638" s="45" t="str">
        <f>IF(LayTable[[#This Row],[Sport]]="","",1/((1/LayTable[[#This Row],[BookieOdds]])+(1/((1/((1+((LayTable[[#This Row],[LayOdds]]-1)*(1+LayTable[[#This Row],[C% Lay]])))-1))+1)))-1)</f>
        <v/>
      </c>
      <c r="Q638" s="46" t="str">
        <f>IF(LayTable[[#This Row],[Sport]]="","",LayTable[[#This Row],[BookieInnsats]]+LayTable[[#This Row],[LayLiability]])</f>
        <v/>
      </c>
      <c r="R6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8" s="47" t="str">
        <f>IF(LayTable[[#This Row],[Utfall bookie]]="","",LayTable[[#This Row],[WBABack]]+LayTable[[#This Row],[WBALay]]-LayTable[[#This Row],[Total inns]])</f>
        <v/>
      </c>
      <c r="U6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8" s="48" t="str">
        <f>IFERROR(IF(LayTable[[#This Row],[Total inns]]="","",LayTable[[#This Row],[Rback]]/LayTable[[#This Row],[Total inns]]),"")</f>
        <v/>
      </c>
      <c r="X638" s="48" t="str">
        <f>IFERROR(IF(LayTable[[#This Row],[Total inns]]="","",LayTable[[#This Row],[Rlay]]/LayTable[[#This Row],[Total inns]]),"")</f>
        <v/>
      </c>
      <c r="Y638" s="48" t="str">
        <f>IFERROR(LayTable[[#This Row],[Faktisk res]]/LayTable[[#This Row],[Total inns]],"")</f>
        <v/>
      </c>
      <c r="Z638" s="47">
        <f>(LayTable[[#This Row],[BookieInnsats]]*LayTable[[#This Row],[BookieOdds]]-LayTable[[#This Row],[BookieInnsats]])*(1-LayTable[[#This Row],[C% Bookie]])</f>
        <v>0</v>
      </c>
      <c r="AA638" s="43">
        <f>LayTable[[#This Row],[LayInnsats]]*(1-LayTable[[#This Row],[C% Lay]])</f>
        <v>0</v>
      </c>
      <c r="AB638" s="43" t="str">
        <f>IFERROR(IF(LayTable[[#This Row],[Sport]]="",AB637,LayTable[[#This Row],[Faktisk res]]+AB637),"")</f>
        <v/>
      </c>
      <c r="AC638" s="43">
        <f>(LayTable[[#This Row],[BackWin-Commission]]+LayTable[[#This Row],[BookieInnsats]])</f>
        <v>0</v>
      </c>
      <c r="AD638" s="43" t="e">
        <f>(LayTable[[#This Row],[LayWin-Commission]])+LayTable[[#This Row],[LayLiability]]</f>
        <v>#VALUE!</v>
      </c>
      <c r="AE638" s="181"/>
      <c r="AF638" s="319"/>
    </row>
    <row r="639" spans="1:32">
      <c r="A639" s="183"/>
      <c r="B639" s="144"/>
      <c r="C639" s="178"/>
      <c r="D639" s="251"/>
      <c r="E639" s="178"/>
      <c r="F639" s="251"/>
      <c r="G639" s="183"/>
      <c r="H639" s="176"/>
      <c r="I639" s="180"/>
      <c r="J639" s="180"/>
      <c r="K639" s="181"/>
      <c r="L639" s="181"/>
      <c r="M639" s="44" t="str">
        <f>IF(LayTable[[#This Row],[Sport]]="","",LayTable[[#This Row],[LayInnsats]]*(LayTable[[#This Row],[LayOdds]]-1))</f>
        <v/>
      </c>
      <c r="N639" s="45" t="str">
        <f>IF(LayTable[[#This Row],[Sport]]="","",1/((1/LayTable[[#This Row],[BookieOdds]])+(1/((1/((1+((LayTable[[#This Row],[LayOdds]]-1)*(1+LayTable[[#This Row],[C% Lay]])))-1))+1)))-1)</f>
        <v/>
      </c>
      <c r="Q639" s="46" t="str">
        <f>IF(LayTable[[#This Row],[Sport]]="","",LayTable[[#This Row],[BookieInnsats]]+LayTable[[#This Row],[LayLiability]])</f>
        <v/>
      </c>
      <c r="R6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39" s="47" t="str">
        <f>IF(LayTable[[#This Row],[Utfall bookie]]="","",LayTable[[#This Row],[WBABack]]+LayTable[[#This Row],[WBALay]]-LayTable[[#This Row],[Total inns]])</f>
        <v/>
      </c>
      <c r="U6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39" s="48" t="str">
        <f>IFERROR(IF(LayTable[[#This Row],[Total inns]]="","",LayTable[[#This Row],[Rback]]/LayTable[[#This Row],[Total inns]]),"")</f>
        <v/>
      </c>
      <c r="X639" s="48" t="str">
        <f>IFERROR(IF(LayTable[[#This Row],[Total inns]]="","",LayTable[[#This Row],[Rlay]]/LayTable[[#This Row],[Total inns]]),"")</f>
        <v/>
      </c>
      <c r="Y639" s="48" t="str">
        <f>IFERROR(LayTable[[#This Row],[Faktisk res]]/LayTable[[#This Row],[Total inns]],"")</f>
        <v/>
      </c>
      <c r="Z639" s="47">
        <f>(LayTable[[#This Row],[BookieInnsats]]*LayTable[[#This Row],[BookieOdds]]-LayTable[[#This Row],[BookieInnsats]])*(1-LayTable[[#This Row],[C% Bookie]])</f>
        <v>0</v>
      </c>
      <c r="AA639" s="43">
        <f>LayTable[[#This Row],[LayInnsats]]*(1-LayTable[[#This Row],[C% Lay]])</f>
        <v>0</v>
      </c>
      <c r="AB639" s="43" t="str">
        <f>IFERROR(IF(LayTable[[#This Row],[Sport]]="",AB638,LayTable[[#This Row],[Faktisk res]]+AB638),"")</f>
        <v/>
      </c>
      <c r="AC639" s="43">
        <f>(LayTable[[#This Row],[BackWin-Commission]]+LayTable[[#This Row],[BookieInnsats]])</f>
        <v>0</v>
      </c>
      <c r="AD639" s="43" t="e">
        <f>(LayTable[[#This Row],[LayWin-Commission]])+LayTable[[#This Row],[LayLiability]]</f>
        <v>#VALUE!</v>
      </c>
      <c r="AE639" s="319"/>
      <c r="AF639" s="319"/>
    </row>
    <row r="640" spans="1:32">
      <c r="A640" s="183"/>
      <c r="B640" s="144"/>
      <c r="C640" s="178"/>
      <c r="D640" s="251"/>
      <c r="E640" s="178"/>
      <c r="F640" s="251"/>
      <c r="G640" s="183"/>
      <c r="H640" s="176"/>
      <c r="I640" s="180"/>
      <c r="J640" s="180"/>
      <c r="K640" s="181"/>
      <c r="L640" s="181"/>
      <c r="M640" s="44" t="str">
        <f>IF(LayTable[[#This Row],[Sport]]="","",LayTable[[#This Row],[LayInnsats]]*(LayTable[[#This Row],[LayOdds]]-1))</f>
        <v/>
      </c>
      <c r="N640" s="45" t="str">
        <f>IF(LayTable[[#This Row],[Sport]]="","",1/((1/LayTable[[#This Row],[BookieOdds]])+(1/((1/((1+((LayTable[[#This Row],[LayOdds]]-1)*(1+LayTable[[#This Row],[C% Lay]])))-1))+1)))-1)</f>
        <v/>
      </c>
      <c r="Q640" s="46" t="str">
        <f>IF(LayTable[[#This Row],[Sport]]="","",LayTable[[#This Row],[BookieInnsats]]+LayTable[[#This Row],[LayLiability]])</f>
        <v/>
      </c>
      <c r="R6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0" s="47" t="str">
        <f>IF(LayTable[[#This Row],[Utfall bookie]]="","",LayTable[[#This Row],[WBABack]]+LayTable[[#This Row],[WBALay]]-LayTable[[#This Row],[Total inns]])</f>
        <v/>
      </c>
      <c r="U6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0" s="48" t="str">
        <f>IFERROR(IF(LayTable[[#This Row],[Total inns]]="","",LayTable[[#This Row],[Rback]]/LayTable[[#This Row],[Total inns]]),"")</f>
        <v/>
      </c>
      <c r="X640" s="48" t="str">
        <f>IFERROR(IF(LayTable[[#This Row],[Total inns]]="","",LayTable[[#This Row],[Rlay]]/LayTable[[#This Row],[Total inns]]),"")</f>
        <v/>
      </c>
      <c r="Y640" s="48" t="str">
        <f>IFERROR(LayTable[[#This Row],[Faktisk res]]/LayTable[[#This Row],[Total inns]],"")</f>
        <v/>
      </c>
      <c r="Z640" s="47">
        <f>(LayTable[[#This Row],[BookieInnsats]]*LayTable[[#This Row],[BookieOdds]]-LayTable[[#This Row],[BookieInnsats]])*(1-LayTable[[#This Row],[C% Bookie]])</f>
        <v>0</v>
      </c>
      <c r="AA640" s="43">
        <f>LayTable[[#This Row],[LayInnsats]]*(1-LayTable[[#This Row],[C% Lay]])</f>
        <v>0</v>
      </c>
      <c r="AB640" s="43" t="str">
        <f>IFERROR(IF(LayTable[[#This Row],[Sport]]="",AB639,LayTable[[#This Row],[Faktisk res]]+AB639),"")</f>
        <v/>
      </c>
      <c r="AC640" s="43">
        <f>(LayTable[[#This Row],[BackWin-Commission]]+LayTable[[#This Row],[BookieInnsats]])</f>
        <v>0</v>
      </c>
      <c r="AD640" s="43" t="e">
        <f>(LayTable[[#This Row],[LayWin-Commission]])+LayTable[[#This Row],[LayLiability]]</f>
        <v>#VALUE!</v>
      </c>
      <c r="AE640" s="319"/>
      <c r="AF640" s="319"/>
    </row>
    <row r="641" spans="1:32">
      <c r="A641" s="183"/>
      <c r="B641" s="144"/>
      <c r="C641" s="178"/>
      <c r="D641" s="251"/>
      <c r="E641" s="178"/>
      <c r="F641" s="251"/>
      <c r="G641" s="183"/>
      <c r="H641" s="176"/>
      <c r="I641" s="180"/>
      <c r="J641" s="180"/>
      <c r="K641" s="181"/>
      <c r="L641" s="181"/>
      <c r="M641" s="44" t="str">
        <f>IF(LayTable[[#This Row],[Sport]]="","",LayTable[[#This Row],[LayInnsats]]*(LayTable[[#This Row],[LayOdds]]-1))</f>
        <v/>
      </c>
      <c r="N641" s="45" t="str">
        <f>IF(LayTable[[#This Row],[Sport]]="","",1/((1/LayTable[[#This Row],[BookieOdds]])+(1/((1/((1+((LayTable[[#This Row],[LayOdds]]-1)*(1+LayTable[[#This Row],[C% Lay]])))-1))+1)))-1)</f>
        <v/>
      </c>
      <c r="Q641" s="46" t="str">
        <f>IF(LayTable[[#This Row],[Sport]]="","",LayTable[[#This Row],[BookieInnsats]]+LayTable[[#This Row],[LayLiability]])</f>
        <v/>
      </c>
      <c r="R6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1" s="47" t="str">
        <f>IF(LayTable[[#This Row],[Utfall bookie]]="","",LayTable[[#This Row],[WBABack]]+LayTable[[#This Row],[WBALay]]-LayTable[[#This Row],[Total inns]])</f>
        <v/>
      </c>
      <c r="U6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1" s="48" t="str">
        <f>IFERROR(IF(LayTable[[#This Row],[Total inns]]="","",LayTable[[#This Row],[Rback]]/LayTable[[#This Row],[Total inns]]),"")</f>
        <v/>
      </c>
      <c r="X641" s="48" t="str">
        <f>IFERROR(IF(LayTable[[#This Row],[Total inns]]="","",LayTable[[#This Row],[Rlay]]/LayTable[[#This Row],[Total inns]]),"")</f>
        <v/>
      </c>
      <c r="Y641" s="48" t="str">
        <f>IFERROR(LayTable[[#This Row],[Faktisk res]]/LayTable[[#This Row],[Total inns]],"")</f>
        <v/>
      </c>
      <c r="Z641" s="47">
        <f>(LayTable[[#This Row],[BookieInnsats]]*LayTable[[#This Row],[BookieOdds]]-LayTable[[#This Row],[BookieInnsats]])*(1-LayTable[[#This Row],[C% Bookie]])</f>
        <v>0</v>
      </c>
      <c r="AA641" s="43">
        <f>LayTable[[#This Row],[LayInnsats]]*(1-LayTable[[#This Row],[C% Lay]])</f>
        <v>0</v>
      </c>
      <c r="AB641" s="43" t="str">
        <f>IFERROR(IF(LayTable[[#This Row],[Sport]]="",AB640,LayTable[[#This Row],[Faktisk res]]+AB640),"")</f>
        <v/>
      </c>
      <c r="AC641" s="43">
        <f>(LayTable[[#This Row],[BackWin-Commission]]+LayTable[[#This Row],[BookieInnsats]])</f>
        <v>0</v>
      </c>
      <c r="AD641" s="43" t="e">
        <f>(LayTable[[#This Row],[LayWin-Commission]])+LayTable[[#This Row],[LayLiability]]</f>
        <v>#VALUE!</v>
      </c>
      <c r="AE641" s="181"/>
      <c r="AF641" s="319"/>
    </row>
    <row r="642" spans="1:32">
      <c r="A642" s="183"/>
      <c r="B642" s="144"/>
      <c r="C642" s="40"/>
      <c r="D642" s="41"/>
      <c r="E642" s="40"/>
      <c r="F642" s="41"/>
      <c r="G642" s="183"/>
      <c r="H642" s="38"/>
      <c r="I642" s="42"/>
      <c r="J642" s="42"/>
      <c r="K642" s="43"/>
      <c r="L642" s="43"/>
      <c r="M642" s="44" t="str">
        <f>IF(LayTable[[#This Row],[Sport]]="","",LayTable[[#This Row],[LayInnsats]]*(LayTable[[#This Row],[LayOdds]]-1))</f>
        <v/>
      </c>
      <c r="N642" s="45" t="str">
        <f>IF(LayTable[[#This Row],[Sport]]="","",1/((1/LayTable[[#This Row],[BookieOdds]])+(1/((1/((1+((LayTable[[#This Row],[LayOdds]]-1)*(1+LayTable[[#This Row],[C% Lay]])))-1))+1)))-1)</f>
        <v/>
      </c>
      <c r="Q642" s="46" t="str">
        <f>IF(LayTable[[#This Row],[Sport]]="","",LayTable[[#This Row],[BookieInnsats]]+LayTable[[#This Row],[LayLiability]])</f>
        <v/>
      </c>
      <c r="R6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2" s="47" t="str">
        <f>IF(LayTable[[#This Row],[Utfall bookie]]="","",LayTable[[#This Row],[WBABack]]+LayTable[[#This Row],[WBALay]]-LayTable[[#This Row],[Total inns]])</f>
        <v/>
      </c>
      <c r="U6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2" s="48" t="str">
        <f>IFERROR(IF(LayTable[[#This Row],[Total inns]]="","",LayTable[[#This Row],[Rback]]/LayTable[[#This Row],[Total inns]]),"")</f>
        <v/>
      </c>
      <c r="X642" s="48" t="str">
        <f>IFERROR(IF(LayTable[[#This Row],[Total inns]]="","",LayTable[[#This Row],[Rlay]]/LayTable[[#This Row],[Total inns]]),"")</f>
        <v/>
      </c>
      <c r="Y642" s="48" t="str">
        <f>IFERROR(LayTable[[#This Row],[Faktisk res]]/LayTable[[#This Row],[Total inns]],"")</f>
        <v/>
      </c>
      <c r="Z642" s="47">
        <f>(LayTable[[#This Row],[BookieInnsats]]*LayTable[[#This Row],[BookieOdds]]-LayTable[[#This Row],[BookieInnsats]])*(1-LayTable[[#This Row],[C% Bookie]])</f>
        <v>0</v>
      </c>
      <c r="AA642" s="43">
        <f>LayTable[[#This Row],[LayInnsats]]*(1-LayTable[[#This Row],[C% Lay]])</f>
        <v>0</v>
      </c>
      <c r="AB642" s="43" t="str">
        <f>IFERROR(IF(LayTable[[#This Row],[Sport]]="",AB641,LayTable[[#This Row],[Faktisk res]]+AB641),"")</f>
        <v/>
      </c>
      <c r="AC642" s="43">
        <f>(LayTable[[#This Row],[BackWin-Commission]]+LayTable[[#This Row],[BookieInnsats]])</f>
        <v>0</v>
      </c>
      <c r="AD642" s="43" t="e">
        <f>(LayTable[[#This Row],[LayWin-Commission]])+LayTable[[#This Row],[LayLiability]]</f>
        <v>#VALUE!</v>
      </c>
      <c r="AE642" s="181"/>
      <c r="AF642" s="319"/>
    </row>
    <row r="643" spans="1:32">
      <c r="A643" s="84"/>
      <c r="B643" s="144"/>
      <c r="C643" s="40"/>
      <c r="D643" s="41"/>
      <c r="E643" s="40"/>
      <c r="F643" s="41"/>
      <c r="G643" s="183"/>
      <c r="H643" s="38"/>
      <c r="I643" s="42"/>
      <c r="J643" s="42"/>
      <c r="K643" s="43"/>
      <c r="L643" s="43"/>
      <c r="M643" s="44" t="str">
        <f>IF(LayTable[[#This Row],[Sport]]="","",LayTable[[#This Row],[LayInnsats]]*(LayTable[[#This Row],[LayOdds]]-1))</f>
        <v/>
      </c>
      <c r="N643" s="45" t="str">
        <f>IF(LayTable[[#This Row],[Sport]]="","",1/((1/LayTable[[#This Row],[BookieOdds]])+(1/((1/((1+((LayTable[[#This Row],[LayOdds]]-1)*(1+LayTable[[#This Row],[C% Lay]])))-1))+1)))-1)</f>
        <v/>
      </c>
      <c r="Q643" s="46" t="str">
        <f>IF(LayTable[[#This Row],[Sport]]="","",LayTable[[#This Row],[BookieInnsats]]+LayTable[[#This Row],[LayLiability]])</f>
        <v/>
      </c>
      <c r="R6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3" s="47" t="str">
        <f>IF(LayTable[[#This Row],[Utfall bookie]]="","",LayTable[[#This Row],[WBABack]]+LayTable[[#This Row],[WBALay]]-LayTable[[#This Row],[Total inns]])</f>
        <v/>
      </c>
      <c r="U6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3" s="48" t="str">
        <f>IFERROR(IF(LayTable[[#This Row],[Total inns]]="","",LayTable[[#This Row],[Rback]]/LayTable[[#This Row],[Total inns]]),"")</f>
        <v/>
      </c>
      <c r="X643" s="48" t="str">
        <f>IFERROR(IF(LayTable[[#This Row],[Total inns]]="","",LayTable[[#This Row],[Rlay]]/LayTable[[#This Row],[Total inns]]),"")</f>
        <v/>
      </c>
      <c r="Y643" s="48" t="str">
        <f>IFERROR(LayTable[[#This Row],[Faktisk res]]/LayTable[[#This Row],[Total inns]],"")</f>
        <v/>
      </c>
      <c r="Z643" s="47">
        <f>(LayTable[[#This Row],[BookieInnsats]]*LayTable[[#This Row],[BookieOdds]]-LayTable[[#This Row],[BookieInnsats]])*(1-LayTable[[#This Row],[C% Bookie]])</f>
        <v>0</v>
      </c>
      <c r="AA643" s="43">
        <f>LayTable[[#This Row],[LayInnsats]]*(1-LayTable[[#This Row],[C% Lay]])</f>
        <v>0</v>
      </c>
      <c r="AB643" s="43" t="str">
        <f>IFERROR(IF(LayTable[[#This Row],[Sport]]="",AB642,LayTable[[#This Row],[Faktisk res]]+AB642),"")</f>
        <v/>
      </c>
      <c r="AC643" s="43">
        <f>(LayTable[[#This Row],[BackWin-Commission]]+LayTable[[#This Row],[BookieInnsats]])</f>
        <v>0</v>
      </c>
      <c r="AD643" s="43" t="e">
        <f>(LayTable[[#This Row],[LayWin-Commission]])+LayTable[[#This Row],[LayLiability]]</f>
        <v>#VALUE!</v>
      </c>
      <c r="AE643" s="319"/>
      <c r="AF643" s="319"/>
    </row>
    <row r="644" spans="1:32">
      <c r="A644" s="84"/>
      <c r="B644" s="144"/>
      <c r="C644" s="40"/>
      <c r="D644" s="41"/>
      <c r="E644" s="40"/>
      <c r="F644" s="41"/>
      <c r="G644" s="183"/>
      <c r="H644" s="38"/>
      <c r="I644" s="42"/>
      <c r="J644" s="42"/>
      <c r="K644" s="43"/>
      <c r="L644" s="43"/>
      <c r="M644" s="44" t="str">
        <f>IF(LayTable[[#This Row],[Sport]]="","",LayTable[[#This Row],[LayInnsats]]*(LayTable[[#This Row],[LayOdds]]-1))</f>
        <v/>
      </c>
      <c r="N644" s="45" t="str">
        <f>IF(LayTable[[#This Row],[Sport]]="","",1/((1/LayTable[[#This Row],[BookieOdds]])+(1/((1/((1+((LayTable[[#This Row],[LayOdds]]-1)*(1+LayTable[[#This Row],[C% Lay]])))-1))+1)))-1)</f>
        <v/>
      </c>
      <c r="Q644" s="46" t="str">
        <f>IF(LayTable[[#This Row],[Sport]]="","",LayTable[[#This Row],[BookieInnsats]]+LayTable[[#This Row],[LayLiability]])</f>
        <v/>
      </c>
      <c r="R6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4" s="47" t="str">
        <f>IF(LayTable[[#This Row],[Utfall bookie]]="","",LayTable[[#This Row],[WBABack]]+LayTable[[#This Row],[WBALay]]-LayTable[[#This Row],[Total inns]])</f>
        <v/>
      </c>
      <c r="U6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4" s="48" t="str">
        <f>IFERROR(IF(LayTable[[#This Row],[Total inns]]="","",LayTable[[#This Row],[Rback]]/LayTable[[#This Row],[Total inns]]),"")</f>
        <v/>
      </c>
      <c r="X644" s="48" t="str">
        <f>IFERROR(IF(LayTable[[#This Row],[Total inns]]="","",LayTable[[#This Row],[Rlay]]/LayTable[[#This Row],[Total inns]]),"")</f>
        <v/>
      </c>
      <c r="Y644" s="48" t="str">
        <f>IFERROR(LayTable[[#This Row],[Faktisk res]]/LayTable[[#This Row],[Total inns]],"")</f>
        <v/>
      </c>
      <c r="Z644" s="47">
        <f>(LayTable[[#This Row],[BookieInnsats]]*LayTable[[#This Row],[BookieOdds]]-LayTable[[#This Row],[BookieInnsats]])*(1-LayTable[[#This Row],[C% Bookie]])</f>
        <v>0</v>
      </c>
      <c r="AA644" s="43">
        <f>LayTable[[#This Row],[LayInnsats]]*(1-LayTable[[#This Row],[C% Lay]])</f>
        <v>0</v>
      </c>
      <c r="AB644" s="43" t="str">
        <f>IFERROR(IF(LayTable[[#This Row],[Sport]]="",AB643,LayTable[[#This Row],[Faktisk res]]+AB643),"")</f>
        <v/>
      </c>
      <c r="AC644" s="43">
        <f>(LayTable[[#This Row],[BackWin-Commission]]+LayTable[[#This Row],[BookieInnsats]])</f>
        <v>0</v>
      </c>
      <c r="AD644" s="43" t="e">
        <f>(LayTable[[#This Row],[LayWin-Commission]])+LayTable[[#This Row],[LayLiability]]</f>
        <v>#VALUE!</v>
      </c>
      <c r="AE644" s="181"/>
      <c r="AF644" s="319"/>
    </row>
    <row r="645" spans="1:32">
      <c r="A645" s="84"/>
      <c r="B645" s="144"/>
      <c r="C645" s="40"/>
      <c r="D645" s="41"/>
      <c r="E645" s="40"/>
      <c r="F645" s="41"/>
      <c r="G645" s="183"/>
      <c r="H645" s="38"/>
      <c r="I645" s="42"/>
      <c r="J645" s="42"/>
      <c r="K645" s="43"/>
      <c r="L645" s="43"/>
      <c r="M645" s="44" t="str">
        <f>IF(LayTable[[#This Row],[Sport]]="","",LayTable[[#This Row],[LayInnsats]]*(LayTable[[#This Row],[LayOdds]]-1))</f>
        <v/>
      </c>
      <c r="N645" s="45" t="str">
        <f>IF(LayTable[[#This Row],[Sport]]="","",1/((1/LayTable[[#This Row],[BookieOdds]])+(1/((1/((1+((LayTable[[#This Row],[LayOdds]]-1)*(1+LayTable[[#This Row],[C% Lay]])))-1))+1)))-1)</f>
        <v/>
      </c>
      <c r="Q645" s="46" t="str">
        <f>IF(LayTable[[#This Row],[Sport]]="","",LayTable[[#This Row],[BookieInnsats]]+LayTable[[#This Row],[LayLiability]])</f>
        <v/>
      </c>
      <c r="R6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5" s="47" t="str">
        <f>IF(LayTable[[#This Row],[Utfall bookie]]="","",LayTable[[#This Row],[WBABack]]+LayTable[[#This Row],[WBALay]]-LayTable[[#This Row],[Total inns]])</f>
        <v/>
      </c>
      <c r="U6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5" s="48" t="str">
        <f>IFERROR(IF(LayTable[[#This Row],[Total inns]]="","",LayTable[[#This Row],[Rback]]/LayTable[[#This Row],[Total inns]]),"")</f>
        <v/>
      </c>
      <c r="X645" s="48" t="str">
        <f>IFERROR(IF(LayTable[[#This Row],[Total inns]]="","",LayTable[[#This Row],[Rlay]]/LayTable[[#This Row],[Total inns]]),"")</f>
        <v/>
      </c>
      <c r="Y645" s="48" t="str">
        <f>IFERROR(LayTable[[#This Row],[Faktisk res]]/LayTable[[#This Row],[Total inns]],"")</f>
        <v/>
      </c>
      <c r="Z645" s="47">
        <f>(LayTable[[#This Row],[BookieInnsats]]*LayTable[[#This Row],[BookieOdds]]-LayTable[[#This Row],[BookieInnsats]])*(1-LayTable[[#This Row],[C% Bookie]])</f>
        <v>0</v>
      </c>
      <c r="AA645" s="43">
        <f>LayTable[[#This Row],[LayInnsats]]*(1-LayTable[[#This Row],[C% Lay]])</f>
        <v>0</v>
      </c>
      <c r="AB645" s="43" t="str">
        <f>IFERROR(IF(LayTable[[#This Row],[Sport]]="",AB644,LayTable[[#This Row],[Faktisk res]]+AB644),"")</f>
        <v/>
      </c>
      <c r="AC645" s="43">
        <f>(LayTable[[#This Row],[BackWin-Commission]]+LayTable[[#This Row],[BookieInnsats]])</f>
        <v>0</v>
      </c>
      <c r="AD645" s="43" t="e">
        <f>(LayTable[[#This Row],[LayWin-Commission]])+LayTable[[#This Row],[LayLiability]]</f>
        <v>#VALUE!</v>
      </c>
      <c r="AE645" s="181"/>
      <c r="AF645" s="319"/>
    </row>
    <row r="646" spans="1:32">
      <c r="A646" s="84"/>
      <c r="B646" s="144"/>
      <c r="C646" s="40"/>
      <c r="D646" s="41"/>
      <c r="E646" s="40"/>
      <c r="F646" s="41"/>
      <c r="G646" s="183"/>
      <c r="H646" s="38"/>
      <c r="I646" s="42"/>
      <c r="J646" s="42"/>
      <c r="K646" s="43"/>
      <c r="L646" s="43"/>
      <c r="M646" s="44" t="str">
        <f>IF(LayTable[[#This Row],[Sport]]="","",LayTable[[#This Row],[LayInnsats]]*(LayTable[[#This Row],[LayOdds]]-1))</f>
        <v/>
      </c>
      <c r="N646" s="45" t="str">
        <f>IF(LayTable[[#This Row],[Sport]]="","",1/((1/LayTable[[#This Row],[BookieOdds]])+(1/((1/((1+((LayTable[[#This Row],[LayOdds]]-1)*(1+LayTable[[#This Row],[C% Lay]])))-1))+1)))-1)</f>
        <v/>
      </c>
      <c r="Q646" s="46" t="str">
        <f>IF(LayTable[[#This Row],[Sport]]="","",LayTable[[#This Row],[BookieInnsats]]+LayTable[[#This Row],[LayLiability]])</f>
        <v/>
      </c>
      <c r="R6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6" s="47" t="str">
        <f>IF(LayTable[[#This Row],[Utfall bookie]]="","",LayTable[[#This Row],[WBABack]]+LayTable[[#This Row],[WBALay]]-LayTable[[#This Row],[Total inns]])</f>
        <v/>
      </c>
      <c r="U6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6" s="48" t="str">
        <f>IFERROR(IF(LayTable[[#This Row],[Total inns]]="","",LayTable[[#This Row],[Rback]]/LayTable[[#This Row],[Total inns]]),"")</f>
        <v/>
      </c>
      <c r="X646" s="48" t="str">
        <f>IFERROR(IF(LayTable[[#This Row],[Total inns]]="","",LayTable[[#This Row],[Rlay]]/LayTable[[#This Row],[Total inns]]),"")</f>
        <v/>
      </c>
      <c r="Y646" s="48" t="str">
        <f>IFERROR(LayTable[[#This Row],[Faktisk res]]/LayTable[[#This Row],[Total inns]],"")</f>
        <v/>
      </c>
      <c r="Z646" s="47">
        <f>(LayTable[[#This Row],[BookieInnsats]]*LayTable[[#This Row],[BookieOdds]]-LayTable[[#This Row],[BookieInnsats]])*(1-LayTable[[#This Row],[C% Bookie]])</f>
        <v>0</v>
      </c>
      <c r="AA646" s="43">
        <f>LayTable[[#This Row],[LayInnsats]]*(1-LayTable[[#This Row],[C% Lay]])</f>
        <v>0</v>
      </c>
      <c r="AB646" s="43" t="str">
        <f>IFERROR(IF(LayTable[[#This Row],[Sport]]="",AB645,LayTable[[#This Row],[Faktisk res]]+AB645),"")</f>
        <v/>
      </c>
      <c r="AC646" s="43">
        <f>(LayTable[[#This Row],[BackWin-Commission]]+LayTable[[#This Row],[BookieInnsats]])</f>
        <v>0</v>
      </c>
      <c r="AD646" s="43" t="e">
        <f>(LayTable[[#This Row],[LayWin-Commission]])+LayTable[[#This Row],[LayLiability]]</f>
        <v>#VALUE!</v>
      </c>
      <c r="AE646" s="181"/>
      <c r="AF646" s="319"/>
    </row>
    <row r="647" spans="1:32">
      <c r="A647" s="84"/>
      <c r="B647" s="144"/>
      <c r="C647" s="40"/>
      <c r="D647" s="41"/>
      <c r="E647" s="40"/>
      <c r="F647" s="41"/>
      <c r="G647" s="183"/>
      <c r="H647" s="38"/>
      <c r="I647" s="42"/>
      <c r="J647" s="42"/>
      <c r="K647" s="43"/>
      <c r="L647" s="43"/>
      <c r="M647" s="44" t="str">
        <f>IF(LayTable[[#This Row],[Sport]]="","",LayTable[[#This Row],[LayInnsats]]*(LayTable[[#This Row],[LayOdds]]-1))</f>
        <v/>
      </c>
      <c r="N647" s="45" t="str">
        <f>IF(LayTable[[#This Row],[Sport]]="","",1/((1/LayTable[[#This Row],[BookieOdds]])+(1/((1/((1+((LayTable[[#This Row],[LayOdds]]-1)*(1+LayTable[[#This Row],[C% Lay]])))-1))+1)))-1)</f>
        <v/>
      </c>
      <c r="Q647" s="46" t="str">
        <f>IF(LayTable[[#This Row],[Sport]]="","",LayTable[[#This Row],[BookieInnsats]]+LayTable[[#This Row],[LayLiability]])</f>
        <v/>
      </c>
      <c r="R6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7" s="47" t="str">
        <f>IF(LayTable[[#This Row],[Utfall bookie]]="","",LayTable[[#This Row],[WBABack]]+LayTable[[#This Row],[WBALay]]-LayTable[[#This Row],[Total inns]])</f>
        <v/>
      </c>
      <c r="U6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7" s="48" t="str">
        <f>IFERROR(IF(LayTable[[#This Row],[Total inns]]="","",LayTable[[#This Row],[Rback]]/LayTable[[#This Row],[Total inns]]),"")</f>
        <v/>
      </c>
      <c r="X647" s="48" t="str">
        <f>IFERROR(IF(LayTable[[#This Row],[Total inns]]="","",LayTable[[#This Row],[Rlay]]/LayTable[[#This Row],[Total inns]]),"")</f>
        <v/>
      </c>
      <c r="Y647" s="48" t="str">
        <f>IFERROR(LayTable[[#This Row],[Faktisk res]]/LayTable[[#This Row],[Total inns]],"")</f>
        <v/>
      </c>
      <c r="Z647" s="47">
        <f>(LayTable[[#This Row],[BookieInnsats]]*LayTable[[#This Row],[BookieOdds]]-LayTable[[#This Row],[BookieInnsats]])*(1-LayTable[[#This Row],[C% Bookie]])</f>
        <v>0</v>
      </c>
      <c r="AA647" s="43">
        <f>LayTable[[#This Row],[LayInnsats]]*(1-LayTable[[#This Row],[C% Lay]])</f>
        <v>0</v>
      </c>
      <c r="AB647" s="43" t="str">
        <f>IFERROR(IF(LayTable[[#This Row],[Sport]]="",AB646,LayTable[[#This Row],[Faktisk res]]+AB646),"")</f>
        <v/>
      </c>
      <c r="AC647" s="43">
        <f>(LayTable[[#This Row],[BackWin-Commission]]+LayTable[[#This Row],[BookieInnsats]])</f>
        <v>0</v>
      </c>
      <c r="AD647" s="43" t="e">
        <f>(LayTable[[#This Row],[LayWin-Commission]])+LayTable[[#This Row],[LayLiability]]</f>
        <v>#VALUE!</v>
      </c>
      <c r="AE647" s="181"/>
      <c r="AF647" s="319"/>
    </row>
    <row r="648" spans="1:32">
      <c r="A648" s="84"/>
      <c r="B648" s="144"/>
      <c r="C648" s="40"/>
      <c r="D648" s="41"/>
      <c r="E648" s="40"/>
      <c r="F648" s="41"/>
      <c r="G648" s="183"/>
      <c r="H648" s="38"/>
      <c r="I648" s="42"/>
      <c r="J648" s="42"/>
      <c r="K648" s="43"/>
      <c r="L648" s="43"/>
      <c r="M648" s="44" t="str">
        <f>IF(LayTable[[#This Row],[Sport]]="","",LayTable[[#This Row],[LayInnsats]]*(LayTable[[#This Row],[LayOdds]]-1))</f>
        <v/>
      </c>
      <c r="N648" s="45" t="str">
        <f>IF(LayTable[[#This Row],[Sport]]="","",1/((1/LayTable[[#This Row],[BookieOdds]])+(1/((1/((1+((LayTable[[#This Row],[LayOdds]]-1)*(1+LayTable[[#This Row],[C% Lay]])))-1))+1)))-1)</f>
        <v/>
      </c>
      <c r="Q648" s="46" t="str">
        <f>IF(LayTable[[#This Row],[Sport]]="","",LayTable[[#This Row],[BookieInnsats]]+LayTable[[#This Row],[LayLiability]])</f>
        <v/>
      </c>
      <c r="R6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8" s="47" t="str">
        <f>IF(LayTable[[#This Row],[Utfall bookie]]="","",LayTable[[#This Row],[WBABack]]+LayTable[[#This Row],[WBALay]]-LayTable[[#This Row],[Total inns]])</f>
        <v/>
      </c>
      <c r="U6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8" s="48" t="str">
        <f>IFERROR(IF(LayTable[[#This Row],[Total inns]]="","",LayTable[[#This Row],[Rback]]/LayTable[[#This Row],[Total inns]]),"")</f>
        <v/>
      </c>
      <c r="X648" s="48" t="str">
        <f>IFERROR(IF(LayTable[[#This Row],[Total inns]]="","",LayTable[[#This Row],[Rlay]]/LayTable[[#This Row],[Total inns]]),"")</f>
        <v/>
      </c>
      <c r="Y648" s="48" t="str">
        <f>IFERROR(LayTable[[#This Row],[Faktisk res]]/LayTable[[#This Row],[Total inns]],"")</f>
        <v/>
      </c>
      <c r="Z648" s="47">
        <f>(LayTable[[#This Row],[BookieInnsats]]*LayTable[[#This Row],[BookieOdds]]-LayTable[[#This Row],[BookieInnsats]])*(1-LayTable[[#This Row],[C% Bookie]])</f>
        <v>0</v>
      </c>
      <c r="AA648" s="43">
        <f>LayTable[[#This Row],[LayInnsats]]*(1-LayTable[[#This Row],[C% Lay]])</f>
        <v>0</v>
      </c>
      <c r="AB648" s="43" t="str">
        <f>IFERROR(IF(LayTable[[#This Row],[Sport]]="",AB647,LayTable[[#This Row],[Faktisk res]]+AB647),"")</f>
        <v/>
      </c>
      <c r="AC648" s="43">
        <f>(LayTable[[#This Row],[BackWin-Commission]]+LayTable[[#This Row],[BookieInnsats]])</f>
        <v>0</v>
      </c>
      <c r="AD648" s="43" t="e">
        <f>(LayTable[[#This Row],[LayWin-Commission]])+LayTable[[#This Row],[LayLiability]]</f>
        <v>#VALUE!</v>
      </c>
      <c r="AE648" s="181"/>
      <c r="AF648" s="319"/>
    </row>
    <row r="649" spans="1:32">
      <c r="A649" s="84"/>
      <c r="B649" s="144"/>
      <c r="C649" s="40"/>
      <c r="D649" s="41"/>
      <c r="E649" s="40"/>
      <c r="F649" s="41"/>
      <c r="G649" s="183"/>
      <c r="H649" s="38"/>
      <c r="I649" s="42"/>
      <c r="J649" s="42"/>
      <c r="K649" s="43"/>
      <c r="L649" s="43"/>
      <c r="M649" s="44" t="str">
        <f>IF(LayTable[[#This Row],[Sport]]="","",LayTable[[#This Row],[LayInnsats]]*(LayTable[[#This Row],[LayOdds]]-1))</f>
        <v/>
      </c>
      <c r="N649" s="45" t="str">
        <f>IF(LayTable[[#This Row],[Sport]]="","",1/((1/LayTable[[#This Row],[BookieOdds]])+(1/((1/((1+((LayTable[[#This Row],[LayOdds]]-1)*(1+LayTable[[#This Row],[C% Lay]])))-1))+1)))-1)</f>
        <v/>
      </c>
      <c r="Q649" s="46" t="str">
        <f>IF(LayTable[[#This Row],[Sport]]="","",LayTable[[#This Row],[BookieInnsats]]+LayTable[[#This Row],[LayLiability]])</f>
        <v/>
      </c>
      <c r="R6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49" s="47" t="str">
        <f>IF(LayTable[[#This Row],[Utfall bookie]]="","",LayTable[[#This Row],[WBABack]]+LayTable[[#This Row],[WBALay]]-LayTable[[#This Row],[Total inns]])</f>
        <v/>
      </c>
      <c r="U6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49" s="48" t="str">
        <f>IFERROR(IF(LayTable[[#This Row],[Total inns]]="","",LayTable[[#This Row],[Rback]]/LayTable[[#This Row],[Total inns]]),"")</f>
        <v/>
      </c>
      <c r="X649" s="48" t="str">
        <f>IFERROR(IF(LayTable[[#This Row],[Total inns]]="","",LayTable[[#This Row],[Rlay]]/LayTable[[#This Row],[Total inns]]),"")</f>
        <v/>
      </c>
      <c r="Y649" s="48" t="str">
        <f>IFERROR(LayTable[[#This Row],[Faktisk res]]/LayTable[[#This Row],[Total inns]],"")</f>
        <v/>
      </c>
      <c r="Z649" s="47">
        <f>(LayTable[[#This Row],[BookieInnsats]]*LayTable[[#This Row],[BookieOdds]]-LayTable[[#This Row],[BookieInnsats]])*(1-LayTable[[#This Row],[C% Bookie]])</f>
        <v>0</v>
      </c>
      <c r="AA649" s="43">
        <f>LayTable[[#This Row],[LayInnsats]]*(1-LayTable[[#This Row],[C% Lay]])</f>
        <v>0</v>
      </c>
      <c r="AB649" s="43" t="str">
        <f>IFERROR(IF(LayTable[[#This Row],[Sport]]="",AB648,LayTable[[#This Row],[Faktisk res]]+AB648),"")</f>
        <v/>
      </c>
      <c r="AC649" s="43">
        <f>(LayTable[[#This Row],[BackWin-Commission]]+LayTable[[#This Row],[BookieInnsats]])</f>
        <v>0</v>
      </c>
      <c r="AD649" s="43" t="e">
        <f>(LayTable[[#This Row],[LayWin-Commission]])+LayTable[[#This Row],[LayLiability]]</f>
        <v>#VALUE!</v>
      </c>
      <c r="AE649" s="319"/>
      <c r="AF649" s="319"/>
    </row>
    <row r="650" spans="1:32">
      <c r="A650" s="84"/>
      <c r="B650" s="144"/>
      <c r="C650" s="40"/>
      <c r="D650" s="41"/>
      <c r="E650" s="40"/>
      <c r="F650" s="41"/>
      <c r="G650" s="183"/>
      <c r="H650" s="38"/>
      <c r="I650" s="42"/>
      <c r="J650" s="42"/>
      <c r="K650" s="43"/>
      <c r="L650" s="43"/>
      <c r="M650" s="44" t="str">
        <f>IF(LayTable[[#This Row],[Sport]]="","",LayTable[[#This Row],[LayInnsats]]*(LayTable[[#This Row],[LayOdds]]-1))</f>
        <v/>
      </c>
      <c r="N650" s="45" t="str">
        <f>IF(LayTable[[#This Row],[Sport]]="","",1/((1/LayTable[[#This Row],[BookieOdds]])+(1/((1/((1+((LayTable[[#This Row],[LayOdds]]-1)*(1+LayTable[[#This Row],[C% Lay]])))-1))+1)))-1)</f>
        <v/>
      </c>
      <c r="Q650" s="46" t="str">
        <f>IF(LayTable[[#This Row],[Sport]]="","",LayTable[[#This Row],[BookieInnsats]]+LayTable[[#This Row],[LayLiability]])</f>
        <v/>
      </c>
      <c r="R6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0" s="47" t="str">
        <f>IF(LayTable[[#This Row],[Utfall bookie]]="","",LayTable[[#This Row],[WBABack]]+LayTable[[#This Row],[WBALay]]-LayTable[[#This Row],[Total inns]])</f>
        <v/>
      </c>
      <c r="U6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0" s="48" t="str">
        <f>IFERROR(IF(LayTable[[#This Row],[Total inns]]="","",LayTable[[#This Row],[Rback]]/LayTable[[#This Row],[Total inns]]),"")</f>
        <v/>
      </c>
      <c r="X650" s="48" t="str">
        <f>IFERROR(IF(LayTable[[#This Row],[Total inns]]="","",LayTable[[#This Row],[Rlay]]/LayTable[[#This Row],[Total inns]]),"")</f>
        <v/>
      </c>
      <c r="Y650" s="48" t="str">
        <f>IFERROR(LayTable[[#This Row],[Faktisk res]]/LayTable[[#This Row],[Total inns]],"")</f>
        <v/>
      </c>
      <c r="Z650" s="47">
        <f>(LayTable[[#This Row],[BookieInnsats]]*LayTable[[#This Row],[BookieOdds]]-LayTable[[#This Row],[BookieInnsats]])*(1-LayTable[[#This Row],[C% Bookie]])</f>
        <v>0</v>
      </c>
      <c r="AA650" s="43">
        <f>LayTable[[#This Row],[LayInnsats]]*(1-LayTable[[#This Row],[C% Lay]])</f>
        <v>0</v>
      </c>
      <c r="AB650" s="43" t="str">
        <f>IFERROR(IF(LayTable[[#This Row],[Sport]]="",AB649,LayTable[[#This Row],[Faktisk res]]+AB649),"")</f>
        <v/>
      </c>
      <c r="AC650" s="43">
        <f>(LayTable[[#This Row],[BackWin-Commission]]+LayTable[[#This Row],[BookieInnsats]])</f>
        <v>0</v>
      </c>
      <c r="AD650" s="43" t="e">
        <f>(LayTable[[#This Row],[LayWin-Commission]])+LayTable[[#This Row],[LayLiability]]</f>
        <v>#VALUE!</v>
      </c>
      <c r="AE650" s="319"/>
      <c r="AF650" s="319"/>
    </row>
    <row r="651" spans="1:32">
      <c r="A651" s="84"/>
      <c r="B651" s="144"/>
      <c r="C651" s="40"/>
      <c r="D651" s="41"/>
      <c r="E651" s="40"/>
      <c r="F651" s="41"/>
      <c r="G651" s="183"/>
      <c r="H651" s="38"/>
      <c r="I651" s="42"/>
      <c r="J651" s="42"/>
      <c r="K651" s="43"/>
      <c r="L651" s="43"/>
      <c r="M651" s="44" t="str">
        <f>IF(LayTable[[#This Row],[Sport]]="","",LayTable[[#This Row],[LayInnsats]]*(LayTable[[#This Row],[LayOdds]]-1))</f>
        <v/>
      </c>
      <c r="N651" s="45" t="str">
        <f>IF(LayTable[[#This Row],[Sport]]="","",1/((1/LayTable[[#This Row],[BookieOdds]])+(1/((1/((1+((LayTable[[#This Row],[LayOdds]]-1)*(1+LayTable[[#This Row],[C% Lay]])))-1))+1)))-1)</f>
        <v/>
      </c>
      <c r="Q651" s="46" t="str">
        <f>IF(LayTable[[#This Row],[Sport]]="","",LayTable[[#This Row],[BookieInnsats]]+LayTable[[#This Row],[LayLiability]])</f>
        <v/>
      </c>
      <c r="R6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1" s="47" t="str">
        <f>IF(LayTable[[#This Row],[Utfall bookie]]="","",LayTable[[#This Row],[WBABack]]+LayTable[[#This Row],[WBALay]]-LayTable[[#This Row],[Total inns]])</f>
        <v/>
      </c>
      <c r="U6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1" s="48" t="str">
        <f>IFERROR(IF(LayTable[[#This Row],[Total inns]]="","",LayTable[[#This Row],[Rback]]/LayTable[[#This Row],[Total inns]]),"")</f>
        <v/>
      </c>
      <c r="X651" s="48" t="str">
        <f>IFERROR(IF(LayTable[[#This Row],[Total inns]]="","",LayTable[[#This Row],[Rlay]]/LayTable[[#This Row],[Total inns]]),"")</f>
        <v/>
      </c>
      <c r="Y651" s="48" t="str">
        <f>IFERROR(LayTable[[#This Row],[Faktisk res]]/LayTable[[#This Row],[Total inns]],"")</f>
        <v/>
      </c>
      <c r="Z651" s="47">
        <f>(LayTable[[#This Row],[BookieInnsats]]*LayTable[[#This Row],[BookieOdds]]-LayTable[[#This Row],[BookieInnsats]])*(1-LayTable[[#This Row],[C% Bookie]])</f>
        <v>0</v>
      </c>
      <c r="AA651" s="43">
        <f>LayTable[[#This Row],[LayInnsats]]*(1-LayTable[[#This Row],[C% Lay]])</f>
        <v>0</v>
      </c>
      <c r="AB651" s="43" t="str">
        <f>IFERROR(IF(LayTable[[#This Row],[Sport]]="",AB650,LayTable[[#This Row],[Faktisk res]]+AB650),"")</f>
        <v/>
      </c>
      <c r="AC651" s="43">
        <f>(LayTable[[#This Row],[BackWin-Commission]]+LayTable[[#This Row],[BookieInnsats]])</f>
        <v>0</v>
      </c>
      <c r="AD651" s="43" t="e">
        <f>(LayTable[[#This Row],[LayWin-Commission]])+LayTable[[#This Row],[LayLiability]]</f>
        <v>#VALUE!</v>
      </c>
      <c r="AE651" s="181"/>
      <c r="AF651" s="319"/>
    </row>
    <row r="652" spans="1:32">
      <c r="A652" s="84"/>
      <c r="B652" s="144"/>
      <c r="C652" s="40"/>
      <c r="D652" s="41"/>
      <c r="E652" s="40"/>
      <c r="F652" s="41"/>
      <c r="G652" s="183"/>
      <c r="H652" s="38"/>
      <c r="I652" s="42"/>
      <c r="J652" s="42"/>
      <c r="K652" s="43"/>
      <c r="L652" s="43"/>
      <c r="M652" s="44" t="str">
        <f>IF(LayTable[[#This Row],[Sport]]="","",LayTable[[#This Row],[LayInnsats]]*(LayTable[[#This Row],[LayOdds]]-1))</f>
        <v/>
      </c>
      <c r="N652" s="45" t="str">
        <f>IF(LayTable[[#This Row],[Sport]]="","",1/((1/LayTable[[#This Row],[BookieOdds]])+(1/((1/((1+((LayTable[[#This Row],[LayOdds]]-1)*(1+LayTable[[#This Row],[C% Lay]])))-1))+1)))-1)</f>
        <v/>
      </c>
      <c r="Q652" s="46" t="str">
        <f>IF(LayTable[[#This Row],[Sport]]="","",LayTable[[#This Row],[BookieInnsats]]+LayTable[[#This Row],[LayLiability]])</f>
        <v/>
      </c>
      <c r="R6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2" s="47" t="str">
        <f>IF(LayTable[[#This Row],[Utfall bookie]]="","",LayTable[[#This Row],[WBABack]]+LayTable[[#This Row],[WBALay]]-LayTable[[#This Row],[Total inns]])</f>
        <v/>
      </c>
      <c r="U6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2" s="48" t="str">
        <f>IFERROR(IF(LayTable[[#This Row],[Total inns]]="","",LayTable[[#This Row],[Rback]]/LayTable[[#This Row],[Total inns]]),"")</f>
        <v/>
      </c>
      <c r="X652" s="48" t="str">
        <f>IFERROR(IF(LayTable[[#This Row],[Total inns]]="","",LayTable[[#This Row],[Rlay]]/LayTable[[#This Row],[Total inns]]),"")</f>
        <v/>
      </c>
      <c r="Y652" s="48" t="str">
        <f>IFERROR(LayTable[[#This Row],[Faktisk res]]/LayTable[[#This Row],[Total inns]],"")</f>
        <v/>
      </c>
      <c r="Z652" s="47">
        <f>(LayTable[[#This Row],[BookieInnsats]]*LayTable[[#This Row],[BookieOdds]]-LayTable[[#This Row],[BookieInnsats]])*(1-LayTable[[#This Row],[C% Bookie]])</f>
        <v>0</v>
      </c>
      <c r="AA652" s="43">
        <f>LayTable[[#This Row],[LayInnsats]]*(1-LayTable[[#This Row],[C% Lay]])</f>
        <v>0</v>
      </c>
      <c r="AB652" s="43" t="str">
        <f>IFERROR(IF(LayTable[[#This Row],[Sport]]="",AB651,LayTable[[#This Row],[Faktisk res]]+AB651),"")</f>
        <v/>
      </c>
      <c r="AC652" s="43">
        <f>(LayTable[[#This Row],[BackWin-Commission]]+LayTable[[#This Row],[BookieInnsats]])</f>
        <v>0</v>
      </c>
      <c r="AD652" s="43" t="e">
        <f>(LayTable[[#This Row],[LayWin-Commission]])+LayTable[[#This Row],[LayLiability]]</f>
        <v>#VALUE!</v>
      </c>
      <c r="AE652" s="181"/>
      <c r="AF652" s="319"/>
    </row>
    <row r="653" spans="1:32">
      <c r="A653" s="84"/>
      <c r="B653" s="144"/>
      <c r="C653" s="40"/>
      <c r="D653" s="41"/>
      <c r="E653" s="40"/>
      <c r="F653" s="41"/>
      <c r="G653" s="183"/>
      <c r="H653" s="38"/>
      <c r="I653" s="42"/>
      <c r="J653" s="42"/>
      <c r="K653" s="43"/>
      <c r="L653" s="43"/>
      <c r="M653" s="44" t="str">
        <f>IF(LayTable[[#This Row],[Sport]]="","",LayTable[[#This Row],[LayInnsats]]*(LayTable[[#This Row],[LayOdds]]-1))</f>
        <v/>
      </c>
      <c r="N653" s="45" t="str">
        <f>IF(LayTable[[#This Row],[Sport]]="","",1/((1/LayTable[[#This Row],[BookieOdds]])+(1/((1/((1+((LayTable[[#This Row],[LayOdds]]-1)*(1+LayTable[[#This Row],[C% Lay]])))-1))+1)))-1)</f>
        <v/>
      </c>
      <c r="Q653" s="46" t="str">
        <f>IF(LayTable[[#This Row],[Sport]]="","",LayTable[[#This Row],[BookieInnsats]]+LayTable[[#This Row],[LayLiability]])</f>
        <v/>
      </c>
      <c r="R6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3" s="47" t="str">
        <f>IF(LayTable[[#This Row],[Utfall bookie]]="","",LayTable[[#This Row],[WBABack]]+LayTable[[#This Row],[WBALay]]-LayTable[[#This Row],[Total inns]])</f>
        <v/>
      </c>
      <c r="U6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3" s="48" t="str">
        <f>IFERROR(IF(LayTable[[#This Row],[Total inns]]="","",LayTable[[#This Row],[Rback]]/LayTable[[#This Row],[Total inns]]),"")</f>
        <v/>
      </c>
      <c r="X653" s="48" t="str">
        <f>IFERROR(IF(LayTable[[#This Row],[Total inns]]="","",LayTable[[#This Row],[Rlay]]/LayTable[[#This Row],[Total inns]]),"")</f>
        <v/>
      </c>
      <c r="Y653" s="48" t="str">
        <f>IFERROR(LayTable[[#This Row],[Faktisk res]]/LayTable[[#This Row],[Total inns]],"")</f>
        <v/>
      </c>
      <c r="Z653" s="47">
        <f>(LayTable[[#This Row],[BookieInnsats]]*LayTable[[#This Row],[BookieOdds]]-LayTable[[#This Row],[BookieInnsats]])*(1-LayTable[[#This Row],[C% Bookie]])</f>
        <v>0</v>
      </c>
      <c r="AA653" s="43">
        <f>LayTable[[#This Row],[LayInnsats]]*(1-LayTable[[#This Row],[C% Lay]])</f>
        <v>0</v>
      </c>
      <c r="AB653" s="43" t="str">
        <f>IFERROR(IF(LayTable[[#This Row],[Sport]]="",AB652,LayTable[[#This Row],[Faktisk res]]+AB652),"")</f>
        <v/>
      </c>
      <c r="AC653" s="43">
        <f>(LayTable[[#This Row],[BackWin-Commission]]+LayTable[[#This Row],[BookieInnsats]])</f>
        <v>0</v>
      </c>
      <c r="AD653" s="43" t="e">
        <f>(LayTable[[#This Row],[LayWin-Commission]])+LayTable[[#This Row],[LayLiability]]</f>
        <v>#VALUE!</v>
      </c>
      <c r="AE653" s="181"/>
      <c r="AF653" s="319"/>
    </row>
    <row r="654" spans="1:32">
      <c r="A654" s="84"/>
      <c r="B654" s="144"/>
      <c r="C654" s="40"/>
      <c r="D654" s="41"/>
      <c r="E654" s="40"/>
      <c r="F654" s="41"/>
      <c r="G654" s="183"/>
      <c r="H654" s="38"/>
      <c r="I654" s="42"/>
      <c r="J654" s="42"/>
      <c r="K654" s="43"/>
      <c r="L654" s="43"/>
      <c r="M654" s="44" t="str">
        <f>IF(LayTable[[#This Row],[Sport]]="","",LayTable[[#This Row],[LayInnsats]]*(LayTable[[#This Row],[LayOdds]]-1))</f>
        <v/>
      </c>
      <c r="N654" s="45" t="str">
        <f>IF(LayTable[[#This Row],[Sport]]="","",1/((1/LayTable[[#This Row],[BookieOdds]])+(1/((1/((1+((LayTable[[#This Row],[LayOdds]]-1)*(1+LayTable[[#This Row],[C% Lay]])))-1))+1)))-1)</f>
        <v/>
      </c>
      <c r="Q654" s="46" t="str">
        <f>IF(LayTable[[#This Row],[Sport]]="","",LayTable[[#This Row],[BookieInnsats]]+LayTable[[#This Row],[LayLiability]])</f>
        <v/>
      </c>
      <c r="R6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4" s="47" t="str">
        <f>IF(LayTable[[#This Row],[Utfall bookie]]="","",LayTable[[#This Row],[WBABack]]+LayTable[[#This Row],[WBALay]]-LayTable[[#This Row],[Total inns]])</f>
        <v/>
      </c>
      <c r="U6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4" s="48" t="str">
        <f>IFERROR(IF(LayTable[[#This Row],[Total inns]]="","",LayTable[[#This Row],[Rback]]/LayTable[[#This Row],[Total inns]]),"")</f>
        <v/>
      </c>
      <c r="X654" s="48" t="str">
        <f>IFERROR(IF(LayTable[[#This Row],[Total inns]]="","",LayTable[[#This Row],[Rlay]]/LayTable[[#This Row],[Total inns]]),"")</f>
        <v/>
      </c>
      <c r="Y654" s="48" t="str">
        <f>IFERROR(LayTable[[#This Row],[Faktisk res]]/LayTable[[#This Row],[Total inns]],"")</f>
        <v/>
      </c>
      <c r="Z654" s="47">
        <f>(LayTable[[#This Row],[BookieInnsats]]*LayTable[[#This Row],[BookieOdds]]-LayTable[[#This Row],[BookieInnsats]])*(1-LayTable[[#This Row],[C% Bookie]])</f>
        <v>0</v>
      </c>
      <c r="AA654" s="43">
        <f>LayTable[[#This Row],[LayInnsats]]*(1-LayTable[[#This Row],[C% Lay]])</f>
        <v>0</v>
      </c>
      <c r="AB654" s="43" t="str">
        <f>IFERROR(IF(LayTable[[#This Row],[Sport]]="",AB653,LayTable[[#This Row],[Faktisk res]]+AB653),"")</f>
        <v/>
      </c>
      <c r="AC654" s="43">
        <f>(LayTable[[#This Row],[BackWin-Commission]]+LayTable[[#This Row],[BookieInnsats]])</f>
        <v>0</v>
      </c>
      <c r="AD654" s="43" t="e">
        <f>(LayTable[[#This Row],[LayWin-Commission]])+LayTable[[#This Row],[LayLiability]]</f>
        <v>#VALUE!</v>
      </c>
      <c r="AE654" s="181"/>
      <c r="AF654" s="319"/>
    </row>
    <row r="655" spans="1:32">
      <c r="A655" s="84"/>
      <c r="B655" s="144"/>
      <c r="C655" s="40"/>
      <c r="D655" s="41"/>
      <c r="E655" s="40"/>
      <c r="F655" s="41"/>
      <c r="G655" s="183"/>
      <c r="H655" s="38"/>
      <c r="I655" s="42"/>
      <c r="J655" s="42"/>
      <c r="K655" s="43"/>
      <c r="L655" s="43"/>
      <c r="M655" s="44" t="str">
        <f>IF(LayTable[[#This Row],[Sport]]="","",LayTable[[#This Row],[LayInnsats]]*(LayTable[[#This Row],[LayOdds]]-1))</f>
        <v/>
      </c>
      <c r="N655" s="45" t="str">
        <f>IF(LayTable[[#This Row],[Sport]]="","",1/((1/LayTable[[#This Row],[BookieOdds]])+(1/((1/((1+((LayTable[[#This Row],[LayOdds]]-1)*(1+LayTable[[#This Row],[C% Lay]])))-1))+1)))-1)</f>
        <v/>
      </c>
      <c r="Q655" s="46" t="str">
        <f>IF(LayTable[[#This Row],[Sport]]="","",LayTable[[#This Row],[BookieInnsats]]+LayTable[[#This Row],[LayLiability]])</f>
        <v/>
      </c>
      <c r="R6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5" s="47" t="str">
        <f>IF(LayTable[[#This Row],[Utfall bookie]]="","",LayTable[[#This Row],[WBABack]]+LayTable[[#This Row],[WBALay]]-LayTable[[#This Row],[Total inns]])</f>
        <v/>
      </c>
      <c r="U6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5" s="48" t="str">
        <f>IFERROR(IF(LayTable[[#This Row],[Total inns]]="","",LayTable[[#This Row],[Rback]]/LayTable[[#This Row],[Total inns]]),"")</f>
        <v/>
      </c>
      <c r="X655" s="48" t="str">
        <f>IFERROR(IF(LayTable[[#This Row],[Total inns]]="","",LayTable[[#This Row],[Rlay]]/LayTable[[#This Row],[Total inns]]),"")</f>
        <v/>
      </c>
      <c r="Y655" s="48" t="str">
        <f>IFERROR(LayTable[[#This Row],[Faktisk res]]/LayTable[[#This Row],[Total inns]],"")</f>
        <v/>
      </c>
      <c r="Z655" s="47">
        <f>(LayTable[[#This Row],[BookieInnsats]]*LayTable[[#This Row],[BookieOdds]]-LayTable[[#This Row],[BookieInnsats]])*(1-LayTable[[#This Row],[C% Bookie]])</f>
        <v>0</v>
      </c>
      <c r="AA655" s="43">
        <f>LayTable[[#This Row],[LayInnsats]]*(1-LayTable[[#This Row],[C% Lay]])</f>
        <v>0</v>
      </c>
      <c r="AB655" s="43" t="str">
        <f>IFERROR(IF(LayTable[[#This Row],[Sport]]="",AB654,LayTable[[#This Row],[Faktisk res]]+AB654),"")</f>
        <v/>
      </c>
      <c r="AC655" s="43">
        <f>(LayTable[[#This Row],[BackWin-Commission]]+LayTable[[#This Row],[BookieInnsats]])</f>
        <v>0</v>
      </c>
      <c r="AD655" s="43" t="e">
        <f>(LayTable[[#This Row],[LayWin-Commission]])+LayTable[[#This Row],[LayLiability]]</f>
        <v>#VALUE!</v>
      </c>
      <c r="AE655" s="181"/>
      <c r="AF655" s="319"/>
    </row>
    <row r="656" spans="1:32">
      <c r="A656" s="84"/>
      <c r="B656" s="144"/>
      <c r="C656" s="40"/>
      <c r="D656" s="41"/>
      <c r="E656" s="40"/>
      <c r="F656" s="41"/>
      <c r="G656" s="183"/>
      <c r="H656" s="38"/>
      <c r="I656" s="42"/>
      <c r="J656" s="42"/>
      <c r="K656" s="43"/>
      <c r="L656" s="43"/>
      <c r="M656" s="44" t="str">
        <f>IF(LayTable[[#This Row],[Sport]]="","",LayTable[[#This Row],[LayInnsats]]*(LayTable[[#This Row],[LayOdds]]-1))</f>
        <v/>
      </c>
      <c r="N656" s="45" t="str">
        <f>IF(LayTable[[#This Row],[Sport]]="","",1/((1/LayTable[[#This Row],[BookieOdds]])+(1/((1/((1+((LayTable[[#This Row],[LayOdds]]-1)*(1+LayTable[[#This Row],[C% Lay]])))-1))+1)))-1)</f>
        <v/>
      </c>
      <c r="Q656" s="46" t="str">
        <f>IF(LayTable[[#This Row],[Sport]]="","",LayTable[[#This Row],[BookieInnsats]]+LayTable[[#This Row],[LayLiability]])</f>
        <v/>
      </c>
      <c r="R6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6" s="47" t="str">
        <f>IF(LayTable[[#This Row],[Utfall bookie]]="","",LayTable[[#This Row],[WBABack]]+LayTable[[#This Row],[WBALay]]-LayTable[[#This Row],[Total inns]])</f>
        <v/>
      </c>
      <c r="U6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6" s="48" t="str">
        <f>IFERROR(IF(LayTable[[#This Row],[Total inns]]="","",LayTable[[#This Row],[Rback]]/LayTable[[#This Row],[Total inns]]),"")</f>
        <v/>
      </c>
      <c r="X656" s="48" t="str">
        <f>IFERROR(IF(LayTable[[#This Row],[Total inns]]="","",LayTable[[#This Row],[Rlay]]/LayTable[[#This Row],[Total inns]]),"")</f>
        <v/>
      </c>
      <c r="Y656" s="48" t="str">
        <f>IFERROR(LayTable[[#This Row],[Faktisk res]]/LayTable[[#This Row],[Total inns]],"")</f>
        <v/>
      </c>
      <c r="Z656" s="47">
        <f>(LayTable[[#This Row],[BookieInnsats]]*LayTable[[#This Row],[BookieOdds]]-LayTable[[#This Row],[BookieInnsats]])*(1-LayTable[[#This Row],[C% Bookie]])</f>
        <v>0</v>
      </c>
      <c r="AA656" s="43">
        <f>LayTable[[#This Row],[LayInnsats]]*(1-LayTable[[#This Row],[C% Lay]])</f>
        <v>0</v>
      </c>
      <c r="AB656" s="43" t="str">
        <f>IFERROR(IF(LayTable[[#This Row],[Sport]]="",AB655,LayTable[[#This Row],[Faktisk res]]+AB655),"")</f>
        <v/>
      </c>
      <c r="AC656" s="43">
        <f>(LayTable[[#This Row],[BackWin-Commission]]+LayTable[[#This Row],[BookieInnsats]])</f>
        <v>0</v>
      </c>
      <c r="AD656" s="43" t="e">
        <f>(LayTable[[#This Row],[LayWin-Commission]])+LayTable[[#This Row],[LayLiability]]</f>
        <v>#VALUE!</v>
      </c>
      <c r="AE656" s="319"/>
      <c r="AF656" s="319"/>
    </row>
    <row r="657" spans="1:32">
      <c r="A657" s="84"/>
      <c r="B657" s="144"/>
      <c r="C657" s="40"/>
      <c r="D657" s="41"/>
      <c r="E657" s="40"/>
      <c r="F657" s="41"/>
      <c r="G657" s="183"/>
      <c r="H657" s="38"/>
      <c r="I657" s="42"/>
      <c r="J657" s="42"/>
      <c r="K657" s="43"/>
      <c r="L657" s="43"/>
      <c r="M657" s="44" t="str">
        <f>IF(LayTable[[#This Row],[Sport]]="","",LayTable[[#This Row],[LayInnsats]]*(LayTable[[#This Row],[LayOdds]]-1))</f>
        <v/>
      </c>
      <c r="N657" s="45" t="str">
        <f>IF(LayTable[[#This Row],[Sport]]="","",1/((1/LayTable[[#This Row],[BookieOdds]])+(1/((1/((1+((LayTable[[#This Row],[LayOdds]]-1)*(1+LayTable[[#This Row],[C% Lay]])))-1))+1)))-1)</f>
        <v/>
      </c>
      <c r="Q657" s="46" t="str">
        <f>IF(LayTable[[#This Row],[Sport]]="","",LayTable[[#This Row],[BookieInnsats]]+LayTable[[#This Row],[LayLiability]])</f>
        <v/>
      </c>
      <c r="R6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7" s="47" t="str">
        <f>IF(LayTable[[#This Row],[Utfall bookie]]="","",LayTable[[#This Row],[WBABack]]+LayTable[[#This Row],[WBALay]]-LayTable[[#This Row],[Total inns]])</f>
        <v/>
      </c>
      <c r="U6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7" s="48" t="str">
        <f>IFERROR(IF(LayTable[[#This Row],[Total inns]]="","",LayTable[[#This Row],[Rback]]/LayTable[[#This Row],[Total inns]]),"")</f>
        <v/>
      </c>
      <c r="X657" s="48" t="str">
        <f>IFERROR(IF(LayTable[[#This Row],[Total inns]]="","",LayTable[[#This Row],[Rlay]]/LayTable[[#This Row],[Total inns]]),"")</f>
        <v/>
      </c>
      <c r="Y657" s="48" t="str">
        <f>IFERROR(LayTable[[#This Row],[Faktisk res]]/LayTable[[#This Row],[Total inns]],"")</f>
        <v/>
      </c>
      <c r="Z657" s="47">
        <f>(LayTable[[#This Row],[BookieInnsats]]*LayTable[[#This Row],[BookieOdds]]-LayTable[[#This Row],[BookieInnsats]])*(1-LayTable[[#This Row],[C% Bookie]])</f>
        <v>0</v>
      </c>
      <c r="AA657" s="43">
        <f>LayTable[[#This Row],[LayInnsats]]*(1-LayTable[[#This Row],[C% Lay]])</f>
        <v>0</v>
      </c>
      <c r="AB657" s="43" t="str">
        <f>IFERROR(IF(LayTable[[#This Row],[Sport]]="",#REF!,LayTable[[#This Row],[Faktisk res]]+#REF!),"")</f>
        <v/>
      </c>
      <c r="AC657" s="43">
        <f>(LayTable[[#This Row],[BackWin-Commission]]+LayTable[[#This Row],[BookieInnsats]])</f>
        <v>0</v>
      </c>
      <c r="AD657" s="43" t="e">
        <f>(LayTable[[#This Row],[LayWin-Commission]])+LayTable[[#This Row],[LayLiability]]</f>
        <v>#VALUE!</v>
      </c>
      <c r="AE657" s="181"/>
      <c r="AF657" s="319"/>
    </row>
    <row r="658" spans="1:32">
      <c r="A658" s="84"/>
      <c r="B658" s="144"/>
      <c r="C658" s="40"/>
      <c r="D658" s="41"/>
      <c r="E658" s="40"/>
      <c r="F658" s="41"/>
      <c r="G658" s="183"/>
      <c r="H658" s="38"/>
      <c r="I658" s="42"/>
      <c r="J658" s="42"/>
      <c r="K658" s="180"/>
      <c r="L658" s="43"/>
      <c r="M658" s="44" t="str">
        <f>IF(LayTable[[#This Row],[Sport]]="","",LayTable[[#This Row],[LayInnsats]]*(LayTable[[#This Row],[LayOdds]]-1))</f>
        <v/>
      </c>
      <c r="N658" s="45" t="str">
        <f>IF(LayTable[[#This Row],[Sport]]="","",1/((1/LayTable[[#This Row],[BookieOdds]])+(1/((1/((1+((LayTable[[#This Row],[LayOdds]]-1)*(1+LayTable[[#This Row],[C% Lay]])))-1))+1)))-1)</f>
        <v/>
      </c>
      <c r="Q658" s="46" t="str">
        <f>IF(LayTable[[#This Row],[Sport]]="","",LayTable[[#This Row],[BookieInnsats]]+LayTable[[#This Row],[LayLiability]])</f>
        <v/>
      </c>
      <c r="R6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8" s="47" t="str">
        <f>IF(LayTable[[#This Row],[Utfall bookie]]="","",LayTable[[#This Row],[WBABack]]+LayTable[[#This Row],[WBALay]]-LayTable[[#This Row],[Total inns]])</f>
        <v/>
      </c>
      <c r="U6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8" s="48" t="str">
        <f>IFERROR(IF(LayTable[[#This Row],[Total inns]]="","",LayTable[[#This Row],[Rback]]/LayTable[[#This Row],[Total inns]]),"")</f>
        <v/>
      </c>
      <c r="X658" s="48" t="str">
        <f>IFERROR(IF(LayTable[[#This Row],[Total inns]]="","",LayTable[[#This Row],[Rlay]]/LayTable[[#This Row],[Total inns]]),"")</f>
        <v/>
      </c>
      <c r="Y658" s="48" t="str">
        <f>IFERROR(LayTable[[#This Row],[Faktisk res]]/LayTable[[#This Row],[Total inns]],"")</f>
        <v/>
      </c>
      <c r="Z658" s="47">
        <f>(LayTable[[#This Row],[BookieInnsats]]*LayTable[[#This Row],[BookieOdds]]-LayTable[[#This Row],[BookieInnsats]])*(1-LayTable[[#This Row],[C% Bookie]])</f>
        <v>0</v>
      </c>
      <c r="AA658" s="43">
        <f>LayTable[[#This Row],[LayInnsats]]*(1-LayTable[[#This Row],[C% Lay]])</f>
        <v>0</v>
      </c>
      <c r="AB658" s="43" t="str">
        <f>IFERROR(IF(LayTable[[#This Row],[Sport]]="",AB657,LayTable[[#This Row],[Faktisk res]]+AB657),"")</f>
        <v/>
      </c>
      <c r="AC658" s="43">
        <f>(LayTable[[#This Row],[BackWin-Commission]]+LayTable[[#This Row],[BookieInnsats]])</f>
        <v>0</v>
      </c>
      <c r="AD658" s="43" t="e">
        <f>(LayTable[[#This Row],[LayWin-Commission]])+LayTable[[#This Row],[LayLiability]]</f>
        <v>#VALUE!</v>
      </c>
      <c r="AE658" s="181"/>
      <c r="AF658" s="319"/>
    </row>
    <row r="659" spans="1:32">
      <c r="A659" s="84"/>
      <c r="B659" s="144"/>
      <c r="C659" s="40"/>
      <c r="D659" s="41"/>
      <c r="E659" s="40"/>
      <c r="F659" s="41"/>
      <c r="G659" s="183"/>
      <c r="H659" s="38"/>
      <c r="I659" s="42"/>
      <c r="J659" s="42"/>
      <c r="K659" s="43"/>
      <c r="L659" s="43"/>
      <c r="M659" s="44" t="str">
        <f>IF(LayTable[[#This Row],[Sport]]="","",LayTable[[#This Row],[LayInnsats]]*(LayTable[[#This Row],[LayOdds]]-1))</f>
        <v/>
      </c>
      <c r="N659" s="45" t="str">
        <f>IF(LayTable[[#This Row],[Sport]]="","",1/((1/LayTable[[#This Row],[BookieOdds]])+(1/((1/((1+((LayTable[[#This Row],[LayOdds]]-1)*(1+LayTable[[#This Row],[C% Lay]])))-1))+1)))-1)</f>
        <v/>
      </c>
      <c r="Q659" s="46" t="str">
        <f>IF(LayTable[[#This Row],[Sport]]="","",LayTable[[#This Row],[BookieInnsats]]+LayTable[[#This Row],[LayLiability]])</f>
        <v/>
      </c>
      <c r="R6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59" s="47" t="str">
        <f>IF(LayTable[[#This Row],[Utfall bookie]]="","",LayTable[[#This Row],[WBABack]]+LayTable[[#This Row],[WBALay]]-LayTable[[#This Row],[Total inns]])</f>
        <v/>
      </c>
      <c r="U6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59" s="48" t="str">
        <f>IFERROR(IF(LayTable[[#This Row],[Total inns]]="","",LayTable[[#This Row],[Rback]]/LayTable[[#This Row],[Total inns]]),"")</f>
        <v/>
      </c>
      <c r="X659" s="48" t="str">
        <f>IFERROR(IF(LayTable[[#This Row],[Total inns]]="","",LayTable[[#This Row],[Rlay]]/LayTable[[#This Row],[Total inns]]),"")</f>
        <v/>
      </c>
      <c r="Y659" s="48" t="str">
        <f>IFERROR(LayTable[[#This Row],[Faktisk res]]/LayTable[[#This Row],[Total inns]],"")</f>
        <v/>
      </c>
      <c r="Z659" s="47">
        <f>(LayTable[[#This Row],[BookieInnsats]]*LayTable[[#This Row],[BookieOdds]]-LayTable[[#This Row],[BookieInnsats]])*(1-LayTable[[#This Row],[C% Bookie]])</f>
        <v>0</v>
      </c>
      <c r="AA659" s="43">
        <f>LayTable[[#This Row],[LayInnsats]]*(1-LayTable[[#This Row],[C% Lay]])</f>
        <v>0</v>
      </c>
      <c r="AB659" s="43" t="str">
        <f>IFERROR(IF(LayTable[[#This Row],[Sport]]="",AB658,LayTable[[#This Row],[Faktisk res]]+AB658),"")</f>
        <v/>
      </c>
      <c r="AC659" s="43">
        <f>(LayTable[[#This Row],[BackWin-Commission]]+LayTable[[#This Row],[BookieInnsats]])</f>
        <v>0</v>
      </c>
      <c r="AD659" s="43" t="e">
        <f>(LayTable[[#This Row],[LayWin-Commission]])+LayTable[[#This Row],[LayLiability]]</f>
        <v>#VALUE!</v>
      </c>
      <c r="AE659" s="181"/>
      <c r="AF659" s="319"/>
    </row>
    <row r="660" spans="1:32">
      <c r="A660" s="84"/>
      <c r="B660" s="144"/>
      <c r="C660" s="40"/>
      <c r="D660" s="41"/>
      <c r="E660" s="40"/>
      <c r="F660" s="41"/>
      <c r="G660" s="183"/>
      <c r="H660" s="38"/>
      <c r="I660" s="42"/>
      <c r="J660" s="42"/>
      <c r="K660" s="43"/>
      <c r="L660" s="43"/>
      <c r="M660" s="44" t="str">
        <f>IF(LayTable[[#This Row],[Sport]]="","",LayTable[[#This Row],[LayInnsats]]*(LayTable[[#This Row],[LayOdds]]-1))</f>
        <v/>
      </c>
      <c r="N660" s="45" t="str">
        <f>IF(LayTable[[#This Row],[Sport]]="","",1/((1/LayTable[[#This Row],[BookieOdds]])+(1/((1/((1+((LayTable[[#This Row],[LayOdds]]-1)*(1+LayTable[[#This Row],[C% Lay]])))-1))+1)))-1)</f>
        <v/>
      </c>
      <c r="Q660" s="46" t="str">
        <f>IF(LayTable[[#This Row],[Sport]]="","",LayTable[[#This Row],[BookieInnsats]]+LayTable[[#This Row],[LayLiability]])</f>
        <v/>
      </c>
      <c r="R6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0" s="47" t="str">
        <f>IF(LayTable[[#This Row],[Utfall bookie]]="","",LayTable[[#This Row],[WBABack]]+LayTable[[#This Row],[WBALay]]-LayTable[[#This Row],[Total inns]])</f>
        <v/>
      </c>
      <c r="U6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0" s="48" t="str">
        <f>IFERROR(IF(LayTable[[#This Row],[Total inns]]="","",LayTable[[#This Row],[Rback]]/LayTable[[#This Row],[Total inns]]),"")</f>
        <v/>
      </c>
      <c r="X660" s="48" t="str">
        <f>IFERROR(IF(LayTable[[#This Row],[Total inns]]="","",LayTable[[#This Row],[Rlay]]/LayTable[[#This Row],[Total inns]]),"")</f>
        <v/>
      </c>
      <c r="Y660" s="48" t="str">
        <f>IFERROR(LayTable[[#This Row],[Faktisk res]]/LayTable[[#This Row],[Total inns]],"")</f>
        <v/>
      </c>
      <c r="Z660" s="47">
        <f>(LayTable[[#This Row],[BookieInnsats]]*LayTable[[#This Row],[BookieOdds]]-LayTable[[#This Row],[BookieInnsats]])*(1-LayTable[[#This Row],[C% Bookie]])</f>
        <v>0</v>
      </c>
      <c r="AA660" s="43">
        <f>LayTable[[#This Row],[LayInnsats]]*(1-LayTable[[#This Row],[C% Lay]])</f>
        <v>0</v>
      </c>
      <c r="AB660" s="43" t="str">
        <f>IFERROR(IF(LayTable[[#This Row],[Sport]]="",AB659,LayTable[[#This Row],[Faktisk res]]+AB659),"")</f>
        <v/>
      </c>
      <c r="AC660" s="43">
        <f>(LayTable[[#This Row],[BackWin-Commission]]+LayTable[[#This Row],[BookieInnsats]])</f>
        <v>0</v>
      </c>
      <c r="AD660" s="43" t="e">
        <f>(LayTable[[#This Row],[LayWin-Commission]])+LayTable[[#This Row],[LayLiability]]</f>
        <v>#VALUE!</v>
      </c>
      <c r="AE660" s="181"/>
      <c r="AF660" s="319"/>
    </row>
    <row r="661" spans="1:32">
      <c r="A661" s="183"/>
      <c r="B661" s="144"/>
      <c r="C661" s="40"/>
      <c r="D661" s="41"/>
      <c r="E661" s="40"/>
      <c r="F661" s="41"/>
      <c r="G661" s="183"/>
      <c r="H661" s="38"/>
      <c r="I661" s="42"/>
      <c r="J661" s="42"/>
      <c r="K661" s="43"/>
      <c r="L661" s="43"/>
      <c r="M661" s="44" t="str">
        <f>IF(LayTable[[#This Row],[Sport]]="","",LayTable[[#This Row],[LayInnsats]]*(LayTable[[#This Row],[LayOdds]]-1))</f>
        <v/>
      </c>
      <c r="N661" s="45" t="str">
        <f>IF(LayTable[[#This Row],[Sport]]="","",1/((1/LayTable[[#This Row],[BookieOdds]])+(1/((1/((1+((LayTable[[#This Row],[LayOdds]]-1)*(1+LayTable[[#This Row],[C% Lay]])))-1))+1)))-1)</f>
        <v/>
      </c>
      <c r="Q661" s="46" t="str">
        <f>IF(LayTable[[#This Row],[Sport]]="","",LayTable[[#This Row],[BookieInnsats]]+LayTable[[#This Row],[LayLiability]])</f>
        <v/>
      </c>
      <c r="R6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1" s="47" t="str">
        <f>IF(LayTable[[#This Row],[Utfall bookie]]="","",LayTable[[#This Row],[WBABack]]+LayTable[[#This Row],[WBALay]]-LayTable[[#This Row],[Total inns]])</f>
        <v/>
      </c>
      <c r="U6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1" s="48" t="str">
        <f>IFERROR(IF(LayTable[[#This Row],[Total inns]]="","",LayTable[[#This Row],[Rback]]/LayTable[[#This Row],[Total inns]]),"")</f>
        <v/>
      </c>
      <c r="X661" s="48" t="str">
        <f>IFERROR(IF(LayTable[[#This Row],[Total inns]]="","",LayTable[[#This Row],[Rlay]]/LayTable[[#This Row],[Total inns]]),"")</f>
        <v/>
      </c>
      <c r="Y661" s="48" t="str">
        <f>IFERROR(LayTable[[#This Row],[Faktisk res]]/LayTable[[#This Row],[Total inns]],"")</f>
        <v/>
      </c>
      <c r="Z661" s="47">
        <f>(LayTable[[#This Row],[BookieInnsats]]*LayTable[[#This Row],[BookieOdds]]-LayTable[[#This Row],[BookieInnsats]])*(1-LayTable[[#This Row],[C% Bookie]])</f>
        <v>0</v>
      </c>
      <c r="AA661" s="43">
        <f>LayTable[[#This Row],[LayInnsats]]*(1-LayTable[[#This Row],[C% Lay]])</f>
        <v>0</v>
      </c>
      <c r="AB661" s="43" t="str">
        <f>IFERROR(IF(LayTable[[#This Row],[Sport]]="",AB660,LayTable[[#This Row],[Faktisk res]]+AB660),"")</f>
        <v/>
      </c>
      <c r="AC661" s="43">
        <f>(LayTable[[#This Row],[BackWin-Commission]]+LayTable[[#This Row],[BookieInnsats]])</f>
        <v>0</v>
      </c>
      <c r="AD661" s="43" t="e">
        <f>(LayTable[[#This Row],[LayWin-Commission]])+LayTable[[#This Row],[LayLiability]]</f>
        <v>#VALUE!</v>
      </c>
      <c r="AE661" s="181"/>
      <c r="AF661" s="319"/>
    </row>
    <row r="662" spans="1:32">
      <c r="A662" s="183"/>
      <c r="B662" s="144"/>
      <c r="C662" s="40"/>
      <c r="D662" s="41"/>
      <c r="E662" s="40"/>
      <c r="F662" s="41"/>
      <c r="G662" s="183"/>
      <c r="H662" s="38"/>
      <c r="I662" s="42"/>
      <c r="J662" s="42"/>
      <c r="K662" s="43"/>
      <c r="L662" s="43"/>
      <c r="M662" s="44" t="str">
        <f>IF(LayTable[[#This Row],[Sport]]="","",LayTable[[#This Row],[LayInnsats]]*(LayTable[[#This Row],[LayOdds]]-1))</f>
        <v/>
      </c>
      <c r="N662" s="45" t="str">
        <f>IF(LayTable[[#This Row],[Sport]]="","",1/((1/LayTable[[#This Row],[BookieOdds]])+(1/((1/((1+((LayTable[[#This Row],[LayOdds]]-1)*(1+LayTable[[#This Row],[C% Lay]])))-1))+1)))-1)</f>
        <v/>
      </c>
      <c r="Q662" s="46" t="str">
        <f>IF(LayTable[[#This Row],[Sport]]="","",LayTable[[#This Row],[BookieInnsats]]+LayTable[[#This Row],[LayLiability]])</f>
        <v/>
      </c>
      <c r="R6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2" s="47" t="str">
        <f>IF(LayTable[[#This Row],[Utfall bookie]]="","",LayTable[[#This Row],[WBABack]]+LayTable[[#This Row],[WBALay]]-LayTable[[#This Row],[Total inns]])</f>
        <v/>
      </c>
      <c r="U6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2" s="48" t="str">
        <f>IFERROR(IF(LayTable[[#This Row],[Total inns]]="","",LayTable[[#This Row],[Rback]]/LayTable[[#This Row],[Total inns]]),"")</f>
        <v/>
      </c>
      <c r="X662" s="48" t="str">
        <f>IFERROR(IF(LayTable[[#This Row],[Total inns]]="","",LayTable[[#This Row],[Rlay]]/LayTable[[#This Row],[Total inns]]),"")</f>
        <v/>
      </c>
      <c r="Y662" s="48" t="str">
        <f>IFERROR(LayTable[[#This Row],[Faktisk res]]/LayTable[[#This Row],[Total inns]],"")</f>
        <v/>
      </c>
      <c r="Z662" s="47">
        <f>(LayTable[[#This Row],[BookieInnsats]]*LayTable[[#This Row],[BookieOdds]]-LayTable[[#This Row],[BookieInnsats]])*(1-LayTable[[#This Row],[C% Bookie]])</f>
        <v>0</v>
      </c>
      <c r="AA662" s="43">
        <f>LayTable[[#This Row],[LayInnsats]]*(1-LayTable[[#This Row],[C% Lay]])</f>
        <v>0</v>
      </c>
      <c r="AB662" s="43" t="str">
        <f>IFERROR(IF(LayTable[[#This Row],[Sport]]="",AB661,LayTable[[#This Row],[Faktisk res]]+AB661),"")</f>
        <v/>
      </c>
      <c r="AC662" s="43">
        <f>(LayTable[[#This Row],[BackWin-Commission]]+LayTable[[#This Row],[BookieInnsats]])</f>
        <v>0</v>
      </c>
      <c r="AD662" s="43" t="e">
        <f>(LayTable[[#This Row],[LayWin-Commission]])+LayTable[[#This Row],[LayLiability]]</f>
        <v>#VALUE!</v>
      </c>
      <c r="AE662" s="181"/>
      <c r="AF662" s="319"/>
    </row>
    <row r="663" spans="1:32">
      <c r="A663" s="84"/>
      <c r="B663" s="144"/>
      <c r="C663" s="40"/>
      <c r="D663" s="41"/>
      <c r="E663" s="40"/>
      <c r="F663" s="41"/>
      <c r="G663" s="183"/>
      <c r="H663" s="38"/>
      <c r="I663" s="42"/>
      <c r="J663" s="42"/>
      <c r="K663" s="43"/>
      <c r="L663" s="43"/>
      <c r="M663" s="44" t="str">
        <f>IF(LayTable[[#This Row],[Sport]]="","",LayTable[[#This Row],[LayInnsats]]*(LayTable[[#This Row],[LayOdds]]-1))</f>
        <v/>
      </c>
      <c r="N663" s="45" t="str">
        <f>IF(LayTable[[#This Row],[Sport]]="","",1/((1/LayTable[[#This Row],[BookieOdds]])+(1/((1/((1+((LayTable[[#This Row],[LayOdds]]-1)*(1+LayTable[[#This Row],[C% Lay]])))-1))+1)))-1)</f>
        <v/>
      </c>
      <c r="Q663" s="46" t="str">
        <f>IF(LayTable[[#This Row],[Sport]]="","",LayTable[[#This Row],[BookieInnsats]]+LayTable[[#This Row],[LayLiability]])</f>
        <v/>
      </c>
      <c r="R6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3" s="47" t="str">
        <f>IF(LayTable[[#This Row],[Utfall bookie]]="","",LayTable[[#This Row],[WBABack]]+LayTable[[#This Row],[WBALay]]-LayTable[[#This Row],[Total inns]])</f>
        <v/>
      </c>
      <c r="U6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3" s="48" t="str">
        <f>IFERROR(IF(LayTable[[#This Row],[Total inns]]="","",LayTable[[#This Row],[Rback]]/LayTable[[#This Row],[Total inns]]),"")</f>
        <v/>
      </c>
      <c r="X663" s="48" t="str">
        <f>IFERROR(IF(LayTable[[#This Row],[Total inns]]="","",LayTable[[#This Row],[Rlay]]/LayTable[[#This Row],[Total inns]]),"")</f>
        <v/>
      </c>
      <c r="Y663" s="48" t="str">
        <f>IFERROR(LayTable[[#This Row],[Faktisk res]]/LayTable[[#This Row],[Total inns]],"")</f>
        <v/>
      </c>
      <c r="Z663" s="47">
        <f>(LayTable[[#This Row],[BookieInnsats]]*LayTable[[#This Row],[BookieOdds]]-LayTable[[#This Row],[BookieInnsats]])*(1-LayTable[[#This Row],[C% Bookie]])</f>
        <v>0</v>
      </c>
      <c r="AA663" s="43">
        <f>LayTable[[#This Row],[LayInnsats]]*(1-LayTable[[#This Row],[C% Lay]])</f>
        <v>0</v>
      </c>
      <c r="AB663" s="43" t="str">
        <f>IFERROR(IF(LayTable[[#This Row],[Sport]]="",AB662,LayTable[[#This Row],[Faktisk res]]+AB662),"")</f>
        <v/>
      </c>
      <c r="AC663" s="43">
        <f>(LayTable[[#This Row],[BackWin-Commission]]+LayTable[[#This Row],[BookieInnsats]])</f>
        <v>0</v>
      </c>
      <c r="AD663" s="43" t="e">
        <f>(LayTable[[#This Row],[LayWin-Commission]])+LayTable[[#This Row],[LayLiability]]</f>
        <v>#VALUE!</v>
      </c>
      <c r="AE663" s="181"/>
      <c r="AF663" s="319"/>
    </row>
    <row r="664" spans="1:32">
      <c r="A664" s="84"/>
      <c r="B664" s="144"/>
      <c r="C664" s="40"/>
      <c r="D664" s="41"/>
      <c r="E664" s="40"/>
      <c r="F664" s="41"/>
      <c r="G664" s="183"/>
      <c r="H664" s="38"/>
      <c r="I664" s="42"/>
      <c r="J664" s="42"/>
      <c r="K664" s="43"/>
      <c r="L664" s="43"/>
      <c r="M664" s="44" t="str">
        <f>IF(LayTable[[#This Row],[Sport]]="","",LayTable[[#This Row],[LayInnsats]]*(LayTable[[#This Row],[LayOdds]]-1))</f>
        <v/>
      </c>
      <c r="N664" s="45" t="str">
        <f>IF(LayTable[[#This Row],[Sport]]="","",1/((1/LayTable[[#This Row],[BookieOdds]])+(1/((1/((1+((LayTable[[#This Row],[LayOdds]]-1)*(1+LayTable[[#This Row],[C% Lay]])))-1))+1)))-1)</f>
        <v/>
      </c>
      <c r="Q664" s="46" t="str">
        <f>IF(LayTable[[#This Row],[Sport]]="","",LayTable[[#This Row],[BookieInnsats]]+LayTable[[#This Row],[LayLiability]])</f>
        <v/>
      </c>
      <c r="R6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4" s="47" t="str">
        <f>IF(LayTable[[#This Row],[Utfall bookie]]="","",LayTable[[#This Row],[WBABack]]+LayTable[[#This Row],[WBALay]]-LayTable[[#This Row],[Total inns]])</f>
        <v/>
      </c>
      <c r="U6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4" s="48" t="str">
        <f>IFERROR(IF(LayTable[[#This Row],[Total inns]]="","",LayTable[[#This Row],[Rback]]/LayTable[[#This Row],[Total inns]]),"")</f>
        <v/>
      </c>
      <c r="X664" s="48" t="str">
        <f>IFERROR(IF(LayTable[[#This Row],[Total inns]]="","",LayTable[[#This Row],[Rlay]]/LayTable[[#This Row],[Total inns]]),"")</f>
        <v/>
      </c>
      <c r="Y664" s="48" t="str">
        <f>IFERROR(LayTable[[#This Row],[Faktisk res]]/LayTable[[#This Row],[Total inns]],"")</f>
        <v/>
      </c>
      <c r="Z664" s="47">
        <f>(LayTable[[#This Row],[BookieInnsats]]*LayTable[[#This Row],[BookieOdds]]-LayTable[[#This Row],[BookieInnsats]])*(1-LayTable[[#This Row],[C% Bookie]])</f>
        <v>0</v>
      </c>
      <c r="AA664" s="43">
        <f>LayTable[[#This Row],[LayInnsats]]*(1-LayTable[[#This Row],[C% Lay]])</f>
        <v>0</v>
      </c>
      <c r="AB664" s="43" t="str">
        <f>IFERROR(IF(LayTable[[#This Row],[Sport]]="",AB663,LayTable[[#This Row],[Faktisk res]]+AB663),"")</f>
        <v/>
      </c>
      <c r="AC664" s="43">
        <f>(LayTable[[#This Row],[BackWin-Commission]]+LayTable[[#This Row],[BookieInnsats]])</f>
        <v>0</v>
      </c>
      <c r="AD664" s="43" t="e">
        <f>(LayTable[[#This Row],[LayWin-Commission]])+LayTable[[#This Row],[LayLiability]]</f>
        <v>#VALUE!</v>
      </c>
      <c r="AE664" s="181"/>
      <c r="AF664" s="319"/>
    </row>
    <row r="665" spans="1:32">
      <c r="A665" s="84"/>
      <c r="B665" s="144"/>
      <c r="C665" s="40"/>
      <c r="D665" s="41"/>
      <c r="E665" s="40"/>
      <c r="F665" s="41"/>
      <c r="G665" s="183"/>
      <c r="H665" s="38"/>
      <c r="I665" s="42"/>
      <c r="J665" s="42"/>
      <c r="K665" s="43"/>
      <c r="L665" s="43"/>
      <c r="M665" s="44" t="str">
        <f>IF(LayTable[[#This Row],[Sport]]="","",LayTable[[#This Row],[LayInnsats]]*(LayTable[[#This Row],[LayOdds]]-1))</f>
        <v/>
      </c>
      <c r="N665" s="45" t="str">
        <f>IF(LayTable[[#This Row],[Sport]]="","",1/((1/LayTable[[#This Row],[BookieOdds]])+(1/((1/((1+((LayTable[[#This Row],[LayOdds]]-1)*(1+LayTable[[#This Row],[C% Lay]])))-1))+1)))-1)</f>
        <v/>
      </c>
      <c r="Q665" s="46" t="str">
        <f>IF(LayTable[[#This Row],[Sport]]="","",LayTable[[#This Row],[BookieInnsats]]+LayTable[[#This Row],[LayLiability]])</f>
        <v/>
      </c>
      <c r="R6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5" s="47" t="str">
        <f>IF(LayTable[[#This Row],[Utfall bookie]]="","",LayTable[[#This Row],[WBABack]]+LayTable[[#This Row],[WBALay]]-LayTable[[#This Row],[Total inns]])</f>
        <v/>
      </c>
      <c r="U6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5" s="48" t="str">
        <f>IFERROR(IF(LayTable[[#This Row],[Total inns]]="","",LayTable[[#This Row],[Rback]]/LayTable[[#This Row],[Total inns]]),"")</f>
        <v/>
      </c>
      <c r="X665" s="48" t="str">
        <f>IFERROR(IF(LayTable[[#This Row],[Total inns]]="","",LayTable[[#This Row],[Rlay]]/LayTable[[#This Row],[Total inns]]),"")</f>
        <v/>
      </c>
      <c r="Y665" s="48" t="str">
        <f>IFERROR(LayTable[[#This Row],[Faktisk res]]/LayTable[[#This Row],[Total inns]],"")</f>
        <v/>
      </c>
      <c r="Z665" s="47">
        <f>(LayTable[[#This Row],[BookieInnsats]]*LayTable[[#This Row],[BookieOdds]]-LayTable[[#This Row],[BookieInnsats]])*(1-LayTable[[#This Row],[C% Bookie]])</f>
        <v>0</v>
      </c>
      <c r="AA665" s="43">
        <f>LayTable[[#This Row],[LayInnsats]]*(1-LayTable[[#This Row],[C% Lay]])</f>
        <v>0</v>
      </c>
      <c r="AB665" s="43" t="str">
        <f>IFERROR(IF(LayTable[[#This Row],[Sport]]="",AB664,LayTable[[#This Row],[Faktisk res]]+AB664),"")</f>
        <v/>
      </c>
      <c r="AC665" s="43">
        <f>(LayTable[[#This Row],[BackWin-Commission]]+LayTable[[#This Row],[BookieInnsats]])</f>
        <v>0</v>
      </c>
      <c r="AD665" s="43" t="e">
        <f>(LayTable[[#This Row],[LayWin-Commission]])+LayTable[[#This Row],[LayLiability]]</f>
        <v>#VALUE!</v>
      </c>
      <c r="AE665" s="181"/>
      <c r="AF665" s="319"/>
    </row>
    <row r="666" spans="1:32">
      <c r="A666" s="84"/>
      <c r="B666" s="144"/>
      <c r="C666" s="40"/>
      <c r="D666" s="41"/>
      <c r="E666" s="40"/>
      <c r="F666" s="41"/>
      <c r="G666" s="183"/>
      <c r="H666" s="38"/>
      <c r="I666" s="42"/>
      <c r="J666" s="42"/>
      <c r="K666" s="43"/>
      <c r="L666" s="43"/>
      <c r="M666" s="44" t="str">
        <f>IF(LayTable[[#This Row],[Sport]]="","",LayTable[[#This Row],[LayInnsats]]*(LayTable[[#This Row],[LayOdds]]-1))</f>
        <v/>
      </c>
      <c r="N666" s="45" t="str">
        <f>IF(LayTable[[#This Row],[Sport]]="","",1/((1/LayTable[[#This Row],[BookieOdds]])+(1/((1/((1+((LayTable[[#This Row],[LayOdds]]-1)*(1+LayTable[[#This Row],[C% Lay]])))-1))+1)))-1)</f>
        <v/>
      </c>
      <c r="Q666" s="46" t="str">
        <f>IF(LayTable[[#This Row],[Sport]]="","",LayTable[[#This Row],[BookieInnsats]]+LayTable[[#This Row],[LayLiability]])</f>
        <v/>
      </c>
      <c r="R6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6" s="47" t="str">
        <f>IF(LayTable[[#This Row],[Utfall bookie]]="","",LayTable[[#This Row],[WBABack]]+LayTable[[#This Row],[WBALay]]-LayTable[[#This Row],[Total inns]])</f>
        <v/>
      </c>
      <c r="U6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6" s="48" t="str">
        <f>IFERROR(IF(LayTable[[#This Row],[Total inns]]="","",LayTable[[#This Row],[Rback]]/LayTable[[#This Row],[Total inns]]),"")</f>
        <v/>
      </c>
      <c r="X666" s="48" t="str">
        <f>IFERROR(IF(LayTable[[#This Row],[Total inns]]="","",LayTable[[#This Row],[Rlay]]/LayTable[[#This Row],[Total inns]]),"")</f>
        <v/>
      </c>
      <c r="Y666" s="48" t="str">
        <f>IFERROR(LayTable[[#This Row],[Faktisk res]]/LayTable[[#This Row],[Total inns]],"")</f>
        <v/>
      </c>
      <c r="Z666" s="47">
        <f>(LayTable[[#This Row],[BookieInnsats]]*LayTable[[#This Row],[BookieOdds]]-LayTable[[#This Row],[BookieInnsats]])*(1-LayTable[[#This Row],[C% Bookie]])</f>
        <v>0</v>
      </c>
      <c r="AA666" s="43">
        <f>LayTable[[#This Row],[LayInnsats]]*(1-LayTable[[#This Row],[C% Lay]])</f>
        <v>0</v>
      </c>
      <c r="AB666" s="43" t="str">
        <f>IFERROR(IF(LayTable[[#This Row],[Sport]]="",AB665,LayTable[[#This Row],[Faktisk res]]+AB665),"")</f>
        <v/>
      </c>
      <c r="AC666" s="43">
        <f>(LayTable[[#This Row],[BackWin-Commission]]+LayTable[[#This Row],[BookieInnsats]])</f>
        <v>0</v>
      </c>
      <c r="AD666" s="43" t="e">
        <f>(LayTable[[#This Row],[LayWin-Commission]])+LayTable[[#This Row],[LayLiability]]</f>
        <v>#VALUE!</v>
      </c>
      <c r="AE666" s="181"/>
      <c r="AF666" s="319"/>
    </row>
    <row r="667" spans="1:32">
      <c r="A667" s="183"/>
      <c r="B667" s="144"/>
      <c r="C667" s="178"/>
      <c r="D667" s="251"/>
      <c r="E667" s="178"/>
      <c r="F667" s="251"/>
      <c r="G667" s="183"/>
      <c r="H667" s="176"/>
      <c r="I667" s="180"/>
      <c r="J667" s="180"/>
      <c r="K667" s="181"/>
      <c r="L667" s="181"/>
      <c r="M667" s="44" t="str">
        <f>IF(LayTable[[#This Row],[Sport]]="","",LayTable[[#This Row],[LayInnsats]]*(LayTable[[#This Row],[LayOdds]]-1))</f>
        <v/>
      </c>
      <c r="N667" s="45" t="str">
        <f>IF(LayTable[[#This Row],[Sport]]="","",1/((1/LayTable[[#This Row],[BookieOdds]])+(1/((1/((1+((LayTable[[#This Row],[LayOdds]]-1)*(1+LayTable[[#This Row],[C% Lay]])))-1))+1)))-1)</f>
        <v/>
      </c>
      <c r="Q667" s="46" t="str">
        <f>IF(LayTable[[#This Row],[Sport]]="","",LayTable[[#This Row],[BookieInnsats]]+LayTable[[#This Row],[LayLiability]])</f>
        <v/>
      </c>
      <c r="R6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7" s="47" t="str">
        <f>IF(LayTable[[#This Row],[Utfall bookie]]="","",LayTable[[#This Row],[WBABack]]+LayTable[[#This Row],[WBALay]]-LayTable[[#This Row],[Total inns]])</f>
        <v/>
      </c>
      <c r="U6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7" s="48" t="str">
        <f>IFERROR(IF(LayTable[[#This Row],[Total inns]]="","",LayTable[[#This Row],[Rback]]/LayTable[[#This Row],[Total inns]]),"")</f>
        <v/>
      </c>
      <c r="X667" s="48" t="str">
        <f>IFERROR(IF(LayTable[[#This Row],[Total inns]]="","",LayTable[[#This Row],[Rlay]]/LayTable[[#This Row],[Total inns]]),"")</f>
        <v/>
      </c>
      <c r="Y667" s="48" t="str">
        <f>IFERROR(LayTable[[#This Row],[Faktisk res]]/LayTable[[#This Row],[Total inns]],"")</f>
        <v/>
      </c>
      <c r="Z667" s="47">
        <f>(LayTable[[#This Row],[BookieInnsats]]*LayTable[[#This Row],[BookieOdds]]-LayTable[[#This Row],[BookieInnsats]])*(1-LayTable[[#This Row],[C% Bookie]])</f>
        <v>0</v>
      </c>
      <c r="AA667" s="43">
        <f>LayTable[[#This Row],[LayInnsats]]*(1-LayTable[[#This Row],[C% Lay]])</f>
        <v>0</v>
      </c>
      <c r="AB667" s="43" t="str">
        <f>IFERROR(IF(LayTable[[#This Row],[Sport]]="",AB666,LayTable[[#This Row],[Faktisk res]]+AB666),"")</f>
        <v/>
      </c>
      <c r="AC667" s="43">
        <f>(LayTable[[#This Row],[BackWin-Commission]]+LayTable[[#This Row],[BookieInnsats]])</f>
        <v>0</v>
      </c>
      <c r="AD667" s="43" t="e">
        <f>(LayTable[[#This Row],[LayWin-Commission]])+LayTable[[#This Row],[LayLiability]]</f>
        <v>#VALUE!</v>
      </c>
      <c r="AE667" s="181"/>
      <c r="AF667" s="319"/>
    </row>
    <row r="668" spans="1:32">
      <c r="A668" s="321"/>
      <c r="B668" s="322"/>
      <c r="C668" s="323"/>
      <c r="D668" s="324"/>
      <c r="E668" s="323"/>
      <c r="F668" s="324"/>
      <c r="G668" s="321"/>
      <c r="H668" s="325"/>
      <c r="I668" s="326"/>
      <c r="J668" s="326"/>
      <c r="K668" s="327"/>
      <c r="L668" s="327"/>
      <c r="M668" s="44" t="str">
        <f>IF(LayTable[[#This Row],[Sport]]="","",LayTable[[#This Row],[LayInnsats]]*(LayTable[[#This Row],[LayOdds]]-1))</f>
        <v/>
      </c>
      <c r="N668" s="45" t="str">
        <f>IF(LayTable[[#This Row],[Sport]]="","",1/((1/LayTable[[#This Row],[BookieOdds]])+(1/((1/((1+((LayTable[[#This Row],[LayOdds]]-1)*(1+LayTable[[#This Row],[C% Lay]])))-1))+1)))-1)</f>
        <v/>
      </c>
      <c r="Q668" s="46" t="str">
        <f>IF(LayTable[[#This Row],[Sport]]="","",LayTable[[#This Row],[BookieInnsats]]+LayTable[[#This Row],[LayLiability]])</f>
        <v/>
      </c>
      <c r="R6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8" s="47" t="str">
        <f>IF(LayTable[[#This Row],[Utfall bookie]]="","",LayTable[[#This Row],[WBABack]]+LayTable[[#This Row],[WBALay]]-LayTable[[#This Row],[Total inns]])</f>
        <v/>
      </c>
      <c r="U6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8" s="48" t="str">
        <f>IFERROR(IF(LayTable[[#This Row],[Total inns]]="","",LayTable[[#This Row],[Rback]]/LayTable[[#This Row],[Total inns]]),"")</f>
        <v/>
      </c>
      <c r="X668" s="48" t="str">
        <f>IFERROR(IF(LayTable[[#This Row],[Total inns]]="","",LayTable[[#This Row],[Rlay]]/LayTable[[#This Row],[Total inns]]),"")</f>
        <v/>
      </c>
      <c r="Y668" s="48" t="str">
        <f>IFERROR(LayTable[[#This Row],[Faktisk res]]/LayTable[[#This Row],[Total inns]],"")</f>
        <v/>
      </c>
      <c r="Z668" s="47">
        <f>(LayTable[[#This Row],[BookieInnsats]]*LayTable[[#This Row],[BookieOdds]]-LayTable[[#This Row],[BookieInnsats]])*(1-LayTable[[#This Row],[C% Bookie]])</f>
        <v>0</v>
      </c>
      <c r="AA668" s="43">
        <f>LayTable[[#This Row],[LayInnsats]]*(1-LayTable[[#This Row],[C% Lay]])</f>
        <v>0</v>
      </c>
      <c r="AB668" s="43" t="str">
        <f>IFERROR(IF(LayTable[[#This Row],[Sport]]="",AB667,LayTable[[#This Row],[Faktisk res]]+AB667),"")</f>
        <v/>
      </c>
      <c r="AC668" s="43">
        <f>(LayTable[[#This Row],[BackWin-Commission]]+LayTable[[#This Row],[BookieInnsats]])</f>
        <v>0</v>
      </c>
      <c r="AD668" s="43" t="e">
        <f>(LayTable[[#This Row],[LayWin-Commission]])+LayTable[[#This Row],[LayLiability]]</f>
        <v>#VALUE!</v>
      </c>
      <c r="AE668" s="181"/>
      <c r="AF668" s="319"/>
    </row>
    <row r="669" spans="1:32">
      <c r="A669" s="84"/>
      <c r="B669" s="144"/>
      <c r="C669" s="40"/>
      <c r="D669" s="41"/>
      <c r="E669" s="40"/>
      <c r="F669" s="41"/>
      <c r="G669" s="183"/>
      <c r="H669" s="38"/>
      <c r="I669" s="42"/>
      <c r="J669" s="42"/>
      <c r="K669" s="43"/>
      <c r="L669" s="43"/>
      <c r="M669" s="44" t="str">
        <f>IF(LayTable[[#This Row],[Sport]]="","",LayTable[[#This Row],[LayInnsats]]*(LayTable[[#This Row],[LayOdds]]-1))</f>
        <v/>
      </c>
      <c r="N669" s="45" t="str">
        <f>IF(LayTable[[#This Row],[Sport]]="","",1/((1/LayTable[[#This Row],[BookieOdds]])+(1/((1/((1+((LayTable[[#This Row],[LayOdds]]-1)*(1+LayTable[[#This Row],[C% Lay]])))-1))+1)))-1)</f>
        <v/>
      </c>
      <c r="Q669" s="46" t="str">
        <f>IF(LayTable[[#This Row],[Sport]]="","",LayTable[[#This Row],[BookieInnsats]]+LayTable[[#This Row],[LayLiability]])</f>
        <v/>
      </c>
      <c r="R6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69" s="47" t="str">
        <f>IF(LayTable[[#This Row],[Utfall bookie]]="","",LayTable[[#This Row],[WBABack]]+LayTable[[#This Row],[WBALay]]-LayTable[[#This Row],[Total inns]])</f>
        <v/>
      </c>
      <c r="U6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69" s="48" t="str">
        <f>IFERROR(IF(LayTable[[#This Row],[Total inns]]="","",LayTable[[#This Row],[Rback]]/LayTable[[#This Row],[Total inns]]),"")</f>
        <v/>
      </c>
      <c r="X669" s="48" t="str">
        <f>IFERROR(IF(LayTable[[#This Row],[Total inns]]="","",LayTable[[#This Row],[Rlay]]/LayTable[[#This Row],[Total inns]]),"")</f>
        <v/>
      </c>
      <c r="Y669" s="48" t="str">
        <f>IFERROR(LayTable[[#This Row],[Faktisk res]]/LayTable[[#This Row],[Total inns]],"")</f>
        <v/>
      </c>
      <c r="Z669" s="47">
        <f>(LayTable[[#This Row],[BookieInnsats]]*LayTable[[#This Row],[BookieOdds]]-LayTable[[#This Row],[BookieInnsats]])*(1-LayTable[[#This Row],[C% Bookie]])</f>
        <v>0</v>
      </c>
      <c r="AA669" s="43">
        <f>LayTable[[#This Row],[LayInnsats]]*(1-LayTable[[#This Row],[C% Lay]])</f>
        <v>0</v>
      </c>
      <c r="AB669" s="43" t="str">
        <f>IFERROR(IF(LayTable[[#This Row],[Sport]]="",AB668,LayTable[[#This Row],[Faktisk res]]+AB668),"")</f>
        <v/>
      </c>
      <c r="AC669" s="43">
        <f>(LayTable[[#This Row],[BackWin-Commission]]+LayTable[[#This Row],[BookieInnsats]])</f>
        <v>0</v>
      </c>
      <c r="AD669" s="43" t="e">
        <f>(LayTable[[#This Row],[LayWin-Commission]])+LayTable[[#This Row],[LayLiability]]</f>
        <v>#VALUE!</v>
      </c>
      <c r="AE669" s="181"/>
      <c r="AF669" s="319"/>
    </row>
    <row r="670" spans="1:32">
      <c r="A670" s="84"/>
      <c r="B670" s="144"/>
      <c r="C670" s="40"/>
      <c r="D670" s="41"/>
      <c r="E670" s="40"/>
      <c r="F670" s="41"/>
      <c r="G670" s="183"/>
      <c r="H670" s="38"/>
      <c r="I670" s="42"/>
      <c r="J670" s="42"/>
      <c r="K670" s="43"/>
      <c r="L670" s="43"/>
      <c r="M670" s="44" t="str">
        <f>IF(LayTable[[#This Row],[Sport]]="","",LayTable[[#This Row],[LayInnsats]]*(LayTable[[#This Row],[LayOdds]]-1))</f>
        <v/>
      </c>
      <c r="N670" s="45" t="str">
        <f>IF(LayTable[[#This Row],[Sport]]="","",1/((1/LayTable[[#This Row],[BookieOdds]])+(1/((1/((1+((LayTable[[#This Row],[LayOdds]]-1)*(1+LayTable[[#This Row],[C% Lay]])))-1))+1)))-1)</f>
        <v/>
      </c>
      <c r="Q670" s="46" t="str">
        <f>IF(LayTable[[#This Row],[Sport]]="","",LayTable[[#This Row],[BookieInnsats]]+LayTable[[#This Row],[LayLiability]])</f>
        <v/>
      </c>
      <c r="R6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0" s="47" t="str">
        <f>IF(LayTable[[#This Row],[Utfall bookie]]="","",LayTable[[#This Row],[WBABack]]+LayTable[[#This Row],[WBALay]]-LayTable[[#This Row],[Total inns]])</f>
        <v/>
      </c>
      <c r="U6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0" s="48" t="str">
        <f>IFERROR(IF(LayTable[[#This Row],[Total inns]]="","",LayTable[[#This Row],[Rback]]/LayTable[[#This Row],[Total inns]]),"")</f>
        <v/>
      </c>
      <c r="X670" s="48" t="str">
        <f>IFERROR(IF(LayTable[[#This Row],[Total inns]]="","",LayTable[[#This Row],[Rlay]]/LayTable[[#This Row],[Total inns]]),"")</f>
        <v/>
      </c>
      <c r="Y670" s="48" t="str">
        <f>IFERROR(LayTable[[#This Row],[Faktisk res]]/LayTable[[#This Row],[Total inns]],"")</f>
        <v/>
      </c>
      <c r="Z670" s="47">
        <f>(LayTable[[#This Row],[BookieInnsats]]*LayTable[[#This Row],[BookieOdds]]-LayTable[[#This Row],[BookieInnsats]])*(1-LayTable[[#This Row],[C% Bookie]])</f>
        <v>0</v>
      </c>
      <c r="AA670" s="43">
        <f>LayTable[[#This Row],[LayInnsats]]*(1-LayTable[[#This Row],[C% Lay]])</f>
        <v>0</v>
      </c>
      <c r="AB670" s="43" t="str">
        <f>IFERROR(IF(LayTable[[#This Row],[Sport]]="",AB669,LayTable[[#This Row],[Faktisk res]]+AB669),"")</f>
        <v/>
      </c>
      <c r="AC670" s="43">
        <f>(LayTable[[#This Row],[BackWin-Commission]]+LayTable[[#This Row],[BookieInnsats]])</f>
        <v>0</v>
      </c>
      <c r="AD670" s="43" t="e">
        <f>(LayTable[[#This Row],[LayWin-Commission]])+LayTable[[#This Row],[LayLiability]]</f>
        <v>#VALUE!</v>
      </c>
      <c r="AE670" s="181"/>
      <c r="AF670" s="319"/>
    </row>
    <row r="671" spans="1:32">
      <c r="A671" s="84"/>
      <c r="B671" s="144"/>
      <c r="C671" s="40"/>
      <c r="D671" s="41"/>
      <c r="E671" s="40"/>
      <c r="F671" s="41"/>
      <c r="G671" s="183"/>
      <c r="H671" s="38"/>
      <c r="I671" s="42"/>
      <c r="J671" s="42"/>
      <c r="K671" s="43"/>
      <c r="L671" s="43"/>
      <c r="M671" s="44" t="str">
        <f>IF(LayTable[[#This Row],[Sport]]="","",LayTable[[#This Row],[LayInnsats]]*(LayTable[[#This Row],[LayOdds]]-1))</f>
        <v/>
      </c>
      <c r="N671" s="45" t="str">
        <f>IF(LayTable[[#This Row],[Sport]]="","",1/((1/LayTable[[#This Row],[BookieOdds]])+(1/((1/((1+((LayTable[[#This Row],[LayOdds]]-1)*(1+LayTable[[#This Row],[C% Lay]])))-1))+1)))-1)</f>
        <v/>
      </c>
      <c r="Q671" s="46" t="str">
        <f>IF(LayTable[[#This Row],[Sport]]="","",LayTable[[#This Row],[BookieInnsats]]+LayTable[[#This Row],[LayLiability]])</f>
        <v/>
      </c>
      <c r="R6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1" s="47" t="str">
        <f>IF(LayTable[[#This Row],[Utfall bookie]]="","",LayTable[[#This Row],[WBABack]]+LayTable[[#This Row],[WBALay]]-LayTable[[#This Row],[Total inns]])</f>
        <v/>
      </c>
      <c r="U6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1" s="48" t="str">
        <f>IFERROR(IF(LayTable[[#This Row],[Total inns]]="","",LayTable[[#This Row],[Rback]]/LayTable[[#This Row],[Total inns]]),"")</f>
        <v/>
      </c>
      <c r="X671" s="48" t="str">
        <f>IFERROR(IF(LayTable[[#This Row],[Total inns]]="","",LayTable[[#This Row],[Rlay]]/LayTable[[#This Row],[Total inns]]),"")</f>
        <v/>
      </c>
      <c r="Y671" s="48" t="str">
        <f>IFERROR(LayTable[[#This Row],[Faktisk res]]/LayTable[[#This Row],[Total inns]],"")</f>
        <v/>
      </c>
      <c r="Z671" s="47">
        <f>(LayTable[[#This Row],[BookieInnsats]]*LayTable[[#This Row],[BookieOdds]]-LayTable[[#This Row],[BookieInnsats]])*(1-LayTable[[#This Row],[C% Bookie]])</f>
        <v>0</v>
      </c>
      <c r="AA671" s="43">
        <f>LayTable[[#This Row],[LayInnsats]]*(1-LayTable[[#This Row],[C% Lay]])</f>
        <v>0</v>
      </c>
      <c r="AB671" s="43" t="str">
        <f>IFERROR(IF(LayTable[[#This Row],[Sport]]="",AB670,LayTable[[#This Row],[Faktisk res]]+AB670),"")</f>
        <v/>
      </c>
      <c r="AC671" s="43">
        <f>(LayTable[[#This Row],[BackWin-Commission]]+LayTable[[#This Row],[BookieInnsats]])</f>
        <v>0</v>
      </c>
      <c r="AD671" s="43" t="e">
        <f>(LayTable[[#This Row],[LayWin-Commission]])+LayTable[[#This Row],[LayLiability]]</f>
        <v>#VALUE!</v>
      </c>
      <c r="AE671" s="181"/>
      <c r="AF671" s="319"/>
    </row>
    <row r="672" spans="1:32">
      <c r="A672" s="84"/>
      <c r="B672" s="144"/>
      <c r="C672" s="40"/>
      <c r="D672" s="41"/>
      <c r="E672" s="40"/>
      <c r="F672" s="41"/>
      <c r="G672" s="183"/>
      <c r="H672" s="38"/>
      <c r="I672" s="42"/>
      <c r="J672" s="42"/>
      <c r="K672" s="43"/>
      <c r="L672" s="43"/>
      <c r="M672" s="44" t="str">
        <f>IF(LayTable[[#This Row],[Sport]]="","",LayTable[[#This Row],[LayInnsats]]*(LayTable[[#This Row],[LayOdds]]-1))</f>
        <v/>
      </c>
      <c r="N672" s="45" t="str">
        <f>IF(LayTable[[#This Row],[Sport]]="","",1/((1/LayTable[[#This Row],[BookieOdds]])+(1/((1/((1+((LayTable[[#This Row],[LayOdds]]-1)*(1+LayTable[[#This Row],[C% Lay]])))-1))+1)))-1)</f>
        <v/>
      </c>
      <c r="Q672" s="46" t="str">
        <f>IF(LayTable[[#This Row],[Sport]]="","",LayTable[[#This Row],[BookieInnsats]]+LayTable[[#This Row],[LayLiability]])</f>
        <v/>
      </c>
      <c r="R6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2" s="47" t="str">
        <f>IF(LayTable[[#This Row],[Utfall bookie]]="","",LayTable[[#This Row],[WBABack]]+LayTable[[#This Row],[WBALay]]-LayTable[[#This Row],[Total inns]])</f>
        <v/>
      </c>
      <c r="U6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2" s="48" t="str">
        <f>IFERROR(IF(LayTable[[#This Row],[Total inns]]="","",LayTable[[#This Row],[Rback]]/LayTable[[#This Row],[Total inns]]),"")</f>
        <v/>
      </c>
      <c r="X672" s="48" t="str">
        <f>IFERROR(IF(LayTable[[#This Row],[Total inns]]="","",LayTable[[#This Row],[Rlay]]/LayTable[[#This Row],[Total inns]]),"")</f>
        <v/>
      </c>
      <c r="Y672" s="48" t="str">
        <f>IFERROR(LayTable[[#This Row],[Faktisk res]]/LayTable[[#This Row],[Total inns]],"")</f>
        <v/>
      </c>
      <c r="Z672" s="47">
        <f>(LayTable[[#This Row],[BookieInnsats]]*LayTable[[#This Row],[BookieOdds]]-LayTable[[#This Row],[BookieInnsats]])*(1-LayTable[[#This Row],[C% Bookie]])</f>
        <v>0</v>
      </c>
      <c r="AA672" s="43">
        <f>LayTable[[#This Row],[LayInnsats]]*(1-LayTable[[#This Row],[C% Lay]])</f>
        <v>0</v>
      </c>
      <c r="AB672" s="43" t="str">
        <f>IFERROR(IF(LayTable[[#This Row],[Sport]]="",AB671,LayTable[[#This Row],[Faktisk res]]+AB671),"")</f>
        <v/>
      </c>
      <c r="AC672" s="43">
        <f>(LayTable[[#This Row],[BackWin-Commission]]+LayTable[[#This Row],[BookieInnsats]])</f>
        <v>0</v>
      </c>
      <c r="AD672" s="43" t="e">
        <f>(LayTable[[#This Row],[LayWin-Commission]])+LayTable[[#This Row],[LayLiability]]</f>
        <v>#VALUE!</v>
      </c>
      <c r="AE672" s="319"/>
      <c r="AF672" s="319"/>
    </row>
    <row r="673" spans="1:32">
      <c r="A673" s="183"/>
      <c r="B673" s="144"/>
      <c r="C673" s="178"/>
      <c r="D673" s="251"/>
      <c r="E673" s="178"/>
      <c r="F673" s="251"/>
      <c r="G673" s="183"/>
      <c r="H673" s="176"/>
      <c r="I673" s="180"/>
      <c r="J673" s="180"/>
      <c r="K673" s="181"/>
      <c r="L673" s="181"/>
      <c r="M673" s="44" t="str">
        <f>IF(LayTable[[#This Row],[Sport]]="","",LayTable[[#This Row],[LayInnsats]]*(LayTable[[#This Row],[LayOdds]]-1))</f>
        <v/>
      </c>
      <c r="N673" s="45" t="str">
        <f>IF(LayTable[[#This Row],[Sport]]="","",1/((1/LayTable[[#This Row],[BookieOdds]])+(1/((1/((1+((LayTable[[#This Row],[LayOdds]]-1)*(1+LayTable[[#This Row],[C% Lay]])))-1))+1)))-1)</f>
        <v/>
      </c>
      <c r="Q673" s="46" t="str">
        <f>IF(LayTable[[#This Row],[Sport]]="","",LayTable[[#This Row],[BookieInnsats]]+LayTable[[#This Row],[LayLiability]])</f>
        <v/>
      </c>
      <c r="R6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3" s="47" t="str">
        <f>IF(LayTable[[#This Row],[Utfall bookie]]="","",LayTable[[#This Row],[WBABack]]+LayTable[[#This Row],[WBALay]]-LayTable[[#This Row],[Total inns]])</f>
        <v/>
      </c>
      <c r="U6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3" s="48" t="str">
        <f>IFERROR(IF(LayTable[[#This Row],[Total inns]]="","",LayTable[[#This Row],[Rback]]/LayTable[[#This Row],[Total inns]]),"")</f>
        <v/>
      </c>
      <c r="X673" s="48" t="str">
        <f>IFERROR(IF(LayTable[[#This Row],[Total inns]]="","",LayTable[[#This Row],[Rlay]]/LayTable[[#This Row],[Total inns]]),"")</f>
        <v/>
      </c>
      <c r="Y673" s="48" t="str">
        <f>IFERROR(LayTable[[#This Row],[Faktisk res]]/LayTable[[#This Row],[Total inns]],"")</f>
        <v/>
      </c>
      <c r="Z673" s="47">
        <f>(LayTable[[#This Row],[BookieInnsats]]*LayTable[[#This Row],[BookieOdds]]-LayTable[[#This Row],[BookieInnsats]])*(1-LayTable[[#This Row],[C% Bookie]])</f>
        <v>0</v>
      </c>
      <c r="AA673" s="43">
        <f>LayTable[[#This Row],[LayInnsats]]*(1-LayTable[[#This Row],[C% Lay]])</f>
        <v>0</v>
      </c>
      <c r="AB673" s="43" t="str">
        <f>IFERROR(IF(LayTable[[#This Row],[Sport]]="",AB672,LayTable[[#This Row],[Faktisk res]]+AB672),"")</f>
        <v/>
      </c>
      <c r="AC673" s="43">
        <f>(LayTable[[#This Row],[BackWin-Commission]]+LayTable[[#This Row],[BookieInnsats]])</f>
        <v>0</v>
      </c>
      <c r="AD673" s="43" t="e">
        <f>(LayTable[[#This Row],[LayWin-Commission]])+LayTable[[#This Row],[LayLiability]]</f>
        <v>#VALUE!</v>
      </c>
      <c r="AE673" s="181"/>
      <c r="AF673" s="319"/>
    </row>
    <row r="674" spans="1:32">
      <c r="A674" s="84"/>
      <c r="B674" s="144"/>
      <c r="C674" s="40"/>
      <c r="D674" s="41"/>
      <c r="E674" s="40"/>
      <c r="F674" s="41"/>
      <c r="G674" s="183"/>
      <c r="H674" s="38"/>
      <c r="I674" s="42"/>
      <c r="J674" s="42"/>
      <c r="K674" s="43"/>
      <c r="L674" s="43"/>
      <c r="M674" s="44" t="str">
        <f>IF(LayTable[[#This Row],[Sport]]="","",LayTable[[#This Row],[LayInnsats]]*(LayTable[[#This Row],[LayOdds]]-1))</f>
        <v/>
      </c>
      <c r="N674" s="45" t="str">
        <f>IF(LayTable[[#This Row],[Sport]]="","",1/((1/LayTable[[#This Row],[BookieOdds]])+(1/((1/((1+((LayTable[[#This Row],[LayOdds]]-1)*(1+LayTable[[#This Row],[C% Lay]])))-1))+1)))-1)</f>
        <v/>
      </c>
      <c r="Q674" s="46" t="str">
        <f>IF(LayTable[[#This Row],[Sport]]="","",LayTable[[#This Row],[BookieInnsats]]+LayTable[[#This Row],[LayLiability]])</f>
        <v/>
      </c>
      <c r="R6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4" s="47" t="str">
        <f>IF(LayTable[[#This Row],[Utfall bookie]]="","",LayTable[[#This Row],[WBABack]]+LayTable[[#This Row],[WBALay]]-LayTable[[#This Row],[Total inns]])</f>
        <v/>
      </c>
      <c r="U6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4" s="48" t="str">
        <f>IFERROR(IF(LayTable[[#This Row],[Total inns]]="","",LayTable[[#This Row],[Rback]]/LayTable[[#This Row],[Total inns]]),"")</f>
        <v/>
      </c>
      <c r="X674" s="48" t="str">
        <f>IFERROR(IF(LayTable[[#This Row],[Total inns]]="","",LayTable[[#This Row],[Rlay]]/LayTable[[#This Row],[Total inns]]),"")</f>
        <v/>
      </c>
      <c r="Y674" s="48" t="str">
        <f>IFERROR(LayTable[[#This Row],[Faktisk res]]/LayTable[[#This Row],[Total inns]],"")</f>
        <v/>
      </c>
      <c r="Z674" s="47">
        <f>(LayTable[[#This Row],[BookieInnsats]]*LayTable[[#This Row],[BookieOdds]]-LayTable[[#This Row],[BookieInnsats]])*(1-LayTable[[#This Row],[C% Bookie]])</f>
        <v>0</v>
      </c>
      <c r="AA674" s="43">
        <f>LayTable[[#This Row],[LayInnsats]]*(1-LayTable[[#This Row],[C% Lay]])</f>
        <v>0</v>
      </c>
      <c r="AB674" s="43" t="str">
        <f>IFERROR(IF(LayTable[[#This Row],[Sport]]="",AB673,LayTable[[#This Row],[Faktisk res]]+AB673),"")</f>
        <v/>
      </c>
      <c r="AC674" s="43">
        <f>(LayTable[[#This Row],[BackWin-Commission]]+LayTable[[#This Row],[BookieInnsats]])</f>
        <v>0</v>
      </c>
      <c r="AD674" s="43" t="e">
        <f>(LayTable[[#This Row],[LayWin-Commission]])+LayTable[[#This Row],[LayLiability]]</f>
        <v>#VALUE!</v>
      </c>
      <c r="AE674" s="181"/>
      <c r="AF674" s="319"/>
    </row>
    <row r="675" spans="1:32">
      <c r="A675" s="84"/>
      <c r="B675" s="144"/>
      <c r="C675" s="40"/>
      <c r="D675" s="41"/>
      <c r="E675" s="40"/>
      <c r="F675" s="41"/>
      <c r="G675" s="183"/>
      <c r="H675" s="38"/>
      <c r="I675" s="42"/>
      <c r="J675" s="42"/>
      <c r="K675" s="43"/>
      <c r="L675" s="43"/>
      <c r="M675" s="44" t="str">
        <f>IF(LayTable[[#This Row],[Sport]]="","",LayTable[[#This Row],[LayInnsats]]*(LayTable[[#This Row],[LayOdds]]-1))</f>
        <v/>
      </c>
      <c r="N675" s="45" t="str">
        <f>IF(LayTable[[#This Row],[Sport]]="","",1/((1/LayTable[[#This Row],[BookieOdds]])+(1/((1/((1+((LayTable[[#This Row],[LayOdds]]-1)*(1+LayTable[[#This Row],[C% Lay]])))-1))+1)))-1)</f>
        <v/>
      </c>
      <c r="Q675" s="46" t="str">
        <f>IF(LayTable[[#This Row],[Sport]]="","",LayTable[[#This Row],[BookieInnsats]]+LayTable[[#This Row],[LayLiability]])</f>
        <v/>
      </c>
      <c r="R6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5" s="47" t="str">
        <f>IF(LayTable[[#This Row],[Utfall bookie]]="","",LayTable[[#This Row],[WBABack]]+LayTable[[#This Row],[WBALay]]-LayTable[[#This Row],[Total inns]])</f>
        <v/>
      </c>
      <c r="U6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5" s="48" t="str">
        <f>IFERROR(IF(LayTable[[#This Row],[Total inns]]="","",LayTable[[#This Row],[Rback]]/LayTable[[#This Row],[Total inns]]),"")</f>
        <v/>
      </c>
      <c r="X675" s="48" t="str">
        <f>IFERROR(IF(LayTable[[#This Row],[Total inns]]="","",LayTable[[#This Row],[Rlay]]/LayTable[[#This Row],[Total inns]]),"")</f>
        <v/>
      </c>
      <c r="Y675" s="48" t="str">
        <f>IFERROR(LayTable[[#This Row],[Faktisk res]]/LayTable[[#This Row],[Total inns]],"")</f>
        <v/>
      </c>
      <c r="Z675" s="47">
        <f>(LayTable[[#This Row],[BookieInnsats]]*LayTable[[#This Row],[BookieOdds]]-LayTable[[#This Row],[BookieInnsats]])*(1-LayTable[[#This Row],[C% Bookie]])</f>
        <v>0</v>
      </c>
      <c r="AA675" s="43">
        <f>LayTable[[#This Row],[LayInnsats]]*(1-LayTable[[#This Row],[C% Lay]])</f>
        <v>0</v>
      </c>
      <c r="AB675" s="43" t="str">
        <f>IFERROR(IF(LayTable[[#This Row],[Sport]]="",AB674,LayTable[[#This Row],[Faktisk res]]+AB674),"")</f>
        <v/>
      </c>
      <c r="AC675" s="43">
        <f>(LayTable[[#This Row],[BackWin-Commission]]+LayTable[[#This Row],[BookieInnsats]])</f>
        <v>0</v>
      </c>
      <c r="AD675" s="43" t="e">
        <f>(LayTable[[#This Row],[LayWin-Commission]])+LayTable[[#This Row],[LayLiability]]</f>
        <v>#VALUE!</v>
      </c>
      <c r="AE675" s="319"/>
      <c r="AF675" s="319"/>
    </row>
    <row r="676" spans="1:32">
      <c r="A676" s="84"/>
      <c r="B676" s="144"/>
      <c r="C676" s="40"/>
      <c r="D676" s="41"/>
      <c r="E676" s="40"/>
      <c r="F676" s="41"/>
      <c r="G676" s="183"/>
      <c r="H676" s="38"/>
      <c r="I676" s="42"/>
      <c r="J676" s="42"/>
      <c r="K676" s="43"/>
      <c r="L676" s="43"/>
      <c r="M676" s="44" t="str">
        <f>IF(LayTable[[#This Row],[Sport]]="","",LayTable[[#This Row],[LayInnsats]]*(LayTable[[#This Row],[LayOdds]]-1))</f>
        <v/>
      </c>
      <c r="N676" s="45" t="str">
        <f>IF(LayTable[[#This Row],[Sport]]="","",1/((1/LayTable[[#This Row],[BookieOdds]])+(1/((1/((1+((LayTable[[#This Row],[LayOdds]]-1)*(1+LayTable[[#This Row],[C% Lay]])))-1))+1)))-1)</f>
        <v/>
      </c>
      <c r="Q676" s="46" t="str">
        <f>IF(LayTable[[#This Row],[Sport]]="","",LayTable[[#This Row],[BookieInnsats]]+LayTable[[#This Row],[LayLiability]])</f>
        <v/>
      </c>
      <c r="R6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6" s="47" t="str">
        <f>IF(LayTable[[#This Row],[Utfall bookie]]="","",LayTable[[#This Row],[WBABack]]+LayTable[[#This Row],[WBALay]]-LayTable[[#This Row],[Total inns]])</f>
        <v/>
      </c>
      <c r="U6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6" s="48" t="str">
        <f>IFERROR(IF(LayTable[[#This Row],[Total inns]]="","",LayTable[[#This Row],[Rback]]/LayTable[[#This Row],[Total inns]]),"")</f>
        <v/>
      </c>
      <c r="X676" s="48" t="str">
        <f>IFERROR(IF(LayTable[[#This Row],[Total inns]]="","",LayTable[[#This Row],[Rlay]]/LayTable[[#This Row],[Total inns]]),"")</f>
        <v/>
      </c>
      <c r="Y676" s="48" t="str">
        <f>IFERROR(LayTable[[#This Row],[Faktisk res]]/LayTable[[#This Row],[Total inns]],"")</f>
        <v/>
      </c>
      <c r="Z676" s="47">
        <f>(LayTable[[#This Row],[BookieInnsats]]*LayTable[[#This Row],[BookieOdds]]-LayTable[[#This Row],[BookieInnsats]])*(1-LayTable[[#This Row],[C% Bookie]])</f>
        <v>0</v>
      </c>
      <c r="AA676" s="43">
        <f>LayTable[[#This Row],[LayInnsats]]*(1-LayTable[[#This Row],[C% Lay]])</f>
        <v>0</v>
      </c>
      <c r="AB676" s="43" t="str">
        <f>IFERROR(IF(LayTable[[#This Row],[Sport]]="",AB675,LayTable[[#This Row],[Faktisk res]]+AB675),"")</f>
        <v/>
      </c>
      <c r="AC676" s="43">
        <f>(LayTable[[#This Row],[BackWin-Commission]]+LayTable[[#This Row],[BookieInnsats]])</f>
        <v>0</v>
      </c>
      <c r="AD676" s="43" t="e">
        <f>(LayTable[[#This Row],[LayWin-Commission]])+LayTable[[#This Row],[LayLiability]]</f>
        <v>#VALUE!</v>
      </c>
      <c r="AE676" s="181"/>
      <c r="AF676" s="319"/>
    </row>
    <row r="677" spans="1:32">
      <c r="A677" s="84"/>
      <c r="B677" s="144"/>
      <c r="C677" s="40"/>
      <c r="D677" s="41"/>
      <c r="E677" s="40"/>
      <c r="F677" s="41"/>
      <c r="G677" s="183"/>
      <c r="H677" s="38"/>
      <c r="I677" s="42"/>
      <c r="J677" s="42"/>
      <c r="K677" s="43"/>
      <c r="L677" s="43"/>
      <c r="M677" s="44" t="str">
        <f>IF(LayTable[[#This Row],[Sport]]="","",LayTable[[#This Row],[LayInnsats]]*(LayTable[[#This Row],[LayOdds]]-1))</f>
        <v/>
      </c>
      <c r="N677" s="45" t="str">
        <f>IF(LayTable[[#This Row],[Sport]]="","",1/((1/LayTable[[#This Row],[BookieOdds]])+(1/((1/((1+((LayTable[[#This Row],[LayOdds]]-1)*(1+LayTable[[#This Row],[C% Lay]])))-1))+1)))-1)</f>
        <v/>
      </c>
      <c r="Q677" s="46" t="str">
        <f>IF(LayTable[[#This Row],[Sport]]="","",LayTable[[#This Row],[BookieInnsats]]+LayTable[[#This Row],[LayLiability]])</f>
        <v/>
      </c>
      <c r="R6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7" s="47" t="str">
        <f>IF(LayTable[[#This Row],[Utfall bookie]]="","",LayTable[[#This Row],[WBABack]]+LayTable[[#This Row],[WBALay]]-LayTable[[#This Row],[Total inns]])</f>
        <v/>
      </c>
      <c r="U6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7" s="48" t="str">
        <f>IFERROR(IF(LayTable[[#This Row],[Total inns]]="","",LayTable[[#This Row],[Rback]]/LayTable[[#This Row],[Total inns]]),"")</f>
        <v/>
      </c>
      <c r="X677" s="48" t="str">
        <f>IFERROR(IF(LayTable[[#This Row],[Total inns]]="","",LayTable[[#This Row],[Rlay]]/LayTable[[#This Row],[Total inns]]),"")</f>
        <v/>
      </c>
      <c r="Y677" s="48" t="str">
        <f>IFERROR(LayTable[[#This Row],[Faktisk res]]/LayTable[[#This Row],[Total inns]],"")</f>
        <v/>
      </c>
      <c r="Z677" s="47">
        <f>(LayTable[[#This Row],[BookieInnsats]]*LayTable[[#This Row],[BookieOdds]]-LayTable[[#This Row],[BookieInnsats]])*(1-LayTable[[#This Row],[C% Bookie]])</f>
        <v>0</v>
      </c>
      <c r="AA677" s="43">
        <f>LayTable[[#This Row],[LayInnsats]]*(1-LayTable[[#This Row],[C% Lay]])</f>
        <v>0</v>
      </c>
      <c r="AB677" s="43" t="str">
        <f>IFERROR(IF(LayTable[[#This Row],[Sport]]="",AB676,LayTable[[#This Row],[Faktisk res]]+AB676),"")</f>
        <v/>
      </c>
      <c r="AC677" s="43">
        <f>(LayTable[[#This Row],[BackWin-Commission]]+LayTable[[#This Row],[BookieInnsats]])</f>
        <v>0</v>
      </c>
      <c r="AD677" s="43" t="e">
        <f>(LayTable[[#This Row],[LayWin-Commission]])+LayTable[[#This Row],[LayLiability]]</f>
        <v>#VALUE!</v>
      </c>
      <c r="AE677" s="181"/>
      <c r="AF677" s="319"/>
    </row>
    <row r="678" spans="1:32">
      <c r="A678" s="84"/>
      <c r="B678" s="144"/>
      <c r="C678" s="40"/>
      <c r="D678" s="41"/>
      <c r="E678" s="40"/>
      <c r="F678" s="41"/>
      <c r="G678" s="183"/>
      <c r="H678" s="38"/>
      <c r="I678" s="42"/>
      <c r="J678" s="42"/>
      <c r="K678" s="43"/>
      <c r="L678" s="43"/>
      <c r="M678" s="44" t="str">
        <f>IF(LayTable[[#This Row],[Sport]]="","",LayTable[[#This Row],[LayInnsats]]*(LayTable[[#This Row],[LayOdds]]-1))</f>
        <v/>
      </c>
      <c r="N678" s="45" t="str">
        <f>IF(LayTable[[#This Row],[Sport]]="","",1/((1/LayTable[[#This Row],[BookieOdds]])+(1/((1/((1+((LayTable[[#This Row],[LayOdds]]-1)*(1+LayTable[[#This Row],[C% Lay]])))-1))+1)))-1)</f>
        <v/>
      </c>
      <c r="Q678" s="46" t="str">
        <f>IF(LayTable[[#This Row],[Sport]]="","",LayTable[[#This Row],[BookieInnsats]]+LayTable[[#This Row],[LayLiability]])</f>
        <v/>
      </c>
      <c r="R6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8" s="47" t="str">
        <f>IF(LayTable[[#This Row],[Utfall bookie]]="","",LayTable[[#This Row],[WBABack]]+LayTable[[#This Row],[WBALay]]-LayTable[[#This Row],[Total inns]])</f>
        <v/>
      </c>
      <c r="U6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8" s="48" t="str">
        <f>IFERROR(IF(LayTable[[#This Row],[Total inns]]="","",LayTable[[#This Row],[Rback]]/LayTable[[#This Row],[Total inns]]),"")</f>
        <v/>
      </c>
      <c r="X678" s="48" t="str">
        <f>IFERROR(IF(LayTable[[#This Row],[Total inns]]="","",LayTable[[#This Row],[Rlay]]/LayTable[[#This Row],[Total inns]]),"")</f>
        <v/>
      </c>
      <c r="Y678" s="48" t="str">
        <f>IFERROR(LayTable[[#This Row],[Faktisk res]]/LayTable[[#This Row],[Total inns]],"")</f>
        <v/>
      </c>
      <c r="Z678" s="47">
        <f>(LayTable[[#This Row],[BookieInnsats]]*LayTable[[#This Row],[BookieOdds]]-LayTable[[#This Row],[BookieInnsats]])*(1-LayTable[[#This Row],[C% Bookie]])</f>
        <v>0</v>
      </c>
      <c r="AA678" s="43">
        <f>LayTable[[#This Row],[LayInnsats]]*(1-LayTable[[#This Row],[C% Lay]])</f>
        <v>0</v>
      </c>
      <c r="AB678" s="43" t="str">
        <f>IFERROR(IF(LayTable[[#This Row],[Sport]]="",AB677,LayTable[[#This Row],[Faktisk res]]+AB677),"")</f>
        <v/>
      </c>
      <c r="AC678" s="43">
        <f>(LayTable[[#This Row],[BackWin-Commission]]+LayTable[[#This Row],[BookieInnsats]])</f>
        <v>0</v>
      </c>
      <c r="AD678" s="43" t="e">
        <f>(LayTable[[#This Row],[LayWin-Commission]])+LayTable[[#This Row],[LayLiability]]</f>
        <v>#VALUE!</v>
      </c>
      <c r="AE678" s="181"/>
      <c r="AF678" s="319"/>
    </row>
    <row r="679" spans="1:32">
      <c r="A679" s="84"/>
      <c r="B679" s="144"/>
      <c r="C679" s="40"/>
      <c r="D679" s="41"/>
      <c r="E679" s="40"/>
      <c r="F679" s="41"/>
      <c r="G679" s="183"/>
      <c r="H679" s="38"/>
      <c r="I679" s="42"/>
      <c r="J679" s="42"/>
      <c r="K679" s="43"/>
      <c r="L679" s="43"/>
      <c r="M679" s="44" t="str">
        <f>IF(LayTable[[#This Row],[Sport]]="","",LayTable[[#This Row],[LayInnsats]]*(LayTable[[#This Row],[LayOdds]]-1))</f>
        <v/>
      </c>
      <c r="N679" s="45" t="str">
        <f>IF(LayTable[[#This Row],[Sport]]="","",1/((1/LayTable[[#This Row],[BookieOdds]])+(1/((1/((1+((LayTable[[#This Row],[LayOdds]]-1)*(1+LayTable[[#This Row],[C% Lay]])))-1))+1)))-1)</f>
        <v/>
      </c>
      <c r="Q679" s="46" t="str">
        <f>IF(LayTable[[#This Row],[Sport]]="","",LayTable[[#This Row],[BookieInnsats]]+LayTable[[#This Row],[LayLiability]])</f>
        <v/>
      </c>
      <c r="R6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79" s="47" t="str">
        <f>IF(LayTable[[#This Row],[Utfall bookie]]="","",LayTable[[#This Row],[WBABack]]+LayTable[[#This Row],[WBALay]]-LayTable[[#This Row],[Total inns]])</f>
        <v/>
      </c>
      <c r="U6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79" s="48" t="str">
        <f>IFERROR(IF(LayTable[[#This Row],[Total inns]]="","",LayTable[[#This Row],[Rback]]/LayTable[[#This Row],[Total inns]]),"")</f>
        <v/>
      </c>
      <c r="X679" s="48" t="str">
        <f>IFERROR(IF(LayTable[[#This Row],[Total inns]]="","",LayTable[[#This Row],[Rlay]]/LayTable[[#This Row],[Total inns]]),"")</f>
        <v/>
      </c>
      <c r="Y679" s="48" t="str">
        <f>IFERROR(LayTable[[#This Row],[Faktisk res]]/LayTable[[#This Row],[Total inns]],"")</f>
        <v/>
      </c>
      <c r="Z679" s="47">
        <f>(LayTable[[#This Row],[BookieInnsats]]*LayTable[[#This Row],[BookieOdds]]-LayTable[[#This Row],[BookieInnsats]])*(1-LayTable[[#This Row],[C% Bookie]])</f>
        <v>0</v>
      </c>
      <c r="AA679" s="43">
        <f>LayTable[[#This Row],[LayInnsats]]*(1-LayTable[[#This Row],[C% Lay]])</f>
        <v>0</v>
      </c>
      <c r="AB679" s="43" t="str">
        <f>IFERROR(IF(LayTable[[#This Row],[Sport]]="",AB678,LayTable[[#This Row],[Faktisk res]]+AB678),"")</f>
        <v/>
      </c>
      <c r="AC679" s="43">
        <f>(LayTable[[#This Row],[BackWin-Commission]]+LayTable[[#This Row],[BookieInnsats]])</f>
        <v>0</v>
      </c>
      <c r="AD679" s="43" t="e">
        <f>(LayTable[[#This Row],[LayWin-Commission]])+LayTable[[#This Row],[LayLiability]]</f>
        <v>#VALUE!</v>
      </c>
      <c r="AE679" s="181"/>
      <c r="AF679" s="319"/>
    </row>
    <row r="680" spans="1:32">
      <c r="A680" s="84"/>
      <c r="B680" s="144"/>
      <c r="C680" s="40"/>
      <c r="D680" s="41"/>
      <c r="E680" s="40"/>
      <c r="F680" s="41"/>
      <c r="G680" s="183"/>
      <c r="H680" s="38"/>
      <c r="I680" s="42"/>
      <c r="J680" s="42"/>
      <c r="K680" s="43"/>
      <c r="L680" s="43"/>
      <c r="M680" s="44" t="str">
        <f>IF(LayTable[[#This Row],[Sport]]="","",LayTable[[#This Row],[LayInnsats]]*(LayTable[[#This Row],[LayOdds]]-1))</f>
        <v/>
      </c>
      <c r="N680" s="45" t="str">
        <f>IF(LayTable[[#This Row],[Sport]]="","",1/((1/LayTable[[#This Row],[BookieOdds]])+(1/((1/((1+((LayTable[[#This Row],[LayOdds]]-1)*(1+LayTable[[#This Row],[C% Lay]])))-1))+1)))-1)</f>
        <v/>
      </c>
      <c r="Q680" s="46" t="str">
        <f>IF(LayTable[[#This Row],[Sport]]="","",LayTable[[#This Row],[BookieInnsats]]+LayTable[[#This Row],[LayLiability]])</f>
        <v/>
      </c>
      <c r="R6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0" s="47" t="str">
        <f>IF(LayTable[[#This Row],[Utfall bookie]]="","",LayTable[[#This Row],[WBABack]]+LayTable[[#This Row],[WBALay]]-LayTable[[#This Row],[Total inns]])</f>
        <v/>
      </c>
      <c r="U6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0" s="48" t="str">
        <f>IFERROR(IF(LayTable[[#This Row],[Total inns]]="","",LayTable[[#This Row],[Rback]]/LayTable[[#This Row],[Total inns]]),"")</f>
        <v/>
      </c>
      <c r="X680" s="48" t="str">
        <f>IFERROR(IF(LayTable[[#This Row],[Total inns]]="","",LayTable[[#This Row],[Rlay]]/LayTable[[#This Row],[Total inns]]),"")</f>
        <v/>
      </c>
      <c r="Y680" s="48" t="str">
        <f>IFERROR(LayTable[[#This Row],[Faktisk res]]/LayTable[[#This Row],[Total inns]],"")</f>
        <v/>
      </c>
      <c r="Z680" s="47">
        <f>(LayTable[[#This Row],[BookieInnsats]]*LayTable[[#This Row],[BookieOdds]]-LayTable[[#This Row],[BookieInnsats]])*(1-LayTable[[#This Row],[C% Bookie]])</f>
        <v>0</v>
      </c>
      <c r="AA680" s="43">
        <f>LayTable[[#This Row],[LayInnsats]]*(1-LayTable[[#This Row],[C% Lay]])</f>
        <v>0</v>
      </c>
      <c r="AB680" s="43" t="str">
        <f>IFERROR(IF(LayTable[[#This Row],[Sport]]="",AB679,LayTable[[#This Row],[Faktisk res]]+AB679),"")</f>
        <v/>
      </c>
      <c r="AC680" s="43">
        <f>(LayTable[[#This Row],[BackWin-Commission]]+LayTable[[#This Row],[BookieInnsats]])</f>
        <v>0</v>
      </c>
      <c r="AD680" s="43" t="e">
        <f>(LayTable[[#This Row],[LayWin-Commission]])+LayTable[[#This Row],[LayLiability]]</f>
        <v>#VALUE!</v>
      </c>
      <c r="AE680" s="181"/>
      <c r="AF680" s="319"/>
    </row>
    <row r="681" spans="1:32">
      <c r="A681" s="84"/>
      <c r="B681" s="144"/>
      <c r="C681" s="40"/>
      <c r="D681" s="41"/>
      <c r="E681" s="40"/>
      <c r="F681" s="41"/>
      <c r="G681" s="183"/>
      <c r="H681" s="38"/>
      <c r="I681" s="42"/>
      <c r="J681" s="42"/>
      <c r="K681" s="43"/>
      <c r="L681" s="43"/>
      <c r="M681" s="44" t="str">
        <f>IF(LayTable[[#This Row],[Sport]]="","",LayTable[[#This Row],[LayInnsats]]*(LayTable[[#This Row],[LayOdds]]-1))</f>
        <v/>
      </c>
      <c r="N681" s="45" t="str">
        <f>IF(LayTable[[#This Row],[Sport]]="","",1/((1/LayTable[[#This Row],[BookieOdds]])+(1/((1/((1+((LayTable[[#This Row],[LayOdds]]-1)*(1+LayTable[[#This Row],[C% Lay]])))-1))+1)))-1)</f>
        <v/>
      </c>
      <c r="Q681" s="46" t="str">
        <f>IF(LayTable[[#This Row],[Sport]]="","",LayTable[[#This Row],[BookieInnsats]]+LayTable[[#This Row],[LayLiability]])</f>
        <v/>
      </c>
      <c r="R6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1" s="47" t="str">
        <f>IF(LayTable[[#This Row],[Utfall bookie]]="","",LayTable[[#This Row],[WBABack]]+LayTable[[#This Row],[WBALay]]-LayTable[[#This Row],[Total inns]])</f>
        <v/>
      </c>
      <c r="U6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1" s="48" t="str">
        <f>IFERROR(IF(LayTable[[#This Row],[Total inns]]="","",LayTable[[#This Row],[Rback]]/LayTable[[#This Row],[Total inns]]),"")</f>
        <v/>
      </c>
      <c r="X681" s="48" t="str">
        <f>IFERROR(IF(LayTable[[#This Row],[Total inns]]="","",LayTable[[#This Row],[Rlay]]/LayTable[[#This Row],[Total inns]]),"")</f>
        <v/>
      </c>
      <c r="Y681" s="48" t="str">
        <f>IFERROR(LayTable[[#This Row],[Faktisk res]]/LayTable[[#This Row],[Total inns]],"")</f>
        <v/>
      </c>
      <c r="Z681" s="47">
        <f>(LayTable[[#This Row],[BookieInnsats]]*LayTable[[#This Row],[BookieOdds]]-LayTable[[#This Row],[BookieInnsats]])*(1-LayTable[[#This Row],[C% Bookie]])</f>
        <v>0</v>
      </c>
      <c r="AA681" s="43">
        <f>LayTable[[#This Row],[LayInnsats]]*(1-LayTable[[#This Row],[C% Lay]])</f>
        <v>0</v>
      </c>
      <c r="AB681" s="43" t="str">
        <f>IFERROR(IF(LayTable[[#This Row],[Sport]]="",AB680,LayTable[[#This Row],[Faktisk res]]+AB680),"")</f>
        <v/>
      </c>
      <c r="AC681" s="43">
        <f>(LayTable[[#This Row],[BackWin-Commission]]+LayTable[[#This Row],[BookieInnsats]])</f>
        <v>0</v>
      </c>
      <c r="AD681" s="43" t="e">
        <f>(LayTable[[#This Row],[LayWin-Commission]])+LayTable[[#This Row],[LayLiability]]</f>
        <v>#VALUE!</v>
      </c>
      <c r="AE681" s="181"/>
      <c r="AF681" s="319"/>
    </row>
    <row r="682" spans="1:32">
      <c r="A682" s="84"/>
      <c r="B682" s="144"/>
      <c r="C682" s="40"/>
      <c r="D682" s="41"/>
      <c r="E682" s="40"/>
      <c r="F682" s="41"/>
      <c r="G682" s="183"/>
      <c r="H682" s="38"/>
      <c r="I682" s="42"/>
      <c r="J682" s="42"/>
      <c r="K682" s="43"/>
      <c r="L682" s="43"/>
      <c r="M682" s="44" t="str">
        <f>IF(LayTable[[#This Row],[Sport]]="","",LayTable[[#This Row],[LayInnsats]]*(LayTable[[#This Row],[LayOdds]]-1))</f>
        <v/>
      </c>
      <c r="N682" s="45" t="str">
        <f>IF(LayTable[[#This Row],[Sport]]="","",1/((1/LayTable[[#This Row],[BookieOdds]])+(1/((1/((1+((LayTable[[#This Row],[LayOdds]]-1)*(1+LayTable[[#This Row],[C% Lay]])))-1))+1)))-1)</f>
        <v/>
      </c>
      <c r="Q682" s="46" t="str">
        <f>IF(LayTable[[#This Row],[Sport]]="","",LayTable[[#This Row],[BookieInnsats]]+LayTable[[#This Row],[LayLiability]])</f>
        <v/>
      </c>
      <c r="R6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2" s="47" t="str">
        <f>IF(LayTable[[#This Row],[Utfall bookie]]="","",LayTable[[#This Row],[WBABack]]+LayTable[[#This Row],[WBALay]]-LayTable[[#This Row],[Total inns]])</f>
        <v/>
      </c>
      <c r="U6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2" s="48" t="str">
        <f>IFERROR(IF(LayTable[[#This Row],[Total inns]]="","",LayTable[[#This Row],[Rback]]/LayTable[[#This Row],[Total inns]]),"")</f>
        <v/>
      </c>
      <c r="X682" s="48" t="str">
        <f>IFERROR(IF(LayTable[[#This Row],[Total inns]]="","",LayTable[[#This Row],[Rlay]]/LayTable[[#This Row],[Total inns]]),"")</f>
        <v/>
      </c>
      <c r="Y682" s="48" t="str">
        <f>IFERROR(LayTable[[#This Row],[Faktisk res]]/LayTable[[#This Row],[Total inns]],"")</f>
        <v/>
      </c>
      <c r="Z682" s="47">
        <f>(LayTable[[#This Row],[BookieInnsats]]*LayTable[[#This Row],[BookieOdds]]-LayTable[[#This Row],[BookieInnsats]])*(1-LayTable[[#This Row],[C% Bookie]])</f>
        <v>0</v>
      </c>
      <c r="AA682" s="43">
        <f>LayTable[[#This Row],[LayInnsats]]*(1-LayTable[[#This Row],[C% Lay]])</f>
        <v>0</v>
      </c>
      <c r="AB682" s="43" t="str">
        <f>IFERROR(IF(LayTable[[#This Row],[Sport]]="",AB681,LayTable[[#This Row],[Faktisk res]]+AB681),"")</f>
        <v/>
      </c>
      <c r="AC682" s="43">
        <f>(LayTable[[#This Row],[BackWin-Commission]]+LayTable[[#This Row],[BookieInnsats]])</f>
        <v>0</v>
      </c>
      <c r="AD682" s="43" t="e">
        <f>(LayTable[[#This Row],[LayWin-Commission]])+LayTable[[#This Row],[LayLiability]]</f>
        <v>#VALUE!</v>
      </c>
      <c r="AE682" s="181"/>
      <c r="AF682" s="319"/>
    </row>
    <row r="683" spans="1:32">
      <c r="A683" s="84"/>
      <c r="B683" s="144"/>
      <c r="C683" s="40"/>
      <c r="D683" s="41"/>
      <c r="E683" s="40"/>
      <c r="F683" s="41"/>
      <c r="G683" s="183"/>
      <c r="H683" s="38"/>
      <c r="I683" s="42"/>
      <c r="J683" s="42"/>
      <c r="K683" s="43"/>
      <c r="L683" s="43"/>
      <c r="M683" s="44" t="str">
        <f>IF(LayTable[[#This Row],[Sport]]="","",LayTable[[#This Row],[LayInnsats]]*(LayTable[[#This Row],[LayOdds]]-1))</f>
        <v/>
      </c>
      <c r="N683" s="45" t="str">
        <f>IF(LayTable[[#This Row],[Sport]]="","",1/((1/LayTable[[#This Row],[BookieOdds]])+(1/((1/((1+((LayTable[[#This Row],[LayOdds]]-1)*(1+LayTable[[#This Row],[C% Lay]])))-1))+1)))-1)</f>
        <v/>
      </c>
      <c r="Q683" s="46" t="str">
        <f>IF(LayTable[[#This Row],[Sport]]="","",LayTable[[#This Row],[BookieInnsats]]+LayTable[[#This Row],[LayLiability]])</f>
        <v/>
      </c>
      <c r="R6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3" s="47" t="str">
        <f>IF(LayTable[[#This Row],[Utfall bookie]]="","",LayTable[[#This Row],[WBABack]]+LayTable[[#This Row],[WBALay]]-LayTable[[#This Row],[Total inns]])</f>
        <v/>
      </c>
      <c r="U6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3" s="48" t="str">
        <f>IFERROR(IF(LayTable[[#This Row],[Total inns]]="","",LayTable[[#This Row],[Rback]]/LayTable[[#This Row],[Total inns]]),"")</f>
        <v/>
      </c>
      <c r="X683" s="48" t="str">
        <f>IFERROR(IF(LayTable[[#This Row],[Total inns]]="","",LayTable[[#This Row],[Rlay]]/LayTable[[#This Row],[Total inns]]),"")</f>
        <v/>
      </c>
      <c r="Y683" s="48" t="str">
        <f>IFERROR(LayTable[[#This Row],[Faktisk res]]/LayTable[[#This Row],[Total inns]],"")</f>
        <v/>
      </c>
      <c r="Z683" s="47">
        <f>(LayTable[[#This Row],[BookieInnsats]]*LayTable[[#This Row],[BookieOdds]]-LayTable[[#This Row],[BookieInnsats]])*(1-LayTable[[#This Row],[C% Bookie]])</f>
        <v>0</v>
      </c>
      <c r="AA683" s="43">
        <f>LayTable[[#This Row],[LayInnsats]]*(1-LayTable[[#This Row],[C% Lay]])</f>
        <v>0</v>
      </c>
      <c r="AB683" s="43" t="str">
        <f>IFERROR(IF(LayTable[[#This Row],[Sport]]="",AB682,LayTable[[#This Row],[Faktisk res]]+AB682),"")</f>
        <v/>
      </c>
      <c r="AC683" s="43">
        <f>(LayTable[[#This Row],[BackWin-Commission]]+LayTable[[#This Row],[BookieInnsats]])</f>
        <v>0</v>
      </c>
      <c r="AD683" s="43" t="e">
        <f>(LayTable[[#This Row],[LayWin-Commission]])+LayTable[[#This Row],[LayLiability]]</f>
        <v>#VALUE!</v>
      </c>
      <c r="AE683" s="181"/>
      <c r="AF683" s="319"/>
    </row>
    <row r="684" spans="1:32">
      <c r="A684" s="84"/>
      <c r="B684" s="144"/>
      <c r="C684" s="40"/>
      <c r="D684" s="41"/>
      <c r="E684" s="40"/>
      <c r="F684" s="41"/>
      <c r="G684" s="183"/>
      <c r="H684" s="38"/>
      <c r="I684" s="42"/>
      <c r="J684" s="42"/>
      <c r="K684" s="43"/>
      <c r="L684" s="43"/>
      <c r="M684" s="44" t="str">
        <f>IF(LayTable[[#This Row],[Sport]]="","",LayTable[[#This Row],[LayInnsats]]*(LayTable[[#This Row],[LayOdds]]-1))</f>
        <v/>
      </c>
      <c r="N684" s="45" t="str">
        <f>IF(LayTable[[#This Row],[Sport]]="","",1/((1/LayTable[[#This Row],[BookieOdds]])+(1/((1/((1+((LayTable[[#This Row],[LayOdds]]-1)*(1+LayTable[[#This Row],[C% Lay]])))-1))+1)))-1)</f>
        <v/>
      </c>
      <c r="Q684" s="46" t="str">
        <f>IF(LayTable[[#This Row],[Sport]]="","",LayTable[[#This Row],[BookieInnsats]]+LayTable[[#This Row],[LayLiability]])</f>
        <v/>
      </c>
      <c r="R6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4" s="47" t="str">
        <f>IF(LayTable[[#This Row],[Utfall bookie]]="","",LayTable[[#This Row],[WBABack]]+LayTable[[#This Row],[WBALay]]-LayTable[[#This Row],[Total inns]])</f>
        <v/>
      </c>
      <c r="U6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4" s="48" t="str">
        <f>IFERROR(IF(LayTable[[#This Row],[Total inns]]="","",LayTable[[#This Row],[Rback]]/LayTable[[#This Row],[Total inns]]),"")</f>
        <v/>
      </c>
      <c r="X684" s="48" t="str">
        <f>IFERROR(IF(LayTable[[#This Row],[Total inns]]="","",LayTable[[#This Row],[Rlay]]/LayTable[[#This Row],[Total inns]]),"")</f>
        <v/>
      </c>
      <c r="Y684" s="48" t="str">
        <f>IFERROR(LayTable[[#This Row],[Faktisk res]]/LayTable[[#This Row],[Total inns]],"")</f>
        <v/>
      </c>
      <c r="Z684" s="47">
        <f>(LayTable[[#This Row],[BookieInnsats]]*LayTable[[#This Row],[BookieOdds]]-LayTable[[#This Row],[BookieInnsats]])*(1-LayTable[[#This Row],[C% Bookie]])</f>
        <v>0</v>
      </c>
      <c r="AA684" s="43">
        <f>LayTable[[#This Row],[LayInnsats]]*(1-LayTable[[#This Row],[C% Lay]])</f>
        <v>0</v>
      </c>
      <c r="AB684" s="43" t="str">
        <f>IFERROR(IF(LayTable[[#This Row],[Sport]]="",AB683,LayTable[[#This Row],[Faktisk res]]+AB683),"")</f>
        <v/>
      </c>
      <c r="AC684" s="43">
        <f>(LayTable[[#This Row],[BackWin-Commission]]+LayTable[[#This Row],[BookieInnsats]])</f>
        <v>0</v>
      </c>
      <c r="AD684" s="43" t="e">
        <f>(LayTable[[#This Row],[LayWin-Commission]])+LayTable[[#This Row],[LayLiability]]</f>
        <v>#VALUE!</v>
      </c>
      <c r="AE684" s="181"/>
      <c r="AF684" s="319"/>
    </row>
    <row r="685" spans="1:32">
      <c r="A685" s="84"/>
      <c r="B685" s="144"/>
      <c r="C685" s="40"/>
      <c r="D685" s="41"/>
      <c r="E685" s="40"/>
      <c r="F685" s="41"/>
      <c r="G685" s="183"/>
      <c r="H685" s="38"/>
      <c r="I685" s="42"/>
      <c r="J685" s="42"/>
      <c r="K685" s="43"/>
      <c r="L685" s="43"/>
      <c r="M685" s="44" t="str">
        <f>IF(LayTable[[#This Row],[Sport]]="","",LayTable[[#This Row],[LayInnsats]]*(LayTable[[#This Row],[LayOdds]]-1))</f>
        <v/>
      </c>
      <c r="N685" s="45" t="str">
        <f>IF(LayTable[[#This Row],[Sport]]="","",1/((1/LayTable[[#This Row],[BookieOdds]])+(1/((1/((1+((LayTable[[#This Row],[LayOdds]]-1)*(1+LayTable[[#This Row],[C% Lay]])))-1))+1)))-1)</f>
        <v/>
      </c>
      <c r="Q685" s="46" t="str">
        <f>IF(LayTable[[#This Row],[Sport]]="","",LayTable[[#This Row],[BookieInnsats]]+LayTable[[#This Row],[LayLiability]])</f>
        <v/>
      </c>
      <c r="R6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5" s="47" t="str">
        <f>IF(LayTable[[#This Row],[Utfall bookie]]="","",LayTable[[#This Row],[WBABack]]+LayTable[[#This Row],[WBALay]]-LayTable[[#This Row],[Total inns]])</f>
        <v/>
      </c>
      <c r="U6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5" s="48" t="str">
        <f>IFERROR(IF(LayTable[[#This Row],[Total inns]]="","",LayTable[[#This Row],[Rback]]/LayTable[[#This Row],[Total inns]]),"")</f>
        <v/>
      </c>
      <c r="X685" s="48" t="str">
        <f>IFERROR(IF(LayTable[[#This Row],[Total inns]]="","",LayTable[[#This Row],[Rlay]]/LayTable[[#This Row],[Total inns]]),"")</f>
        <v/>
      </c>
      <c r="Y685" s="48" t="str">
        <f>IFERROR(LayTable[[#This Row],[Faktisk res]]/LayTable[[#This Row],[Total inns]],"")</f>
        <v/>
      </c>
      <c r="Z685" s="47">
        <f>(LayTable[[#This Row],[BookieInnsats]]*LayTable[[#This Row],[BookieOdds]]-LayTable[[#This Row],[BookieInnsats]])*(1-LayTable[[#This Row],[C% Bookie]])</f>
        <v>0</v>
      </c>
      <c r="AA685" s="43">
        <f>LayTable[[#This Row],[LayInnsats]]*(1-LayTable[[#This Row],[C% Lay]])</f>
        <v>0</v>
      </c>
      <c r="AB685" s="43" t="str">
        <f>IFERROR(IF(LayTable[[#This Row],[Sport]]="",AB684,LayTable[[#This Row],[Faktisk res]]+AB684),"")</f>
        <v/>
      </c>
      <c r="AC685" s="43">
        <f>(LayTable[[#This Row],[BackWin-Commission]]+LayTable[[#This Row],[BookieInnsats]])</f>
        <v>0</v>
      </c>
      <c r="AD685" s="43" t="e">
        <f>(LayTable[[#This Row],[LayWin-Commission]])+LayTable[[#This Row],[LayLiability]]</f>
        <v>#VALUE!</v>
      </c>
      <c r="AE685" s="181"/>
      <c r="AF685" s="319"/>
    </row>
    <row r="686" spans="1:32">
      <c r="A686" s="84"/>
      <c r="B686" s="144"/>
      <c r="C686" s="40"/>
      <c r="D686" s="41"/>
      <c r="E686" s="40"/>
      <c r="F686" s="41"/>
      <c r="G686" s="183"/>
      <c r="H686" s="38"/>
      <c r="I686" s="42"/>
      <c r="J686" s="42"/>
      <c r="K686" s="43"/>
      <c r="L686" s="43"/>
      <c r="M686" s="44" t="str">
        <f>IF(LayTable[[#This Row],[Sport]]="","",LayTable[[#This Row],[LayInnsats]]*(LayTable[[#This Row],[LayOdds]]-1))</f>
        <v/>
      </c>
      <c r="N686" s="45" t="str">
        <f>IF(LayTable[[#This Row],[Sport]]="","",1/((1/LayTable[[#This Row],[BookieOdds]])+(1/((1/((1+((LayTable[[#This Row],[LayOdds]]-1)*(1+LayTable[[#This Row],[C% Lay]])))-1))+1)))-1)</f>
        <v/>
      </c>
      <c r="Q686" s="46" t="str">
        <f>IF(LayTable[[#This Row],[Sport]]="","",LayTable[[#This Row],[BookieInnsats]]+LayTable[[#This Row],[LayLiability]])</f>
        <v/>
      </c>
      <c r="R6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6" s="47" t="str">
        <f>IF(LayTable[[#This Row],[Utfall bookie]]="","",LayTable[[#This Row],[WBABack]]+LayTable[[#This Row],[WBALay]]-LayTable[[#This Row],[Total inns]])</f>
        <v/>
      </c>
      <c r="U6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6" s="48" t="str">
        <f>IFERROR(IF(LayTable[[#This Row],[Total inns]]="","",LayTable[[#This Row],[Rback]]/LayTable[[#This Row],[Total inns]]),"")</f>
        <v/>
      </c>
      <c r="X686" s="48" t="str">
        <f>IFERROR(IF(LayTable[[#This Row],[Total inns]]="","",LayTable[[#This Row],[Rlay]]/LayTable[[#This Row],[Total inns]]),"")</f>
        <v/>
      </c>
      <c r="Y686" s="48" t="str">
        <f>IFERROR(LayTable[[#This Row],[Faktisk res]]/LayTable[[#This Row],[Total inns]],"")</f>
        <v/>
      </c>
      <c r="Z686" s="47">
        <f>(LayTable[[#This Row],[BookieInnsats]]*LayTable[[#This Row],[BookieOdds]]-LayTable[[#This Row],[BookieInnsats]])*(1-LayTable[[#This Row],[C% Bookie]])</f>
        <v>0</v>
      </c>
      <c r="AA686" s="43">
        <f>LayTable[[#This Row],[LayInnsats]]*(1-LayTable[[#This Row],[C% Lay]])</f>
        <v>0</v>
      </c>
      <c r="AB686" s="43" t="str">
        <f>IFERROR(IF(LayTable[[#This Row],[Sport]]="",AB685,LayTable[[#This Row],[Faktisk res]]+AB685),"")</f>
        <v/>
      </c>
      <c r="AC686" s="43">
        <f>(LayTable[[#This Row],[BackWin-Commission]]+LayTable[[#This Row],[BookieInnsats]])</f>
        <v>0</v>
      </c>
      <c r="AD686" s="43" t="e">
        <f>(LayTable[[#This Row],[LayWin-Commission]])+LayTable[[#This Row],[LayLiability]]</f>
        <v>#VALUE!</v>
      </c>
      <c r="AE686" s="181"/>
      <c r="AF686" s="319"/>
    </row>
    <row r="687" spans="1:32">
      <c r="A687" s="84"/>
      <c r="B687" s="144"/>
      <c r="C687" s="40"/>
      <c r="D687" s="41"/>
      <c r="E687" s="40"/>
      <c r="F687" s="41"/>
      <c r="G687" s="183"/>
      <c r="H687" s="38"/>
      <c r="I687" s="42"/>
      <c r="J687" s="42"/>
      <c r="K687" s="43"/>
      <c r="L687" s="43"/>
      <c r="M687" s="44" t="str">
        <f>IF(LayTable[[#This Row],[Sport]]="","",LayTable[[#This Row],[LayInnsats]]*(LayTable[[#This Row],[LayOdds]]-1))</f>
        <v/>
      </c>
      <c r="N687" s="45" t="str">
        <f>IF(LayTable[[#This Row],[Sport]]="","",1/((1/LayTable[[#This Row],[BookieOdds]])+(1/((1/((1+((LayTable[[#This Row],[LayOdds]]-1)*(1+LayTable[[#This Row],[C% Lay]])))-1))+1)))-1)</f>
        <v/>
      </c>
      <c r="Q687" s="46" t="str">
        <f>IF(LayTable[[#This Row],[Sport]]="","",LayTable[[#This Row],[BookieInnsats]]+LayTable[[#This Row],[LayLiability]])</f>
        <v/>
      </c>
      <c r="R6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7" s="47" t="str">
        <f>IF(LayTable[[#This Row],[Utfall bookie]]="","",LayTable[[#This Row],[WBABack]]+LayTable[[#This Row],[WBALay]]-LayTable[[#This Row],[Total inns]])</f>
        <v/>
      </c>
      <c r="U6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7" s="48" t="str">
        <f>IFERROR(IF(LayTable[[#This Row],[Total inns]]="","",LayTable[[#This Row],[Rback]]/LayTable[[#This Row],[Total inns]]),"")</f>
        <v/>
      </c>
      <c r="X687" s="48" t="str">
        <f>IFERROR(IF(LayTable[[#This Row],[Total inns]]="","",LayTable[[#This Row],[Rlay]]/LayTable[[#This Row],[Total inns]]),"")</f>
        <v/>
      </c>
      <c r="Y687" s="48" t="str">
        <f>IFERROR(LayTable[[#This Row],[Faktisk res]]/LayTable[[#This Row],[Total inns]],"")</f>
        <v/>
      </c>
      <c r="Z687" s="47">
        <f>(LayTable[[#This Row],[BookieInnsats]]*LayTable[[#This Row],[BookieOdds]]-LayTable[[#This Row],[BookieInnsats]])*(1-LayTable[[#This Row],[C% Bookie]])</f>
        <v>0</v>
      </c>
      <c r="AA687" s="43">
        <f>LayTable[[#This Row],[LayInnsats]]*(1-LayTable[[#This Row],[C% Lay]])</f>
        <v>0</v>
      </c>
      <c r="AB687" s="43" t="str">
        <f>IFERROR(IF(LayTable[[#This Row],[Sport]]="",AB686,LayTable[[#This Row],[Faktisk res]]+AB686),"")</f>
        <v/>
      </c>
      <c r="AC687" s="43">
        <f>(LayTable[[#This Row],[BackWin-Commission]]+LayTable[[#This Row],[BookieInnsats]])</f>
        <v>0</v>
      </c>
      <c r="AD687" s="43" t="e">
        <f>(LayTable[[#This Row],[LayWin-Commission]])+LayTable[[#This Row],[LayLiability]]</f>
        <v>#VALUE!</v>
      </c>
      <c r="AE687" s="319"/>
      <c r="AF687" s="319"/>
    </row>
    <row r="688" spans="1:32">
      <c r="A688" s="183"/>
      <c r="B688" s="144"/>
      <c r="C688" s="40"/>
      <c r="D688" s="41"/>
      <c r="E688" s="40"/>
      <c r="F688" s="41"/>
      <c r="G688" s="183"/>
      <c r="H688" s="38"/>
      <c r="I688" s="42"/>
      <c r="J688" s="42"/>
      <c r="K688" s="43"/>
      <c r="L688" s="43"/>
      <c r="M688" s="44" t="str">
        <f>IF(LayTable[[#This Row],[Sport]]="","",LayTable[[#This Row],[LayInnsats]]*(LayTable[[#This Row],[LayOdds]]-1))</f>
        <v/>
      </c>
      <c r="N688" s="45" t="str">
        <f>IF(LayTable[[#This Row],[Sport]]="","",1/((1/LayTable[[#This Row],[BookieOdds]])+(1/((1/((1+((LayTable[[#This Row],[LayOdds]]-1)*(1+LayTable[[#This Row],[C% Lay]])))-1))+1)))-1)</f>
        <v/>
      </c>
      <c r="Q688" s="46" t="str">
        <f>IF(LayTable[[#This Row],[Sport]]="","",LayTable[[#This Row],[BookieInnsats]]+LayTable[[#This Row],[LayLiability]])</f>
        <v/>
      </c>
      <c r="R6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8" s="47" t="str">
        <f>IF(LayTable[[#This Row],[Utfall bookie]]="","",LayTable[[#This Row],[WBABack]]+LayTable[[#This Row],[WBALay]]-LayTable[[#This Row],[Total inns]])</f>
        <v/>
      </c>
      <c r="U6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8" s="48" t="str">
        <f>IFERROR(IF(LayTable[[#This Row],[Total inns]]="","",LayTable[[#This Row],[Rback]]/LayTable[[#This Row],[Total inns]]),"")</f>
        <v/>
      </c>
      <c r="X688" s="48" t="str">
        <f>IFERROR(IF(LayTable[[#This Row],[Total inns]]="","",LayTable[[#This Row],[Rlay]]/LayTable[[#This Row],[Total inns]]),"")</f>
        <v/>
      </c>
      <c r="Y688" s="48" t="str">
        <f>IFERROR(LayTable[[#This Row],[Faktisk res]]/LayTable[[#This Row],[Total inns]],"")</f>
        <v/>
      </c>
      <c r="Z688" s="47">
        <f>(LayTable[[#This Row],[BookieInnsats]]*LayTable[[#This Row],[BookieOdds]]-LayTable[[#This Row],[BookieInnsats]])*(1-LayTable[[#This Row],[C% Bookie]])</f>
        <v>0</v>
      </c>
      <c r="AA688" s="43">
        <f>LayTable[[#This Row],[LayInnsats]]*(1-LayTable[[#This Row],[C% Lay]])</f>
        <v>0</v>
      </c>
      <c r="AB688" s="43" t="str">
        <f>IFERROR(IF(LayTable[[#This Row],[Sport]]="",AB687,LayTable[[#This Row],[Faktisk res]]+AB687),"")</f>
        <v/>
      </c>
      <c r="AC688" s="43">
        <f>(LayTable[[#This Row],[BackWin-Commission]]+LayTable[[#This Row],[BookieInnsats]])</f>
        <v>0</v>
      </c>
      <c r="AD688" s="43" t="e">
        <f>(LayTable[[#This Row],[LayWin-Commission]])+LayTable[[#This Row],[LayLiability]]</f>
        <v>#VALUE!</v>
      </c>
      <c r="AE688" s="181"/>
      <c r="AF688" s="319"/>
    </row>
    <row r="689" spans="1:32">
      <c r="A689" s="84"/>
      <c r="B689" s="144"/>
      <c r="C689" s="40"/>
      <c r="D689" s="41"/>
      <c r="E689" s="40"/>
      <c r="F689" s="41"/>
      <c r="G689" s="183"/>
      <c r="H689" s="38"/>
      <c r="I689" s="42"/>
      <c r="J689" s="42"/>
      <c r="K689" s="43"/>
      <c r="L689" s="43"/>
      <c r="M689" s="44" t="str">
        <f>IF(LayTable[[#This Row],[Sport]]="","",LayTable[[#This Row],[LayInnsats]]*(LayTable[[#This Row],[LayOdds]]-1))</f>
        <v/>
      </c>
      <c r="N689" s="45" t="str">
        <f>IF(LayTable[[#This Row],[Sport]]="","",1/((1/LayTable[[#This Row],[BookieOdds]])+(1/((1/((1+((LayTable[[#This Row],[LayOdds]]-1)*(1+LayTable[[#This Row],[C% Lay]])))-1))+1)))-1)</f>
        <v/>
      </c>
      <c r="Q689" s="46" t="str">
        <f>IF(LayTable[[#This Row],[Sport]]="","",LayTable[[#This Row],[BookieInnsats]]+LayTable[[#This Row],[LayLiability]])</f>
        <v/>
      </c>
      <c r="R6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89" s="47" t="str">
        <f>IF(LayTable[[#This Row],[Utfall bookie]]="","",LayTable[[#This Row],[WBABack]]+LayTable[[#This Row],[WBALay]]-LayTable[[#This Row],[Total inns]])</f>
        <v/>
      </c>
      <c r="U6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89" s="48" t="str">
        <f>IFERROR(IF(LayTable[[#This Row],[Total inns]]="","",LayTable[[#This Row],[Rback]]/LayTable[[#This Row],[Total inns]]),"")</f>
        <v/>
      </c>
      <c r="X689" s="48" t="str">
        <f>IFERROR(IF(LayTable[[#This Row],[Total inns]]="","",LayTable[[#This Row],[Rlay]]/LayTable[[#This Row],[Total inns]]),"")</f>
        <v/>
      </c>
      <c r="Y689" s="48" t="str">
        <f>IFERROR(LayTable[[#This Row],[Faktisk res]]/LayTable[[#This Row],[Total inns]],"")</f>
        <v/>
      </c>
      <c r="Z689" s="47">
        <f>(LayTable[[#This Row],[BookieInnsats]]*LayTable[[#This Row],[BookieOdds]]-LayTable[[#This Row],[BookieInnsats]])*(1-LayTable[[#This Row],[C% Bookie]])</f>
        <v>0</v>
      </c>
      <c r="AA689" s="43">
        <f>LayTable[[#This Row],[LayInnsats]]*(1-LayTable[[#This Row],[C% Lay]])</f>
        <v>0</v>
      </c>
      <c r="AB689" s="43" t="str">
        <f>IFERROR(IF(LayTable[[#This Row],[Sport]]="",AB688,LayTable[[#This Row],[Faktisk res]]+AB688),"")</f>
        <v/>
      </c>
      <c r="AC689" s="43">
        <f>(LayTable[[#This Row],[BackWin-Commission]]+LayTable[[#This Row],[BookieInnsats]])</f>
        <v>0</v>
      </c>
      <c r="AD689" s="43" t="e">
        <f>(LayTable[[#This Row],[LayWin-Commission]])+LayTable[[#This Row],[LayLiability]]</f>
        <v>#VALUE!</v>
      </c>
      <c r="AE689" s="181"/>
      <c r="AF689" s="319"/>
    </row>
    <row r="690" spans="1:32">
      <c r="A690" s="183"/>
      <c r="B690" s="144"/>
      <c r="C690" s="178"/>
      <c r="D690" s="41"/>
      <c r="E690" s="178"/>
      <c r="F690" s="251"/>
      <c r="G690" s="183"/>
      <c r="H690" s="38"/>
      <c r="I690" s="42"/>
      <c r="J690" s="42"/>
      <c r="K690" s="43"/>
      <c r="L690" s="43"/>
      <c r="M690" s="44" t="str">
        <f>IF(LayTable[[#This Row],[Sport]]="","",LayTable[[#This Row],[LayInnsats]]*(LayTable[[#This Row],[LayOdds]]-1))</f>
        <v/>
      </c>
      <c r="N690" s="45" t="str">
        <f>IF(LayTable[[#This Row],[Sport]]="","",1/((1/LayTable[[#This Row],[BookieOdds]])+(1/((1/((1+((LayTable[[#This Row],[LayOdds]]-1)*(1+LayTable[[#This Row],[C% Lay]])))-1))+1)))-1)</f>
        <v/>
      </c>
      <c r="Q690" s="46" t="str">
        <f>IF(LayTable[[#This Row],[Sport]]="","",LayTable[[#This Row],[BookieInnsats]]+LayTable[[#This Row],[LayLiability]])</f>
        <v/>
      </c>
      <c r="R6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0" s="47" t="str">
        <f>IF(LayTable[[#This Row],[Utfall bookie]]="","",LayTable[[#This Row],[WBABack]]+LayTable[[#This Row],[WBALay]]-LayTable[[#This Row],[Total inns]])</f>
        <v/>
      </c>
      <c r="U6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0" s="48" t="str">
        <f>IFERROR(IF(LayTable[[#This Row],[Total inns]]="","",LayTable[[#This Row],[Rback]]/LayTable[[#This Row],[Total inns]]),"")</f>
        <v/>
      </c>
      <c r="X690" s="48" t="str">
        <f>IFERROR(IF(LayTable[[#This Row],[Total inns]]="","",LayTable[[#This Row],[Rlay]]/LayTable[[#This Row],[Total inns]]),"")</f>
        <v/>
      </c>
      <c r="Y690" s="48" t="str">
        <f>IFERROR(LayTable[[#This Row],[Faktisk res]]/LayTable[[#This Row],[Total inns]],"")</f>
        <v/>
      </c>
      <c r="Z690" s="47">
        <f>(LayTable[[#This Row],[BookieInnsats]]*LayTable[[#This Row],[BookieOdds]]-LayTable[[#This Row],[BookieInnsats]])*(1-LayTable[[#This Row],[C% Bookie]])</f>
        <v>0</v>
      </c>
      <c r="AA690" s="43">
        <f>LayTable[[#This Row],[LayInnsats]]*(1-LayTable[[#This Row],[C% Lay]])</f>
        <v>0</v>
      </c>
      <c r="AB690" s="43" t="str">
        <f>IFERROR(IF(LayTable[[#This Row],[Sport]]="",AB689,LayTable[[#This Row],[Faktisk res]]+AB689),"")</f>
        <v/>
      </c>
      <c r="AC690" s="43">
        <f>(LayTable[[#This Row],[BackWin-Commission]]+LayTable[[#This Row],[BookieInnsats]])</f>
        <v>0</v>
      </c>
      <c r="AD690" s="43" t="e">
        <f>(LayTable[[#This Row],[LayWin-Commission]])+LayTable[[#This Row],[LayLiability]]</f>
        <v>#VALUE!</v>
      </c>
      <c r="AE690" s="181"/>
      <c r="AF690" s="319"/>
    </row>
    <row r="691" spans="1:32">
      <c r="A691" s="183"/>
      <c r="B691" s="144"/>
      <c r="C691" s="178"/>
      <c r="D691" s="251"/>
      <c r="E691" s="178"/>
      <c r="F691" s="251"/>
      <c r="G691" s="183"/>
      <c r="H691" s="176"/>
      <c r="I691" s="180"/>
      <c r="J691" s="180"/>
      <c r="K691" s="181"/>
      <c r="L691" s="181"/>
      <c r="M691" s="44" t="str">
        <f>IF(LayTable[[#This Row],[Sport]]="","",LayTable[[#This Row],[LayInnsats]]*(LayTable[[#This Row],[LayOdds]]-1))</f>
        <v/>
      </c>
      <c r="N691" s="45" t="str">
        <f>IF(LayTable[[#This Row],[Sport]]="","",1/((1/LayTable[[#This Row],[BookieOdds]])+(1/((1/((1+((LayTable[[#This Row],[LayOdds]]-1)*(1+LayTable[[#This Row],[C% Lay]])))-1))+1)))-1)</f>
        <v/>
      </c>
      <c r="Q691" s="46" t="str">
        <f>IF(LayTable[[#This Row],[Sport]]="","",LayTable[[#This Row],[BookieInnsats]]+LayTable[[#This Row],[LayLiability]])</f>
        <v/>
      </c>
      <c r="R6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1" s="47" t="str">
        <f>IF(LayTable[[#This Row],[Utfall bookie]]="","",LayTable[[#This Row],[WBABack]]+LayTable[[#This Row],[WBALay]]-LayTable[[#This Row],[Total inns]])</f>
        <v/>
      </c>
      <c r="U6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1" s="48" t="str">
        <f>IFERROR(IF(LayTable[[#This Row],[Total inns]]="","",LayTable[[#This Row],[Rback]]/LayTable[[#This Row],[Total inns]]),"")</f>
        <v/>
      </c>
      <c r="X691" s="48" t="str">
        <f>IFERROR(IF(LayTable[[#This Row],[Total inns]]="","",LayTable[[#This Row],[Rlay]]/LayTable[[#This Row],[Total inns]]),"")</f>
        <v/>
      </c>
      <c r="Y691" s="48" t="str">
        <f>IFERROR(LayTable[[#This Row],[Faktisk res]]/LayTable[[#This Row],[Total inns]],"")</f>
        <v/>
      </c>
      <c r="Z691" s="47">
        <f>(LayTable[[#This Row],[BookieInnsats]]*LayTable[[#This Row],[BookieOdds]]-LayTable[[#This Row],[BookieInnsats]])*(1-LayTable[[#This Row],[C% Bookie]])</f>
        <v>0</v>
      </c>
      <c r="AA691" s="43">
        <f>LayTable[[#This Row],[LayInnsats]]*(1-LayTable[[#This Row],[C% Lay]])</f>
        <v>0</v>
      </c>
      <c r="AB691" s="43" t="str">
        <f>IFERROR(IF(LayTable[[#This Row],[Sport]]="",AB690,LayTable[[#This Row],[Faktisk res]]+AB690),"")</f>
        <v/>
      </c>
      <c r="AC691" s="43">
        <f>(LayTable[[#This Row],[BackWin-Commission]]+LayTable[[#This Row],[BookieInnsats]])</f>
        <v>0</v>
      </c>
      <c r="AD691" s="43" t="e">
        <f>(LayTable[[#This Row],[LayWin-Commission]])+LayTable[[#This Row],[LayLiability]]</f>
        <v>#VALUE!</v>
      </c>
      <c r="AE691" s="181"/>
      <c r="AF691" s="318"/>
    </row>
    <row r="692" spans="1:32">
      <c r="A692" s="84"/>
      <c r="B692" s="144"/>
      <c r="C692" s="40"/>
      <c r="D692" s="41"/>
      <c r="E692" s="40"/>
      <c r="F692" s="41"/>
      <c r="G692" s="183"/>
      <c r="H692" s="38"/>
      <c r="I692" s="42"/>
      <c r="J692" s="42"/>
      <c r="K692" s="43"/>
      <c r="L692" s="43"/>
      <c r="M692" s="44" t="str">
        <f>IF(LayTable[[#This Row],[Sport]]="","",LayTable[[#This Row],[LayInnsats]]*(LayTable[[#This Row],[LayOdds]]-1))</f>
        <v/>
      </c>
      <c r="N692" s="45" t="str">
        <f>IF(LayTable[[#This Row],[Sport]]="","",1/((1/LayTable[[#This Row],[BookieOdds]])+(1/((1/((1+((LayTable[[#This Row],[LayOdds]]-1)*(1+LayTable[[#This Row],[C% Lay]])))-1))+1)))-1)</f>
        <v/>
      </c>
      <c r="Q692" s="46" t="str">
        <f>IF(LayTable[[#This Row],[Sport]]="","",LayTable[[#This Row],[BookieInnsats]]+LayTable[[#This Row],[LayLiability]])</f>
        <v/>
      </c>
      <c r="R6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2" s="47" t="str">
        <f>IF(LayTable[[#This Row],[Utfall bookie]]="","",LayTable[[#This Row],[WBABack]]+LayTable[[#This Row],[WBALay]]-LayTable[[#This Row],[Total inns]])</f>
        <v/>
      </c>
      <c r="U6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2" s="48" t="str">
        <f>IFERROR(IF(LayTable[[#This Row],[Total inns]]="","",LayTable[[#This Row],[Rback]]/LayTable[[#This Row],[Total inns]]),"")</f>
        <v/>
      </c>
      <c r="X692" s="48" t="str">
        <f>IFERROR(IF(LayTable[[#This Row],[Total inns]]="","",LayTable[[#This Row],[Rlay]]/LayTable[[#This Row],[Total inns]]),"")</f>
        <v/>
      </c>
      <c r="Y692" s="48" t="str">
        <f>IFERROR(LayTable[[#This Row],[Faktisk res]]/LayTable[[#This Row],[Total inns]],"")</f>
        <v/>
      </c>
      <c r="Z692" s="47">
        <f>(LayTable[[#This Row],[BookieInnsats]]*LayTable[[#This Row],[BookieOdds]]-LayTable[[#This Row],[BookieInnsats]])*(1-LayTable[[#This Row],[C% Bookie]])</f>
        <v>0</v>
      </c>
      <c r="AA692" s="43">
        <f>LayTable[[#This Row],[LayInnsats]]*(1-LayTable[[#This Row],[C% Lay]])</f>
        <v>0</v>
      </c>
      <c r="AB692" s="43" t="str">
        <f>IFERROR(IF(LayTable[[#This Row],[Sport]]="",AB691,LayTable[[#This Row],[Faktisk res]]+AB691),"")</f>
        <v/>
      </c>
      <c r="AC692" s="43">
        <f>(LayTable[[#This Row],[BackWin-Commission]]+LayTable[[#This Row],[BookieInnsats]])</f>
        <v>0</v>
      </c>
      <c r="AD692" s="43" t="e">
        <f>(LayTable[[#This Row],[LayWin-Commission]])+LayTable[[#This Row],[LayLiability]]</f>
        <v>#VALUE!</v>
      </c>
      <c r="AE692" s="319"/>
      <c r="AF692" s="318"/>
    </row>
    <row r="693" spans="1:32">
      <c r="A693" s="84"/>
      <c r="B693" s="144"/>
      <c r="C693" s="40"/>
      <c r="D693" s="41"/>
      <c r="E693" s="40"/>
      <c r="F693" s="41"/>
      <c r="G693" s="183"/>
      <c r="H693" s="38"/>
      <c r="I693" s="42"/>
      <c r="J693" s="42"/>
      <c r="K693" s="43"/>
      <c r="L693" s="43"/>
      <c r="M693" s="44" t="str">
        <f>IF(LayTable[[#This Row],[Sport]]="","",LayTable[[#This Row],[LayInnsats]]*(LayTable[[#This Row],[LayOdds]]-1))</f>
        <v/>
      </c>
      <c r="N693" s="45" t="str">
        <f>IF(LayTable[[#This Row],[Sport]]="","",1/((1/LayTable[[#This Row],[BookieOdds]])+(1/((1/((1+((LayTable[[#This Row],[LayOdds]]-1)*(1+LayTable[[#This Row],[C% Lay]])))-1))+1)))-1)</f>
        <v/>
      </c>
      <c r="Q693" s="46" t="str">
        <f>IF(LayTable[[#This Row],[Sport]]="","",LayTable[[#This Row],[BookieInnsats]]+LayTable[[#This Row],[LayLiability]])</f>
        <v/>
      </c>
      <c r="R6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3" s="47" t="str">
        <f>IF(LayTable[[#This Row],[Utfall bookie]]="","",LayTable[[#This Row],[WBABack]]+LayTable[[#This Row],[WBALay]]-LayTable[[#This Row],[Total inns]])</f>
        <v/>
      </c>
      <c r="U6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3" s="48" t="str">
        <f>IFERROR(IF(LayTable[[#This Row],[Total inns]]="","",LayTable[[#This Row],[Rback]]/LayTable[[#This Row],[Total inns]]),"")</f>
        <v/>
      </c>
      <c r="X693" s="48" t="str">
        <f>IFERROR(IF(LayTable[[#This Row],[Total inns]]="","",LayTable[[#This Row],[Rlay]]/LayTable[[#This Row],[Total inns]]),"")</f>
        <v/>
      </c>
      <c r="Y693" s="48" t="str">
        <f>IFERROR(LayTable[[#This Row],[Faktisk res]]/LayTable[[#This Row],[Total inns]],"")</f>
        <v/>
      </c>
      <c r="Z693" s="47">
        <f>(LayTable[[#This Row],[BookieInnsats]]*LayTable[[#This Row],[BookieOdds]]-LayTable[[#This Row],[BookieInnsats]])*(1-LayTable[[#This Row],[C% Bookie]])</f>
        <v>0</v>
      </c>
      <c r="AA693" s="43">
        <f>LayTable[[#This Row],[LayInnsats]]*(1-LayTable[[#This Row],[C% Lay]])</f>
        <v>0</v>
      </c>
      <c r="AB693" s="43" t="str">
        <f>IFERROR(IF(LayTable[[#This Row],[Sport]]="",AB692,LayTable[[#This Row],[Faktisk res]]+AB692),"")</f>
        <v/>
      </c>
      <c r="AC693" s="43">
        <f>(LayTable[[#This Row],[BackWin-Commission]]+LayTable[[#This Row],[BookieInnsats]])</f>
        <v>0</v>
      </c>
      <c r="AD693" s="43" t="e">
        <f>(LayTable[[#This Row],[LayWin-Commission]])+LayTable[[#This Row],[LayLiability]]</f>
        <v>#VALUE!</v>
      </c>
      <c r="AE693" s="181"/>
      <c r="AF693" s="318"/>
    </row>
    <row r="694" spans="1:32">
      <c r="A694" s="84"/>
      <c r="B694" s="144"/>
      <c r="C694" s="40"/>
      <c r="D694" s="41"/>
      <c r="E694" s="40"/>
      <c r="F694" s="41"/>
      <c r="G694" s="183"/>
      <c r="H694" s="38"/>
      <c r="I694" s="42"/>
      <c r="J694" s="42"/>
      <c r="K694" s="43"/>
      <c r="L694" s="43"/>
      <c r="M694" s="44" t="str">
        <f>IF(LayTable[[#This Row],[Sport]]="","",LayTable[[#This Row],[LayInnsats]]*(LayTable[[#This Row],[LayOdds]]-1))</f>
        <v/>
      </c>
      <c r="N694" s="45" t="str">
        <f>IF(LayTable[[#This Row],[Sport]]="","",1/((1/LayTable[[#This Row],[BookieOdds]])+(1/((1/((1+((LayTable[[#This Row],[LayOdds]]-1)*(1+LayTable[[#This Row],[C% Lay]])))-1))+1)))-1)</f>
        <v/>
      </c>
      <c r="Q694" s="46" t="str">
        <f>IF(LayTable[[#This Row],[Sport]]="","",LayTable[[#This Row],[BookieInnsats]]+LayTable[[#This Row],[LayLiability]])</f>
        <v/>
      </c>
      <c r="R6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4" s="47" t="str">
        <f>IF(LayTable[[#This Row],[Utfall bookie]]="","",LayTable[[#This Row],[WBABack]]+LayTable[[#This Row],[WBALay]]-LayTable[[#This Row],[Total inns]])</f>
        <v/>
      </c>
      <c r="U6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4" s="48" t="str">
        <f>IFERROR(IF(LayTable[[#This Row],[Total inns]]="","",LayTable[[#This Row],[Rback]]/LayTable[[#This Row],[Total inns]]),"")</f>
        <v/>
      </c>
      <c r="X694" s="48" t="str">
        <f>IFERROR(IF(LayTable[[#This Row],[Total inns]]="","",LayTable[[#This Row],[Rlay]]/LayTable[[#This Row],[Total inns]]),"")</f>
        <v/>
      </c>
      <c r="Y694" s="48" t="str">
        <f>IFERROR(LayTable[[#This Row],[Faktisk res]]/LayTable[[#This Row],[Total inns]],"")</f>
        <v/>
      </c>
      <c r="Z694" s="47">
        <f>(LayTable[[#This Row],[BookieInnsats]]*LayTable[[#This Row],[BookieOdds]]-LayTable[[#This Row],[BookieInnsats]])*(1-LayTable[[#This Row],[C% Bookie]])</f>
        <v>0</v>
      </c>
      <c r="AA694" s="43">
        <f>LayTable[[#This Row],[LayInnsats]]*(1-LayTable[[#This Row],[C% Lay]])</f>
        <v>0</v>
      </c>
      <c r="AB694" s="43" t="str">
        <f>IFERROR(IF(LayTable[[#This Row],[Sport]]="",#REF!,LayTable[[#This Row],[Faktisk res]]+#REF!),"")</f>
        <v/>
      </c>
      <c r="AC694" s="43">
        <f>(LayTable[[#This Row],[BackWin-Commission]]+LayTable[[#This Row],[BookieInnsats]])</f>
        <v>0</v>
      </c>
      <c r="AD694" s="43" t="e">
        <f>(LayTable[[#This Row],[LayWin-Commission]])+LayTable[[#This Row],[LayLiability]]</f>
        <v>#VALUE!</v>
      </c>
      <c r="AE694" s="181"/>
      <c r="AF694" s="318"/>
    </row>
    <row r="695" spans="1:32">
      <c r="A695" s="84"/>
      <c r="B695" s="144"/>
      <c r="C695" s="40"/>
      <c r="D695" s="41"/>
      <c r="E695" s="40"/>
      <c r="F695" s="41"/>
      <c r="G695" s="183"/>
      <c r="H695" s="38"/>
      <c r="I695" s="42"/>
      <c r="J695" s="42"/>
      <c r="K695" s="43"/>
      <c r="L695" s="43"/>
      <c r="M695" s="44" t="str">
        <f>IF(LayTable[[#This Row],[Sport]]="","",LayTable[[#This Row],[LayInnsats]]*(LayTable[[#This Row],[LayOdds]]-1))</f>
        <v/>
      </c>
      <c r="N695" s="45" t="str">
        <f>IF(LayTable[[#This Row],[Sport]]="","",1/((1/LayTable[[#This Row],[BookieOdds]])+(1/((1/((1+((LayTable[[#This Row],[LayOdds]]-1)*(1+LayTable[[#This Row],[C% Lay]])))-1))+1)))-1)</f>
        <v/>
      </c>
      <c r="Q695" s="46" t="str">
        <f>IF(LayTable[[#This Row],[Sport]]="","",LayTable[[#This Row],[BookieInnsats]]+LayTable[[#This Row],[LayLiability]])</f>
        <v/>
      </c>
      <c r="R6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5" s="47" t="str">
        <f>IF(LayTable[[#This Row],[Utfall bookie]]="","",LayTable[[#This Row],[WBABack]]+LayTable[[#This Row],[WBALay]]-LayTable[[#This Row],[Total inns]])</f>
        <v/>
      </c>
      <c r="U6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5" s="48" t="str">
        <f>IFERROR(IF(LayTable[[#This Row],[Total inns]]="","",LayTable[[#This Row],[Rback]]/LayTable[[#This Row],[Total inns]]),"")</f>
        <v/>
      </c>
      <c r="X695" s="48" t="str">
        <f>IFERROR(IF(LayTable[[#This Row],[Total inns]]="","",LayTable[[#This Row],[Rlay]]/LayTable[[#This Row],[Total inns]]),"")</f>
        <v/>
      </c>
      <c r="Y695" s="48" t="str">
        <f>IFERROR(LayTable[[#This Row],[Faktisk res]]/LayTable[[#This Row],[Total inns]],"")</f>
        <v/>
      </c>
      <c r="Z695" s="47">
        <f>(LayTable[[#This Row],[BookieInnsats]]*LayTable[[#This Row],[BookieOdds]]-LayTable[[#This Row],[BookieInnsats]])*(1-LayTable[[#This Row],[C% Bookie]])</f>
        <v>0</v>
      </c>
      <c r="AA695" s="43">
        <f>LayTable[[#This Row],[LayInnsats]]*(1-LayTable[[#This Row],[C% Lay]])</f>
        <v>0</v>
      </c>
      <c r="AB695" s="43" t="str">
        <f>IFERROR(IF(LayTable[[#This Row],[Sport]]="",AB694,LayTable[[#This Row],[Faktisk res]]+AB694),"")</f>
        <v/>
      </c>
      <c r="AC695" s="43">
        <f>(LayTable[[#This Row],[BackWin-Commission]]+LayTable[[#This Row],[BookieInnsats]])</f>
        <v>0</v>
      </c>
      <c r="AD695" s="43" t="e">
        <f>(LayTable[[#This Row],[LayWin-Commission]])+LayTable[[#This Row],[LayLiability]]</f>
        <v>#VALUE!</v>
      </c>
      <c r="AE695" s="181"/>
      <c r="AF695" s="318"/>
    </row>
    <row r="696" spans="1:32">
      <c r="A696" s="84"/>
      <c r="B696" s="144"/>
      <c r="C696" s="40"/>
      <c r="D696" s="41"/>
      <c r="E696" s="40"/>
      <c r="F696" s="41"/>
      <c r="G696" s="183"/>
      <c r="H696" s="38"/>
      <c r="I696" s="42"/>
      <c r="J696" s="42"/>
      <c r="K696" s="43"/>
      <c r="L696" s="43"/>
      <c r="M696" s="44" t="str">
        <f>IF(LayTable[[#This Row],[Sport]]="","",LayTable[[#This Row],[LayInnsats]]*(LayTable[[#This Row],[LayOdds]]-1))</f>
        <v/>
      </c>
      <c r="N696" s="45" t="str">
        <f>IF(LayTable[[#This Row],[Sport]]="","",1/((1/LayTable[[#This Row],[BookieOdds]])+(1/((1/((1+((LayTable[[#This Row],[LayOdds]]-1)*(1+LayTable[[#This Row],[C% Lay]])))-1))+1)))-1)</f>
        <v/>
      </c>
      <c r="Q696" s="46" t="str">
        <f>IF(LayTable[[#This Row],[Sport]]="","",LayTable[[#This Row],[BookieInnsats]]+LayTable[[#This Row],[LayLiability]])</f>
        <v/>
      </c>
      <c r="R6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6" s="47" t="str">
        <f>IF(LayTable[[#This Row],[Utfall bookie]]="","",LayTable[[#This Row],[WBABack]]+LayTable[[#This Row],[WBALay]]-LayTable[[#This Row],[Total inns]])</f>
        <v/>
      </c>
      <c r="U6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6" s="48" t="str">
        <f>IFERROR(IF(LayTable[[#This Row],[Total inns]]="","",LayTable[[#This Row],[Rback]]/LayTable[[#This Row],[Total inns]]),"")</f>
        <v/>
      </c>
      <c r="X696" s="48" t="str">
        <f>IFERROR(IF(LayTable[[#This Row],[Total inns]]="","",LayTable[[#This Row],[Rlay]]/LayTable[[#This Row],[Total inns]]),"")</f>
        <v/>
      </c>
      <c r="Y696" s="48" t="str">
        <f>IFERROR(LayTable[[#This Row],[Faktisk res]]/LayTable[[#This Row],[Total inns]],"")</f>
        <v/>
      </c>
      <c r="Z696" s="47">
        <f>(LayTable[[#This Row],[BookieInnsats]]*LayTable[[#This Row],[BookieOdds]]-LayTable[[#This Row],[BookieInnsats]])*(1-LayTable[[#This Row],[C% Bookie]])</f>
        <v>0</v>
      </c>
      <c r="AA696" s="43">
        <f>LayTable[[#This Row],[LayInnsats]]*(1-LayTable[[#This Row],[C% Lay]])</f>
        <v>0</v>
      </c>
      <c r="AB696" s="43" t="str">
        <f>IFERROR(IF(LayTable[[#This Row],[Sport]]="",AB695,LayTable[[#This Row],[Faktisk res]]+AB695),"")</f>
        <v/>
      </c>
      <c r="AC696" s="43">
        <f>(LayTable[[#This Row],[BackWin-Commission]]+LayTable[[#This Row],[BookieInnsats]])</f>
        <v>0</v>
      </c>
      <c r="AD696" s="43" t="e">
        <f>(LayTable[[#This Row],[LayWin-Commission]])+LayTable[[#This Row],[LayLiability]]</f>
        <v>#VALUE!</v>
      </c>
      <c r="AE696" s="181"/>
      <c r="AF696" s="318"/>
    </row>
    <row r="697" spans="1:32">
      <c r="A697" s="84"/>
      <c r="B697" s="144"/>
      <c r="C697" s="40"/>
      <c r="D697" s="41"/>
      <c r="E697" s="40"/>
      <c r="F697" s="41"/>
      <c r="G697" s="183"/>
      <c r="H697" s="38"/>
      <c r="I697" s="42"/>
      <c r="J697" s="42"/>
      <c r="K697" s="43"/>
      <c r="L697" s="43"/>
      <c r="M697" s="44" t="str">
        <f>IF(LayTable[[#This Row],[Sport]]="","",LayTable[[#This Row],[LayInnsats]]*(LayTable[[#This Row],[LayOdds]]-1))</f>
        <v/>
      </c>
      <c r="N697" s="45" t="str">
        <f>IF(LayTable[[#This Row],[Sport]]="","",1/((1/LayTable[[#This Row],[BookieOdds]])+(1/((1/((1+((LayTable[[#This Row],[LayOdds]]-1)*(1+LayTable[[#This Row],[C% Lay]])))-1))+1)))-1)</f>
        <v/>
      </c>
      <c r="Q697" s="46" t="str">
        <f>IF(LayTable[[#This Row],[Sport]]="","",LayTable[[#This Row],[BookieInnsats]]+LayTable[[#This Row],[LayLiability]])</f>
        <v/>
      </c>
      <c r="R6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7" s="47" t="str">
        <f>IF(LayTable[[#This Row],[Utfall bookie]]="","",LayTable[[#This Row],[WBABack]]+LayTable[[#This Row],[WBALay]]-LayTable[[#This Row],[Total inns]])</f>
        <v/>
      </c>
      <c r="U6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7" s="48" t="str">
        <f>IFERROR(IF(LayTable[[#This Row],[Total inns]]="","",LayTable[[#This Row],[Rback]]/LayTable[[#This Row],[Total inns]]),"")</f>
        <v/>
      </c>
      <c r="X697" s="48" t="str">
        <f>IFERROR(IF(LayTable[[#This Row],[Total inns]]="","",LayTable[[#This Row],[Rlay]]/LayTable[[#This Row],[Total inns]]),"")</f>
        <v/>
      </c>
      <c r="Y697" s="48" t="str">
        <f>IFERROR(LayTable[[#This Row],[Faktisk res]]/LayTable[[#This Row],[Total inns]],"")</f>
        <v/>
      </c>
      <c r="Z697" s="47">
        <f>(LayTable[[#This Row],[BookieInnsats]]*LayTable[[#This Row],[BookieOdds]]-LayTable[[#This Row],[BookieInnsats]])*(1-LayTable[[#This Row],[C% Bookie]])</f>
        <v>0</v>
      </c>
      <c r="AA697" s="43">
        <f>LayTable[[#This Row],[LayInnsats]]*(1-LayTable[[#This Row],[C% Lay]])</f>
        <v>0</v>
      </c>
      <c r="AB697" s="43" t="str">
        <f>IFERROR(IF(LayTable[[#This Row],[Sport]]="",AB696,LayTable[[#This Row],[Faktisk res]]+AB696),"")</f>
        <v/>
      </c>
      <c r="AC697" s="43">
        <f>(LayTable[[#This Row],[BackWin-Commission]]+LayTable[[#This Row],[BookieInnsats]])</f>
        <v>0</v>
      </c>
      <c r="AD697" s="43" t="e">
        <f>(LayTable[[#This Row],[LayWin-Commission]])+LayTable[[#This Row],[LayLiability]]</f>
        <v>#VALUE!</v>
      </c>
      <c r="AE697" s="181"/>
      <c r="AF697" s="318"/>
    </row>
    <row r="698" spans="1:32">
      <c r="A698" s="84"/>
      <c r="B698" s="144"/>
      <c r="C698" s="40"/>
      <c r="D698" s="41"/>
      <c r="E698" s="40"/>
      <c r="F698" s="41"/>
      <c r="G698" s="183"/>
      <c r="H698" s="38"/>
      <c r="I698" s="42"/>
      <c r="J698" s="42"/>
      <c r="K698" s="43"/>
      <c r="L698" s="43"/>
      <c r="M698" s="44" t="str">
        <f>IF(LayTable[[#This Row],[Sport]]="","",LayTable[[#This Row],[LayInnsats]]*(LayTable[[#This Row],[LayOdds]]-1))</f>
        <v/>
      </c>
      <c r="N698" s="45" t="str">
        <f>IF(LayTable[[#This Row],[Sport]]="","",1/((1/LayTable[[#This Row],[BookieOdds]])+(1/((1/((1+((LayTable[[#This Row],[LayOdds]]-1)*(1+LayTable[[#This Row],[C% Lay]])))-1))+1)))-1)</f>
        <v/>
      </c>
      <c r="Q698" s="46" t="str">
        <f>IF(LayTable[[#This Row],[Sport]]="","",LayTable[[#This Row],[BookieInnsats]]+LayTable[[#This Row],[LayLiability]])</f>
        <v/>
      </c>
      <c r="R6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8" s="47" t="str">
        <f>IF(LayTable[[#This Row],[Utfall bookie]]="","",LayTable[[#This Row],[WBABack]]+LayTable[[#This Row],[WBALay]]-LayTable[[#This Row],[Total inns]])</f>
        <v/>
      </c>
      <c r="U6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8" s="48" t="str">
        <f>IFERROR(IF(LayTable[[#This Row],[Total inns]]="","",LayTable[[#This Row],[Rback]]/LayTable[[#This Row],[Total inns]]),"")</f>
        <v/>
      </c>
      <c r="X698" s="48" t="str">
        <f>IFERROR(IF(LayTable[[#This Row],[Total inns]]="","",LayTable[[#This Row],[Rlay]]/LayTable[[#This Row],[Total inns]]),"")</f>
        <v/>
      </c>
      <c r="Y698" s="48" t="str">
        <f>IFERROR(LayTable[[#This Row],[Faktisk res]]/LayTable[[#This Row],[Total inns]],"")</f>
        <v/>
      </c>
      <c r="Z698" s="47">
        <f>(LayTable[[#This Row],[BookieInnsats]]*LayTable[[#This Row],[BookieOdds]]-LayTable[[#This Row],[BookieInnsats]])*(1-LayTable[[#This Row],[C% Bookie]])</f>
        <v>0</v>
      </c>
      <c r="AA698" s="43">
        <f>LayTable[[#This Row],[LayInnsats]]*(1-LayTable[[#This Row],[C% Lay]])</f>
        <v>0</v>
      </c>
      <c r="AB698" s="43" t="str">
        <f>IFERROR(IF(LayTable[[#This Row],[Sport]]="",AB697,LayTable[[#This Row],[Faktisk res]]+AB697),"")</f>
        <v/>
      </c>
      <c r="AC698" s="43">
        <f>(LayTable[[#This Row],[BackWin-Commission]]+LayTable[[#This Row],[BookieInnsats]])</f>
        <v>0</v>
      </c>
      <c r="AD698" s="43" t="e">
        <f>(LayTable[[#This Row],[LayWin-Commission]])+LayTable[[#This Row],[LayLiability]]</f>
        <v>#VALUE!</v>
      </c>
      <c r="AE698" s="181"/>
      <c r="AF698" s="318"/>
    </row>
    <row r="699" spans="1:32">
      <c r="A699" s="84"/>
      <c r="B699" s="39"/>
      <c r="C699" s="40"/>
      <c r="D699" s="41"/>
      <c r="E699" s="40"/>
      <c r="F699" s="41"/>
      <c r="G699" s="183"/>
      <c r="H699" s="38"/>
      <c r="I699" s="42"/>
      <c r="J699" s="42"/>
      <c r="K699" s="43"/>
      <c r="L699" s="43"/>
      <c r="M699" s="44" t="str">
        <f>IF(LayTable[[#This Row],[Sport]]="","",LayTable[[#This Row],[LayInnsats]]*(LayTable[[#This Row],[LayOdds]]-1))</f>
        <v/>
      </c>
      <c r="N699" s="45" t="str">
        <f>IF(LayTable[[#This Row],[Sport]]="","",1/((1/LayTable[[#This Row],[BookieOdds]])+(1/((1/((1+((LayTable[[#This Row],[LayOdds]]-1)*(1+LayTable[[#This Row],[C% Lay]])))-1))+1)))-1)</f>
        <v/>
      </c>
      <c r="Q699" s="46" t="str">
        <f>IF(LayTable[[#This Row],[Sport]]="","",LayTable[[#This Row],[BookieInnsats]]+LayTable[[#This Row],[LayLiability]])</f>
        <v/>
      </c>
      <c r="R6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6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699" s="47" t="str">
        <f>IF(LayTable[[#This Row],[Utfall bookie]]="","",LayTable[[#This Row],[WBABack]]+LayTable[[#This Row],[WBALay]]-LayTable[[#This Row],[Total inns]])</f>
        <v/>
      </c>
      <c r="U6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6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699" s="48" t="str">
        <f>IFERROR(IF(LayTable[[#This Row],[Total inns]]="","",LayTable[[#This Row],[Rback]]/LayTable[[#This Row],[Total inns]]),"")</f>
        <v/>
      </c>
      <c r="X699" s="48" t="str">
        <f>IFERROR(IF(LayTable[[#This Row],[Total inns]]="","",LayTable[[#This Row],[Rlay]]/LayTable[[#This Row],[Total inns]]),"")</f>
        <v/>
      </c>
      <c r="Y699" s="48" t="str">
        <f>IFERROR(LayTable[[#This Row],[Faktisk res]]/LayTable[[#This Row],[Total inns]],"")</f>
        <v/>
      </c>
      <c r="Z699" s="47">
        <f>(LayTable[[#This Row],[BookieInnsats]]*LayTable[[#This Row],[BookieOdds]]-LayTable[[#This Row],[BookieInnsats]])*(1-LayTable[[#This Row],[C% Bookie]])</f>
        <v>0</v>
      </c>
      <c r="AA699" s="43">
        <f>LayTable[[#This Row],[LayInnsats]]*(1-LayTable[[#This Row],[C% Lay]])</f>
        <v>0</v>
      </c>
      <c r="AB699" s="43" t="str">
        <f>IFERROR(IF(LayTable[[#This Row],[Sport]]="",AB698,LayTable[[#This Row],[Faktisk res]]+AB698),"")</f>
        <v/>
      </c>
      <c r="AC699" s="43">
        <f>(LayTable[[#This Row],[BackWin-Commission]]+LayTable[[#This Row],[BookieInnsats]])</f>
        <v>0</v>
      </c>
      <c r="AD699" s="43" t="e">
        <f>(LayTable[[#This Row],[LayWin-Commission]])+LayTable[[#This Row],[LayLiability]]</f>
        <v>#VALUE!</v>
      </c>
      <c r="AE699" s="319"/>
      <c r="AF699" s="318"/>
    </row>
    <row r="700" spans="1:32">
      <c r="A700" s="84"/>
      <c r="B700" s="39"/>
      <c r="C700" s="40"/>
      <c r="D700" s="41"/>
      <c r="E700" s="40"/>
      <c r="F700" s="41"/>
      <c r="G700" s="183"/>
      <c r="H700" s="38"/>
      <c r="I700" s="42"/>
      <c r="J700" s="42"/>
      <c r="K700" s="43"/>
      <c r="L700" s="43"/>
      <c r="M700" s="44" t="str">
        <f>IF(LayTable[[#This Row],[Sport]]="","",LayTable[[#This Row],[LayInnsats]]*(LayTable[[#This Row],[LayOdds]]-1))</f>
        <v/>
      </c>
      <c r="N700" s="45" t="str">
        <f>IF(LayTable[[#This Row],[Sport]]="","",1/((1/LayTable[[#This Row],[BookieOdds]])+(1/((1/((1+((LayTable[[#This Row],[LayOdds]]-1)*(1+LayTable[[#This Row],[C% Lay]])))-1))+1)))-1)</f>
        <v/>
      </c>
      <c r="Q700" s="46" t="str">
        <f>IF(LayTable[[#This Row],[Sport]]="","",LayTable[[#This Row],[BookieInnsats]]+LayTable[[#This Row],[LayLiability]])</f>
        <v/>
      </c>
      <c r="R7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0" s="47" t="str">
        <f>IF(LayTable[[#This Row],[Utfall bookie]]="","",LayTable[[#This Row],[WBABack]]+LayTable[[#This Row],[WBALay]]-LayTable[[#This Row],[Total inns]])</f>
        <v/>
      </c>
      <c r="U7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0" s="48" t="str">
        <f>IFERROR(IF(LayTable[[#This Row],[Total inns]]="","",LayTable[[#This Row],[Rback]]/LayTable[[#This Row],[Total inns]]),"")</f>
        <v/>
      </c>
      <c r="X700" s="48" t="str">
        <f>IFERROR(IF(LayTable[[#This Row],[Total inns]]="","",LayTable[[#This Row],[Rlay]]/LayTable[[#This Row],[Total inns]]),"")</f>
        <v/>
      </c>
      <c r="Y700" s="48" t="str">
        <f>IFERROR(LayTable[[#This Row],[Faktisk res]]/LayTable[[#This Row],[Total inns]],"")</f>
        <v/>
      </c>
      <c r="Z700" s="47">
        <f>(LayTable[[#This Row],[BookieInnsats]]*LayTable[[#This Row],[BookieOdds]]-LayTable[[#This Row],[BookieInnsats]])*(1-LayTable[[#This Row],[C% Bookie]])</f>
        <v>0</v>
      </c>
      <c r="AA700" s="43">
        <f>LayTable[[#This Row],[LayInnsats]]*(1-LayTable[[#This Row],[C% Lay]])</f>
        <v>0</v>
      </c>
      <c r="AB700" s="43" t="str">
        <f>IFERROR(IF(LayTable[[#This Row],[Sport]]="",AB699,LayTable[[#This Row],[Faktisk res]]+AB699),"")</f>
        <v/>
      </c>
      <c r="AC700" s="43">
        <f>(LayTable[[#This Row],[BackWin-Commission]]+LayTable[[#This Row],[BookieInnsats]])</f>
        <v>0</v>
      </c>
      <c r="AD700" s="43" t="e">
        <f>(LayTable[[#This Row],[LayWin-Commission]])+LayTable[[#This Row],[LayLiability]]</f>
        <v>#VALUE!</v>
      </c>
      <c r="AE700" s="319"/>
      <c r="AF700" s="318"/>
    </row>
    <row r="701" spans="1:32">
      <c r="A701" s="84"/>
      <c r="B701" s="39"/>
      <c r="C701" s="40"/>
      <c r="D701" s="41"/>
      <c r="E701" s="40"/>
      <c r="F701" s="41"/>
      <c r="G701" s="183"/>
      <c r="H701" s="38"/>
      <c r="I701" s="42"/>
      <c r="J701" s="42"/>
      <c r="K701" s="43"/>
      <c r="L701" s="43"/>
      <c r="M701" s="44" t="str">
        <f>IF(LayTable[[#This Row],[Sport]]="","",LayTable[[#This Row],[LayInnsats]]*(LayTable[[#This Row],[LayOdds]]-1))</f>
        <v/>
      </c>
      <c r="N701" s="45" t="str">
        <f>IF(LayTable[[#This Row],[Sport]]="","",1/((1/LayTable[[#This Row],[BookieOdds]])+(1/((1/((1+((LayTable[[#This Row],[LayOdds]]-1)*(1+LayTable[[#This Row],[C% Lay]])))-1))+1)))-1)</f>
        <v/>
      </c>
      <c r="Q701" s="46" t="str">
        <f>IF(LayTable[[#This Row],[Sport]]="","",LayTable[[#This Row],[BookieInnsats]]+LayTable[[#This Row],[LayLiability]])</f>
        <v/>
      </c>
      <c r="R7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1" s="47" t="str">
        <f>IF(LayTable[[#This Row],[Utfall bookie]]="","",LayTable[[#This Row],[WBABack]]+LayTable[[#This Row],[WBALay]]-LayTable[[#This Row],[Total inns]])</f>
        <v/>
      </c>
      <c r="U7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1" s="48" t="str">
        <f>IFERROR(IF(LayTable[[#This Row],[Total inns]]="","",LayTable[[#This Row],[Rback]]/LayTable[[#This Row],[Total inns]]),"")</f>
        <v/>
      </c>
      <c r="X701" s="48" t="str">
        <f>IFERROR(IF(LayTable[[#This Row],[Total inns]]="","",LayTable[[#This Row],[Rlay]]/LayTable[[#This Row],[Total inns]]),"")</f>
        <v/>
      </c>
      <c r="Y701" s="48" t="str">
        <f>IFERROR(LayTable[[#This Row],[Faktisk res]]/LayTable[[#This Row],[Total inns]],"")</f>
        <v/>
      </c>
      <c r="Z701" s="47">
        <f>(LayTable[[#This Row],[BookieInnsats]]*LayTable[[#This Row],[BookieOdds]]-LayTable[[#This Row],[BookieInnsats]])*(1-LayTable[[#This Row],[C% Bookie]])</f>
        <v>0</v>
      </c>
      <c r="AA701" s="43">
        <f>LayTable[[#This Row],[LayInnsats]]*(1-LayTable[[#This Row],[C% Lay]])</f>
        <v>0</v>
      </c>
      <c r="AB701" s="43" t="str">
        <f>IFERROR(IF(LayTable[[#This Row],[Sport]]="",AB700,LayTable[[#This Row],[Faktisk res]]+AB700),"")</f>
        <v/>
      </c>
      <c r="AC701" s="43">
        <f>(LayTable[[#This Row],[BackWin-Commission]]+LayTable[[#This Row],[BookieInnsats]])</f>
        <v>0</v>
      </c>
      <c r="AD701" s="43" t="e">
        <f>(LayTable[[#This Row],[LayWin-Commission]])+LayTable[[#This Row],[LayLiability]]</f>
        <v>#VALUE!</v>
      </c>
      <c r="AE701" s="319"/>
      <c r="AF701" s="318"/>
    </row>
    <row r="702" spans="1:32">
      <c r="A702" s="84"/>
      <c r="B702" s="39"/>
      <c r="C702" s="40"/>
      <c r="D702" s="41"/>
      <c r="E702" s="40"/>
      <c r="F702" s="41"/>
      <c r="G702" s="183"/>
      <c r="H702" s="38"/>
      <c r="I702" s="42"/>
      <c r="J702" s="42"/>
      <c r="K702" s="43"/>
      <c r="L702" s="43"/>
      <c r="M702" s="44" t="str">
        <f>IF(LayTable[[#This Row],[Sport]]="","",LayTable[[#This Row],[LayInnsats]]*(LayTable[[#This Row],[LayOdds]]-1))</f>
        <v/>
      </c>
      <c r="N702" s="45" t="str">
        <f>IF(LayTable[[#This Row],[Sport]]="","",1/((1/LayTable[[#This Row],[BookieOdds]])+(1/((1/((1+((LayTable[[#This Row],[LayOdds]]-1)*(1+LayTable[[#This Row],[C% Lay]])))-1))+1)))-1)</f>
        <v/>
      </c>
      <c r="Q702" s="46" t="str">
        <f>IF(LayTable[[#This Row],[Sport]]="","",LayTable[[#This Row],[BookieInnsats]]+LayTable[[#This Row],[LayLiability]])</f>
        <v/>
      </c>
      <c r="R7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2" s="47" t="str">
        <f>IF(LayTable[[#This Row],[Utfall bookie]]="","",LayTable[[#This Row],[WBABack]]+LayTable[[#This Row],[WBALay]]-LayTable[[#This Row],[Total inns]])</f>
        <v/>
      </c>
      <c r="U7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2" s="48" t="str">
        <f>IFERROR(IF(LayTable[[#This Row],[Total inns]]="","",LayTable[[#This Row],[Rback]]/LayTable[[#This Row],[Total inns]]),"")</f>
        <v/>
      </c>
      <c r="X702" s="48" t="str">
        <f>IFERROR(IF(LayTable[[#This Row],[Total inns]]="","",LayTable[[#This Row],[Rlay]]/LayTable[[#This Row],[Total inns]]),"")</f>
        <v/>
      </c>
      <c r="Y702" s="48" t="str">
        <f>IFERROR(LayTable[[#This Row],[Faktisk res]]/LayTable[[#This Row],[Total inns]],"")</f>
        <v/>
      </c>
      <c r="Z702" s="47">
        <f>(LayTable[[#This Row],[BookieInnsats]]*LayTable[[#This Row],[BookieOdds]]-LayTable[[#This Row],[BookieInnsats]])*(1-LayTable[[#This Row],[C% Bookie]])</f>
        <v>0</v>
      </c>
      <c r="AA702" s="43">
        <f>LayTable[[#This Row],[LayInnsats]]*(1-LayTable[[#This Row],[C% Lay]])</f>
        <v>0</v>
      </c>
      <c r="AB702" s="43" t="str">
        <f>IFERROR(IF(LayTable[[#This Row],[Sport]]="",AB701,LayTable[[#This Row],[Faktisk res]]+AB701),"")</f>
        <v/>
      </c>
      <c r="AC702" s="43">
        <f>(LayTable[[#This Row],[BackWin-Commission]]+LayTable[[#This Row],[BookieInnsats]])</f>
        <v>0</v>
      </c>
      <c r="AD702" s="43" t="e">
        <f>(LayTable[[#This Row],[LayWin-Commission]])+LayTable[[#This Row],[LayLiability]]</f>
        <v>#VALUE!</v>
      </c>
      <c r="AE702" s="319"/>
      <c r="AF702" s="318"/>
    </row>
    <row r="703" spans="1:32">
      <c r="A703" s="84"/>
      <c r="B703" s="39"/>
      <c r="C703" s="40"/>
      <c r="D703" s="41"/>
      <c r="E703" s="40"/>
      <c r="F703" s="41"/>
      <c r="G703" s="183"/>
      <c r="H703" s="38"/>
      <c r="I703" s="42"/>
      <c r="J703" s="42"/>
      <c r="K703" s="43"/>
      <c r="L703" s="43"/>
      <c r="M703" s="44" t="str">
        <f>IF(LayTable[[#This Row],[Sport]]="","",LayTable[[#This Row],[LayInnsats]]*(LayTable[[#This Row],[LayOdds]]-1))</f>
        <v/>
      </c>
      <c r="N703" s="45" t="str">
        <f>IF(LayTable[[#This Row],[Sport]]="","",1/((1/LayTable[[#This Row],[BookieOdds]])+(1/((1/((1+((LayTable[[#This Row],[LayOdds]]-1)*(1+LayTable[[#This Row],[C% Lay]])))-1))+1)))-1)</f>
        <v/>
      </c>
      <c r="Q703" s="46" t="str">
        <f>IF(LayTable[[#This Row],[Sport]]="","",LayTable[[#This Row],[BookieInnsats]]+LayTable[[#This Row],[LayLiability]])</f>
        <v/>
      </c>
      <c r="R7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3" s="47" t="str">
        <f>IF(LayTable[[#This Row],[Utfall bookie]]="","",LayTable[[#This Row],[WBABack]]+LayTable[[#This Row],[WBALay]]-LayTable[[#This Row],[Total inns]])</f>
        <v/>
      </c>
      <c r="U7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3" s="48" t="str">
        <f>IFERROR(IF(LayTable[[#This Row],[Total inns]]="","",LayTable[[#This Row],[Rback]]/LayTable[[#This Row],[Total inns]]),"")</f>
        <v/>
      </c>
      <c r="X703" s="48" t="str">
        <f>IFERROR(IF(LayTable[[#This Row],[Total inns]]="","",LayTable[[#This Row],[Rlay]]/LayTable[[#This Row],[Total inns]]),"")</f>
        <v/>
      </c>
      <c r="Y703" s="48" t="str">
        <f>IFERROR(LayTable[[#This Row],[Faktisk res]]/LayTable[[#This Row],[Total inns]],"")</f>
        <v/>
      </c>
      <c r="Z703" s="47">
        <f>(LayTable[[#This Row],[BookieInnsats]]*LayTable[[#This Row],[BookieOdds]]-LayTable[[#This Row],[BookieInnsats]])*(1-LayTable[[#This Row],[C% Bookie]])</f>
        <v>0</v>
      </c>
      <c r="AA703" s="43">
        <f>LayTable[[#This Row],[LayInnsats]]*(1-LayTable[[#This Row],[C% Lay]])</f>
        <v>0</v>
      </c>
      <c r="AB703" s="43" t="str">
        <f>IFERROR(IF(LayTable[[#This Row],[Sport]]="",AB702,LayTable[[#This Row],[Faktisk res]]+AB702),"")</f>
        <v/>
      </c>
      <c r="AC703" s="43">
        <f>(LayTable[[#This Row],[BackWin-Commission]]+LayTable[[#This Row],[BookieInnsats]])</f>
        <v>0</v>
      </c>
      <c r="AD703" s="43" t="e">
        <f>(LayTable[[#This Row],[LayWin-Commission]])+LayTable[[#This Row],[LayLiability]]</f>
        <v>#VALUE!</v>
      </c>
      <c r="AE703" s="319"/>
      <c r="AF703" s="318"/>
    </row>
    <row r="704" spans="1:32">
      <c r="A704" s="84"/>
      <c r="B704" s="39"/>
      <c r="C704" s="40"/>
      <c r="D704" s="41"/>
      <c r="E704" s="40"/>
      <c r="F704" s="41"/>
      <c r="G704" s="183"/>
      <c r="H704" s="38"/>
      <c r="I704" s="42"/>
      <c r="J704" s="42"/>
      <c r="K704" s="43"/>
      <c r="L704" s="319"/>
      <c r="M704" s="44" t="str">
        <f>IF(LayTable[[#This Row],[Sport]]="","",LayTable[[#This Row],[LayInnsats]]*(LayTable[[#This Row],[LayOdds]]-1))</f>
        <v/>
      </c>
      <c r="N704" s="45" t="str">
        <f>IF(LayTable[[#This Row],[Sport]]="","",1/((1/LayTable[[#This Row],[BookieOdds]])+(1/((1/((1+((LayTable[[#This Row],[LayOdds]]-1)*(1+LayTable[[#This Row],[C% Lay]])))-1))+1)))-1)</f>
        <v/>
      </c>
      <c r="Q704" s="46" t="str">
        <f>IF(LayTable[[#This Row],[Sport]]="","",LayTable[[#This Row],[BookieInnsats]]+LayTable[[#This Row],[LayLiability]])</f>
        <v/>
      </c>
      <c r="R7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4" s="47" t="str">
        <f>IF(LayTable[[#This Row],[Utfall bookie]]="","",LayTable[[#This Row],[WBABack]]+LayTable[[#This Row],[WBALay]]-LayTable[[#This Row],[Total inns]])</f>
        <v/>
      </c>
      <c r="U7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4" s="48" t="str">
        <f>IFERROR(IF(LayTable[[#This Row],[Total inns]]="","",LayTable[[#This Row],[Rback]]/LayTable[[#This Row],[Total inns]]),"")</f>
        <v/>
      </c>
      <c r="X704" s="48" t="str">
        <f>IFERROR(IF(LayTable[[#This Row],[Total inns]]="","",LayTable[[#This Row],[Rlay]]/LayTable[[#This Row],[Total inns]]),"")</f>
        <v/>
      </c>
      <c r="Y704" s="48" t="str">
        <f>IFERROR(LayTable[[#This Row],[Faktisk res]]/LayTable[[#This Row],[Total inns]],"")</f>
        <v/>
      </c>
      <c r="Z704" s="47">
        <f>(LayTable[[#This Row],[BookieInnsats]]*LayTable[[#This Row],[BookieOdds]]-LayTable[[#This Row],[BookieInnsats]])*(1-LayTable[[#This Row],[C% Bookie]])</f>
        <v>0</v>
      </c>
      <c r="AA704" s="43">
        <f>LayTable[[#This Row],[LayInnsats]]*(1-LayTable[[#This Row],[C% Lay]])</f>
        <v>0</v>
      </c>
      <c r="AB704" s="43" t="str">
        <f>IFERROR(IF(LayTable[[#This Row],[Sport]]="",AB703,LayTable[[#This Row],[Faktisk res]]+AB703),"")</f>
        <v/>
      </c>
      <c r="AC704" s="43">
        <f>(LayTable[[#This Row],[BackWin-Commission]]+LayTable[[#This Row],[BookieInnsats]])</f>
        <v>0</v>
      </c>
      <c r="AD704" s="43" t="e">
        <f>(LayTable[[#This Row],[LayWin-Commission]])+LayTable[[#This Row],[LayLiability]]</f>
        <v>#VALUE!</v>
      </c>
      <c r="AE704" s="319"/>
      <c r="AF704" s="318"/>
    </row>
    <row r="705" spans="1:32">
      <c r="A705" s="84"/>
      <c r="B705" s="39"/>
      <c r="C705" s="40"/>
      <c r="D705" s="41"/>
      <c r="E705" s="40"/>
      <c r="F705" s="41"/>
      <c r="G705" s="183"/>
      <c r="H705" s="38"/>
      <c r="I705" s="42"/>
      <c r="J705" s="42"/>
      <c r="K705" s="43"/>
      <c r="L705" s="43"/>
      <c r="M705" s="44" t="str">
        <f>IF(LayTable[[#This Row],[Sport]]="","",LayTable[[#This Row],[LayInnsats]]*(LayTable[[#This Row],[LayOdds]]-1))</f>
        <v/>
      </c>
      <c r="N705" s="45" t="str">
        <f>IF(LayTable[[#This Row],[Sport]]="","",1/((1/LayTable[[#This Row],[BookieOdds]])+(1/((1/((1+((LayTable[[#This Row],[LayOdds]]-1)*(1+LayTable[[#This Row],[C% Lay]])))-1))+1)))-1)</f>
        <v/>
      </c>
      <c r="Q705" s="46" t="str">
        <f>IF(LayTable[[#This Row],[Sport]]="","",LayTable[[#This Row],[BookieInnsats]]+LayTable[[#This Row],[LayLiability]])</f>
        <v/>
      </c>
      <c r="R7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5" s="47" t="str">
        <f>IF(LayTable[[#This Row],[Utfall bookie]]="","",LayTable[[#This Row],[WBABack]]+LayTable[[#This Row],[WBALay]]-LayTable[[#This Row],[Total inns]])</f>
        <v/>
      </c>
      <c r="U7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5" s="48" t="str">
        <f>IFERROR(IF(LayTable[[#This Row],[Total inns]]="","",LayTable[[#This Row],[Rback]]/LayTable[[#This Row],[Total inns]]),"")</f>
        <v/>
      </c>
      <c r="X705" s="48" t="str">
        <f>IFERROR(IF(LayTable[[#This Row],[Total inns]]="","",LayTable[[#This Row],[Rlay]]/LayTable[[#This Row],[Total inns]]),"")</f>
        <v/>
      </c>
      <c r="Y705" s="48" t="str">
        <f>IFERROR(LayTable[[#This Row],[Faktisk res]]/LayTable[[#This Row],[Total inns]],"")</f>
        <v/>
      </c>
      <c r="Z705" s="47">
        <f>(LayTable[[#This Row],[BookieInnsats]]*LayTable[[#This Row],[BookieOdds]]-LayTable[[#This Row],[BookieInnsats]])*(1-LayTable[[#This Row],[C% Bookie]])</f>
        <v>0</v>
      </c>
      <c r="AA705" s="43">
        <f>LayTable[[#This Row],[LayInnsats]]*(1-LayTable[[#This Row],[C% Lay]])</f>
        <v>0</v>
      </c>
      <c r="AB705" s="43" t="str">
        <f>IFERROR(IF(LayTable[[#This Row],[Sport]]="",AB704,LayTable[[#This Row],[Faktisk res]]+AB704),"")</f>
        <v/>
      </c>
      <c r="AC705" s="43">
        <f>(LayTable[[#This Row],[BackWin-Commission]]+LayTable[[#This Row],[BookieInnsats]])</f>
        <v>0</v>
      </c>
      <c r="AD705" s="43" t="e">
        <f>(LayTable[[#This Row],[LayWin-Commission]])+LayTable[[#This Row],[LayLiability]]</f>
        <v>#VALUE!</v>
      </c>
      <c r="AE705" s="319"/>
      <c r="AF705" s="318"/>
    </row>
    <row r="706" spans="1:32">
      <c r="A706" s="84"/>
      <c r="B706" s="39"/>
      <c r="C706" s="40"/>
      <c r="D706" s="41"/>
      <c r="E706" s="40"/>
      <c r="F706" s="41"/>
      <c r="G706" s="183"/>
      <c r="H706" s="38"/>
      <c r="I706" s="42"/>
      <c r="J706" s="42"/>
      <c r="K706" s="43"/>
      <c r="L706" s="43"/>
      <c r="M706" s="44" t="str">
        <f>IF(LayTable[[#This Row],[Sport]]="","",LayTable[[#This Row],[LayInnsats]]*(LayTable[[#This Row],[LayOdds]]-1))</f>
        <v/>
      </c>
      <c r="N706" s="45" t="str">
        <f>IF(LayTable[[#This Row],[Sport]]="","",1/((1/LayTable[[#This Row],[BookieOdds]])+(1/((1/((1+((LayTable[[#This Row],[LayOdds]]-1)*(1+LayTable[[#This Row],[C% Lay]])))-1))+1)))-1)</f>
        <v/>
      </c>
      <c r="Q706" s="46" t="str">
        <f>IF(LayTable[[#This Row],[Sport]]="","",LayTable[[#This Row],[BookieInnsats]]+LayTable[[#This Row],[LayLiability]])</f>
        <v/>
      </c>
      <c r="R7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6" s="47" t="str">
        <f>IF(LayTable[[#This Row],[Utfall bookie]]="","",LayTable[[#This Row],[WBABack]]+LayTable[[#This Row],[WBALay]]-LayTable[[#This Row],[Total inns]])</f>
        <v/>
      </c>
      <c r="U7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6" s="48" t="str">
        <f>IFERROR(IF(LayTable[[#This Row],[Total inns]]="","",LayTable[[#This Row],[Rback]]/LayTable[[#This Row],[Total inns]]),"")</f>
        <v/>
      </c>
      <c r="X706" s="48" t="str">
        <f>IFERROR(IF(LayTable[[#This Row],[Total inns]]="","",LayTable[[#This Row],[Rlay]]/LayTable[[#This Row],[Total inns]]),"")</f>
        <v/>
      </c>
      <c r="Y706" s="48" t="str">
        <f>IFERROR(LayTable[[#This Row],[Faktisk res]]/LayTable[[#This Row],[Total inns]],"")</f>
        <v/>
      </c>
      <c r="Z706" s="47">
        <f>(LayTable[[#This Row],[BookieInnsats]]*LayTable[[#This Row],[BookieOdds]]-LayTable[[#This Row],[BookieInnsats]])*(1-LayTable[[#This Row],[C% Bookie]])</f>
        <v>0</v>
      </c>
      <c r="AA706" s="43">
        <f>LayTable[[#This Row],[LayInnsats]]*(1-LayTable[[#This Row],[C% Lay]])</f>
        <v>0</v>
      </c>
      <c r="AB706" s="43" t="str">
        <f>IFERROR(IF(LayTable[[#This Row],[Sport]]="",#REF!,LayTable[[#This Row],[Faktisk res]]+#REF!),"")</f>
        <v/>
      </c>
      <c r="AC706" s="43">
        <f>(LayTable[[#This Row],[BackWin-Commission]]+LayTable[[#This Row],[BookieInnsats]])</f>
        <v>0</v>
      </c>
      <c r="AD706" s="43" t="e">
        <f>(LayTable[[#This Row],[LayWin-Commission]])+LayTable[[#This Row],[LayLiability]]</f>
        <v>#VALUE!</v>
      </c>
      <c r="AE706" s="319"/>
      <c r="AF706" s="309"/>
    </row>
    <row r="707" spans="1:32">
      <c r="A707" s="84"/>
      <c r="B707" s="39"/>
      <c r="C707" s="40"/>
      <c r="D707" s="41"/>
      <c r="E707" s="40"/>
      <c r="F707" s="41"/>
      <c r="G707" s="183"/>
      <c r="H707" s="38"/>
      <c r="I707" s="42"/>
      <c r="J707" s="42"/>
      <c r="K707" s="43"/>
      <c r="L707" s="43"/>
      <c r="M707" s="44" t="str">
        <f>IF(LayTable[[#This Row],[Sport]]="","",LayTable[[#This Row],[LayInnsats]]*(LayTable[[#This Row],[LayOdds]]-1))</f>
        <v/>
      </c>
      <c r="N707" s="45" t="str">
        <f>IF(LayTable[[#This Row],[Sport]]="","",1/((1/LayTable[[#This Row],[BookieOdds]])+(1/((1/((1+((LayTable[[#This Row],[LayOdds]]-1)*(1+LayTable[[#This Row],[C% Lay]])))-1))+1)))-1)</f>
        <v/>
      </c>
      <c r="Q707" s="46" t="str">
        <f>IF(LayTable[[#This Row],[Sport]]="","",LayTable[[#This Row],[BookieInnsats]]+LayTable[[#This Row],[LayLiability]])</f>
        <v/>
      </c>
      <c r="R7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7" s="47" t="str">
        <f>IF(LayTable[[#This Row],[Utfall bookie]]="","",LayTable[[#This Row],[WBABack]]+LayTable[[#This Row],[WBALay]]-LayTable[[#This Row],[Total inns]])</f>
        <v/>
      </c>
      <c r="U7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7" s="48" t="str">
        <f>IFERROR(IF(LayTable[[#This Row],[Total inns]]="","",LayTable[[#This Row],[Rback]]/LayTable[[#This Row],[Total inns]]),"")</f>
        <v/>
      </c>
      <c r="X707" s="48" t="str">
        <f>IFERROR(IF(LayTable[[#This Row],[Total inns]]="","",LayTable[[#This Row],[Rlay]]/LayTable[[#This Row],[Total inns]]),"")</f>
        <v/>
      </c>
      <c r="Y707" s="48" t="str">
        <f>IFERROR(LayTable[[#This Row],[Faktisk res]]/LayTable[[#This Row],[Total inns]],"")</f>
        <v/>
      </c>
      <c r="Z707" s="47">
        <f>(LayTable[[#This Row],[BookieInnsats]]*LayTable[[#This Row],[BookieOdds]]-LayTable[[#This Row],[BookieInnsats]])*(1-LayTable[[#This Row],[C% Bookie]])</f>
        <v>0</v>
      </c>
      <c r="AA707" s="43">
        <f>LayTable[[#This Row],[LayInnsats]]*(1-LayTable[[#This Row],[C% Lay]])</f>
        <v>0</v>
      </c>
      <c r="AB707" s="43" t="str">
        <f>IFERROR(IF(LayTable[[#This Row],[Sport]]="",AB706,LayTable[[#This Row],[Faktisk res]]+AB706),"")</f>
        <v/>
      </c>
      <c r="AC707" s="43">
        <f>(LayTable[[#This Row],[BackWin-Commission]]+LayTable[[#This Row],[BookieInnsats]])</f>
        <v>0</v>
      </c>
      <c r="AD707" s="43" t="e">
        <f>(LayTable[[#This Row],[LayWin-Commission]])+LayTable[[#This Row],[LayLiability]]</f>
        <v>#VALUE!</v>
      </c>
      <c r="AE707" s="319"/>
      <c r="AF707" s="309"/>
    </row>
    <row r="708" spans="1:32">
      <c r="A708" s="84"/>
      <c r="B708" s="39"/>
      <c r="C708" s="40"/>
      <c r="D708" s="41"/>
      <c r="E708" s="40"/>
      <c r="F708" s="41"/>
      <c r="G708" s="183"/>
      <c r="H708" s="38"/>
      <c r="I708" s="42"/>
      <c r="J708" s="42"/>
      <c r="K708" s="43"/>
      <c r="L708" s="43"/>
      <c r="M708" s="44" t="str">
        <f>IF(LayTable[[#This Row],[Sport]]="","",LayTable[[#This Row],[LayInnsats]]*(LayTable[[#This Row],[LayOdds]]-1))</f>
        <v/>
      </c>
      <c r="N708" s="45" t="str">
        <f>IF(LayTable[[#This Row],[Sport]]="","",1/((1/LayTable[[#This Row],[BookieOdds]])+(1/((1/((1+((LayTable[[#This Row],[LayOdds]]-1)*(1+LayTable[[#This Row],[C% Lay]])))-1))+1)))-1)</f>
        <v/>
      </c>
      <c r="Q708" s="46" t="str">
        <f>IF(LayTable[[#This Row],[Sport]]="","",LayTable[[#This Row],[BookieInnsats]]+LayTable[[#This Row],[LayLiability]])</f>
        <v/>
      </c>
      <c r="R7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8" s="47" t="str">
        <f>IF(LayTable[[#This Row],[Utfall bookie]]="","",LayTable[[#This Row],[WBABack]]+LayTable[[#This Row],[WBALay]]-LayTable[[#This Row],[Total inns]])</f>
        <v/>
      </c>
      <c r="U7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8" s="48" t="str">
        <f>IFERROR(IF(LayTable[[#This Row],[Total inns]]="","",LayTable[[#This Row],[Rback]]/LayTable[[#This Row],[Total inns]]),"")</f>
        <v/>
      </c>
      <c r="X708" s="48" t="str">
        <f>IFERROR(IF(LayTable[[#This Row],[Total inns]]="","",LayTable[[#This Row],[Rlay]]/LayTable[[#This Row],[Total inns]]),"")</f>
        <v/>
      </c>
      <c r="Y708" s="48" t="str">
        <f>IFERROR(LayTable[[#This Row],[Faktisk res]]/LayTable[[#This Row],[Total inns]],"")</f>
        <v/>
      </c>
      <c r="Z708" s="47">
        <f>(LayTable[[#This Row],[BookieInnsats]]*LayTable[[#This Row],[BookieOdds]]-LayTable[[#This Row],[BookieInnsats]])*(1-LayTable[[#This Row],[C% Bookie]])</f>
        <v>0</v>
      </c>
      <c r="AA708" s="43">
        <f>LayTable[[#This Row],[LayInnsats]]*(1-LayTable[[#This Row],[C% Lay]])</f>
        <v>0</v>
      </c>
      <c r="AB708" s="43" t="str">
        <f>IFERROR(IF(LayTable[[#This Row],[Sport]]="",AB707,LayTable[[#This Row],[Faktisk res]]+AB707),"")</f>
        <v/>
      </c>
      <c r="AC708" s="43">
        <f>(LayTable[[#This Row],[BackWin-Commission]]+LayTable[[#This Row],[BookieInnsats]])</f>
        <v>0</v>
      </c>
      <c r="AD708" s="43" t="e">
        <f>(LayTable[[#This Row],[LayWin-Commission]])+LayTable[[#This Row],[LayLiability]]</f>
        <v>#VALUE!</v>
      </c>
      <c r="AE708" s="319"/>
      <c r="AF708" s="309"/>
    </row>
    <row r="709" spans="1:32">
      <c r="A709" s="84"/>
      <c r="B709" s="39"/>
      <c r="C709" s="40"/>
      <c r="D709" s="41"/>
      <c r="E709" s="40"/>
      <c r="F709" s="41"/>
      <c r="G709" s="183"/>
      <c r="H709" s="38"/>
      <c r="I709" s="42"/>
      <c r="J709" s="42"/>
      <c r="K709" s="43"/>
      <c r="L709" s="43"/>
      <c r="M709" s="44" t="str">
        <f>IF(LayTable[[#This Row],[Sport]]="","",LayTable[[#This Row],[LayInnsats]]*(LayTable[[#This Row],[LayOdds]]-1))</f>
        <v/>
      </c>
      <c r="N709" s="45" t="str">
        <f>IF(LayTable[[#This Row],[Sport]]="","",1/((1/LayTable[[#This Row],[BookieOdds]])+(1/((1/((1+((LayTable[[#This Row],[LayOdds]]-1)*(1+LayTable[[#This Row],[C% Lay]])))-1))+1)))-1)</f>
        <v/>
      </c>
      <c r="Q709" s="46" t="str">
        <f>IF(LayTable[[#This Row],[Sport]]="","",LayTable[[#This Row],[BookieInnsats]]+LayTable[[#This Row],[LayLiability]])</f>
        <v/>
      </c>
      <c r="R7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09" s="47" t="str">
        <f>IF(LayTable[[#This Row],[Utfall bookie]]="","",LayTable[[#This Row],[WBABack]]+LayTable[[#This Row],[WBALay]]-LayTable[[#This Row],[Total inns]])</f>
        <v/>
      </c>
      <c r="U7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09" s="48" t="str">
        <f>IFERROR(IF(LayTable[[#This Row],[Total inns]]="","",LayTable[[#This Row],[Rback]]/LayTable[[#This Row],[Total inns]]),"")</f>
        <v/>
      </c>
      <c r="X709" s="48" t="str">
        <f>IFERROR(IF(LayTable[[#This Row],[Total inns]]="","",LayTable[[#This Row],[Rlay]]/LayTable[[#This Row],[Total inns]]),"")</f>
        <v/>
      </c>
      <c r="Y709" s="48" t="str">
        <f>IFERROR(LayTable[[#This Row],[Faktisk res]]/LayTable[[#This Row],[Total inns]],"")</f>
        <v/>
      </c>
      <c r="Z709" s="47">
        <f>(LayTable[[#This Row],[BookieInnsats]]*LayTable[[#This Row],[BookieOdds]]-LayTable[[#This Row],[BookieInnsats]])*(1-LayTable[[#This Row],[C% Bookie]])</f>
        <v>0</v>
      </c>
      <c r="AA709" s="43">
        <f>LayTable[[#This Row],[LayInnsats]]*(1-LayTable[[#This Row],[C% Lay]])</f>
        <v>0</v>
      </c>
      <c r="AB709" s="43" t="str">
        <f>IFERROR(IF(LayTable[[#This Row],[Sport]]="",AB708,LayTable[[#This Row],[Faktisk res]]+AB708),"")</f>
        <v/>
      </c>
      <c r="AC709" s="43">
        <f>(LayTable[[#This Row],[BackWin-Commission]]+LayTable[[#This Row],[BookieInnsats]])</f>
        <v>0</v>
      </c>
      <c r="AD709" s="43" t="e">
        <f>(LayTable[[#This Row],[LayWin-Commission]])+LayTable[[#This Row],[LayLiability]]</f>
        <v>#VALUE!</v>
      </c>
      <c r="AE709" s="319"/>
      <c r="AF709" s="309"/>
    </row>
    <row r="710" spans="1:32">
      <c r="A710" s="84"/>
      <c r="B710" s="39"/>
      <c r="C710" s="40"/>
      <c r="D710" s="41"/>
      <c r="E710" s="40"/>
      <c r="F710" s="41"/>
      <c r="G710" s="183"/>
      <c r="H710" s="38"/>
      <c r="I710" s="42"/>
      <c r="J710" s="42"/>
      <c r="K710" s="43"/>
      <c r="L710" s="43"/>
      <c r="M710" s="44" t="str">
        <f>IF(LayTable[[#This Row],[Sport]]="","",LayTable[[#This Row],[LayInnsats]]*(LayTable[[#This Row],[LayOdds]]-1))</f>
        <v/>
      </c>
      <c r="N710" s="45" t="str">
        <f>IF(LayTable[[#This Row],[Sport]]="","",1/((1/LayTable[[#This Row],[BookieOdds]])+(1/((1/((1+((LayTable[[#This Row],[LayOdds]]-1)*(1+LayTable[[#This Row],[C% Lay]])))-1))+1)))-1)</f>
        <v/>
      </c>
      <c r="Q710" s="46" t="str">
        <f>IF(LayTable[[#This Row],[Sport]]="","",LayTable[[#This Row],[BookieInnsats]]+LayTable[[#This Row],[LayLiability]])</f>
        <v/>
      </c>
      <c r="R7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0" s="47" t="str">
        <f>IF(LayTable[[#This Row],[Utfall bookie]]="","",LayTable[[#This Row],[WBABack]]+LayTable[[#This Row],[WBALay]]-LayTable[[#This Row],[Total inns]])</f>
        <v/>
      </c>
      <c r="U7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0" s="48" t="str">
        <f>IFERROR(IF(LayTable[[#This Row],[Total inns]]="","",LayTable[[#This Row],[Rback]]/LayTable[[#This Row],[Total inns]]),"")</f>
        <v/>
      </c>
      <c r="X710" s="48" t="str">
        <f>IFERROR(IF(LayTable[[#This Row],[Total inns]]="","",LayTable[[#This Row],[Rlay]]/LayTable[[#This Row],[Total inns]]),"")</f>
        <v/>
      </c>
      <c r="Y710" s="48" t="str">
        <f>IFERROR(LayTable[[#This Row],[Faktisk res]]/LayTable[[#This Row],[Total inns]],"")</f>
        <v/>
      </c>
      <c r="Z710" s="47">
        <f>(LayTable[[#This Row],[BookieInnsats]]*LayTable[[#This Row],[BookieOdds]]-LayTable[[#This Row],[BookieInnsats]])*(1-LayTable[[#This Row],[C% Bookie]])</f>
        <v>0</v>
      </c>
      <c r="AA710" s="43">
        <f>LayTable[[#This Row],[LayInnsats]]*(1-LayTable[[#This Row],[C% Lay]])</f>
        <v>0</v>
      </c>
      <c r="AB710" s="43" t="str">
        <f>IFERROR(IF(LayTable[[#This Row],[Sport]]="",AB709,LayTable[[#This Row],[Faktisk res]]+AB709),"")</f>
        <v/>
      </c>
      <c r="AC710" s="43">
        <f>(LayTable[[#This Row],[BackWin-Commission]]+LayTable[[#This Row],[BookieInnsats]])</f>
        <v>0</v>
      </c>
      <c r="AD710" s="43" t="e">
        <f>(LayTable[[#This Row],[LayWin-Commission]])+LayTable[[#This Row],[LayLiability]]</f>
        <v>#VALUE!</v>
      </c>
      <c r="AE710" s="319"/>
      <c r="AF710" s="309"/>
    </row>
    <row r="711" spans="1:32">
      <c r="A711" s="84"/>
      <c r="B711" s="39"/>
      <c r="C711" s="40"/>
      <c r="D711" s="41"/>
      <c r="E711" s="40"/>
      <c r="F711" s="41"/>
      <c r="G711" s="183"/>
      <c r="H711" s="38"/>
      <c r="I711" s="42"/>
      <c r="J711" s="42"/>
      <c r="K711" s="43"/>
      <c r="L711" s="43"/>
      <c r="M711" s="44" t="str">
        <f>IF(LayTable[[#This Row],[Sport]]="","",LayTable[[#This Row],[LayInnsats]]*(LayTable[[#This Row],[LayOdds]]-1))</f>
        <v/>
      </c>
      <c r="N711" s="45" t="str">
        <f>IF(LayTable[[#This Row],[Sport]]="","",1/((1/LayTable[[#This Row],[BookieOdds]])+(1/((1/((1+((LayTable[[#This Row],[LayOdds]]-1)*(1+LayTable[[#This Row],[C% Lay]])))-1))+1)))-1)</f>
        <v/>
      </c>
      <c r="Q711" s="46" t="str">
        <f>IF(LayTable[[#This Row],[Sport]]="","",LayTable[[#This Row],[BookieInnsats]]+LayTable[[#This Row],[LayLiability]])</f>
        <v/>
      </c>
      <c r="R7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1" s="47" t="str">
        <f>IF(LayTable[[#This Row],[Utfall bookie]]="","",LayTable[[#This Row],[WBABack]]+LayTable[[#This Row],[WBALay]]-LayTable[[#This Row],[Total inns]])</f>
        <v/>
      </c>
      <c r="U7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1" s="48" t="str">
        <f>IFERROR(IF(LayTable[[#This Row],[Total inns]]="","",LayTable[[#This Row],[Rback]]/LayTable[[#This Row],[Total inns]]),"")</f>
        <v/>
      </c>
      <c r="X711" s="48" t="str">
        <f>IFERROR(IF(LayTable[[#This Row],[Total inns]]="","",LayTable[[#This Row],[Rlay]]/LayTable[[#This Row],[Total inns]]),"")</f>
        <v/>
      </c>
      <c r="Y711" s="48" t="str">
        <f>IFERROR(LayTable[[#This Row],[Faktisk res]]/LayTable[[#This Row],[Total inns]],"")</f>
        <v/>
      </c>
      <c r="Z711" s="47">
        <f>(LayTable[[#This Row],[BookieInnsats]]*LayTable[[#This Row],[BookieOdds]]-LayTable[[#This Row],[BookieInnsats]])*(1-LayTable[[#This Row],[C% Bookie]])</f>
        <v>0</v>
      </c>
      <c r="AA711" s="43">
        <f>LayTable[[#This Row],[LayInnsats]]*(1-LayTable[[#This Row],[C% Lay]])</f>
        <v>0</v>
      </c>
      <c r="AB711" s="43" t="str">
        <f>IFERROR(IF(LayTable[[#This Row],[Sport]]="",AB710,LayTable[[#This Row],[Faktisk res]]+AB710),"")</f>
        <v/>
      </c>
      <c r="AC711" s="43">
        <f>(LayTable[[#This Row],[BackWin-Commission]]+LayTable[[#This Row],[BookieInnsats]])</f>
        <v>0</v>
      </c>
      <c r="AD711" s="43" t="e">
        <f>(LayTable[[#This Row],[LayWin-Commission]])+LayTable[[#This Row],[LayLiability]]</f>
        <v>#VALUE!</v>
      </c>
      <c r="AE711" s="319"/>
      <c r="AF711" s="309"/>
    </row>
    <row r="712" spans="1:32">
      <c r="A712" s="84"/>
      <c r="B712" s="39"/>
      <c r="C712" s="40"/>
      <c r="D712" s="41"/>
      <c r="E712" s="40"/>
      <c r="F712" s="41"/>
      <c r="G712" s="183"/>
      <c r="H712" s="38"/>
      <c r="I712" s="42"/>
      <c r="J712" s="42"/>
      <c r="K712" s="43"/>
      <c r="L712" s="43"/>
      <c r="M712" s="44" t="str">
        <f>IF(LayTable[[#This Row],[Sport]]="","",LayTable[[#This Row],[LayInnsats]]*(LayTable[[#This Row],[LayOdds]]-1))</f>
        <v/>
      </c>
      <c r="N712" s="45" t="str">
        <f>IF(LayTable[[#This Row],[Sport]]="","",1/((1/LayTable[[#This Row],[BookieOdds]])+(1/((1/((1+((LayTable[[#This Row],[LayOdds]]-1)*(1+LayTable[[#This Row],[C% Lay]])))-1))+1)))-1)</f>
        <v/>
      </c>
      <c r="Q712" s="46" t="str">
        <f>IF(LayTable[[#This Row],[Sport]]="","",LayTable[[#This Row],[BookieInnsats]]+LayTable[[#This Row],[LayLiability]])</f>
        <v/>
      </c>
      <c r="R7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2" s="47" t="str">
        <f>IF(LayTable[[#This Row],[Utfall bookie]]="","",LayTable[[#This Row],[WBABack]]+LayTable[[#This Row],[WBALay]]-LayTable[[#This Row],[Total inns]])</f>
        <v/>
      </c>
      <c r="U7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2" s="48" t="str">
        <f>IFERROR(IF(LayTable[[#This Row],[Total inns]]="","",LayTable[[#This Row],[Rback]]/LayTable[[#This Row],[Total inns]]),"")</f>
        <v/>
      </c>
      <c r="X712" s="48" t="str">
        <f>IFERROR(IF(LayTable[[#This Row],[Total inns]]="","",LayTable[[#This Row],[Rlay]]/LayTable[[#This Row],[Total inns]]),"")</f>
        <v/>
      </c>
      <c r="Y712" s="48" t="str">
        <f>IFERROR(LayTable[[#This Row],[Faktisk res]]/LayTable[[#This Row],[Total inns]],"")</f>
        <v/>
      </c>
      <c r="Z712" s="47">
        <f>(LayTable[[#This Row],[BookieInnsats]]*LayTable[[#This Row],[BookieOdds]]-LayTable[[#This Row],[BookieInnsats]])*(1-LayTable[[#This Row],[C% Bookie]])</f>
        <v>0</v>
      </c>
      <c r="AA712" s="43">
        <f>LayTable[[#This Row],[LayInnsats]]*(1-LayTable[[#This Row],[C% Lay]])</f>
        <v>0</v>
      </c>
      <c r="AB712" s="43" t="str">
        <f>IFERROR(IF(LayTable[[#This Row],[Sport]]="",AB711,LayTable[[#This Row],[Faktisk res]]+AB711),"")</f>
        <v/>
      </c>
      <c r="AC712" s="43">
        <f>(LayTable[[#This Row],[BackWin-Commission]]+LayTable[[#This Row],[BookieInnsats]])</f>
        <v>0</v>
      </c>
      <c r="AD712" s="43" t="e">
        <f>(LayTable[[#This Row],[LayWin-Commission]])+LayTable[[#This Row],[LayLiability]]</f>
        <v>#VALUE!</v>
      </c>
      <c r="AE712" s="319"/>
      <c r="AF712" s="309"/>
    </row>
    <row r="713" spans="1:32">
      <c r="A713" s="84"/>
      <c r="B713" s="39"/>
      <c r="C713" s="40"/>
      <c r="D713" s="41"/>
      <c r="E713" s="40"/>
      <c r="F713" s="41"/>
      <c r="G713" s="183"/>
      <c r="H713" s="38"/>
      <c r="I713" s="42"/>
      <c r="J713" s="42"/>
      <c r="K713" s="43"/>
      <c r="L713" s="43"/>
      <c r="M713" s="44" t="str">
        <f>IF(LayTable[[#This Row],[Sport]]="","",LayTable[[#This Row],[LayInnsats]]*(LayTable[[#This Row],[LayOdds]]-1))</f>
        <v/>
      </c>
      <c r="N713" s="45" t="str">
        <f>IF(LayTable[[#This Row],[Sport]]="","",1/((1/LayTable[[#This Row],[BookieOdds]])+(1/((1/((1+((LayTable[[#This Row],[LayOdds]]-1)*(1+LayTable[[#This Row],[C% Lay]])))-1))+1)))-1)</f>
        <v/>
      </c>
      <c r="Q713" s="46" t="str">
        <f>IF(LayTable[[#This Row],[Sport]]="","",LayTable[[#This Row],[BookieInnsats]]+LayTable[[#This Row],[LayLiability]])</f>
        <v/>
      </c>
      <c r="R7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3" s="47" t="str">
        <f>IF(LayTable[[#This Row],[Utfall bookie]]="","",LayTable[[#This Row],[WBABack]]+LayTable[[#This Row],[WBALay]]-LayTable[[#This Row],[Total inns]])</f>
        <v/>
      </c>
      <c r="U7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3" s="48" t="str">
        <f>IFERROR(IF(LayTable[[#This Row],[Total inns]]="","",LayTable[[#This Row],[Rback]]/LayTable[[#This Row],[Total inns]]),"")</f>
        <v/>
      </c>
      <c r="X713" s="48" t="str">
        <f>IFERROR(IF(LayTable[[#This Row],[Total inns]]="","",LayTable[[#This Row],[Rlay]]/LayTable[[#This Row],[Total inns]]),"")</f>
        <v/>
      </c>
      <c r="Y713" s="48" t="str">
        <f>IFERROR(LayTable[[#This Row],[Faktisk res]]/LayTable[[#This Row],[Total inns]],"")</f>
        <v/>
      </c>
      <c r="Z713" s="47">
        <f>(LayTable[[#This Row],[BookieInnsats]]*LayTable[[#This Row],[BookieOdds]]-LayTable[[#This Row],[BookieInnsats]])*(1-LayTable[[#This Row],[C% Bookie]])</f>
        <v>0</v>
      </c>
      <c r="AA713" s="43">
        <f>LayTable[[#This Row],[LayInnsats]]*(1-LayTable[[#This Row],[C% Lay]])</f>
        <v>0</v>
      </c>
      <c r="AB713" s="43" t="str">
        <f>IFERROR(IF(LayTable[[#This Row],[Sport]]="",AB712,LayTable[[#This Row],[Faktisk res]]+AB712),"")</f>
        <v/>
      </c>
      <c r="AC713" s="43">
        <f>(LayTable[[#This Row],[BackWin-Commission]]+LayTable[[#This Row],[BookieInnsats]])</f>
        <v>0</v>
      </c>
      <c r="AD713" s="43" t="e">
        <f>(LayTable[[#This Row],[LayWin-Commission]])+LayTable[[#This Row],[LayLiability]]</f>
        <v>#VALUE!</v>
      </c>
      <c r="AE713" s="181"/>
      <c r="AF713" s="309"/>
    </row>
    <row r="714" spans="1:32">
      <c r="A714" s="84"/>
      <c r="B714" s="39"/>
      <c r="C714" s="40"/>
      <c r="D714" s="41"/>
      <c r="E714" s="40"/>
      <c r="F714" s="41"/>
      <c r="G714" s="183"/>
      <c r="H714" s="38"/>
      <c r="I714" s="42"/>
      <c r="J714" s="42"/>
      <c r="K714" s="43"/>
      <c r="L714" s="43"/>
      <c r="M714" s="44" t="str">
        <f>IF(LayTable[[#This Row],[Sport]]="","",LayTable[[#This Row],[LayInnsats]]*(LayTable[[#This Row],[LayOdds]]-1))</f>
        <v/>
      </c>
      <c r="N714" s="45" t="str">
        <f>IF(LayTable[[#This Row],[Sport]]="","",1/((1/LayTable[[#This Row],[BookieOdds]])+(1/((1/((1+((LayTable[[#This Row],[LayOdds]]-1)*(1+LayTable[[#This Row],[C% Lay]])))-1))+1)))-1)</f>
        <v/>
      </c>
      <c r="Q714" s="46" t="str">
        <f>IF(LayTable[[#This Row],[Sport]]="","",LayTable[[#This Row],[BookieInnsats]]+LayTable[[#This Row],[LayLiability]])</f>
        <v/>
      </c>
      <c r="R7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4" s="47" t="str">
        <f>IF(LayTable[[#This Row],[Utfall bookie]]="","",LayTable[[#This Row],[WBABack]]+LayTable[[#This Row],[WBALay]]-LayTable[[#This Row],[Total inns]])</f>
        <v/>
      </c>
      <c r="U7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4" s="48" t="str">
        <f>IFERROR(IF(LayTable[[#This Row],[Total inns]]="","",LayTable[[#This Row],[Rback]]/LayTable[[#This Row],[Total inns]]),"")</f>
        <v/>
      </c>
      <c r="X714" s="48" t="str">
        <f>IFERROR(IF(LayTable[[#This Row],[Total inns]]="","",LayTable[[#This Row],[Rlay]]/LayTable[[#This Row],[Total inns]]),"")</f>
        <v/>
      </c>
      <c r="Y714" s="48" t="str">
        <f>IFERROR(LayTable[[#This Row],[Faktisk res]]/LayTable[[#This Row],[Total inns]],"")</f>
        <v/>
      </c>
      <c r="Z714" s="47">
        <f>(LayTable[[#This Row],[BookieInnsats]]*LayTable[[#This Row],[BookieOdds]]-LayTable[[#This Row],[BookieInnsats]])*(1-LayTable[[#This Row],[C% Bookie]])</f>
        <v>0</v>
      </c>
      <c r="AA714" s="43">
        <f>LayTable[[#This Row],[LayInnsats]]*(1-LayTable[[#This Row],[C% Lay]])</f>
        <v>0</v>
      </c>
      <c r="AB714" s="43" t="str">
        <f>IFERROR(IF(LayTable[[#This Row],[Sport]]="",#REF!,LayTable[[#This Row],[Faktisk res]]+#REF!),"")</f>
        <v/>
      </c>
      <c r="AC714" s="43">
        <f>(LayTable[[#This Row],[BackWin-Commission]]+LayTable[[#This Row],[BookieInnsats]])</f>
        <v>0</v>
      </c>
      <c r="AD714" s="43" t="e">
        <f>(LayTable[[#This Row],[LayWin-Commission]])+LayTable[[#This Row],[LayLiability]]</f>
        <v>#VALUE!</v>
      </c>
      <c r="AE714" s="181"/>
      <c r="AF714" s="181"/>
    </row>
    <row r="715" spans="1:32">
      <c r="A715" s="84"/>
      <c r="B715" s="39"/>
      <c r="C715" s="40"/>
      <c r="D715" s="41"/>
      <c r="E715" s="40"/>
      <c r="F715" s="41"/>
      <c r="G715" s="183"/>
      <c r="H715" s="38"/>
      <c r="I715" s="42"/>
      <c r="J715" s="42"/>
      <c r="K715" s="43"/>
      <c r="L715" s="43"/>
      <c r="M715" s="44" t="str">
        <f>IF(LayTable[[#This Row],[Sport]]="","",LayTable[[#This Row],[LayInnsats]]*(LayTable[[#This Row],[LayOdds]]-1))</f>
        <v/>
      </c>
      <c r="N715" s="45" t="str">
        <f>IF(LayTable[[#This Row],[Sport]]="","",1/((1/LayTable[[#This Row],[BookieOdds]])+(1/((1/((1+((LayTable[[#This Row],[LayOdds]]-1)*(1+LayTable[[#This Row],[C% Lay]])))-1))+1)))-1)</f>
        <v/>
      </c>
      <c r="Q715" s="46" t="str">
        <f>IF(LayTable[[#This Row],[Sport]]="","",LayTable[[#This Row],[BookieInnsats]]+LayTable[[#This Row],[LayLiability]])</f>
        <v/>
      </c>
      <c r="R7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5" s="47" t="str">
        <f>IF(LayTable[[#This Row],[Utfall bookie]]="","",LayTable[[#This Row],[WBABack]]+LayTable[[#This Row],[WBALay]]-LayTable[[#This Row],[Total inns]])</f>
        <v/>
      </c>
      <c r="U7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5" s="48" t="str">
        <f>IFERROR(IF(LayTable[[#This Row],[Total inns]]="","",LayTable[[#This Row],[Rback]]/LayTable[[#This Row],[Total inns]]),"")</f>
        <v/>
      </c>
      <c r="X715" s="48" t="str">
        <f>IFERROR(IF(LayTable[[#This Row],[Total inns]]="","",LayTable[[#This Row],[Rlay]]/LayTable[[#This Row],[Total inns]]),"")</f>
        <v/>
      </c>
      <c r="Y715" s="48" t="str">
        <f>IFERROR(LayTable[[#This Row],[Faktisk res]]/LayTable[[#This Row],[Total inns]],"")</f>
        <v/>
      </c>
      <c r="Z715" s="47">
        <f>(LayTable[[#This Row],[BookieInnsats]]*LayTable[[#This Row],[BookieOdds]]-LayTable[[#This Row],[BookieInnsats]])*(1-LayTable[[#This Row],[C% Bookie]])</f>
        <v>0</v>
      </c>
      <c r="AA715" s="43">
        <f>LayTable[[#This Row],[LayInnsats]]*(1-LayTable[[#This Row],[C% Lay]])</f>
        <v>0</v>
      </c>
      <c r="AB715" s="43" t="str">
        <f>IFERROR(IF(LayTable[[#This Row],[Sport]]="",AB714,LayTable[[#This Row],[Faktisk res]]+AB714),"")</f>
        <v/>
      </c>
      <c r="AC715" s="43">
        <f>(LayTable[[#This Row],[BackWin-Commission]]+LayTable[[#This Row],[BookieInnsats]])</f>
        <v>0</v>
      </c>
      <c r="AD715" s="43" t="e">
        <f>(LayTable[[#This Row],[LayWin-Commission]])+LayTable[[#This Row],[LayLiability]]</f>
        <v>#VALUE!</v>
      </c>
      <c r="AE715" s="319"/>
      <c r="AF715" s="181"/>
    </row>
    <row r="716" spans="1:32">
      <c r="A716" s="84"/>
      <c r="B716" s="39"/>
      <c r="C716" s="40"/>
      <c r="D716" s="41"/>
      <c r="E716" s="40"/>
      <c r="F716" s="41"/>
      <c r="G716" s="183"/>
      <c r="H716" s="38"/>
      <c r="I716" s="42"/>
      <c r="J716" s="42"/>
      <c r="K716" s="43"/>
      <c r="L716" s="43"/>
      <c r="M716" s="44" t="str">
        <f>IF(LayTable[[#This Row],[Sport]]="","",LayTable[[#This Row],[LayInnsats]]*(LayTable[[#This Row],[LayOdds]]-1))</f>
        <v/>
      </c>
      <c r="N716" s="45" t="str">
        <f>IF(LayTable[[#This Row],[Sport]]="","",1/((1/LayTable[[#This Row],[BookieOdds]])+(1/((1/((1+((LayTable[[#This Row],[LayOdds]]-1)*(1+LayTable[[#This Row],[C% Lay]])))-1))+1)))-1)</f>
        <v/>
      </c>
      <c r="Q716" s="46" t="str">
        <f>IF(LayTable[[#This Row],[Sport]]="","",LayTable[[#This Row],[BookieInnsats]]+LayTable[[#This Row],[LayLiability]])</f>
        <v/>
      </c>
      <c r="R7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6" s="47" t="str">
        <f>IF(LayTable[[#This Row],[Utfall bookie]]="","",LayTable[[#This Row],[WBABack]]+LayTable[[#This Row],[WBALay]]-LayTable[[#This Row],[Total inns]])</f>
        <v/>
      </c>
      <c r="U7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6" s="48" t="str">
        <f>IFERROR(IF(LayTable[[#This Row],[Total inns]]="","",LayTable[[#This Row],[Rback]]/LayTable[[#This Row],[Total inns]]),"")</f>
        <v/>
      </c>
      <c r="X716" s="48" t="str">
        <f>IFERROR(IF(LayTable[[#This Row],[Total inns]]="","",LayTable[[#This Row],[Rlay]]/LayTable[[#This Row],[Total inns]]),"")</f>
        <v/>
      </c>
      <c r="Y716" s="48" t="str">
        <f>IFERROR(LayTable[[#This Row],[Faktisk res]]/LayTable[[#This Row],[Total inns]],"")</f>
        <v/>
      </c>
      <c r="Z716" s="47">
        <f>(LayTable[[#This Row],[BookieInnsats]]*LayTable[[#This Row],[BookieOdds]]-LayTable[[#This Row],[BookieInnsats]])*(1-LayTable[[#This Row],[C% Bookie]])</f>
        <v>0</v>
      </c>
      <c r="AA716" s="43">
        <f>LayTable[[#This Row],[LayInnsats]]*(1-LayTable[[#This Row],[C% Lay]])</f>
        <v>0</v>
      </c>
      <c r="AB716" s="43" t="str">
        <f>IFERROR(IF(LayTable[[#This Row],[Sport]]="",AB715,LayTable[[#This Row],[Faktisk res]]+AB715),"")</f>
        <v/>
      </c>
      <c r="AC716" s="43">
        <f>(LayTable[[#This Row],[BackWin-Commission]]+LayTable[[#This Row],[BookieInnsats]])</f>
        <v>0</v>
      </c>
      <c r="AD716" s="43" t="e">
        <f>(LayTable[[#This Row],[LayWin-Commission]])+LayTable[[#This Row],[LayLiability]]</f>
        <v>#VALUE!</v>
      </c>
      <c r="AE716" s="319"/>
      <c r="AF716" s="269"/>
    </row>
    <row r="717" spans="1:32">
      <c r="A717" s="84"/>
      <c r="B717" s="39"/>
      <c r="C717" s="40"/>
      <c r="D717" s="41"/>
      <c r="E717" s="40"/>
      <c r="F717" s="41"/>
      <c r="G717" s="183"/>
      <c r="H717" s="38"/>
      <c r="I717" s="42"/>
      <c r="J717" s="42"/>
      <c r="K717" s="43"/>
      <c r="L717" s="43"/>
      <c r="M717" s="44" t="str">
        <f>IF(LayTable[[#This Row],[Sport]]="","",LayTable[[#This Row],[LayInnsats]]*(LayTable[[#This Row],[LayOdds]]-1))</f>
        <v/>
      </c>
      <c r="N717" s="45" t="str">
        <f>IF(LayTable[[#This Row],[Sport]]="","",1/((1/LayTable[[#This Row],[BookieOdds]])+(1/((1/((1+((LayTable[[#This Row],[LayOdds]]-1)*(1+LayTable[[#This Row],[C% Lay]])))-1))+1)))-1)</f>
        <v/>
      </c>
      <c r="Q717" s="46" t="str">
        <f>IF(LayTable[[#This Row],[Sport]]="","",LayTable[[#This Row],[BookieInnsats]]+LayTable[[#This Row],[LayLiability]])</f>
        <v/>
      </c>
      <c r="R7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7" s="47" t="str">
        <f>IF(LayTable[[#This Row],[Utfall bookie]]="","",LayTable[[#This Row],[WBABack]]+LayTable[[#This Row],[WBALay]]-LayTable[[#This Row],[Total inns]])</f>
        <v/>
      </c>
      <c r="U7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7" s="48" t="str">
        <f>IFERROR(IF(LayTable[[#This Row],[Total inns]]="","",LayTable[[#This Row],[Rback]]/LayTable[[#This Row],[Total inns]]),"")</f>
        <v/>
      </c>
      <c r="X717" s="48" t="str">
        <f>IFERROR(IF(LayTable[[#This Row],[Total inns]]="","",LayTable[[#This Row],[Rlay]]/LayTable[[#This Row],[Total inns]]),"")</f>
        <v/>
      </c>
      <c r="Y717" s="48" t="str">
        <f>IFERROR(LayTable[[#This Row],[Faktisk res]]/LayTable[[#This Row],[Total inns]],"")</f>
        <v/>
      </c>
      <c r="Z717" s="47">
        <f>(LayTable[[#This Row],[BookieInnsats]]*LayTable[[#This Row],[BookieOdds]]-LayTable[[#This Row],[BookieInnsats]])*(1-LayTable[[#This Row],[C% Bookie]])</f>
        <v>0</v>
      </c>
      <c r="AA717" s="43">
        <f>LayTable[[#This Row],[LayInnsats]]*(1-LayTable[[#This Row],[C% Lay]])</f>
        <v>0</v>
      </c>
      <c r="AB717" s="43" t="str">
        <f>IFERROR(IF(LayTable[[#This Row],[Sport]]="",AB716,LayTable[[#This Row],[Faktisk res]]+AB716),"")</f>
        <v/>
      </c>
      <c r="AC717" s="43">
        <f>(LayTable[[#This Row],[BackWin-Commission]]+LayTable[[#This Row],[BookieInnsats]])</f>
        <v>0</v>
      </c>
      <c r="AD717" s="43" t="e">
        <f>(LayTable[[#This Row],[LayWin-Commission]])+LayTable[[#This Row],[LayLiability]]</f>
        <v>#VALUE!</v>
      </c>
      <c r="AE717" s="319"/>
      <c r="AF717" s="183"/>
    </row>
    <row r="718" spans="1:32">
      <c r="A718" s="84"/>
      <c r="B718" s="39"/>
      <c r="C718" s="40"/>
      <c r="D718" s="41"/>
      <c r="E718" s="40"/>
      <c r="F718" s="41"/>
      <c r="G718" s="183"/>
      <c r="H718" s="38"/>
      <c r="I718" s="42"/>
      <c r="J718" s="42"/>
      <c r="K718" s="43"/>
      <c r="L718" s="43"/>
      <c r="M718" s="44" t="str">
        <f>IF(LayTable[[#This Row],[Sport]]="","",LayTable[[#This Row],[LayInnsats]]*(LayTable[[#This Row],[LayOdds]]-1))</f>
        <v/>
      </c>
      <c r="N718" s="45" t="str">
        <f>IF(LayTable[[#This Row],[Sport]]="","",1/((1/LayTable[[#This Row],[BookieOdds]])+(1/((1/((1+((LayTable[[#This Row],[LayOdds]]-1)*(1+LayTable[[#This Row],[C% Lay]])))-1))+1)))-1)</f>
        <v/>
      </c>
      <c r="Q718" s="46" t="str">
        <f>IF(LayTable[[#This Row],[Sport]]="","",LayTable[[#This Row],[BookieInnsats]]+LayTable[[#This Row],[LayLiability]])</f>
        <v/>
      </c>
      <c r="R7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8" s="47" t="str">
        <f>IF(LayTable[[#This Row],[Utfall bookie]]="","",LayTable[[#This Row],[WBABack]]+LayTable[[#This Row],[WBALay]]-LayTable[[#This Row],[Total inns]])</f>
        <v/>
      </c>
      <c r="U7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8" s="48" t="str">
        <f>IFERROR(IF(LayTable[[#This Row],[Total inns]]="","",LayTable[[#This Row],[Rback]]/LayTable[[#This Row],[Total inns]]),"")</f>
        <v/>
      </c>
      <c r="X718" s="48" t="str">
        <f>IFERROR(IF(LayTable[[#This Row],[Total inns]]="","",LayTable[[#This Row],[Rlay]]/LayTable[[#This Row],[Total inns]]),"")</f>
        <v/>
      </c>
      <c r="Y718" s="48" t="str">
        <f>IFERROR(LayTable[[#This Row],[Faktisk res]]/LayTable[[#This Row],[Total inns]],"")</f>
        <v/>
      </c>
      <c r="Z718" s="47">
        <f>(LayTable[[#This Row],[BookieInnsats]]*LayTable[[#This Row],[BookieOdds]]-LayTable[[#This Row],[BookieInnsats]])*(1-LayTable[[#This Row],[C% Bookie]])</f>
        <v>0</v>
      </c>
      <c r="AA718" s="43">
        <f>LayTable[[#This Row],[LayInnsats]]*(1-LayTable[[#This Row],[C% Lay]])</f>
        <v>0</v>
      </c>
      <c r="AB718" s="43" t="str">
        <f>IFERROR(IF(LayTable[[#This Row],[Sport]]="",AB717,LayTable[[#This Row],[Faktisk res]]+AB717),"")</f>
        <v/>
      </c>
      <c r="AC718" s="43">
        <f>(LayTable[[#This Row],[BackWin-Commission]]+LayTable[[#This Row],[BookieInnsats]])</f>
        <v>0</v>
      </c>
      <c r="AD718" s="43" t="e">
        <f>(LayTable[[#This Row],[LayWin-Commission]])+LayTable[[#This Row],[LayLiability]]</f>
        <v>#VALUE!</v>
      </c>
      <c r="AE718" s="319"/>
      <c r="AF718" s="183"/>
    </row>
    <row r="719" spans="1:32">
      <c r="A719" s="84"/>
      <c r="B719" s="39"/>
      <c r="C719" s="40"/>
      <c r="D719" s="41"/>
      <c r="E719" s="40"/>
      <c r="F719" s="41"/>
      <c r="G719" s="183"/>
      <c r="H719" s="38"/>
      <c r="I719" s="42"/>
      <c r="J719" s="42"/>
      <c r="K719" s="43"/>
      <c r="L719" s="43"/>
      <c r="M719" s="44" t="str">
        <f>IF(LayTable[[#This Row],[Sport]]="","",LayTable[[#This Row],[LayInnsats]]*(LayTable[[#This Row],[LayOdds]]-1))</f>
        <v/>
      </c>
      <c r="N719" s="45" t="str">
        <f>IF(LayTable[[#This Row],[Sport]]="","",1/((1/LayTable[[#This Row],[BookieOdds]])+(1/((1/((1+((LayTable[[#This Row],[LayOdds]]-1)*(1+LayTable[[#This Row],[C% Lay]])))-1))+1)))-1)</f>
        <v/>
      </c>
      <c r="Q719" s="46" t="str">
        <f>IF(LayTable[[#This Row],[Sport]]="","",LayTable[[#This Row],[BookieInnsats]]+LayTable[[#This Row],[LayLiability]])</f>
        <v/>
      </c>
      <c r="R7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19" s="47" t="str">
        <f>IF(LayTable[[#This Row],[Utfall bookie]]="","",LayTable[[#This Row],[WBABack]]+LayTable[[#This Row],[WBALay]]-LayTable[[#This Row],[Total inns]])</f>
        <v/>
      </c>
      <c r="U7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19" s="48" t="str">
        <f>IFERROR(IF(LayTable[[#This Row],[Total inns]]="","",LayTable[[#This Row],[Rback]]/LayTable[[#This Row],[Total inns]]),"")</f>
        <v/>
      </c>
      <c r="X719" s="48" t="str">
        <f>IFERROR(IF(LayTable[[#This Row],[Total inns]]="","",LayTable[[#This Row],[Rlay]]/LayTable[[#This Row],[Total inns]]),"")</f>
        <v/>
      </c>
      <c r="Y719" s="48" t="str">
        <f>IFERROR(LayTable[[#This Row],[Faktisk res]]/LayTable[[#This Row],[Total inns]],"")</f>
        <v/>
      </c>
      <c r="Z719" s="47">
        <f>(LayTable[[#This Row],[BookieInnsats]]*LayTable[[#This Row],[BookieOdds]]-LayTable[[#This Row],[BookieInnsats]])*(1-LayTable[[#This Row],[C% Bookie]])</f>
        <v>0</v>
      </c>
      <c r="AA719" s="43">
        <f>LayTable[[#This Row],[LayInnsats]]*(1-LayTable[[#This Row],[C% Lay]])</f>
        <v>0</v>
      </c>
      <c r="AB719" s="43" t="str">
        <f>IFERROR(IF(LayTable[[#This Row],[Sport]]="",AB718,LayTable[[#This Row],[Faktisk res]]+AB718),"")</f>
        <v/>
      </c>
      <c r="AC719" s="43">
        <f>(LayTable[[#This Row],[BackWin-Commission]]+LayTable[[#This Row],[BookieInnsats]])</f>
        <v>0</v>
      </c>
      <c r="AD719" s="43" t="e">
        <f>(LayTable[[#This Row],[LayWin-Commission]])+LayTable[[#This Row],[LayLiability]]</f>
        <v>#VALUE!</v>
      </c>
      <c r="AE719" s="319"/>
      <c r="AF719" s="183"/>
    </row>
    <row r="720" spans="1:32">
      <c r="A720" s="84"/>
      <c r="B720" s="39"/>
      <c r="C720" s="40"/>
      <c r="D720" s="41"/>
      <c r="E720" s="40"/>
      <c r="F720" s="41"/>
      <c r="G720" s="183"/>
      <c r="H720" s="38"/>
      <c r="I720" s="42"/>
      <c r="J720" s="42"/>
      <c r="K720" s="43"/>
      <c r="L720" s="43"/>
      <c r="M720" s="44" t="str">
        <f>IF(LayTable[[#This Row],[Sport]]="","",LayTable[[#This Row],[LayInnsats]]*(LayTable[[#This Row],[LayOdds]]-1))</f>
        <v/>
      </c>
      <c r="N720" s="45" t="str">
        <f>IF(LayTable[[#This Row],[Sport]]="","",1/((1/LayTable[[#This Row],[BookieOdds]])+(1/((1/((1+((LayTable[[#This Row],[LayOdds]]-1)*(1+LayTable[[#This Row],[C% Lay]])))-1))+1)))-1)</f>
        <v/>
      </c>
      <c r="Q720" s="46" t="str">
        <f>IF(LayTable[[#This Row],[Sport]]="","",LayTable[[#This Row],[BookieInnsats]]+LayTable[[#This Row],[LayLiability]])</f>
        <v/>
      </c>
      <c r="R7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0" s="47" t="str">
        <f>IF(LayTable[[#This Row],[Utfall bookie]]="","",LayTable[[#This Row],[WBABack]]+LayTable[[#This Row],[WBALay]]-LayTable[[#This Row],[Total inns]])</f>
        <v/>
      </c>
      <c r="U7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0" s="48" t="str">
        <f>IFERROR(IF(LayTable[[#This Row],[Total inns]]="","",LayTable[[#This Row],[Rback]]/LayTable[[#This Row],[Total inns]]),"")</f>
        <v/>
      </c>
      <c r="X720" s="48" t="str">
        <f>IFERROR(IF(LayTable[[#This Row],[Total inns]]="","",LayTable[[#This Row],[Rlay]]/LayTable[[#This Row],[Total inns]]),"")</f>
        <v/>
      </c>
      <c r="Y720" s="48" t="str">
        <f>IFERROR(LayTable[[#This Row],[Faktisk res]]/LayTable[[#This Row],[Total inns]],"")</f>
        <v/>
      </c>
      <c r="Z720" s="47">
        <f>(LayTable[[#This Row],[BookieInnsats]]*LayTable[[#This Row],[BookieOdds]]-LayTable[[#This Row],[BookieInnsats]])*(1-LayTable[[#This Row],[C% Bookie]])</f>
        <v>0</v>
      </c>
      <c r="AA720" s="43">
        <f>LayTable[[#This Row],[LayInnsats]]*(1-LayTable[[#This Row],[C% Lay]])</f>
        <v>0</v>
      </c>
      <c r="AB720" s="43" t="str">
        <f>IFERROR(IF(LayTable[[#This Row],[Sport]]="",AB719,LayTable[[#This Row],[Faktisk res]]+AB719),"")</f>
        <v/>
      </c>
      <c r="AC720" s="43">
        <f>(LayTable[[#This Row],[BackWin-Commission]]+LayTable[[#This Row],[BookieInnsats]])</f>
        <v>0</v>
      </c>
      <c r="AD720" s="43" t="e">
        <f>(LayTable[[#This Row],[LayWin-Commission]])+LayTable[[#This Row],[LayLiability]]</f>
        <v>#VALUE!</v>
      </c>
      <c r="AE720" s="319"/>
      <c r="AF720" s="183"/>
    </row>
    <row r="721" spans="1:32">
      <c r="A721" s="84"/>
      <c r="B721" s="39"/>
      <c r="C721" s="40"/>
      <c r="D721" s="41"/>
      <c r="E721" s="40"/>
      <c r="F721" s="41"/>
      <c r="G721" s="183"/>
      <c r="H721" s="38"/>
      <c r="I721" s="42"/>
      <c r="J721" s="42"/>
      <c r="K721" s="43"/>
      <c r="L721" s="43"/>
      <c r="M721" s="44" t="str">
        <f>IF(LayTable[[#This Row],[Sport]]="","",LayTable[[#This Row],[LayInnsats]]*(LayTable[[#This Row],[LayOdds]]-1))</f>
        <v/>
      </c>
      <c r="N721" s="45" t="str">
        <f>IF(LayTable[[#This Row],[Sport]]="","",1/((1/LayTable[[#This Row],[BookieOdds]])+(1/((1/((1+((LayTable[[#This Row],[LayOdds]]-1)*(1+LayTable[[#This Row],[C% Lay]])))-1))+1)))-1)</f>
        <v/>
      </c>
      <c r="Q721" s="46" t="str">
        <f>IF(LayTable[[#This Row],[Sport]]="","",LayTable[[#This Row],[BookieInnsats]]+LayTable[[#This Row],[LayLiability]])</f>
        <v/>
      </c>
      <c r="R7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1" s="47" t="str">
        <f>IF(LayTable[[#This Row],[Utfall bookie]]="","",LayTable[[#This Row],[WBABack]]+LayTable[[#This Row],[WBALay]]-LayTable[[#This Row],[Total inns]])</f>
        <v/>
      </c>
      <c r="U7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1" s="48" t="str">
        <f>IFERROR(IF(LayTable[[#This Row],[Total inns]]="","",LayTable[[#This Row],[Rback]]/LayTable[[#This Row],[Total inns]]),"")</f>
        <v/>
      </c>
      <c r="X721" s="48" t="str">
        <f>IFERROR(IF(LayTable[[#This Row],[Total inns]]="","",LayTable[[#This Row],[Rlay]]/LayTable[[#This Row],[Total inns]]),"")</f>
        <v/>
      </c>
      <c r="Y721" s="48" t="str">
        <f>IFERROR(LayTable[[#This Row],[Faktisk res]]/LayTable[[#This Row],[Total inns]],"")</f>
        <v/>
      </c>
      <c r="Z721" s="47">
        <f>(LayTable[[#This Row],[BookieInnsats]]*LayTable[[#This Row],[BookieOdds]]-LayTable[[#This Row],[BookieInnsats]])*(1-LayTable[[#This Row],[C% Bookie]])</f>
        <v>0</v>
      </c>
      <c r="AA721" s="43">
        <f>LayTable[[#This Row],[LayInnsats]]*(1-LayTable[[#This Row],[C% Lay]])</f>
        <v>0</v>
      </c>
      <c r="AB721" s="43" t="str">
        <f>IFERROR(IF(LayTable[[#This Row],[Sport]]="",AB720,LayTable[[#This Row],[Faktisk res]]+AB720),"")</f>
        <v/>
      </c>
      <c r="AC721" s="43">
        <f>(LayTable[[#This Row],[BackWin-Commission]]+LayTable[[#This Row],[BookieInnsats]])</f>
        <v>0</v>
      </c>
      <c r="AD721" s="43" t="e">
        <f>(LayTable[[#This Row],[LayWin-Commission]])+LayTable[[#This Row],[LayLiability]]</f>
        <v>#VALUE!</v>
      </c>
      <c r="AE721" s="319"/>
      <c r="AF721" s="303"/>
    </row>
    <row r="722" spans="1:32">
      <c r="A722" s="84"/>
      <c r="B722" s="39"/>
      <c r="C722" s="40"/>
      <c r="D722" s="41"/>
      <c r="E722" s="40"/>
      <c r="F722" s="41"/>
      <c r="G722" s="183"/>
      <c r="H722" s="38"/>
      <c r="I722" s="42"/>
      <c r="J722" s="42"/>
      <c r="K722" s="43"/>
      <c r="L722" s="43"/>
      <c r="M722" s="44" t="str">
        <f>IF(LayTable[[#This Row],[Sport]]="","",LayTable[[#This Row],[LayInnsats]]*(LayTable[[#This Row],[LayOdds]]-1))</f>
        <v/>
      </c>
      <c r="N722" s="45" t="str">
        <f>IF(LayTable[[#This Row],[Sport]]="","",1/((1/LayTable[[#This Row],[BookieOdds]])+(1/((1/((1+((LayTable[[#This Row],[LayOdds]]-1)*(1+LayTable[[#This Row],[C% Lay]])))-1))+1)))-1)</f>
        <v/>
      </c>
      <c r="Q722" s="46" t="str">
        <f>IF(LayTable[[#This Row],[Sport]]="","",LayTable[[#This Row],[BookieInnsats]]+LayTable[[#This Row],[LayLiability]])</f>
        <v/>
      </c>
      <c r="R7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2" s="47" t="str">
        <f>IF(LayTable[[#This Row],[Utfall bookie]]="","",LayTable[[#This Row],[WBABack]]+LayTable[[#This Row],[WBALay]]-LayTable[[#This Row],[Total inns]])</f>
        <v/>
      </c>
      <c r="U7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2" s="48" t="str">
        <f>IFERROR(IF(LayTable[[#This Row],[Total inns]]="","",LayTable[[#This Row],[Rback]]/LayTable[[#This Row],[Total inns]]),"")</f>
        <v/>
      </c>
      <c r="X722" s="48" t="str">
        <f>IFERROR(IF(LayTable[[#This Row],[Total inns]]="","",LayTable[[#This Row],[Rlay]]/LayTable[[#This Row],[Total inns]]),"")</f>
        <v/>
      </c>
      <c r="Y722" s="48" t="str">
        <f>IFERROR(LayTable[[#This Row],[Faktisk res]]/LayTable[[#This Row],[Total inns]],"")</f>
        <v/>
      </c>
      <c r="Z722" s="47">
        <f>(LayTable[[#This Row],[BookieInnsats]]*LayTable[[#This Row],[BookieOdds]]-LayTable[[#This Row],[BookieInnsats]])*(1-LayTable[[#This Row],[C% Bookie]])</f>
        <v>0</v>
      </c>
      <c r="AA722" s="43">
        <f>LayTable[[#This Row],[LayInnsats]]*(1-LayTable[[#This Row],[C% Lay]])</f>
        <v>0</v>
      </c>
      <c r="AB722" s="43" t="str">
        <f>IFERROR(IF(LayTable[[#This Row],[Sport]]="",AB721,LayTable[[#This Row],[Faktisk res]]+AB721),"")</f>
        <v/>
      </c>
      <c r="AC722" s="43">
        <f>(LayTable[[#This Row],[BackWin-Commission]]+LayTable[[#This Row],[BookieInnsats]])</f>
        <v>0</v>
      </c>
      <c r="AD722" s="43" t="e">
        <f>(LayTable[[#This Row],[LayWin-Commission]])+LayTable[[#This Row],[LayLiability]]</f>
        <v>#VALUE!</v>
      </c>
      <c r="AE722" s="319"/>
      <c r="AF722" s="303"/>
    </row>
    <row r="723" spans="1:32">
      <c r="A723" s="84"/>
      <c r="B723" s="39"/>
      <c r="C723" s="40"/>
      <c r="D723" s="41"/>
      <c r="E723" s="40"/>
      <c r="F723" s="41"/>
      <c r="G723" s="183"/>
      <c r="H723" s="38"/>
      <c r="I723" s="42"/>
      <c r="J723" s="42"/>
      <c r="K723" s="43"/>
      <c r="L723" s="43"/>
      <c r="M723" s="44" t="str">
        <f>IF(LayTable[[#This Row],[Sport]]="","",LayTable[[#This Row],[LayInnsats]]*(LayTable[[#This Row],[LayOdds]]-1))</f>
        <v/>
      </c>
      <c r="N723" s="45" t="str">
        <f>IF(LayTable[[#This Row],[Sport]]="","",1/((1/LayTable[[#This Row],[BookieOdds]])+(1/((1/((1+((LayTable[[#This Row],[LayOdds]]-1)*(1+LayTable[[#This Row],[C% Lay]])))-1))+1)))-1)</f>
        <v/>
      </c>
      <c r="Q723" s="46" t="str">
        <f>IF(LayTable[[#This Row],[Sport]]="","",LayTable[[#This Row],[BookieInnsats]]+LayTable[[#This Row],[LayLiability]])</f>
        <v/>
      </c>
      <c r="R7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3" s="47" t="str">
        <f>IF(LayTable[[#This Row],[Utfall bookie]]="","",LayTable[[#This Row],[WBABack]]+LayTable[[#This Row],[WBALay]]-LayTable[[#This Row],[Total inns]])</f>
        <v/>
      </c>
      <c r="U7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3" s="48" t="str">
        <f>IFERROR(IF(LayTable[[#This Row],[Total inns]]="","",LayTable[[#This Row],[Rback]]/LayTable[[#This Row],[Total inns]]),"")</f>
        <v/>
      </c>
      <c r="X723" s="48" t="str">
        <f>IFERROR(IF(LayTable[[#This Row],[Total inns]]="","",LayTable[[#This Row],[Rlay]]/LayTable[[#This Row],[Total inns]]),"")</f>
        <v/>
      </c>
      <c r="Y723" s="48" t="str">
        <f>IFERROR(LayTable[[#This Row],[Faktisk res]]/LayTable[[#This Row],[Total inns]],"")</f>
        <v/>
      </c>
      <c r="Z723" s="47">
        <f>(LayTable[[#This Row],[BookieInnsats]]*LayTable[[#This Row],[BookieOdds]]-LayTable[[#This Row],[BookieInnsats]])*(1-LayTable[[#This Row],[C% Bookie]])</f>
        <v>0</v>
      </c>
      <c r="AA723" s="43">
        <f>LayTable[[#This Row],[LayInnsats]]*(1-LayTable[[#This Row],[C% Lay]])</f>
        <v>0</v>
      </c>
      <c r="AB723" s="43" t="str">
        <f>IFERROR(IF(LayTable[[#This Row],[Sport]]="",AB722,LayTable[[#This Row],[Faktisk res]]+AB722),"")</f>
        <v/>
      </c>
      <c r="AC723" s="43">
        <f>(LayTable[[#This Row],[BackWin-Commission]]+LayTable[[#This Row],[BookieInnsats]])</f>
        <v>0</v>
      </c>
      <c r="AD723" s="43" t="e">
        <f>(LayTable[[#This Row],[LayWin-Commission]])+LayTable[[#This Row],[LayLiability]]</f>
        <v>#VALUE!</v>
      </c>
      <c r="AE723" s="319"/>
      <c r="AF723" s="303"/>
    </row>
    <row r="724" spans="1:32">
      <c r="A724" s="84"/>
      <c r="B724" s="39"/>
      <c r="C724" s="40"/>
      <c r="D724" s="41"/>
      <c r="E724" s="40"/>
      <c r="F724" s="41"/>
      <c r="G724" s="183"/>
      <c r="H724" s="38"/>
      <c r="I724" s="42"/>
      <c r="J724" s="42"/>
      <c r="K724" s="43"/>
      <c r="L724" s="43"/>
      <c r="M724" s="44" t="str">
        <f>IF(LayTable[[#This Row],[Sport]]="","",LayTable[[#This Row],[LayInnsats]]*(LayTable[[#This Row],[LayOdds]]-1))</f>
        <v/>
      </c>
      <c r="N724" s="45" t="str">
        <f>IF(LayTable[[#This Row],[Sport]]="","",1/((1/LayTable[[#This Row],[BookieOdds]])+(1/((1/((1+((LayTable[[#This Row],[LayOdds]]-1)*(1+LayTable[[#This Row],[C% Lay]])))-1))+1)))-1)</f>
        <v/>
      </c>
      <c r="Q724" s="46" t="str">
        <f>IF(LayTable[[#This Row],[Sport]]="","",LayTable[[#This Row],[BookieInnsats]]+LayTable[[#This Row],[LayLiability]])</f>
        <v/>
      </c>
      <c r="R7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4" s="47" t="str">
        <f>IF(LayTable[[#This Row],[Utfall bookie]]="","",LayTable[[#This Row],[WBABack]]+LayTable[[#This Row],[WBALay]]-LayTable[[#This Row],[Total inns]])</f>
        <v/>
      </c>
      <c r="U7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4" s="48" t="str">
        <f>IFERROR(IF(LayTable[[#This Row],[Total inns]]="","",LayTable[[#This Row],[Rback]]/LayTable[[#This Row],[Total inns]]),"")</f>
        <v/>
      </c>
      <c r="X724" s="48" t="str">
        <f>IFERROR(IF(LayTable[[#This Row],[Total inns]]="","",LayTable[[#This Row],[Rlay]]/LayTable[[#This Row],[Total inns]]),"")</f>
        <v/>
      </c>
      <c r="Y724" s="48" t="str">
        <f>IFERROR(LayTable[[#This Row],[Faktisk res]]/LayTable[[#This Row],[Total inns]],"")</f>
        <v/>
      </c>
      <c r="Z724" s="47">
        <f>(LayTable[[#This Row],[BookieInnsats]]*LayTable[[#This Row],[BookieOdds]]-LayTable[[#This Row],[BookieInnsats]])*(1-LayTable[[#This Row],[C% Bookie]])</f>
        <v>0</v>
      </c>
      <c r="AA724" s="43">
        <f>LayTable[[#This Row],[LayInnsats]]*(1-LayTable[[#This Row],[C% Lay]])</f>
        <v>0</v>
      </c>
      <c r="AB724" s="43" t="str">
        <f>IFERROR(IF(LayTable[[#This Row],[Sport]]="",AB723,LayTable[[#This Row],[Faktisk res]]+AB723),"")</f>
        <v/>
      </c>
      <c r="AC724" s="43">
        <f>(LayTable[[#This Row],[BackWin-Commission]]+LayTable[[#This Row],[BookieInnsats]])</f>
        <v>0</v>
      </c>
      <c r="AD724" s="43" t="e">
        <f>(LayTable[[#This Row],[LayWin-Commission]])+LayTable[[#This Row],[LayLiability]]</f>
        <v>#VALUE!</v>
      </c>
      <c r="AE724" s="319"/>
      <c r="AF724" s="303"/>
    </row>
    <row r="725" spans="1:32">
      <c r="A725" s="84"/>
      <c r="B725" s="39"/>
      <c r="C725" s="40"/>
      <c r="D725" s="41"/>
      <c r="E725" s="40"/>
      <c r="F725" s="41"/>
      <c r="G725" s="183"/>
      <c r="H725" s="38"/>
      <c r="I725" s="42"/>
      <c r="J725" s="42"/>
      <c r="K725" s="43"/>
      <c r="L725" s="43"/>
      <c r="M725" s="44" t="str">
        <f>IF(LayTable[[#This Row],[Sport]]="","",LayTable[[#This Row],[LayInnsats]]*(LayTable[[#This Row],[LayOdds]]-1))</f>
        <v/>
      </c>
      <c r="N725" s="45" t="str">
        <f>IF(LayTable[[#This Row],[Sport]]="","",1/((1/LayTable[[#This Row],[BookieOdds]])+(1/((1/((1+((LayTable[[#This Row],[LayOdds]]-1)*(1+LayTable[[#This Row],[C% Lay]])))-1))+1)))-1)</f>
        <v/>
      </c>
      <c r="Q725" s="46" t="str">
        <f>IF(LayTable[[#This Row],[Sport]]="","",LayTable[[#This Row],[BookieInnsats]]+LayTable[[#This Row],[LayLiability]])</f>
        <v/>
      </c>
      <c r="R7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5" s="47" t="str">
        <f>IF(LayTable[[#This Row],[Utfall bookie]]="","",LayTable[[#This Row],[WBABack]]+LayTable[[#This Row],[WBALay]]-LayTable[[#This Row],[Total inns]])</f>
        <v/>
      </c>
      <c r="U7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5" s="48" t="str">
        <f>IFERROR(IF(LayTable[[#This Row],[Total inns]]="","",LayTable[[#This Row],[Rback]]/LayTable[[#This Row],[Total inns]]),"")</f>
        <v/>
      </c>
      <c r="X725" s="48" t="str">
        <f>IFERROR(IF(LayTable[[#This Row],[Total inns]]="","",LayTable[[#This Row],[Rlay]]/LayTable[[#This Row],[Total inns]]),"")</f>
        <v/>
      </c>
      <c r="Y725" s="48" t="str">
        <f>IFERROR(LayTable[[#This Row],[Faktisk res]]/LayTable[[#This Row],[Total inns]],"")</f>
        <v/>
      </c>
      <c r="Z725" s="47">
        <f>(LayTable[[#This Row],[BookieInnsats]]*LayTable[[#This Row],[BookieOdds]]-LayTable[[#This Row],[BookieInnsats]])*(1-LayTable[[#This Row],[C% Bookie]])</f>
        <v>0</v>
      </c>
      <c r="AA725" s="43">
        <f>LayTable[[#This Row],[LayInnsats]]*(1-LayTable[[#This Row],[C% Lay]])</f>
        <v>0</v>
      </c>
      <c r="AB725" s="43" t="str">
        <f>IFERROR(IF(LayTable[[#This Row],[Sport]]="",AB724,LayTable[[#This Row],[Faktisk res]]+AB724),"")</f>
        <v/>
      </c>
      <c r="AC725" s="43">
        <f>(LayTable[[#This Row],[BackWin-Commission]]+LayTable[[#This Row],[BookieInnsats]])</f>
        <v>0</v>
      </c>
      <c r="AD725" s="43" t="e">
        <f>(LayTable[[#This Row],[LayWin-Commission]])+LayTable[[#This Row],[LayLiability]]</f>
        <v>#VALUE!</v>
      </c>
      <c r="AE725" s="319"/>
      <c r="AF725" s="303"/>
    </row>
    <row r="726" spans="1:32">
      <c r="A726" s="84"/>
      <c r="B726" s="39"/>
      <c r="C726" s="40"/>
      <c r="D726" s="41"/>
      <c r="E726" s="40"/>
      <c r="F726" s="41"/>
      <c r="G726" s="183"/>
      <c r="H726" s="38"/>
      <c r="I726" s="42"/>
      <c r="J726" s="42"/>
      <c r="K726" s="43"/>
      <c r="L726" s="43"/>
      <c r="M726" s="44" t="str">
        <f>IF(LayTable[[#This Row],[Sport]]="","",LayTable[[#This Row],[LayInnsats]]*(LayTable[[#This Row],[LayOdds]]-1))</f>
        <v/>
      </c>
      <c r="N726" s="45" t="str">
        <f>IF(LayTable[[#This Row],[Sport]]="","",1/((1/LayTable[[#This Row],[BookieOdds]])+(1/((1/((1+((LayTable[[#This Row],[LayOdds]]-1)*(1+LayTable[[#This Row],[C% Lay]])))-1))+1)))-1)</f>
        <v/>
      </c>
      <c r="Q726" s="46" t="str">
        <f>IF(LayTable[[#This Row],[Sport]]="","",LayTable[[#This Row],[BookieInnsats]]+LayTable[[#This Row],[LayLiability]])</f>
        <v/>
      </c>
      <c r="R7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6" s="47" t="str">
        <f>IF(LayTable[[#This Row],[Utfall bookie]]="","",LayTable[[#This Row],[WBABack]]+LayTable[[#This Row],[WBALay]]-LayTable[[#This Row],[Total inns]])</f>
        <v/>
      </c>
      <c r="U7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6" s="48" t="str">
        <f>IFERROR(IF(LayTable[[#This Row],[Total inns]]="","",LayTable[[#This Row],[Rback]]/LayTable[[#This Row],[Total inns]]),"")</f>
        <v/>
      </c>
      <c r="X726" s="48" t="str">
        <f>IFERROR(IF(LayTable[[#This Row],[Total inns]]="","",LayTable[[#This Row],[Rlay]]/LayTable[[#This Row],[Total inns]]),"")</f>
        <v/>
      </c>
      <c r="Y726" s="48" t="str">
        <f>IFERROR(LayTable[[#This Row],[Faktisk res]]/LayTable[[#This Row],[Total inns]],"")</f>
        <v/>
      </c>
      <c r="Z726" s="47">
        <f>(LayTable[[#This Row],[BookieInnsats]]*LayTable[[#This Row],[BookieOdds]]-LayTable[[#This Row],[BookieInnsats]])*(1-LayTable[[#This Row],[C% Bookie]])</f>
        <v>0</v>
      </c>
      <c r="AA726" s="43">
        <f>LayTable[[#This Row],[LayInnsats]]*(1-LayTable[[#This Row],[C% Lay]])</f>
        <v>0</v>
      </c>
      <c r="AB726" s="43" t="str">
        <f>IFERROR(IF(LayTable[[#This Row],[Sport]]="",AB725,LayTable[[#This Row],[Faktisk res]]+AB725),"")</f>
        <v/>
      </c>
      <c r="AC726" s="43">
        <f>(LayTable[[#This Row],[BackWin-Commission]]+LayTable[[#This Row],[BookieInnsats]])</f>
        <v>0</v>
      </c>
      <c r="AD726" s="43" t="e">
        <f>(LayTable[[#This Row],[LayWin-Commission]])+LayTable[[#This Row],[LayLiability]]</f>
        <v>#VALUE!</v>
      </c>
      <c r="AE726" s="319"/>
      <c r="AF726" s="303"/>
    </row>
    <row r="727" spans="1:32">
      <c r="A727" s="84"/>
      <c r="B727" s="39"/>
      <c r="C727" s="40"/>
      <c r="D727" s="41"/>
      <c r="E727" s="40"/>
      <c r="F727" s="41"/>
      <c r="G727" s="183"/>
      <c r="H727" s="38"/>
      <c r="I727" s="42"/>
      <c r="J727" s="42"/>
      <c r="K727" s="43"/>
      <c r="L727" s="43"/>
      <c r="M727" s="44" t="str">
        <f>IF(LayTable[[#This Row],[Sport]]="","",LayTable[[#This Row],[LayInnsats]]*(LayTable[[#This Row],[LayOdds]]-1))</f>
        <v/>
      </c>
      <c r="N727" s="45" t="str">
        <f>IF(LayTable[[#This Row],[Sport]]="","",1/((1/LayTable[[#This Row],[BookieOdds]])+(1/((1/((1+((LayTable[[#This Row],[LayOdds]]-1)*(1+LayTable[[#This Row],[C% Lay]])))-1))+1)))-1)</f>
        <v/>
      </c>
      <c r="Q727" s="46" t="str">
        <f>IF(LayTable[[#This Row],[Sport]]="","",LayTable[[#This Row],[BookieInnsats]]+LayTable[[#This Row],[LayLiability]])</f>
        <v/>
      </c>
      <c r="R7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7" s="47" t="str">
        <f>IF(LayTable[[#This Row],[Utfall bookie]]="","",LayTable[[#This Row],[WBABack]]+LayTable[[#This Row],[WBALay]]-LayTable[[#This Row],[Total inns]])</f>
        <v/>
      </c>
      <c r="U7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7" s="48" t="str">
        <f>IFERROR(IF(LayTable[[#This Row],[Total inns]]="","",LayTable[[#This Row],[Rback]]/LayTable[[#This Row],[Total inns]]),"")</f>
        <v/>
      </c>
      <c r="X727" s="48" t="str">
        <f>IFERROR(IF(LayTable[[#This Row],[Total inns]]="","",LayTable[[#This Row],[Rlay]]/LayTable[[#This Row],[Total inns]]),"")</f>
        <v/>
      </c>
      <c r="Y727" s="48" t="str">
        <f>IFERROR(LayTable[[#This Row],[Faktisk res]]/LayTable[[#This Row],[Total inns]],"")</f>
        <v/>
      </c>
      <c r="Z727" s="47">
        <f>(LayTable[[#This Row],[BookieInnsats]]*LayTable[[#This Row],[BookieOdds]]-LayTable[[#This Row],[BookieInnsats]])*(1-LayTable[[#This Row],[C% Bookie]])</f>
        <v>0</v>
      </c>
      <c r="AA727" s="43">
        <f>LayTable[[#This Row],[LayInnsats]]*(1-LayTable[[#This Row],[C% Lay]])</f>
        <v>0</v>
      </c>
      <c r="AB727" s="43" t="str">
        <f>IFERROR(IF(LayTable[[#This Row],[Sport]]="",AB726,LayTable[[#This Row],[Faktisk res]]+AB726),"")</f>
        <v/>
      </c>
      <c r="AC727" s="43">
        <f>(LayTable[[#This Row],[BackWin-Commission]]+LayTable[[#This Row],[BookieInnsats]])</f>
        <v>0</v>
      </c>
      <c r="AD727" s="43" t="e">
        <f>(LayTable[[#This Row],[LayWin-Commission]])+LayTable[[#This Row],[LayLiability]]</f>
        <v>#VALUE!</v>
      </c>
      <c r="AE727" s="319"/>
      <c r="AF727" s="303"/>
    </row>
    <row r="728" spans="1:32">
      <c r="A728" s="84"/>
      <c r="B728" s="39"/>
      <c r="C728" s="40"/>
      <c r="D728" s="41"/>
      <c r="E728" s="40"/>
      <c r="F728" s="41"/>
      <c r="G728" s="183"/>
      <c r="H728" s="38"/>
      <c r="I728" s="42"/>
      <c r="J728" s="42"/>
      <c r="K728" s="43"/>
      <c r="L728" s="43"/>
      <c r="M728" s="44" t="str">
        <f>IF(LayTable[[#This Row],[Sport]]="","",LayTable[[#This Row],[LayInnsats]]*(LayTable[[#This Row],[LayOdds]]-1))</f>
        <v/>
      </c>
      <c r="N728" s="45" t="str">
        <f>IF(LayTable[[#This Row],[Sport]]="","",1/((1/LayTable[[#This Row],[BookieOdds]])+(1/((1/((1+((LayTable[[#This Row],[LayOdds]]-1)*(1+LayTable[[#This Row],[C% Lay]])))-1))+1)))-1)</f>
        <v/>
      </c>
      <c r="Q728" s="46" t="str">
        <f>IF(LayTable[[#This Row],[Sport]]="","",LayTable[[#This Row],[BookieInnsats]]+LayTable[[#This Row],[LayLiability]])</f>
        <v/>
      </c>
      <c r="R7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8" s="47" t="str">
        <f>IF(LayTable[[#This Row],[Utfall bookie]]="","",LayTable[[#This Row],[WBABack]]+LayTable[[#This Row],[WBALay]]-LayTable[[#This Row],[Total inns]])</f>
        <v/>
      </c>
      <c r="U7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8" s="48" t="str">
        <f>IFERROR(IF(LayTable[[#This Row],[Total inns]]="","",LayTable[[#This Row],[Rback]]/LayTable[[#This Row],[Total inns]]),"")</f>
        <v/>
      </c>
      <c r="X728" s="48" t="str">
        <f>IFERROR(IF(LayTable[[#This Row],[Total inns]]="","",LayTable[[#This Row],[Rlay]]/LayTable[[#This Row],[Total inns]]),"")</f>
        <v/>
      </c>
      <c r="Y728" s="48" t="str">
        <f>IFERROR(LayTable[[#This Row],[Faktisk res]]/LayTable[[#This Row],[Total inns]],"")</f>
        <v/>
      </c>
      <c r="Z728" s="47">
        <f>(LayTable[[#This Row],[BookieInnsats]]*LayTable[[#This Row],[BookieOdds]]-LayTable[[#This Row],[BookieInnsats]])*(1-LayTable[[#This Row],[C% Bookie]])</f>
        <v>0</v>
      </c>
      <c r="AA728" s="43">
        <f>LayTable[[#This Row],[LayInnsats]]*(1-LayTable[[#This Row],[C% Lay]])</f>
        <v>0</v>
      </c>
      <c r="AB728" s="43" t="str">
        <f>IFERROR(IF(LayTable[[#This Row],[Sport]]="",AB727,LayTable[[#This Row],[Faktisk res]]+AB727),"")</f>
        <v/>
      </c>
      <c r="AC728" s="43">
        <f>(LayTable[[#This Row],[BackWin-Commission]]+LayTable[[#This Row],[BookieInnsats]])</f>
        <v>0</v>
      </c>
      <c r="AD728" s="43" t="e">
        <f>(LayTable[[#This Row],[LayWin-Commission]])+LayTable[[#This Row],[LayLiability]]</f>
        <v>#VALUE!</v>
      </c>
      <c r="AE728" s="319"/>
      <c r="AF728" s="303"/>
    </row>
    <row r="729" spans="1:32">
      <c r="A729" s="84"/>
      <c r="B729" s="39"/>
      <c r="C729" s="40"/>
      <c r="D729" s="41"/>
      <c r="E729" s="40"/>
      <c r="F729" s="41"/>
      <c r="G729" s="183"/>
      <c r="H729" s="38"/>
      <c r="I729" s="42"/>
      <c r="J729" s="42"/>
      <c r="K729" s="43"/>
      <c r="L729" s="43"/>
      <c r="M729" s="44" t="str">
        <f>IF(LayTable[[#This Row],[Sport]]="","",LayTable[[#This Row],[LayInnsats]]*(LayTable[[#This Row],[LayOdds]]-1))</f>
        <v/>
      </c>
      <c r="N729" s="45" t="str">
        <f>IF(LayTable[[#This Row],[Sport]]="","",1/((1/LayTable[[#This Row],[BookieOdds]])+(1/((1/((1+((LayTable[[#This Row],[LayOdds]]-1)*(1+LayTable[[#This Row],[C% Lay]])))-1))+1)))-1)</f>
        <v/>
      </c>
      <c r="Q729" s="46" t="str">
        <f>IF(LayTable[[#This Row],[Sport]]="","",LayTable[[#This Row],[BookieInnsats]]+LayTable[[#This Row],[LayLiability]])</f>
        <v/>
      </c>
      <c r="R7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29" s="47" t="str">
        <f>IF(LayTable[[#This Row],[Utfall bookie]]="","",LayTable[[#This Row],[WBABack]]+LayTable[[#This Row],[WBALay]]-LayTable[[#This Row],[Total inns]])</f>
        <v/>
      </c>
      <c r="U7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29" s="48" t="str">
        <f>IFERROR(IF(LayTable[[#This Row],[Total inns]]="","",LayTable[[#This Row],[Rback]]/LayTable[[#This Row],[Total inns]]),"")</f>
        <v/>
      </c>
      <c r="X729" s="48" t="str">
        <f>IFERROR(IF(LayTable[[#This Row],[Total inns]]="","",LayTable[[#This Row],[Rlay]]/LayTable[[#This Row],[Total inns]]),"")</f>
        <v/>
      </c>
      <c r="Y729" s="48" t="str">
        <f>IFERROR(LayTable[[#This Row],[Faktisk res]]/LayTable[[#This Row],[Total inns]],"")</f>
        <v/>
      </c>
      <c r="Z729" s="47">
        <f>(LayTable[[#This Row],[BookieInnsats]]*LayTable[[#This Row],[BookieOdds]]-LayTable[[#This Row],[BookieInnsats]])*(1-LayTable[[#This Row],[C% Bookie]])</f>
        <v>0</v>
      </c>
      <c r="AA729" s="43">
        <f>LayTable[[#This Row],[LayInnsats]]*(1-LayTable[[#This Row],[C% Lay]])</f>
        <v>0</v>
      </c>
      <c r="AB729" s="43" t="str">
        <f>IFERROR(IF(LayTable[[#This Row],[Sport]]="",AB728,LayTable[[#This Row],[Faktisk res]]+AB728),"")</f>
        <v/>
      </c>
      <c r="AC729" s="43">
        <f>(LayTable[[#This Row],[BackWin-Commission]]+LayTable[[#This Row],[BookieInnsats]])</f>
        <v>0</v>
      </c>
      <c r="AD729" s="43" t="e">
        <f>(LayTable[[#This Row],[LayWin-Commission]])+LayTable[[#This Row],[LayLiability]]</f>
        <v>#VALUE!</v>
      </c>
      <c r="AE729" s="319"/>
      <c r="AF729" s="303"/>
    </row>
    <row r="730" spans="1:32">
      <c r="A730" s="84"/>
      <c r="B730" s="39"/>
      <c r="C730" s="40"/>
      <c r="D730" s="41"/>
      <c r="E730" s="40"/>
      <c r="F730" s="41"/>
      <c r="G730" s="183"/>
      <c r="H730" s="38"/>
      <c r="I730" s="42"/>
      <c r="J730" s="42"/>
      <c r="K730" s="43"/>
      <c r="L730" s="43"/>
      <c r="M730" s="44" t="str">
        <f>IF(LayTable[[#This Row],[Sport]]="","",LayTable[[#This Row],[LayInnsats]]*(LayTable[[#This Row],[LayOdds]]-1))</f>
        <v/>
      </c>
      <c r="N730" s="45" t="str">
        <f>IF(LayTable[[#This Row],[Sport]]="","",1/((1/LayTable[[#This Row],[BookieOdds]])+(1/((1/((1+((LayTable[[#This Row],[LayOdds]]-1)*(1+LayTable[[#This Row],[C% Lay]])))-1))+1)))-1)</f>
        <v/>
      </c>
      <c r="Q730" s="46" t="str">
        <f>IF(LayTable[[#This Row],[Sport]]="","",LayTable[[#This Row],[BookieInnsats]]+LayTable[[#This Row],[LayLiability]])</f>
        <v/>
      </c>
      <c r="R7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0" s="47" t="str">
        <f>IF(LayTable[[#This Row],[Utfall bookie]]="","",LayTable[[#This Row],[WBABack]]+LayTable[[#This Row],[WBALay]]-LayTable[[#This Row],[Total inns]])</f>
        <v/>
      </c>
      <c r="U7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0" s="48" t="str">
        <f>IFERROR(IF(LayTable[[#This Row],[Total inns]]="","",LayTable[[#This Row],[Rback]]/LayTable[[#This Row],[Total inns]]),"")</f>
        <v/>
      </c>
      <c r="X730" s="48" t="str">
        <f>IFERROR(IF(LayTable[[#This Row],[Total inns]]="","",LayTable[[#This Row],[Rlay]]/LayTable[[#This Row],[Total inns]]),"")</f>
        <v/>
      </c>
      <c r="Y730" s="48" t="str">
        <f>IFERROR(LayTable[[#This Row],[Faktisk res]]/LayTable[[#This Row],[Total inns]],"")</f>
        <v/>
      </c>
      <c r="Z730" s="47">
        <f>(LayTable[[#This Row],[BookieInnsats]]*LayTable[[#This Row],[BookieOdds]]-LayTable[[#This Row],[BookieInnsats]])*(1-LayTable[[#This Row],[C% Bookie]])</f>
        <v>0</v>
      </c>
      <c r="AA730" s="43">
        <f>LayTable[[#This Row],[LayInnsats]]*(1-LayTable[[#This Row],[C% Lay]])</f>
        <v>0</v>
      </c>
      <c r="AB730" s="43" t="str">
        <f>IFERROR(IF(LayTable[[#This Row],[Sport]]="",AB729,LayTable[[#This Row],[Faktisk res]]+AB729),"")</f>
        <v/>
      </c>
      <c r="AC730" s="43">
        <f>(LayTable[[#This Row],[BackWin-Commission]]+LayTable[[#This Row],[BookieInnsats]])</f>
        <v>0</v>
      </c>
      <c r="AD730" s="43" t="e">
        <f>(LayTable[[#This Row],[LayWin-Commission]])+LayTable[[#This Row],[LayLiability]]</f>
        <v>#VALUE!</v>
      </c>
      <c r="AE730" s="319"/>
      <c r="AF730" s="303"/>
    </row>
    <row r="731" spans="1:32">
      <c r="A731" s="84"/>
      <c r="B731" s="39"/>
      <c r="C731" s="40"/>
      <c r="D731" s="41"/>
      <c r="E731" s="40"/>
      <c r="F731" s="41"/>
      <c r="G731" s="183"/>
      <c r="H731" s="38"/>
      <c r="I731" s="42"/>
      <c r="J731" s="42"/>
      <c r="K731" s="43"/>
      <c r="L731" s="43"/>
      <c r="M731" s="44" t="str">
        <f>IF(LayTable[[#This Row],[Sport]]="","",LayTable[[#This Row],[LayInnsats]]*(LayTable[[#This Row],[LayOdds]]-1))</f>
        <v/>
      </c>
      <c r="N731" s="45" t="str">
        <f>IF(LayTable[[#This Row],[Sport]]="","",1/((1/LayTable[[#This Row],[BookieOdds]])+(1/((1/((1+((LayTable[[#This Row],[LayOdds]]-1)*(1+LayTable[[#This Row],[C% Lay]])))-1))+1)))-1)</f>
        <v/>
      </c>
      <c r="Q731" s="46" t="str">
        <f>IF(LayTable[[#This Row],[Sport]]="","",LayTable[[#This Row],[BookieInnsats]]+LayTable[[#This Row],[LayLiability]])</f>
        <v/>
      </c>
      <c r="R7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1" s="47" t="str">
        <f>IF(LayTable[[#This Row],[Utfall bookie]]="","",LayTable[[#This Row],[WBABack]]+LayTable[[#This Row],[WBALay]]-LayTable[[#This Row],[Total inns]])</f>
        <v/>
      </c>
      <c r="U7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1" s="48" t="str">
        <f>IFERROR(IF(LayTable[[#This Row],[Total inns]]="","",LayTable[[#This Row],[Rback]]/LayTable[[#This Row],[Total inns]]),"")</f>
        <v/>
      </c>
      <c r="X731" s="48" t="str">
        <f>IFERROR(IF(LayTable[[#This Row],[Total inns]]="","",LayTable[[#This Row],[Rlay]]/LayTable[[#This Row],[Total inns]]),"")</f>
        <v/>
      </c>
      <c r="Y731" s="48" t="str">
        <f>IFERROR(LayTable[[#This Row],[Faktisk res]]/LayTable[[#This Row],[Total inns]],"")</f>
        <v/>
      </c>
      <c r="Z731" s="47">
        <f>(LayTable[[#This Row],[BookieInnsats]]*LayTable[[#This Row],[BookieOdds]]-LayTable[[#This Row],[BookieInnsats]])*(1-LayTable[[#This Row],[C% Bookie]])</f>
        <v>0</v>
      </c>
      <c r="AA731" s="43">
        <f>LayTable[[#This Row],[LayInnsats]]*(1-LayTable[[#This Row],[C% Lay]])</f>
        <v>0</v>
      </c>
      <c r="AB731" s="43" t="str">
        <f>IFERROR(IF(LayTable[[#This Row],[Sport]]="",AB730,LayTable[[#This Row],[Faktisk res]]+AB730),"")</f>
        <v/>
      </c>
      <c r="AC731" s="43">
        <f>(LayTable[[#This Row],[BackWin-Commission]]+LayTable[[#This Row],[BookieInnsats]])</f>
        <v>0</v>
      </c>
      <c r="AD731" s="43" t="e">
        <f>(LayTable[[#This Row],[LayWin-Commission]])+LayTable[[#This Row],[LayLiability]]</f>
        <v>#VALUE!</v>
      </c>
      <c r="AE731" s="319"/>
      <c r="AF731" s="303"/>
    </row>
    <row r="732" spans="1:32">
      <c r="A732" s="84"/>
      <c r="B732" s="39"/>
      <c r="C732" s="40"/>
      <c r="D732" s="41"/>
      <c r="E732" s="40"/>
      <c r="F732" s="41"/>
      <c r="G732" s="183"/>
      <c r="H732" s="38"/>
      <c r="I732" s="42"/>
      <c r="J732" s="42"/>
      <c r="K732" s="43"/>
      <c r="L732" s="43"/>
      <c r="M732" s="44" t="str">
        <f>IF(LayTable[[#This Row],[Sport]]="","",LayTable[[#This Row],[LayInnsats]]*(LayTable[[#This Row],[LayOdds]]-1))</f>
        <v/>
      </c>
      <c r="N732" s="45" t="str">
        <f>IF(LayTable[[#This Row],[Sport]]="","",1/((1/LayTable[[#This Row],[BookieOdds]])+(1/((1/((1+((LayTable[[#This Row],[LayOdds]]-1)*(1+LayTable[[#This Row],[C% Lay]])))-1))+1)))-1)</f>
        <v/>
      </c>
      <c r="Q732" s="46" t="str">
        <f>IF(LayTable[[#This Row],[Sport]]="","",LayTable[[#This Row],[BookieInnsats]]+LayTable[[#This Row],[LayLiability]])</f>
        <v/>
      </c>
      <c r="R7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2" s="47" t="str">
        <f>IF(LayTable[[#This Row],[Utfall bookie]]="","",LayTable[[#This Row],[WBABack]]+LayTable[[#This Row],[WBALay]]-LayTable[[#This Row],[Total inns]])</f>
        <v/>
      </c>
      <c r="U7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2" s="48" t="str">
        <f>IFERROR(IF(LayTable[[#This Row],[Total inns]]="","",LayTable[[#This Row],[Rback]]/LayTable[[#This Row],[Total inns]]),"")</f>
        <v/>
      </c>
      <c r="X732" s="48" t="str">
        <f>IFERROR(IF(LayTable[[#This Row],[Total inns]]="","",LayTable[[#This Row],[Rlay]]/LayTable[[#This Row],[Total inns]]),"")</f>
        <v/>
      </c>
      <c r="Y732" s="48" t="str">
        <f>IFERROR(LayTable[[#This Row],[Faktisk res]]/LayTable[[#This Row],[Total inns]],"")</f>
        <v/>
      </c>
      <c r="Z732" s="47">
        <f>(LayTable[[#This Row],[BookieInnsats]]*LayTable[[#This Row],[BookieOdds]]-LayTable[[#This Row],[BookieInnsats]])*(1-LayTable[[#This Row],[C% Bookie]])</f>
        <v>0</v>
      </c>
      <c r="AA732" s="43">
        <f>LayTable[[#This Row],[LayInnsats]]*(1-LayTable[[#This Row],[C% Lay]])</f>
        <v>0</v>
      </c>
      <c r="AB732" s="43" t="str">
        <f>IFERROR(IF(LayTable[[#This Row],[Sport]]="",AB731,LayTable[[#This Row],[Faktisk res]]+AB731),"")</f>
        <v/>
      </c>
      <c r="AC732" s="43">
        <f>(LayTable[[#This Row],[BackWin-Commission]]+LayTable[[#This Row],[BookieInnsats]])</f>
        <v>0</v>
      </c>
      <c r="AD732" s="43" t="e">
        <f>(LayTable[[#This Row],[LayWin-Commission]])+LayTable[[#This Row],[LayLiability]]</f>
        <v>#VALUE!</v>
      </c>
      <c r="AE732" s="319"/>
      <c r="AF732" s="303"/>
    </row>
    <row r="733" spans="1:32">
      <c r="A733" s="84"/>
      <c r="B733" s="39"/>
      <c r="C733" s="40"/>
      <c r="D733" s="41"/>
      <c r="E733" s="40"/>
      <c r="F733" s="41"/>
      <c r="G733" s="183"/>
      <c r="H733" s="38"/>
      <c r="I733" s="42"/>
      <c r="J733" s="42"/>
      <c r="K733" s="43"/>
      <c r="L733" s="43"/>
      <c r="M733" s="44" t="str">
        <f>IF(LayTable[[#This Row],[Sport]]="","",LayTable[[#This Row],[LayInnsats]]*(LayTable[[#This Row],[LayOdds]]-1))</f>
        <v/>
      </c>
      <c r="N733" s="45" t="str">
        <f>IF(LayTable[[#This Row],[Sport]]="","",1/((1/LayTable[[#This Row],[BookieOdds]])+(1/((1/((1+((LayTable[[#This Row],[LayOdds]]-1)*(1+LayTable[[#This Row],[C% Lay]])))-1))+1)))-1)</f>
        <v/>
      </c>
      <c r="Q733" s="46" t="str">
        <f>IF(LayTable[[#This Row],[Sport]]="","",LayTable[[#This Row],[BookieInnsats]]+LayTable[[#This Row],[LayLiability]])</f>
        <v/>
      </c>
      <c r="R7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3" s="47" t="str">
        <f>IF(LayTable[[#This Row],[Utfall bookie]]="","",LayTable[[#This Row],[WBABack]]+LayTable[[#This Row],[WBALay]]-LayTable[[#This Row],[Total inns]])</f>
        <v/>
      </c>
      <c r="U7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3" s="48" t="str">
        <f>IFERROR(IF(LayTable[[#This Row],[Total inns]]="","",LayTable[[#This Row],[Rback]]/LayTable[[#This Row],[Total inns]]),"")</f>
        <v/>
      </c>
      <c r="X733" s="48" t="str">
        <f>IFERROR(IF(LayTable[[#This Row],[Total inns]]="","",LayTable[[#This Row],[Rlay]]/LayTable[[#This Row],[Total inns]]),"")</f>
        <v/>
      </c>
      <c r="Y733" s="48" t="str">
        <f>IFERROR(LayTable[[#This Row],[Faktisk res]]/LayTable[[#This Row],[Total inns]],"")</f>
        <v/>
      </c>
      <c r="Z733" s="47">
        <f>(LayTable[[#This Row],[BookieInnsats]]*LayTable[[#This Row],[BookieOdds]]-LayTable[[#This Row],[BookieInnsats]])*(1-LayTable[[#This Row],[C% Bookie]])</f>
        <v>0</v>
      </c>
      <c r="AA733" s="43">
        <f>LayTable[[#This Row],[LayInnsats]]*(1-LayTable[[#This Row],[C% Lay]])</f>
        <v>0</v>
      </c>
      <c r="AB733" s="43" t="str">
        <f>IFERROR(IF(LayTable[[#This Row],[Sport]]="",AB732,LayTable[[#This Row],[Faktisk res]]+AB732),"")</f>
        <v/>
      </c>
      <c r="AC733" s="43">
        <f>(LayTable[[#This Row],[BackWin-Commission]]+LayTable[[#This Row],[BookieInnsats]])</f>
        <v>0</v>
      </c>
      <c r="AD733" s="43" t="e">
        <f>(LayTable[[#This Row],[LayWin-Commission]])+LayTable[[#This Row],[LayLiability]]</f>
        <v>#VALUE!</v>
      </c>
      <c r="AE733" s="319"/>
      <c r="AF733" s="303"/>
    </row>
    <row r="734" spans="1:32">
      <c r="A734" s="84"/>
      <c r="B734" s="39"/>
      <c r="C734" s="40"/>
      <c r="D734" s="41"/>
      <c r="E734" s="40"/>
      <c r="F734" s="41"/>
      <c r="G734" s="183"/>
      <c r="H734" s="38"/>
      <c r="I734" s="42"/>
      <c r="J734" s="42"/>
      <c r="K734" s="43"/>
      <c r="L734" s="43"/>
      <c r="M734" s="44" t="str">
        <f>IF(LayTable[[#This Row],[Sport]]="","",LayTable[[#This Row],[LayInnsats]]*(LayTable[[#This Row],[LayOdds]]-1))</f>
        <v/>
      </c>
      <c r="N734" s="45" t="str">
        <f>IF(LayTable[[#This Row],[Sport]]="","",1/((1/LayTable[[#This Row],[BookieOdds]])+(1/((1/((1+((LayTable[[#This Row],[LayOdds]]-1)*(1+LayTable[[#This Row],[C% Lay]])))-1))+1)))-1)</f>
        <v/>
      </c>
      <c r="Q734" s="46" t="str">
        <f>IF(LayTable[[#This Row],[Sport]]="","",LayTable[[#This Row],[BookieInnsats]]+LayTable[[#This Row],[LayLiability]])</f>
        <v/>
      </c>
      <c r="R7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4" s="47" t="str">
        <f>IF(LayTable[[#This Row],[Utfall bookie]]="","",LayTable[[#This Row],[WBABack]]+LayTable[[#This Row],[WBALay]]-LayTable[[#This Row],[Total inns]])</f>
        <v/>
      </c>
      <c r="U7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4" s="48" t="str">
        <f>IFERROR(IF(LayTable[[#This Row],[Total inns]]="","",LayTable[[#This Row],[Rback]]/LayTable[[#This Row],[Total inns]]),"")</f>
        <v/>
      </c>
      <c r="X734" s="48" t="str">
        <f>IFERROR(IF(LayTable[[#This Row],[Total inns]]="","",LayTable[[#This Row],[Rlay]]/LayTable[[#This Row],[Total inns]]),"")</f>
        <v/>
      </c>
      <c r="Y734" s="48" t="str">
        <f>IFERROR(LayTable[[#This Row],[Faktisk res]]/LayTable[[#This Row],[Total inns]],"")</f>
        <v/>
      </c>
      <c r="Z734" s="47">
        <f>(LayTable[[#This Row],[BookieInnsats]]*LayTable[[#This Row],[BookieOdds]]-LayTable[[#This Row],[BookieInnsats]])*(1-LayTable[[#This Row],[C% Bookie]])</f>
        <v>0</v>
      </c>
      <c r="AA734" s="43">
        <f>LayTable[[#This Row],[LayInnsats]]*(1-LayTable[[#This Row],[C% Lay]])</f>
        <v>0</v>
      </c>
      <c r="AB734" s="43" t="str">
        <f>IFERROR(IF(LayTable[[#This Row],[Sport]]="",AB733,LayTable[[#This Row],[Faktisk res]]+AB733),"")</f>
        <v/>
      </c>
      <c r="AC734" s="43">
        <f>(LayTable[[#This Row],[BackWin-Commission]]+LayTable[[#This Row],[BookieInnsats]])</f>
        <v>0</v>
      </c>
      <c r="AD734" s="43" t="e">
        <f>(LayTable[[#This Row],[LayWin-Commission]])+LayTable[[#This Row],[LayLiability]]</f>
        <v>#VALUE!</v>
      </c>
      <c r="AE734" s="319"/>
      <c r="AF734" s="181"/>
    </row>
    <row r="735" spans="1:32">
      <c r="A735" s="84"/>
      <c r="B735" s="39"/>
      <c r="C735" s="40"/>
      <c r="D735" s="41"/>
      <c r="E735" s="40"/>
      <c r="F735" s="41"/>
      <c r="G735" s="183"/>
      <c r="H735" s="38"/>
      <c r="I735" s="42"/>
      <c r="J735" s="42"/>
      <c r="K735" s="43"/>
      <c r="L735" s="43"/>
      <c r="M735" s="44" t="str">
        <f>IF(LayTable[[#This Row],[Sport]]="","",LayTable[[#This Row],[LayInnsats]]*(LayTable[[#This Row],[LayOdds]]-1))</f>
        <v/>
      </c>
      <c r="N735" s="45" t="str">
        <f>IF(LayTable[[#This Row],[Sport]]="","",1/((1/LayTable[[#This Row],[BookieOdds]])+(1/((1/((1+((LayTable[[#This Row],[LayOdds]]-1)*(1+LayTable[[#This Row],[C% Lay]])))-1))+1)))-1)</f>
        <v/>
      </c>
      <c r="Q735" s="46" t="str">
        <f>IF(LayTable[[#This Row],[Sport]]="","",LayTable[[#This Row],[BookieInnsats]]+LayTable[[#This Row],[LayLiability]])</f>
        <v/>
      </c>
      <c r="R7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5" s="47" t="str">
        <f>IF(LayTable[[#This Row],[Utfall bookie]]="","",LayTable[[#This Row],[WBABack]]+LayTable[[#This Row],[WBALay]]-LayTable[[#This Row],[Total inns]])</f>
        <v/>
      </c>
      <c r="U7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5" s="48" t="str">
        <f>IFERROR(IF(LayTable[[#This Row],[Total inns]]="","",LayTable[[#This Row],[Rback]]/LayTable[[#This Row],[Total inns]]),"")</f>
        <v/>
      </c>
      <c r="X735" s="48" t="str">
        <f>IFERROR(IF(LayTable[[#This Row],[Total inns]]="","",LayTable[[#This Row],[Rlay]]/LayTable[[#This Row],[Total inns]]),"")</f>
        <v/>
      </c>
      <c r="Y735" s="48" t="str">
        <f>IFERROR(LayTable[[#This Row],[Faktisk res]]/LayTable[[#This Row],[Total inns]],"")</f>
        <v/>
      </c>
      <c r="Z735" s="47">
        <f>(LayTable[[#This Row],[BookieInnsats]]*LayTable[[#This Row],[BookieOdds]]-LayTable[[#This Row],[BookieInnsats]])*(1-LayTable[[#This Row],[C% Bookie]])</f>
        <v>0</v>
      </c>
      <c r="AA735" s="43">
        <f>LayTable[[#This Row],[LayInnsats]]*(1-LayTable[[#This Row],[C% Lay]])</f>
        <v>0</v>
      </c>
      <c r="AB735" s="43" t="str">
        <f>IFERROR(IF(LayTable[[#This Row],[Sport]]="",AB734,LayTable[[#This Row],[Faktisk res]]+AB734),"")</f>
        <v/>
      </c>
      <c r="AC735" s="43">
        <f>(LayTable[[#This Row],[BackWin-Commission]]+LayTable[[#This Row],[BookieInnsats]])</f>
        <v>0</v>
      </c>
      <c r="AD735" s="43" t="e">
        <f>(LayTable[[#This Row],[LayWin-Commission]])+LayTable[[#This Row],[LayLiability]]</f>
        <v>#VALUE!</v>
      </c>
      <c r="AE735" s="319"/>
      <c r="AF735" s="181"/>
    </row>
    <row r="736" spans="1:32">
      <c r="A736" s="84"/>
      <c r="B736" s="39"/>
      <c r="C736" s="40"/>
      <c r="D736" s="41"/>
      <c r="E736" s="40"/>
      <c r="F736" s="41"/>
      <c r="G736" s="183"/>
      <c r="H736" s="38"/>
      <c r="I736" s="42"/>
      <c r="J736" s="42"/>
      <c r="K736" s="43"/>
      <c r="L736" s="43"/>
      <c r="M736" s="44" t="str">
        <f>IF(LayTable[[#This Row],[Sport]]="","",LayTable[[#This Row],[LayInnsats]]*(LayTable[[#This Row],[LayOdds]]-1))</f>
        <v/>
      </c>
      <c r="N736" s="45" t="str">
        <f>IF(LayTable[[#This Row],[Sport]]="","",1/((1/LayTable[[#This Row],[BookieOdds]])+(1/((1/((1+((LayTable[[#This Row],[LayOdds]]-1)*(1+LayTable[[#This Row],[C% Lay]])))-1))+1)))-1)</f>
        <v/>
      </c>
      <c r="Q736" s="46" t="str">
        <f>IF(LayTable[[#This Row],[Sport]]="","",LayTable[[#This Row],[BookieInnsats]]+LayTable[[#This Row],[LayLiability]])</f>
        <v/>
      </c>
      <c r="R7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6" s="47" t="str">
        <f>IF(LayTable[[#This Row],[Utfall bookie]]="","",LayTable[[#This Row],[WBABack]]+LayTable[[#This Row],[WBALay]]-LayTable[[#This Row],[Total inns]])</f>
        <v/>
      </c>
      <c r="U7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6" s="48" t="str">
        <f>IFERROR(IF(LayTable[[#This Row],[Total inns]]="","",LayTable[[#This Row],[Rback]]/LayTable[[#This Row],[Total inns]]),"")</f>
        <v/>
      </c>
      <c r="X736" s="48" t="str">
        <f>IFERROR(IF(LayTable[[#This Row],[Total inns]]="","",LayTable[[#This Row],[Rlay]]/LayTable[[#This Row],[Total inns]]),"")</f>
        <v/>
      </c>
      <c r="Y736" s="48" t="str">
        <f>IFERROR(LayTable[[#This Row],[Faktisk res]]/LayTable[[#This Row],[Total inns]],"")</f>
        <v/>
      </c>
      <c r="Z736" s="47">
        <f>(LayTable[[#This Row],[BookieInnsats]]*LayTable[[#This Row],[BookieOdds]]-LayTable[[#This Row],[BookieInnsats]])*(1-LayTable[[#This Row],[C% Bookie]])</f>
        <v>0</v>
      </c>
      <c r="AA736" s="43">
        <f>LayTable[[#This Row],[LayInnsats]]*(1-LayTable[[#This Row],[C% Lay]])</f>
        <v>0</v>
      </c>
      <c r="AB736" s="43" t="str">
        <f>IFERROR(IF(LayTable[[#This Row],[Sport]]="",AB735,LayTable[[#This Row],[Faktisk res]]+AB735),"")</f>
        <v/>
      </c>
      <c r="AC736" s="43">
        <f>(LayTable[[#This Row],[BackWin-Commission]]+LayTable[[#This Row],[BookieInnsats]])</f>
        <v>0</v>
      </c>
      <c r="AD736" s="43" t="e">
        <f>(LayTable[[#This Row],[LayWin-Commission]])+LayTable[[#This Row],[LayLiability]]</f>
        <v>#VALUE!</v>
      </c>
      <c r="AE736" s="319"/>
      <c r="AF736" s="181"/>
    </row>
    <row r="737" spans="1:32">
      <c r="A737" s="84"/>
      <c r="B737" s="39"/>
      <c r="C737" s="40"/>
      <c r="D737" s="41"/>
      <c r="E737" s="40"/>
      <c r="F737" s="41"/>
      <c r="G737" s="183"/>
      <c r="H737" s="38"/>
      <c r="I737" s="42"/>
      <c r="J737" s="42"/>
      <c r="K737" s="43"/>
      <c r="L737" s="43"/>
      <c r="M737" s="44" t="str">
        <f>IF(LayTable[[#This Row],[Sport]]="","",LayTable[[#This Row],[LayInnsats]]*(LayTable[[#This Row],[LayOdds]]-1))</f>
        <v/>
      </c>
      <c r="N737" s="45" t="str">
        <f>IF(LayTable[[#This Row],[Sport]]="","",1/((1/LayTable[[#This Row],[BookieOdds]])+(1/((1/((1+((LayTable[[#This Row],[LayOdds]]-1)*(1+LayTable[[#This Row],[C% Lay]])))-1))+1)))-1)</f>
        <v/>
      </c>
      <c r="Q737" s="46" t="str">
        <f>IF(LayTable[[#This Row],[Sport]]="","",LayTable[[#This Row],[BookieInnsats]]+LayTable[[#This Row],[LayLiability]])</f>
        <v/>
      </c>
      <c r="R7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7" s="47" t="str">
        <f>IF(LayTable[[#This Row],[Utfall bookie]]="","",LayTable[[#This Row],[WBABack]]+LayTable[[#This Row],[WBALay]]-LayTable[[#This Row],[Total inns]])</f>
        <v/>
      </c>
      <c r="U7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7" s="48" t="str">
        <f>IFERROR(IF(LayTable[[#This Row],[Total inns]]="","",LayTable[[#This Row],[Rback]]/LayTable[[#This Row],[Total inns]]),"")</f>
        <v/>
      </c>
      <c r="X737" s="48" t="str">
        <f>IFERROR(IF(LayTable[[#This Row],[Total inns]]="","",LayTable[[#This Row],[Rlay]]/LayTable[[#This Row],[Total inns]]),"")</f>
        <v/>
      </c>
      <c r="Y737" s="48" t="str">
        <f>IFERROR(LayTable[[#This Row],[Faktisk res]]/LayTable[[#This Row],[Total inns]],"")</f>
        <v/>
      </c>
      <c r="Z737" s="47">
        <f>(LayTable[[#This Row],[BookieInnsats]]*LayTable[[#This Row],[BookieOdds]]-LayTable[[#This Row],[BookieInnsats]])*(1-LayTable[[#This Row],[C% Bookie]])</f>
        <v>0</v>
      </c>
      <c r="AA737" s="43">
        <f>LayTable[[#This Row],[LayInnsats]]*(1-LayTable[[#This Row],[C% Lay]])</f>
        <v>0</v>
      </c>
      <c r="AB737" s="43" t="str">
        <f>IFERROR(IF(LayTable[[#This Row],[Sport]]="",AB736,LayTable[[#This Row],[Faktisk res]]+AB736),"")</f>
        <v/>
      </c>
      <c r="AC737" s="43">
        <f>(LayTable[[#This Row],[BackWin-Commission]]+LayTable[[#This Row],[BookieInnsats]])</f>
        <v>0</v>
      </c>
      <c r="AD737" s="43" t="e">
        <f>(LayTable[[#This Row],[LayWin-Commission]])+LayTable[[#This Row],[LayLiability]]</f>
        <v>#VALUE!</v>
      </c>
      <c r="AE737" s="319"/>
      <c r="AF737" s="181"/>
    </row>
    <row r="738" spans="1:32">
      <c r="A738" s="84"/>
      <c r="B738" s="39"/>
      <c r="C738" s="40"/>
      <c r="D738" s="41"/>
      <c r="E738" s="40"/>
      <c r="F738" s="41"/>
      <c r="G738" s="183"/>
      <c r="H738" s="38"/>
      <c r="I738" s="42"/>
      <c r="J738" s="42"/>
      <c r="K738" s="43"/>
      <c r="L738" s="43"/>
      <c r="M738" s="44" t="str">
        <f>IF(LayTable[[#This Row],[Sport]]="","",LayTable[[#This Row],[LayInnsats]]*(LayTable[[#This Row],[LayOdds]]-1))</f>
        <v/>
      </c>
      <c r="N738" s="45" t="str">
        <f>IF(LayTable[[#This Row],[Sport]]="","",1/((1/LayTable[[#This Row],[BookieOdds]])+(1/((1/((1+((LayTable[[#This Row],[LayOdds]]-1)*(1+LayTable[[#This Row],[C% Lay]])))-1))+1)))-1)</f>
        <v/>
      </c>
      <c r="Q738" s="46" t="str">
        <f>IF(LayTable[[#This Row],[Sport]]="","",LayTable[[#This Row],[BookieInnsats]]+LayTable[[#This Row],[LayLiability]])</f>
        <v/>
      </c>
      <c r="R7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8" s="47" t="str">
        <f>IF(LayTable[[#This Row],[Utfall bookie]]="","",LayTable[[#This Row],[WBABack]]+LayTable[[#This Row],[WBALay]]-LayTable[[#This Row],[Total inns]])</f>
        <v/>
      </c>
      <c r="U7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8" s="48" t="str">
        <f>IFERROR(IF(LayTable[[#This Row],[Total inns]]="","",LayTable[[#This Row],[Rback]]/LayTable[[#This Row],[Total inns]]),"")</f>
        <v/>
      </c>
      <c r="X738" s="48" t="str">
        <f>IFERROR(IF(LayTable[[#This Row],[Total inns]]="","",LayTable[[#This Row],[Rlay]]/LayTable[[#This Row],[Total inns]]),"")</f>
        <v/>
      </c>
      <c r="Y738" s="48" t="str">
        <f>IFERROR(LayTable[[#This Row],[Faktisk res]]/LayTable[[#This Row],[Total inns]],"")</f>
        <v/>
      </c>
      <c r="Z738" s="47">
        <f>(LayTable[[#This Row],[BookieInnsats]]*LayTable[[#This Row],[BookieOdds]]-LayTable[[#This Row],[BookieInnsats]])*(1-LayTable[[#This Row],[C% Bookie]])</f>
        <v>0</v>
      </c>
      <c r="AA738" s="43">
        <f>LayTable[[#This Row],[LayInnsats]]*(1-LayTable[[#This Row],[C% Lay]])</f>
        <v>0</v>
      </c>
      <c r="AB738" s="43" t="str">
        <f>IFERROR(IF(LayTable[[#This Row],[Sport]]="",AB737,LayTable[[#This Row],[Faktisk res]]+AB737),"")</f>
        <v/>
      </c>
      <c r="AC738" s="43">
        <f>(LayTable[[#This Row],[BackWin-Commission]]+LayTable[[#This Row],[BookieInnsats]])</f>
        <v>0</v>
      </c>
      <c r="AD738" s="43" t="e">
        <f>(LayTable[[#This Row],[LayWin-Commission]])+LayTable[[#This Row],[LayLiability]]</f>
        <v>#VALUE!</v>
      </c>
      <c r="AE738" s="319"/>
      <c r="AF738" s="181"/>
    </row>
    <row r="739" spans="1:32">
      <c r="A739" s="84"/>
      <c r="B739" s="39"/>
      <c r="C739" s="40"/>
      <c r="D739" s="41"/>
      <c r="E739" s="40"/>
      <c r="F739" s="41"/>
      <c r="G739" s="183"/>
      <c r="H739" s="38"/>
      <c r="I739" s="42"/>
      <c r="J739" s="42"/>
      <c r="K739" s="43"/>
      <c r="L739" s="43"/>
      <c r="M739" s="44" t="str">
        <f>IF(LayTable[[#This Row],[Sport]]="","",LayTable[[#This Row],[LayInnsats]]*(LayTable[[#This Row],[LayOdds]]-1))</f>
        <v/>
      </c>
      <c r="N739" s="45" t="str">
        <f>IF(LayTable[[#This Row],[Sport]]="","",1/((1/LayTable[[#This Row],[BookieOdds]])+(1/((1/((1+((LayTable[[#This Row],[LayOdds]]-1)*(1+LayTable[[#This Row],[C% Lay]])))-1))+1)))-1)</f>
        <v/>
      </c>
      <c r="Q739" s="46" t="str">
        <f>IF(LayTable[[#This Row],[Sport]]="","",LayTable[[#This Row],[BookieInnsats]]+LayTable[[#This Row],[LayLiability]])</f>
        <v/>
      </c>
      <c r="R7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39" s="47" t="str">
        <f>IF(LayTable[[#This Row],[Utfall bookie]]="","",LayTable[[#This Row],[WBABack]]+LayTable[[#This Row],[WBALay]]-LayTable[[#This Row],[Total inns]])</f>
        <v/>
      </c>
      <c r="U7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39" s="48" t="str">
        <f>IFERROR(IF(LayTable[[#This Row],[Total inns]]="","",LayTable[[#This Row],[Rback]]/LayTable[[#This Row],[Total inns]]),"")</f>
        <v/>
      </c>
      <c r="X739" s="48" t="str">
        <f>IFERROR(IF(LayTable[[#This Row],[Total inns]]="","",LayTable[[#This Row],[Rlay]]/LayTable[[#This Row],[Total inns]]),"")</f>
        <v/>
      </c>
      <c r="Y739" s="48" t="str">
        <f>IFERROR(LayTable[[#This Row],[Faktisk res]]/LayTable[[#This Row],[Total inns]],"")</f>
        <v/>
      </c>
      <c r="Z739" s="47">
        <f>(LayTable[[#This Row],[BookieInnsats]]*LayTable[[#This Row],[BookieOdds]]-LayTable[[#This Row],[BookieInnsats]])*(1-LayTable[[#This Row],[C% Bookie]])</f>
        <v>0</v>
      </c>
      <c r="AA739" s="43">
        <f>LayTable[[#This Row],[LayInnsats]]*(1-LayTable[[#This Row],[C% Lay]])</f>
        <v>0</v>
      </c>
      <c r="AB739" s="43" t="str">
        <f>IFERROR(IF(LayTable[[#This Row],[Sport]]="",AB738,LayTable[[#This Row],[Faktisk res]]+AB738),"")</f>
        <v/>
      </c>
      <c r="AC739" s="43">
        <f>(LayTable[[#This Row],[BackWin-Commission]]+LayTable[[#This Row],[BookieInnsats]])</f>
        <v>0</v>
      </c>
      <c r="AD739" s="43" t="e">
        <f>(LayTable[[#This Row],[LayWin-Commission]])+LayTable[[#This Row],[LayLiability]]</f>
        <v>#VALUE!</v>
      </c>
      <c r="AE739" s="319"/>
      <c r="AF739" s="181"/>
    </row>
    <row r="740" spans="1:32">
      <c r="A740" s="84"/>
      <c r="B740" s="39"/>
      <c r="C740" s="40"/>
      <c r="D740" s="41"/>
      <c r="E740" s="40"/>
      <c r="F740" s="41"/>
      <c r="G740" s="183"/>
      <c r="H740" s="38"/>
      <c r="I740" s="42"/>
      <c r="J740" s="42"/>
      <c r="K740" s="139"/>
      <c r="L740" s="43"/>
      <c r="M740" s="44" t="str">
        <f>IF(LayTable[[#This Row],[Sport]]="","",LayTable[[#This Row],[LayInnsats]]*(LayTable[[#This Row],[LayOdds]]-1))</f>
        <v/>
      </c>
      <c r="N740" s="45" t="str">
        <f>IF(LayTable[[#This Row],[Sport]]="","",1/((1/LayTable[[#This Row],[BookieOdds]])+(1/((1/((1+((LayTable[[#This Row],[LayOdds]]-1)*(1+LayTable[[#This Row],[C% Lay]])))-1))+1)))-1)</f>
        <v/>
      </c>
      <c r="Q740" s="46" t="str">
        <f>IF(LayTable[[#This Row],[Sport]]="","",LayTable[[#This Row],[BookieInnsats]]+LayTable[[#This Row],[LayLiability]])</f>
        <v/>
      </c>
      <c r="R7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0" s="47" t="str">
        <f>IF(LayTable[[#This Row],[Utfall bookie]]="","",LayTable[[#This Row],[WBABack]]+LayTable[[#This Row],[WBALay]]-LayTable[[#This Row],[Total inns]])</f>
        <v/>
      </c>
      <c r="U7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0" s="48" t="str">
        <f>IFERROR(IF(LayTable[[#This Row],[Total inns]]="","",LayTable[[#This Row],[Rback]]/LayTable[[#This Row],[Total inns]]),"")</f>
        <v/>
      </c>
      <c r="X740" s="48" t="str">
        <f>IFERROR(IF(LayTable[[#This Row],[Total inns]]="","",LayTable[[#This Row],[Rlay]]/LayTable[[#This Row],[Total inns]]),"")</f>
        <v/>
      </c>
      <c r="Y740" s="48" t="str">
        <f>IFERROR(LayTable[[#This Row],[Faktisk res]]/LayTable[[#This Row],[Total inns]],"")</f>
        <v/>
      </c>
      <c r="Z740" s="47">
        <f>(LayTable[[#This Row],[BookieInnsats]]*LayTable[[#This Row],[BookieOdds]]-LayTable[[#This Row],[BookieInnsats]])*(1-LayTable[[#This Row],[C% Bookie]])</f>
        <v>0</v>
      </c>
      <c r="AA740" s="43">
        <f>LayTable[[#This Row],[LayInnsats]]*(1-LayTable[[#This Row],[C% Lay]])</f>
        <v>0</v>
      </c>
      <c r="AB740" s="43" t="str">
        <f>IFERROR(IF(LayTable[[#This Row],[Sport]]="",AB739,LayTable[[#This Row],[Faktisk res]]+AB739),"")</f>
        <v/>
      </c>
      <c r="AC740" s="43">
        <f>(LayTable[[#This Row],[BackWin-Commission]]+LayTable[[#This Row],[BookieInnsats]])</f>
        <v>0</v>
      </c>
      <c r="AD740" s="43" t="e">
        <f>(LayTable[[#This Row],[LayWin-Commission]])+LayTable[[#This Row],[LayLiability]]</f>
        <v>#VALUE!</v>
      </c>
      <c r="AE740" s="319"/>
      <c r="AF740" s="181"/>
    </row>
    <row r="741" spans="1:32">
      <c r="A741" s="84"/>
      <c r="B741" s="39"/>
      <c r="C741" s="40"/>
      <c r="D741" s="41"/>
      <c r="E741" s="40"/>
      <c r="F741" s="41"/>
      <c r="G741" s="183"/>
      <c r="H741" s="38"/>
      <c r="I741" s="42"/>
      <c r="J741" s="42"/>
      <c r="K741" s="43"/>
      <c r="L741" s="43"/>
      <c r="M741" s="44" t="str">
        <f>IF(LayTable[[#This Row],[Sport]]="","",LayTable[[#This Row],[LayInnsats]]*(LayTable[[#This Row],[LayOdds]]-1))</f>
        <v/>
      </c>
      <c r="N741" s="45" t="str">
        <f>IF(LayTable[[#This Row],[Sport]]="","",1/((1/LayTable[[#This Row],[BookieOdds]])+(1/((1/((1+((LayTable[[#This Row],[LayOdds]]-1)*(1+LayTable[[#This Row],[C% Lay]])))-1))+1)))-1)</f>
        <v/>
      </c>
      <c r="Q741" s="46" t="str">
        <f>IF(LayTable[[#This Row],[Sport]]="","",LayTable[[#This Row],[BookieInnsats]]+LayTable[[#This Row],[LayLiability]])</f>
        <v/>
      </c>
      <c r="R7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1" s="47" t="str">
        <f>IF(LayTable[[#This Row],[Utfall bookie]]="","",LayTable[[#This Row],[WBABack]]+LayTable[[#This Row],[WBALay]]-LayTable[[#This Row],[Total inns]])</f>
        <v/>
      </c>
      <c r="U7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1" s="48" t="str">
        <f>IFERROR(IF(LayTable[[#This Row],[Total inns]]="","",LayTable[[#This Row],[Rback]]/LayTable[[#This Row],[Total inns]]),"")</f>
        <v/>
      </c>
      <c r="X741" s="48" t="str">
        <f>IFERROR(IF(LayTable[[#This Row],[Total inns]]="","",LayTable[[#This Row],[Rlay]]/LayTable[[#This Row],[Total inns]]),"")</f>
        <v/>
      </c>
      <c r="Y741" s="48" t="str">
        <f>IFERROR(LayTable[[#This Row],[Faktisk res]]/LayTable[[#This Row],[Total inns]],"")</f>
        <v/>
      </c>
      <c r="Z741" s="47">
        <f>(LayTable[[#This Row],[BookieInnsats]]*LayTable[[#This Row],[BookieOdds]]-LayTable[[#This Row],[BookieInnsats]])*(1-LayTable[[#This Row],[C% Bookie]])</f>
        <v>0</v>
      </c>
      <c r="AA741" s="43">
        <f>LayTable[[#This Row],[LayInnsats]]*(1-LayTable[[#This Row],[C% Lay]])</f>
        <v>0</v>
      </c>
      <c r="AB741" s="43" t="str">
        <f>IFERROR(IF(LayTable[[#This Row],[Sport]]="",AB740,LayTable[[#This Row],[Faktisk res]]+AB740),"")</f>
        <v/>
      </c>
      <c r="AC741" s="43">
        <f>(LayTable[[#This Row],[BackWin-Commission]]+LayTable[[#This Row],[BookieInnsats]])</f>
        <v>0</v>
      </c>
      <c r="AD741" s="43" t="e">
        <f>(LayTable[[#This Row],[LayWin-Commission]])+LayTable[[#This Row],[LayLiability]]</f>
        <v>#VALUE!</v>
      </c>
      <c r="AE741" s="319"/>
      <c r="AF741" s="181"/>
    </row>
    <row r="742" spans="1:32">
      <c r="A742" s="84"/>
      <c r="B742" s="39"/>
      <c r="C742" s="40"/>
      <c r="D742" s="41"/>
      <c r="E742" s="40"/>
      <c r="F742" s="41"/>
      <c r="G742" s="183"/>
      <c r="H742" s="38"/>
      <c r="I742" s="42"/>
      <c r="J742" s="42"/>
      <c r="K742" s="43"/>
      <c r="L742" s="43"/>
      <c r="M742" s="44" t="str">
        <f>IF(LayTable[[#This Row],[Sport]]="","",LayTable[[#This Row],[LayInnsats]]*(LayTable[[#This Row],[LayOdds]]-1))</f>
        <v/>
      </c>
      <c r="N742" s="45" t="str">
        <f>IF(LayTable[[#This Row],[Sport]]="","",1/((1/LayTable[[#This Row],[BookieOdds]])+(1/((1/((1+((LayTable[[#This Row],[LayOdds]]-1)*(1+LayTable[[#This Row],[C% Lay]])))-1))+1)))-1)</f>
        <v/>
      </c>
      <c r="Q742" s="46" t="str">
        <f>IF(LayTable[[#This Row],[Sport]]="","",LayTable[[#This Row],[BookieInnsats]]+LayTable[[#This Row],[LayLiability]])</f>
        <v/>
      </c>
      <c r="R7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2" s="47" t="str">
        <f>IF(LayTable[[#This Row],[Utfall bookie]]="","",LayTable[[#This Row],[WBABack]]+LayTable[[#This Row],[WBALay]]-LayTable[[#This Row],[Total inns]])</f>
        <v/>
      </c>
      <c r="U7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2" s="48" t="str">
        <f>IFERROR(IF(LayTable[[#This Row],[Total inns]]="","",LayTable[[#This Row],[Rback]]/LayTable[[#This Row],[Total inns]]),"")</f>
        <v/>
      </c>
      <c r="X742" s="48" t="str">
        <f>IFERROR(IF(LayTable[[#This Row],[Total inns]]="","",LayTable[[#This Row],[Rlay]]/LayTable[[#This Row],[Total inns]]),"")</f>
        <v/>
      </c>
      <c r="Y742" s="48" t="str">
        <f>IFERROR(LayTable[[#This Row],[Faktisk res]]/LayTable[[#This Row],[Total inns]],"")</f>
        <v/>
      </c>
      <c r="Z742" s="47">
        <f>(LayTable[[#This Row],[BookieInnsats]]*LayTable[[#This Row],[BookieOdds]]-LayTable[[#This Row],[BookieInnsats]])*(1-LayTable[[#This Row],[C% Bookie]])</f>
        <v>0</v>
      </c>
      <c r="AA742" s="43">
        <f>LayTable[[#This Row],[LayInnsats]]*(1-LayTable[[#This Row],[C% Lay]])</f>
        <v>0</v>
      </c>
      <c r="AB742" s="43" t="str">
        <f>IFERROR(IF(LayTable[[#This Row],[Sport]]="",AB741,LayTable[[#This Row],[Faktisk res]]+AB741),"")</f>
        <v/>
      </c>
      <c r="AC742" s="43">
        <f>(LayTable[[#This Row],[BackWin-Commission]]+LayTable[[#This Row],[BookieInnsats]])</f>
        <v>0</v>
      </c>
      <c r="AD742" s="43" t="e">
        <f>(LayTable[[#This Row],[LayWin-Commission]])+LayTable[[#This Row],[LayLiability]]</f>
        <v>#VALUE!</v>
      </c>
      <c r="AE742" s="43"/>
      <c r="AF742" s="181"/>
    </row>
    <row r="743" spans="1:32">
      <c r="A743" s="84"/>
      <c r="B743" s="39"/>
      <c r="C743" s="40"/>
      <c r="D743" s="41"/>
      <c r="E743" s="40"/>
      <c r="F743" s="41"/>
      <c r="G743" s="183"/>
      <c r="H743" s="38"/>
      <c r="I743" s="42"/>
      <c r="J743" s="42"/>
      <c r="K743" s="43"/>
      <c r="L743" s="43"/>
      <c r="M743" s="44" t="str">
        <f>IF(LayTable[[#This Row],[Sport]]="","",LayTable[[#This Row],[LayInnsats]]*(LayTable[[#This Row],[LayOdds]]-1))</f>
        <v/>
      </c>
      <c r="N743" s="45" t="str">
        <f>IF(LayTable[[#This Row],[Sport]]="","",1/((1/LayTable[[#This Row],[BookieOdds]])+(1/((1/((1+((LayTable[[#This Row],[LayOdds]]-1)*(1+LayTable[[#This Row],[C% Lay]])))-1))+1)))-1)</f>
        <v/>
      </c>
      <c r="Q743" s="46" t="str">
        <f>IF(LayTable[[#This Row],[Sport]]="","",LayTable[[#This Row],[BookieInnsats]]+LayTable[[#This Row],[LayLiability]])</f>
        <v/>
      </c>
      <c r="R7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3" s="47" t="str">
        <f>IF(LayTable[[#This Row],[Utfall bookie]]="","",LayTable[[#This Row],[WBABack]]+LayTable[[#This Row],[WBALay]]-LayTable[[#This Row],[Total inns]])</f>
        <v/>
      </c>
      <c r="U7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3" s="48" t="str">
        <f>IFERROR(IF(LayTable[[#This Row],[Total inns]]="","",LayTable[[#This Row],[Rback]]/LayTable[[#This Row],[Total inns]]),"")</f>
        <v/>
      </c>
      <c r="X743" s="48" t="str">
        <f>IFERROR(IF(LayTable[[#This Row],[Total inns]]="","",LayTable[[#This Row],[Rlay]]/LayTable[[#This Row],[Total inns]]),"")</f>
        <v/>
      </c>
      <c r="Y743" s="48" t="str">
        <f>IFERROR(LayTable[[#This Row],[Faktisk res]]/LayTable[[#This Row],[Total inns]],"")</f>
        <v/>
      </c>
      <c r="Z743" s="47">
        <f>(LayTable[[#This Row],[BookieInnsats]]*LayTable[[#This Row],[BookieOdds]]-LayTable[[#This Row],[BookieInnsats]])*(1-LayTable[[#This Row],[C% Bookie]])</f>
        <v>0</v>
      </c>
      <c r="AA743" s="43">
        <f>LayTable[[#This Row],[LayInnsats]]*(1-LayTable[[#This Row],[C% Lay]])</f>
        <v>0</v>
      </c>
      <c r="AB743" s="43" t="str">
        <f>IFERROR(IF(LayTable[[#This Row],[Sport]]="",AB742,LayTable[[#This Row],[Faktisk res]]+AB742),"")</f>
        <v/>
      </c>
      <c r="AC743" s="43">
        <f>(LayTable[[#This Row],[BackWin-Commission]]+LayTable[[#This Row],[BookieInnsats]])</f>
        <v>0</v>
      </c>
      <c r="AD743" s="43" t="e">
        <f>(LayTable[[#This Row],[LayWin-Commission]])+LayTable[[#This Row],[LayLiability]]</f>
        <v>#VALUE!</v>
      </c>
      <c r="AE743" s="43"/>
      <c r="AF743" s="183"/>
    </row>
    <row r="744" spans="1:32">
      <c r="A744" s="84"/>
      <c r="B744" s="39"/>
      <c r="C744" s="40"/>
      <c r="D744" s="41"/>
      <c r="E744" s="40"/>
      <c r="F744" s="41"/>
      <c r="G744" s="183"/>
      <c r="H744" s="38"/>
      <c r="I744" s="42"/>
      <c r="J744" s="42"/>
      <c r="K744" s="43"/>
      <c r="L744" s="43"/>
      <c r="M744" s="44" t="str">
        <f>IF(LayTable[[#This Row],[Sport]]="","",LayTable[[#This Row],[LayInnsats]]*(LayTable[[#This Row],[LayOdds]]-1))</f>
        <v/>
      </c>
      <c r="N744" s="45" t="str">
        <f>IF(LayTable[[#This Row],[Sport]]="","",1/((1/LayTable[[#This Row],[BookieOdds]])+(1/((1/((1+((LayTable[[#This Row],[LayOdds]]-1)*(1+LayTable[[#This Row],[C% Lay]])))-1))+1)))-1)</f>
        <v/>
      </c>
      <c r="Q744" s="46" t="str">
        <f>IF(LayTable[[#This Row],[Sport]]="","",LayTable[[#This Row],[BookieInnsats]]+LayTable[[#This Row],[LayLiability]])</f>
        <v/>
      </c>
      <c r="R7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4" s="47" t="str">
        <f>IF(LayTable[[#This Row],[Utfall bookie]]="","",LayTable[[#This Row],[WBABack]]+LayTable[[#This Row],[WBALay]]-LayTable[[#This Row],[Total inns]])</f>
        <v/>
      </c>
      <c r="U7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4" s="48" t="str">
        <f>IFERROR(IF(LayTable[[#This Row],[Total inns]]="","",LayTable[[#This Row],[Rback]]/LayTable[[#This Row],[Total inns]]),"")</f>
        <v/>
      </c>
      <c r="X744" s="48" t="str">
        <f>IFERROR(IF(LayTable[[#This Row],[Total inns]]="","",LayTable[[#This Row],[Rlay]]/LayTable[[#This Row],[Total inns]]),"")</f>
        <v/>
      </c>
      <c r="Y744" s="48" t="str">
        <f>IFERROR(LayTable[[#This Row],[Faktisk res]]/LayTable[[#This Row],[Total inns]],"")</f>
        <v/>
      </c>
      <c r="Z744" s="47">
        <f>(LayTable[[#This Row],[BookieInnsats]]*LayTable[[#This Row],[BookieOdds]]-LayTable[[#This Row],[BookieInnsats]])*(1-LayTable[[#This Row],[C% Bookie]])</f>
        <v>0</v>
      </c>
      <c r="AA744" s="43">
        <f>LayTable[[#This Row],[LayInnsats]]*(1-LayTable[[#This Row],[C% Lay]])</f>
        <v>0</v>
      </c>
      <c r="AB744" s="43" t="str">
        <f>IFERROR(IF(LayTable[[#This Row],[Sport]]="",AB743,LayTable[[#This Row],[Faktisk res]]+AB743),"")</f>
        <v/>
      </c>
      <c r="AC744" s="43">
        <f>(LayTable[[#This Row],[BackWin-Commission]]+LayTable[[#This Row],[BookieInnsats]])</f>
        <v>0</v>
      </c>
      <c r="AD744" s="43" t="e">
        <f>(LayTable[[#This Row],[LayWin-Commission]])+LayTable[[#This Row],[LayLiability]]</f>
        <v>#VALUE!</v>
      </c>
      <c r="AE744" s="43"/>
      <c r="AF744" s="183"/>
    </row>
    <row r="745" spans="1:32">
      <c r="A745" s="84"/>
      <c r="B745" s="39"/>
      <c r="C745" s="40"/>
      <c r="D745" s="41"/>
      <c r="E745" s="40"/>
      <c r="F745" s="41"/>
      <c r="G745" s="183"/>
      <c r="H745" s="38"/>
      <c r="I745" s="42"/>
      <c r="J745" s="42"/>
      <c r="K745" s="43"/>
      <c r="L745" s="43"/>
      <c r="M745" s="44" t="str">
        <f>IF(LayTable[[#This Row],[Sport]]="","",LayTable[[#This Row],[LayInnsats]]*(LayTable[[#This Row],[LayOdds]]-1))</f>
        <v/>
      </c>
      <c r="N745" s="45" t="str">
        <f>IF(LayTable[[#This Row],[Sport]]="","",1/((1/LayTable[[#This Row],[BookieOdds]])+(1/((1/((1+((LayTable[[#This Row],[LayOdds]]-1)*(1+LayTable[[#This Row],[C% Lay]])))-1))+1)))-1)</f>
        <v/>
      </c>
      <c r="Q745" s="46" t="str">
        <f>IF(LayTable[[#This Row],[Sport]]="","",LayTable[[#This Row],[BookieInnsats]]+LayTable[[#This Row],[LayLiability]])</f>
        <v/>
      </c>
      <c r="R7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5" s="47" t="str">
        <f>IF(LayTable[[#This Row],[Utfall bookie]]="","",LayTable[[#This Row],[WBABack]]+LayTable[[#This Row],[WBALay]]-LayTable[[#This Row],[Total inns]])</f>
        <v/>
      </c>
      <c r="U7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5" s="48" t="str">
        <f>IFERROR(IF(LayTable[[#This Row],[Total inns]]="","",LayTable[[#This Row],[Rback]]/LayTable[[#This Row],[Total inns]]),"")</f>
        <v/>
      </c>
      <c r="X745" s="48" t="str">
        <f>IFERROR(IF(LayTable[[#This Row],[Total inns]]="","",LayTable[[#This Row],[Rlay]]/LayTable[[#This Row],[Total inns]]),"")</f>
        <v/>
      </c>
      <c r="Y745" s="48" t="str">
        <f>IFERROR(LayTable[[#This Row],[Faktisk res]]/LayTable[[#This Row],[Total inns]],"")</f>
        <v/>
      </c>
      <c r="Z745" s="47">
        <f>(LayTable[[#This Row],[BookieInnsats]]*LayTable[[#This Row],[BookieOdds]]-LayTable[[#This Row],[BookieInnsats]])*(1-LayTable[[#This Row],[C% Bookie]])</f>
        <v>0</v>
      </c>
      <c r="AA745" s="43">
        <f>LayTable[[#This Row],[LayInnsats]]*(1-LayTable[[#This Row],[C% Lay]])</f>
        <v>0</v>
      </c>
      <c r="AB745" s="43" t="str">
        <f>IFERROR(IF(LayTable[[#This Row],[Sport]]="",AB744,LayTable[[#This Row],[Faktisk res]]+AB744),"")</f>
        <v/>
      </c>
      <c r="AC745" s="43">
        <f>(LayTable[[#This Row],[BackWin-Commission]]+LayTable[[#This Row],[BookieInnsats]])</f>
        <v>0</v>
      </c>
      <c r="AD745" s="43" t="e">
        <f>(LayTable[[#This Row],[LayWin-Commission]])+LayTable[[#This Row],[LayLiability]]</f>
        <v>#VALUE!</v>
      </c>
      <c r="AE745" s="43"/>
      <c r="AF745" s="183"/>
    </row>
    <row r="746" spans="1:32">
      <c r="A746" s="84"/>
      <c r="B746" s="39"/>
      <c r="C746" s="40"/>
      <c r="D746" s="41"/>
      <c r="E746" s="40"/>
      <c r="F746" s="41"/>
      <c r="G746" s="183"/>
      <c r="H746" s="38"/>
      <c r="I746" s="42"/>
      <c r="J746" s="42"/>
      <c r="K746" s="43"/>
      <c r="L746" s="43"/>
      <c r="M746" s="44" t="str">
        <f>IF(LayTable[[#This Row],[Sport]]="","",LayTable[[#This Row],[LayInnsats]]*(LayTable[[#This Row],[LayOdds]]-1))</f>
        <v/>
      </c>
      <c r="N746" s="45" t="str">
        <f>IF(LayTable[[#This Row],[Sport]]="","",1/((1/LayTable[[#This Row],[BookieOdds]])+(1/((1/((1+((LayTable[[#This Row],[LayOdds]]-1)*(1+LayTable[[#This Row],[C% Lay]])))-1))+1)))-1)</f>
        <v/>
      </c>
      <c r="Q746" s="46" t="str">
        <f>IF(LayTable[[#This Row],[Sport]]="","",LayTable[[#This Row],[BookieInnsats]]+LayTable[[#This Row],[LayLiability]])</f>
        <v/>
      </c>
      <c r="R7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6" s="47" t="str">
        <f>IF(LayTable[[#This Row],[Utfall bookie]]="","",LayTable[[#This Row],[WBABack]]+LayTable[[#This Row],[WBALay]]-LayTable[[#This Row],[Total inns]])</f>
        <v/>
      </c>
      <c r="U7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6" s="48" t="str">
        <f>IFERROR(IF(LayTable[[#This Row],[Total inns]]="","",LayTable[[#This Row],[Rback]]/LayTable[[#This Row],[Total inns]]),"")</f>
        <v/>
      </c>
      <c r="X746" s="48" t="str">
        <f>IFERROR(IF(LayTable[[#This Row],[Total inns]]="","",LayTable[[#This Row],[Rlay]]/LayTable[[#This Row],[Total inns]]),"")</f>
        <v/>
      </c>
      <c r="Y746" s="48" t="str">
        <f>IFERROR(LayTable[[#This Row],[Faktisk res]]/LayTable[[#This Row],[Total inns]],"")</f>
        <v/>
      </c>
      <c r="Z746" s="47">
        <f>(LayTable[[#This Row],[BookieInnsats]]*LayTable[[#This Row],[BookieOdds]]-LayTable[[#This Row],[BookieInnsats]])*(1-LayTable[[#This Row],[C% Bookie]])</f>
        <v>0</v>
      </c>
      <c r="AA746" s="43">
        <f>LayTable[[#This Row],[LayInnsats]]*(1-LayTable[[#This Row],[C% Lay]])</f>
        <v>0</v>
      </c>
      <c r="AB746" s="43" t="str">
        <f>IFERROR(IF(LayTable[[#This Row],[Sport]]="",AB745,LayTable[[#This Row],[Faktisk res]]+AB745),"")</f>
        <v/>
      </c>
      <c r="AC746" s="43">
        <f>(LayTable[[#This Row],[BackWin-Commission]]+LayTable[[#This Row],[BookieInnsats]])</f>
        <v>0</v>
      </c>
      <c r="AD746" s="43" t="e">
        <f>(LayTable[[#This Row],[LayWin-Commission]])+LayTable[[#This Row],[LayLiability]]</f>
        <v>#VALUE!</v>
      </c>
      <c r="AE746" s="43"/>
      <c r="AF746" s="183"/>
    </row>
    <row r="747" spans="1:32">
      <c r="A747" s="84"/>
      <c r="B747" s="39"/>
      <c r="C747" s="40"/>
      <c r="D747" s="41"/>
      <c r="E747" s="40"/>
      <c r="F747" s="41"/>
      <c r="G747" s="183"/>
      <c r="H747" s="38"/>
      <c r="I747" s="42"/>
      <c r="J747" s="42"/>
      <c r="K747" s="43"/>
      <c r="L747" s="43"/>
      <c r="M747" s="44" t="str">
        <f>IF(LayTable[[#This Row],[Sport]]="","",LayTable[[#This Row],[LayInnsats]]*(LayTable[[#This Row],[LayOdds]]-1))</f>
        <v/>
      </c>
      <c r="N747" s="45" t="str">
        <f>IF(LayTable[[#This Row],[Sport]]="","",1/((1/LayTable[[#This Row],[BookieOdds]])+(1/((1/((1+((LayTable[[#This Row],[LayOdds]]-1)*(1+LayTable[[#This Row],[C% Lay]])))-1))+1)))-1)</f>
        <v/>
      </c>
      <c r="Q747" s="46" t="str">
        <f>IF(LayTable[[#This Row],[Sport]]="","",LayTable[[#This Row],[BookieInnsats]]+LayTable[[#This Row],[LayLiability]])</f>
        <v/>
      </c>
      <c r="R7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7" s="47" t="str">
        <f>IF(LayTable[[#This Row],[Utfall bookie]]="","",LayTable[[#This Row],[WBABack]]+LayTable[[#This Row],[WBALay]]-LayTable[[#This Row],[Total inns]])</f>
        <v/>
      </c>
      <c r="U7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7" s="48" t="str">
        <f>IFERROR(IF(LayTable[[#This Row],[Total inns]]="","",LayTable[[#This Row],[Rback]]/LayTable[[#This Row],[Total inns]]),"")</f>
        <v/>
      </c>
      <c r="X747" s="48" t="str">
        <f>IFERROR(IF(LayTable[[#This Row],[Total inns]]="","",LayTable[[#This Row],[Rlay]]/LayTable[[#This Row],[Total inns]]),"")</f>
        <v/>
      </c>
      <c r="Y747" s="48" t="str">
        <f>IFERROR(LayTable[[#This Row],[Faktisk res]]/LayTable[[#This Row],[Total inns]],"")</f>
        <v/>
      </c>
      <c r="Z747" s="47">
        <f>(LayTable[[#This Row],[BookieInnsats]]*LayTable[[#This Row],[BookieOdds]]-LayTable[[#This Row],[BookieInnsats]])*(1-LayTable[[#This Row],[C% Bookie]])</f>
        <v>0</v>
      </c>
      <c r="AA747" s="43">
        <f>LayTable[[#This Row],[LayInnsats]]*(1-LayTable[[#This Row],[C% Lay]])</f>
        <v>0</v>
      </c>
      <c r="AB747" s="43" t="str">
        <f>IFERROR(IF(LayTable[[#This Row],[Sport]]="",AB746,LayTable[[#This Row],[Faktisk res]]+AB746),"")</f>
        <v/>
      </c>
      <c r="AC747" s="43">
        <f>(LayTable[[#This Row],[BackWin-Commission]]+LayTable[[#This Row],[BookieInnsats]])</f>
        <v>0</v>
      </c>
      <c r="AD747" s="43" t="e">
        <f>(LayTable[[#This Row],[LayWin-Commission]])+LayTable[[#This Row],[LayLiability]]</f>
        <v>#VALUE!</v>
      </c>
      <c r="AE747" s="43"/>
      <c r="AF747" s="183"/>
    </row>
    <row r="748" spans="1:32">
      <c r="A748" s="84"/>
      <c r="B748" s="39"/>
      <c r="C748" s="40"/>
      <c r="D748" s="41"/>
      <c r="E748" s="40"/>
      <c r="F748" s="41"/>
      <c r="G748" s="183"/>
      <c r="H748" s="38"/>
      <c r="I748" s="42"/>
      <c r="J748" s="42"/>
      <c r="K748" s="43"/>
      <c r="L748" s="43"/>
      <c r="M748" s="44" t="str">
        <f>IF(LayTable[[#This Row],[Sport]]="","",LayTable[[#This Row],[LayInnsats]]*(LayTable[[#This Row],[LayOdds]]-1))</f>
        <v/>
      </c>
      <c r="N748" s="45" t="str">
        <f>IF(LayTable[[#This Row],[Sport]]="","",1/((1/LayTable[[#This Row],[BookieOdds]])+(1/((1/((1+((LayTable[[#This Row],[LayOdds]]-1)*(1+LayTable[[#This Row],[C% Lay]])))-1))+1)))-1)</f>
        <v/>
      </c>
      <c r="Q748" s="46" t="str">
        <f>IF(LayTable[[#This Row],[Sport]]="","",LayTable[[#This Row],[BookieInnsats]]+LayTable[[#This Row],[LayLiability]])</f>
        <v/>
      </c>
      <c r="R7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8" s="47" t="str">
        <f>IF(LayTable[[#This Row],[Utfall bookie]]="","",LayTable[[#This Row],[WBABack]]+LayTable[[#This Row],[WBALay]]-LayTable[[#This Row],[Total inns]])</f>
        <v/>
      </c>
      <c r="U7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8" s="48" t="str">
        <f>IFERROR(IF(LayTable[[#This Row],[Total inns]]="","",LayTable[[#This Row],[Rback]]/LayTable[[#This Row],[Total inns]]),"")</f>
        <v/>
      </c>
      <c r="X748" s="48" t="str">
        <f>IFERROR(IF(LayTable[[#This Row],[Total inns]]="","",LayTable[[#This Row],[Rlay]]/LayTable[[#This Row],[Total inns]]),"")</f>
        <v/>
      </c>
      <c r="Y748" s="48" t="str">
        <f>IFERROR(LayTable[[#This Row],[Faktisk res]]/LayTable[[#This Row],[Total inns]],"")</f>
        <v/>
      </c>
      <c r="Z748" s="47">
        <f>(LayTable[[#This Row],[BookieInnsats]]*LayTable[[#This Row],[BookieOdds]]-LayTable[[#This Row],[BookieInnsats]])*(1-LayTable[[#This Row],[C% Bookie]])</f>
        <v>0</v>
      </c>
      <c r="AA748" s="43">
        <f>LayTable[[#This Row],[LayInnsats]]*(1-LayTable[[#This Row],[C% Lay]])</f>
        <v>0</v>
      </c>
      <c r="AB748" s="43" t="str">
        <f>IFERROR(IF(LayTable[[#This Row],[Sport]]="",AB747,LayTable[[#This Row],[Faktisk res]]+AB747),"")</f>
        <v/>
      </c>
      <c r="AC748" s="43">
        <f>(LayTable[[#This Row],[BackWin-Commission]]+LayTable[[#This Row],[BookieInnsats]])</f>
        <v>0</v>
      </c>
      <c r="AD748" s="43" t="e">
        <f>(LayTable[[#This Row],[LayWin-Commission]])+LayTable[[#This Row],[LayLiability]]</f>
        <v>#VALUE!</v>
      </c>
      <c r="AE748" s="43"/>
      <c r="AF748" s="183"/>
    </row>
    <row r="749" spans="1:32">
      <c r="A749" s="84"/>
      <c r="B749" s="39"/>
      <c r="C749" s="40"/>
      <c r="D749" s="41"/>
      <c r="E749" s="40"/>
      <c r="F749" s="41"/>
      <c r="G749" s="183"/>
      <c r="H749" s="38"/>
      <c r="I749" s="42"/>
      <c r="J749" s="42"/>
      <c r="K749" s="43"/>
      <c r="L749" s="43"/>
      <c r="M749" s="44" t="str">
        <f>IF(LayTable[[#This Row],[Sport]]="","",LayTable[[#This Row],[LayInnsats]]*(LayTable[[#This Row],[LayOdds]]-1))</f>
        <v/>
      </c>
      <c r="N749" s="45" t="str">
        <f>IF(LayTable[[#This Row],[Sport]]="","",1/((1/LayTable[[#This Row],[BookieOdds]])+(1/((1/((1+((LayTable[[#This Row],[LayOdds]]-1)*(1+LayTable[[#This Row],[C% Lay]])))-1))+1)))-1)</f>
        <v/>
      </c>
      <c r="Q749" s="46" t="str">
        <f>IF(LayTable[[#This Row],[Sport]]="","",LayTable[[#This Row],[BookieInnsats]]+LayTable[[#This Row],[LayLiability]])</f>
        <v/>
      </c>
      <c r="R7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49" s="47" t="str">
        <f>IF(LayTable[[#This Row],[Utfall bookie]]="","",LayTable[[#This Row],[WBABack]]+LayTable[[#This Row],[WBALay]]-LayTable[[#This Row],[Total inns]])</f>
        <v/>
      </c>
      <c r="U7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49" s="48" t="str">
        <f>IFERROR(IF(LayTable[[#This Row],[Total inns]]="","",LayTable[[#This Row],[Rback]]/LayTable[[#This Row],[Total inns]]),"")</f>
        <v/>
      </c>
      <c r="X749" s="48" t="str">
        <f>IFERROR(IF(LayTable[[#This Row],[Total inns]]="","",LayTable[[#This Row],[Rlay]]/LayTable[[#This Row],[Total inns]]),"")</f>
        <v/>
      </c>
      <c r="Y749" s="48" t="str">
        <f>IFERROR(LayTable[[#This Row],[Faktisk res]]/LayTable[[#This Row],[Total inns]],"")</f>
        <v/>
      </c>
      <c r="Z749" s="47">
        <f>(LayTable[[#This Row],[BookieInnsats]]*LayTable[[#This Row],[BookieOdds]]-LayTable[[#This Row],[BookieInnsats]])*(1-LayTable[[#This Row],[C% Bookie]])</f>
        <v>0</v>
      </c>
      <c r="AA749" s="43">
        <f>LayTable[[#This Row],[LayInnsats]]*(1-LayTable[[#This Row],[C% Lay]])</f>
        <v>0</v>
      </c>
      <c r="AB749" s="43" t="str">
        <f>IFERROR(IF(LayTable[[#This Row],[Sport]]="",AB748,LayTable[[#This Row],[Faktisk res]]+AB748),"")</f>
        <v/>
      </c>
      <c r="AC749" s="43">
        <f>(LayTable[[#This Row],[BackWin-Commission]]+LayTable[[#This Row],[BookieInnsats]])</f>
        <v>0</v>
      </c>
      <c r="AD749" s="43" t="e">
        <f>(LayTable[[#This Row],[LayWin-Commission]])+LayTable[[#This Row],[LayLiability]]</f>
        <v>#VALUE!</v>
      </c>
      <c r="AE749" s="181"/>
      <c r="AF749" s="183"/>
    </row>
    <row r="750" spans="1:32">
      <c r="A750" s="84"/>
      <c r="B750" s="39"/>
      <c r="C750" s="40"/>
      <c r="D750" s="41"/>
      <c r="E750" s="40"/>
      <c r="F750" s="41"/>
      <c r="G750" s="183"/>
      <c r="H750" s="38"/>
      <c r="I750" s="42"/>
      <c r="J750" s="42"/>
      <c r="K750" s="43"/>
      <c r="L750" s="43"/>
      <c r="M750" s="44" t="str">
        <f>IF(LayTable[[#This Row],[Sport]]="","",LayTable[[#This Row],[LayInnsats]]*(LayTable[[#This Row],[LayOdds]]-1))</f>
        <v/>
      </c>
      <c r="N750" s="45" t="str">
        <f>IF(LayTable[[#This Row],[Sport]]="","",1/((1/LayTable[[#This Row],[BookieOdds]])+(1/((1/((1+((LayTable[[#This Row],[LayOdds]]-1)*(1+LayTable[[#This Row],[C% Lay]])))-1))+1)))-1)</f>
        <v/>
      </c>
      <c r="Q750" s="46" t="str">
        <f>IF(LayTable[[#This Row],[Sport]]="","",LayTable[[#This Row],[BookieInnsats]]+LayTable[[#This Row],[LayLiability]])</f>
        <v/>
      </c>
      <c r="R7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0" s="47" t="str">
        <f>IF(LayTable[[#This Row],[Utfall bookie]]="","",LayTable[[#This Row],[WBABack]]+LayTable[[#This Row],[WBALay]]-LayTable[[#This Row],[Total inns]])</f>
        <v/>
      </c>
      <c r="U7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0" s="48" t="str">
        <f>IFERROR(IF(LayTable[[#This Row],[Total inns]]="","",LayTable[[#This Row],[Rback]]/LayTable[[#This Row],[Total inns]]),"")</f>
        <v/>
      </c>
      <c r="X750" s="48" t="str">
        <f>IFERROR(IF(LayTable[[#This Row],[Total inns]]="","",LayTable[[#This Row],[Rlay]]/LayTable[[#This Row],[Total inns]]),"")</f>
        <v/>
      </c>
      <c r="Y750" s="48" t="str">
        <f>IFERROR(LayTable[[#This Row],[Faktisk res]]/LayTable[[#This Row],[Total inns]],"")</f>
        <v/>
      </c>
      <c r="Z750" s="47">
        <f>(LayTable[[#This Row],[BookieInnsats]]*LayTable[[#This Row],[BookieOdds]]-LayTable[[#This Row],[BookieInnsats]])*(1-LayTable[[#This Row],[C% Bookie]])</f>
        <v>0</v>
      </c>
      <c r="AA750" s="43">
        <f>LayTable[[#This Row],[LayInnsats]]*(1-LayTable[[#This Row],[C% Lay]])</f>
        <v>0</v>
      </c>
      <c r="AB750" s="43" t="str">
        <f>IFERROR(IF(LayTable[[#This Row],[Sport]]="",AB749,LayTable[[#This Row],[Faktisk res]]+AB749),"")</f>
        <v/>
      </c>
      <c r="AC750" s="43">
        <f>(LayTable[[#This Row],[BackWin-Commission]]+LayTable[[#This Row],[BookieInnsats]])</f>
        <v>0</v>
      </c>
      <c r="AD750" s="43" t="e">
        <f>(LayTable[[#This Row],[LayWin-Commission]])+LayTable[[#This Row],[LayLiability]]</f>
        <v>#VALUE!</v>
      </c>
      <c r="AE750" s="181"/>
      <c r="AF750" s="183"/>
    </row>
    <row r="751" spans="1:32">
      <c r="A751" s="84"/>
      <c r="B751" s="39"/>
      <c r="C751" s="40"/>
      <c r="D751" s="41"/>
      <c r="E751" s="40"/>
      <c r="F751" s="41"/>
      <c r="G751" s="183"/>
      <c r="H751" s="38"/>
      <c r="I751" s="42"/>
      <c r="J751" s="42"/>
      <c r="K751" s="43"/>
      <c r="L751" s="43"/>
      <c r="M751" s="44" t="str">
        <f>IF(LayTable[[#This Row],[Sport]]="","",LayTable[[#This Row],[LayInnsats]]*(LayTable[[#This Row],[LayOdds]]-1))</f>
        <v/>
      </c>
      <c r="N751" s="45" t="str">
        <f>IF(LayTable[[#This Row],[Sport]]="","",1/((1/LayTable[[#This Row],[BookieOdds]])+(1/((1/((1+((LayTable[[#This Row],[LayOdds]]-1)*(1+LayTable[[#This Row],[C% Lay]])))-1))+1)))-1)</f>
        <v/>
      </c>
      <c r="Q751" s="46" t="str">
        <f>IF(LayTable[[#This Row],[Sport]]="","",LayTable[[#This Row],[BookieInnsats]]+LayTable[[#This Row],[LayLiability]])</f>
        <v/>
      </c>
      <c r="R7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1" s="47" t="str">
        <f>IF(LayTable[[#This Row],[Utfall bookie]]="","",LayTable[[#This Row],[WBABack]]+LayTable[[#This Row],[WBALay]]-LayTable[[#This Row],[Total inns]])</f>
        <v/>
      </c>
      <c r="U7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1" s="48" t="str">
        <f>IFERROR(IF(LayTable[[#This Row],[Total inns]]="","",LayTable[[#This Row],[Rback]]/LayTable[[#This Row],[Total inns]]),"")</f>
        <v/>
      </c>
      <c r="X751" s="48" t="str">
        <f>IFERROR(IF(LayTable[[#This Row],[Total inns]]="","",LayTable[[#This Row],[Rlay]]/LayTable[[#This Row],[Total inns]]),"")</f>
        <v/>
      </c>
      <c r="Y751" s="48" t="str">
        <f>IFERROR(LayTable[[#This Row],[Faktisk res]]/LayTable[[#This Row],[Total inns]],"")</f>
        <v/>
      </c>
      <c r="Z751" s="47">
        <f>(LayTable[[#This Row],[BookieInnsats]]*LayTable[[#This Row],[BookieOdds]]-LayTable[[#This Row],[BookieInnsats]])*(1-LayTable[[#This Row],[C% Bookie]])</f>
        <v>0</v>
      </c>
      <c r="AA751" s="43">
        <f>LayTable[[#This Row],[LayInnsats]]*(1-LayTable[[#This Row],[C% Lay]])</f>
        <v>0</v>
      </c>
      <c r="AB751" s="43" t="str">
        <f>IFERROR(IF(LayTable[[#This Row],[Sport]]="",AB750,LayTable[[#This Row],[Faktisk res]]+AB750),"")</f>
        <v/>
      </c>
      <c r="AC751" s="43">
        <f>(LayTable[[#This Row],[BackWin-Commission]]+LayTable[[#This Row],[BookieInnsats]])</f>
        <v>0</v>
      </c>
      <c r="AD751" s="43" t="e">
        <f>(LayTable[[#This Row],[LayWin-Commission]])+LayTable[[#This Row],[LayLiability]]</f>
        <v>#VALUE!</v>
      </c>
      <c r="AE751" s="319"/>
      <c r="AF751" s="183"/>
    </row>
    <row r="752" spans="1:32">
      <c r="A752" s="84"/>
      <c r="B752" s="39"/>
      <c r="C752" s="40"/>
      <c r="D752" s="41"/>
      <c r="E752" s="40"/>
      <c r="F752" s="41"/>
      <c r="G752" s="183"/>
      <c r="H752" s="38"/>
      <c r="I752" s="42"/>
      <c r="J752" s="42"/>
      <c r="K752" s="43"/>
      <c r="L752" s="43"/>
      <c r="M752" s="44" t="str">
        <f>IF(LayTable[[#This Row],[Sport]]="","",LayTable[[#This Row],[LayInnsats]]*(LayTable[[#This Row],[LayOdds]]-1))</f>
        <v/>
      </c>
      <c r="N752" s="45" t="str">
        <f>IF(LayTable[[#This Row],[Sport]]="","",1/((1/LayTable[[#This Row],[BookieOdds]])+(1/((1/((1+((LayTable[[#This Row],[LayOdds]]-1)*(1+LayTable[[#This Row],[C% Lay]])))-1))+1)))-1)</f>
        <v/>
      </c>
      <c r="Q752" s="46" t="str">
        <f>IF(LayTable[[#This Row],[Sport]]="","",LayTable[[#This Row],[BookieInnsats]]+LayTable[[#This Row],[LayLiability]])</f>
        <v/>
      </c>
      <c r="R7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2" s="47" t="str">
        <f>IF(LayTable[[#This Row],[Utfall bookie]]="","",LayTable[[#This Row],[WBABack]]+LayTable[[#This Row],[WBALay]]-LayTable[[#This Row],[Total inns]])</f>
        <v/>
      </c>
      <c r="U7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2" s="48" t="str">
        <f>IFERROR(IF(LayTable[[#This Row],[Total inns]]="","",LayTable[[#This Row],[Rback]]/LayTable[[#This Row],[Total inns]]),"")</f>
        <v/>
      </c>
      <c r="X752" s="48" t="str">
        <f>IFERROR(IF(LayTable[[#This Row],[Total inns]]="","",LayTable[[#This Row],[Rlay]]/LayTable[[#This Row],[Total inns]]),"")</f>
        <v/>
      </c>
      <c r="Y752" s="48" t="str">
        <f>IFERROR(LayTable[[#This Row],[Faktisk res]]/LayTable[[#This Row],[Total inns]],"")</f>
        <v/>
      </c>
      <c r="Z752" s="47">
        <f>(LayTable[[#This Row],[BookieInnsats]]*LayTable[[#This Row],[BookieOdds]]-LayTable[[#This Row],[BookieInnsats]])*(1-LayTable[[#This Row],[C% Bookie]])</f>
        <v>0</v>
      </c>
      <c r="AA752" s="43">
        <f>LayTable[[#This Row],[LayInnsats]]*(1-LayTable[[#This Row],[C% Lay]])</f>
        <v>0</v>
      </c>
      <c r="AB752" s="43" t="str">
        <f>IFERROR(IF(LayTable[[#This Row],[Sport]]="",AB751,LayTable[[#This Row],[Faktisk res]]+AB751),"")</f>
        <v/>
      </c>
      <c r="AC752" s="43">
        <f>(LayTable[[#This Row],[BackWin-Commission]]+LayTable[[#This Row],[BookieInnsats]])</f>
        <v>0</v>
      </c>
      <c r="AD752" s="43" t="e">
        <f>(LayTable[[#This Row],[LayWin-Commission]])+LayTable[[#This Row],[LayLiability]]</f>
        <v>#VALUE!</v>
      </c>
      <c r="AE752" s="181"/>
      <c r="AF752" s="183"/>
    </row>
    <row r="753" spans="1:32">
      <c r="A753" s="84"/>
      <c r="B753" s="39"/>
      <c r="C753" s="40"/>
      <c r="D753" s="41"/>
      <c r="E753" s="40"/>
      <c r="F753" s="41"/>
      <c r="G753" s="183"/>
      <c r="H753" s="38"/>
      <c r="I753" s="42"/>
      <c r="J753" s="42"/>
      <c r="K753" s="43"/>
      <c r="L753" s="43"/>
      <c r="M753" s="44" t="str">
        <f>IF(LayTable[[#This Row],[Sport]]="","",LayTable[[#This Row],[LayInnsats]]*(LayTable[[#This Row],[LayOdds]]-1))</f>
        <v/>
      </c>
      <c r="N753" s="45" t="str">
        <f>IF(LayTable[[#This Row],[Sport]]="","",1/((1/LayTable[[#This Row],[BookieOdds]])+(1/((1/((1+((LayTable[[#This Row],[LayOdds]]-1)*(1+LayTable[[#This Row],[C% Lay]])))-1))+1)))-1)</f>
        <v/>
      </c>
      <c r="Q753" s="46" t="str">
        <f>IF(LayTable[[#This Row],[Sport]]="","",LayTable[[#This Row],[BookieInnsats]]+LayTable[[#This Row],[LayLiability]])</f>
        <v/>
      </c>
      <c r="R7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3" s="47" t="str">
        <f>IF(LayTable[[#This Row],[Utfall bookie]]="","",LayTable[[#This Row],[WBABack]]+LayTable[[#This Row],[WBALay]]-LayTable[[#This Row],[Total inns]])</f>
        <v/>
      </c>
      <c r="U7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3" s="48" t="str">
        <f>IFERROR(IF(LayTable[[#This Row],[Total inns]]="","",LayTable[[#This Row],[Rback]]/LayTable[[#This Row],[Total inns]]),"")</f>
        <v/>
      </c>
      <c r="X753" s="48" t="str">
        <f>IFERROR(IF(LayTable[[#This Row],[Total inns]]="","",LayTable[[#This Row],[Rlay]]/LayTable[[#This Row],[Total inns]]),"")</f>
        <v/>
      </c>
      <c r="Y753" s="48" t="str">
        <f>IFERROR(LayTable[[#This Row],[Faktisk res]]/LayTable[[#This Row],[Total inns]],"")</f>
        <v/>
      </c>
      <c r="Z753" s="47">
        <f>(LayTable[[#This Row],[BookieInnsats]]*LayTable[[#This Row],[BookieOdds]]-LayTable[[#This Row],[BookieInnsats]])*(1-LayTable[[#This Row],[C% Bookie]])</f>
        <v>0</v>
      </c>
      <c r="AA753" s="43">
        <f>LayTable[[#This Row],[LayInnsats]]*(1-LayTable[[#This Row],[C% Lay]])</f>
        <v>0</v>
      </c>
      <c r="AB753" s="43" t="str">
        <f>IFERROR(IF(LayTable[[#This Row],[Sport]]="",AB752,LayTable[[#This Row],[Faktisk res]]+AB752),"")</f>
        <v/>
      </c>
      <c r="AC753" s="43">
        <f>(LayTable[[#This Row],[BackWin-Commission]]+LayTable[[#This Row],[BookieInnsats]])</f>
        <v>0</v>
      </c>
      <c r="AD753" s="43" t="e">
        <f>(LayTable[[#This Row],[LayWin-Commission]])+LayTable[[#This Row],[LayLiability]]</f>
        <v>#VALUE!</v>
      </c>
      <c r="AE753" s="318"/>
      <c r="AF753" s="183"/>
    </row>
    <row r="754" spans="1:32">
      <c r="A754" s="84"/>
      <c r="B754" s="39"/>
      <c r="C754" s="40"/>
      <c r="D754" s="41"/>
      <c r="E754" s="40"/>
      <c r="F754" s="41"/>
      <c r="G754" s="183"/>
      <c r="H754" s="38"/>
      <c r="I754" s="42"/>
      <c r="J754" s="42"/>
      <c r="K754" s="43"/>
      <c r="L754" s="43"/>
      <c r="M754" s="44" t="str">
        <f>IF(LayTable[[#This Row],[Sport]]="","",LayTable[[#This Row],[LayInnsats]]*(LayTable[[#This Row],[LayOdds]]-1))</f>
        <v/>
      </c>
      <c r="N754" s="45" t="str">
        <f>IF(LayTable[[#This Row],[Sport]]="","",1/((1/LayTable[[#This Row],[BookieOdds]])+(1/((1/((1+((LayTable[[#This Row],[LayOdds]]-1)*(1+LayTable[[#This Row],[C% Lay]])))-1))+1)))-1)</f>
        <v/>
      </c>
      <c r="Q754" s="46" t="str">
        <f>IF(LayTable[[#This Row],[Sport]]="","",LayTable[[#This Row],[BookieInnsats]]+LayTable[[#This Row],[LayLiability]])</f>
        <v/>
      </c>
      <c r="R7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4" s="47" t="str">
        <f>IF(LayTable[[#This Row],[Utfall bookie]]="","",LayTable[[#This Row],[WBABack]]+LayTable[[#This Row],[WBALay]]-LayTable[[#This Row],[Total inns]])</f>
        <v/>
      </c>
      <c r="U7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4" s="48" t="str">
        <f>IFERROR(IF(LayTable[[#This Row],[Total inns]]="","",LayTable[[#This Row],[Rback]]/LayTable[[#This Row],[Total inns]]),"")</f>
        <v/>
      </c>
      <c r="X754" s="48" t="str">
        <f>IFERROR(IF(LayTable[[#This Row],[Total inns]]="","",LayTable[[#This Row],[Rlay]]/LayTable[[#This Row],[Total inns]]),"")</f>
        <v/>
      </c>
      <c r="Y754" s="48" t="str">
        <f>IFERROR(LayTable[[#This Row],[Faktisk res]]/LayTable[[#This Row],[Total inns]],"")</f>
        <v/>
      </c>
      <c r="Z754" s="47">
        <f>(LayTable[[#This Row],[BookieInnsats]]*LayTable[[#This Row],[BookieOdds]]-LayTable[[#This Row],[BookieInnsats]])*(1-LayTable[[#This Row],[C% Bookie]])</f>
        <v>0</v>
      </c>
      <c r="AA754" s="43">
        <f>LayTable[[#This Row],[LayInnsats]]*(1-LayTable[[#This Row],[C% Lay]])</f>
        <v>0</v>
      </c>
      <c r="AB754" s="43" t="str">
        <f>IFERROR(IF(LayTable[[#This Row],[Sport]]="",AB753,LayTable[[#This Row],[Faktisk res]]+AB753),"")</f>
        <v/>
      </c>
      <c r="AC754" s="43">
        <f>(LayTable[[#This Row],[BackWin-Commission]]+LayTable[[#This Row],[BookieInnsats]])</f>
        <v>0</v>
      </c>
      <c r="AD754" s="43" t="e">
        <f>(LayTable[[#This Row],[LayWin-Commission]])+LayTable[[#This Row],[LayLiability]]</f>
        <v>#VALUE!</v>
      </c>
      <c r="AE754" s="319"/>
      <c r="AF754" s="183"/>
    </row>
    <row r="755" spans="1:32">
      <c r="A755" s="84"/>
      <c r="B755" s="39"/>
      <c r="C755" s="40"/>
      <c r="D755" s="41"/>
      <c r="E755" s="40"/>
      <c r="F755" s="41"/>
      <c r="G755" s="183"/>
      <c r="H755" s="38"/>
      <c r="I755" s="42"/>
      <c r="J755" s="42"/>
      <c r="K755" s="43"/>
      <c r="L755" s="43"/>
      <c r="M755" s="44" t="str">
        <f>IF(LayTable[[#This Row],[Sport]]="","",LayTable[[#This Row],[LayInnsats]]*(LayTable[[#This Row],[LayOdds]]-1))</f>
        <v/>
      </c>
      <c r="N755" s="45" t="str">
        <f>IF(LayTable[[#This Row],[Sport]]="","",1/((1/LayTable[[#This Row],[BookieOdds]])+(1/((1/((1+((LayTable[[#This Row],[LayOdds]]-1)*(1+LayTable[[#This Row],[C% Lay]])))-1))+1)))-1)</f>
        <v/>
      </c>
      <c r="Q755" s="46" t="str">
        <f>IF(LayTable[[#This Row],[Sport]]="","",LayTable[[#This Row],[BookieInnsats]]+LayTable[[#This Row],[LayLiability]])</f>
        <v/>
      </c>
      <c r="R7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5" s="47" t="str">
        <f>IF(LayTable[[#This Row],[Utfall bookie]]="","",LayTable[[#This Row],[WBABack]]+LayTable[[#This Row],[WBALay]]-LayTable[[#This Row],[Total inns]])</f>
        <v/>
      </c>
      <c r="U7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5" s="48" t="str">
        <f>IFERROR(IF(LayTable[[#This Row],[Total inns]]="","",LayTable[[#This Row],[Rback]]/LayTable[[#This Row],[Total inns]]),"")</f>
        <v/>
      </c>
      <c r="X755" s="48" t="str">
        <f>IFERROR(IF(LayTable[[#This Row],[Total inns]]="","",LayTable[[#This Row],[Rlay]]/LayTable[[#This Row],[Total inns]]),"")</f>
        <v/>
      </c>
      <c r="Y755" s="48" t="str">
        <f>IFERROR(LayTable[[#This Row],[Faktisk res]]/LayTable[[#This Row],[Total inns]],"")</f>
        <v/>
      </c>
      <c r="Z755" s="47">
        <f>(LayTable[[#This Row],[BookieInnsats]]*LayTable[[#This Row],[BookieOdds]]-LayTable[[#This Row],[BookieInnsats]])*(1-LayTable[[#This Row],[C% Bookie]])</f>
        <v>0</v>
      </c>
      <c r="AA755" s="43">
        <f>LayTable[[#This Row],[LayInnsats]]*(1-LayTable[[#This Row],[C% Lay]])</f>
        <v>0</v>
      </c>
      <c r="AB755" s="43" t="str">
        <f>IFERROR(IF(LayTable[[#This Row],[Sport]]="",AB754,LayTable[[#This Row],[Faktisk res]]+AB754),"")</f>
        <v/>
      </c>
      <c r="AC755" s="43">
        <f>(LayTable[[#This Row],[BackWin-Commission]]+LayTable[[#This Row],[BookieInnsats]])</f>
        <v>0</v>
      </c>
      <c r="AD755" s="43" t="e">
        <f>(LayTable[[#This Row],[LayWin-Commission]])+LayTable[[#This Row],[LayLiability]]</f>
        <v>#VALUE!</v>
      </c>
      <c r="AE755" s="319"/>
      <c r="AF755" s="183"/>
    </row>
    <row r="756" spans="1:32">
      <c r="A756" s="84"/>
      <c r="B756" s="39"/>
      <c r="C756" s="40"/>
      <c r="D756" s="41"/>
      <c r="E756" s="40"/>
      <c r="F756" s="41"/>
      <c r="G756" s="183"/>
      <c r="H756" s="38"/>
      <c r="I756" s="42"/>
      <c r="J756" s="42"/>
      <c r="K756" s="43"/>
      <c r="L756" s="43"/>
      <c r="M756" s="44" t="str">
        <f>IF(LayTable[[#This Row],[Sport]]="","",LayTable[[#This Row],[LayInnsats]]*(LayTable[[#This Row],[LayOdds]]-1))</f>
        <v/>
      </c>
      <c r="N756" s="45" t="str">
        <f>IF(LayTable[[#This Row],[Sport]]="","",1/((1/LayTable[[#This Row],[BookieOdds]])+(1/((1/((1+((LayTable[[#This Row],[LayOdds]]-1)*(1+LayTable[[#This Row],[C% Lay]])))-1))+1)))-1)</f>
        <v/>
      </c>
      <c r="Q756" s="46" t="str">
        <f>IF(LayTable[[#This Row],[Sport]]="","",LayTable[[#This Row],[BookieInnsats]]+LayTable[[#This Row],[LayLiability]])</f>
        <v/>
      </c>
      <c r="R7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6" s="47" t="str">
        <f>IF(LayTable[[#This Row],[Utfall bookie]]="","",LayTable[[#This Row],[WBABack]]+LayTable[[#This Row],[WBALay]]-LayTable[[#This Row],[Total inns]])</f>
        <v/>
      </c>
      <c r="U7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6" s="48" t="str">
        <f>IFERROR(IF(LayTable[[#This Row],[Total inns]]="","",LayTable[[#This Row],[Rback]]/LayTable[[#This Row],[Total inns]]),"")</f>
        <v/>
      </c>
      <c r="X756" s="48" t="str">
        <f>IFERROR(IF(LayTable[[#This Row],[Total inns]]="","",LayTable[[#This Row],[Rlay]]/LayTable[[#This Row],[Total inns]]),"")</f>
        <v/>
      </c>
      <c r="Y756" s="48" t="str">
        <f>IFERROR(LayTable[[#This Row],[Faktisk res]]/LayTable[[#This Row],[Total inns]],"")</f>
        <v/>
      </c>
      <c r="Z756" s="47">
        <f>(LayTable[[#This Row],[BookieInnsats]]*LayTable[[#This Row],[BookieOdds]]-LayTable[[#This Row],[BookieInnsats]])*(1-LayTable[[#This Row],[C% Bookie]])</f>
        <v>0</v>
      </c>
      <c r="AA756" s="43">
        <f>LayTable[[#This Row],[LayInnsats]]*(1-LayTable[[#This Row],[C% Lay]])</f>
        <v>0</v>
      </c>
      <c r="AB756" s="43" t="str">
        <f>IFERROR(IF(LayTable[[#This Row],[Sport]]="",AB755,LayTable[[#This Row],[Faktisk res]]+AB755),"")</f>
        <v/>
      </c>
      <c r="AC756" s="43">
        <f>(LayTable[[#This Row],[BackWin-Commission]]+LayTable[[#This Row],[BookieInnsats]])</f>
        <v>0</v>
      </c>
      <c r="AD756" s="43" t="e">
        <f>(LayTable[[#This Row],[LayWin-Commission]])+LayTable[[#This Row],[LayLiability]]</f>
        <v>#VALUE!</v>
      </c>
      <c r="AE756" s="319"/>
      <c r="AF756" s="183"/>
    </row>
    <row r="757" spans="1:32">
      <c r="A757" s="84"/>
      <c r="B757" s="39"/>
      <c r="C757" s="40"/>
      <c r="D757" s="41"/>
      <c r="E757" s="40"/>
      <c r="F757" s="41"/>
      <c r="G757" s="183"/>
      <c r="H757" s="38"/>
      <c r="I757" s="42"/>
      <c r="J757" s="42"/>
      <c r="K757" s="43"/>
      <c r="L757" s="43"/>
      <c r="M757" s="44" t="str">
        <f>IF(LayTable[[#This Row],[Sport]]="","",LayTable[[#This Row],[LayInnsats]]*(LayTable[[#This Row],[LayOdds]]-1))</f>
        <v/>
      </c>
      <c r="N757" s="45" t="str">
        <f>IF(LayTable[[#This Row],[Sport]]="","",1/((1/LayTable[[#This Row],[BookieOdds]])+(1/((1/((1+((LayTable[[#This Row],[LayOdds]]-1)*(1+LayTable[[#This Row],[C% Lay]])))-1))+1)))-1)</f>
        <v/>
      </c>
      <c r="Q757" s="46" t="str">
        <f>IF(LayTable[[#This Row],[Sport]]="","",LayTable[[#This Row],[BookieInnsats]]+LayTable[[#This Row],[LayLiability]])</f>
        <v/>
      </c>
      <c r="R7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7" s="47" t="str">
        <f>IF(LayTable[[#This Row],[Utfall bookie]]="","",LayTable[[#This Row],[WBABack]]+LayTable[[#This Row],[WBALay]]-LayTable[[#This Row],[Total inns]])</f>
        <v/>
      </c>
      <c r="U7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7" s="48" t="str">
        <f>IFERROR(IF(LayTable[[#This Row],[Total inns]]="","",LayTable[[#This Row],[Rback]]/LayTable[[#This Row],[Total inns]]),"")</f>
        <v/>
      </c>
      <c r="X757" s="48" t="str">
        <f>IFERROR(IF(LayTable[[#This Row],[Total inns]]="","",LayTable[[#This Row],[Rlay]]/LayTable[[#This Row],[Total inns]]),"")</f>
        <v/>
      </c>
      <c r="Y757" s="48" t="str">
        <f>IFERROR(LayTable[[#This Row],[Faktisk res]]/LayTable[[#This Row],[Total inns]],"")</f>
        <v/>
      </c>
      <c r="Z757" s="47">
        <f>(LayTable[[#This Row],[BookieInnsats]]*LayTable[[#This Row],[BookieOdds]]-LayTable[[#This Row],[BookieInnsats]])*(1-LayTable[[#This Row],[C% Bookie]])</f>
        <v>0</v>
      </c>
      <c r="AA757" s="43">
        <f>LayTable[[#This Row],[LayInnsats]]*(1-LayTable[[#This Row],[C% Lay]])</f>
        <v>0</v>
      </c>
      <c r="AB757" s="43" t="str">
        <f>IFERROR(IF(LayTable[[#This Row],[Sport]]="",AB756,LayTable[[#This Row],[Faktisk res]]+AB756),"")</f>
        <v/>
      </c>
      <c r="AC757" s="43">
        <f>(LayTable[[#This Row],[BackWin-Commission]]+LayTable[[#This Row],[BookieInnsats]])</f>
        <v>0</v>
      </c>
      <c r="AD757" s="43" t="e">
        <f>(LayTable[[#This Row],[LayWin-Commission]])+LayTable[[#This Row],[LayLiability]]</f>
        <v>#VALUE!</v>
      </c>
      <c r="AE757" s="319"/>
      <c r="AF757" s="183"/>
    </row>
    <row r="758" spans="1:32">
      <c r="A758" s="84"/>
      <c r="B758" s="39"/>
      <c r="C758" s="40"/>
      <c r="D758" s="41"/>
      <c r="E758" s="40"/>
      <c r="F758" s="41"/>
      <c r="G758" s="183"/>
      <c r="H758" s="38"/>
      <c r="I758" s="42"/>
      <c r="J758" s="42"/>
      <c r="K758" s="43"/>
      <c r="L758" s="43"/>
      <c r="M758" s="44" t="str">
        <f>IF(LayTable[[#This Row],[Sport]]="","",LayTable[[#This Row],[LayInnsats]]*(LayTable[[#This Row],[LayOdds]]-1))</f>
        <v/>
      </c>
      <c r="N758" s="45" t="str">
        <f>IF(LayTable[[#This Row],[Sport]]="","",1/((1/LayTable[[#This Row],[BookieOdds]])+(1/((1/((1+((LayTable[[#This Row],[LayOdds]]-1)*(1+LayTable[[#This Row],[C% Lay]])))-1))+1)))-1)</f>
        <v/>
      </c>
      <c r="Q758" s="46" t="str">
        <f>IF(LayTable[[#This Row],[Sport]]="","",LayTable[[#This Row],[BookieInnsats]]+LayTable[[#This Row],[LayLiability]])</f>
        <v/>
      </c>
      <c r="R7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8" s="47" t="str">
        <f>IF(LayTable[[#This Row],[Utfall bookie]]="","",LayTable[[#This Row],[WBABack]]+LayTable[[#This Row],[WBALay]]-LayTable[[#This Row],[Total inns]])</f>
        <v/>
      </c>
      <c r="U7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8" s="48" t="str">
        <f>IFERROR(IF(LayTable[[#This Row],[Total inns]]="","",LayTable[[#This Row],[Rback]]/LayTable[[#This Row],[Total inns]]),"")</f>
        <v/>
      </c>
      <c r="X758" s="48" t="str">
        <f>IFERROR(IF(LayTable[[#This Row],[Total inns]]="","",LayTable[[#This Row],[Rlay]]/LayTable[[#This Row],[Total inns]]),"")</f>
        <v/>
      </c>
      <c r="Y758" s="48" t="str">
        <f>IFERROR(LayTable[[#This Row],[Faktisk res]]/LayTable[[#This Row],[Total inns]],"")</f>
        <v/>
      </c>
      <c r="Z758" s="47">
        <f>(LayTable[[#This Row],[BookieInnsats]]*LayTable[[#This Row],[BookieOdds]]-LayTable[[#This Row],[BookieInnsats]])*(1-LayTable[[#This Row],[C% Bookie]])</f>
        <v>0</v>
      </c>
      <c r="AA758" s="43">
        <f>LayTable[[#This Row],[LayInnsats]]*(1-LayTable[[#This Row],[C% Lay]])</f>
        <v>0</v>
      </c>
      <c r="AB758" s="43" t="str">
        <f>IFERROR(IF(LayTable[[#This Row],[Sport]]="",AB757,LayTable[[#This Row],[Faktisk res]]+AB757),"")</f>
        <v/>
      </c>
      <c r="AC758" s="43">
        <f>(LayTable[[#This Row],[BackWin-Commission]]+LayTable[[#This Row],[BookieInnsats]])</f>
        <v>0</v>
      </c>
      <c r="AD758" s="43" t="e">
        <f>(LayTable[[#This Row],[LayWin-Commission]])+LayTable[[#This Row],[LayLiability]]</f>
        <v>#VALUE!</v>
      </c>
      <c r="AE758" s="319"/>
      <c r="AF758" s="183"/>
    </row>
    <row r="759" spans="1:32">
      <c r="A759" s="84"/>
      <c r="B759" s="39"/>
      <c r="C759" s="40"/>
      <c r="D759" s="41"/>
      <c r="E759" s="40"/>
      <c r="F759" s="41"/>
      <c r="G759" s="183"/>
      <c r="H759" s="38"/>
      <c r="I759" s="42"/>
      <c r="J759" s="42"/>
      <c r="K759" s="43"/>
      <c r="L759" s="43"/>
      <c r="M759" s="44" t="str">
        <f>IF(LayTable[[#This Row],[Sport]]="","",LayTable[[#This Row],[LayInnsats]]*(LayTable[[#This Row],[LayOdds]]-1))</f>
        <v/>
      </c>
      <c r="N759" s="45" t="str">
        <f>IF(LayTable[[#This Row],[Sport]]="","",1/((1/LayTable[[#This Row],[BookieOdds]])+(1/((1/((1+((LayTable[[#This Row],[LayOdds]]-1)*(1+LayTable[[#This Row],[C% Lay]])))-1))+1)))-1)</f>
        <v/>
      </c>
      <c r="Q759" s="46" t="str">
        <f>IF(LayTable[[#This Row],[Sport]]="","",LayTable[[#This Row],[BookieInnsats]]+LayTable[[#This Row],[LayLiability]])</f>
        <v/>
      </c>
      <c r="R7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59" s="47" t="str">
        <f>IF(LayTable[[#This Row],[Utfall bookie]]="","",LayTable[[#This Row],[WBABack]]+LayTable[[#This Row],[WBALay]]-LayTable[[#This Row],[Total inns]])</f>
        <v/>
      </c>
      <c r="U7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59" s="48" t="str">
        <f>IFERROR(IF(LayTable[[#This Row],[Total inns]]="","",LayTable[[#This Row],[Rback]]/LayTable[[#This Row],[Total inns]]),"")</f>
        <v/>
      </c>
      <c r="X759" s="48" t="str">
        <f>IFERROR(IF(LayTable[[#This Row],[Total inns]]="","",LayTable[[#This Row],[Rlay]]/LayTable[[#This Row],[Total inns]]),"")</f>
        <v/>
      </c>
      <c r="Y759" s="48" t="str">
        <f>IFERROR(LayTable[[#This Row],[Faktisk res]]/LayTable[[#This Row],[Total inns]],"")</f>
        <v/>
      </c>
      <c r="Z759" s="47">
        <f>(LayTable[[#This Row],[BookieInnsats]]*LayTable[[#This Row],[BookieOdds]]-LayTable[[#This Row],[BookieInnsats]])*(1-LayTable[[#This Row],[C% Bookie]])</f>
        <v>0</v>
      </c>
      <c r="AA759" s="43">
        <f>LayTable[[#This Row],[LayInnsats]]*(1-LayTable[[#This Row],[C% Lay]])</f>
        <v>0</v>
      </c>
      <c r="AB759" s="43" t="str">
        <f>IFERROR(IF(LayTable[[#This Row],[Sport]]="",AB758,LayTable[[#This Row],[Faktisk res]]+AB758),"")</f>
        <v/>
      </c>
      <c r="AC759" s="43">
        <f>(LayTable[[#This Row],[BackWin-Commission]]+LayTable[[#This Row],[BookieInnsats]])</f>
        <v>0</v>
      </c>
      <c r="AD759" s="43" t="e">
        <f>(LayTable[[#This Row],[LayWin-Commission]])+LayTable[[#This Row],[LayLiability]]</f>
        <v>#VALUE!</v>
      </c>
      <c r="AE759" s="319"/>
      <c r="AF759" s="183"/>
    </row>
    <row r="760" spans="1:32">
      <c r="A760" s="84"/>
      <c r="B760" s="39"/>
      <c r="C760" s="40"/>
      <c r="D760" s="41"/>
      <c r="E760" s="40"/>
      <c r="F760" s="41"/>
      <c r="G760" s="183"/>
      <c r="H760" s="38"/>
      <c r="I760" s="42"/>
      <c r="J760" s="42"/>
      <c r="K760" s="43"/>
      <c r="L760" s="43"/>
      <c r="M760" s="44" t="str">
        <f>IF(LayTable[[#This Row],[Sport]]="","",LayTable[[#This Row],[LayInnsats]]*(LayTable[[#This Row],[LayOdds]]-1))</f>
        <v/>
      </c>
      <c r="N760" s="45" t="str">
        <f>IF(LayTable[[#This Row],[Sport]]="","",1/((1/LayTable[[#This Row],[BookieOdds]])+(1/((1/((1+((LayTable[[#This Row],[LayOdds]]-1)*(1+LayTable[[#This Row],[C% Lay]])))-1))+1)))-1)</f>
        <v/>
      </c>
      <c r="Q760" s="46" t="str">
        <f>IF(LayTable[[#This Row],[Sport]]="","",LayTable[[#This Row],[BookieInnsats]]+LayTable[[#This Row],[LayLiability]])</f>
        <v/>
      </c>
      <c r="R7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0" s="47" t="str">
        <f>IF(LayTable[[#This Row],[Utfall bookie]]="","",LayTable[[#This Row],[WBABack]]+LayTable[[#This Row],[WBALay]]-LayTable[[#This Row],[Total inns]])</f>
        <v/>
      </c>
      <c r="U7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0" s="48" t="str">
        <f>IFERROR(IF(LayTable[[#This Row],[Total inns]]="","",LayTable[[#This Row],[Rback]]/LayTable[[#This Row],[Total inns]]),"")</f>
        <v/>
      </c>
      <c r="X760" s="48" t="str">
        <f>IFERROR(IF(LayTable[[#This Row],[Total inns]]="","",LayTable[[#This Row],[Rlay]]/LayTable[[#This Row],[Total inns]]),"")</f>
        <v/>
      </c>
      <c r="Y760" s="48" t="str">
        <f>IFERROR(LayTable[[#This Row],[Faktisk res]]/LayTable[[#This Row],[Total inns]],"")</f>
        <v/>
      </c>
      <c r="Z760" s="47">
        <f>(LayTable[[#This Row],[BookieInnsats]]*LayTable[[#This Row],[BookieOdds]]-LayTable[[#This Row],[BookieInnsats]])*(1-LayTable[[#This Row],[C% Bookie]])</f>
        <v>0</v>
      </c>
      <c r="AA760" s="43">
        <f>LayTable[[#This Row],[LayInnsats]]*(1-LayTable[[#This Row],[C% Lay]])</f>
        <v>0</v>
      </c>
      <c r="AB760" s="43" t="str">
        <f>IFERROR(IF(LayTable[[#This Row],[Sport]]="",AB759,LayTable[[#This Row],[Faktisk res]]+AB759),"")</f>
        <v/>
      </c>
      <c r="AC760" s="43">
        <f>(LayTable[[#This Row],[BackWin-Commission]]+LayTable[[#This Row],[BookieInnsats]])</f>
        <v>0</v>
      </c>
      <c r="AD760" s="43" t="e">
        <f>(LayTable[[#This Row],[LayWin-Commission]])+LayTable[[#This Row],[LayLiability]]</f>
        <v>#VALUE!</v>
      </c>
      <c r="AE760" s="319"/>
      <c r="AF760" s="183"/>
    </row>
    <row r="761" spans="1:32">
      <c r="A761" s="84"/>
      <c r="B761" s="39"/>
      <c r="C761" s="40"/>
      <c r="D761" s="41"/>
      <c r="E761" s="40"/>
      <c r="F761" s="41"/>
      <c r="G761" s="183"/>
      <c r="H761" s="38"/>
      <c r="I761" s="42"/>
      <c r="J761" s="42"/>
      <c r="K761" s="43"/>
      <c r="L761" s="43"/>
      <c r="M761" s="44" t="str">
        <f>IF(LayTable[[#This Row],[Sport]]="","",LayTable[[#This Row],[LayInnsats]]*(LayTable[[#This Row],[LayOdds]]-1))</f>
        <v/>
      </c>
      <c r="N761" s="45" t="str">
        <f>IF(LayTable[[#This Row],[Sport]]="","",1/((1/LayTable[[#This Row],[BookieOdds]])+(1/((1/((1+((LayTable[[#This Row],[LayOdds]]-1)*(1+LayTable[[#This Row],[C% Lay]])))-1))+1)))-1)</f>
        <v/>
      </c>
      <c r="Q761" s="46" t="str">
        <f>IF(LayTable[[#This Row],[Sport]]="","",LayTable[[#This Row],[BookieInnsats]]+LayTable[[#This Row],[LayLiability]])</f>
        <v/>
      </c>
      <c r="R7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1" s="47" t="str">
        <f>IF(LayTable[[#This Row],[Utfall bookie]]="","",LayTable[[#This Row],[WBABack]]+LayTable[[#This Row],[WBALay]]-LayTable[[#This Row],[Total inns]])</f>
        <v/>
      </c>
      <c r="U7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1" s="48" t="str">
        <f>IFERROR(IF(LayTable[[#This Row],[Total inns]]="","",LayTable[[#This Row],[Rback]]/LayTable[[#This Row],[Total inns]]),"")</f>
        <v/>
      </c>
      <c r="X761" s="48" t="str">
        <f>IFERROR(IF(LayTable[[#This Row],[Total inns]]="","",LayTable[[#This Row],[Rlay]]/LayTable[[#This Row],[Total inns]]),"")</f>
        <v/>
      </c>
      <c r="Y761" s="48" t="str">
        <f>IFERROR(LayTable[[#This Row],[Faktisk res]]/LayTable[[#This Row],[Total inns]],"")</f>
        <v/>
      </c>
      <c r="Z761" s="47">
        <f>(LayTable[[#This Row],[BookieInnsats]]*LayTable[[#This Row],[BookieOdds]]-LayTable[[#This Row],[BookieInnsats]])*(1-LayTable[[#This Row],[C% Bookie]])</f>
        <v>0</v>
      </c>
      <c r="AA761" s="43">
        <f>LayTable[[#This Row],[LayInnsats]]*(1-LayTable[[#This Row],[C% Lay]])</f>
        <v>0</v>
      </c>
      <c r="AB761" s="43" t="str">
        <f>IFERROR(IF(LayTable[[#This Row],[Sport]]="",AB760,LayTable[[#This Row],[Faktisk res]]+AB760),"")</f>
        <v/>
      </c>
      <c r="AC761" s="43">
        <f>(LayTable[[#This Row],[BackWin-Commission]]+LayTable[[#This Row],[BookieInnsats]])</f>
        <v>0</v>
      </c>
      <c r="AD761" s="43" t="e">
        <f>(LayTable[[#This Row],[LayWin-Commission]])+LayTable[[#This Row],[LayLiability]]</f>
        <v>#VALUE!</v>
      </c>
      <c r="AE761" s="319"/>
      <c r="AF761" s="183"/>
    </row>
    <row r="762" spans="1:32">
      <c r="A762" s="84"/>
      <c r="B762" s="39"/>
      <c r="C762" s="40"/>
      <c r="D762" s="41"/>
      <c r="E762" s="40"/>
      <c r="F762" s="41"/>
      <c r="G762" s="183"/>
      <c r="H762" s="38"/>
      <c r="I762" s="42"/>
      <c r="J762" s="42"/>
      <c r="K762" s="43"/>
      <c r="L762" s="43"/>
      <c r="M762" s="44" t="str">
        <f>IF(LayTable[[#This Row],[Sport]]="","",LayTable[[#This Row],[LayInnsats]]*(LayTable[[#This Row],[LayOdds]]-1))</f>
        <v/>
      </c>
      <c r="N762" s="45" t="str">
        <f>IF(LayTable[[#This Row],[Sport]]="","",1/((1/LayTable[[#This Row],[BookieOdds]])+(1/((1/((1+((LayTable[[#This Row],[LayOdds]]-1)*(1+LayTable[[#This Row],[C% Lay]])))-1))+1)))-1)</f>
        <v/>
      </c>
      <c r="Q762" s="46" t="str">
        <f>IF(LayTable[[#This Row],[Sport]]="","",LayTable[[#This Row],[BookieInnsats]]+LayTable[[#This Row],[LayLiability]])</f>
        <v/>
      </c>
      <c r="R7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2" s="47" t="str">
        <f>IF(LayTable[[#This Row],[Utfall bookie]]="","",LayTable[[#This Row],[WBABack]]+LayTable[[#This Row],[WBALay]]-LayTable[[#This Row],[Total inns]])</f>
        <v/>
      </c>
      <c r="U7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2" s="48" t="str">
        <f>IFERROR(IF(LayTable[[#This Row],[Total inns]]="","",LayTable[[#This Row],[Rback]]/LayTable[[#This Row],[Total inns]]),"")</f>
        <v/>
      </c>
      <c r="X762" s="48" t="str">
        <f>IFERROR(IF(LayTable[[#This Row],[Total inns]]="","",LayTable[[#This Row],[Rlay]]/LayTable[[#This Row],[Total inns]]),"")</f>
        <v/>
      </c>
      <c r="Y762" s="48" t="str">
        <f>IFERROR(LayTable[[#This Row],[Faktisk res]]/LayTable[[#This Row],[Total inns]],"")</f>
        <v/>
      </c>
      <c r="Z762" s="47">
        <f>(LayTable[[#This Row],[BookieInnsats]]*LayTable[[#This Row],[BookieOdds]]-LayTable[[#This Row],[BookieInnsats]])*(1-LayTable[[#This Row],[C% Bookie]])</f>
        <v>0</v>
      </c>
      <c r="AA762" s="43">
        <f>LayTable[[#This Row],[LayInnsats]]*(1-LayTable[[#This Row],[C% Lay]])</f>
        <v>0</v>
      </c>
      <c r="AB762" s="43" t="str">
        <f>IFERROR(IF(LayTable[[#This Row],[Sport]]="",AB761,LayTable[[#This Row],[Faktisk res]]+AB761),"")</f>
        <v/>
      </c>
      <c r="AC762" s="43">
        <f>(LayTable[[#This Row],[BackWin-Commission]]+LayTable[[#This Row],[BookieInnsats]])</f>
        <v>0</v>
      </c>
      <c r="AD762" s="43" t="e">
        <f>(LayTable[[#This Row],[LayWin-Commission]])+LayTable[[#This Row],[LayLiability]]</f>
        <v>#VALUE!</v>
      </c>
      <c r="AE762" s="319"/>
      <c r="AF762" s="183"/>
    </row>
    <row r="763" spans="1:32">
      <c r="A763" s="84"/>
      <c r="B763" s="39"/>
      <c r="C763" s="40"/>
      <c r="D763" s="41"/>
      <c r="E763" s="40"/>
      <c r="F763" s="41"/>
      <c r="G763" s="183"/>
      <c r="H763" s="38"/>
      <c r="I763" s="42"/>
      <c r="J763" s="42"/>
      <c r="K763" s="43"/>
      <c r="L763" s="43"/>
      <c r="M763" s="44" t="str">
        <f>IF(LayTable[[#This Row],[Sport]]="","",LayTable[[#This Row],[LayInnsats]]*(LayTable[[#This Row],[LayOdds]]-1))</f>
        <v/>
      </c>
      <c r="N763" s="45" t="str">
        <f>IF(LayTable[[#This Row],[Sport]]="","",1/((1/LayTable[[#This Row],[BookieOdds]])+(1/((1/((1+((LayTable[[#This Row],[LayOdds]]-1)*(1+LayTable[[#This Row],[C% Lay]])))-1))+1)))-1)</f>
        <v/>
      </c>
      <c r="Q763" s="46" t="str">
        <f>IF(LayTable[[#This Row],[Sport]]="","",LayTable[[#This Row],[BookieInnsats]]+LayTable[[#This Row],[LayLiability]])</f>
        <v/>
      </c>
      <c r="R7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3" s="47" t="str">
        <f>IF(LayTable[[#This Row],[Utfall bookie]]="","",LayTable[[#This Row],[WBABack]]+LayTable[[#This Row],[WBALay]]-LayTable[[#This Row],[Total inns]])</f>
        <v/>
      </c>
      <c r="U7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3" s="48" t="str">
        <f>IFERROR(IF(LayTable[[#This Row],[Total inns]]="","",LayTable[[#This Row],[Rback]]/LayTable[[#This Row],[Total inns]]),"")</f>
        <v/>
      </c>
      <c r="X763" s="48" t="str">
        <f>IFERROR(IF(LayTable[[#This Row],[Total inns]]="","",LayTable[[#This Row],[Rlay]]/LayTable[[#This Row],[Total inns]]),"")</f>
        <v/>
      </c>
      <c r="Y763" s="48" t="str">
        <f>IFERROR(LayTable[[#This Row],[Faktisk res]]/LayTable[[#This Row],[Total inns]],"")</f>
        <v/>
      </c>
      <c r="Z763" s="47">
        <f>(LayTable[[#This Row],[BookieInnsats]]*LayTable[[#This Row],[BookieOdds]]-LayTable[[#This Row],[BookieInnsats]])*(1-LayTable[[#This Row],[C% Bookie]])</f>
        <v>0</v>
      </c>
      <c r="AA763" s="43">
        <f>LayTable[[#This Row],[LayInnsats]]*(1-LayTable[[#This Row],[C% Lay]])</f>
        <v>0</v>
      </c>
      <c r="AB763" s="43" t="str">
        <f>IFERROR(IF(LayTable[[#This Row],[Sport]]="",AB762,LayTable[[#This Row],[Faktisk res]]+AB762),"")</f>
        <v/>
      </c>
      <c r="AC763" s="43">
        <f>(LayTable[[#This Row],[BackWin-Commission]]+LayTable[[#This Row],[BookieInnsats]])</f>
        <v>0</v>
      </c>
      <c r="AD763" s="43" t="e">
        <f>(LayTable[[#This Row],[LayWin-Commission]])+LayTable[[#This Row],[LayLiability]]</f>
        <v>#VALUE!</v>
      </c>
      <c r="AE763" s="319"/>
      <c r="AF763" s="183"/>
    </row>
    <row r="764" spans="1:32">
      <c r="A764" s="84"/>
      <c r="B764" s="39"/>
      <c r="C764" s="40"/>
      <c r="D764" s="41"/>
      <c r="E764" s="40"/>
      <c r="F764" s="41"/>
      <c r="G764" s="183"/>
      <c r="H764" s="38"/>
      <c r="I764" s="42"/>
      <c r="J764" s="42"/>
      <c r="K764" s="43"/>
      <c r="L764" s="43"/>
      <c r="M764" s="44" t="str">
        <f>IF(LayTable[[#This Row],[Sport]]="","",LayTable[[#This Row],[LayInnsats]]*(LayTable[[#This Row],[LayOdds]]-1))</f>
        <v/>
      </c>
      <c r="N764" s="45" t="str">
        <f>IF(LayTable[[#This Row],[Sport]]="","",1/((1/LayTable[[#This Row],[BookieOdds]])+(1/((1/((1+((LayTable[[#This Row],[LayOdds]]-1)*(1+LayTable[[#This Row],[C% Lay]])))-1))+1)))-1)</f>
        <v/>
      </c>
      <c r="Q764" s="46" t="str">
        <f>IF(LayTable[[#This Row],[Sport]]="","",LayTable[[#This Row],[BookieInnsats]]+LayTable[[#This Row],[LayLiability]])</f>
        <v/>
      </c>
      <c r="R7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4" s="47" t="str">
        <f>IF(LayTable[[#This Row],[Utfall bookie]]="","",LayTable[[#This Row],[WBABack]]+LayTable[[#This Row],[WBALay]]-LayTable[[#This Row],[Total inns]])</f>
        <v/>
      </c>
      <c r="U7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4" s="48" t="str">
        <f>IFERROR(IF(LayTable[[#This Row],[Total inns]]="","",LayTable[[#This Row],[Rback]]/LayTable[[#This Row],[Total inns]]),"")</f>
        <v/>
      </c>
      <c r="X764" s="48" t="str">
        <f>IFERROR(IF(LayTable[[#This Row],[Total inns]]="","",LayTable[[#This Row],[Rlay]]/LayTable[[#This Row],[Total inns]]),"")</f>
        <v/>
      </c>
      <c r="Y764" s="48" t="str">
        <f>IFERROR(LayTable[[#This Row],[Faktisk res]]/LayTable[[#This Row],[Total inns]],"")</f>
        <v/>
      </c>
      <c r="Z764" s="47">
        <f>(LayTable[[#This Row],[BookieInnsats]]*LayTable[[#This Row],[BookieOdds]]-LayTable[[#This Row],[BookieInnsats]])*(1-LayTable[[#This Row],[C% Bookie]])</f>
        <v>0</v>
      </c>
      <c r="AA764" s="43">
        <f>LayTable[[#This Row],[LayInnsats]]*(1-LayTable[[#This Row],[C% Lay]])</f>
        <v>0</v>
      </c>
      <c r="AB764" s="43" t="str">
        <f>IFERROR(IF(LayTable[[#This Row],[Sport]]="",AB763,LayTable[[#This Row],[Faktisk res]]+AB763),"")</f>
        <v/>
      </c>
      <c r="AC764" s="43">
        <f>(LayTable[[#This Row],[BackWin-Commission]]+LayTable[[#This Row],[BookieInnsats]])</f>
        <v>0</v>
      </c>
      <c r="AD764" s="43" t="e">
        <f>(LayTable[[#This Row],[LayWin-Commission]])+LayTable[[#This Row],[LayLiability]]</f>
        <v>#VALUE!</v>
      </c>
      <c r="AE764" s="319"/>
      <c r="AF764" s="183"/>
    </row>
    <row r="765" spans="1:32">
      <c r="A765" s="84"/>
      <c r="B765" s="39"/>
      <c r="C765" s="40"/>
      <c r="D765" s="41"/>
      <c r="E765" s="40"/>
      <c r="F765" s="41"/>
      <c r="G765" s="183"/>
      <c r="H765" s="38"/>
      <c r="I765" s="42"/>
      <c r="J765" s="42"/>
      <c r="K765" s="43"/>
      <c r="L765" s="43"/>
      <c r="M765" s="44" t="str">
        <f>IF(LayTable[[#This Row],[Sport]]="","",LayTable[[#This Row],[LayInnsats]]*(LayTable[[#This Row],[LayOdds]]-1))</f>
        <v/>
      </c>
      <c r="N765" s="45" t="str">
        <f>IF(LayTable[[#This Row],[Sport]]="","",1/((1/LayTable[[#This Row],[BookieOdds]])+(1/((1/((1+((LayTable[[#This Row],[LayOdds]]-1)*(1+LayTable[[#This Row],[C% Lay]])))-1))+1)))-1)</f>
        <v/>
      </c>
      <c r="Q765" s="46" t="str">
        <f>IF(LayTable[[#This Row],[Sport]]="","",LayTable[[#This Row],[BookieInnsats]]+LayTable[[#This Row],[LayLiability]])</f>
        <v/>
      </c>
      <c r="R7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5" s="47" t="str">
        <f>IF(LayTable[[#This Row],[Utfall bookie]]="","",LayTable[[#This Row],[WBABack]]+LayTable[[#This Row],[WBALay]]-LayTable[[#This Row],[Total inns]])</f>
        <v/>
      </c>
      <c r="U7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5" s="48" t="str">
        <f>IFERROR(IF(LayTable[[#This Row],[Total inns]]="","",LayTable[[#This Row],[Rback]]/LayTable[[#This Row],[Total inns]]),"")</f>
        <v/>
      </c>
      <c r="X765" s="48" t="str">
        <f>IFERROR(IF(LayTable[[#This Row],[Total inns]]="","",LayTable[[#This Row],[Rlay]]/LayTable[[#This Row],[Total inns]]),"")</f>
        <v/>
      </c>
      <c r="Y765" s="48" t="str">
        <f>IFERROR(LayTable[[#This Row],[Faktisk res]]/LayTable[[#This Row],[Total inns]],"")</f>
        <v/>
      </c>
      <c r="Z765" s="47">
        <f>(LayTable[[#This Row],[BookieInnsats]]*LayTable[[#This Row],[BookieOdds]]-LayTable[[#This Row],[BookieInnsats]])*(1-LayTable[[#This Row],[C% Bookie]])</f>
        <v>0</v>
      </c>
      <c r="AA765" s="43">
        <f>LayTable[[#This Row],[LayInnsats]]*(1-LayTable[[#This Row],[C% Lay]])</f>
        <v>0</v>
      </c>
      <c r="AB765" s="43" t="str">
        <f>IFERROR(IF(LayTable[[#This Row],[Sport]]="",AB764,LayTable[[#This Row],[Faktisk res]]+AB764),"")</f>
        <v/>
      </c>
      <c r="AC765" s="43">
        <f>(LayTable[[#This Row],[BackWin-Commission]]+LayTable[[#This Row],[BookieInnsats]])</f>
        <v>0</v>
      </c>
      <c r="AD765" s="43" t="e">
        <f>(LayTable[[#This Row],[LayWin-Commission]])+LayTable[[#This Row],[LayLiability]]</f>
        <v>#VALUE!</v>
      </c>
      <c r="AE765" s="318"/>
      <c r="AF765" s="183"/>
    </row>
    <row r="766" spans="1:32">
      <c r="A766" s="84"/>
      <c r="B766" s="39"/>
      <c r="C766" s="40"/>
      <c r="D766" s="41"/>
      <c r="E766" s="40"/>
      <c r="F766" s="41"/>
      <c r="G766" s="183"/>
      <c r="H766" s="38"/>
      <c r="I766" s="42"/>
      <c r="J766" s="42"/>
      <c r="K766" s="43"/>
      <c r="L766" s="43"/>
      <c r="M766" s="44" t="str">
        <f>IF(LayTable[[#This Row],[Sport]]="","",LayTable[[#This Row],[LayInnsats]]*(LayTable[[#This Row],[LayOdds]]-1))</f>
        <v/>
      </c>
      <c r="N766" s="45" t="str">
        <f>IF(LayTable[[#This Row],[Sport]]="","",1/((1/LayTable[[#This Row],[BookieOdds]])+(1/((1/((1+((LayTable[[#This Row],[LayOdds]]-1)*(1+LayTable[[#This Row],[C% Lay]])))-1))+1)))-1)</f>
        <v/>
      </c>
      <c r="Q766" s="46" t="str">
        <f>IF(LayTable[[#This Row],[Sport]]="","",LayTable[[#This Row],[BookieInnsats]]+LayTable[[#This Row],[LayLiability]])</f>
        <v/>
      </c>
      <c r="R7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6" s="47" t="str">
        <f>IF(LayTable[[#This Row],[Utfall bookie]]="","",LayTable[[#This Row],[WBABack]]+LayTable[[#This Row],[WBALay]]-LayTable[[#This Row],[Total inns]])</f>
        <v/>
      </c>
      <c r="U7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6" s="48" t="str">
        <f>IFERROR(IF(LayTable[[#This Row],[Total inns]]="","",LayTable[[#This Row],[Rback]]/LayTable[[#This Row],[Total inns]]),"")</f>
        <v/>
      </c>
      <c r="X766" s="48" t="str">
        <f>IFERROR(IF(LayTable[[#This Row],[Total inns]]="","",LayTable[[#This Row],[Rlay]]/LayTable[[#This Row],[Total inns]]),"")</f>
        <v/>
      </c>
      <c r="Y766" s="48" t="str">
        <f>IFERROR(LayTable[[#This Row],[Faktisk res]]/LayTable[[#This Row],[Total inns]],"")</f>
        <v/>
      </c>
      <c r="Z766" s="47">
        <f>(LayTable[[#This Row],[BookieInnsats]]*LayTable[[#This Row],[BookieOdds]]-LayTable[[#This Row],[BookieInnsats]])*(1-LayTable[[#This Row],[C% Bookie]])</f>
        <v>0</v>
      </c>
      <c r="AA766" s="43">
        <f>LayTable[[#This Row],[LayInnsats]]*(1-LayTable[[#This Row],[C% Lay]])</f>
        <v>0</v>
      </c>
      <c r="AB766" s="43" t="str">
        <f>IFERROR(IF(LayTable[[#This Row],[Sport]]="",AB765,LayTable[[#This Row],[Faktisk res]]+AB765),"")</f>
        <v/>
      </c>
      <c r="AC766" s="43">
        <f>(LayTable[[#This Row],[BackWin-Commission]]+LayTable[[#This Row],[BookieInnsats]])</f>
        <v>0</v>
      </c>
      <c r="AD766" s="43" t="e">
        <f>(LayTable[[#This Row],[LayWin-Commission]])+LayTable[[#This Row],[LayLiability]]</f>
        <v>#VALUE!</v>
      </c>
      <c r="AE766" s="318"/>
      <c r="AF766" s="183"/>
    </row>
    <row r="767" spans="1:32">
      <c r="A767" s="84"/>
      <c r="B767" s="39"/>
      <c r="C767" s="40"/>
      <c r="D767" s="41"/>
      <c r="E767" s="40"/>
      <c r="F767" s="41"/>
      <c r="G767" s="183"/>
      <c r="H767" s="38"/>
      <c r="I767" s="42"/>
      <c r="J767" s="42"/>
      <c r="K767" s="43"/>
      <c r="L767" s="43"/>
      <c r="M767" s="44" t="str">
        <f>IF(LayTable[[#This Row],[Sport]]="","",LayTable[[#This Row],[LayInnsats]]*(LayTable[[#This Row],[LayOdds]]-1))</f>
        <v/>
      </c>
      <c r="N767" s="45" t="str">
        <f>IF(LayTable[[#This Row],[Sport]]="","",1/((1/LayTable[[#This Row],[BookieOdds]])+(1/((1/((1+((LayTable[[#This Row],[LayOdds]]-1)*(1+LayTable[[#This Row],[C% Lay]])))-1))+1)))-1)</f>
        <v/>
      </c>
      <c r="Q767" s="46" t="str">
        <f>IF(LayTable[[#This Row],[Sport]]="","",LayTable[[#This Row],[BookieInnsats]]+LayTable[[#This Row],[LayLiability]])</f>
        <v/>
      </c>
      <c r="R7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7" s="47" t="str">
        <f>IF(LayTable[[#This Row],[Utfall bookie]]="","",LayTable[[#This Row],[WBABack]]+LayTable[[#This Row],[WBALay]]-LayTable[[#This Row],[Total inns]])</f>
        <v/>
      </c>
      <c r="U7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7" s="48" t="str">
        <f>IFERROR(IF(LayTable[[#This Row],[Total inns]]="","",LayTable[[#This Row],[Rback]]/LayTable[[#This Row],[Total inns]]),"")</f>
        <v/>
      </c>
      <c r="X767" s="48" t="str">
        <f>IFERROR(IF(LayTable[[#This Row],[Total inns]]="","",LayTable[[#This Row],[Rlay]]/LayTable[[#This Row],[Total inns]]),"")</f>
        <v/>
      </c>
      <c r="Y767" s="48" t="str">
        <f>IFERROR(LayTable[[#This Row],[Faktisk res]]/LayTable[[#This Row],[Total inns]],"")</f>
        <v/>
      </c>
      <c r="Z767" s="47">
        <f>(LayTable[[#This Row],[BookieInnsats]]*LayTable[[#This Row],[BookieOdds]]-LayTable[[#This Row],[BookieInnsats]])*(1-LayTable[[#This Row],[C% Bookie]])</f>
        <v>0</v>
      </c>
      <c r="AA767" s="43">
        <f>LayTable[[#This Row],[LayInnsats]]*(1-LayTable[[#This Row],[C% Lay]])</f>
        <v>0</v>
      </c>
      <c r="AB767" s="43" t="str">
        <f>IFERROR(IF(LayTable[[#This Row],[Sport]]="",AB766,LayTable[[#This Row],[Faktisk res]]+AB766),"")</f>
        <v/>
      </c>
      <c r="AC767" s="43">
        <f>(LayTable[[#This Row],[BackWin-Commission]]+LayTable[[#This Row],[BookieInnsats]])</f>
        <v>0</v>
      </c>
      <c r="AD767" s="43" t="e">
        <f>(LayTable[[#This Row],[LayWin-Commission]])+LayTable[[#This Row],[LayLiability]]</f>
        <v>#VALUE!</v>
      </c>
      <c r="AE767" s="309"/>
      <c r="AF767" s="183"/>
    </row>
    <row r="768" spans="1:32">
      <c r="A768" s="84"/>
      <c r="B768" s="39"/>
      <c r="C768" s="40"/>
      <c r="D768" s="41"/>
      <c r="E768" s="40"/>
      <c r="F768" s="41"/>
      <c r="G768" s="183"/>
      <c r="H768" s="38"/>
      <c r="I768" s="42"/>
      <c r="J768" s="42"/>
      <c r="K768" s="43"/>
      <c r="L768" s="43"/>
      <c r="M768" s="44" t="str">
        <f>IF(LayTable[[#This Row],[Sport]]="","",LayTable[[#This Row],[LayInnsats]]*(LayTable[[#This Row],[LayOdds]]-1))</f>
        <v/>
      </c>
      <c r="N768" s="45" t="str">
        <f>IF(LayTable[[#This Row],[Sport]]="","",1/((1/LayTable[[#This Row],[BookieOdds]])+(1/((1/((1+((LayTable[[#This Row],[LayOdds]]-1)*(1+LayTable[[#This Row],[C% Lay]])))-1))+1)))-1)</f>
        <v/>
      </c>
      <c r="Q768" s="46" t="str">
        <f>IF(LayTable[[#This Row],[Sport]]="","",LayTable[[#This Row],[BookieInnsats]]+LayTable[[#This Row],[LayLiability]])</f>
        <v/>
      </c>
      <c r="R7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8" s="47" t="str">
        <f>IF(LayTable[[#This Row],[Utfall bookie]]="","",LayTable[[#This Row],[WBABack]]+LayTable[[#This Row],[WBALay]]-LayTable[[#This Row],[Total inns]])</f>
        <v/>
      </c>
      <c r="U7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8" s="48" t="str">
        <f>IFERROR(IF(LayTable[[#This Row],[Total inns]]="","",LayTable[[#This Row],[Rback]]/LayTable[[#This Row],[Total inns]]),"")</f>
        <v/>
      </c>
      <c r="X768" s="48" t="str">
        <f>IFERROR(IF(LayTable[[#This Row],[Total inns]]="","",LayTable[[#This Row],[Rlay]]/LayTable[[#This Row],[Total inns]]),"")</f>
        <v/>
      </c>
      <c r="Y768" s="48" t="str">
        <f>IFERROR(LayTable[[#This Row],[Faktisk res]]/LayTable[[#This Row],[Total inns]],"")</f>
        <v/>
      </c>
      <c r="Z768" s="47">
        <f>(LayTable[[#This Row],[BookieInnsats]]*LayTable[[#This Row],[BookieOdds]]-LayTable[[#This Row],[BookieInnsats]])*(1-LayTable[[#This Row],[C% Bookie]])</f>
        <v>0</v>
      </c>
      <c r="AA768" s="43">
        <f>LayTable[[#This Row],[LayInnsats]]*(1-LayTable[[#This Row],[C% Lay]])</f>
        <v>0</v>
      </c>
      <c r="AB768" s="43" t="str">
        <f>IFERROR(IF(LayTable[[#This Row],[Sport]]="",AB767,LayTable[[#This Row],[Faktisk res]]+AB767),"")</f>
        <v/>
      </c>
      <c r="AC768" s="43">
        <f>(LayTable[[#This Row],[BackWin-Commission]]+LayTable[[#This Row],[BookieInnsats]])</f>
        <v>0</v>
      </c>
      <c r="AD768" s="43" t="e">
        <f>(LayTable[[#This Row],[LayWin-Commission]])+LayTable[[#This Row],[LayLiability]]</f>
        <v>#VALUE!</v>
      </c>
      <c r="AE768" s="309"/>
      <c r="AF768" s="183"/>
    </row>
    <row r="769" spans="1:32">
      <c r="A769" s="84"/>
      <c r="B769" s="39"/>
      <c r="C769" s="40"/>
      <c r="D769" s="41"/>
      <c r="E769" s="40"/>
      <c r="F769" s="41"/>
      <c r="G769" s="183"/>
      <c r="H769" s="38"/>
      <c r="I769" s="42"/>
      <c r="J769" s="42"/>
      <c r="K769" s="43"/>
      <c r="L769" s="43"/>
      <c r="M769" s="44" t="str">
        <f>IF(LayTable[[#This Row],[Sport]]="","",LayTable[[#This Row],[LayInnsats]]*(LayTable[[#This Row],[LayOdds]]-1))</f>
        <v/>
      </c>
      <c r="N769" s="45" t="str">
        <f>IF(LayTable[[#This Row],[Sport]]="","",1/((1/LayTable[[#This Row],[BookieOdds]])+(1/((1/((1+((LayTable[[#This Row],[LayOdds]]-1)*(1+LayTable[[#This Row],[C% Lay]])))-1))+1)))-1)</f>
        <v/>
      </c>
      <c r="Q769" s="46" t="str">
        <f>IF(LayTable[[#This Row],[Sport]]="","",LayTable[[#This Row],[BookieInnsats]]+LayTable[[#This Row],[LayLiability]])</f>
        <v/>
      </c>
      <c r="R7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69" s="47" t="str">
        <f>IF(LayTable[[#This Row],[Utfall bookie]]="","",LayTable[[#This Row],[WBABack]]+LayTable[[#This Row],[WBALay]]-LayTable[[#This Row],[Total inns]])</f>
        <v/>
      </c>
      <c r="U7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69" s="48" t="str">
        <f>IFERROR(IF(LayTable[[#This Row],[Total inns]]="","",LayTable[[#This Row],[Rback]]/LayTable[[#This Row],[Total inns]]),"")</f>
        <v/>
      </c>
      <c r="X769" s="48" t="str">
        <f>IFERROR(IF(LayTable[[#This Row],[Total inns]]="","",LayTable[[#This Row],[Rlay]]/LayTable[[#This Row],[Total inns]]),"")</f>
        <v/>
      </c>
      <c r="Y769" s="48" t="str">
        <f>IFERROR(LayTable[[#This Row],[Faktisk res]]/LayTable[[#This Row],[Total inns]],"")</f>
        <v/>
      </c>
      <c r="Z769" s="47">
        <f>(LayTable[[#This Row],[BookieInnsats]]*LayTable[[#This Row],[BookieOdds]]-LayTable[[#This Row],[BookieInnsats]])*(1-LayTable[[#This Row],[C% Bookie]])</f>
        <v>0</v>
      </c>
      <c r="AA769" s="43">
        <f>LayTable[[#This Row],[LayInnsats]]*(1-LayTable[[#This Row],[C% Lay]])</f>
        <v>0</v>
      </c>
      <c r="AB769" s="43" t="str">
        <f>IFERROR(IF(LayTable[[#This Row],[Sport]]="",AB768,LayTable[[#This Row],[Faktisk res]]+AB768),"")</f>
        <v/>
      </c>
      <c r="AC769" s="43">
        <f>(LayTable[[#This Row],[BackWin-Commission]]+LayTable[[#This Row],[BookieInnsats]])</f>
        <v>0</v>
      </c>
      <c r="AD769" s="43" t="e">
        <f>(LayTable[[#This Row],[LayWin-Commission]])+LayTable[[#This Row],[LayLiability]]</f>
        <v>#VALUE!</v>
      </c>
      <c r="AE769" s="309"/>
      <c r="AF769" s="183"/>
    </row>
    <row r="770" spans="1:32">
      <c r="A770" s="84"/>
      <c r="B770" s="39"/>
      <c r="C770" s="40"/>
      <c r="D770" s="41"/>
      <c r="E770" s="40"/>
      <c r="F770" s="41"/>
      <c r="G770" s="183"/>
      <c r="H770" s="38"/>
      <c r="I770" s="42"/>
      <c r="J770" s="42"/>
      <c r="K770" s="43"/>
      <c r="L770" s="43"/>
      <c r="M770" s="44" t="str">
        <f>IF(LayTable[[#This Row],[Sport]]="","",LayTable[[#This Row],[LayInnsats]]*(LayTable[[#This Row],[LayOdds]]-1))</f>
        <v/>
      </c>
      <c r="N770" s="45" t="str">
        <f>IF(LayTable[[#This Row],[Sport]]="","",1/((1/LayTable[[#This Row],[BookieOdds]])+(1/((1/((1+((LayTable[[#This Row],[LayOdds]]-1)*(1+LayTable[[#This Row],[C% Lay]])))-1))+1)))-1)</f>
        <v/>
      </c>
      <c r="Q770" s="46" t="str">
        <f>IF(LayTable[[#This Row],[Sport]]="","",LayTable[[#This Row],[BookieInnsats]]+LayTable[[#This Row],[LayLiability]])</f>
        <v/>
      </c>
      <c r="R7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0" s="47" t="str">
        <f>IF(LayTable[[#This Row],[Utfall bookie]]="","",LayTable[[#This Row],[WBABack]]+LayTable[[#This Row],[WBALay]]-LayTable[[#This Row],[Total inns]])</f>
        <v/>
      </c>
      <c r="U7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0" s="48" t="str">
        <f>IFERROR(IF(LayTable[[#This Row],[Total inns]]="","",LayTable[[#This Row],[Rback]]/LayTable[[#This Row],[Total inns]]),"")</f>
        <v/>
      </c>
      <c r="X770" s="48" t="str">
        <f>IFERROR(IF(LayTable[[#This Row],[Total inns]]="","",LayTable[[#This Row],[Rlay]]/LayTable[[#This Row],[Total inns]]),"")</f>
        <v/>
      </c>
      <c r="Y770" s="48" t="str">
        <f>IFERROR(LayTable[[#This Row],[Faktisk res]]/LayTable[[#This Row],[Total inns]],"")</f>
        <v/>
      </c>
      <c r="Z770" s="47">
        <f>(LayTable[[#This Row],[BookieInnsats]]*LayTable[[#This Row],[BookieOdds]]-LayTable[[#This Row],[BookieInnsats]])*(1-LayTable[[#This Row],[C% Bookie]])</f>
        <v>0</v>
      </c>
      <c r="AA770" s="43">
        <f>LayTable[[#This Row],[LayInnsats]]*(1-LayTable[[#This Row],[C% Lay]])</f>
        <v>0</v>
      </c>
      <c r="AB770" s="43" t="str">
        <f>IFERROR(IF(LayTable[[#This Row],[Sport]]="",AB769,LayTable[[#This Row],[Faktisk res]]+AB769),"")</f>
        <v/>
      </c>
      <c r="AC770" s="43">
        <f>(LayTable[[#This Row],[BackWin-Commission]]+LayTable[[#This Row],[BookieInnsats]])</f>
        <v>0</v>
      </c>
      <c r="AD770" s="43" t="e">
        <f>(LayTable[[#This Row],[LayWin-Commission]])+LayTable[[#This Row],[LayLiability]]</f>
        <v>#VALUE!</v>
      </c>
      <c r="AE770" s="309"/>
      <c r="AF770" s="183"/>
    </row>
    <row r="771" spans="1:32">
      <c r="A771" s="84"/>
      <c r="B771" s="39"/>
      <c r="C771" s="40"/>
      <c r="D771" s="41"/>
      <c r="E771" s="40"/>
      <c r="F771" s="41"/>
      <c r="G771" s="183"/>
      <c r="H771" s="38"/>
      <c r="I771" s="42"/>
      <c r="J771" s="42"/>
      <c r="K771" s="43"/>
      <c r="L771" s="43"/>
      <c r="M771" s="44" t="str">
        <f>IF(LayTable[[#This Row],[Sport]]="","",LayTable[[#This Row],[LayInnsats]]*(LayTable[[#This Row],[LayOdds]]-1))</f>
        <v/>
      </c>
      <c r="N771" s="45" t="str">
        <f>IF(LayTable[[#This Row],[Sport]]="","",1/((1/LayTable[[#This Row],[BookieOdds]])+(1/((1/((1+((LayTable[[#This Row],[LayOdds]]-1)*(1+LayTable[[#This Row],[C% Lay]])))-1))+1)))-1)</f>
        <v/>
      </c>
      <c r="Q771" s="46" t="str">
        <f>IF(LayTable[[#This Row],[Sport]]="","",LayTable[[#This Row],[BookieInnsats]]+LayTable[[#This Row],[LayLiability]])</f>
        <v/>
      </c>
      <c r="R7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1" s="47" t="str">
        <f>IF(LayTable[[#This Row],[Utfall bookie]]="","",LayTable[[#This Row],[WBABack]]+LayTable[[#This Row],[WBALay]]-LayTable[[#This Row],[Total inns]])</f>
        <v/>
      </c>
      <c r="U7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1" s="48" t="str">
        <f>IFERROR(IF(LayTable[[#This Row],[Total inns]]="","",LayTable[[#This Row],[Rback]]/LayTable[[#This Row],[Total inns]]),"")</f>
        <v/>
      </c>
      <c r="X771" s="48" t="str">
        <f>IFERROR(IF(LayTable[[#This Row],[Total inns]]="","",LayTable[[#This Row],[Rlay]]/LayTable[[#This Row],[Total inns]]),"")</f>
        <v/>
      </c>
      <c r="Y771" s="48" t="str">
        <f>IFERROR(LayTable[[#This Row],[Faktisk res]]/LayTable[[#This Row],[Total inns]],"")</f>
        <v/>
      </c>
      <c r="Z771" s="47">
        <f>(LayTable[[#This Row],[BookieInnsats]]*LayTable[[#This Row],[BookieOdds]]-LayTable[[#This Row],[BookieInnsats]])*(1-LayTable[[#This Row],[C% Bookie]])</f>
        <v>0</v>
      </c>
      <c r="AA771" s="43">
        <f>LayTable[[#This Row],[LayInnsats]]*(1-LayTable[[#This Row],[C% Lay]])</f>
        <v>0</v>
      </c>
      <c r="AB771" s="43" t="str">
        <f>IFERROR(IF(LayTable[[#This Row],[Sport]]="",AB770,LayTable[[#This Row],[Faktisk res]]+AB770),"")</f>
        <v/>
      </c>
      <c r="AC771" s="43">
        <f>(LayTable[[#This Row],[BackWin-Commission]]+LayTable[[#This Row],[BookieInnsats]])</f>
        <v>0</v>
      </c>
      <c r="AD771" s="43" t="e">
        <f>(LayTable[[#This Row],[LayWin-Commission]])+LayTable[[#This Row],[LayLiability]]</f>
        <v>#VALUE!</v>
      </c>
      <c r="AE771" s="309"/>
      <c r="AF771" s="183"/>
    </row>
    <row r="772" spans="1:32">
      <c r="A772" s="84"/>
      <c r="B772" s="39"/>
      <c r="C772" s="40"/>
      <c r="D772" s="41"/>
      <c r="E772" s="40"/>
      <c r="F772" s="41"/>
      <c r="G772" s="183"/>
      <c r="H772" s="38"/>
      <c r="I772" s="42"/>
      <c r="J772" s="42"/>
      <c r="K772" s="43"/>
      <c r="L772" s="43"/>
      <c r="M772" s="44" t="str">
        <f>IF(LayTable[[#This Row],[Sport]]="","",LayTable[[#This Row],[LayInnsats]]*(LayTable[[#This Row],[LayOdds]]-1))</f>
        <v/>
      </c>
      <c r="N772" s="45" t="str">
        <f>IF(LayTable[[#This Row],[Sport]]="","",1/((1/LayTable[[#This Row],[BookieOdds]])+(1/((1/((1+((LayTable[[#This Row],[LayOdds]]-1)*(1+LayTable[[#This Row],[C% Lay]])))-1))+1)))-1)</f>
        <v/>
      </c>
      <c r="Q772" s="46" t="str">
        <f>IF(LayTable[[#This Row],[Sport]]="","",LayTable[[#This Row],[BookieInnsats]]+LayTable[[#This Row],[LayLiability]])</f>
        <v/>
      </c>
      <c r="R7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2" s="47" t="str">
        <f>IF(LayTable[[#This Row],[Utfall bookie]]="","",LayTable[[#This Row],[WBABack]]+LayTable[[#This Row],[WBALay]]-LayTable[[#This Row],[Total inns]])</f>
        <v/>
      </c>
      <c r="U7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2" s="48" t="str">
        <f>IFERROR(IF(LayTable[[#This Row],[Total inns]]="","",LayTable[[#This Row],[Rback]]/LayTable[[#This Row],[Total inns]]),"")</f>
        <v/>
      </c>
      <c r="X772" s="48" t="str">
        <f>IFERROR(IF(LayTable[[#This Row],[Total inns]]="","",LayTable[[#This Row],[Rlay]]/LayTable[[#This Row],[Total inns]]),"")</f>
        <v/>
      </c>
      <c r="Y772" s="48" t="str">
        <f>IFERROR(LayTable[[#This Row],[Faktisk res]]/LayTable[[#This Row],[Total inns]],"")</f>
        <v/>
      </c>
      <c r="Z772" s="47">
        <f>(LayTable[[#This Row],[BookieInnsats]]*LayTable[[#This Row],[BookieOdds]]-LayTable[[#This Row],[BookieInnsats]])*(1-LayTable[[#This Row],[C% Bookie]])</f>
        <v>0</v>
      </c>
      <c r="AA772" s="43">
        <f>LayTable[[#This Row],[LayInnsats]]*(1-LayTable[[#This Row],[C% Lay]])</f>
        <v>0</v>
      </c>
      <c r="AB772" s="43" t="str">
        <f>IFERROR(IF(LayTable[[#This Row],[Sport]]="",AB771,LayTable[[#This Row],[Faktisk res]]+AB771),"")</f>
        <v/>
      </c>
      <c r="AC772" s="43">
        <f>(LayTable[[#This Row],[BackWin-Commission]]+LayTable[[#This Row],[BookieInnsats]])</f>
        <v>0</v>
      </c>
      <c r="AD772" s="43" t="e">
        <f>(LayTable[[#This Row],[LayWin-Commission]])+LayTable[[#This Row],[LayLiability]]</f>
        <v>#VALUE!</v>
      </c>
      <c r="AE772" s="309"/>
      <c r="AF772" s="183"/>
    </row>
    <row r="773" spans="1:32">
      <c r="A773" s="84"/>
      <c r="B773" s="39"/>
      <c r="C773" s="40"/>
      <c r="D773" s="41"/>
      <c r="E773" s="40"/>
      <c r="F773" s="41"/>
      <c r="G773" s="183"/>
      <c r="H773" s="38"/>
      <c r="I773" s="42"/>
      <c r="J773" s="42"/>
      <c r="K773" s="43"/>
      <c r="L773" s="43"/>
      <c r="M773" s="44" t="str">
        <f>IF(LayTable[[#This Row],[Sport]]="","",LayTable[[#This Row],[LayInnsats]]*(LayTable[[#This Row],[LayOdds]]-1))</f>
        <v/>
      </c>
      <c r="N773" s="45" t="str">
        <f>IF(LayTable[[#This Row],[Sport]]="","",1/((1/LayTable[[#This Row],[BookieOdds]])+(1/((1/((1+((LayTable[[#This Row],[LayOdds]]-1)*(1+LayTable[[#This Row],[C% Lay]])))-1))+1)))-1)</f>
        <v/>
      </c>
      <c r="Q773" s="46" t="str">
        <f>IF(LayTable[[#This Row],[Sport]]="","",LayTable[[#This Row],[BookieInnsats]]+LayTable[[#This Row],[LayLiability]])</f>
        <v/>
      </c>
      <c r="R7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3" s="47" t="str">
        <f>IF(LayTable[[#This Row],[Utfall bookie]]="","",LayTable[[#This Row],[WBABack]]+LayTable[[#This Row],[WBALay]]-LayTable[[#This Row],[Total inns]])</f>
        <v/>
      </c>
      <c r="U7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3" s="48" t="str">
        <f>IFERROR(IF(LayTable[[#This Row],[Total inns]]="","",LayTable[[#This Row],[Rback]]/LayTable[[#This Row],[Total inns]]),"")</f>
        <v/>
      </c>
      <c r="X773" s="48" t="str">
        <f>IFERROR(IF(LayTable[[#This Row],[Total inns]]="","",LayTable[[#This Row],[Rlay]]/LayTable[[#This Row],[Total inns]]),"")</f>
        <v/>
      </c>
      <c r="Y773" s="48" t="str">
        <f>IFERROR(LayTable[[#This Row],[Faktisk res]]/LayTable[[#This Row],[Total inns]],"")</f>
        <v/>
      </c>
      <c r="Z773" s="47">
        <f>(LayTable[[#This Row],[BookieInnsats]]*LayTable[[#This Row],[BookieOdds]]-LayTable[[#This Row],[BookieInnsats]])*(1-LayTable[[#This Row],[C% Bookie]])</f>
        <v>0</v>
      </c>
      <c r="AA773" s="43">
        <f>LayTable[[#This Row],[LayInnsats]]*(1-LayTable[[#This Row],[C% Lay]])</f>
        <v>0</v>
      </c>
      <c r="AB773" s="43" t="str">
        <f>IFERROR(IF(LayTable[[#This Row],[Sport]]="",AB772,LayTable[[#This Row],[Faktisk res]]+AB772),"")</f>
        <v/>
      </c>
      <c r="AC773" s="43">
        <f>(LayTable[[#This Row],[BackWin-Commission]]+LayTable[[#This Row],[BookieInnsats]])</f>
        <v>0</v>
      </c>
      <c r="AD773" s="43" t="e">
        <f>(LayTable[[#This Row],[LayWin-Commission]])+LayTable[[#This Row],[LayLiability]]</f>
        <v>#VALUE!</v>
      </c>
      <c r="AE773" s="309"/>
      <c r="AF773" s="183"/>
    </row>
    <row r="774" spans="1:32">
      <c r="A774" s="84"/>
      <c r="B774" s="39"/>
      <c r="C774" s="40"/>
      <c r="D774" s="41"/>
      <c r="E774" s="40"/>
      <c r="F774" s="41"/>
      <c r="G774" s="183"/>
      <c r="H774" s="38"/>
      <c r="I774" s="42"/>
      <c r="J774" s="42"/>
      <c r="K774" s="43"/>
      <c r="L774" s="43"/>
      <c r="M774" s="44" t="str">
        <f>IF(LayTable[[#This Row],[Sport]]="","",LayTable[[#This Row],[LayInnsats]]*(LayTable[[#This Row],[LayOdds]]-1))</f>
        <v/>
      </c>
      <c r="N774" s="45" t="str">
        <f>IF(LayTable[[#This Row],[Sport]]="","",1/((1/LayTable[[#This Row],[BookieOdds]])+(1/((1/((1+((LayTable[[#This Row],[LayOdds]]-1)*(1+LayTable[[#This Row],[C% Lay]])))-1))+1)))-1)</f>
        <v/>
      </c>
      <c r="Q774" s="46" t="str">
        <f>IF(LayTable[[#This Row],[Sport]]="","",LayTable[[#This Row],[BookieInnsats]]+LayTable[[#This Row],[LayLiability]])</f>
        <v/>
      </c>
      <c r="R7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4" s="47" t="str">
        <f>IF(LayTable[[#This Row],[Utfall bookie]]="","",LayTable[[#This Row],[WBABack]]+LayTable[[#This Row],[WBALay]]-LayTable[[#This Row],[Total inns]])</f>
        <v/>
      </c>
      <c r="U7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4" s="48" t="str">
        <f>IFERROR(IF(LayTable[[#This Row],[Total inns]]="","",LayTable[[#This Row],[Rback]]/LayTable[[#This Row],[Total inns]]),"")</f>
        <v/>
      </c>
      <c r="X774" s="48" t="str">
        <f>IFERROR(IF(LayTable[[#This Row],[Total inns]]="","",LayTable[[#This Row],[Rlay]]/LayTable[[#This Row],[Total inns]]),"")</f>
        <v/>
      </c>
      <c r="Y774" s="48" t="str">
        <f>IFERROR(LayTable[[#This Row],[Faktisk res]]/LayTable[[#This Row],[Total inns]],"")</f>
        <v/>
      </c>
      <c r="Z774" s="47">
        <f>(LayTable[[#This Row],[BookieInnsats]]*LayTable[[#This Row],[BookieOdds]]-LayTable[[#This Row],[BookieInnsats]])*(1-LayTable[[#This Row],[C% Bookie]])</f>
        <v>0</v>
      </c>
      <c r="AA774" s="43">
        <f>LayTable[[#This Row],[LayInnsats]]*(1-LayTable[[#This Row],[C% Lay]])</f>
        <v>0</v>
      </c>
      <c r="AB774" s="43" t="str">
        <f>IFERROR(IF(LayTable[[#This Row],[Sport]]="",AB773,LayTable[[#This Row],[Faktisk res]]+AB773),"")</f>
        <v/>
      </c>
      <c r="AC774" s="43">
        <f>(LayTable[[#This Row],[BackWin-Commission]]+LayTable[[#This Row],[BookieInnsats]])</f>
        <v>0</v>
      </c>
      <c r="AD774" s="43" t="e">
        <f>(LayTable[[#This Row],[LayWin-Commission]])+LayTable[[#This Row],[LayLiability]]</f>
        <v>#VALUE!</v>
      </c>
      <c r="AE774" s="309"/>
      <c r="AF774" s="183"/>
    </row>
    <row r="775" spans="1:32">
      <c r="A775" s="84"/>
      <c r="B775" s="39"/>
      <c r="C775" s="40"/>
      <c r="D775" s="41"/>
      <c r="E775" s="40"/>
      <c r="F775" s="41"/>
      <c r="G775" s="183"/>
      <c r="H775" s="38"/>
      <c r="I775" s="42"/>
      <c r="J775" s="42"/>
      <c r="K775" s="43"/>
      <c r="L775" s="43"/>
      <c r="M775" s="44" t="str">
        <f>IF(LayTable[[#This Row],[Sport]]="","",LayTable[[#This Row],[LayInnsats]]*(LayTable[[#This Row],[LayOdds]]-1))</f>
        <v/>
      </c>
      <c r="N775" s="45" t="str">
        <f>IF(LayTable[[#This Row],[Sport]]="","",1/((1/LayTable[[#This Row],[BookieOdds]])+(1/((1/((1+((LayTable[[#This Row],[LayOdds]]-1)*(1+LayTable[[#This Row],[C% Lay]])))-1))+1)))-1)</f>
        <v/>
      </c>
      <c r="Q775" s="46" t="str">
        <f>IF(LayTable[[#This Row],[Sport]]="","",LayTable[[#This Row],[BookieInnsats]]+LayTable[[#This Row],[LayLiability]])</f>
        <v/>
      </c>
      <c r="R7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5" s="47" t="str">
        <f>IF(LayTable[[#This Row],[Utfall bookie]]="","",LayTable[[#This Row],[WBABack]]+LayTable[[#This Row],[WBALay]]-LayTable[[#This Row],[Total inns]])</f>
        <v/>
      </c>
      <c r="U7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5" s="48" t="str">
        <f>IFERROR(IF(LayTable[[#This Row],[Total inns]]="","",LayTable[[#This Row],[Rback]]/LayTable[[#This Row],[Total inns]]),"")</f>
        <v/>
      </c>
      <c r="X775" s="48" t="str">
        <f>IFERROR(IF(LayTable[[#This Row],[Total inns]]="","",LayTable[[#This Row],[Rlay]]/LayTable[[#This Row],[Total inns]]),"")</f>
        <v/>
      </c>
      <c r="Y775" s="48" t="str">
        <f>IFERROR(LayTable[[#This Row],[Faktisk res]]/LayTable[[#This Row],[Total inns]],"")</f>
        <v/>
      </c>
      <c r="Z775" s="47">
        <f>(LayTable[[#This Row],[BookieInnsats]]*LayTable[[#This Row],[BookieOdds]]-LayTable[[#This Row],[BookieInnsats]])*(1-LayTable[[#This Row],[C% Bookie]])</f>
        <v>0</v>
      </c>
      <c r="AA775" s="43">
        <f>LayTable[[#This Row],[LayInnsats]]*(1-LayTable[[#This Row],[C% Lay]])</f>
        <v>0</v>
      </c>
      <c r="AB775" s="43" t="str">
        <f>IFERROR(IF(LayTable[[#This Row],[Sport]]="",AB774,LayTable[[#This Row],[Faktisk res]]+AB774),"")</f>
        <v/>
      </c>
      <c r="AC775" s="43">
        <f>(LayTable[[#This Row],[BackWin-Commission]]+LayTable[[#This Row],[BookieInnsats]])</f>
        <v>0</v>
      </c>
      <c r="AD775" s="43" t="e">
        <f>(LayTable[[#This Row],[LayWin-Commission]])+LayTable[[#This Row],[LayLiability]]</f>
        <v>#VALUE!</v>
      </c>
      <c r="AE775" s="181"/>
      <c r="AF775" s="183"/>
    </row>
    <row r="776" spans="1:32">
      <c r="A776" s="84"/>
      <c r="B776" s="39"/>
      <c r="C776" s="40"/>
      <c r="D776" s="41"/>
      <c r="E776" s="40"/>
      <c r="F776" s="41"/>
      <c r="G776" s="183"/>
      <c r="H776" s="38"/>
      <c r="I776" s="42"/>
      <c r="J776" s="42"/>
      <c r="K776" s="43"/>
      <c r="L776" s="43"/>
      <c r="M776" s="44" t="str">
        <f>IF(LayTable[[#This Row],[Sport]]="","",LayTable[[#This Row],[LayInnsats]]*(LayTable[[#This Row],[LayOdds]]-1))</f>
        <v/>
      </c>
      <c r="N776" s="45" t="str">
        <f>IF(LayTable[[#This Row],[Sport]]="","",1/((1/LayTable[[#This Row],[BookieOdds]])+(1/((1/((1+((LayTable[[#This Row],[LayOdds]]-1)*(1+LayTable[[#This Row],[C% Lay]])))-1))+1)))-1)</f>
        <v/>
      </c>
      <c r="Q776" s="46" t="str">
        <f>IF(LayTable[[#This Row],[Sport]]="","",LayTable[[#This Row],[BookieInnsats]]+LayTable[[#This Row],[LayLiability]])</f>
        <v/>
      </c>
      <c r="R7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6" s="47" t="str">
        <f>IF(LayTable[[#This Row],[Utfall bookie]]="","",LayTable[[#This Row],[WBABack]]+LayTable[[#This Row],[WBALay]]-LayTable[[#This Row],[Total inns]])</f>
        <v/>
      </c>
      <c r="U7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6" s="48" t="str">
        <f>IFERROR(IF(LayTable[[#This Row],[Total inns]]="","",LayTable[[#This Row],[Rback]]/LayTable[[#This Row],[Total inns]]),"")</f>
        <v/>
      </c>
      <c r="X776" s="48" t="str">
        <f>IFERROR(IF(LayTable[[#This Row],[Total inns]]="","",LayTable[[#This Row],[Rlay]]/LayTable[[#This Row],[Total inns]]),"")</f>
        <v/>
      </c>
      <c r="Y776" s="48" t="str">
        <f>IFERROR(LayTable[[#This Row],[Faktisk res]]/LayTable[[#This Row],[Total inns]],"")</f>
        <v/>
      </c>
      <c r="Z776" s="47">
        <f>(LayTable[[#This Row],[BookieInnsats]]*LayTable[[#This Row],[BookieOdds]]-LayTable[[#This Row],[BookieInnsats]])*(1-LayTable[[#This Row],[C% Bookie]])</f>
        <v>0</v>
      </c>
      <c r="AA776" s="43">
        <f>LayTable[[#This Row],[LayInnsats]]*(1-LayTable[[#This Row],[C% Lay]])</f>
        <v>0</v>
      </c>
      <c r="AB776" s="43" t="str">
        <f>IFERROR(IF(LayTable[[#This Row],[Sport]]="",AB775,LayTable[[#This Row],[Faktisk res]]+AB775),"")</f>
        <v/>
      </c>
      <c r="AC776" s="43">
        <f>(LayTable[[#This Row],[BackWin-Commission]]+LayTable[[#This Row],[BookieInnsats]])</f>
        <v>0</v>
      </c>
      <c r="AD776" s="43" t="e">
        <f>(LayTable[[#This Row],[LayWin-Commission]])+LayTable[[#This Row],[LayLiability]]</f>
        <v>#VALUE!</v>
      </c>
      <c r="AE776" s="181"/>
      <c r="AF776" s="183"/>
    </row>
    <row r="777" spans="1:32">
      <c r="A777" s="84"/>
      <c r="B777" s="39"/>
      <c r="C777" s="40"/>
      <c r="D777" s="41"/>
      <c r="E777" s="40"/>
      <c r="F777" s="41"/>
      <c r="G777" s="183"/>
      <c r="H777" s="38"/>
      <c r="I777" s="42"/>
      <c r="J777" s="42"/>
      <c r="K777" s="43"/>
      <c r="L777" s="43"/>
      <c r="M777" s="44" t="str">
        <f>IF(LayTable[[#This Row],[Sport]]="","",LayTable[[#This Row],[LayInnsats]]*(LayTable[[#This Row],[LayOdds]]-1))</f>
        <v/>
      </c>
      <c r="N777" s="45" t="str">
        <f>IF(LayTable[[#This Row],[Sport]]="","",1/((1/LayTable[[#This Row],[BookieOdds]])+(1/((1/((1+((LayTable[[#This Row],[LayOdds]]-1)*(1+LayTable[[#This Row],[C% Lay]])))-1))+1)))-1)</f>
        <v/>
      </c>
      <c r="Q777" s="46" t="str">
        <f>IF(LayTable[[#This Row],[Sport]]="","",LayTable[[#This Row],[BookieInnsats]]+LayTable[[#This Row],[LayLiability]])</f>
        <v/>
      </c>
      <c r="R7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7" s="47" t="str">
        <f>IF(LayTable[[#This Row],[Utfall bookie]]="","",LayTable[[#This Row],[WBABack]]+LayTable[[#This Row],[WBALay]]-LayTable[[#This Row],[Total inns]])</f>
        <v/>
      </c>
      <c r="U7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7" s="48" t="str">
        <f>IFERROR(IF(LayTable[[#This Row],[Total inns]]="","",LayTable[[#This Row],[Rback]]/LayTable[[#This Row],[Total inns]]),"")</f>
        <v/>
      </c>
      <c r="X777" s="48" t="str">
        <f>IFERROR(IF(LayTable[[#This Row],[Total inns]]="","",LayTable[[#This Row],[Rlay]]/LayTable[[#This Row],[Total inns]]),"")</f>
        <v/>
      </c>
      <c r="Y777" s="48" t="str">
        <f>IFERROR(LayTable[[#This Row],[Faktisk res]]/LayTable[[#This Row],[Total inns]],"")</f>
        <v/>
      </c>
      <c r="Z777" s="47">
        <f>(LayTable[[#This Row],[BookieInnsats]]*LayTable[[#This Row],[BookieOdds]]-LayTable[[#This Row],[BookieInnsats]])*(1-LayTable[[#This Row],[C% Bookie]])</f>
        <v>0</v>
      </c>
      <c r="AA777" s="43">
        <f>LayTable[[#This Row],[LayInnsats]]*(1-LayTable[[#This Row],[C% Lay]])</f>
        <v>0</v>
      </c>
      <c r="AB777" s="43" t="str">
        <f>IFERROR(IF(LayTable[[#This Row],[Sport]]="",AB776,LayTable[[#This Row],[Faktisk res]]+AB776),"")</f>
        <v/>
      </c>
      <c r="AC777" s="43">
        <f>(LayTable[[#This Row],[BackWin-Commission]]+LayTable[[#This Row],[BookieInnsats]])</f>
        <v>0</v>
      </c>
      <c r="AD777" s="43" t="e">
        <f>(LayTable[[#This Row],[LayWin-Commission]])+LayTable[[#This Row],[LayLiability]]</f>
        <v>#VALUE!</v>
      </c>
      <c r="AE777" s="198"/>
      <c r="AF777" s="183"/>
    </row>
    <row r="778" spans="1:32">
      <c r="A778" s="84"/>
      <c r="B778" s="39"/>
      <c r="C778" s="40"/>
      <c r="D778" s="41"/>
      <c r="E778" s="40"/>
      <c r="F778" s="41"/>
      <c r="G778" s="183"/>
      <c r="H778" s="38"/>
      <c r="I778" s="42"/>
      <c r="J778" s="42"/>
      <c r="K778" s="43"/>
      <c r="L778" s="43"/>
      <c r="M778" s="44" t="str">
        <f>IF(LayTable[[#This Row],[Sport]]="","",LayTable[[#This Row],[LayInnsats]]*(LayTable[[#This Row],[LayOdds]]-1))</f>
        <v/>
      </c>
      <c r="N778" s="45" t="str">
        <f>IF(LayTable[[#This Row],[Sport]]="","",1/((1/LayTable[[#This Row],[BookieOdds]])+(1/((1/((1+((LayTable[[#This Row],[LayOdds]]-1)*(1+LayTable[[#This Row],[C% Lay]])))-1))+1)))-1)</f>
        <v/>
      </c>
      <c r="Q778" s="46" t="str">
        <f>IF(LayTable[[#This Row],[Sport]]="","",LayTable[[#This Row],[BookieInnsats]]+LayTable[[#This Row],[LayLiability]])</f>
        <v/>
      </c>
      <c r="R7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8" s="47" t="str">
        <f>IF(LayTable[[#This Row],[Utfall bookie]]="","",LayTable[[#This Row],[WBABack]]+LayTable[[#This Row],[WBALay]]-LayTable[[#This Row],[Total inns]])</f>
        <v/>
      </c>
      <c r="U7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8" s="48" t="str">
        <f>IFERROR(IF(LayTable[[#This Row],[Total inns]]="","",LayTable[[#This Row],[Rback]]/LayTable[[#This Row],[Total inns]]),"")</f>
        <v/>
      </c>
      <c r="X778" s="48" t="str">
        <f>IFERROR(IF(LayTable[[#This Row],[Total inns]]="","",LayTable[[#This Row],[Rlay]]/LayTable[[#This Row],[Total inns]]),"")</f>
        <v/>
      </c>
      <c r="Y778" s="48" t="str">
        <f>IFERROR(LayTable[[#This Row],[Faktisk res]]/LayTable[[#This Row],[Total inns]],"")</f>
        <v/>
      </c>
      <c r="Z778" s="47">
        <f>(LayTable[[#This Row],[BookieInnsats]]*LayTable[[#This Row],[BookieOdds]]-LayTable[[#This Row],[BookieInnsats]])*(1-LayTable[[#This Row],[C% Bookie]])</f>
        <v>0</v>
      </c>
      <c r="AA778" s="43">
        <f>LayTable[[#This Row],[LayInnsats]]*(1-LayTable[[#This Row],[C% Lay]])</f>
        <v>0</v>
      </c>
      <c r="AB778" s="43" t="str">
        <f>IFERROR(IF(LayTable[[#This Row],[Sport]]="",AB777,LayTable[[#This Row],[Faktisk res]]+AB777),"")</f>
        <v/>
      </c>
      <c r="AC778" s="43">
        <f>(LayTable[[#This Row],[BackWin-Commission]]+LayTable[[#This Row],[BookieInnsats]])</f>
        <v>0</v>
      </c>
      <c r="AD778" s="43" t="e">
        <f>(LayTable[[#This Row],[LayWin-Commission]])+LayTable[[#This Row],[LayLiability]]</f>
        <v>#VALUE!</v>
      </c>
      <c r="AE778" s="181"/>
      <c r="AF778" s="183"/>
    </row>
    <row r="779" spans="1:32">
      <c r="A779" s="84"/>
      <c r="B779" s="39"/>
      <c r="C779" s="40"/>
      <c r="D779" s="41"/>
      <c r="E779" s="40"/>
      <c r="F779" s="41"/>
      <c r="G779" s="183"/>
      <c r="H779" s="38"/>
      <c r="I779" s="42"/>
      <c r="J779" s="42"/>
      <c r="K779" s="43"/>
      <c r="L779" s="43"/>
      <c r="M779" s="44" t="str">
        <f>IF(LayTable[[#This Row],[Sport]]="","",LayTable[[#This Row],[LayInnsats]]*(LayTable[[#This Row],[LayOdds]]-1))</f>
        <v/>
      </c>
      <c r="N779" s="45" t="str">
        <f>IF(LayTable[[#This Row],[Sport]]="","",1/((1/LayTable[[#This Row],[BookieOdds]])+(1/((1/((1+((LayTable[[#This Row],[LayOdds]]-1)*(1+LayTable[[#This Row],[C% Lay]])))-1))+1)))-1)</f>
        <v/>
      </c>
      <c r="Q779" s="46" t="str">
        <f>IF(LayTable[[#This Row],[Sport]]="","",LayTable[[#This Row],[BookieInnsats]]+LayTable[[#This Row],[LayLiability]])</f>
        <v/>
      </c>
      <c r="R7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79" s="47" t="str">
        <f>IF(LayTable[[#This Row],[Utfall bookie]]="","",LayTable[[#This Row],[WBABack]]+LayTable[[#This Row],[WBALay]]-LayTable[[#This Row],[Total inns]])</f>
        <v/>
      </c>
      <c r="U7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79" s="48" t="str">
        <f>IFERROR(IF(LayTable[[#This Row],[Total inns]]="","",LayTable[[#This Row],[Rback]]/LayTable[[#This Row],[Total inns]]),"")</f>
        <v/>
      </c>
      <c r="X779" s="48" t="str">
        <f>IFERROR(IF(LayTable[[#This Row],[Total inns]]="","",LayTable[[#This Row],[Rlay]]/LayTable[[#This Row],[Total inns]]),"")</f>
        <v/>
      </c>
      <c r="Y779" s="48" t="str">
        <f>IFERROR(LayTable[[#This Row],[Faktisk res]]/LayTable[[#This Row],[Total inns]],"")</f>
        <v/>
      </c>
      <c r="Z779" s="47">
        <f>(LayTable[[#This Row],[BookieInnsats]]*LayTable[[#This Row],[BookieOdds]]-LayTable[[#This Row],[BookieInnsats]])*(1-LayTable[[#This Row],[C% Bookie]])</f>
        <v>0</v>
      </c>
      <c r="AA779" s="43">
        <f>LayTable[[#This Row],[LayInnsats]]*(1-LayTable[[#This Row],[C% Lay]])</f>
        <v>0</v>
      </c>
      <c r="AB779" s="43" t="str">
        <f>IFERROR(IF(LayTable[[#This Row],[Sport]]="",AB778,LayTable[[#This Row],[Faktisk res]]+AB778),"")</f>
        <v/>
      </c>
      <c r="AC779" s="43">
        <f>(LayTable[[#This Row],[BackWin-Commission]]+LayTable[[#This Row],[BookieInnsats]])</f>
        <v>0</v>
      </c>
      <c r="AD779" s="43" t="e">
        <f>(LayTable[[#This Row],[LayWin-Commission]])+LayTable[[#This Row],[LayLiability]]</f>
        <v>#VALUE!</v>
      </c>
      <c r="AE779" s="181"/>
      <c r="AF779" s="183"/>
    </row>
    <row r="780" spans="1:32">
      <c r="A780" s="84"/>
      <c r="B780" s="39"/>
      <c r="C780" s="40"/>
      <c r="D780" s="41"/>
      <c r="E780" s="40"/>
      <c r="F780" s="41"/>
      <c r="G780" s="183"/>
      <c r="H780" s="38"/>
      <c r="I780" s="42"/>
      <c r="J780" s="42"/>
      <c r="K780" s="43"/>
      <c r="L780" s="43"/>
      <c r="M780" s="44" t="str">
        <f>IF(LayTable[[#This Row],[Sport]]="","",LayTable[[#This Row],[LayInnsats]]*(LayTable[[#This Row],[LayOdds]]-1))</f>
        <v/>
      </c>
      <c r="N780" s="45" t="str">
        <f>IF(LayTable[[#This Row],[Sport]]="","",1/((1/LayTable[[#This Row],[BookieOdds]])+(1/((1/((1+((LayTable[[#This Row],[LayOdds]]-1)*(1+LayTable[[#This Row],[C% Lay]])))-1))+1)))-1)</f>
        <v/>
      </c>
      <c r="Q780" s="46" t="str">
        <f>IF(LayTable[[#This Row],[Sport]]="","",LayTable[[#This Row],[BookieInnsats]]+LayTable[[#This Row],[LayLiability]])</f>
        <v/>
      </c>
      <c r="R7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0" s="47" t="str">
        <f>IF(LayTable[[#This Row],[Utfall bookie]]="","",LayTable[[#This Row],[WBABack]]+LayTable[[#This Row],[WBALay]]-LayTable[[#This Row],[Total inns]])</f>
        <v/>
      </c>
      <c r="U7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0" s="48" t="str">
        <f>IFERROR(IF(LayTable[[#This Row],[Total inns]]="","",LayTable[[#This Row],[Rback]]/LayTable[[#This Row],[Total inns]]),"")</f>
        <v/>
      </c>
      <c r="X780" s="48" t="str">
        <f>IFERROR(IF(LayTable[[#This Row],[Total inns]]="","",LayTable[[#This Row],[Rlay]]/LayTable[[#This Row],[Total inns]]),"")</f>
        <v/>
      </c>
      <c r="Y780" s="48" t="str">
        <f>IFERROR(LayTable[[#This Row],[Faktisk res]]/LayTable[[#This Row],[Total inns]],"")</f>
        <v/>
      </c>
      <c r="Z780" s="47">
        <f>(LayTable[[#This Row],[BookieInnsats]]*LayTable[[#This Row],[BookieOdds]]-LayTable[[#This Row],[BookieInnsats]])*(1-LayTable[[#This Row],[C% Bookie]])</f>
        <v>0</v>
      </c>
      <c r="AA780" s="43">
        <f>LayTable[[#This Row],[LayInnsats]]*(1-LayTable[[#This Row],[C% Lay]])</f>
        <v>0</v>
      </c>
      <c r="AB780" s="43" t="str">
        <f>IFERROR(IF(LayTable[[#This Row],[Sport]]="",AB779,LayTable[[#This Row],[Faktisk res]]+AB779),"")</f>
        <v/>
      </c>
      <c r="AC780" s="43">
        <f>(LayTable[[#This Row],[BackWin-Commission]]+LayTable[[#This Row],[BookieInnsats]])</f>
        <v>0</v>
      </c>
      <c r="AD780" s="43" t="e">
        <f>(LayTable[[#This Row],[LayWin-Commission]])+LayTable[[#This Row],[LayLiability]]</f>
        <v>#VALUE!</v>
      </c>
      <c r="AE780" s="181"/>
      <c r="AF780" s="183"/>
    </row>
    <row r="781" spans="1:32">
      <c r="A781" s="84"/>
      <c r="B781" s="39"/>
      <c r="C781" s="40"/>
      <c r="D781" s="41"/>
      <c r="E781" s="40"/>
      <c r="F781" s="41"/>
      <c r="G781" s="183"/>
      <c r="H781" s="38"/>
      <c r="I781" s="42"/>
      <c r="J781" s="42"/>
      <c r="K781" s="43"/>
      <c r="L781" s="43"/>
      <c r="M781" s="44" t="str">
        <f>IF(LayTable[[#This Row],[Sport]]="","",LayTable[[#This Row],[LayInnsats]]*(LayTable[[#This Row],[LayOdds]]-1))</f>
        <v/>
      </c>
      <c r="N781" s="45" t="str">
        <f>IF(LayTable[[#This Row],[Sport]]="","",1/((1/LayTable[[#This Row],[BookieOdds]])+(1/((1/((1+((LayTable[[#This Row],[LayOdds]]-1)*(1+LayTable[[#This Row],[C% Lay]])))-1))+1)))-1)</f>
        <v/>
      </c>
      <c r="Q781" s="46" t="str">
        <f>IF(LayTable[[#This Row],[Sport]]="","",LayTable[[#This Row],[BookieInnsats]]+LayTable[[#This Row],[LayLiability]])</f>
        <v/>
      </c>
      <c r="R7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1" s="47" t="str">
        <f>IF(LayTable[[#This Row],[Utfall bookie]]="","",LayTable[[#This Row],[WBABack]]+LayTable[[#This Row],[WBALay]]-LayTable[[#This Row],[Total inns]])</f>
        <v/>
      </c>
      <c r="U7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1" s="48" t="str">
        <f>IFERROR(IF(LayTable[[#This Row],[Total inns]]="","",LayTable[[#This Row],[Rback]]/LayTable[[#This Row],[Total inns]]),"")</f>
        <v/>
      </c>
      <c r="X781" s="48" t="str">
        <f>IFERROR(IF(LayTable[[#This Row],[Total inns]]="","",LayTable[[#This Row],[Rlay]]/LayTable[[#This Row],[Total inns]]),"")</f>
        <v/>
      </c>
      <c r="Y781" s="48" t="str">
        <f>IFERROR(LayTable[[#This Row],[Faktisk res]]/LayTable[[#This Row],[Total inns]],"")</f>
        <v/>
      </c>
      <c r="Z781" s="47">
        <f>(LayTable[[#This Row],[BookieInnsats]]*LayTable[[#This Row],[BookieOdds]]-LayTable[[#This Row],[BookieInnsats]])*(1-LayTable[[#This Row],[C% Bookie]])</f>
        <v>0</v>
      </c>
      <c r="AA781" s="43">
        <f>LayTable[[#This Row],[LayInnsats]]*(1-LayTable[[#This Row],[C% Lay]])</f>
        <v>0</v>
      </c>
      <c r="AB781" s="43" t="str">
        <f>IFERROR(IF(LayTable[[#This Row],[Sport]]="",AB780,LayTable[[#This Row],[Faktisk res]]+AB780),"")</f>
        <v/>
      </c>
      <c r="AC781" s="43">
        <f>(LayTable[[#This Row],[BackWin-Commission]]+LayTable[[#This Row],[BookieInnsats]])</f>
        <v>0</v>
      </c>
      <c r="AD781" s="43" t="e">
        <f>(LayTable[[#This Row],[LayWin-Commission]])+LayTable[[#This Row],[LayLiability]]</f>
        <v>#VALUE!</v>
      </c>
      <c r="AE781" s="181"/>
      <c r="AF781" s="183"/>
    </row>
    <row r="782" spans="1:32">
      <c r="A782" s="84"/>
      <c r="B782" s="39"/>
      <c r="C782" s="40"/>
      <c r="D782" s="41"/>
      <c r="E782" s="40"/>
      <c r="F782" s="41"/>
      <c r="G782" s="183"/>
      <c r="H782" s="38"/>
      <c r="I782" s="42"/>
      <c r="J782" s="42"/>
      <c r="K782" s="43"/>
      <c r="L782" s="43"/>
      <c r="M782" s="44" t="str">
        <f>IF(LayTable[[#This Row],[Sport]]="","",LayTable[[#This Row],[LayInnsats]]*(LayTable[[#This Row],[LayOdds]]-1))</f>
        <v/>
      </c>
      <c r="N782" s="45" t="str">
        <f>IF(LayTable[[#This Row],[Sport]]="","",1/((1/LayTable[[#This Row],[BookieOdds]])+(1/((1/((1+((LayTable[[#This Row],[LayOdds]]-1)*(1+LayTable[[#This Row],[C% Lay]])))-1))+1)))-1)</f>
        <v/>
      </c>
      <c r="Q782" s="46" t="str">
        <f>IF(LayTable[[#This Row],[Sport]]="","",LayTable[[#This Row],[BookieInnsats]]+LayTable[[#This Row],[LayLiability]])</f>
        <v/>
      </c>
      <c r="R7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2" s="47" t="str">
        <f>IF(LayTable[[#This Row],[Utfall bookie]]="","",LayTable[[#This Row],[WBABack]]+LayTable[[#This Row],[WBALay]]-LayTable[[#This Row],[Total inns]])</f>
        <v/>
      </c>
      <c r="U7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2" s="48" t="str">
        <f>IFERROR(IF(LayTable[[#This Row],[Total inns]]="","",LayTable[[#This Row],[Rback]]/LayTable[[#This Row],[Total inns]]),"")</f>
        <v/>
      </c>
      <c r="X782" s="48" t="str">
        <f>IFERROR(IF(LayTable[[#This Row],[Total inns]]="","",LayTable[[#This Row],[Rlay]]/LayTable[[#This Row],[Total inns]]),"")</f>
        <v/>
      </c>
      <c r="Y782" s="48" t="str">
        <f>IFERROR(LayTable[[#This Row],[Faktisk res]]/LayTable[[#This Row],[Total inns]],"")</f>
        <v/>
      </c>
      <c r="Z782" s="47">
        <f>(LayTable[[#This Row],[BookieInnsats]]*LayTable[[#This Row],[BookieOdds]]-LayTable[[#This Row],[BookieInnsats]])*(1-LayTable[[#This Row],[C% Bookie]])</f>
        <v>0</v>
      </c>
      <c r="AA782" s="43">
        <f>LayTable[[#This Row],[LayInnsats]]*(1-LayTable[[#This Row],[C% Lay]])</f>
        <v>0</v>
      </c>
      <c r="AB782" s="43" t="str">
        <f>IFERROR(IF(LayTable[[#This Row],[Sport]]="",AB781,LayTable[[#This Row],[Faktisk res]]+AB781),"")</f>
        <v/>
      </c>
      <c r="AC782" s="43">
        <f>(LayTable[[#This Row],[BackWin-Commission]]+LayTable[[#This Row],[BookieInnsats]])</f>
        <v>0</v>
      </c>
      <c r="AD782" s="43" t="e">
        <f>(LayTable[[#This Row],[LayWin-Commission]])+LayTable[[#This Row],[LayLiability]]</f>
        <v>#VALUE!</v>
      </c>
      <c r="AE782" s="181"/>
      <c r="AF782" s="183"/>
    </row>
    <row r="783" spans="1:32">
      <c r="A783" s="84"/>
      <c r="B783" s="39"/>
      <c r="C783" s="40"/>
      <c r="D783" s="41"/>
      <c r="E783" s="40"/>
      <c r="F783" s="41"/>
      <c r="G783" s="183"/>
      <c r="H783" s="38"/>
      <c r="I783" s="42"/>
      <c r="J783" s="42"/>
      <c r="K783" s="43"/>
      <c r="L783" s="43"/>
      <c r="M783" s="44" t="str">
        <f>IF(LayTable[[#This Row],[Sport]]="","",LayTable[[#This Row],[LayInnsats]]*(LayTable[[#This Row],[LayOdds]]-1))</f>
        <v/>
      </c>
      <c r="N783" s="45" t="str">
        <f>IF(LayTable[[#This Row],[Sport]]="","",1/((1/LayTable[[#This Row],[BookieOdds]])+(1/((1/((1+((LayTable[[#This Row],[LayOdds]]-1)*(1+LayTable[[#This Row],[C% Lay]])))-1))+1)))-1)</f>
        <v/>
      </c>
      <c r="Q783" s="46" t="str">
        <f>IF(LayTable[[#This Row],[Sport]]="","",LayTable[[#This Row],[BookieInnsats]]+LayTable[[#This Row],[LayLiability]])</f>
        <v/>
      </c>
      <c r="R7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3" s="47" t="str">
        <f>IF(LayTable[[#This Row],[Utfall bookie]]="","",LayTable[[#This Row],[WBABack]]+LayTable[[#This Row],[WBALay]]-LayTable[[#This Row],[Total inns]])</f>
        <v/>
      </c>
      <c r="U7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3" s="48" t="str">
        <f>IFERROR(IF(LayTable[[#This Row],[Total inns]]="","",LayTable[[#This Row],[Rback]]/LayTable[[#This Row],[Total inns]]),"")</f>
        <v/>
      </c>
      <c r="X783" s="48" t="str">
        <f>IFERROR(IF(LayTable[[#This Row],[Total inns]]="","",LayTable[[#This Row],[Rlay]]/LayTable[[#This Row],[Total inns]]),"")</f>
        <v/>
      </c>
      <c r="Y783" s="48" t="str">
        <f>IFERROR(LayTable[[#This Row],[Faktisk res]]/LayTable[[#This Row],[Total inns]],"")</f>
        <v/>
      </c>
      <c r="Z783" s="47">
        <f>(LayTable[[#This Row],[BookieInnsats]]*LayTable[[#This Row],[BookieOdds]]-LayTable[[#This Row],[BookieInnsats]])*(1-LayTable[[#This Row],[C% Bookie]])</f>
        <v>0</v>
      </c>
      <c r="AA783" s="43">
        <f>LayTable[[#This Row],[LayInnsats]]*(1-LayTable[[#This Row],[C% Lay]])</f>
        <v>0</v>
      </c>
      <c r="AB783" s="43" t="str">
        <f>IFERROR(IF(LayTable[[#This Row],[Sport]]="",AB782,LayTable[[#This Row],[Faktisk res]]+AB782),"")</f>
        <v/>
      </c>
      <c r="AC783" s="43">
        <f>(LayTable[[#This Row],[BackWin-Commission]]+LayTable[[#This Row],[BookieInnsats]])</f>
        <v>0</v>
      </c>
      <c r="AD783" s="43" t="e">
        <f>(LayTable[[#This Row],[LayWin-Commission]])+LayTable[[#This Row],[LayLiability]]</f>
        <v>#VALUE!</v>
      </c>
      <c r="AE783" s="318"/>
      <c r="AF783" s="183"/>
    </row>
    <row r="784" spans="1:32">
      <c r="A784" s="84"/>
      <c r="B784" s="39"/>
      <c r="C784" s="40"/>
      <c r="D784" s="41"/>
      <c r="E784" s="40"/>
      <c r="F784" s="41"/>
      <c r="G784" s="183"/>
      <c r="H784" s="38"/>
      <c r="I784" s="42"/>
      <c r="J784" s="42"/>
      <c r="K784" s="43"/>
      <c r="L784" s="43"/>
      <c r="M784" s="44" t="str">
        <f>IF(LayTable[[#This Row],[Sport]]="","",LayTable[[#This Row],[LayInnsats]]*(LayTable[[#This Row],[LayOdds]]-1))</f>
        <v/>
      </c>
      <c r="N784" s="45" t="str">
        <f>IF(LayTable[[#This Row],[Sport]]="","",1/((1/LayTable[[#This Row],[BookieOdds]])+(1/((1/((1+((LayTable[[#This Row],[LayOdds]]-1)*(1+LayTable[[#This Row],[C% Lay]])))-1))+1)))-1)</f>
        <v/>
      </c>
      <c r="Q784" s="46" t="str">
        <f>IF(LayTable[[#This Row],[Sport]]="","",LayTable[[#This Row],[BookieInnsats]]+LayTable[[#This Row],[LayLiability]])</f>
        <v/>
      </c>
      <c r="R7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4" s="47" t="str">
        <f>IF(LayTable[[#This Row],[Utfall bookie]]="","",LayTable[[#This Row],[WBABack]]+LayTable[[#This Row],[WBALay]]-LayTable[[#This Row],[Total inns]])</f>
        <v/>
      </c>
      <c r="U7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4" s="48" t="str">
        <f>IFERROR(IF(LayTable[[#This Row],[Total inns]]="","",LayTable[[#This Row],[Rback]]/LayTable[[#This Row],[Total inns]]),"")</f>
        <v/>
      </c>
      <c r="X784" s="48" t="str">
        <f>IFERROR(IF(LayTable[[#This Row],[Total inns]]="","",LayTable[[#This Row],[Rlay]]/LayTable[[#This Row],[Total inns]]),"")</f>
        <v/>
      </c>
      <c r="Y784" s="48" t="str">
        <f>IFERROR(LayTable[[#This Row],[Faktisk res]]/LayTable[[#This Row],[Total inns]],"")</f>
        <v/>
      </c>
      <c r="Z784" s="47">
        <f>(LayTable[[#This Row],[BookieInnsats]]*LayTable[[#This Row],[BookieOdds]]-LayTable[[#This Row],[BookieInnsats]])*(1-LayTable[[#This Row],[C% Bookie]])</f>
        <v>0</v>
      </c>
      <c r="AA784" s="43">
        <f>LayTable[[#This Row],[LayInnsats]]*(1-LayTable[[#This Row],[C% Lay]])</f>
        <v>0</v>
      </c>
      <c r="AB784" s="43" t="str">
        <f>IFERROR(IF(LayTable[[#This Row],[Sport]]="",AB783,LayTable[[#This Row],[Faktisk res]]+AB783),"")</f>
        <v/>
      </c>
      <c r="AC784" s="43">
        <f>(LayTable[[#This Row],[BackWin-Commission]]+LayTable[[#This Row],[BookieInnsats]])</f>
        <v>0</v>
      </c>
      <c r="AD784" s="43" t="e">
        <f>(LayTable[[#This Row],[LayWin-Commission]])+LayTable[[#This Row],[LayLiability]]</f>
        <v>#VALUE!</v>
      </c>
      <c r="AE784" s="181"/>
      <c r="AF784" s="183"/>
    </row>
    <row r="785" spans="1:32">
      <c r="A785" s="84"/>
      <c r="B785" s="39"/>
      <c r="C785" s="40"/>
      <c r="D785" s="41"/>
      <c r="E785" s="40"/>
      <c r="F785" s="41"/>
      <c r="G785" s="183"/>
      <c r="H785" s="38"/>
      <c r="I785" s="42"/>
      <c r="J785" s="42"/>
      <c r="K785" s="43"/>
      <c r="L785" s="43"/>
      <c r="M785" s="44" t="str">
        <f>IF(LayTable[[#This Row],[Sport]]="","",LayTable[[#This Row],[LayInnsats]]*(LayTable[[#This Row],[LayOdds]]-1))</f>
        <v/>
      </c>
      <c r="N785" s="45" t="str">
        <f>IF(LayTable[[#This Row],[Sport]]="","",1/((1/LayTable[[#This Row],[BookieOdds]])+(1/((1/((1+((LayTable[[#This Row],[LayOdds]]-1)*(1+LayTable[[#This Row],[C% Lay]])))-1))+1)))-1)</f>
        <v/>
      </c>
      <c r="Q785" s="46" t="str">
        <f>IF(LayTable[[#This Row],[Sport]]="","",LayTable[[#This Row],[BookieInnsats]]+LayTable[[#This Row],[LayLiability]])</f>
        <v/>
      </c>
      <c r="R7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5" s="47" t="str">
        <f>IF(LayTable[[#This Row],[Utfall bookie]]="","",LayTable[[#This Row],[WBABack]]+LayTable[[#This Row],[WBALay]]-LayTable[[#This Row],[Total inns]])</f>
        <v/>
      </c>
      <c r="U7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5" s="48" t="str">
        <f>IFERROR(IF(LayTable[[#This Row],[Total inns]]="","",LayTable[[#This Row],[Rback]]/LayTable[[#This Row],[Total inns]]),"")</f>
        <v/>
      </c>
      <c r="X785" s="48" t="str">
        <f>IFERROR(IF(LayTable[[#This Row],[Total inns]]="","",LayTable[[#This Row],[Rlay]]/LayTable[[#This Row],[Total inns]]),"")</f>
        <v/>
      </c>
      <c r="Y785" s="48" t="str">
        <f>IFERROR(LayTable[[#This Row],[Faktisk res]]/LayTable[[#This Row],[Total inns]],"")</f>
        <v/>
      </c>
      <c r="Z785" s="47">
        <f>(LayTable[[#This Row],[BookieInnsats]]*LayTable[[#This Row],[BookieOdds]]-LayTable[[#This Row],[BookieInnsats]])*(1-LayTable[[#This Row],[C% Bookie]])</f>
        <v>0</v>
      </c>
      <c r="AA785" s="43">
        <f>LayTable[[#This Row],[LayInnsats]]*(1-LayTable[[#This Row],[C% Lay]])</f>
        <v>0</v>
      </c>
      <c r="AB785" s="43" t="str">
        <f>IFERROR(IF(LayTable[[#This Row],[Sport]]="",AB784,LayTable[[#This Row],[Faktisk res]]+AB784),"")</f>
        <v/>
      </c>
      <c r="AC785" s="43">
        <f>(LayTable[[#This Row],[BackWin-Commission]]+LayTable[[#This Row],[BookieInnsats]])</f>
        <v>0</v>
      </c>
      <c r="AD785" s="43" t="e">
        <f>(LayTable[[#This Row],[LayWin-Commission]])+LayTable[[#This Row],[LayLiability]]</f>
        <v>#VALUE!</v>
      </c>
      <c r="AE785" s="181"/>
      <c r="AF785" s="183"/>
    </row>
    <row r="786" spans="1:32">
      <c r="A786" s="84"/>
      <c r="B786" s="39"/>
      <c r="C786" s="40"/>
      <c r="D786" s="41"/>
      <c r="E786" s="40"/>
      <c r="F786" s="41"/>
      <c r="G786" s="183"/>
      <c r="H786" s="38"/>
      <c r="I786" s="42"/>
      <c r="J786" s="42"/>
      <c r="K786" s="43"/>
      <c r="L786" s="43"/>
      <c r="M786" s="44" t="str">
        <f>IF(LayTable[[#This Row],[Sport]]="","",LayTable[[#This Row],[LayInnsats]]*(LayTable[[#This Row],[LayOdds]]-1))</f>
        <v/>
      </c>
      <c r="N786" s="45" t="str">
        <f>IF(LayTable[[#This Row],[Sport]]="","",1/((1/LayTable[[#This Row],[BookieOdds]])+(1/((1/((1+((LayTable[[#This Row],[LayOdds]]-1)*(1+LayTable[[#This Row],[C% Lay]])))-1))+1)))-1)</f>
        <v/>
      </c>
      <c r="Q786" s="46" t="str">
        <f>IF(LayTable[[#This Row],[Sport]]="","",LayTable[[#This Row],[BookieInnsats]]+LayTable[[#This Row],[LayLiability]])</f>
        <v/>
      </c>
      <c r="R7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6" s="47" t="str">
        <f>IF(LayTable[[#This Row],[Utfall bookie]]="","",LayTable[[#This Row],[WBABack]]+LayTable[[#This Row],[WBALay]]-LayTable[[#This Row],[Total inns]])</f>
        <v/>
      </c>
      <c r="U7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6" s="48" t="str">
        <f>IFERROR(IF(LayTable[[#This Row],[Total inns]]="","",LayTable[[#This Row],[Rback]]/LayTable[[#This Row],[Total inns]]),"")</f>
        <v/>
      </c>
      <c r="X786" s="48" t="str">
        <f>IFERROR(IF(LayTable[[#This Row],[Total inns]]="","",LayTable[[#This Row],[Rlay]]/LayTable[[#This Row],[Total inns]]),"")</f>
        <v/>
      </c>
      <c r="Y786" s="48" t="str">
        <f>IFERROR(LayTable[[#This Row],[Faktisk res]]/LayTable[[#This Row],[Total inns]],"")</f>
        <v/>
      </c>
      <c r="Z786" s="47">
        <f>(LayTable[[#This Row],[BookieInnsats]]*LayTable[[#This Row],[BookieOdds]]-LayTable[[#This Row],[BookieInnsats]])*(1-LayTable[[#This Row],[C% Bookie]])</f>
        <v>0</v>
      </c>
      <c r="AA786" s="43">
        <f>LayTable[[#This Row],[LayInnsats]]*(1-LayTable[[#This Row],[C% Lay]])</f>
        <v>0</v>
      </c>
      <c r="AB786" s="43" t="str">
        <f>IFERROR(IF(LayTable[[#This Row],[Sport]]="",AB785,LayTable[[#This Row],[Faktisk res]]+AB785),"")</f>
        <v/>
      </c>
      <c r="AC786" s="43">
        <f>(LayTable[[#This Row],[BackWin-Commission]]+LayTable[[#This Row],[BookieInnsats]])</f>
        <v>0</v>
      </c>
      <c r="AD786" s="43" t="e">
        <f>(LayTable[[#This Row],[LayWin-Commission]])+LayTable[[#This Row],[LayLiability]]</f>
        <v>#VALUE!</v>
      </c>
      <c r="AE786" s="318"/>
      <c r="AF786" s="183"/>
    </row>
    <row r="787" spans="1:32">
      <c r="A787" s="84"/>
      <c r="B787" s="39"/>
      <c r="C787" s="40"/>
      <c r="D787" s="41"/>
      <c r="E787" s="40"/>
      <c r="F787" s="41"/>
      <c r="G787" s="183"/>
      <c r="H787" s="38"/>
      <c r="I787" s="42"/>
      <c r="J787" s="42"/>
      <c r="K787" s="43"/>
      <c r="L787" s="43"/>
      <c r="M787" s="44" t="str">
        <f>IF(LayTable[[#This Row],[Sport]]="","",LayTable[[#This Row],[LayInnsats]]*(LayTable[[#This Row],[LayOdds]]-1))</f>
        <v/>
      </c>
      <c r="N787" s="45" t="str">
        <f>IF(LayTable[[#This Row],[Sport]]="","",1/((1/LayTable[[#This Row],[BookieOdds]])+(1/((1/((1+((LayTable[[#This Row],[LayOdds]]-1)*(1+LayTable[[#This Row],[C% Lay]])))-1))+1)))-1)</f>
        <v/>
      </c>
      <c r="Q787" s="46" t="str">
        <f>IF(LayTable[[#This Row],[Sport]]="","",LayTable[[#This Row],[BookieInnsats]]+LayTable[[#This Row],[LayLiability]])</f>
        <v/>
      </c>
      <c r="R7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7" s="47" t="str">
        <f>IF(LayTable[[#This Row],[Utfall bookie]]="","",LayTable[[#This Row],[WBABack]]+LayTable[[#This Row],[WBALay]]-LayTable[[#This Row],[Total inns]])</f>
        <v/>
      </c>
      <c r="U7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7" s="48" t="str">
        <f>IFERROR(IF(LayTable[[#This Row],[Total inns]]="","",LayTable[[#This Row],[Rback]]/LayTable[[#This Row],[Total inns]]),"")</f>
        <v/>
      </c>
      <c r="X787" s="48" t="str">
        <f>IFERROR(IF(LayTable[[#This Row],[Total inns]]="","",LayTable[[#This Row],[Rlay]]/LayTable[[#This Row],[Total inns]]),"")</f>
        <v/>
      </c>
      <c r="Y787" s="48" t="str">
        <f>IFERROR(LayTable[[#This Row],[Faktisk res]]/LayTable[[#This Row],[Total inns]],"")</f>
        <v/>
      </c>
      <c r="Z787" s="47">
        <f>(LayTable[[#This Row],[BookieInnsats]]*LayTable[[#This Row],[BookieOdds]]-LayTable[[#This Row],[BookieInnsats]])*(1-LayTable[[#This Row],[C% Bookie]])</f>
        <v>0</v>
      </c>
      <c r="AA787" s="43">
        <f>LayTable[[#This Row],[LayInnsats]]*(1-LayTable[[#This Row],[C% Lay]])</f>
        <v>0</v>
      </c>
      <c r="AB787" s="43" t="str">
        <f>IFERROR(IF(LayTable[[#This Row],[Sport]]="",AB786,LayTable[[#This Row],[Faktisk res]]+AB786),"")</f>
        <v/>
      </c>
      <c r="AC787" s="43">
        <f>(LayTable[[#This Row],[BackWin-Commission]]+LayTable[[#This Row],[BookieInnsats]])</f>
        <v>0</v>
      </c>
      <c r="AD787" s="43" t="e">
        <f>(LayTable[[#This Row],[LayWin-Commission]])+LayTable[[#This Row],[LayLiability]]</f>
        <v>#VALUE!</v>
      </c>
      <c r="AE787" s="303"/>
      <c r="AF787" s="183"/>
    </row>
    <row r="788" spans="1:32">
      <c r="A788" s="84"/>
      <c r="B788" s="39"/>
      <c r="C788" s="40"/>
      <c r="D788" s="41"/>
      <c r="E788" s="40"/>
      <c r="F788" s="41"/>
      <c r="G788" s="183"/>
      <c r="H788" s="38"/>
      <c r="I788" s="42"/>
      <c r="J788" s="42"/>
      <c r="K788" s="43"/>
      <c r="L788" s="43"/>
      <c r="M788" s="44" t="str">
        <f>IF(LayTable[[#This Row],[Sport]]="","",LayTable[[#This Row],[LayInnsats]]*(LayTable[[#This Row],[LayOdds]]-1))</f>
        <v/>
      </c>
      <c r="N788" s="45" t="str">
        <f>IF(LayTable[[#This Row],[Sport]]="","",1/((1/LayTable[[#This Row],[BookieOdds]])+(1/((1/((1+((LayTable[[#This Row],[LayOdds]]-1)*(1+LayTable[[#This Row],[C% Lay]])))-1))+1)))-1)</f>
        <v/>
      </c>
      <c r="Q788" s="46" t="str">
        <f>IF(LayTable[[#This Row],[Sport]]="","",LayTable[[#This Row],[BookieInnsats]]+LayTable[[#This Row],[LayLiability]])</f>
        <v/>
      </c>
      <c r="R7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8" s="47" t="str">
        <f>IF(LayTable[[#This Row],[Utfall bookie]]="","",LayTable[[#This Row],[WBABack]]+LayTable[[#This Row],[WBALay]]-LayTable[[#This Row],[Total inns]])</f>
        <v/>
      </c>
      <c r="U7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8" s="48" t="str">
        <f>IFERROR(IF(LayTable[[#This Row],[Total inns]]="","",LayTable[[#This Row],[Rback]]/LayTable[[#This Row],[Total inns]]),"")</f>
        <v/>
      </c>
      <c r="X788" s="48" t="str">
        <f>IFERROR(IF(LayTable[[#This Row],[Total inns]]="","",LayTable[[#This Row],[Rlay]]/LayTable[[#This Row],[Total inns]]),"")</f>
        <v/>
      </c>
      <c r="Y788" s="48" t="str">
        <f>IFERROR(LayTable[[#This Row],[Faktisk res]]/LayTable[[#This Row],[Total inns]],"")</f>
        <v/>
      </c>
      <c r="Z788" s="47">
        <f>(LayTable[[#This Row],[BookieInnsats]]*LayTable[[#This Row],[BookieOdds]]-LayTable[[#This Row],[BookieInnsats]])*(1-LayTable[[#This Row],[C% Bookie]])</f>
        <v>0</v>
      </c>
      <c r="AA788" s="43">
        <f>LayTable[[#This Row],[LayInnsats]]*(1-LayTable[[#This Row],[C% Lay]])</f>
        <v>0</v>
      </c>
      <c r="AB788" s="43" t="str">
        <f>IFERROR(IF(LayTable[[#This Row],[Sport]]="",AB787,LayTable[[#This Row],[Faktisk res]]+AB787),"")</f>
        <v/>
      </c>
      <c r="AC788" s="43">
        <f>(LayTable[[#This Row],[BackWin-Commission]]+LayTable[[#This Row],[BookieInnsats]])</f>
        <v>0</v>
      </c>
      <c r="AD788" s="43" t="e">
        <f>(LayTable[[#This Row],[LayWin-Commission]])+LayTable[[#This Row],[LayLiability]]</f>
        <v>#VALUE!</v>
      </c>
      <c r="AE788" s="305"/>
      <c r="AF788" s="183"/>
    </row>
    <row r="789" spans="1:32">
      <c r="A789" s="84"/>
      <c r="B789" s="39"/>
      <c r="C789" s="40"/>
      <c r="D789" s="41"/>
      <c r="E789" s="40"/>
      <c r="F789" s="41"/>
      <c r="G789" s="183"/>
      <c r="H789" s="38"/>
      <c r="I789" s="42"/>
      <c r="J789" s="42"/>
      <c r="K789" s="43"/>
      <c r="L789" s="43"/>
      <c r="M789" s="44" t="str">
        <f>IF(LayTable[[#This Row],[Sport]]="","",LayTable[[#This Row],[LayInnsats]]*(LayTable[[#This Row],[LayOdds]]-1))</f>
        <v/>
      </c>
      <c r="N789" s="45" t="str">
        <f>IF(LayTable[[#This Row],[Sport]]="","",1/((1/LayTable[[#This Row],[BookieOdds]])+(1/((1/((1+((LayTable[[#This Row],[LayOdds]]-1)*(1+LayTable[[#This Row],[C% Lay]])))-1))+1)))-1)</f>
        <v/>
      </c>
      <c r="Q789" s="46" t="str">
        <f>IF(LayTable[[#This Row],[Sport]]="","",LayTable[[#This Row],[BookieInnsats]]+LayTable[[#This Row],[LayLiability]])</f>
        <v/>
      </c>
      <c r="R7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89" s="47" t="str">
        <f>IF(LayTable[[#This Row],[Utfall bookie]]="","",LayTable[[#This Row],[WBABack]]+LayTable[[#This Row],[WBALay]]-LayTable[[#This Row],[Total inns]])</f>
        <v/>
      </c>
      <c r="U7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89" s="48" t="str">
        <f>IFERROR(IF(LayTable[[#This Row],[Total inns]]="","",LayTable[[#This Row],[Rback]]/LayTable[[#This Row],[Total inns]]),"")</f>
        <v/>
      </c>
      <c r="X789" s="48" t="str">
        <f>IFERROR(IF(LayTable[[#This Row],[Total inns]]="","",LayTable[[#This Row],[Rlay]]/LayTable[[#This Row],[Total inns]]),"")</f>
        <v/>
      </c>
      <c r="Y789" s="48" t="str">
        <f>IFERROR(LayTable[[#This Row],[Faktisk res]]/LayTable[[#This Row],[Total inns]],"")</f>
        <v/>
      </c>
      <c r="Z789" s="47">
        <f>(LayTable[[#This Row],[BookieInnsats]]*LayTable[[#This Row],[BookieOdds]]-LayTable[[#This Row],[BookieInnsats]])*(1-LayTable[[#This Row],[C% Bookie]])</f>
        <v>0</v>
      </c>
      <c r="AA789" s="43">
        <f>LayTable[[#This Row],[LayInnsats]]*(1-LayTable[[#This Row],[C% Lay]])</f>
        <v>0</v>
      </c>
      <c r="AB789" s="43" t="str">
        <f>IFERROR(IF(LayTable[[#This Row],[Sport]]="",AB788,LayTable[[#This Row],[Faktisk res]]+AB788),"")</f>
        <v/>
      </c>
      <c r="AC789" s="43">
        <f>(LayTable[[#This Row],[BackWin-Commission]]+LayTable[[#This Row],[BookieInnsats]])</f>
        <v>0</v>
      </c>
      <c r="AD789" s="43" t="e">
        <f>(LayTable[[#This Row],[LayWin-Commission]])+LayTable[[#This Row],[LayLiability]]</f>
        <v>#VALUE!</v>
      </c>
      <c r="AE789" s="181"/>
      <c r="AF789" s="183"/>
    </row>
    <row r="790" spans="1:32">
      <c r="A790" s="84"/>
      <c r="B790" s="39"/>
      <c r="C790" s="40"/>
      <c r="D790" s="41"/>
      <c r="E790" s="40"/>
      <c r="F790" s="41"/>
      <c r="G790" s="183"/>
      <c r="H790" s="38"/>
      <c r="I790" s="42"/>
      <c r="J790" s="42"/>
      <c r="K790" s="43"/>
      <c r="L790" s="43"/>
      <c r="M790" s="44" t="str">
        <f>IF(LayTable[[#This Row],[Sport]]="","",LayTable[[#This Row],[LayInnsats]]*(LayTable[[#This Row],[LayOdds]]-1))</f>
        <v/>
      </c>
      <c r="N790" s="45" t="str">
        <f>IF(LayTable[[#This Row],[Sport]]="","",1/((1/LayTable[[#This Row],[BookieOdds]])+(1/((1/((1+((LayTable[[#This Row],[LayOdds]]-1)*(1+LayTable[[#This Row],[C% Lay]])))-1))+1)))-1)</f>
        <v/>
      </c>
      <c r="Q790" s="46" t="str">
        <f>IF(LayTable[[#This Row],[Sport]]="","",LayTable[[#This Row],[BookieInnsats]]+LayTable[[#This Row],[LayLiability]])</f>
        <v/>
      </c>
      <c r="R7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0" s="47" t="str">
        <f>IF(LayTable[[#This Row],[Utfall bookie]]="","",LayTable[[#This Row],[WBABack]]+LayTable[[#This Row],[WBALay]]-LayTable[[#This Row],[Total inns]])</f>
        <v/>
      </c>
      <c r="U7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0" s="48" t="str">
        <f>IFERROR(IF(LayTable[[#This Row],[Total inns]]="","",LayTable[[#This Row],[Rback]]/LayTable[[#This Row],[Total inns]]),"")</f>
        <v/>
      </c>
      <c r="X790" s="48" t="str">
        <f>IFERROR(IF(LayTable[[#This Row],[Total inns]]="","",LayTable[[#This Row],[Rlay]]/LayTable[[#This Row],[Total inns]]),"")</f>
        <v/>
      </c>
      <c r="Y790" s="48" t="str">
        <f>IFERROR(LayTable[[#This Row],[Faktisk res]]/LayTable[[#This Row],[Total inns]],"")</f>
        <v/>
      </c>
      <c r="Z790" s="47">
        <f>(LayTable[[#This Row],[BookieInnsats]]*LayTable[[#This Row],[BookieOdds]]-LayTable[[#This Row],[BookieInnsats]])*(1-LayTable[[#This Row],[C% Bookie]])</f>
        <v>0</v>
      </c>
      <c r="AA790" s="43">
        <f>LayTable[[#This Row],[LayInnsats]]*(1-LayTable[[#This Row],[C% Lay]])</f>
        <v>0</v>
      </c>
      <c r="AB790" s="43" t="str">
        <f>IFERROR(IF(LayTable[[#This Row],[Sport]]="",AB789,LayTable[[#This Row],[Faktisk res]]+AB789),"")</f>
        <v/>
      </c>
      <c r="AC790" s="43">
        <f>(LayTable[[#This Row],[BackWin-Commission]]+LayTable[[#This Row],[BookieInnsats]])</f>
        <v>0</v>
      </c>
      <c r="AD790" s="43" t="e">
        <f>(LayTable[[#This Row],[LayWin-Commission]])+LayTable[[#This Row],[LayLiability]]</f>
        <v>#VALUE!</v>
      </c>
      <c r="AE790" s="181"/>
      <c r="AF790" s="183"/>
    </row>
    <row r="791" spans="1:32">
      <c r="A791" s="84"/>
      <c r="B791" s="39"/>
      <c r="C791" s="40"/>
      <c r="D791" s="41"/>
      <c r="E791" s="40"/>
      <c r="F791" s="41"/>
      <c r="G791" s="183"/>
      <c r="H791" s="38"/>
      <c r="I791" s="42"/>
      <c r="J791" s="42"/>
      <c r="K791" s="43"/>
      <c r="L791" s="43"/>
      <c r="M791" s="44" t="str">
        <f>IF(LayTable[[#This Row],[Sport]]="","",LayTable[[#This Row],[LayInnsats]]*(LayTable[[#This Row],[LayOdds]]-1))</f>
        <v/>
      </c>
      <c r="N791" s="45" t="str">
        <f>IF(LayTable[[#This Row],[Sport]]="","",1/((1/LayTable[[#This Row],[BookieOdds]])+(1/((1/((1+((LayTable[[#This Row],[LayOdds]]-1)*(1+LayTable[[#This Row],[C% Lay]])))-1))+1)))-1)</f>
        <v/>
      </c>
      <c r="Q791" s="46" t="str">
        <f>IF(LayTable[[#This Row],[Sport]]="","",LayTable[[#This Row],[BookieInnsats]]+LayTable[[#This Row],[LayLiability]])</f>
        <v/>
      </c>
      <c r="R7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1" s="47" t="str">
        <f>IF(LayTable[[#This Row],[Utfall bookie]]="","",LayTable[[#This Row],[WBABack]]+LayTable[[#This Row],[WBALay]]-LayTable[[#This Row],[Total inns]])</f>
        <v/>
      </c>
      <c r="U7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1" s="48" t="str">
        <f>IFERROR(IF(LayTable[[#This Row],[Total inns]]="","",LayTable[[#This Row],[Rback]]/LayTable[[#This Row],[Total inns]]),"")</f>
        <v/>
      </c>
      <c r="X791" s="48" t="str">
        <f>IFERROR(IF(LayTable[[#This Row],[Total inns]]="","",LayTable[[#This Row],[Rlay]]/LayTable[[#This Row],[Total inns]]),"")</f>
        <v/>
      </c>
      <c r="Y791" s="48" t="str">
        <f>IFERROR(LayTable[[#This Row],[Faktisk res]]/LayTable[[#This Row],[Total inns]],"")</f>
        <v/>
      </c>
      <c r="Z791" s="47">
        <f>(LayTable[[#This Row],[BookieInnsats]]*LayTable[[#This Row],[BookieOdds]]-LayTable[[#This Row],[BookieInnsats]])*(1-LayTable[[#This Row],[C% Bookie]])</f>
        <v>0</v>
      </c>
      <c r="AA791" s="43">
        <f>LayTable[[#This Row],[LayInnsats]]*(1-LayTable[[#This Row],[C% Lay]])</f>
        <v>0</v>
      </c>
      <c r="AB791" s="43" t="str">
        <f>IFERROR(IF(LayTable[[#This Row],[Sport]]="",AB790,LayTable[[#This Row],[Faktisk res]]+AB790),"")</f>
        <v/>
      </c>
      <c r="AC791" s="43">
        <f>(LayTable[[#This Row],[BackWin-Commission]]+LayTable[[#This Row],[BookieInnsats]])</f>
        <v>0</v>
      </c>
      <c r="AD791" s="43" t="e">
        <f>(LayTable[[#This Row],[LayWin-Commission]])+LayTable[[#This Row],[LayLiability]]</f>
        <v>#VALUE!</v>
      </c>
      <c r="AE791" s="198"/>
      <c r="AF791" s="183"/>
    </row>
    <row r="792" spans="1:32">
      <c r="A792" s="84"/>
      <c r="B792" s="39"/>
      <c r="C792" s="40"/>
      <c r="D792" s="41"/>
      <c r="E792" s="40"/>
      <c r="F792" s="41"/>
      <c r="G792" s="183"/>
      <c r="H792" s="38"/>
      <c r="I792" s="42"/>
      <c r="J792" s="42"/>
      <c r="K792" s="43"/>
      <c r="L792" s="43"/>
      <c r="M792" s="44" t="str">
        <f>IF(LayTable[[#This Row],[Sport]]="","",LayTable[[#This Row],[LayInnsats]]*(LayTable[[#This Row],[LayOdds]]-1))</f>
        <v/>
      </c>
      <c r="N792" s="45" t="str">
        <f>IF(LayTable[[#This Row],[Sport]]="","",1/((1/LayTable[[#This Row],[BookieOdds]])+(1/((1/((1+((LayTable[[#This Row],[LayOdds]]-1)*(1+LayTable[[#This Row],[C% Lay]])))-1))+1)))-1)</f>
        <v/>
      </c>
      <c r="Q792" s="46" t="str">
        <f>IF(LayTable[[#This Row],[Sport]]="","",LayTable[[#This Row],[BookieInnsats]]+LayTable[[#This Row],[LayLiability]])</f>
        <v/>
      </c>
      <c r="R7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2" s="47" t="str">
        <f>IF(LayTable[[#This Row],[Utfall bookie]]="","",LayTable[[#This Row],[WBABack]]+LayTable[[#This Row],[WBALay]]-LayTable[[#This Row],[Total inns]])</f>
        <v/>
      </c>
      <c r="U7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2" s="48" t="str">
        <f>IFERROR(IF(LayTable[[#This Row],[Total inns]]="","",LayTable[[#This Row],[Rback]]/LayTable[[#This Row],[Total inns]]),"")</f>
        <v/>
      </c>
      <c r="X792" s="48" t="str">
        <f>IFERROR(IF(LayTable[[#This Row],[Total inns]]="","",LayTable[[#This Row],[Rlay]]/LayTable[[#This Row],[Total inns]]),"")</f>
        <v/>
      </c>
      <c r="Y792" s="48" t="str">
        <f>IFERROR(LayTable[[#This Row],[Faktisk res]]/LayTable[[#This Row],[Total inns]],"")</f>
        <v/>
      </c>
      <c r="Z792" s="47">
        <f>(LayTable[[#This Row],[BookieInnsats]]*LayTable[[#This Row],[BookieOdds]]-LayTable[[#This Row],[BookieInnsats]])*(1-LayTable[[#This Row],[C% Bookie]])</f>
        <v>0</v>
      </c>
      <c r="AA792" s="43">
        <f>LayTable[[#This Row],[LayInnsats]]*(1-LayTable[[#This Row],[C% Lay]])</f>
        <v>0</v>
      </c>
      <c r="AB792" s="43" t="str">
        <f>IFERROR(IF(LayTable[[#This Row],[Sport]]="",AB791,LayTable[[#This Row],[Faktisk res]]+AB791),"")</f>
        <v/>
      </c>
      <c r="AC792" s="43">
        <f>(LayTable[[#This Row],[BackWin-Commission]]+LayTable[[#This Row],[BookieInnsats]])</f>
        <v>0</v>
      </c>
      <c r="AD792" s="43" t="e">
        <f>(LayTable[[#This Row],[LayWin-Commission]])+LayTable[[#This Row],[LayLiability]]</f>
        <v>#VALUE!</v>
      </c>
      <c r="AE792" s="181"/>
      <c r="AF792" s="183"/>
    </row>
    <row r="793" spans="1:32">
      <c r="A793" s="84"/>
      <c r="B793" s="39"/>
      <c r="C793" s="40"/>
      <c r="D793" s="41"/>
      <c r="E793" s="40"/>
      <c r="F793" s="41"/>
      <c r="G793" s="183"/>
      <c r="H793" s="38"/>
      <c r="I793" s="42"/>
      <c r="J793" s="42"/>
      <c r="K793" s="43"/>
      <c r="L793" s="43"/>
      <c r="M793" s="44" t="str">
        <f>IF(LayTable[[#This Row],[Sport]]="","",LayTable[[#This Row],[LayInnsats]]*(LayTable[[#This Row],[LayOdds]]-1))</f>
        <v/>
      </c>
      <c r="N793" s="45" t="str">
        <f>IF(LayTable[[#This Row],[Sport]]="","",1/((1/LayTable[[#This Row],[BookieOdds]])+(1/((1/((1+((LayTable[[#This Row],[LayOdds]]-1)*(1+LayTable[[#This Row],[C% Lay]])))-1))+1)))-1)</f>
        <v/>
      </c>
      <c r="Q793" s="46" t="str">
        <f>IF(LayTable[[#This Row],[Sport]]="","",LayTable[[#This Row],[BookieInnsats]]+LayTable[[#This Row],[LayLiability]])</f>
        <v/>
      </c>
      <c r="R7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3" s="47" t="str">
        <f>IF(LayTable[[#This Row],[Utfall bookie]]="","",LayTable[[#This Row],[WBABack]]+LayTable[[#This Row],[WBALay]]-LayTable[[#This Row],[Total inns]])</f>
        <v/>
      </c>
      <c r="U7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3" s="48" t="str">
        <f>IFERROR(IF(LayTable[[#This Row],[Total inns]]="","",LayTable[[#This Row],[Rback]]/LayTable[[#This Row],[Total inns]]),"")</f>
        <v/>
      </c>
      <c r="X793" s="48" t="str">
        <f>IFERROR(IF(LayTable[[#This Row],[Total inns]]="","",LayTable[[#This Row],[Rlay]]/LayTable[[#This Row],[Total inns]]),"")</f>
        <v/>
      </c>
      <c r="Y793" s="48" t="str">
        <f>IFERROR(LayTable[[#This Row],[Faktisk res]]/LayTable[[#This Row],[Total inns]],"")</f>
        <v/>
      </c>
      <c r="Z793" s="47">
        <f>(LayTable[[#This Row],[BookieInnsats]]*LayTable[[#This Row],[BookieOdds]]-LayTable[[#This Row],[BookieInnsats]])*(1-LayTable[[#This Row],[C% Bookie]])</f>
        <v>0</v>
      </c>
      <c r="AA793" s="43">
        <f>LayTable[[#This Row],[LayInnsats]]*(1-LayTable[[#This Row],[C% Lay]])</f>
        <v>0</v>
      </c>
      <c r="AB793" s="43" t="str">
        <f>IFERROR(IF(LayTable[[#This Row],[Sport]]="",AB792,LayTable[[#This Row],[Faktisk res]]+AB792),"")</f>
        <v/>
      </c>
      <c r="AC793" s="43">
        <f>(LayTable[[#This Row],[BackWin-Commission]]+LayTable[[#This Row],[BookieInnsats]])</f>
        <v>0</v>
      </c>
      <c r="AD793" s="43" t="e">
        <f>(LayTable[[#This Row],[LayWin-Commission]])+LayTable[[#This Row],[LayLiability]]</f>
        <v>#VALUE!</v>
      </c>
      <c r="AE793" s="198"/>
      <c r="AF793" s="183"/>
    </row>
    <row r="794" spans="1:32">
      <c r="A794" s="84"/>
      <c r="B794" s="39"/>
      <c r="C794" s="40"/>
      <c r="D794" s="41"/>
      <c r="E794" s="40"/>
      <c r="F794" s="41"/>
      <c r="G794" s="183"/>
      <c r="H794" s="38"/>
      <c r="I794" s="42"/>
      <c r="J794" s="42"/>
      <c r="K794" s="43"/>
      <c r="L794" s="43"/>
      <c r="M794" s="44" t="str">
        <f>IF(LayTable[[#This Row],[Sport]]="","",LayTable[[#This Row],[LayInnsats]]*(LayTable[[#This Row],[LayOdds]]-1))</f>
        <v/>
      </c>
      <c r="N794" s="45" t="str">
        <f>IF(LayTable[[#This Row],[Sport]]="","",1/((1/LayTable[[#This Row],[BookieOdds]])+(1/((1/((1+((LayTable[[#This Row],[LayOdds]]-1)*(1+LayTable[[#This Row],[C% Lay]])))-1))+1)))-1)</f>
        <v/>
      </c>
      <c r="Q794" s="46" t="str">
        <f>IF(LayTable[[#This Row],[Sport]]="","",LayTable[[#This Row],[BookieInnsats]]+LayTable[[#This Row],[LayLiability]])</f>
        <v/>
      </c>
      <c r="R7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4" s="47" t="str">
        <f>IF(LayTable[[#This Row],[Utfall bookie]]="","",LayTable[[#This Row],[WBABack]]+LayTable[[#This Row],[WBALay]]-LayTable[[#This Row],[Total inns]])</f>
        <v/>
      </c>
      <c r="U7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4" s="48" t="str">
        <f>IFERROR(IF(LayTable[[#This Row],[Total inns]]="","",LayTable[[#This Row],[Rback]]/LayTable[[#This Row],[Total inns]]),"")</f>
        <v/>
      </c>
      <c r="X794" s="48" t="str">
        <f>IFERROR(IF(LayTable[[#This Row],[Total inns]]="","",LayTable[[#This Row],[Rlay]]/LayTable[[#This Row],[Total inns]]),"")</f>
        <v/>
      </c>
      <c r="Y794" s="48" t="str">
        <f>IFERROR(LayTable[[#This Row],[Faktisk res]]/LayTable[[#This Row],[Total inns]],"")</f>
        <v/>
      </c>
      <c r="Z794" s="47">
        <f>(LayTable[[#This Row],[BookieInnsats]]*LayTable[[#This Row],[BookieOdds]]-LayTable[[#This Row],[BookieInnsats]])*(1-LayTable[[#This Row],[C% Bookie]])</f>
        <v>0</v>
      </c>
      <c r="AA794" s="43">
        <f>LayTable[[#This Row],[LayInnsats]]*(1-LayTable[[#This Row],[C% Lay]])</f>
        <v>0</v>
      </c>
      <c r="AB794" s="43" t="str">
        <f>IFERROR(IF(LayTable[[#This Row],[Sport]]="",AB793,LayTable[[#This Row],[Faktisk res]]+AB793),"")</f>
        <v/>
      </c>
      <c r="AC794" s="43">
        <f>(LayTable[[#This Row],[BackWin-Commission]]+LayTable[[#This Row],[BookieInnsats]])</f>
        <v>0</v>
      </c>
      <c r="AD794" s="43" t="e">
        <f>(LayTable[[#This Row],[LayWin-Commission]])+LayTable[[#This Row],[LayLiability]]</f>
        <v>#VALUE!</v>
      </c>
      <c r="AE794" s="318"/>
      <c r="AF794" s="183"/>
    </row>
    <row r="795" spans="1:32">
      <c r="A795" s="84"/>
      <c r="B795" s="39"/>
      <c r="C795" s="40"/>
      <c r="D795" s="41"/>
      <c r="E795" s="40"/>
      <c r="F795" s="41"/>
      <c r="G795" s="183"/>
      <c r="H795" s="38"/>
      <c r="I795" s="42"/>
      <c r="J795" s="42"/>
      <c r="K795" s="43"/>
      <c r="L795" s="43"/>
      <c r="M795" s="44" t="str">
        <f>IF(LayTable[[#This Row],[Sport]]="","",LayTable[[#This Row],[LayInnsats]]*(LayTable[[#This Row],[LayOdds]]-1))</f>
        <v/>
      </c>
      <c r="N795" s="45" t="str">
        <f>IF(LayTable[[#This Row],[Sport]]="","",1/((1/LayTable[[#This Row],[BookieOdds]])+(1/((1/((1+((LayTable[[#This Row],[LayOdds]]-1)*(1+LayTable[[#This Row],[C% Lay]])))-1))+1)))-1)</f>
        <v/>
      </c>
      <c r="Q795" s="46" t="str">
        <f>IF(LayTable[[#This Row],[Sport]]="","",LayTable[[#This Row],[BookieInnsats]]+LayTable[[#This Row],[LayLiability]])</f>
        <v/>
      </c>
      <c r="R7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5" s="47" t="str">
        <f>IF(LayTable[[#This Row],[Utfall bookie]]="","",LayTable[[#This Row],[WBABack]]+LayTable[[#This Row],[WBALay]]-LayTable[[#This Row],[Total inns]])</f>
        <v/>
      </c>
      <c r="U7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5" s="48" t="str">
        <f>IFERROR(IF(LayTable[[#This Row],[Total inns]]="","",LayTable[[#This Row],[Rback]]/LayTable[[#This Row],[Total inns]]),"")</f>
        <v/>
      </c>
      <c r="X795" s="48" t="str">
        <f>IFERROR(IF(LayTable[[#This Row],[Total inns]]="","",LayTable[[#This Row],[Rlay]]/LayTable[[#This Row],[Total inns]]),"")</f>
        <v/>
      </c>
      <c r="Y795" s="48" t="str">
        <f>IFERROR(LayTable[[#This Row],[Faktisk res]]/LayTable[[#This Row],[Total inns]],"")</f>
        <v/>
      </c>
      <c r="Z795" s="47">
        <f>(LayTable[[#This Row],[BookieInnsats]]*LayTable[[#This Row],[BookieOdds]]-LayTable[[#This Row],[BookieInnsats]])*(1-LayTable[[#This Row],[C% Bookie]])</f>
        <v>0</v>
      </c>
      <c r="AA795" s="43">
        <f>LayTable[[#This Row],[LayInnsats]]*(1-LayTable[[#This Row],[C% Lay]])</f>
        <v>0</v>
      </c>
      <c r="AB795" s="43" t="str">
        <f>IFERROR(IF(LayTable[[#This Row],[Sport]]="",AB794,LayTable[[#This Row],[Faktisk res]]+AB794),"")</f>
        <v/>
      </c>
      <c r="AC795" s="43">
        <f>(LayTable[[#This Row],[BackWin-Commission]]+LayTable[[#This Row],[BookieInnsats]])</f>
        <v>0</v>
      </c>
      <c r="AD795" s="43" t="e">
        <f>(LayTable[[#This Row],[LayWin-Commission]])+LayTable[[#This Row],[LayLiability]]</f>
        <v>#VALUE!</v>
      </c>
      <c r="AE795" s="43"/>
      <c r="AF795" s="183"/>
    </row>
    <row r="796" spans="1:32">
      <c r="A796" s="84"/>
      <c r="B796" s="39"/>
      <c r="C796" s="40"/>
      <c r="D796" s="41"/>
      <c r="E796" s="40"/>
      <c r="F796" s="41"/>
      <c r="G796" s="183"/>
      <c r="H796" s="38"/>
      <c r="I796" s="42"/>
      <c r="J796" s="42"/>
      <c r="K796" s="43"/>
      <c r="L796" s="43"/>
      <c r="M796" s="44" t="str">
        <f>IF(LayTable[[#This Row],[Sport]]="","",LayTable[[#This Row],[LayInnsats]]*(LayTable[[#This Row],[LayOdds]]-1))</f>
        <v/>
      </c>
      <c r="N796" s="45" t="str">
        <f>IF(LayTable[[#This Row],[Sport]]="","",1/((1/LayTable[[#This Row],[BookieOdds]])+(1/((1/((1+((LayTable[[#This Row],[LayOdds]]-1)*(1+LayTable[[#This Row],[C% Lay]])))-1))+1)))-1)</f>
        <v/>
      </c>
      <c r="Q796" s="46" t="str">
        <f>IF(LayTable[[#This Row],[Sport]]="","",LayTable[[#This Row],[BookieInnsats]]+LayTable[[#This Row],[LayLiability]])</f>
        <v/>
      </c>
      <c r="R7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6" s="47" t="str">
        <f>IF(LayTable[[#This Row],[Utfall bookie]]="","",LayTable[[#This Row],[WBABack]]+LayTable[[#This Row],[WBALay]]-LayTable[[#This Row],[Total inns]])</f>
        <v/>
      </c>
      <c r="U7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6" s="48" t="str">
        <f>IFERROR(IF(LayTable[[#This Row],[Total inns]]="","",LayTable[[#This Row],[Rback]]/LayTable[[#This Row],[Total inns]]),"")</f>
        <v/>
      </c>
      <c r="X796" s="48" t="str">
        <f>IFERROR(IF(LayTable[[#This Row],[Total inns]]="","",LayTable[[#This Row],[Rlay]]/LayTable[[#This Row],[Total inns]]),"")</f>
        <v/>
      </c>
      <c r="Y796" s="48" t="str">
        <f>IFERROR(LayTable[[#This Row],[Faktisk res]]/LayTable[[#This Row],[Total inns]],"")</f>
        <v/>
      </c>
      <c r="Z796" s="47">
        <f>(LayTable[[#This Row],[BookieInnsats]]*LayTable[[#This Row],[BookieOdds]]-LayTable[[#This Row],[BookieInnsats]])*(1-LayTable[[#This Row],[C% Bookie]])</f>
        <v>0</v>
      </c>
      <c r="AA796" s="43">
        <f>LayTable[[#This Row],[LayInnsats]]*(1-LayTable[[#This Row],[C% Lay]])</f>
        <v>0</v>
      </c>
      <c r="AB796" s="43" t="str">
        <f>IFERROR(IF(LayTable[[#This Row],[Sport]]="",AB795,LayTable[[#This Row],[Faktisk res]]+AB795),"")</f>
        <v/>
      </c>
      <c r="AC796" s="43">
        <f>(LayTable[[#This Row],[BackWin-Commission]]+LayTable[[#This Row],[BookieInnsats]])</f>
        <v>0</v>
      </c>
      <c r="AD796" s="43" t="e">
        <f>(LayTable[[#This Row],[LayWin-Commission]])+LayTable[[#This Row],[LayLiability]]</f>
        <v>#VALUE!</v>
      </c>
      <c r="AE796" s="43"/>
      <c r="AF796" s="183"/>
    </row>
    <row r="797" spans="1:32">
      <c r="A797" s="84"/>
      <c r="B797" s="39"/>
      <c r="C797" s="40"/>
      <c r="D797" s="41"/>
      <c r="E797" s="40"/>
      <c r="F797" s="41"/>
      <c r="G797" s="183"/>
      <c r="H797" s="38"/>
      <c r="I797" s="42"/>
      <c r="J797" s="42"/>
      <c r="K797" s="43"/>
      <c r="L797" s="43"/>
      <c r="M797" s="44" t="str">
        <f>IF(LayTable[[#This Row],[Sport]]="","",LayTable[[#This Row],[LayInnsats]]*(LayTable[[#This Row],[LayOdds]]-1))</f>
        <v/>
      </c>
      <c r="N797" s="45" t="str">
        <f>IF(LayTable[[#This Row],[Sport]]="","",1/((1/LayTable[[#This Row],[BookieOdds]])+(1/((1/((1+((LayTable[[#This Row],[LayOdds]]-1)*(1+LayTable[[#This Row],[C% Lay]])))-1))+1)))-1)</f>
        <v/>
      </c>
      <c r="Q797" s="46" t="str">
        <f>IF(LayTable[[#This Row],[Sport]]="","",LayTable[[#This Row],[BookieInnsats]]+LayTable[[#This Row],[LayLiability]])</f>
        <v/>
      </c>
      <c r="R7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7" s="47" t="str">
        <f>IF(LayTable[[#This Row],[Utfall bookie]]="","",LayTable[[#This Row],[WBABack]]+LayTable[[#This Row],[WBALay]]-LayTable[[#This Row],[Total inns]])</f>
        <v/>
      </c>
      <c r="U7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7" s="48" t="str">
        <f>IFERROR(IF(LayTable[[#This Row],[Total inns]]="","",LayTable[[#This Row],[Rback]]/LayTable[[#This Row],[Total inns]]),"")</f>
        <v/>
      </c>
      <c r="X797" s="48" t="str">
        <f>IFERROR(IF(LayTable[[#This Row],[Total inns]]="","",LayTable[[#This Row],[Rlay]]/LayTable[[#This Row],[Total inns]]),"")</f>
        <v/>
      </c>
      <c r="Y797" s="48" t="str">
        <f>IFERROR(LayTable[[#This Row],[Faktisk res]]/LayTable[[#This Row],[Total inns]],"")</f>
        <v/>
      </c>
      <c r="Z797" s="47">
        <f>(LayTable[[#This Row],[BookieInnsats]]*LayTable[[#This Row],[BookieOdds]]-LayTable[[#This Row],[BookieInnsats]])*(1-LayTable[[#This Row],[C% Bookie]])</f>
        <v>0</v>
      </c>
      <c r="AA797" s="43">
        <f>LayTable[[#This Row],[LayInnsats]]*(1-LayTable[[#This Row],[C% Lay]])</f>
        <v>0</v>
      </c>
      <c r="AB797" s="43" t="str">
        <f>IFERROR(IF(LayTable[[#This Row],[Sport]]="",AB796,LayTable[[#This Row],[Faktisk res]]+AB796),"")</f>
        <v/>
      </c>
      <c r="AC797" s="43">
        <f>(LayTable[[#This Row],[BackWin-Commission]]+LayTable[[#This Row],[BookieInnsats]])</f>
        <v>0</v>
      </c>
      <c r="AD797" s="43" t="e">
        <f>(LayTable[[#This Row],[LayWin-Commission]])+LayTable[[#This Row],[LayLiability]]</f>
        <v>#VALUE!</v>
      </c>
      <c r="AE797" s="43"/>
      <c r="AF797" s="183"/>
    </row>
    <row r="798" spans="1:32">
      <c r="A798" s="84"/>
      <c r="B798" s="39"/>
      <c r="C798" s="40"/>
      <c r="D798" s="41"/>
      <c r="E798" s="40"/>
      <c r="F798" s="41"/>
      <c r="G798" s="183"/>
      <c r="H798" s="38"/>
      <c r="I798" s="42"/>
      <c r="J798" s="42"/>
      <c r="K798" s="43"/>
      <c r="L798" s="43"/>
      <c r="M798" s="44" t="str">
        <f>IF(LayTable[[#This Row],[Sport]]="","",LayTable[[#This Row],[LayInnsats]]*(LayTable[[#This Row],[LayOdds]]-1))</f>
        <v/>
      </c>
      <c r="N798" s="45" t="str">
        <f>IF(LayTable[[#This Row],[Sport]]="","",1/((1/LayTable[[#This Row],[BookieOdds]])+(1/((1/((1+((LayTable[[#This Row],[LayOdds]]-1)*(1+LayTable[[#This Row],[C% Lay]])))-1))+1)))-1)</f>
        <v/>
      </c>
      <c r="Q798" s="46" t="str">
        <f>IF(LayTable[[#This Row],[Sport]]="","",LayTable[[#This Row],[BookieInnsats]]+LayTable[[#This Row],[LayLiability]])</f>
        <v/>
      </c>
      <c r="R7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8" s="47" t="str">
        <f>IF(LayTable[[#This Row],[Utfall bookie]]="","",LayTable[[#This Row],[WBABack]]+LayTable[[#This Row],[WBALay]]-LayTable[[#This Row],[Total inns]])</f>
        <v/>
      </c>
      <c r="U7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8" s="48" t="str">
        <f>IFERROR(IF(LayTable[[#This Row],[Total inns]]="","",LayTable[[#This Row],[Rback]]/LayTable[[#This Row],[Total inns]]),"")</f>
        <v/>
      </c>
      <c r="X798" s="48" t="str">
        <f>IFERROR(IF(LayTable[[#This Row],[Total inns]]="","",LayTable[[#This Row],[Rlay]]/LayTable[[#This Row],[Total inns]]),"")</f>
        <v/>
      </c>
      <c r="Y798" s="48" t="str">
        <f>IFERROR(LayTable[[#This Row],[Faktisk res]]/LayTable[[#This Row],[Total inns]],"")</f>
        <v/>
      </c>
      <c r="Z798" s="47">
        <f>(LayTable[[#This Row],[BookieInnsats]]*LayTable[[#This Row],[BookieOdds]]-LayTable[[#This Row],[BookieInnsats]])*(1-LayTable[[#This Row],[C% Bookie]])</f>
        <v>0</v>
      </c>
      <c r="AA798" s="43">
        <f>LayTable[[#This Row],[LayInnsats]]*(1-LayTable[[#This Row],[C% Lay]])</f>
        <v>0</v>
      </c>
      <c r="AB798" s="43" t="str">
        <f>IFERROR(IF(LayTable[[#This Row],[Sport]]="",AB797,LayTable[[#This Row],[Faktisk res]]+AB797),"")</f>
        <v/>
      </c>
      <c r="AC798" s="43">
        <f>(LayTable[[#This Row],[BackWin-Commission]]+LayTable[[#This Row],[BookieInnsats]])</f>
        <v>0</v>
      </c>
      <c r="AD798" s="43" t="e">
        <f>(LayTable[[#This Row],[LayWin-Commission]])+LayTable[[#This Row],[LayLiability]]</f>
        <v>#VALUE!</v>
      </c>
      <c r="AE798" s="43"/>
      <c r="AF798" s="183"/>
    </row>
    <row r="799" spans="1:32">
      <c r="A799" s="84"/>
      <c r="B799" s="39"/>
      <c r="C799" s="40"/>
      <c r="D799" s="41"/>
      <c r="E799" s="40"/>
      <c r="F799" s="41"/>
      <c r="G799" s="183"/>
      <c r="H799" s="38"/>
      <c r="I799" s="42"/>
      <c r="J799" s="42"/>
      <c r="K799" s="43"/>
      <c r="L799" s="43"/>
      <c r="M799" s="44" t="str">
        <f>IF(LayTable[[#This Row],[Sport]]="","",LayTable[[#This Row],[LayInnsats]]*(LayTable[[#This Row],[LayOdds]]-1))</f>
        <v/>
      </c>
      <c r="N799" s="45" t="str">
        <f>IF(LayTable[[#This Row],[Sport]]="","",1/((1/LayTable[[#This Row],[BookieOdds]])+(1/((1/((1+((LayTable[[#This Row],[LayOdds]]-1)*(1+LayTable[[#This Row],[C% Lay]])))-1))+1)))-1)</f>
        <v/>
      </c>
      <c r="Q799" s="46" t="str">
        <f>IF(LayTable[[#This Row],[Sport]]="","",LayTable[[#This Row],[BookieInnsats]]+LayTable[[#This Row],[LayLiability]])</f>
        <v/>
      </c>
      <c r="R7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7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799" s="47" t="str">
        <f>IF(LayTable[[#This Row],[Utfall bookie]]="","",LayTable[[#This Row],[WBABack]]+LayTable[[#This Row],[WBALay]]-LayTable[[#This Row],[Total inns]])</f>
        <v/>
      </c>
      <c r="U7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7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799" s="48" t="str">
        <f>IFERROR(IF(LayTable[[#This Row],[Total inns]]="","",LayTable[[#This Row],[Rback]]/LayTable[[#This Row],[Total inns]]),"")</f>
        <v/>
      </c>
      <c r="X799" s="48" t="str">
        <f>IFERROR(IF(LayTable[[#This Row],[Total inns]]="","",LayTable[[#This Row],[Rlay]]/LayTable[[#This Row],[Total inns]]),"")</f>
        <v/>
      </c>
      <c r="Y799" s="48" t="str">
        <f>IFERROR(LayTable[[#This Row],[Faktisk res]]/LayTable[[#This Row],[Total inns]],"")</f>
        <v/>
      </c>
      <c r="Z799" s="47">
        <f>(LayTable[[#This Row],[BookieInnsats]]*LayTable[[#This Row],[BookieOdds]]-LayTable[[#This Row],[BookieInnsats]])*(1-LayTable[[#This Row],[C% Bookie]])</f>
        <v>0</v>
      </c>
      <c r="AA799" s="43">
        <f>LayTable[[#This Row],[LayInnsats]]*(1-LayTable[[#This Row],[C% Lay]])</f>
        <v>0</v>
      </c>
      <c r="AB799" s="43" t="str">
        <f>IFERROR(IF(LayTable[[#This Row],[Sport]]="",AB798,LayTable[[#This Row],[Faktisk res]]+AB798),"")</f>
        <v/>
      </c>
      <c r="AC799" s="43">
        <f>(LayTable[[#This Row],[BackWin-Commission]]+LayTable[[#This Row],[BookieInnsats]])</f>
        <v>0</v>
      </c>
      <c r="AD799" s="43" t="e">
        <f>(LayTable[[#This Row],[LayWin-Commission]])+LayTable[[#This Row],[LayLiability]]</f>
        <v>#VALUE!</v>
      </c>
      <c r="AE799" s="43"/>
      <c r="AF799" s="183"/>
    </row>
    <row r="800" spans="1:32">
      <c r="A800" s="84"/>
      <c r="B800" s="39"/>
      <c r="C800" s="40"/>
      <c r="D800" s="41"/>
      <c r="E800" s="40"/>
      <c r="F800" s="41"/>
      <c r="G800" s="183"/>
      <c r="H800" s="38"/>
      <c r="I800" s="42"/>
      <c r="J800" s="42"/>
      <c r="K800" s="43"/>
      <c r="L800" s="43"/>
      <c r="M800" s="44" t="str">
        <f>IF(LayTable[[#This Row],[Sport]]="","",LayTable[[#This Row],[LayInnsats]]*(LayTable[[#This Row],[LayOdds]]-1))</f>
        <v/>
      </c>
      <c r="N800" s="45" t="str">
        <f>IF(LayTable[[#This Row],[Sport]]="","",1/((1/LayTable[[#This Row],[BookieOdds]])+(1/((1/((1+((LayTable[[#This Row],[LayOdds]]-1)*(1+LayTable[[#This Row],[C% Lay]])))-1))+1)))-1)</f>
        <v/>
      </c>
      <c r="Q800" s="46" t="str">
        <f>IF(LayTable[[#This Row],[Sport]]="","",LayTable[[#This Row],[BookieInnsats]]+LayTable[[#This Row],[LayLiability]])</f>
        <v/>
      </c>
      <c r="R8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0" s="47" t="str">
        <f>IF(LayTable[[#This Row],[Utfall bookie]]="","",LayTable[[#This Row],[WBABack]]+LayTable[[#This Row],[WBALay]]-LayTable[[#This Row],[Total inns]])</f>
        <v/>
      </c>
      <c r="U8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0" s="48" t="str">
        <f>IFERROR(IF(LayTable[[#This Row],[Total inns]]="","",LayTable[[#This Row],[Rback]]/LayTable[[#This Row],[Total inns]]),"")</f>
        <v/>
      </c>
      <c r="X800" s="48" t="str">
        <f>IFERROR(IF(LayTable[[#This Row],[Total inns]]="","",LayTable[[#This Row],[Rlay]]/LayTable[[#This Row],[Total inns]]),"")</f>
        <v/>
      </c>
      <c r="Y800" s="48" t="str">
        <f>IFERROR(LayTable[[#This Row],[Faktisk res]]/LayTable[[#This Row],[Total inns]],"")</f>
        <v/>
      </c>
      <c r="Z800" s="47">
        <f>(LayTable[[#This Row],[BookieInnsats]]*LayTable[[#This Row],[BookieOdds]]-LayTable[[#This Row],[BookieInnsats]])*(1-LayTable[[#This Row],[C% Bookie]])</f>
        <v>0</v>
      </c>
      <c r="AA800" s="43">
        <f>LayTable[[#This Row],[LayInnsats]]*(1-LayTable[[#This Row],[C% Lay]])</f>
        <v>0</v>
      </c>
      <c r="AB800" s="43" t="str">
        <f>IFERROR(IF(LayTable[[#This Row],[Sport]]="",AB799,LayTable[[#This Row],[Faktisk res]]+AB799),"")</f>
        <v/>
      </c>
      <c r="AC800" s="43">
        <f>(LayTable[[#This Row],[BackWin-Commission]]+LayTable[[#This Row],[BookieInnsats]])</f>
        <v>0</v>
      </c>
      <c r="AD800" s="43" t="e">
        <f>(LayTable[[#This Row],[LayWin-Commission]])+LayTable[[#This Row],[LayLiability]]</f>
        <v>#VALUE!</v>
      </c>
      <c r="AE800" s="43"/>
      <c r="AF800" s="183"/>
    </row>
    <row r="801" spans="1:32">
      <c r="A801" s="84"/>
      <c r="B801" s="39"/>
      <c r="C801" s="40"/>
      <c r="D801" s="41"/>
      <c r="E801" s="40"/>
      <c r="F801" s="41"/>
      <c r="G801" s="183"/>
      <c r="H801" s="38"/>
      <c r="I801" s="42"/>
      <c r="J801" s="42"/>
      <c r="K801" s="43"/>
      <c r="L801" s="43"/>
      <c r="M801" s="44" t="str">
        <f>IF(LayTable[[#This Row],[Sport]]="","",LayTable[[#This Row],[LayInnsats]]*(LayTable[[#This Row],[LayOdds]]-1))</f>
        <v/>
      </c>
      <c r="N801" s="45" t="str">
        <f>IF(LayTable[[#This Row],[Sport]]="","",1/((1/LayTable[[#This Row],[BookieOdds]])+(1/((1/((1+((LayTable[[#This Row],[LayOdds]]-1)*(1+LayTable[[#This Row],[C% Lay]])))-1))+1)))-1)</f>
        <v/>
      </c>
      <c r="Q801" s="46" t="str">
        <f>IF(LayTable[[#This Row],[Sport]]="","",LayTable[[#This Row],[BookieInnsats]]+LayTable[[#This Row],[LayLiability]])</f>
        <v/>
      </c>
      <c r="R8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1" s="47" t="str">
        <f>IF(LayTable[[#This Row],[Utfall bookie]]="","",LayTable[[#This Row],[WBABack]]+LayTable[[#This Row],[WBALay]]-LayTable[[#This Row],[Total inns]])</f>
        <v/>
      </c>
      <c r="U8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1" s="48" t="str">
        <f>IFERROR(IF(LayTable[[#This Row],[Total inns]]="","",LayTable[[#This Row],[Rback]]/LayTable[[#This Row],[Total inns]]),"")</f>
        <v/>
      </c>
      <c r="X801" s="48" t="str">
        <f>IFERROR(IF(LayTable[[#This Row],[Total inns]]="","",LayTable[[#This Row],[Rlay]]/LayTable[[#This Row],[Total inns]]),"")</f>
        <v/>
      </c>
      <c r="Y801" s="48" t="str">
        <f>IFERROR(LayTable[[#This Row],[Faktisk res]]/LayTable[[#This Row],[Total inns]],"")</f>
        <v/>
      </c>
      <c r="Z801" s="47">
        <f>(LayTable[[#This Row],[BookieInnsats]]*LayTable[[#This Row],[BookieOdds]]-LayTable[[#This Row],[BookieInnsats]])*(1-LayTable[[#This Row],[C% Bookie]])</f>
        <v>0</v>
      </c>
      <c r="AA801" s="43">
        <f>LayTable[[#This Row],[LayInnsats]]*(1-LayTable[[#This Row],[C% Lay]])</f>
        <v>0</v>
      </c>
      <c r="AB801" s="43" t="str">
        <f>IFERROR(IF(LayTable[[#This Row],[Sport]]="",AB800,LayTable[[#This Row],[Faktisk res]]+AB800),"")</f>
        <v/>
      </c>
      <c r="AC801" s="43">
        <f>(LayTable[[#This Row],[BackWin-Commission]]+LayTable[[#This Row],[BookieInnsats]])</f>
        <v>0</v>
      </c>
      <c r="AD801" s="43" t="e">
        <f>(LayTable[[#This Row],[LayWin-Commission]])+LayTable[[#This Row],[LayLiability]]</f>
        <v>#VALUE!</v>
      </c>
      <c r="AE801" s="43"/>
      <c r="AF801" s="183"/>
    </row>
    <row r="802" spans="1:32">
      <c r="A802" s="84"/>
      <c r="B802" s="39"/>
      <c r="C802" s="40"/>
      <c r="D802" s="41"/>
      <c r="E802" s="40"/>
      <c r="F802" s="41"/>
      <c r="G802" s="183"/>
      <c r="H802" s="38"/>
      <c r="I802" s="42"/>
      <c r="J802" s="42"/>
      <c r="K802" s="43"/>
      <c r="L802" s="43"/>
      <c r="M802" s="44" t="str">
        <f>IF(LayTable[[#This Row],[Sport]]="","",LayTable[[#This Row],[LayInnsats]]*(LayTable[[#This Row],[LayOdds]]-1))</f>
        <v/>
      </c>
      <c r="N802" s="45" t="str">
        <f>IF(LayTable[[#This Row],[Sport]]="","",1/((1/LayTable[[#This Row],[BookieOdds]])+(1/((1/((1+((LayTable[[#This Row],[LayOdds]]-1)*(1+LayTable[[#This Row],[C% Lay]])))-1))+1)))-1)</f>
        <v/>
      </c>
      <c r="Q802" s="46" t="str">
        <f>IF(LayTable[[#This Row],[Sport]]="","",LayTable[[#This Row],[BookieInnsats]]+LayTable[[#This Row],[LayLiability]])</f>
        <v/>
      </c>
      <c r="R8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2" s="47" t="str">
        <f>IF(LayTable[[#This Row],[Utfall bookie]]="","",LayTable[[#This Row],[WBABack]]+LayTable[[#This Row],[WBALay]]-LayTable[[#This Row],[Total inns]])</f>
        <v/>
      </c>
      <c r="U8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2" s="48" t="str">
        <f>IFERROR(IF(LayTable[[#This Row],[Total inns]]="","",LayTable[[#This Row],[Rback]]/LayTable[[#This Row],[Total inns]]),"")</f>
        <v/>
      </c>
      <c r="X802" s="48" t="str">
        <f>IFERROR(IF(LayTable[[#This Row],[Total inns]]="","",LayTable[[#This Row],[Rlay]]/LayTable[[#This Row],[Total inns]]),"")</f>
        <v/>
      </c>
      <c r="Y802" s="48" t="str">
        <f>IFERROR(LayTable[[#This Row],[Faktisk res]]/LayTable[[#This Row],[Total inns]],"")</f>
        <v/>
      </c>
      <c r="Z802" s="47">
        <f>(LayTable[[#This Row],[BookieInnsats]]*LayTable[[#This Row],[BookieOdds]]-LayTable[[#This Row],[BookieInnsats]])*(1-LayTable[[#This Row],[C% Bookie]])</f>
        <v>0</v>
      </c>
      <c r="AA802" s="43">
        <f>LayTable[[#This Row],[LayInnsats]]*(1-LayTable[[#This Row],[C% Lay]])</f>
        <v>0</v>
      </c>
      <c r="AB802" s="43" t="str">
        <f>IFERROR(IF(LayTable[[#This Row],[Sport]]="",AB801,LayTable[[#This Row],[Faktisk res]]+AB801),"")</f>
        <v/>
      </c>
      <c r="AC802" s="43">
        <f>(LayTable[[#This Row],[BackWin-Commission]]+LayTable[[#This Row],[BookieInnsats]])</f>
        <v>0</v>
      </c>
      <c r="AD802" s="43" t="e">
        <f>(LayTable[[#This Row],[LayWin-Commission]])+LayTable[[#This Row],[LayLiability]]</f>
        <v>#VALUE!</v>
      </c>
      <c r="AE802" s="43"/>
      <c r="AF802" s="183"/>
    </row>
    <row r="803" spans="1:32">
      <c r="A803" s="84"/>
      <c r="B803" s="39"/>
      <c r="C803" s="40"/>
      <c r="D803" s="41"/>
      <c r="E803" s="40"/>
      <c r="F803" s="41"/>
      <c r="G803" s="183"/>
      <c r="H803" s="38"/>
      <c r="I803" s="42"/>
      <c r="J803" s="42"/>
      <c r="K803" s="43"/>
      <c r="L803" s="43"/>
      <c r="M803" s="44" t="str">
        <f>IF(LayTable[[#This Row],[Sport]]="","",LayTable[[#This Row],[LayInnsats]]*(LayTable[[#This Row],[LayOdds]]-1))</f>
        <v/>
      </c>
      <c r="N803" s="45" t="str">
        <f>IF(LayTable[[#This Row],[Sport]]="","",1/((1/LayTable[[#This Row],[BookieOdds]])+(1/((1/((1+((LayTable[[#This Row],[LayOdds]]-1)*(1+LayTable[[#This Row],[C% Lay]])))-1))+1)))-1)</f>
        <v/>
      </c>
      <c r="Q803" s="46" t="str">
        <f>IF(LayTable[[#This Row],[Sport]]="","",LayTable[[#This Row],[BookieInnsats]]+LayTable[[#This Row],[LayLiability]])</f>
        <v/>
      </c>
      <c r="R8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3" s="47" t="str">
        <f>IF(LayTable[[#This Row],[Utfall bookie]]="","",LayTable[[#This Row],[WBABack]]+LayTable[[#This Row],[WBALay]]-LayTable[[#This Row],[Total inns]])</f>
        <v/>
      </c>
      <c r="U8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3" s="48" t="str">
        <f>IFERROR(IF(LayTable[[#This Row],[Total inns]]="","",LayTable[[#This Row],[Rback]]/LayTable[[#This Row],[Total inns]]),"")</f>
        <v/>
      </c>
      <c r="X803" s="48" t="str">
        <f>IFERROR(IF(LayTable[[#This Row],[Total inns]]="","",LayTable[[#This Row],[Rlay]]/LayTable[[#This Row],[Total inns]]),"")</f>
        <v/>
      </c>
      <c r="Y803" s="48" t="str">
        <f>IFERROR(LayTable[[#This Row],[Faktisk res]]/LayTable[[#This Row],[Total inns]],"")</f>
        <v/>
      </c>
      <c r="Z803" s="47">
        <f>(LayTable[[#This Row],[BookieInnsats]]*LayTable[[#This Row],[BookieOdds]]-LayTable[[#This Row],[BookieInnsats]])*(1-LayTable[[#This Row],[C% Bookie]])</f>
        <v>0</v>
      </c>
      <c r="AA803" s="43">
        <f>LayTable[[#This Row],[LayInnsats]]*(1-LayTable[[#This Row],[C% Lay]])</f>
        <v>0</v>
      </c>
      <c r="AB803" s="43" t="str">
        <f>IFERROR(IF(LayTable[[#This Row],[Sport]]="",AB802,LayTable[[#This Row],[Faktisk res]]+AB802),"")</f>
        <v/>
      </c>
      <c r="AC803" s="43">
        <f>(LayTable[[#This Row],[BackWin-Commission]]+LayTable[[#This Row],[BookieInnsats]])</f>
        <v>0</v>
      </c>
      <c r="AD803" s="43" t="e">
        <f>(LayTable[[#This Row],[LayWin-Commission]])+LayTable[[#This Row],[LayLiability]]</f>
        <v>#VALUE!</v>
      </c>
      <c r="AE803" s="43"/>
      <c r="AF803" s="183"/>
    </row>
    <row r="804" spans="1:32">
      <c r="A804" s="84"/>
      <c r="B804" s="39"/>
      <c r="C804" s="40"/>
      <c r="D804" s="41"/>
      <c r="E804" s="40"/>
      <c r="F804" s="41"/>
      <c r="G804" s="183"/>
      <c r="H804" s="38"/>
      <c r="I804" s="42"/>
      <c r="J804" s="42"/>
      <c r="K804" s="43"/>
      <c r="L804" s="43"/>
      <c r="M804" s="44" t="str">
        <f>IF(LayTable[[#This Row],[Sport]]="","",LayTable[[#This Row],[LayInnsats]]*(LayTable[[#This Row],[LayOdds]]-1))</f>
        <v/>
      </c>
      <c r="N804" s="45" t="str">
        <f>IF(LayTable[[#This Row],[Sport]]="","",1/((1/LayTable[[#This Row],[BookieOdds]])+(1/((1/((1+((LayTable[[#This Row],[LayOdds]]-1)*(1+LayTable[[#This Row],[C% Lay]])))-1))+1)))-1)</f>
        <v/>
      </c>
      <c r="Q804" s="46" t="str">
        <f>IF(LayTable[[#This Row],[Sport]]="","",LayTable[[#This Row],[BookieInnsats]]+LayTable[[#This Row],[LayLiability]])</f>
        <v/>
      </c>
      <c r="R8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4" s="47" t="str">
        <f>IF(LayTable[[#This Row],[Utfall bookie]]="","",LayTable[[#This Row],[WBABack]]+LayTable[[#This Row],[WBALay]]-LayTable[[#This Row],[Total inns]])</f>
        <v/>
      </c>
      <c r="U8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4" s="48" t="str">
        <f>IFERROR(IF(LayTable[[#This Row],[Total inns]]="","",LayTable[[#This Row],[Rback]]/LayTable[[#This Row],[Total inns]]),"")</f>
        <v/>
      </c>
      <c r="X804" s="48" t="str">
        <f>IFERROR(IF(LayTable[[#This Row],[Total inns]]="","",LayTable[[#This Row],[Rlay]]/LayTable[[#This Row],[Total inns]]),"")</f>
        <v/>
      </c>
      <c r="Y804" s="48" t="str">
        <f>IFERROR(LayTable[[#This Row],[Faktisk res]]/LayTable[[#This Row],[Total inns]],"")</f>
        <v/>
      </c>
      <c r="Z804" s="47">
        <f>(LayTable[[#This Row],[BookieInnsats]]*LayTable[[#This Row],[BookieOdds]]-LayTable[[#This Row],[BookieInnsats]])*(1-LayTable[[#This Row],[C% Bookie]])</f>
        <v>0</v>
      </c>
      <c r="AA804" s="43">
        <f>LayTable[[#This Row],[LayInnsats]]*(1-LayTable[[#This Row],[C% Lay]])</f>
        <v>0</v>
      </c>
      <c r="AB804" s="43" t="str">
        <f>IFERROR(IF(LayTable[[#This Row],[Sport]]="",AB803,LayTable[[#This Row],[Faktisk res]]+AB803),"")</f>
        <v/>
      </c>
      <c r="AC804" s="43">
        <f>(LayTable[[#This Row],[BackWin-Commission]]+LayTable[[#This Row],[BookieInnsats]])</f>
        <v>0</v>
      </c>
      <c r="AD804" s="43" t="e">
        <f>(LayTable[[#This Row],[LayWin-Commission]])+LayTable[[#This Row],[LayLiability]]</f>
        <v>#VALUE!</v>
      </c>
      <c r="AE804" s="43"/>
      <c r="AF804" s="183"/>
    </row>
    <row r="805" spans="1:32">
      <c r="A805" s="84"/>
      <c r="B805" s="39"/>
      <c r="C805" s="40"/>
      <c r="D805" s="41"/>
      <c r="E805" s="40"/>
      <c r="F805" s="41"/>
      <c r="G805" s="183"/>
      <c r="H805" s="38"/>
      <c r="I805" s="42"/>
      <c r="J805" s="42"/>
      <c r="K805" s="43"/>
      <c r="L805" s="43"/>
      <c r="M805" s="44" t="str">
        <f>IF(LayTable[[#This Row],[Sport]]="","",LayTable[[#This Row],[LayInnsats]]*(LayTable[[#This Row],[LayOdds]]-1))</f>
        <v/>
      </c>
      <c r="N805" s="45" t="str">
        <f>IF(LayTable[[#This Row],[Sport]]="","",1/((1/LayTable[[#This Row],[BookieOdds]])+(1/((1/((1+((LayTable[[#This Row],[LayOdds]]-1)*(1+LayTable[[#This Row],[C% Lay]])))-1))+1)))-1)</f>
        <v/>
      </c>
      <c r="Q805" s="46" t="str">
        <f>IF(LayTable[[#This Row],[Sport]]="","",LayTable[[#This Row],[BookieInnsats]]+LayTable[[#This Row],[LayLiability]])</f>
        <v/>
      </c>
      <c r="R8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5" s="47" t="str">
        <f>IF(LayTable[[#This Row],[Utfall bookie]]="","",LayTable[[#This Row],[WBABack]]+LayTable[[#This Row],[WBALay]]-LayTable[[#This Row],[Total inns]])</f>
        <v/>
      </c>
      <c r="U8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5" s="48" t="str">
        <f>IFERROR(IF(LayTable[[#This Row],[Total inns]]="","",LayTable[[#This Row],[Rback]]/LayTable[[#This Row],[Total inns]]),"")</f>
        <v/>
      </c>
      <c r="X805" s="48" t="str">
        <f>IFERROR(IF(LayTable[[#This Row],[Total inns]]="","",LayTable[[#This Row],[Rlay]]/LayTable[[#This Row],[Total inns]]),"")</f>
        <v/>
      </c>
      <c r="Y805" s="48" t="str">
        <f>IFERROR(LayTable[[#This Row],[Faktisk res]]/LayTable[[#This Row],[Total inns]],"")</f>
        <v/>
      </c>
      <c r="Z805" s="47">
        <f>(LayTable[[#This Row],[BookieInnsats]]*LayTable[[#This Row],[BookieOdds]]-LayTable[[#This Row],[BookieInnsats]])*(1-LayTable[[#This Row],[C% Bookie]])</f>
        <v>0</v>
      </c>
      <c r="AA805" s="43">
        <f>LayTable[[#This Row],[LayInnsats]]*(1-LayTable[[#This Row],[C% Lay]])</f>
        <v>0</v>
      </c>
      <c r="AB805" s="43" t="str">
        <f>IFERROR(IF(LayTable[[#This Row],[Sport]]="",AB804,LayTable[[#This Row],[Faktisk res]]+AB804),"")</f>
        <v/>
      </c>
      <c r="AC805" s="43">
        <f>(LayTable[[#This Row],[BackWin-Commission]]+LayTable[[#This Row],[BookieInnsats]])</f>
        <v>0</v>
      </c>
      <c r="AD805" s="43" t="e">
        <f>(LayTable[[#This Row],[LayWin-Commission]])+LayTable[[#This Row],[LayLiability]]</f>
        <v>#VALUE!</v>
      </c>
      <c r="AE805" s="43"/>
      <c r="AF805" s="183"/>
    </row>
    <row r="806" spans="1:32">
      <c r="A806" s="84"/>
      <c r="B806" s="39"/>
      <c r="C806" s="40"/>
      <c r="D806" s="41"/>
      <c r="E806" s="40"/>
      <c r="F806" s="41"/>
      <c r="G806" s="183"/>
      <c r="H806" s="38"/>
      <c r="I806" s="42"/>
      <c r="J806" s="42"/>
      <c r="K806" s="43"/>
      <c r="L806" s="43"/>
      <c r="M806" s="44" t="str">
        <f>IF(LayTable[[#This Row],[Sport]]="","",LayTable[[#This Row],[LayInnsats]]*(LayTable[[#This Row],[LayOdds]]-1))</f>
        <v/>
      </c>
      <c r="N806" s="45" t="str">
        <f>IF(LayTable[[#This Row],[Sport]]="","",1/((1/LayTable[[#This Row],[BookieOdds]])+(1/((1/((1+((LayTable[[#This Row],[LayOdds]]-1)*(1+LayTable[[#This Row],[C% Lay]])))-1))+1)))-1)</f>
        <v/>
      </c>
      <c r="Q806" s="46" t="str">
        <f>IF(LayTable[[#This Row],[Sport]]="","",LayTable[[#This Row],[BookieInnsats]]+LayTable[[#This Row],[LayLiability]])</f>
        <v/>
      </c>
      <c r="R8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6" s="47" t="str">
        <f>IF(LayTable[[#This Row],[Utfall bookie]]="","",LayTable[[#This Row],[WBABack]]+LayTable[[#This Row],[WBALay]]-LayTable[[#This Row],[Total inns]])</f>
        <v/>
      </c>
      <c r="U8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6" s="48" t="str">
        <f>IFERROR(IF(LayTable[[#This Row],[Total inns]]="","",LayTable[[#This Row],[Rback]]/LayTable[[#This Row],[Total inns]]),"")</f>
        <v/>
      </c>
      <c r="X806" s="48" t="str">
        <f>IFERROR(IF(LayTable[[#This Row],[Total inns]]="","",LayTable[[#This Row],[Rlay]]/LayTable[[#This Row],[Total inns]]),"")</f>
        <v/>
      </c>
      <c r="Y806" s="48" t="str">
        <f>IFERROR(LayTable[[#This Row],[Faktisk res]]/LayTable[[#This Row],[Total inns]],"")</f>
        <v/>
      </c>
      <c r="Z806" s="47">
        <f>(LayTable[[#This Row],[BookieInnsats]]*LayTable[[#This Row],[BookieOdds]]-LayTable[[#This Row],[BookieInnsats]])*(1-LayTable[[#This Row],[C% Bookie]])</f>
        <v>0</v>
      </c>
      <c r="AA806" s="43">
        <f>LayTable[[#This Row],[LayInnsats]]*(1-LayTable[[#This Row],[C% Lay]])</f>
        <v>0</v>
      </c>
      <c r="AB806" s="43" t="str">
        <f>IFERROR(IF(LayTable[[#This Row],[Sport]]="",AB805,LayTable[[#This Row],[Faktisk res]]+AB805),"")</f>
        <v/>
      </c>
      <c r="AC806" s="43">
        <f>(LayTable[[#This Row],[BackWin-Commission]]+LayTable[[#This Row],[BookieInnsats]])</f>
        <v>0</v>
      </c>
      <c r="AD806" s="43" t="e">
        <f>(LayTable[[#This Row],[LayWin-Commission]])+LayTable[[#This Row],[LayLiability]]</f>
        <v>#VALUE!</v>
      </c>
      <c r="AE806" s="43"/>
      <c r="AF806" s="183"/>
    </row>
    <row r="807" spans="1:32">
      <c r="A807" s="84"/>
      <c r="B807" s="39"/>
      <c r="C807" s="40"/>
      <c r="D807" s="41"/>
      <c r="E807" s="40"/>
      <c r="F807" s="41"/>
      <c r="G807" s="183"/>
      <c r="H807" s="38"/>
      <c r="I807" s="42"/>
      <c r="J807" s="42"/>
      <c r="K807" s="43"/>
      <c r="L807" s="43"/>
      <c r="M807" s="44" t="str">
        <f>IF(LayTable[[#This Row],[Sport]]="","",LayTable[[#This Row],[LayInnsats]]*(LayTable[[#This Row],[LayOdds]]-1))</f>
        <v/>
      </c>
      <c r="N807" s="45" t="str">
        <f>IF(LayTable[[#This Row],[Sport]]="","",1/((1/LayTable[[#This Row],[BookieOdds]])+(1/((1/((1+((LayTable[[#This Row],[LayOdds]]-1)*(1+LayTable[[#This Row],[C% Lay]])))-1))+1)))-1)</f>
        <v/>
      </c>
      <c r="Q807" s="46" t="str">
        <f>IF(LayTable[[#This Row],[Sport]]="","",LayTable[[#This Row],[BookieInnsats]]+LayTable[[#This Row],[LayLiability]])</f>
        <v/>
      </c>
      <c r="R8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7" s="47" t="str">
        <f>IF(LayTable[[#This Row],[Utfall bookie]]="","",LayTable[[#This Row],[WBABack]]+LayTable[[#This Row],[WBALay]]-LayTable[[#This Row],[Total inns]])</f>
        <v/>
      </c>
      <c r="U8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7" s="48" t="str">
        <f>IFERROR(IF(LayTable[[#This Row],[Total inns]]="","",LayTable[[#This Row],[Rback]]/LayTable[[#This Row],[Total inns]]),"")</f>
        <v/>
      </c>
      <c r="X807" s="48" t="str">
        <f>IFERROR(IF(LayTable[[#This Row],[Total inns]]="","",LayTable[[#This Row],[Rlay]]/LayTable[[#This Row],[Total inns]]),"")</f>
        <v/>
      </c>
      <c r="Y807" s="48" t="str">
        <f>IFERROR(LayTable[[#This Row],[Faktisk res]]/LayTable[[#This Row],[Total inns]],"")</f>
        <v/>
      </c>
      <c r="Z807" s="47">
        <f>(LayTable[[#This Row],[BookieInnsats]]*LayTable[[#This Row],[BookieOdds]]-LayTable[[#This Row],[BookieInnsats]])*(1-LayTable[[#This Row],[C% Bookie]])</f>
        <v>0</v>
      </c>
      <c r="AA807" s="43">
        <f>LayTable[[#This Row],[LayInnsats]]*(1-LayTable[[#This Row],[C% Lay]])</f>
        <v>0</v>
      </c>
      <c r="AB807" s="43" t="str">
        <f>IFERROR(IF(LayTable[[#This Row],[Sport]]="",AB806,LayTable[[#This Row],[Faktisk res]]+AB806),"")</f>
        <v/>
      </c>
      <c r="AC807" s="43">
        <f>(LayTable[[#This Row],[BackWin-Commission]]+LayTable[[#This Row],[BookieInnsats]])</f>
        <v>0</v>
      </c>
      <c r="AD807" s="43" t="e">
        <f>(LayTable[[#This Row],[LayWin-Commission]])+LayTable[[#This Row],[LayLiability]]</f>
        <v>#VALUE!</v>
      </c>
      <c r="AE807" s="43"/>
      <c r="AF807" s="183"/>
    </row>
    <row r="808" spans="1:32">
      <c r="A808" s="84"/>
      <c r="B808" s="39"/>
      <c r="C808" s="40"/>
      <c r="D808" s="41"/>
      <c r="E808" s="40"/>
      <c r="F808" s="41"/>
      <c r="G808" s="183"/>
      <c r="H808" s="38"/>
      <c r="I808" s="42"/>
      <c r="J808" s="42"/>
      <c r="K808" s="43"/>
      <c r="L808" s="43"/>
      <c r="M808" s="44" t="str">
        <f>IF(LayTable[[#This Row],[Sport]]="","",LayTable[[#This Row],[LayInnsats]]*(LayTable[[#This Row],[LayOdds]]-1))</f>
        <v/>
      </c>
      <c r="N808" s="45" t="str">
        <f>IF(LayTable[[#This Row],[Sport]]="","",1/((1/LayTable[[#This Row],[BookieOdds]])+(1/((1/((1+((LayTable[[#This Row],[LayOdds]]-1)*(1+LayTable[[#This Row],[C% Lay]])))-1))+1)))-1)</f>
        <v/>
      </c>
      <c r="Q808" s="46" t="str">
        <f>IF(LayTable[[#This Row],[Sport]]="","",LayTable[[#This Row],[BookieInnsats]]+LayTable[[#This Row],[LayLiability]])</f>
        <v/>
      </c>
      <c r="R8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8" s="47" t="str">
        <f>IF(LayTable[[#This Row],[Utfall bookie]]="","",LayTable[[#This Row],[WBABack]]+LayTable[[#This Row],[WBALay]]-LayTable[[#This Row],[Total inns]])</f>
        <v/>
      </c>
      <c r="U8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8" s="48" t="str">
        <f>IFERROR(IF(LayTable[[#This Row],[Total inns]]="","",LayTable[[#This Row],[Rback]]/LayTable[[#This Row],[Total inns]]),"")</f>
        <v/>
      </c>
      <c r="X808" s="48" t="str">
        <f>IFERROR(IF(LayTable[[#This Row],[Total inns]]="","",LayTable[[#This Row],[Rlay]]/LayTable[[#This Row],[Total inns]]),"")</f>
        <v/>
      </c>
      <c r="Y808" s="48" t="str">
        <f>IFERROR(LayTable[[#This Row],[Faktisk res]]/LayTable[[#This Row],[Total inns]],"")</f>
        <v/>
      </c>
      <c r="Z808" s="47">
        <f>(LayTable[[#This Row],[BookieInnsats]]*LayTable[[#This Row],[BookieOdds]]-LayTable[[#This Row],[BookieInnsats]])*(1-LayTable[[#This Row],[C% Bookie]])</f>
        <v>0</v>
      </c>
      <c r="AA808" s="43">
        <f>LayTable[[#This Row],[LayInnsats]]*(1-LayTable[[#This Row],[C% Lay]])</f>
        <v>0</v>
      </c>
      <c r="AB808" s="43" t="str">
        <f>IFERROR(IF(LayTable[[#This Row],[Sport]]="",AB807,LayTable[[#This Row],[Faktisk res]]+AB807),"")</f>
        <v/>
      </c>
      <c r="AC808" s="43">
        <f>(LayTable[[#This Row],[BackWin-Commission]]+LayTable[[#This Row],[BookieInnsats]])</f>
        <v>0</v>
      </c>
      <c r="AD808" s="43" t="e">
        <f>(LayTable[[#This Row],[LayWin-Commission]])+LayTable[[#This Row],[LayLiability]]</f>
        <v>#VALUE!</v>
      </c>
      <c r="AE808" s="43"/>
      <c r="AF808" s="183"/>
    </row>
    <row r="809" spans="1:32">
      <c r="A809" s="84"/>
      <c r="B809" s="39"/>
      <c r="C809" s="40"/>
      <c r="D809" s="41"/>
      <c r="E809" s="40"/>
      <c r="F809" s="41"/>
      <c r="G809" s="183"/>
      <c r="H809" s="38"/>
      <c r="I809" s="42"/>
      <c r="J809" s="42"/>
      <c r="K809" s="43"/>
      <c r="L809" s="43"/>
      <c r="M809" s="44" t="str">
        <f>IF(LayTable[[#This Row],[Sport]]="","",LayTable[[#This Row],[LayInnsats]]*(LayTable[[#This Row],[LayOdds]]-1))</f>
        <v/>
      </c>
      <c r="N809" s="45" t="str">
        <f>IF(LayTable[[#This Row],[Sport]]="","",1/((1/LayTable[[#This Row],[BookieOdds]])+(1/((1/((1+((LayTable[[#This Row],[LayOdds]]-1)*(1+LayTable[[#This Row],[C% Lay]])))-1))+1)))-1)</f>
        <v/>
      </c>
      <c r="Q809" s="46" t="str">
        <f>IF(LayTable[[#This Row],[Sport]]="","",LayTable[[#This Row],[BookieInnsats]]+LayTable[[#This Row],[LayLiability]])</f>
        <v/>
      </c>
      <c r="R8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09" s="47" t="str">
        <f>IF(LayTable[[#This Row],[Utfall bookie]]="","",LayTable[[#This Row],[WBABack]]+LayTable[[#This Row],[WBALay]]-LayTable[[#This Row],[Total inns]])</f>
        <v/>
      </c>
      <c r="U8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09" s="48" t="str">
        <f>IFERROR(IF(LayTable[[#This Row],[Total inns]]="","",LayTable[[#This Row],[Rback]]/LayTable[[#This Row],[Total inns]]),"")</f>
        <v/>
      </c>
      <c r="X809" s="48" t="str">
        <f>IFERROR(IF(LayTable[[#This Row],[Total inns]]="","",LayTable[[#This Row],[Rlay]]/LayTable[[#This Row],[Total inns]]),"")</f>
        <v/>
      </c>
      <c r="Y809" s="48" t="str">
        <f>IFERROR(LayTable[[#This Row],[Faktisk res]]/LayTable[[#This Row],[Total inns]],"")</f>
        <v/>
      </c>
      <c r="Z809" s="47">
        <f>(LayTable[[#This Row],[BookieInnsats]]*LayTable[[#This Row],[BookieOdds]]-LayTable[[#This Row],[BookieInnsats]])*(1-LayTable[[#This Row],[C% Bookie]])</f>
        <v>0</v>
      </c>
      <c r="AA809" s="43">
        <f>LayTable[[#This Row],[LayInnsats]]*(1-LayTable[[#This Row],[C% Lay]])</f>
        <v>0</v>
      </c>
      <c r="AB809" s="43" t="str">
        <f>IFERROR(IF(LayTable[[#This Row],[Sport]]="",AB808,LayTable[[#This Row],[Faktisk res]]+AB808),"")</f>
        <v/>
      </c>
      <c r="AC809" s="43">
        <f>(LayTable[[#This Row],[BackWin-Commission]]+LayTable[[#This Row],[BookieInnsats]])</f>
        <v>0</v>
      </c>
      <c r="AD809" s="43" t="e">
        <f>(LayTable[[#This Row],[LayWin-Commission]])+LayTable[[#This Row],[LayLiability]]</f>
        <v>#VALUE!</v>
      </c>
      <c r="AE809" s="43"/>
      <c r="AF809" s="183"/>
    </row>
    <row r="810" spans="1:32">
      <c r="A810" s="84"/>
      <c r="B810" s="39"/>
      <c r="C810" s="40"/>
      <c r="D810" s="41"/>
      <c r="E810" s="40"/>
      <c r="F810" s="41"/>
      <c r="G810" s="183"/>
      <c r="H810" s="38"/>
      <c r="I810" s="42"/>
      <c r="J810" s="42"/>
      <c r="K810" s="43"/>
      <c r="L810" s="43"/>
      <c r="M810" s="44" t="str">
        <f>IF(LayTable[[#This Row],[Sport]]="","",LayTable[[#This Row],[LayInnsats]]*(LayTable[[#This Row],[LayOdds]]-1))</f>
        <v/>
      </c>
      <c r="N810" s="45" t="str">
        <f>IF(LayTable[[#This Row],[Sport]]="","",1/((1/LayTable[[#This Row],[BookieOdds]])+(1/((1/((1+((LayTable[[#This Row],[LayOdds]]-1)*(1+LayTable[[#This Row],[C% Lay]])))-1))+1)))-1)</f>
        <v/>
      </c>
      <c r="Q810" s="46" t="str">
        <f>IF(LayTable[[#This Row],[Sport]]="","",LayTable[[#This Row],[BookieInnsats]]+LayTable[[#This Row],[LayLiability]])</f>
        <v/>
      </c>
      <c r="R8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0" s="47" t="str">
        <f>IF(LayTable[[#This Row],[Utfall bookie]]="","",LayTable[[#This Row],[WBABack]]+LayTable[[#This Row],[WBALay]]-LayTable[[#This Row],[Total inns]])</f>
        <v/>
      </c>
      <c r="U8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0" s="48" t="str">
        <f>IFERROR(IF(LayTable[[#This Row],[Total inns]]="","",LayTable[[#This Row],[Rback]]/LayTable[[#This Row],[Total inns]]),"")</f>
        <v/>
      </c>
      <c r="X810" s="48" t="str">
        <f>IFERROR(IF(LayTable[[#This Row],[Total inns]]="","",LayTable[[#This Row],[Rlay]]/LayTable[[#This Row],[Total inns]]),"")</f>
        <v/>
      </c>
      <c r="Y810" s="48" t="str">
        <f>IFERROR(LayTable[[#This Row],[Faktisk res]]/LayTable[[#This Row],[Total inns]],"")</f>
        <v/>
      </c>
      <c r="Z810" s="47">
        <f>(LayTable[[#This Row],[BookieInnsats]]*LayTable[[#This Row],[BookieOdds]]-LayTable[[#This Row],[BookieInnsats]])*(1-LayTable[[#This Row],[C% Bookie]])</f>
        <v>0</v>
      </c>
      <c r="AA810" s="43">
        <f>LayTable[[#This Row],[LayInnsats]]*(1-LayTable[[#This Row],[C% Lay]])</f>
        <v>0</v>
      </c>
      <c r="AB810" s="43" t="str">
        <f>IFERROR(IF(LayTable[[#This Row],[Sport]]="",AB809,LayTable[[#This Row],[Faktisk res]]+AB809),"")</f>
        <v/>
      </c>
      <c r="AC810" s="43">
        <f>(LayTable[[#This Row],[BackWin-Commission]]+LayTable[[#This Row],[BookieInnsats]])</f>
        <v>0</v>
      </c>
      <c r="AD810" s="43" t="e">
        <f>(LayTable[[#This Row],[LayWin-Commission]])+LayTable[[#This Row],[LayLiability]]</f>
        <v>#VALUE!</v>
      </c>
      <c r="AE810" s="43"/>
      <c r="AF810" s="183"/>
    </row>
    <row r="811" spans="1:32">
      <c r="A811" s="84"/>
      <c r="B811" s="39"/>
      <c r="C811" s="40"/>
      <c r="D811" s="41"/>
      <c r="E811" s="40"/>
      <c r="F811" s="41"/>
      <c r="G811" s="183"/>
      <c r="H811" s="38"/>
      <c r="I811" s="42"/>
      <c r="J811" s="42"/>
      <c r="K811" s="43"/>
      <c r="L811" s="43"/>
      <c r="M811" s="44" t="str">
        <f>IF(LayTable[[#This Row],[Sport]]="","",LayTable[[#This Row],[LayInnsats]]*(LayTable[[#This Row],[LayOdds]]-1))</f>
        <v/>
      </c>
      <c r="N811" s="45" t="str">
        <f>IF(LayTable[[#This Row],[Sport]]="","",1/((1/LayTable[[#This Row],[BookieOdds]])+(1/((1/((1+((LayTable[[#This Row],[LayOdds]]-1)*(1+LayTable[[#This Row],[C% Lay]])))-1))+1)))-1)</f>
        <v/>
      </c>
      <c r="Q811" s="46" t="str">
        <f>IF(LayTable[[#This Row],[Sport]]="","",LayTable[[#This Row],[BookieInnsats]]+LayTable[[#This Row],[LayLiability]])</f>
        <v/>
      </c>
      <c r="R8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1" s="47" t="str">
        <f>IF(LayTable[[#This Row],[Utfall bookie]]="","",LayTable[[#This Row],[WBABack]]+LayTable[[#This Row],[WBALay]]-LayTable[[#This Row],[Total inns]])</f>
        <v/>
      </c>
      <c r="U8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1" s="48" t="str">
        <f>IFERROR(IF(LayTable[[#This Row],[Total inns]]="","",LayTable[[#This Row],[Rback]]/LayTable[[#This Row],[Total inns]]),"")</f>
        <v/>
      </c>
      <c r="X811" s="48" t="str">
        <f>IFERROR(IF(LayTable[[#This Row],[Total inns]]="","",LayTable[[#This Row],[Rlay]]/LayTable[[#This Row],[Total inns]]),"")</f>
        <v/>
      </c>
      <c r="Y811" s="48" t="str">
        <f>IFERROR(LayTable[[#This Row],[Faktisk res]]/LayTable[[#This Row],[Total inns]],"")</f>
        <v/>
      </c>
      <c r="Z811" s="47">
        <f>(LayTable[[#This Row],[BookieInnsats]]*LayTable[[#This Row],[BookieOdds]]-LayTable[[#This Row],[BookieInnsats]])*(1-LayTable[[#This Row],[C% Bookie]])</f>
        <v>0</v>
      </c>
      <c r="AA811" s="43">
        <f>LayTable[[#This Row],[LayInnsats]]*(1-LayTable[[#This Row],[C% Lay]])</f>
        <v>0</v>
      </c>
      <c r="AB811" s="43" t="str">
        <f>IFERROR(IF(LayTable[[#This Row],[Sport]]="",AB810,LayTable[[#This Row],[Faktisk res]]+AB810),"")</f>
        <v/>
      </c>
      <c r="AC811" s="43">
        <f>(LayTable[[#This Row],[BackWin-Commission]]+LayTable[[#This Row],[BookieInnsats]])</f>
        <v>0</v>
      </c>
      <c r="AD811" s="43" t="e">
        <f>(LayTable[[#This Row],[LayWin-Commission]])+LayTable[[#This Row],[LayLiability]]</f>
        <v>#VALUE!</v>
      </c>
      <c r="AE811" s="43"/>
      <c r="AF811" s="183"/>
    </row>
    <row r="812" spans="1:32">
      <c r="A812" s="84"/>
      <c r="B812" s="39"/>
      <c r="C812" s="40"/>
      <c r="D812" s="41"/>
      <c r="E812" s="40"/>
      <c r="F812" s="41"/>
      <c r="G812" s="183"/>
      <c r="H812" s="38"/>
      <c r="I812" s="42"/>
      <c r="J812" s="42"/>
      <c r="K812" s="43"/>
      <c r="L812" s="43"/>
      <c r="M812" s="44" t="str">
        <f>IF(LayTable[[#This Row],[Sport]]="","",LayTable[[#This Row],[LayInnsats]]*(LayTable[[#This Row],[LayOdds]]-1))</f>
        <v/>
      </c>
      <c r="N812" s="45" t="str">
        <f>IF(LayTable[[#This Row],[Sport]]="","",1/((1/LayTable[[#This Row],[BookieOdds]])+(1/((1/((1+((LayTable[[#This Row],[LayOdds]]-1)*(1+LayTable[[#This Row],[C% Lay]])))-1))+1)))-1)</f>
        <v/>
      </c>
      <c r="Q812" s="46" t="str">
        <f>IF(LayTable[[#This Row],[Sport]]="","",LayTable[[#This Row],[BookieInnsats]]+LayTable[[#This Row],[LayLiability]])</f>
        <v/>
      </c>
      <c r="R8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2" s="47" t="str">
        <f>IF(LayTable[[#This Row],[Utfall bookie]]="","",LayTable[[#This Row],[WBABack]]+LayTable[[#This Row],[WBALay]]-LayTable[[#This Row],[Total inns]])</f>
        <v/>
      </c>
      <c r="U8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2" s="48" t="str">
        <f>IFERROR(IF(LayTable[[#This Row],[Total inns]]="","",LayTable[[#This Row],[Rback]]/LayTable[[#This Row],[Total inns]]),"")</f>
        <v/>
      </c>
      <c r="X812" s="48" t="str">
        <f>IFERROR(IF(LayTable[[#This Row],[Total inns]]="","",LayTable[[#This Row],[Rlay]]/LayTable[[#This Row],[Total inns]]),"")</f>
        <v/>
      </c>
      <c r="Y812" s="48" t="str">
        <f>IFERROR(LayTable[[#This Row],[Faktisk res]]/LayTable[[#This Row],[Total inns]],"")</f>
        <v/>
      </c>
      <c r="Z812" s="47">
        <f>(LayTable[[#This Row],[BookieInnsats]]*LayTable[[#This Row],[BookieOdds]]-LayTable[[#This Row],[BookieInnsats]])*(1-LayTable[[#This Row],[C% Bookie]])</f>
        <v>0</v>
      </c>
      <c r="AA812" s="43">
        <f>LayTable[[#This Row],[LayInnsats]]*(1-LayTable[[#This Row],[C% Lay]])</f>
        <v>0</v>
      </c>
      <c r="AB812" s="43" t="str">
        <f>IFERROR(IF(LayTable[[#This Row],[Sport]]="",AB811,LayTable[[#This Row],[Faktisk res]]+AB811),"")</f>
        <v/>
      </c>
      <c r="AC812" s="43">
        <f>(LayTable[[#This Row],[BackWin-Commission]]+LayTable[[#This Row],[BookieInnsats]])</f>
        <v>0</v>
      </c>
      <c r="AD812" s="43" t="e">
        <f>(LayTable[[#This Row],[LayWin-Commission]])+LayTable[[#This Row],[LayLiability]]</f>
        <v>#VALUE!</v>
      </c>
      <c r="AE812" s="43"/>
      <c r="AF812" s="183"/>
    </row>
    <row r="813" spans="1:32">
      <c r="A813" s="84"/>
      <c r="B813" s="39"/>
      <c r="C813" s="40"/>
      <c r="D813" s="41"/>
      <c r="E813" s="40"/>
      <c r="F813" s="41"/>
      <c r="G813" s="183"/>
      <c r="H813" s="38"/>
      <c r="I813" s="42"/>
      <c r="J813" s="42"/>
      <c r="K813" s="43"/>
      <c r="L813" s="43"/>
      <c r="M813" s="44" t="str">
        <f>IF(LayTable[[#This Row],[Sport]]="","",LayTable[[#This Row],[LayInnsats]]*(LayTable[[#This Row],[LayOdds]]-1))</f>
        <v/>
      </c>
      <c r="N813" s="45" t="str">
        <f>IF(LayTable[[#This Row],[Sport]]="","",1/((1/LayTable[[#This Row],[BookieOdds]])+(1/((1/((1+((LayTable[[#This Row],[LayOdds]]-1)*(1+LayTable[[#This Row],[C% Lay]])))-1))+1)))-1)</f>
        <v/>
      </c>
      <c r="Q813" s="46" t="str">
        <f>IF(LayTable[[#This Row],[Sport]]="","",LayTable[[#This Row],[BookieInnsats]]+LayTable[[#This Row],[LayLiability]])</f>
        <v/>
      </c>
      <c r="R8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3" s="47" t="str">
        <f>IF(LayTable[[#This Row],[Utfall bookie]]="","",LayTable[[#This Row],[WBABack]]+LayTable[[#This Row],[WBALay]]-LayTable[[#This Row],[Total inns]])</f>
        <v/>
      </c>
      <c r="U8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3" s="48" t="str">
        <f>IFERROR(IF(LayTable[[#This Row],[Total inns]]="","",LayTable[[#This Row],[Rback]]/LayTable[[#This Row],[Total inns]]),"")</f>
        <v/>
      </c>
      <c r="X813" s="48" t="str">
        <f>IFERROR(IF(LayTable[[#This Row],[Total inns]]="","",LayTable[[#This Row],[Rlay]]/LayTable[[#This Row],[Total inns]]),"")</f>
        <v/>
      </c>
      <c r="Y813" s="48" t="str">
        <f>IFERROR(LayTable[[#This Row],[Faktisk res]]/LayTable[[#This Row],[Total inns]],"")</f>
        <v/>
      </c>
      <c r="Z813" s="47">
        <f>(LayTable[[#This Row],[BookieInnsats]]*LayTable[[#This Row],[BookieOdds]]-LayTable[[#This Row],[BookieInnsats]])*(1-LayTable[[#This Row],[C% Bookie]])</f>
        <v>0</v>
      </c>
      <c r="AA813" s="43">
        <f>LayTable[[#This Row],[LayInnsats]]*(1-LayTable[[#This Row],[C% Lay]])</f>
        <v>0</v>
      </c>
      <c r="AB813" s="43" t="str">
        <f>IFERROR(IF(LayTable[[#This Row],[Sport]]="",AB812,LayTable[[#This Row],[Faktisk res]]+AB812),"")</f>
        <v/>
      </c>
      <c r="AC813" s="43">
        <f>(LayTable[[#This Row],[BackWin-Commission]]+LayTable[[#This Row],[BookieInnsats]])</f>
        <v>0</v>
      </c>
      <c r="AD813" s="43" t="e">
        <f>(LayTable[[#This Row],[LayWin-Commission]])+LayTable[[#This Row],[LayLiability]]</f>
        <v>#VALUE!</v>
      </c>
      <c r="AE813" s="43"/>
      <c r="AF813" s="183"/>
    </row>
    <row r="814" spans="1:32">
      <c r="A814" s="84"/>
      <c r="B814" s="39"/>
      <c r="C814" s="40"/>
      <c r="D814" s="41"/>
      <c r="E814" s="40"/>
      <c r="F814" s="41"/>
      <c r="G814" s="183"/>
      <c r="H814" s="38"/>
      <c r="I814" s="42"/>
      <c r="J814" s="42"/>
      <c r="K814" s="43"/>
      <c r="L814" s="43"/>
      <c r="M814" s="44" t="str">
        <f>IF(LayTable[[#This Row],[Sport]]="","",LayTable[[#This Row],[LayInnsats]]*(LayTable[[#This Row],[LayOdds]]-1))</f>
        <v/>
      </c>
      <c r="N814" s="45" t="str">
        <f>IF(LayTable[[#This Row],[Sport]]="","",1/((1/LayTable[[#This Row],[BookieOdds]])+(1/((1/((1+((LayTable[[#This Row],[LayOdds]]-1)*(1+LayTable[[#This Row],[C% Lay]])))-1))+1)))-1)</f>
        <v/>
      </c>
      <c r="Q814" s="46" t="str">
        <f>IF(LayTable[[#This Row],[Sport]]="","",LayTable[[#This Row],[BookieInnsats]]+LayTable[[#This Row],[LayLiability]])</f>
        <v/>
      </c>
      <c r="R8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4" s="47" t="str">
        <f>IF(LayTable[[#This Row],[Utfall bookie]]="","",LayTable[[#This Row],[WBABack]]+LayTable[[#This Row],[WBALay]]-LayTable[[#This Row],[Total inns]])</f>
        <v/>
      </c>
      <c r="U8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4" s="48" t="str">
        <f>IFERROR(IF(LayTable[[#This Row],[Total inns]]="","",LayTable[[#This Row],[Rback]]/LayTable[[#This Row],[Total inns]]),"")</f>
        <v/>
      </c>
      <c r="X814" s="48" t="str">
        <f>IFERROR(IF(LayTable[[#This Row],[Total inns]]="","",LayTable[[#This Row],[Rlay]]/LayTable[[#This Row],[Total inns]]),"")</f>
        <v/>
      </c>
      <c r="Y814" s="48" t="str">
        <f>IFERROR(LayTable[[#This Row],[Faktisk res]]/LayTable[[#This Row],[Total inns]],"")</f>
        <v/>
      </c>
      <c r="Z814" s="47">
        <f>(LayTable[[#This Row],[BookieInnsats]]*LayTable[[#This Row],[BookieOdds]]-LayTable[[#This Row],[BookieInnsats]])*(1-LayTable[[#This Row],[C% Bookie]])</f>
        <v>0</v>
      </c>
      <c r="AA814" s="43">
        <f>LayTable[[#This Row],[LayInnsats]]*(1-LayTable[[#This Row],[C% Lay]])</f>
        <v>0</v>
      </c>
      <c r="AB814" s="43" t="str">
        <f>IFERROR(IF(LayTable[[#This Row],[Sport]]="",AB813,LayTable[[#This Row],[Faktisk res]]+AB813),"")</f>
        <v/>
      </c>
      <c r="AC814" s="43">
        <f>(LayTable[[#This Row],[BackWin-Commission]]+LayTable[[#This Row],[BookieInnsats]])</f>
        <v>0</v>
      </c>
      <c r="AD814" s="43" t="e">
        <f>(LayTable[[#This Row],[LayWin-Commission]])+LayTable[[#This Row],[LayLiability]]</f>
        <v>#VALUE!</v>
      </c>
      <c r="AE814" s="43"/>
      <c r="AF814" s="183"/>
    </row>
    <row r="815" spans="1:32">
      <c r="A815" s="84"/>
      <c r="B815" s="39"/>
      <c r="C815" s="40"/>
      <c r="D815" s="41"/>
      <c r="E815" s="40"/>
      <c r="F815" s="41"/>
      <c r="G815" s="183"/>
      <c r="H815" s="38"/>
      <c r="I815" s="42"/>
      <c r="J815" s="42"/>
      <c r="K815" s="43"/>
      <c r="L815" s="43"/>
      <c r="M815" s="44" t="str">
        <f>IF(LayTable[[#This Row],[Sport]]="","",LayTable[[#This Row],[LayInnsats]]*(LayTable[[#This Row],[LayOdds]]-1))</f>
        <v/>
      </c>
      <c r="N815" s="45" t="str">
        <f>IF(LayTable[[#This Row],[Sport]]="","",1/((1/LayTable[[#This Row],[BookieOdds]])+(1/((1/((1+((LayTable[[#This Row],[LayOdds]]-1)*(1+LayTable[[#This Row],[C% Lay]])))-1))+1)))-1)</f>
        <v/>
      </c>
      <c r="Q815" s="46" t="str">
        <f>IF(LayTable[[#This Row],[Sport]]="","",LayTable[[#This Row],[BookieInnsats]]+LayTable[[#This Row],[LayLiability]])</f>
        <v/>
      </c>
      <c r="R8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5" s="47" t="str">
        <f>IF(LayTable[[#This Row],[Utfall bookie]]="","",LayTable[[#This Row],[WBABack]]+LayTable[[#This Row],[WBALay]]-LayTable[[#This Row],[Total inns]])</f>
        <v/>
      </c>
      <c r="U8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5" s="48" t="str">
        <f>IFERROR(IF(LayTable[[#This Row],[Total inns]]="","",LayTable[[#This Row],[Rback]]/LayTable[[#This Row],[Total inns]]),"")</f>
        <v/>
      </c>
      <c r="X815" s="48" t="str">
        <f>IFERROR(IF(LayTable[[#This Row],[Total inns]]="","",LayTable[[#This Row],[Rlay]]/LayTable[[#This Row],[Total inns]]),"")</f>
        <v/>
      </c>
      <c r="Y815" s="48" t="str">
        <f>IFERROR(LayTable[[#This Row],[Faktisk res]]/LayTable[[#This Row],[Total inns]],"")</f>
        <v/>
      </c>
      <c r="Z815" s="47">
        <f>(LayTable[[#This Row],[BookieInnsats]]*LayTable[[#This Row],[BookieOdds]]-LayTable[[#This Row],[BookieInnsats]])*(1-LayTable[[#This Row],[C% Bookie]])</f>
        <v>0</v>
      </c>
      <c r="AA815" s="43">
        <f>LayTable[[#This Row],[LayInnsats]]*(1-LayTable[[#This Row],[C% Lay]])</f>
        <v>0</v>
      </c>
      <c r="AB815" s="43" t="str">
        <f>IFERROR(IF(LayTable[[#This Row],[Sport]]="",AB814,LayTable[[#This Row],[Faktisk res]]+AB814),"")</f>
        <v/>
      </c>
      <c r="AC815" s="43">
        <f>(LayTable[[#This Row],[BackWin-Commission]]+LayTable[[#This Row],[BookieInnsats]])</f>
        <v>0</v>
      </c>
      <c r="AD815" s="43" t="e">
        <f>(LayTable[[#This Row],[LayWin-Commission]])+LayTable[[#This Row],[LayLiability]]</f>
        <v>#VALUE!</v>
      </c>
      <c r="AE815" s="43"/>
      <c r="AF815" s="183"/>
    </row>
    <row r="816" spans="1:32">
      <c r="A816" s="84"/>
      <c r="B816" s="39"/>
      <c r="C816" s="40"/>
      <c r="D816" s="41"/>
      <c r="E816" s="40"/>
      <c r="F816" s="41"/>
      <c r="G816" s="183"/>
      <c r="H816" s="38"/>
      <c r="I816" s="42"/>
      <c r="J816" s="42"/>
      <c r="K816" s="43"/>
      <c r="L816" s="43"/>
      <c r="M816" s="44" t="str">
        <f>IF(LayTable[[#This Row],[Sport]]="","",LayTable[[#This Row],[LayInnsats]]*(LayTable[[#This Row],[LayOdds]]-1))</f>
        <v/>
      </c>
      <c r="N816" s="45" t="str">
        <f>IF(LayTable[[#This Row],[Sport]]="","",1/((1/LayTable[[#This Row],[BookieOdds]])+(1/((1/((1+((LayTable[[#This Row],[LayOdds]]-1)*(1+LayTable[[#This Row],[C% Lay]])))-1))+1)))-1)</f>
        <v/>
      </c>
      <c r="Q816" s="46" t="str">
        <f>IF(LayTable[[#This Row],[Sport]]="","",LayTable[[#This Row],[BookieInnsats]]+LayTable[[#This Row],[LayLiability]])</f>
        <v/>
      </c>
      <c r="R8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6" s="47" t="str">
        <f>IF(LayTable[[#This Row],[Utfall bookie]]="","",LayTable[[#This Row],[WBABack]]+LayTable[[#This Row],[WBALay]]-LayTable[[#This Row],[Total inns]])</f>
        <v/>
      </c>
      <c r="U8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6" s="48" t="str">
        <f>IFERROR(IF(LayTable[[#This Row],[Total inns]]="","",LayTable[[#This Row],[Rback]]/LayTable[[#This Row],[Total inns]]),"")</f>
        <v/>
      </c>
      <c r="X816" s="48" t="str">
        <f>IFERROR(IF(LayTable[[#This Row],[Total inns]]="","",LayTable[[#This Row],[Rlay]]/LayTable[[#This Row],[Total inns]]),"")</f>
        <v/>
      </c>
      <c r="Y816" s="48" t="str">
        <f>IFERROR(LayTable[[#This Row],[Faktisk res]]/LayTable[[#This Row],[Total inns]],"")</f>
        <v/>
      </c>
      <c r="Z816" s="47">
        <f>(LayTable[[#This Row],[BookieInnsats]]*LayTable[[#This Row],[BookieOdds]]-LayTable[[#This Row],[BookieInnsats]])*(1-LayTable[[#This Row],[C% Bookie]])</f>
        <v>0</v>
      </c>
      <c r="AA816" s="43">
        <f>LayTable[[#This Row],[LayInnsats]]*(1-LayTable[[#This Row],[C% Lay]])</f>
        <v>0</v>
      </c>
      <c r="AB816" s="43" t="str">
        <f>IFERROR(IF(LayTable[[#This Row],[Sport]]="",AB815,LayTable[[#This Row],[Faktisk res]]+AB815),"")</f>
        <v/>
      </c>
      <c r="AC816" s="43">
        <f>(LayTable[[#This Row],[BackWin-Commission]]+LayTable[[#This Row],[BookieInnsats]])</f>
        <v>0</v>
      </c>
      <c r="AD816" s="43" t="e">
        <f>(LayTable[[#This Row],[LayWin-Commission]])+LayTable[[#This Row],[LayLiability]]</f>
        <v>#VALUE!</v>
      </c>
      <c r="AE816" s="43"/>
      <c r="AF816" s="183"/>
    </row>
    <row r="817" spans="1:32">
      <c r="A817" s="84"/>
      <c r="B817" s="39"/>
      <c r="C817" s="40"/>
      <c r="D817" s="41"/>
      <c r="E817" s="40"/>
      <c r="F817" s="41"/>
      <c r="G817" s="183"/>
      <c r="H817" s="38"/>
      <c r="I817" s="42"/>
      <c r="J817" s="42"/>
      <c r="K817" s="43"/>
      <c r="L817" s="43"/>
      <c r="M817" s="44" t="str">
        <f>IF(LayTable[[#This Row],[Sport]]="","",LayTable[[#This Row],[LayInnsats]]*(LayTable[[#This Row],[LayOdds]]-1))</f>
        <v/>
      </c>
      <c r="N817" s="45" t="str">
        <f>IF(LayTable[[#This Row],[Sport]]="","",1/((1/LayTable[[#This Row],[BookieOdds]])+(1/((1/((1+((LayTable[[#This Row],[LayOdds]]-1)*(1+LayTable[[#This Row],[C% Lay]])))-1))+1)))-1)</f>
        <v/>
      </c>
      <c r="Q817" s="46" t="str">
        <f>IF(LayTable[[#This Row],[Sport]]="","",LayTable[[#This Row],[BookieInnsats]]+LayTable[[#This Row],[LayLiability]])</f>
        <v/>
      </c>
      <c r="R8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7" s="47" t="str">
        <f>IF(LayTable[[#This Row],[Utfall bookie]]="","",LayTable[[#This Row],[WBABack]]+LayTable[[#This Row],[WBALay]]-LayTable[[#This Row],[Total inns]])</f>
        <v/>
      </c>
      <c r="U8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7" s="48" t="str">
        <f>IFERROR(IF(LayTable[[#This Row],[Total inns]]="","",LayTable[[#This Row],[Rback]]/LayTable[[#This Row],[Total inns]]),"")</f>
        <v/>
      </c>
      <c r="X817" s="48" t="str">
        <f>IFERROR(IF(LayTable[[#This Row],[Total inns]]="","",LayTable[[#This Row],[Rlay]]/LayTable[[#This Row],[Total inns]]),"")</f>
        <v/>
      </c>
      <c r="Y817" s="48" t="str">
        <f>IFERROR(LayTable[[#This Row],[Faktisk res]]/LayTable[[#This Row],[Total inns]],"")</f>
        <v/>
      </c>
      <c r="Z817" s="47">
        <f>(LayTable[[#This Row],[BookieInnsats]]*LayTable[[#This Row],[BookieOdds]]-LayTable[[#This Row],[BookieInnsats]])*(1-LayTable[[#This Row],[C% Bookie]])</f>
        <v>0</v>
      </c>
      <c r="AA817" s="43">
        <f>LayTable[[#This Row],[LayInnsats]]*(1-LayTable[[#This Row],[C% Lay]])</f>
        <v>0</v>
      </c>
      <c r="AB817" s="43" t="str">
        <f>IFERROR(IF(LayTable[[#This Row],[Sport]]="",AB816,LayTable[[#This Row],[Faktisk res]]+AB816),"")</f>
        <v/>
      </c>
      <c r="AC817" s="43">
        <f>(LayTable[[#This Row],[BackWin-Commission]]+LayTable[[#This Row],[BookieInnsats]])</f>
        <v>0</v>
      </c>
      <c r="AD817" s="43" t="e">
        <f>(LayTable[[#This Row],[LayWin-Commission]])+LayTable[[#This Row],[LayLiability]]</f>
        <v>#VALUE!</v>
      </c>
      <c r="AE817" s="43"/>
      <c r="AF817" s="183"/>
    </row>
    <row r="818" spans="1:32">
      <c r="A818" s="84"/>
      <c r="B818" s="39"/>
      <c r="C818" s="40"/>
      <c r="D818" s="41"/>
      <c r="E818" s="40"/>
      <c r="F818" s="41"/>
      <c r="G818" s="183"/>
      <c r="H818" s="38"/>
      <c r="I818" s="42"/>
      <c r="J818" s="42"/>
      <c r="K818" s="43"/>
      <c r="L818" s="43"/>
      <c r="M818" s="44" t="str">
        <f>IF(LayTable[[#This Row],[Sport]]="","",LayTable[[#This Row],[LayInnsats]]*(LayTable[[#This Row],[LayOdds]]-1))</f>
        <v/>
      </c>
      <c r="N818" s="45" t="str">
        <f>IF(LayTable[[#This Row],[Sport]]="","",1/((1/LayTable[[#This Row],[BookieOdds]])+(1/((1/((1+((LayTable[[#This Row],[LayOdds]]-1)*(1+LayTable[[#This Row],[C% Lay]])))-1))+1)))-1)</f>
        <v/>
      </c>
      <c r="Q818" s="46" t="str">
        <f>IF(LayTable[[#This Row],[Sport]]="","",LayTable[[#This Row],[BookieInnsats]]+LayTable[[#This Row],[LayLiability]])</f>
        <v/>
      </c>
      <c r="R8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8" s="47" t="str">
        <f>IF(LayTable[[#This Row],[Utfall bookie]]="","",LayTable[[#This Row],[WBABack]]+LayTable[[#This Row],[WBALay]]-LayTable[[#This Row],[Total inns]])</f>
        <v/>
      </c>
      <c r="U8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8" s="48" t="str">
        <f>IFERROR(IF(LayTable[[#This Row],[Total inns]]="","",LayTable[[#This Row],[Rback]]/LayTable[[#This Row],[Total inns]]),"")</f>
        <v/>
      </c>
      <c r="X818" s="48" t="str">
        <f>IFERROR(IF(LayTable[[#This Row],[Total inns]]="","",LayTable[[#This Row],[Rlay]]/LayTable[[#This Row],[Total inns]]),"")</f>
        <v/>
      </c>
      <c r="Y818" s="48" t="str">
        <f>IFERROR(LayTable[[#This Row],[Faktisk res]]/LayTable[[#This Row],[Total inns]],"")</f>
        <v/>
      </c>
      <c r="Z818" s="47">
        <f>(LayTable[[#This Row],[BookieInnsats]]*LayTable[[#This Row],[BookieOdds]]-LayTable[[#This Row],[BookieInnsats]])*(1-LayTable[[#This Row],[C% Bookie]])</f>
        <v>0</v>
      </c>
      <c r="AA818" s="43">
        <f>LayTable[[#This Row],[LayInnsats]]*(1-LayTable[[#This Row],[C% Lay]])</f>
        <v>0</v>
      </c>
      <c r="AB818" s="43" t="str">
        <f>IFERROR(IF(LayTable[[#This Row],[Sport]]="",AB817,LayTable[[#This Row],[Faktisk res]]+AB817),"")</f>
        <v/>
      </c>
      <c r="AC818" s="43">
        <f>(LayTable[[#This Row],[BackWin-Commission]]+LayTable[[#This Row],[BookieInnsats]])</f>
        <v>0</v>
      </c>
      <c r="AD818" s="43" t="e">
        <f>(LayTable[[#This Row],[LayWin-Commission]])+LayTable[[#This Row],[LayLiability]]</f>
        <v>#VALUE!</v>
      </c>
      <c r="AE818" s="43"/>
      <c r="AF818" s="183"/>
    </row>
    <row r="819" spans="1:32">
      <c r="A819" s="84"/>
      <c r="B819" s="39"/>
      <c r="C819" s="40"/>
      <c r="D819" s="41"/>
      <c r="E819" s="40"/>
      <c r="F819" s="41"/>
      <c r="G819" s="183"/>
      <c r="H819" s="38"/>
      <c r="I819" s="42"/>
      <c r="J819" s="42"/>
      <c r="K819" s="43"/>
      <c r="L819" s="43"/>
      <c r="M819" s="44" t="str">
        <f>IF(LayTable[[#This Row],[Sport]]="","",LayTable[[#This Row],[LayInnsats]]*(LayTable[[#This Row],[LayOdds]]-1))</f>
        <v/>
      </c>
      <c r="N819" s="45" t="str">
        <f>IF(LayTable[[#This Row],[Sport]]="","",1/((1/LayTable[[#This Row],[BookieOdds]])+(1/((1/((1+((LayTable[[#This Row],[LayOdds]]-1)*(1+LayTable[[#This Row],[C% Lay]])))-1))+1)))-1)</f>
        <v/>
      </c>
      <c r="Q819" s="46" t="str">
        <f>IF(LayTable[[#This Row],[Sport]]="","",LayTable[[#This Row],[BookieInnsats]]+LayTable[[#This Row],[LayLiability]])</f>
        <v/>
      </c>
      <c r="R8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19" s="47" t="str">
        <f>IF(LayTable[[#This Row],[Utfall bookie]]="","",LayTable[[#This Row],[WBABack]]+LayTable[[#This Row],[WBALay]]-LayTable[[#This Row],[Total inns]])</f>
        <v/>
      </c>
      <c r="U8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19" s="48" t="str">
        <f>IFERROR(IF(LayTable[[#This Row],[Total inns]]="","",LayTable[[#This Row],[Rback]]/LayTable[[#This Row],[Total inns]]),"")</f>
        <v/>
      </c>
      <c r="X819" s="48" t="str">
        <f>IFERROR(IF(LayTable[[#This Row],[Total inns]]="","",LayTable[[#This Row],[Rlay]]/LayTable[[#This Row],[Total inns]]),"")</f>
        <v/>
      </c>
      <c r="Y819" s="48" t="str">
        <f>IFERROR(LayTable[[#This Row],[Faktisk res]]/LayTable[[#This Row],[Total inns]],"")</f>
        <v/>
      </c>
      <c r="Z819" s="47">
        <f>(LayTable[[#This Row],[BookieInnsats]]*LayTable[[#This Row],[BookieOdds]]-LayTable[[#This Row],[BookieInnsats]])*(1-LayTable[[#This Row],[C% Bookie]])</f>
        <v>0</v>
      </c>
      <c r="AA819" s="43">
        <f>LayTable[[#This Row],[LayInnsats]]*(1-LayTable[[#This Row],[C% Lay]])</f>
        <v>0</v>
      </c>
      <c r="AB819" s="43" t="str">
        <f>IFERROR(IF(LayTable[[#This Row],[Sport]]="",AB818,LayTable[[#This Row],[Faktisk res]]+AB818),"")</f>
        <v/>
      </c>
      <c r="AC819" s="43">
        <f>(LayTable[[#This Row],[BackWin-Commission]]+LayTable[[#This Row],[BookieInnsats]])</f>
        <v>0</v>
      </c>
      <c r="AD819" s="43" t="e">
        <f>(LayTable[[#This Row],[LayWin-Commission]])+LayTable[[#This Row],[LayLiability]]</f>
        <v>#VALUE!</v>
      </c>
      <c r="AE819" s="43"/>
      <c r="AF819" s="183"/>
    </row>
    <row r="820" spans="1:32">
      <c r="A820" s="84"/>
      <c r="B820" s="39"/>
      <c r="C820" s="40"/>
      <c r="D820" s="41"/>
      <c r="E820" s="40"/>
      <c r="F820" s="41"/>
      <c r="G820" s="183"/>
      <c r="H820" s="38"/>
      <c r="I820" s="42"/>
      <c r="J820" s="42"/>
      <c r="K820" s="43"/>
      <c r="L820" s="43"/>
      <c r="M820" s="44" t="str">
        <f>IF(LayTable[[#This Row],[Sport]]="","",LayTable[[#This Row],[LayInnsats]]*(LayTable[[#This Row],[LayOdds]]-1))</f>
        <v/>
      </c>
      <c r="N820" s="45" t="str">
        <f>IF(LayTable[[#This Row],[Sport]]="","",1/((1/LayTable[[#This Row],[BookieOdds]])+(1/((1/((1+((LayTable[[#This Row],[LayOdds]]-1)*(1+LayTable[[#This Row],[C% Lay]])))-1))+1)))-1)</f>
        <v/>
      </c>
      <c r="Q820" s="46" t="str">
        <f>IF(LayTable[[#This Row],[Sport]]="","",LayTable[[#This Row],[BookieInnsats]]+LayTable[[#This Row],[LayLiability]])</f>
        <v/>
      </c>
      <c r="R8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0" s="47" t="str">
        <f>IF(LayTable[[#This Row],[Utfall bookie]]="","",LayTable[[#This Row],[WBABack]]+LayTable[[#This Row],[WBALay]]-LayTable[[#This Row],[Total inns]])</f>
        <v/>
      </c>
      <c r="U8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0" s="48" t="str">
        <f>IFERROR(IF(LayTable[[#This Row],[Total inns]]="","",LayTable[[#This Row],[Rback]]/LayTable[[#This Row],[Total inns]]),"")</f>
        <v/>
      </c>
      <c r="X820" s="48" t="str">
        <f>IFERROR(IF(LayTable[[#This Row],[Total inns]]="","",LayTable[[#This Row],[Rlay]]/LayTable[[#This Row],[Total inns]]),"")</f>
        <v/>
      </c>
      <c r="Y820" s="48" t="str">
        <f>IFERROR(LayTable[[#This Row],[Faktisk res]]/LayTable[[#This Row],[Total inns]],"")</f>
        <v/>
      </c>
      <c r="Z820" s="47">
        <f>(LayTable[[#This Row],[BookieInnsats]]*LayTable[[#This Row],[BookieOdds]]-LayTable[[#This Row],[BookieInnsats]])*(1-LayTable[[#This Row],[C% Bookie]])</f>
        <v>0</v>
      </c>
      <c r="AA820" s="43">
        <f>LayTable[[#This Row],[LayInnsats]]*(1-LayTable[[#This Row],[C% Lay]])</f>
        <v>0</v>
      </c>
      <c r="AB820" s="43" t="str">
        <f>IFERROR(IF(LayTable[[#This Row],[Sport]]="",AB819,LayTable[[#This Row],[Faktisk res]]+AB819),"")</f>
        <v/>
      </c>
      <c r="AC820" s="43">
        <f>(LayTable[[#This Row],[BackWin-Commission]]+LayTable[[#This Row],[BookieInnsats]])</f>
        <v>0</v>
      </c>
      <c r="AD820" s="43" t="e">
        <f>(LayTable[[#This Row],[LayWin-Commission]])+LayTable[[#This Row],[LayLiability]]</f>
        <v>#VALUE!</v>
      </c>
      <c r="AE820" s="43"/>
      <c r="AF820" s="183"/>
    </row>
    <row r="821" spans="1:32">
      <c r="A821" s="84"/>
      <c r="B821" s="39"/>
      <c r="C821" s="40"/>
      <c r="D821" s="41"/>
      <c r="E821" s="40"/>
      <c r="F821" s="41"/>
      <c r="G821" s="183"/>
      <c r="H821" s="38"/>
      <c r="I821" s="42"/>
      <c r="J821" s="42"/>
      <c r="K821" s="43"/>
      <c r="L821" s="43"/>
      <c r="M821" s="44" t="str">
        <f>IF(LayTable[[#This Row],[Sport]]="","",LayTable[[#This Row],[LayInnsats]]*(LayTable[[#This Row],[LayOdds]]-1))</f>
        <v/>
      </c>
      <c r="N821" s="45" t="str">
        <f>IF(LayTable[[#This Row],[Sport]]="","",1/((1/LayTable[[#This Row],[BookieOdds]])+(1/((1/((1+((LayTable[[#This Row],[LayOdds]]-1)*(1+LayTable[[#This Row],[C% Lay]])))-1))+1)))-1)</f>
        <v/>
      </c>
      <c r="Q821" s="46" t="str">
        <f>IF(LayTable[[#This Row],[Sport]]="","",LayTable[[#This Row],[BookieInnsats]]+LayTable[[#This Row],[LayLiability]])</f>
        <v/>
      </c>
      <c r="R8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1" s="47" t="str">
        <f>IF(LayTable[[#This Row],[Utfall bookie]]="","",LayTable[[#This Row],[WBABack]]+LayTable[[#This Row],[WBALay]]-LayTable[[#This Row],[Total inns]])</f>
        <v/>
      </c>
      <c r="U8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1" s="48" t="str">
        <f>IFERROR(IF(LayTable[[#This Row],[Total inns]]="","",LayTable[[#This Row],[Rback]]/LayTable[[#This Row],[Total inns]]),"")</f>
        <v/>
      </c>
      <c r="X821" s="48" t="str">
        <f>IFERROR(IF(LayTable[[#This Row],[Total inns]]="","",LayTable[[#This Row],[Rlay]]/LayTable[[#This Row],[Total inns]]),"")</f>
        <v/>
      </c>
      <c r="Y821" s="48" t="str">
        <f>IFERROR(LayTable[[#This Row],[Faktisk res]]/LayTable[[#This Row],[Total inns]],"")</f>
        <v/>
      </c>
      <c r="Z821" s="47">
        <f>(LayTable[[#This Row],[BookieInnsats]]*LayTable[[#This Row],[BookieOdds]]-LayTable[[#This Row],[BookieInnsats]])*(1-LayTable[[#This Row],[C% Bookie]])</f>
        <v>0</v>
      </c>
      <c r="AA821" s="43">
        <f>LayTable[[#This Row],[LayInnsats]]*(1-LayTable[[#This Row],[C% Lay]])</f>
        <v>0</v>
      </c>
      <c r="AB821" s="43" t="str">
        <f>IFERROR(IF(LayTable[[#This Row],[Sport]]="",AB820,LayTable[[#This Row],[Faktisk res]]+AB820),"")</f>
        <v/>
      </c>
      <c r="AC821" s="43">
        <f>(LayTable[[#This Row],[BackWin-Commission]]+LayTable[[#This Row],[BookieInnsats]])</f>
        <v>0</v>
      </c>
      <c r="AD821" s="43" t="e">
        <f>(LayTable[[#This Row],[LayWin-Commission]])+LayTable[[#This Row],[LayLiability]]</f>
        <v>#VALUE!</v>
      </c>
      <c r="AE821" s="43"/>
      <c r="AF821" s="183"/>
    </row>
    <row r="822" spans="1:32">
      <c r="A822" s="84"/>
      <c r="B822" s="39"/>
      <c r="C822" s="40"/>
      <c r="D822" s="41"/>
      <c r="E822" s="40"/>
      <c r="F822" s="41"/>
      <c r="G822" s="183"/>
      <c r="H822" s="38"/>
      <c r="I822" s="42"/>
      <c r="J822" s="42"/>
      <c r="K822" s="43"/>
      <c r="L822" s="43"/>
      <c r="M822" s="44" t="str">
        <f>IF(LayTable[[#This Row],[Sport]]="","",LayTable[[#This Row],[LayInnsats]]*(LayTable[[#This Row],[LayOdds]]-1))</f>
        <v/>
      </c>
      <c r="N822" s="45" t="str">
        <f>IF(LayTable[[#This Row],[Sport]]="","",1/((1/LayTable[[#This Row],[BookieOdds]])+(1/((1/((1+((LayTable[[#This Row],[LayOdds]]-1)*(1+LayTable[[#This Row],[C% Lay]])))-1))+1)))-1)</f>
        <v/>
      </c>
      <c r="Q822" s="46" t="str">
        <f>IF(LayTable[[#This Row],[Sport]]="","",LayTable[[#This Row],[BookieInnsats]]+LayTable[[#This Row],[LayLiability]])</f>
        <v/>
      </c>
      <c r="R8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2" s="47" t="str">
        <f>IF(LayTable[[#This Row],[Utfall bookie]]="","",LayTable[[#This Row],[WBABack]]+LayTable[[#This Row],[WBALay]]-LayTable[[#This Row],[Total inns]])</f>
        <v/>
      </c>
      <c r="U8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2" s="48" t="str">
        <f>IFERROR(IF(LayTable[[#This Row],[Total inns]]="","",LayTable[[#This Row],[Rback]]/LayTable[[#This Row],[Total inns]]),"")</f>
        <v/>
      </c>
      <c r="X822" s="48" t="str">
        <f>IFERROR(IF(LayTable[[#This Row],[Total inns]]="","",LayTable[[#This Row],[Rlay]]/LayTable[[#This Row],[Total inns]]),"")</f>
        <v/>
      </c>
      <c r="Y822" s="48" t="str">
        <f>IFERROR(LayTable[[#This Row],[Faktisk res]]/LayTable[[#This Row],[Total inns]],"")</f>
        <v/>
      </c>
      <c r="Z822" s="47">
        <f>(LayTable[[#This Row],[BookieInnsats]]*LayTable[[#This Row],[BookieOdds]]-LayTable[[#This Row],[BookieInnsats]])*(1-LayTable[[#This Row],[C% Bookie]])</f>
        <v>0</v>
      </c>
      <c r="AA822" s="43">
        <f>LayTable[[#This Row],[LayInnsats]]*(1-LayTable[[#This Row],[C% Lay]])</f>
        <v>0</v>
      </c>
      <c r="AB822" s="43" t="str">
        <f>IFERROR(IF(LayTable[[#This Row],[Sport]]="",AB821,LayTable[[#This Row],[Faktisk res]]+AB821),"")</f>
        <v/>
      </c>
      <c r="AC822" s="43">
        <f>(LayTable[[#This Row],[BackWin-Commission]]+LayTable[[#This Row],[BookieInnsats]])</f>
        <v>0</v>
      </c>
      <c r="AD822" s="43" t="e">
        <f>(LayTable[[#This Row],[LayWin-Commission]])+LayTable[[#This Row],[LayLiability]]</f>
        <v>#VALUE!</v>
      </c>
      <c r="AE822" s="43"/>
      <c r="AF822" s="183"/>
    </row>
    <row r="823" spans="1:32">
      <c r="A823" s="84"/>
      <c r="B823" s="39"/>
      <c r="C823" s="40"/>
      <c r="D823" s="41"/>
      <c r="E823" s="40"/>
      <c r="F823" s="41"/>
      <c r="G823" s="183"/>
      <c r="H823" s="38"/>
      <c r="I823" s="42"/>
      <c r="J823" s="42"/>
      <c r="K823" s="43"/>
      <c r="L823" s="43"/>
      <c r="M823" s="44" t="str">
        <f>IF(LayTable[[#This Row],[Sport]]="","",LayTable[[#This Row],[LayInnsats]]*(LayTable[[#This Row],[LayOdds]]-1))</f>
        <v/>
      </c>
      <c r="N823" s="45" t="str">
        <f>IF(LayTable[[#This Row],[Sport]]="","",1/((1/LayTable[[#This Row],[BookieOdds]])+(1/((1/((1+((LayTable[[#This Row],[LayOdds]]-1)*(1+LayTable[[#This Row],[C% Lay]])))-1))+1)))-1)</f>
        <v/>
      </c>
      <c r="Q823" s="46" t="str">
        <f>IF(LayTable[[#This Row],[Sport]]="","",LayTable[[#This Row],[BookieInnsats]]+LayTable[[#This Row],[LayLiability]])</f>
        <v/>
      </c>
      <c r="R8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3" s="47" t="str">
        <f>IF(LayTable[[#This Row],[Utfall bookie]]="","",LayTable[[#This Row],[WBABack]]+LayTable[[#This Row],[WBALay]]-LayTable[[#This Row],[Total inns]])</f>
        <v/>
      </c>
      <c r="U8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3" s="48" t="str">
        <f>IFERROR(IF(LayTable[[#This Row],[Total inns]]="","",LayTable[[#This Row],[Rback]]/LayTable[[#This Row],[Total inns]]),"")</f>
        <v/>
      </c>
      <c r="X823" s="48" t="str">
        <f>IFERROR(IF(LayTable[[#This Row],[Total inns]]="","",LayTable[[#This Row],[Rlay]]/LayTable[[#This Row],[Total inns]]),"")</f>
        <v/>
      </c>
      <c r="Y823" s="48" t="str">
        <f>IFERROR(LayTable[[#This Row],[Faktisk res]]/LayTable[[#This Row],[Total inns]],"")</f>
        <v/>
      </c>
      <c r="Z823" s="47">
        <f>(LayTable[[#This Row],[BookieInnsats]]*LayTable[[#This Row],[BookieOdds]]-LayTable[[#This Row],[BookieInnsats]])*(1-LayTable[[#This Row],[C% Bookie]])</f>
        <v>0</v>
      </c>
      <c r="AA823" s="43">
        <f>LayTable[[#This Row],[LayInnsats]]*(1-LayTable[[#This Row],[C% Lay]])</f>
        <v>0</v>
      </c>
      <c r="AB823" s="43" t="str">
        <f>IFERROR(IF(LayTable[[#This Row],[Sport]]="",AB822,LayTable[[#This Row],[Faktisk res]]+AB822),"")</f>
        <v/>
      </c>
      <c r="AC823" s="43">
        <f>(LayTable[[#This Row],[BackWin-Commission]]+LayTable[[#This Row],[BookieInnsats]])</f>
        <v>0</v>
      </c>
      <c r="AD823" s="43" t="e">
        <f>(LayTable[[#This Row],[LayWin-Commission]])+LayTable[[#This Row],[LayLiability]]</f>
        <v>#VALUE!</v>
      </c>
      <c r="AE823" s="43"/>
      <c r="AF823" s="183"/>
    </row>
    <row r="824" spans="1:32">
      <c r="A824" s="84"/>
      <c r="B824" s="39"/>
      <c r="C824" s="40"/>
      <c r="D824" s="41"/>
      <c r="E824" s="40"/>
      <c r="F824" s="41"/>
      <c r="G824" s="183"/>
      <c r="H824" s="38"/>
      <c r="I824" s="42"/>
      <c r="J824" s="42"/>
      <c r="K824" s="43"/>
      <c r="L824" s="43"/>
      <c r="M824" s="44" t="str">
        <f>IF(LayTable[[#This Row],[Sport]]="","",LayTable[[#This Row],[LayInnsats]]*(LayTable[[#This Row],[LayOdds]]-1))</f>
        <v/>
      </c>
      <c r="N824" s="45" t="str">
        <f>IF(LayTable[[#This Row],[Sport]]="","",1/((1/LayTable[[#This Row],[BookieOdds]])+(1/((1/((1+((LayTable[[#This Row],[LayOdds]]-1)*(1+LayTable[[#This Row],[C% Lay]])))-1))+1)))-1)</f>
        <v/>
      </c>
      <c r="Q824" s="46" t="str">
        <f>IF(LayTable[[#This Row],[Sport]]="","",LayTable[[#This Row],[BookieInnsats]]+LayTable[[#This Row],[LayLiability]])</f>
        <v/>
      </c>
      <c r="R8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4" s="47" t="str">
        <f>IF(LayTable[[#This Row],[Utfall bookie]]="","",LayTable[[#This Row],[WBABack]]+LayTable[[#This Row],[WBALay]]-LayTable[[#This Row],[Total inns]])</f>
        <v/>
      </c>
      <c r="U8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4" s="48" t="str">
        <f>IFERROR(IF(LayTable[[#This Row],[Total inns]]="","",LayTable[[#This Row],[Rback]]/LayTable[[#This Row],[Total inns]]),"")</f>
        <v/>
      </c>
      <c r="X824" s="48" t="str">
        <f>IFERROR(IF(LayTable[[#This Row],[Total inns]]="","",LayTable[[#This Row],[Rlay]]/LayTable[[#This Row],[Total inns]]),"")</f>
        <v/>
      </c>
      <c r="Y824" s="48" t="str">
        <f>IFERROR(LayTable[[#This Row],[Faktisk res]]/LayTable[[#This Row],[Total inns]],"")</f>
        <v/>
      </c>
      <c r="Z824" s="47">
        <f>(LayTable[[#This Row],[BookieInnsats]]*LayTable[[#This Row],[BookieOdds]]-LayTable[[#This Row],[BookieInnsats]])*(1-LayTable[[#This Row],[C% Bookie]])</f>
        <v>0</v>
      </c>
      <c r="AA824" s="43">
        <f>LayTable[[#This Row],[LayInnsats]]*(1-LayTable[[#This Row],[C% Lay]])</f>
        <v>0</v>
      </c>
      <c r="AB824" s="43" t="str">
        <f>IFERROR(IF(LayTable[[#This Row],[Sport]]="",AB823,LayTable[[#This Row],[Faktisk res]]+AB823),"")</f>
        <v/>
      </c>
      <c r="AC824" s="43">
        <f>(LayTable[[#This Row],[BackWin-Commission]]+LayTable[[#This Row],[BookieInnsats]])</f>
        <v>0</v>
      </c>
      <c r="AD824" s="43" t="e">
        <f>(LayTable[[#This Row],[LayWin-Commission]])+LayTable[[#This Row],[LayLiability]]</f>
        <v>#VALUE!</v>
      </c>
      <c r="AE824" s="43"/>
      <c r="AF824" s="183"/>
    </row>
    <row r="825" spans="1:32">
      <c r="A825" s="84"/>
      <c r="B825" s="39"/>
      <c r="C825" s="40"/>
      <c r="D825" s="41"/>
      <c r="E825" s="40"/>
      <c r="F825" s="41"/>
      <c r="G825" s="183"/>
      <c r="H825" s="38"/>
      <c r="I825" s="42"/>
      <c r="J825" s="42"/>
      <c r="K825" s="43"/>
      <c r="L825" s="43"/>
      <c r="M825" s="44" t="str">
        <f>IF(LayTable[[#This Row],[Sport]]="","",LayTable[[#This Row],[LayInnsats]]*(LayTable[[#This Row],[LayOdds]]-1))</f>
        <v/>
      </c>
      <c r="N825" s="45" t="str">
        <f>IF(LayTable[[#This Row],[Sport]]="","",1/((1/LayTable[[#This Row],[BookieOdds]])+(1/((1/((1+((LayTable[[#This Row],[LayOdds]]-1)*(1+LayTable[[#This Row],[C% Lay]])))-1))+1)))-1)</f>
        <v/>
      </c>
      <c r="Q825" s="46" t="str">
        <f>IF(LayTable[[#This Row],[Sport]]="","",LayTable[[#This Row],[BookieInnsats]]+LayTable[[#This Row],[LayLiability]])</f>
        <v/>
      </c>
      <c r="R8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5" s="47" t="str">
        <f>IF(LayTable[[#This Row],[Utfall bookie]]="","",LayTable[[#This Row],[WBABack]]+LayTable[[#This Row],[WBALay]]-LayTable[[#This Row],[Total inns]])</f>
        <v/>
      </c>
      <c r="U8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5" s="48" t="str">
        <f>IFERROR(IF(LayTable[[#This Row],[Total inns]]="","",LayTable[[#This Row],[Rback]]/LayTable[[#This Row],[Total inns]]),"")</f>
        <v/>
      </c>
      <c r="X825" s="48" t="str">
        <f>IFERROR(IF(LayTable[[#This Row],[Total inns]]="","",LayTable[[#This Row],[Rlay]]/LayTable[[#This Row],[Total inns]]),"")</f>
        <v/>
      </c>
      <c r="Y825" s="48" t="str">
        <f>IFERROR(LayTable[[#This Row],[Faktisk res]]/LayTable[[#This Row],[Total inns]],"")</f>
        <v/>
      </c>
      <c r="Z825" s="47">
        <f>(LayTable[[#This Row],[BookieInnsats]]*LayTable[[#This Row],[BookieOdds]]-LayTable[[#This Row],[BookieInnsats]])*(1-LayTable[[#This Row],[C% Bookie]])</f>
        <v>0</v>
      </c>
      <c r="AA825" s="43">
        <f>LayTable[[#This Row],[LayInnsats]]*(1-LayTable[[#This Row],[C% Lay]])</f>
        <v>0</v>
      </c>
      <c r="AB825" s="43" t="str">
        <f>IFERROR(IF(LayTable[[#This Row],[Sport]]="",AB824,LayTable[[#This Row],[Faktisk res]]+AB824),"")</f>
        <v/>
      </c>
      <c r="AC825" s="43">
        <f>(LayTable[[#This Row],[BackWin-Commission]]+LayTable[[#This Row],[BookieInnsats]])</f>
        <v>0</v>
      </c>
      <c r="AD825" s="43" t="e">
        <f>(LayTable[[#This Row],[LayWin-Commission]])+LayTable[[#This Row],[LayLiability]]</f>
        <v>#VALUE!</v>
      </c>
      <c r="AE825" s="43"/>
      <c r="AF825" s="183"/>
    </row>
    <row r="826" spans="1:32">
      <c r="A826" s="84"/>
      <c r="B826" s="39"/>
      <c r="C826" s="40"/>
      <c r="D826" s="41"/>
      <c r="E826" s="40"/>
      <c r="F826" s="41"/>
      <c r="G826" s="183"/>
      <c r="H826" s="38"/>
      <c r="I826" s="42"/>
      <c r="J826" s="42"/>
      <c r="K826" s="43"/>
      <c r="L826" s="43"/>
      <c r="M826" s="44" t="str">
        <f>IF(LayTable[[#This Row],[Sport]]="","",LayTable[[#This Row],[LayInnsats]]*(LayTable[[#This Row],[LayOdds]]-1))</f>
        <v/>
      </c>
      <c r="N826" s="45" t="str">
        <f>IF(LayTable[[#This Row],[Sport]]="","",1/((1/LayTable[[#This Row],[BookieOdds]])+(1/((1/((1+((LayTable[[#This Row],[LayOdds]]-1)*(1+LayTable[[#This Row],[C% Lay]])))-1))+1)))-1)</f>
        <v/>
      </c>
      <c r="Q826" s="46" t="str">
        <f>IF(LayTable[[#This Row],[Sport]]="","",LayTable[[#This Row],[BookieInnsats]]+LayTable[[#This Row],[LayLiability]])</f>
        <v/>
      </c>
      <c r="R8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6" s="47" t="str">
        <f>IF(LayTable[[#This Row],[Utfall bookie]]="","",LayTable[[#This Row],[WBABack]]+LayTable[[#This Row],[WBALay]]-LayTable[[#This Row],[Total inns]])</f>
        <v/>
      </c>
      <c r="U8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6" s="48" t="str">
        <f>IFERROR(IF(LayTable[[#This Row],[Total inns]]="","",LayTable[[#This Row],[Rback]]/LayTable[[#This Row],[Total inns]]),"")</f>
        <v/>
      </c>
      <c r="X826" s="48" t="str">
        <f>IFERROR(IF(LayTable[[#This Row],[Total inns]]="","",LayTable[[#This Row],[Rlay]]/LayTable[[#This Row],[Total inns]]),"")</f>
        <v/>
      </c>
      <c r="Y826" s="48" t="str">
        <f>IFERROR(LayTable[[#This Row],[Faktisk res]]/LayTable[[#This Row],[Total inns]],"")</f>
        <v/>
      </c>
      <c r="Z826" s="47">
        <f>(LayTable[[#This Row],[BookieInnsats]]*LayTable[[#This Row],[BookieOdds]]-LayTable[[#This Row],[BookieInnsats]])*(1-LayTable[[#This Row],[C% Bookie]])</f>
        <v>0</v>
      </c>
      <c r="AA826" s="43">
        <f>LayTable[[#This Row],[LayInnsats]]*(1-LayTable[[#This Row],[C% Lay]])</f>
        <v>0</v>
      </c>
      <c r="AB826" s="43" t="str">
        <f>IFERROR(IF(LayTable[[#This Row],[Sport]]="",AB825,LayTable[[#This Row],[Faktisk res]]+AB825),"")</f>
        <v/>
      </c>
      <c r="AC826" s="43">
        <f>(LayTable[[#This Row],[BackWin-Commission]]+LayTable[[#This Row],[BookieInnsats]])</f>
        <v>0</v>
      </c>
      <c r="AD826" s="43" t="e">
        <f>(LayTable[[#This Row],[LayWin-Commission]])+LayTable[[#This Row],[LayLiability]]</f>
        <v>#VALUE!</v>
      </c>
      <c r="AE826" s="43"/>
      <c r="AF826" s="183"/>
    </row>
    <row r="827" spans="1:32">
      <c r="A827" s="84"/>
      <c r="B827" s="39"/>
      <c r="C827" s="40"/>
      <c r="D827" s="41"/>
      <c r="E827" s="40"/>
      <c r="F827" s="41"/>
      <c r="G827" s="183"/>
      <c r="H827" s="38"/>
      <c r="I827" s="42"/>
      <c r="J827" s="42"/>
      <c r="K827" s="43"/>
      <c r="L827" s="43"/>
      <c r="M827" s="44" t="str">
        <f>IF(LayTable[[#This Row],[Sport]]="","",LayTable[[#This Row],[LayInnsats]]*(LayTable[[#This Row],[LayOdds]]-1))</f>
        <v/>
      </c>
      <c r="N827" s="45" t="str">
        <f>IF(LayTable[[#This Row],[Sport]]="","",1/((1/LayTable[[#This Row],[BookieOdds]])+(1/((1/((1+((LayTable[[#This Row],[LayOdds]]-1)*(1+LayTable[[#This Row],[C% Lay]])))-1))+1)))-1)</f>
        <v/>
      </c>
      <c r="Q827" s="46" t="str">
        <f>IF(LayTable[[#This Row],[Sport]]="","",LayTable[[#This Row],[BookieInnsats]]+LayTable[[#This Row],[LayLiability]])</f>
        <v/>
      </c>
      <c r="R8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7" s="47" t="str">
        <f>IF(LayTable[[#This Row],[Utfall bookie]]="","",LayTable[[#This Row],[WBABack]]+LayTable[[#This Row],[WBALay]]-LayTable[[#This Row],[Total inns]])</f>
        <v/>
      </c>
      <c r="U8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7" s="48" t="str">
        <f>IFERROR(IF(LayTable[[#This Row],[Total inns]]="","",LayTable[[#This Row],[Rback]]/LayTable[[#This Row],[Total inns]]),"")</f>
        <v/>
      </c>
      <c r="X827" s="48" t="str">
        <f>IFERROR(IF(LayTable[[#This Row],[Total inns]]="","",LayTable[[#This Row],[Rlay]]/LayTable[[#This Row],[Total inns]]),"")</f>
        <v/>
      </c>
      <c r="Y827" s="48" t="str">
        <f>IFERROR(LayTable[[#This Row],[Faktisk res]]/LayTable[[#This Row],[Total inns]],"")</f>
        <v/>
      </c>
      <c r="Z827" s="47">
        <f>(LayTable[[#This Row],[BookieInnsats]]*LayTable[[#This Row],[BookieOdds]]-LayTable[[#This Row],[BookieInnsats]])*(1-LayTable[[#This Row],[C% Bookie]])</f>
        <v>0</v>
      </c>
      <c r="AA827" s="43">
        <f>LayTable[[#This Row],[LayInnsats]]*(1-LayTable[[#This Row],[C% Lay]])</f>
        <v>0</v>
      </c>
      <c r="AB827" s="43" t="str">
        <f>IFERROR(IF(LayTable[[#This Row],[Sport]]="",AB826,LayTable[[#This Row],[Faktisk res]]+AB826),"")</f>
        <v/>
      </c>
      <c r="AC827" s="43">
        <f>(LayTable[[#This Row],[BackWin-Commission]]+LayTable[[#This Row],[BookieInnsats]])</f>
        <v>0</v>
      </c>
      <c r="AD827" s="43" t="e">
        <f>(LayTable[[#This Row],[LayWin-Commission]])+LayTable[[#This Row],[LayLiability]]</f>
        <v>#VALUE!</v>
      </c>
      <c r="AE827" s="43"/>
      <c r="AF827" s="183"/>
    </row>
    <row r="828" spans="1:32">
      <c r="A828" s="84"/>
      <c r="B828" s="39"/>
      <c r="C828" s="40"/>
      <c r="D828" s="41"/>
      <c r="E828" s="40"/>
      <c r="F828" s="41"/>
      <c r="G828" s="183"/>
      <c r="H828" s="38"/>
      <c r="I828" s="42"/>
      <c r="J828" s="42"/>
      <c r="K828" s="43"/>
      <c r="L828" s="43"/>
      <c r="M828" s="44" t="str">
        <f>IF(LayTable[[#This Row],[Sport]]="","",LayTable[[#This Row],[LayInnsats]]*(LayTable[[#This Row],[LayOdds]]-1))</f>
        <v/>
      </c>
      <c r="N828" s="45" t="str">
        <f>IF(LayTable[[#This Row],[Sport]]="","",1/((1/LayTable[[#This Row],[BookieOdds]])+(1/((1/((1+((LayTable[[#This Row],[LayOdds]]-1)*(1+LayTable[[#This Row],[C% Lay]])))-1))+1)))-1)</f>
        <v/>
      </c>
      <c r="Q828" s="46" t="str">
        <f>IF(LayTable[[#This Row],[Sport]]="","",LayTable[[#This Row],[BookieInnsats]]+LayTable[[#This Row],[LayLiability]])</f>
        <v/>
      </c>
      <c r="R8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8" s="47" t="str">
        <f>IF(LayTable[[#This Row],[Utfall bookie]]="","",LayTable[[#This Row],[WBABack]]+LayTable[[#This Row],[WBALay]]-LayTable[[#This Row],[Total inns]])</f>
        <v/>
      </c>
      <c r="U8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8" s="48" t="str">
        <f>IFERROR(IF(LayTable[[#This Row],[Total inns]]="","",LayTable[[#This Row],[Rback]]/LayTable[[#This Row],[Total inns]]),"")</f>
        <v/>
      </c>
      <c r="X828" s="48" t="str">
        <f>IFERROR(IF(LayTable[[#This Row],[Total inns]]="","",LayTable[[#This Row],[Rlay]]/LayTable[[#This Row],[Total inns]]),"")</f>
        <v/>
      </c>
      <c r="Y828" s="48" t="str">
        <f>IFERROR(LayTable[[#This Row],[Faktisk res]]/LayTable[[#This Row],[Total inns]],"")</f>
        <v/>
      </c>
      <c r="Z828" s="47">
        <f>(LayTable[[#This Row],[BookieInnsats]]*LayTable[[#This Row],[BookieOdds]]-LayTable[[#This Row],[BookieInnsats]])*(1-LayTable[[#This Row],[C% Bookie]])</f>
        <v>0</v>
      </c>
      <c r="AA828" s="43">
        <f>LayTable[[#This Row],[LayInnsats]]*(1-LayTable[[#This Row],[C% Lay]])</f>
        <v>0</v>
      </c>
      <c r="AB828" s="43" t="str">
        <f>IFERROR(IF(LayTable[[#This Row],[Sport]]="",AB827,LayTable[[#This Row],[Faktisk res]]+AB827),"")</f>
        <v/>
      </c>
      <c r="AC828" s="43">
        <f>(LayTable[[#This Row],[BackWin-Commission]]+LayTable[[#This Row],[BookieInnsats]])</f>
        <v>0</v>
      </c>
      <c r="AD828" s="43" t="e">
        <f>(LayTable[[#This Row],[LayWin-Commission]])+LayTable[[#This Row],[LayLiability]]</f>
        <v>#VALUE!</v>
      </c>
      <c r="AE828" s="43"/>
      <c r="AF828" s="183"/>
    </row>
    <row r="829" spans="1:32">
      <c r="A829" s="84"/>
      <c r="B829" s="39"/>
      <c r="C829" s="40"/>
      <c r="D829" s="41"/>
      <c r="E829" s="40"/>
      <c r="F829" s="41"/>
      <c r="G829" s="183"/>
      <c r="H829" s="38"/>
      <c r="I829" s="42"/>
      <c r="J829" s="42"/>
      <c r="K829" s="43"/>
      <c r="L829" s="43"/>
      <c r="M829" s="44" t="str">
        <f>IF(LayTable[[#This Row],[Sport]]="","",LayTable[[#This Row],[LayInnsats]]*(LayTable[[#This Row],[LayOdds]]-1))</f>
        <v/>
      </c>
      <c r="N829" s="45" t="str">
        <f>IF(LayTable[[#This Row],[Sport]]="","",1/((1/LayTable[[#This Row],[BookieOdds]])+(1/((1/((1+((LayTable[[#This Row],[LayOdds]]-1)*(1+LayTable[[#This Row],[C% Lay]])))-1))+1)))-1)</f>
        <v/>
      </c>
      <c r="Q829" s="46" t="str">
        <f>IF(LayTable[[#This Row],[Sport]]="","",LayTable[[#This Row],[BookieInnsats]]+LayTable[[#This Row],[LayLiability]])</f>
        <v/>
      </c>
      <c r="R8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29" s="47" t="str">
        <f>IF(LayTable[[#This Row],[Utfall bookie]]="","",LayTable[[#This Row],[WBABack]]+LayTable[[#This Row],[WBALay]]-LayTable[[#This Row],[Total inns]])</f>
        <v/>
      </c>
      <c r="U8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29" s="48" t="str">
        <f>IFERROR(IF(LayTable[[#This Row],[Total inns]]="","",LayTable[[#This Row],[Rback]]/LayTable[[#This Row],[Total inns]]),"")</f>
        <v/>
      </c>
      <c r="X829" s="48" t="str">
        <f>IFERROR(IF(LayTable[[#This Row],[Total inns]]="","",LayTable[[#This Row],[Rlay]]/LayTable[[#This Row],[Total inns]]),"")</f>
        <v/>
      </c>
      <c r="Y829" s="48" t="str">
        <f>IFERROR(LayTable[[#This Row],[Faktisk res]]/LayTable[[#This Row],[Total inns]],"")</f>
        <v/>
      </c>
      <c r="Z829" s="47">
        <f>(LayTable[[#This Row],[BookieInnsats]]*LayTable[[#This Row],[BookieOdds]]-LayTable[[#This Row],[BookieInnsats]])*(1-LayTable[[#This Row],[C% Bookie]])</f>
        <v>0</v>
      </c>
      <c r="AA829" s="43">
        <f>LayTable[[#This Row],[LayInnsats]]*(1-LayTable[[#This Row],[C% Lay]])</f>
        <v>0</v>
      </c>
      <c r="AB829" s="43" t="str">
        <f>IFERROR(IF(LayTable[[#This Row],[Sport]]="",AB828,LayTable[[#This Row],[Faktisk res]]+AB828),"")</f>
        <v/>
      </c>
      <c r="AC829" s="43">
        <f>(LayTable[[#This Row],[BackWin-Commission]]+LayTable[[#This Row],[BookieInnsats]])</f>
        <v>0</v>
      </c>
      <c r="AD829" s="43" t="e">
        <f>(LayTable[[#This Row],[LayWin-Commission]])+LayTable[[#This Row],[LayLiability]]</f>
        <v>#VALUE!</v>
      </c>
      <c r="AE829" s="43"/>
      <c r="AF829" s="183"/>
    </row>
    <row r="830" spans="1:32">
      <c r="A830" s="84"/>
      <c r="B830" s="39"/>
      <c r="C830" s="40"/>
      <c r="D830" s="41"/>
      <c r="E830" s="40"/>
      <c r="F830" s="41"/>
      <c r="G830" s="183"/>
      <c r="H830" s="38"/>
      <c r="I830" s="42"/>
      <c r="J830" s="42"/>
      <c r="K830" s="43"/>
      <c r="L830" s="43"/>
      <c r="M830" s="44" t="str">
        <f>IF(LayTable[[#This Row],[Sport]]="","",LayTable[[#This Row],[LayInnsats]]*(LayTable[[#This Row],[LayOdds]]-1))</f>
        <v/>
      </c>
      <c r="N830" s="45" t="str">
        <f>IF(LayTable[[#This Row],[Sport]]="","",1/((1/LayTable[[#This Row],[BookieOdds]])+(1/((1/((1+((LayTable[[#This Row],[LayOdds]]-1)*(1+LayTable[[#This Row],[C% Lay]])))-1))+1)))-1)</f>
        <v/>
      </c>
      <c r="Q830" s="46" t="str">
        <f>IF(LayTable[[#This Row],[Sport]]="","",LayTable[[#This Row],[BookieInnsats]]+LayTable[[#This Row],[LayLiability]])</f>
        <v/>
      </c>
      <c r="R8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0" s="47" t="str">
        <f>IF(LayTable[[#This Row],[Utfall bookie]]="","",LayTable[[#This Row],[WBABack]]+LayTable[[#This Row],[WBALay]]-LayTable[[#This Row],[Total inns]])</f>
        <v/>
      </c>
      <c r="U8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0" s="48" t="str">
        <f>IFERROR(IF(LayTable[[#This Row],[Total inns]]="","",LayTable[[#This Row],[Rback]]/LayTable[[#This Row],[Total inns]]),"")</f>
        <v/>
      </c>
      <c r="X830" s="48" t="str">
        <f>IFERROR(IF(LayTable[[#This Row],[Total inns]]="","",LayTable[[#This Row],[Rlay]]/LayTable[[#This Row],[Total inns]]),"")</f>
        <v/>
      </c>
      <c r="Y830" s="48" t="str">
        <f>IFERROR(LayTable[[#This Row],[Faktisk res]]/LayTable[[#This Row],[Total inns]],"")</f>
        <v/>
      </c>
      <c r="Z830" s="47">
        <f>(LayTable[[#This Row],[BookieInnsats]]*LayTable[[#This Row],[BookieOdds]]-LayTable[[#This Row],[BookieInnsats]])*(1-LayTable[[#This Row],[C% Bookie]])</f>
        <v>0</v>
      </c>
      <c r="AA830" s="43">
        <f>LayTable[[#This Row],[LayInnsats]]*(1-LayTable[[#This Row],[C% Lay]])</f>
        <v>0</v>
      </c>
      <c r="AB830" s="43" t="str">
        <f>IFERROR(IF(LayTable[[#This Row],[Sport]]="",#REF!,LayTable[[#This Row],[Faktisk res]]+#REF!),"")</f>
        <v/>
      </c>
      <c r="AC830" s="43">
        <f>(LayTable[[#This Row],[BackWin-Commission]]+LayTable[[#This Row],[BookieInnsats]])</f>
        <v>0</v>
      </c>
      <c r="AD830" s="43" t="e">
        <f>(LayTable[[#This Row],[LayWin-Commission]])+LayTable[[#This Row],[LayLiability]]</f>
        <v>#VALUE!</v>
      </c>
      <c r="AE830" s="43"/>
      <c r="AF830" s="183"/>
    </row>
    <row r="831" spans="1:32">
      <c r="A831" s="84"/>
      <c r="B831" s="39"/>
      <c r="C831" s="40"/>
      <c r="D831" s="41"/>
      <c r="E831" s="40"/>
      <c r="F831" s="41"/>
      <c r="G831" s="183"/>
      <c r="H831" s="38"/>
      <c r="I831" s="42"/>
      <c r="J831" s="42"/>
      <c r="K831" s="43"/>
      <c r="L831" s="43"/>
      <c r="M831" s="44" t="str">
        <f>IF(LayTable[[#This Row],[Sport]]="","",LayTable[[#This Row],[LayInnsats]]*(LayTable[[#This Row],[LayOdds]]-1))</f>
        <v/>
      </c>
      <c r="N831" s="45" t="str">
        <f>IF(LayTable[[#This Row],[Sport]]="","",1/((1/LayTable[[#This Row],[BookieOdds]])+(1/((1/((1+((LayTable[[#This Row],[LayOdds]]-1)*(1+LayTable[[#This Row],[C% Lay]])))-1))+1)))-1)</f>
        <v/>
      </c>
      <c r="Q831" s="46" t="str">
        <f>IF(LayTable[[#This Row],[Sport]]="","",LayTable[[#This Row],[BookieInnsats]]+LayTable[[#This Row],[LayLiability]])</f>
        <v/>
      </c>
      <c r="R8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1" s="47" t="str">
        <f>IF(LayTable[[#This Row],[Utfall bookie]]="","",LayTable[[#This Row],[WBABack]]+LayTable[[#This Row],[WBALay]]-LayTable[[#This Row],[Total inns]])</f>
        <v/>
      </c>
      <c r="U8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1" s="48" t="str">
        <f>IFERROR(IF(LayTable[[#This Row],[Total inns]]="","",LayTable[[#This Row],[Rback]]/LayTable[[#This Row],[Total inns]]),"")</f>
        <v/>
      </c>
      <c r="X831" s="48" t="str">
        <f>IFERROR(IF(LayTable[[#This Row],[Total inns]]="","",LayTable[[#This Row],[Rlay]]/LayTable[[#This Row],[Total inns]]),"")</f>
        <v/>
      </c>
      <c r="Y831" s="48" t="str">
        <f>IFERROR(LayTable[[#This Row],[Faktisk res]]/LayTable[[#This Row],[Total inns]],"")</f>
        <v/>
      </c>
      <c r="Z831" s="47">
        <f>(LayTable[[#This Row],[BookieInnsats]]*LayTable[[#This Row],[BookieOdds]]-LayTable[[#This Row],[BookieInnsats]])*(1-LayTable[[#This Row],[C% Bookie]])</f>
        <v>0</v>
      </c>
      <c r="AA831" s="43">
        <f>LayTable[[#This Row],[LayInnsats]]*(1-LayTable[[#This Row],[C% Lay]])</f>
        <v>0</v>
      </c>
      <c r="AB831" s="43" t="str">
        <f>IFERROR(IF(LayTable[[#This Row],[Sport]]="",AB830,LayTable[[#This Row],[Faktisk res]]+AB830),"")</f>
        <v/>
      </c>
      <c r="AC831" s="43">
        <f>(LayTable[[#This Row],[BackWin-Commission]]+LayTable[[#This Row],[BookieInnsats]])</f>
        <v>0</v>
      </c>
      <c r="AD831" s="43" t="e">
        <f>(LayTable[[#This Row],[LayWin-Commission]])+LayTable[[#This Row],[LayLiability]]</f>
        <v>#VALUE!</v>
      </c>
      <c r="AE831" s="43"/>
      <c r="AF831" s="183"/>
    </row>
    <row r="832" spans="1:32">
      <c r="A832" s="84"/>
      <c r="B832" s="39"/>
      <c r="C832" s="40"/>
      <c r="D832" s="41"/>
      <c r="E832" s="40"/>
      <c r="F832" s="41"/>
      <c r="G832" s="183"/>
      <c r="H832" s="38"/>
      <c r="I832" s="42"/>
      <c r="J832" s="42"/>
      <c r="K832" s="43"/>
      <c r="L832" s="43"/>
      <c r="M832" s="44" t="str">
        <f>IF(LayTable[[#This Row],[Sport]]="","",LayTable[[#This Row],[LayInnsats]]*(LayTable[[#This Row],[LayOdds]]-1))</f>
        <v/>
      </c>
      <c r="N832" s="45" t="str">
        <f>IF(LayTable[[#This Row],[Sport]]="","",1/((1/LayTable[[#This Row],[BookieOdds]])+(1/((1/((1+((LayTable[[#This Row],[LayOdds]]-1)*(1+LayTable[[#This Row],[C% Lay]])))-1))+1)))-1)</f>
        <v/>
      </c>
      <c r="Q832" s="46" t="str">
        <f>IF(LayTable[[#This Row],[Sport]]="","",LayTable[[#This Row],[BookieInnsats]]+LayTable[[#This Row],[LayLiability]])</f>
        <v/>
      </c>
      <c r="R8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2" s="47" t="str">
        <f>IF(LayTable[[#This Row],[Utfall bookie]]="","",LayTable[[#This Row],[WBABack]]+LayTable[[#This Row],[WBALay]]-LayTable[[#This Row],[Total inns]])</f>
        <v/>
      </c>
      <c r="U8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2" s="48" t="str">
        <f>IFERROR(IF(LayTable[[#This Row],[Total inns]]="","",LayTable[[#This Row],[Rback]]/LayTable[[#This Row],[Total inns]]),"")</f>
        <v/>
      </c>
      <c r="X832" s="48" t="str">
        <f>IFERROR(IF(LayTable[[#This Row],[Total inns]]="","",LayTable[[#This Row],[Rlay]]/LayTable[[#This Row],[Total inns]]),"")</f>
        <v/>
      </c>
      <c r="Y832" s="48" t="str">
        <f>IFERROR(LayTable[[#This Row],[Faktisk res]]/LayTable[[#This Row],[Total inns]],"")</f>
        <v/>
      </c>
      <c r="Z832" s="47">
        <f>(LayTable[[#This Row],[BookieInnsats]]*LayTable[[#This Row],[BookieOdds]]-LayTable[[#This Row],[BookieInnsats]])*(1-LayTable[[#This Row],[C% Bookie]])</f>
        <v>0</v>
      </c>
      <c r="AA832" s="43">
        <f>LayTable[[#This Row],[LayInnsats]]*(1-LayTable[[#This Row],[C% Lay]])</f>
        <v>0</v>
      </c>
      <c r="AB832" s="43" t="str">
        <f>IFERROR(IF(LayTable[[#This Row],[Sport]]="",AB831,LayTable[[#This Row],[Faktisk res]]+AB831),"")</f>
        <v/>
      </c>
      <c r="AC832" s="43">
        <f>(LayTable[[#This Row],[BackWin-Commission]]+LayTable[[#This Row],[BookieInnsats]])</f>
        <v>0</v>
      </c>
      <c r="AD832" s="43" t="e">
        <f>(LayTable[[#This Row],[LayWin-Commission]])+LayTable[[#This Row],[LayLiability]]</f>
        <v>#VALUE!</v>
      </c>
      <c r="AE832" s="43"/>
      <c r="AF832" s="183"/>
    </row>
    <row r="833" spans="1:32">
      <c r="A833" s="84"/>
      <c r="B833" s="39"/>
      <c r="C833" s="40"/>
      <c r="D833" s="41"/>
      <c r="E833" s="40"/>
      <c r="F833" s="41"/>
      <c r="G833" s="183"/>
      <c r="H833" s="38"/>
      <c r="I833" s="42"/>
      <c r="J833" s="42"/>
      <c r="K833" s="43"/>
      <c r="L833" s="43"/>
      <c r="M833" s="44" t="str">
        <f>IF(LayTable[[#This Row],[Sport]]="","",LayTable[[#This Row],[LayInnsats]]*(LayTable[[#This Row],[LayOdds]]-1))</f>
        <v/>
      </c>
      <c r="N833" s="45" t="str">
        <f>IF(LayTable[[#This Row],[Sport]]="","",1/((1/LayTable[[#This Row],[BookieOdds]])+(1/((1/((1+((LayTable[[#This Row],[LayOdds]]-1)*(1+LayTable[[#This Row],[C% Lay]])))-1))+1)))-1)</f>
        <v/>
      </c>
      <c r="Q833" s="46" t="str">
        <f>IF(LayTable[[#This Row],[Sport]]="","",LayTable[[#This Row],[BookieInnsats]]+LayTable[[#This Row],[LayLiability]])</f>
        <v/>
      </c>
      <c r="R8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3" s="47" t="str">
        <f>IF(LayTable[[#This Row],[Utfall bookie]]="","",LayTable[[#This Row],[WBABack]]+LayTable[[#This Row],[WBALay]]-LayTable[[#This Row],[Total inns]])</f>
        <v/>
      </c>
      <c r="U8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3" s="48" t="str">
        <f>IFERROR(IF(LayTable[[#This Row],[Total inns]]="","",LayTable[[#This Row],[Rback]]/LayTable[[#This Row],[Total inns]]),"")</f>
        <v/>
      </c>
      <c r="X833" s="48" t="str">
        <f>IFERROR(IF(LayTable[[#This Row],[Total inns]]="","",LayTable[[#This Row],[Rlay]]/LayTable[[#This Row],[Total inns]]),"")</f>
        <v/>
      </c>
      <c r="Y833" s="48" t="str">
        <f>IFERROR(LayTable[[#This Row],[Faktisk res]]/LayTable[[#This Row],[Total inns]],"")</f>
        <v/>
      </c>
      <c r="Z833" s="47">
        <f>(LayTable[[#This Row],[BookieInnsats]]*LayTable[[#This Row],[BookieOdds]]-LayTable[[#This Row],[BookieInnsats]])*(1-LayTable[[#This Row],[C% Bookie]])</f>
        <v>0</v>
      </c>
      <c r="AA833" s="43">
        <f>LayTable[[#This Row],[LayInnsats]]*(1-LayTable[[#This Row],[C% Lay]])</f>
        <v>0</v>
      </c>
      <c r="AB833" s="43" t="str">
        <f>IFERROR(IF(LayTable[[#This Row],[Sport]]="",AB832,LayTable[[#This Row],[Faktisk res]]+AB832),"")</f>
        <v/>
      </c>
      <c r="AC833" s="43">
        <f>(LayTable[[#This Row],[BackWin-Commission]]+LayTable[[#This Row],[BookieInnsats]])</f>
        <v>0</v>
      </c>
      <c r="AD833" s="43" t="e">
        <f>(LayTable[[#This Row],[LayWin-Commission]])+LayTable[[#This Row],[LayLiability]]</f>
        <v>#VALUE!</v>
      </c>
      <c r="AE833" s="43"/>
      <c r="AF833" s="183"/>
    </row>
    <row r="834" spans="1:32">
      <c r="A834" s="84"/>
      <c r="B834" s="39"/>
      <c r="C834" s="40"/>
      <c r="D834" s="41"/>
      <c r="E834" s="40"/>
      <c r="F834" s="41"/>
      <c r="G834" s="183"/>
      <c r="H834" s="38"/>
      <c r="I834" s="42"/>
      <c r="J834" s="42"/>
      <c r="K834" s="43"/>
      <c r="L834" s="43"/>
      <c r="M834" s="44" t="str">
        <f>IF(LayTable[[#This Row],[Sport]]="","",LayTable[[#This Row],[LayInnsats]]*(LayTable[[#This Row],[LayOdds]]-1))</f>
        <v/>
      </c>
      <c r="N834" s="45" t="str">
        <f>IF(LayTable[[#This Row],[Sport]]="","",1/((1/LayTable[[#This Row],[BookieOdds]])+(1/((1/((1+((LayTable[[#This Row],[LayOdds]]-1)*(1+LayTable[[#This Row],[C% Lay]])))-1))+1)))-1)</f>
        <v/>
      </c>
      <c r="Q834" s="46" t="str">
        <f>IF(LayTable[[#This Row],[Sport]]="","",LayTable[[#This Row],[BookieInnsats]]+LayTable[[#This Row],[LayLiability]])</f>
        <v/>
      </c>
      <c r="R8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4" s="47" t="str">
        <f>IF(LayTable[[#This Row],[Utfall bookie]]="","",LayTable[[#This Row],[WBABack]]+LayTable[[#This Row],[WBALay]]-LayTable[[#This Row],[Total inns]])</f>
        <v/>
      </c>
      <c r="U8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4" s="48" t="str">
        <f>IFERROR(IF(LayTable[[#This Row],[Total inns]]="","",LayTable[[#This Row],[Rback]]/LayTable[[#This Row],[Total inns]]),"")</f>
        <v/>
      </c>
      <c r="X834" s="48" t="str">
        <f>IFERROR(IF(LayTable[[#This Row],[Total inns]]="","",LayTable[[#This Row],[Rlay]]/LayTable[[#This Row],[Total inns]]),"")</f>
        <v/>
      </c>
      <c r="Y834" s="48" t="str">
        <f>IFERROR(LayTable[[#This Row],[Faktisk res]]/LayTable[[#This Row],[Total inns]],"")</f>
        <v/>
      </c>
      <c r="Z834" s="47">
        <f>(LayTable[[#This Row],[BookieInnsats]]*LayTable[[#This Row],[BookieOdds]]-LayTable[[#This Row],[BookieInnsats]])*(1-LayTable[[#This Row],[C% Bookie]])</f>
        <v>0</v>
      </c>
      <c r="AA834" s="43">
        <f>LayTable[[#This Row],[LayInnsats]]*(1-LayTable[[#This Row],[C% Lay]])</f>
        <v>0</v>
      </c>
      <c r="AB834" s="43" t="str">
        <f>IFERROR(IF(LayTable[[#This Row],[Sport]]="",AB833,LayTable[[#This Row],[Faktisk res]]+AB833),"")</f>
        <v/>
      </c>
      <c r="AC834" s="43">
        <f>(LayTable[[#This Row],[BackWin-Commission]]+LayTable[[#This Row],[BookieInnsats]])</f>
        <v>0</v>
      </c>
      <c r="AD834" s="43" t="e">
        <f>(LayTable[[#This Row],[LayWin-Commission]])+LayTable[[#This Row],[LayLiability]]</f>
        <v>#VALUE!</v>
      </c>
      <c r="AE834" s="43"/>
      <c r="AF834" s="183"/>
    </row>
    <row r="835" spans="1:32">
      <c r="A835" s="84"/>
      <c r="B835" s="39"/>
      <c r="C835" s="40"/>
      <c r="D835" s="41"/>
      <c r="E835" s="40"/>
      <c r="F835" s="41"/>
      <c r="G835" s="183"/>
      <c r="H835" s="38"/>
      <c r="I835" s="42"/>
      <c r="J835" s="42"/>
      <c r="K835" s="43"/>
      <c r="L835" s="43"/>
      <c r="M835" s="44" t="str">
        <f>IF(LayTable[[#This Row],[Sport]]="","",LayTable[[#This Row],[LayInnsats]]*(LayTable[[#This Row],[LayOdds]]-1))</f>
        <v/>
      </c>
      <c r="N835" s="45" t="str">
        <f>IF(LayTable[[#This Row],[Sport]]="","",1/((1/LayTable[[#This Row],[BookieOdds]])+(1/((1/((1+((LayTable[[#This Row],[LayOdds]]-1)*(1+LayTable[[#This Row],[C% Lay]])))-1))+1)))-1)</f>
        <v/>
      </c>
      <c r="Q835" s="46" t="str">
        <f>IF(LayTable[[#This Row],[Sport]]="","",LayTable[[#This Row],[BookieInnsats]]+LayTable[[#This Row],[LayLiability]])</f>
        <v/>
      </c>
      <c r="R8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5" s="47" t="str">
        <f>IF(LayTable[[#This Row],[Utfall bookie]]="","",LayTable[[#This Row],[WBABack]]+LayTable[[#This Row],[WBALay]]-LayTable[[#This Row],[Total inns]])</f>
        <v/>
      </c>
      <c r="U8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5" s="48" t="str">
        <f>IFERROR(IF(LayTable[[#This Row],[Total inns]]="","",LayTable[[#This Row],[Rback]]/LayTable[[#This Row],[Total inns]]),"")</f>
        <v/>
      </c>
      <c r="X835" s="48" t="str">
        <f>IFERROR(IF(LayTable[[#This Row],[Total inns]]="","",LayTable[[#This Row],[Rlay]]/LayTable[[#This Row],[Total inns]]),"")</f>
        <v/>
      </c>
      <c r="Y835" s="48" t="str">
        <f>IFERROR(LayTable[[#This Row],[Faktisk res]]/LayTable[[#This Row],[Total inns]],"")</f>
        <v/>
      </c>
      <c r="Z835" s="47">
        <f>(LayTable[[#This Row],[BookieInnsats]]*LayTable[[#This Row],[BookieOdds]]-LayTable[[#This Row],[BookieInnsats]])*(1-LayTable[[#This Row],[C% Bookie]])</f>
        <v>0</v>
      </c>
      <c r="AA835" s="43">
        <f>LayTable[[#This Row],[LayInnsats]]*(1-LayTable[[#This Row],[C% Lay]])</f>
        <v>0</v>
      </c>
      <c r="AB835" s="43" t="str">
        <f>IFERROR(IF(LayTable[[#This Row],[Sport]]="",AB834,LayTable[[#This Row],[Faktisk res]]+AB834),"")</f>
        <v/>
      </c>
      <c r="AC835" s="43">
        <f>(LayTable[[#This Row],[BackWin-Commission]]+LayTable[[#This Row],[BookieInnsats]])</f>
        <v>0</v>
      </c>
      <c r="AD835" s="43" t="e">
        <f>(LayTable[[#This Row],[LayWin-Commission]])+LayTable[[#This Row],[LayLiability]]</f>
        <v>#VALUE!</v>
      </c>
      <c r="AE835" s="43"/>
      <c r="AF835" s="183"/>
    </row>
    <row r="836" spans="1:32">
      <c r="A836" s="84"/>
      <c r="B836" s="39"/>
      <c r="C836" s="40"/>
      <c r="D836" s="41"/>
      <c r="E836" s="40"/>
      <c r="F836" s="41"/>
      <c r="G836" s="183"/>
      <c r="H836" s="38"/>
      <c r="I836" s="42"/>
      <c r="J836" s="42"/>
      <c r="K836" s="43"/>
      <c r="L836" s="43"/>
      <c r="M836" s="44" t="str">
        <f>IF(LayTable[[#This Row],[Sport]]="","",LayTable[[#This Row],[LayInnsats]]*(LayTable[[#This Row],[LayOdds]]-1))</f>
        <v/>
      </c>
      <c r="N836" s="45" t="str">
        <f>IF(LayTable[[#This Row],[Sport]]="","",1/((1/LayTable[[#This Row],[BookieOdds]])+(1/((1/((1+((LayTable[[#This Row],[LayOdds]]-1)*(1+LayTable[[#This Row],[C% Lay]])))-1))+1)))-1)</f>
        <v/>
      </c>
      <c r="Q836" s="46" t="str">
        <f>IF(LayTable[[#This Row],[Sport]]="","",LayTable[[#This Row],[BookieInnsats]]+LayTable[[#This Row],[LayLiability]])</f>
        <v/>
      </c>
      <c r="R8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6" s="47" t="str">
        <f>IF(LayTable[[#This Row],[Utfall bookie]]="","",LayTable[[#This Row],[WBABack]]+LayTable[[#This Row],[WBALay]]-LayTable[[#This Row],[Total inns]])</f>
        <v/>
      </c>
      <c r="U8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6" s="48" t="str">
        <f>IFERROR(IF(LayTable[[#This Row],[Total inns]]="","",LayTable[[#This Row],[Rback]]/LayTable[[#This Row],[Total inns]]),"")</f>
        <v/>
      </c>
      <c r="X836" s="48" t="str">
        <f>IFERROR(IF(LayTable[[#This Row],[Total inns]]="","",LayTable[[#This Row],[Rlay]]/LayTable[[#This Row],[Total inns]]),"")</f>
        <v/>
      </c>
      <c r="Y836" s="48" t="str">
        <f>IFERROR(LayTable[[#This Row],[Faktisk res]]/LayTable[[#This Row],[Total inns]],"")</f>
        <v/>
      </c>
      <c r="Z836" s="47">
        <f>(LayTable[[#This Row],[BookieInnsats]]*LayTable[[#This Row],[BookieOdds]]-LayTable[[#This Row],[BookieInnsats]])*(1-LayTable[[#This Row],[C% Bookie]])</f>
        <v>0</v>
      </c>
      <c r="AA836" s="43">
        <f>LayTable[[#This Row],[LayInnsats]]*(1-LayTable[[#This Row],[C% Lay]])</f>
        <v>0</v>
      </c>
      <c r="AB836" s="43" t="str">
        <f>IFERROR(IF(LayTable[[#This Row],[Sport]]="",AB835,LayTable[[#This Row],[Faktisk res]]+AB835),"")</f>
        <v/>
      </c>
      <c r="AC836" s="43">
        <f>(LayTable[[#This Row],[BackWin-Commission]]+LayTable[[#This Row],[BookieInnsats]])</f>
        <v>0</v>
      </c>
      <c r="AD836" s="43" t="e">
        <f>(LayTable[[#This Row],[LayWin-Commission]])+LayTable[[#This Row],[LayLiability]]</f>
        <v>#VALUE!</v>
      </c>
      <c r="AE836" s="43"/>
      <c r="AF836" s="183"/>
    </row>
    <row r="837" spans="1:32">
      <c r="A837" s="84"/>
      <c r="B837" s="39"/>
      <c r="C837" s="40"/>
      <c r="D837" s="41"/>
      <c r="E837" s="40"/>
      <c r="F837" s="41"/>
      <c r="G837" s="183"/>
      <c r="H837" s="38"/>
      <c r="I837" s="42"/>
      <c r="J837" s="42"/>
      <c r="K837" s="43"/>
      <c r="L837" s="43"/>
      <c r="M837" s="44" t="str">
        <f>IF(LayTable[[#This Row],[Sport]]="","",LayTable[[#This Row],[LayInnsats]]*(LayTable[[#This Row],[LayOdds]]-1))</f>
        <v/>
      </c>
      <c r="N837" s="45" t="str">
        <f>IF(LayTable[[#This Row],[Sport]]="","",1/((1/LayTable[[#This Row],[BookieOdds]])+(1/((1/((1+((LayTable[[#This Row],[LayOdds]]-1)*(1+LayTable[[#This Row],[C% Lay]])))-1))+1)))-1)</f>
        <v/>
      </c>
      <c r="Q837" s="46" t="str">
        <f>IF(LayTable[[#This Row],[Sport]]="","",LayTable[[#This Row],[BookieInnsats]]+LayTable[[#This Row],[LayLiability]])</f>
        <v/>
      </c>
      <c r="R8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7" s="47" t="str">
        <f>IF(LayTable[[#This Row],[Utfall bookie]]="","",LayTable[[#This Row],[WBABack]]+LayTable[[#This Row],[WBALay]]-LayTable[[#This Row],[Total inns]])</f>
        <v/>
      </c>
      <c r="U8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7" s="48" t="str">
        <f>IFERROR(IF(LayTable[[#This Row],[Total inns]]="","",LayTable[[#This Row],[Rback]]/LayTable[[#This Row],[Total inns]]),"")</f>
        <v/>
      </c>
      <c r="X837" s="48" t="str">
        <f>IFERROR(IF(LayTable[[#This Row],[Total inns]]="","",LayTable[[#This Row],[Rlay]]/LayTable[[#This Row],[Total inns]]),"")</f>
        <v/>
      </c>
      <c r="Y837" s="48" t="str">
        <f>IFERROR(LayTable[[#This Row],[Faktisk res]]/LayTable[[#This Row],[Total inns]],"")</f>
        <v/>
      </c>
      <c r="Z837" s="47">
        <f>(LayTable[[#This Row],[BookieInnsats]]*LayTable[[#This Row],[BookieOdds]]-LayTable[[#This Row],[BookieInnsats]])*(1-LayTable[[#This Row],[C% Bookie]])</f>
        <v>0</v>
      </c>
      <c r="AA837" s="43">
        <f>LayTable[[#This Row],[LayInnsats]]*(1-LayTable[[#This Row],[C% Lay]])</f>
        <v>0</v>
      </c>
      <c r="AB837" s="43" t="str">
        <f>IFERROR(IF(LayTable[[#This Row],[Sport]]="",AB836,LayTable[[#This Row],[Faktisk res]]+AB836),"")</f>
        <v/>
      </c>
      <c r="AC837" s="43">
        <f>(LayTable[[#This Row],[BackWin-Commission]]+LayTable[[#This Row],[BookieInnsats]])</f>
        <v>0</v>
      </c>
      <c r="AD837" s="43" t="e">
        <f>(LayTable[[#This Row],[LayWin-Commission]])+LayTable[[#This Row],[LayLiability]]</f>
        <v>#VALUE!</v>
      </c>
      <c r="AE837" s="43"/>
      <c r="AF837" s="183"/>
    </row>
    <row r="838" spans="1:32">
      <c r="A838" s="84"/>
      <c r="B838" s="39"/>
      <c r="C838" s="40"/>
      <c r="D838" s="41"/>
      <c r="E838" s="40"/>
      <c r="F838" s="41"/>
      <c r="G838" s="183"/>
      <c r="H838" s="38"/>
      <c r="I838" s="42"/>
      <c r="J838" s="42"/>
      <c r="K838" s="43"/>
      <c r="L838" s="43"/>
      <c r="M838" s="44" t="str">
        <f>IF(LayTable[[#This Row],[Sport]]="","",LayTable[[#This Row],[LayInnsats]]*(LayTable[[#This Row],[LayOdds]]-1))</f>
        <v/>
      </c>
      <c r="N838" s="45" t="str">
        <f>IF(LayTable[[#This Row],[Sport]]="","",1/((1/LayTable[[#This Row],[BookieOdds]])+(1/((1/((1+((LayTable[[#This Row],[LayOdds]]-1)*(1+LayTable[[#This Row],[C% Lay]])))-1))+1)))-1)</f>
        <v/>
      </c>
      <c r="Q838" s="46" t="str">
        <f>IF(LayTable[[#This Row],[Sport]]="","",LayTable[[#This Row],[BookieInnsats]]+LayTable[[#This Row],[LayLiability]])</f>
        <v/>
      </c>
      <c r="R8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8" s="47" t="str">
        <f>IF(LayTable[[#This Row],[Utfall bookie]]="","",LayTable[[#This Row],[WBABack]]+LayTable[[#This Row],[WBALay]]-LayTable[[#This Row],[Total inns]])</f>
        <v/>
      </c>
      <c r="U8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8" s="48" t="str">
        <f>IFERROR(IF(LayTable[[#This Row],[Total inns]]="","",LayTable[[#This Row],[Rback]]/LayTable[[#This Row],[Total inns]]),"")</f>
        <v/>
      </c>
      <c r="X838" s="48" t="str">
        <f>IFERROR(IF(LayTable[[#This Row],[Total inns]]="","",LayTable[[#This Row],[Rlay]]/LayTable[[#This Row],[Total inns]]),"")</f>
        <v/>
      </c>
      <c r="Y838" s="48" t="str">
        <f>IFERROR(LayTable[[#This Row],[Faktisk res]]/LayTable[[#This Row],[Total inns]],"")</f>
        <v/>
      </c>
      <c r="Z838" s="47">
        <f>(LayTable[[#This Row],[BookieInnsats]]*LayTable[[#This Row],[BookieOdds]]-LayTable[[#This Row],[BookieInnsats]])*(1-LayTable[[#This Row],[C% Bookie]])</f>
        <v>0</v>
      </c>
      <c r="AA838" s="43">
        <f>LayTable[[#This Row],[LayInnsats]]*(1-LayTable[[#This Row],[C% Lay]])</f>
        <v>0</v>
      </c>
      <c r="AB838" s="43" t="str">
        <f>IFERROR(IF(LayTable[[#This Row],[Sport]]="",AB837,LayTable[[#This Row],[Faktisk res]]+AB837),"")</f>
        <v/>
      </c>
      <c r="AC838" s="43">
        <f>(LayTable[[#This Row],[BackWin-Commission]]+LayTable[[#This Row],[BookieInnsats]])</f>
        <v>0</v>
      </c>
      <c r="AD838" s="43" t="e">
        <f>(LayTable[[#This Row],[LayWin-Commission]])+LayTable[[#This Row],[LayLiability]]</f>
        <v>#VALUE!</v>
      </c>
      <c r="AE838" s="43"/>
      <c r="AF838" s="183"/>
    </row>
    <row r="839" spans="1:32">
      <c r="A839" s="84"/>
      <c r="B839" s="39"/>
      <c r="C839" s="40"/>
      <c r="D839" s="41"/>
      <c r="E839" s="40"/>
      <c r="F839" s="41"/>
      <c r="G839" s="183"/>
      <c r="H839" s="38"/>
      <c r="I839" s="42"/>
      <c r="J839" s="42"/>
      <c r="K839" s="43"/>
      <c r="L839" s="43"/>
      <c r="M839" s="44" t="str">
        <f>IF(LayTable[[#This Row],[Sport]]="","",LayTable[[#This Row],[LayInnsats]]*(LayTable[[#This Row],[LayOdds]]-1))</f>
        <v/>
      </c>
      <c r="N839" s="45" t="str">
        <f>IF(LayTable[[#This Row],[Sport]]="","",1/((1/LayTable[[#This Row],[BookieOdds]])+(1/((1/((1+((LayTable[[#This Row],[LayOdds]]-1)*(1+LayTable[[#This Row],[C% Lay]])))-1))+1)))-1)</f>
        <v/>
      </c>
      <c r="Q839" s="46" t="str">
        <f>IF(LayTable[[#This Row],[Sport]]="","",LayTable[[#This Row],[BookieInnsats]]+LayTable[[#This Row],[LayLiability]])</f>
        <v/>
      </c>
      <c r="R8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39" s="47" t="str">
        <f>IF(LayTable[[#This Row],[Utfall bookie]]="","",LayTable[[#This Row],[WBABack]]+LayTable[[#This Row],[WBALay]]-LayTable[[#This Row],[Total inns]])</f>
        <v/>
      </c>
      <c r="U8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39" s="48" t="str">
        <f>IFERROR(IF(LayTable[[#This Row],[Total inns]]="","",LayTable[[#This Row],[Rback]]/LayTable[[#This Row],[Total inns]]),"")</f>
        <v/>
      </c>
      <c r="X839" s="48" t="str">
        <f>IFERROR(IF(LayTable[[#This Row],[Total inns]]="","",LayTable[[#This Row],[Rlay]]/LayTable[[#This Row],[Total inns]]),"")</f>
        <v/>
      </c>
      <c r="Y839" s="48" t="str">
        <f>IFERROR(LayTable[[#This Row],[Faktisk res]]/LayTable[[#This Row],[Total inns]],"")</f>
        <v/>
      </c>
      <c r="Z839" s="47">
        <f>(LayTable[[#This Row],[BookieInnsats]]*LayTable[[#This Row],[BookieOdds]]-LayTable[[#This Row],[BookieInnsats]])*(1-LayTable[[#This Row],[C% Bookie]])</f>
        <v>0</v>
      </c>
      <c r="AA839" s="43">
        <f>LayTable[[#This Row],[LayInnsats]]*(1-LayTable[[#This Row],[C% Lay]])</f>
        <v>0</v>
      </c>
      <c r="AB839" s="43" t="str">
        <f>IFERROR(IF(LayTable[[#This Row],[Sport]]="",AB838,LayTable[[#This Row],[Faktisk res]]+AB838),"")</f>
        <v/>
      </c>
      <c r="AC839" s="43">
        <f>(LayTable[[#This Row],[BackWin-Commission]]+LayTable[[#This Row],[BookieInnsats]])</f>
        <v>0</v>
      </c>
      <c r="AD839" s="43" t="e">
        <f>(LayTable[[#This Row],[LayWin-Commission]])+LayTable[[#This Row],[LayLiability]]</f>
        <v>#VALUE!</v>
      </c>
      <c r="AE839" s="43"/>
      <c r="AF839" s="183"/>
    </row>
    <row r="840" spans="1:32">
      <c r="A840" s="84"/>
      <c r="B840" s="39"/>
      <c r="C840" s="40"/>
      <c r="D840" s="41"/>
      <c r="E840" s="40"/>
      <c r="F840" s="41"/>
      <c r="G840" s="183"/>
      <c r="H840" s="38"/>
      <c r="I840" s="42"/>
      <c r="J840" s="42"/>
      <c r="K840" s="43"/>
      <c r="L840" s="43"/>
      <c r="M840" s="44" t="str">
        <f>IF(LayTable[[#This Row],[Sport]]="","",LayTable[[#This Row],[LayInnsats]]*(LayTable[[#This Row],[LayOdds]]-1))</f>
        <v/>
      </c>
      <c r="N840" s="45" t="str">
        <f>IF(LayTable[[#This Row],[Sport]]="","",1/((1/LayTable[[#This Row],[BookieOdds]])+(1/((1/((1+((LayTable[[#This Row],[LayOdds]]-1)*(1+LayTable[[#This Row],[C% Lay]])))-1))+1)))-1)</f>
        <v/>
      </c>
      <c r="Q840" s="46" t="str">
        <f>IF(LayTable[[#This Row],[Sport]]="","",LayTable[[#This Row],[BookieInnsats]]+LayTable[[#This Row],[LayLiability]])</f>
        <v/>
      </c>
      <c r="R8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0" s="47" t="str">
        <f>IF(LayTable[[#This Row],[Utfall bookie]]="","",LayTable[[#This Row],[WBABack]]+LayTable[[#This Row],[WBALay]]-LayTable[[#This Row],[Total inns]])</f>
        <v/>
      </c>
      <c r="U8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0" s="48" t="str">
        <f>IFERROR(IF(LayTable[[#This Row],[Total inns]]="","",LayTable[[#This Row],[Rback]]/LayTable[[#This Row],[Total inns]]),"")</f>
        <v/>
      </c>
      <c r="X840" s="48" t="str">
        <f>IFERROR(IF(LayTable[[#This Row],[Total inns]]="","",LayTable[[#This Row],[Rlay]]/LayTable[[#This Row],[Total inns]]),"")</f>
        <v/>
      </c>
      <c r="Y840" s="48" t="str">
        <f>IFERROR(LayTable[[#This Row],[Faktisk res]]/LayTable[[#This Row],[Total inns]],"")</f>
        <v/>
      </c>
      <c r="Z840" s="47">
        <f>(LayTable[[#This Row],[BookieInnsats]]*LayTable[[#This Row],[BookieOdds]]-LayTable[[#This Row],[BookieInnsats]])*(1-LayTable[[#This Row],[C% Bookie]])</f>
        <v>0</v>
      </c>
      <c r="AA840" s="43">
        <f>LayTable[[#This Row],[LayInnsats]]*(1-LayTable[[#This Row],[C% Lay]])</f>
        <v>0</v>
      </c>
      <c r="AB840" s="43" t="str">
        <f>IFERROR(IF(LayTable[[#This Row],[Sport]]="",AB839,LayTable[[#This Row],[Faktisk res]]+AB839),"")</f>
        <v/>
      </c>
      <c r="AC840" s="43">
        <f>(LayTable[[#This Row],[BackWin-Commission]]+LayTable[[#This Row],[BookieInnsats]])</f>
        <v>0</v>
      </c>
      <c r="AD840" s="43" t="e">
        <f>(LayTable[[#This Row],[LayWin-Commission]])+LayTable[[#This Row],[LayLiability]]</f>
        <v>#VALUE!</v>
      </c>
      <c r="AE840" s="43"/>
      <c r="AF840" s="183"/>
    </row>
    <row r="841" spans="1:32">
      <c r="A841" s="84"/>
      <c r="B841" s="39"/>
      <c r="C841" s="40"/>
      <c r="D841" s="41"/>
      <c r="E841" s="40"/>
      <c r="F841" s="41"/>
      <c r="G841" s="183"/>
      <c r="H841" s="38"/>
      <c r="I841" s="42"/>
      <c r="J841" s="42"/>
      <c r="K841" s="43"/>
      <c r="L841" s="43"/>
      <c r="M841" s="44" t="str">
        <f>IF(LayTable[[#This Row],[Sport]]="","",LayTable[[#This Row],[LayInnsats]]*(LayTable[[#This Row],[LayOdds]]-1))</f>
        <v/>
      </c>
      <c r="N841" s="45" t="str">
        <f>IF(LayTable[[#This Row],[Sport]]="","",1/((1/LayTable[[#This Row],[BookieOdds]])+(1/((1/((1+((LayTable[[#This Row],[LayOdds]]-1)*(1+LayTable[[#This Row],[C% Lay]])))-1))+1)))-1)</f>
        <v/>
      </c>
      <c r="Q841" s="46" t="str">
        <f>IF(LayTable[[#This Row],[Sport]]="","",LayTable[[#This Row],[BookieInnsats]]+LayTable[[#This Row],[LayLiability]])</f>
        <v/>
      </c>
      <c r="R8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1" s="47" t="str">
        <f>IF(LayTable[[#This Row],[Utfall bookie]]="","",LayTable[[#This Row],[WBABack]]+LayTable[[#This Row],[WBALay]]-LayTable[[#This Row],[Total inns]])</f>
        <v/>
      </c>
      <c r="U8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1" s="48" t="str">
        <f>IFERROR(IF(LayTable[[#This Row],[Total inns]]="","",LayTable[[#This Row],[Rback]]/LayTable[[#This Row],[Total inns]]),"")</f>
        <v/>
      </c>
      <c r="X841" s="48" t="str">
        <f>IFERROR(IF(LayTable[[#This Row],[Total inns]]="","",LayTable[[#This Row],[Rlay]]/LayTable[[#This Row],[Total inns]]),"")</f>
        <v/>
      </c>
      <c r="Y841" s="48" t="str">
        <f>IFERROR(LayTable[[#This Row],[Faktisk res]]/LayTable[[#This Row],[Total inns]],"")</f>
        <v/>
      </c>
      <c r="Z841" s="47">
        <f>(LayTable[[#This Row],[BookieInnsats]]*LayTable[[#This Row],[BookieOdds]]-LayTable[[#This Row],[BookieInnsats]])*(1-LayTable[[#This Row],[C% Bookie]])</f>
        <v>0</v>
      </c>
      <c r="AA841" s="43">
        <f>LayTable[[#This Row],[LayInnsats]]*(1-LayTable[[#This Row],[C% Lay]])</f>
        <v>0</v>
      </c>
      <c r="AB841" s="43" t="str">
        <f>IFERROR(IF(LayTable[[#This Row],[Sport]]="",AB840,LayTable[[#This Row],[Faktisk res]]+AB840),"")</f>
        <v/>
      </c>
      <c r="AC841" s="43">
        <f>(LayTable[[#This Row],[BackWin-Commission]]+LayTable[[#This Row],[BookieInnsats]])</f>
        <v>0</v>
      </c>
      <c r="AD841" s="43" t="e">
        <f>(LayTable[[#This Row],[LayWin-Commission]])+LayTable[[#This Row],[LayLiability]]</f>
        <v>#VALUE!</v>
      </c>
      <c r="AE841" s="43"/>
      <c r="AF841" s="183"/>
    </row>
    <row r="842" spans="1:32">
      <c r="A842" s="84"/>
      <c r="B842" s="39"/>
      <c r="C842" s="40"/>
      <c r="D842" s="41"/>
      <c r="E842" s="40"/>
      <c r="F842" s="41"/>
      <c r="G842" s="183"/>
      <c r="H842" s="38"/>
      <c r="I842" s="42"/>
      <c r="J842" s="42"/>
      <c r="K842" s="43"/>
      <c r="L842" s="43"/>
      <c r="M842" s="44" t="str">
        <f>IF(LayTable[[#This Row],[Sport]]="","",LayTable[[#This Row],[LayInnsats]]*(LayTable[[#This Row],[LayOdds]]-1))</f>
        <v/>
      </c>
      <c r="N842" s="45" t="str">
        <f>IF(LayTable[[#This Row],[Sport]]="","",1/((1/LayTable[[#This Row],[BookieOdds]])+(1/((1/((1+((LayTable[[#This Row],[LayOdds]]-1)*(1+LayTable[[#This Row],[C% Lay]])))-1))+1)))-1)</f>
        <v/>
      </c>
      <c r="Q842" s="46" t="str">
        <f>IF(LayTable[[#This Row],[Sport]]="","",LayTable[[#This Row],[BookieInnsats]]+LayTable[[#This Row],[LayLiability]])</f>
        <v/>
      </c>
      <c r="R8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2" s="47" t="str">
        <f>IF(LayTable[[#This Row],[Utfall bookie]]="","",LayTable[[#This Row],[WBABack]]+LayTable[[#This Row],[WBALay]]-LayTable[[#This Row],[Total inns]])</f>
        <v/>
      </c>
      <c r="U8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2" s="48" t="str">
        <f>IFERROR(IF(LayTable[[#This Row],[Total inns]]="","",LayTable[[#This Row],[Rback]]/LayTable[[#This Row],[Total inns]]),"")</f>
        <v/>
      </c>
      <c r="X842" s="48" t="str">
        <f>IFERROR(IF(LayTable[[#This Row],[Total inns]]="","",LayTable[[#This Row],[Rlay]]/LayTable[[#This Row],[Total inns]]),"")</f>
        <v/>
      </c>
      <c r="Y842" s="48" t="str">
        <f>IFERROR(LayTable[[#This Row],[Faktisk res]]/LayTable[[#This Row],[Total inns]],"")</f>
        <v/>
      </c>
      <c r="Z842" s="47">
        <f>(LayTable[[#This Row],[BookieInnsats]]*LayTable[[#This Row],[BookieOdds]]-LayTable[[#This Row],[BookieInnsats]])*(1-LayTable[[#This Row],[C% Bookie]])</f>
        <v>0</v>
      </c>
      <c r="AA842" s="43">
        <f>LayTable[[#This Row],[LayInnsats]]*(1-LayTable[[#This Row],[C% Lay]])</f>
        <v>0</v>
      </c>
      <c r="AB842" s="43" t="str">
        <f>IFERROR(IF(LayTable[[#This Row],[Sport]]="",AB841,LayTable[[#This Row],[Faktisk res]]+AB841),"")</f>
        <v/>
      </c>
      <c r="AC842" s="43">
        <f>(LayTable[[#This Row],[BackWin-Commission]]+LayTable[[#This Row],[BookieInnsats]])</f>
        <v>0</v>
      </c>
      <c r="AD842" s="43" t="e">
        <f>(LayTable[[#This Row],[LayWin-Commission]])+LayTable[[#This Row],[LayLiability]]</f>
        <v>#VALUE!</v>
      </c>
      <c r="AE842" s="43"/>
      <c r="AF842" s="183"/>
    </row>
    <row r="843" spans="1:32">
      <c r="A843" s="84"/>
      <c r="B843" s="39"/>
      <c r="C843" s="40"/>
      <c r="D843" s="41"/>
      <c r="E843" s="40"/>
      <c r="F843" s="41"/>
      <c r="G843" s="183"/>
      <c r="H843" s="38"/>
      <c r="I843" s="42"/>
      <c r="J843" s="42"/>
      <c r="K843" s="43"/>
      <c r="L843" s="43"/>
      <c r="M843" s="44" t="str">
        <f>IF(LayTable[[#This Row],[Sport]]="","",LayTable[[#This Row],[LayInnsats]]*(LayTable[[#This Row],[LayOdds]]-1))</f>
        <v/>
      </c>
      <c r="N843" s="45" t="str">
        <f>IF(LayTable[[#This Row],[Sport]]="","",1/((1/LayTable[[#This Row],[BookieOdds]])+(1/((1/((1+((LayTable[[#This Row],[LayOdds]]-1)*(1+LayTable[[#This Row],[C% Lay]])))-1))+1)))-1)</f>
        <v/>
      </c>
      <c r="Q843" s="46" t="str">
        <f>IF(LayTable[[#This Row],[Sport]]="","",LayTable[[#This Row],[BookieInnsats]]+LayTable[[#This Row],[LayLiability]])</f>
        <v/>
      </c>
      <c r="R8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3" s="47" t="str">
        <f>IF(LayTable[[#This Row],[Utfall bookie]]="","",LayTable[[#This Row],[WBABack]]+LayTable[[#This Row],[WBALay]]-LayTable[[#This Row],[Total inns]])</f>
        <v/>
      </c>
      <c r="U8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3" s="48" t="str">
        <f>IFERROR(IF(LayTable[[#This Row],[Total inns]]="","",LayTable[[#This Row],[Rback]]/LayTable[[#This Row],[Total inns]]),"")</f>
        <v/>
      </c>
      <c r="X843" s="48" t="str">
        <f>IFERROR(IF(LayTable[[#This Row],[Total inns]]="","",LayTable[[#This Row],[Rlay]]/LayTable[[#This Row],[Total inns]]),"")</f>
        <v/>
      </c>
      <c r="Y843" s="48" t="str">
        <f>IFERROR(LayTable[[#This Row],[Faktisk res]]/LayTable[[#This Row],[Total inns]],"")</f>
        <v/>
      </c>
      <c r="Z843" s="47">
        <f>(LayTable[[#This Row],[BookieInnsats]]*LayTable[[#This Row],[BookieOdds]]-LayTable[[#This Row],[BookieInnsats]])*(1-LayTable[[#This Row],[C% Bookie]])</f>
        <v>0</v>
      </c>
      <c r="AA843" s="43">
        <f>LayTable[[#This Row],[LayInnsats]]*(1-LayTable[[#This Row],[C% Lay]])</f>
        <v>0</v>
      </c>
      <c r="AB843" s="43" t="str">
        <f>IFERROR(IF(LayTable[[#This Row],[Sport]]="",AB842,LayTable[[#This Row],[Faktisk res]]+AB842),"")</f>
        <v/>
      </c>
      <c r="AC843" s="43">
        <f>(LayTable[[#This Row],[BackWin-Commission]]+LayTable[[#This Row],[BookieInnsats]])</f>
        <v>0</v>
      </c>
      <c r="AD843" s="43" t="e">
        <f>(LayTable[[#This Row],[LayWin-Commission]])+LayTable[[#This Row],[LayLiability]]</f>
        <v>#VALUE!</v>
      </c>
      <c r="AE843" s="43"/>
      <c r="AF843" s="183"/>
    </row>
    <row r="844" spans="1:32">
      <c r="A844" s="84"/>
      <c r="B844" s="39"/>
      <c r="C844" s="40"/>
      <c r="D844" s="41"/>
      <c r="E844" s="40"/>
      <c r="F844" s="41"/>
      <c r="G844" s="183"/>
      <c r="H844" s="38"/>
      <c r="I844" s="42"/>
      <c r="J844" s="42"/>
      <c r="K844" s="43"/>
      <c r="L844" s="43"/>
      <c r="M844" s="44" t="str">
        <f>IF(LayTable[[#This Row],[Sport]]="","",LayTable[[#This Row],[LayInnsats]]*(LayTable[[#This Row],[LayOdds]]-1))</f>
        <v/>
      </c>
      <c r="N844" s="45" t="str">
        <f>IF(LayTable[[#This Row],[Sport]]="","",1/((1/LayTable[[#This Row],[BookieOdds]])+(1/((1/((1+((LayTable[[#This Row],[LayOdds]]-1)*(1+LayTable[[#This Row],[C% Lay]])))-1))+1)))-1)</f>
        <v/>
      </c>
      <c r="Q844" s="46" t="str">
        <f>IF(LayTable[[#This Row],[Sport]]="","",LayTable[[#This Row],[BookieInnsats]]+LayTable[[#This Row],[LayLiability]])</f>
        <v/>
      </c>
      <c r="R8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4" s="47" t="str">
        <f>IF(LayTable[[#This Row],[Utfall bookie]]="","",LayTable[[#This Row],[WBABack]]+LayTable[[#This Row],[WBALay]]-LayTable[[#This Row],[Total inns]])</f>
        <v/>
      </c>
      <c r="U8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4" s="48" t="str">
        <f>IFERROR(IF(LayTable[[#This Row],[Total inns]]="","",LayTable[[#This Row],[Rback]]/LayTable[[#This Row],[Total inns]]),"")</f>
        <v/>
      </c>
      <c r="X844" s="48" t="str">
        <f>IFERROR(IF(LayTable[[#This Row],[Total inns]]="","",LayTable[[#This Row],[Rlay]]/LayTable[[#This Row],[Total inns]]),"")</f>
        <v/>
      </c>
      <c r="Y844" s="48" t="str">
        <f>IFERROR(LayTable[[#This Row],[Faktisk res]]/LayTable[[#This Row],[Total inns]],"")</f>
        <v/>
      </c>
      <c r="Z844" s="47">
        <f>(LayTable[[#This Row],[BookieInnsats]]*LayTable[[#This Row],[BookieOdds]]-LayTable[[#This Row],[BookieInnsats]])*(1-LayTable[[#This Row],[C% Bookie]])</f>
        <v>0</v>
      </c>
      <c r="AA844" s="43">
        <f>LayTable[[#This Row],[LayInnsats]]*(1-LayTable[[#This Row],[C% Lay]])</f>
        <v>0</v>
      </c>
      <c r="AB844" s="43" t="str">
        <f>IFERROR(IF(LayTable[[#This Row],[Sport]]="",AB843,LayTable[[#This Row],[Faktisk res]]+AB843),"")</f>
        <v/>
      </c>
      <c r="AC844" s="43">
        <f>(LayTable[[#This Row],[BackWin-Commission]]+LayTable[[#This Row],[BookieInnsats]])</f>
        <v>0</v>
      </c>
      <c r="AD844" s="43" t="e">
        <f>(LayTable[[#This Row],[LayWin-Commission]])+LayTable[[#This Row],[LayLiability]]</f>
        <v>#VALUE!</v>
      </c>
      <c r="AE844" s="43"/>
      <c r="AF844" s="183"/>
    </row>
    <row r="845" spans="1:32">
      <c r="A845" s="84"/>
      <c r="B845" s="39"/>
      <c r="C845" s="40"/>
      <c r="D845" s="41"/>
      <c r="E845" s="40"/>
      <c r="F845" s="41"/>
      <c r="G845" s="183"/>
      <c r="H845" s="38"/>
      <c r="I845" s="42"/>
      <c r="J845" s="42"/>
      <c r="K845" s="43"/>
      <c r="L845" s="43"/>
      <c r="M845" s="44" t="str">
        <f>IF(LayTable[[#This Row],[Sport]]="","",LayTable[[#This Row],[LayInnsats]]*(LayTable[[#This Row],[LayOdds]]-1))</f>
        <v/>
      </c>
      <c r="N845" s="45" t="str">
        <f>IF(LayTable[[#This Row],[Sport]]="","",1/((1/LayTable[[#This Row],[BookieOdds]])+(1/((1/((1+((LayTable[[#This Row],[LayOdds]]-1)*(1+LayTable[[#This Row],[C% Lay]])))-1))+1)))-1)</f>
        <v/>
      </c>
      <c r="Q845" s="46" t="str">
        <f>IF(LayTable[[#This Row],[Sport]]="","",LayTable[[#This Row],[BookieInnsats]]+LayTable[[#This Row],[LayLiability]])</f>
        <v/>
      </c>
      <c r="R8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5" s="47" t="str">
        <f>IF(LayTable[[#This Row],[Utfall bookie]]="","",LayTable[[#This Row],[WBABack]]+LayTable[[#This Row],[WBALay]]-LayTable[[#This Row],[Total inns]])</f>
        <v/>
      </c>
      <c r="U8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5" s="48" t="str">
        <f>IFERROR(IF(LayTable[[#This Row],[Total inns]]="","",LayTable[[#This Row],[Rback]]/LayTable[[#This Row],[Total inns]]),"")</f>
        <v/>
      </c>
      <c r="X845" s="48" t="str">
        <f>IFERROR(IF(LayTable[[#This Row],[Total inns]]="","",LayTable[[#This Row],[Rlay]]/LayTable[[#This Row],[Total inns]]),"")</f>
        <v/>
      </c>
      <c r="Y845" s="48" t="str">
        <f>IFERROR(LayTable[[#This Row],[Faktisk res]]/LayTable[[#This Row],[Total inns]],"")</f>
        <v/>
      </c>
      <c r="Z845" s="47">
        <f>(LayTable[[#This Row],[BookieInnsats]]*LayTable[[#This Row],[BookieOdds]]-LayTable[[#This Row],[BookieInnsats]])*(1-LayTable[[#This Row],[C% Bookie]])</f>
        <v>0</v>
      </c>
      <c r="AA845" s="43">
        <f>LayTable[[#This Row],[LayInnsats]]*(1-LayTable[[#This Row],[C% Lay]])</f>
        <v>0</v>
      </c>
      <c r="AB845" s="43" t="str">
        <f>IFERROR(IF(LayTable[[#This Row],[Sport]]="",AB844,LayTable[[#This Row],[Faktisk res]]+AB844),"")</f>
        <v/>
      </c>
      <c r="AC845" s="43">
        <f>(LayTable[[#This Row],[BackWin-Commission]]+LayTable[[#This Row],[BookieInnsats]])</f>
        <v>0</v>
      </c>
      <c r="AD845" s="43" t="e">
        <f>(LayTable[[#This Row],[LayWin-Commission]])+LayTable[[#This Row],[LayLiability]]</f>
        <v>#VALUE!</v>
      </c>
      <c r="AE845" s="43"/>
      <c r="AF845" s="183"/>
    </row>
    <row r="846" spans="1:32">
      <c r="A846" s="84"/>
      <c r="B846" s="39"/>
      <c r="C846" s="40"/>
      <c r="D846" s="41"/>
      <c r="E846" s="40"/>
      <c r="F846" s="41"/>
      <c r="G846" s="183"/>
      <c r="H846" s="38"/>
      <c r="I846" s="42"/>
      <c r="J846" s="42"/>
      <c r="K846" s="43"/>
      <c r="L846" s="43"/>
      <c r="M846" s="44" t="str">
        <f>IF(LayTable[[#This Row],[Sport]]="","",LayTable[[#This Row],[LayInnsats]]*(LayTable[[#This Row],[LayOdds]]-1))</f>
        <v/>
      </c>
      <c r="N846" s="45" t="str">
        <f>IF(LayTable[[#This Row],[Sport]]="","",1/((1/LayTable[[#This Row],[BookieOdds]])+(1/((1/((1+((LayTable[[#This Row],[LayOdds]]-1)*(1+LayTable[[#This Row],[C% Lay]])))-1))+1)))-1)</f>
        <v/>
      </c>
      <c r="Q846" s="46" t="str">
        <f>IF(LayTable[[#This Row],[Sport]]="","",LayTable[[#This Row],[BookieInnsats]]+LayTable[[#This Row],[LayLiability]])</f>
        <v/>
      </c>
      <c r="R8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6" s="47" t="str">
        <f>IF(LayTable[[#This Row],[Utfall bookie]]="","",LayTable[[#This Row],[WBABack]]+LayTable[[#This Row],[WBALay]]-LayTable[[#This Row],[Total inns]])</f>
        <v/>
      </c>
      <c r="U8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6" s="48" t="str">
        <f>IFERROR(IF(LayTable[[#This Row],[Total inns]]="","",LayTable[[#This Row],[Rback]]/LayTable[[#This Row],[Total inns]]),"")</f>
        <v/>
      </c>
      <c r="X846" s="48" t="str">
        <f>IFERROR(IF(LayTable[[#This Row],[Total inns]]="","",LayTable[[#This Row],[Rlay]]/LayTable[[#This Row],[Total inns]]),"")</f>
        <v/>
      </c>
      <c r="Y846" s="48" t="str">
        <f>IFERROR(LayTable[[#This Row],[Faktisk res]]/LayTable[[#This Row],[Total inns]],"")</f>
        <v/>
      </c>
      <c r="Z846" s="47">
        <f>(LayTable[[#This Row],[BookieInnsats]]*LayTable[[#This Row],[BookieOdds]]-LayTable[[#This Row],[BookieInnsats]])*(1-LayTable[[#This Row],[C% Bookie]])</f>
        <v>0</v>
      </c>
      <c r="AA846" s="43">
        <f>LayTable[[#This Row],[LayInnsats]]*(1-LayTable[[#This Row],[C% Lay]])</f>
        <v>0</v>
      </c>
      <c r="AB846" s="43" t="str">
        <f>IFERROR(IF(LayTable[[#This Row],[Sport]]="",AB845,LayTable[[#This Row],[Faktisk res]]+AB845),"")</f>
        <v/>
      </c>
      <c r="AC846" s="43">
        <f>(LayTable[[#This Row],[BackWin-Commission]]+LayTable[[#This Row],[BookieInnsats]])</f>
        <v>0</v>
      </c>
      <c r="AD846" s="43" t="e">
        <f>(LayTable[[#This Row],[LayWin-Commission]])+LayTable[[#This Row],[LayLiability]]</f>
        <v>#VALUE!</v>
      </c>
      <c r="AE846" s="43"/>
      <c r="AF846" s="183"/>
    </row>
    <row r="847" spans="1:32">
      <c r="A847" s="84"/>
      <c r="B847" s="39"/>
      <c r="C847" s="40"/>
      <c r="D847" s="41"/>
      <c r="E847" s="40"/>
      <c r="F847" s="41"/>
      <c r="G847" s="183"/>
      <c r="H847" s="38"/>
      <c r="I847" s="42"/>
      <c r="J847" s="42"/>
      <c r="K847" s="43"/>
      <c r="L847" s="43"/>
      <c r="M847" s="44" t="str">
        <f>IF(LayTable[[#This Row],[Sport]]="","",LayTable[[#This Row],[LayInnsats]]*(LayTable[[#This Row],[LayOdds]]-1))</f>
        <v/>
      </c>
      <c r="N847" s="45" t="str">
        <f>IF(LayTable[[#This Row],[Sport]]="","",1/((1/LayTable[[#This Row],[BookieOdds]])+(1/((1/((1+((LayTable[[#This Row],[LayOdds]]-1)*(1+LayTable[[#This Row],[C% Lay]])))-1))+1)))-1)</f>
        <v/>
      </c>
      <c r="Q847" s="46" t="str">
        <f>IF(LayTable[[#This Row],[Sport]]="","",LayTable[[#This Row],[BookieInnsats]]+LayTable[[#This Row],[LayLiability]])</f>
        <v/>
      </c>
      <c r="R8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7" s="47" t="str">
        <f>IF(LayTable[[#This Row],[Utfall bookie]]="","",LayTable[[#This Row],[WBABack]]+LayTable[[#This Row],[WBALay]]-LayTable[[#This Row],[Total inns]])</f>
        <v/>
      </c>
      <c r="U8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7" s="48" t="str">
        <f>IFERROR(IF(LayTable[[#This Row],[Total inns]]="","",LayTable[[#This Row],[Rback]]/LayTable[[#This Row],[Total inns]]),"")</f>
        <v/>
      </c>
      <c r="X847" s="48" t="str">
        <f>IFERROR(IF(LayTable[[#This Row],[Total inns]]="","",LayTable[[#This Row],[Rlay]]/LayTable[[#This Row],[Total inns]]),"")</f>
        <v/>
      </c>
      <c r="Y847" s="48" t="str">
        <f>IFERROR(LayTable[[#This Row],[Faktisk res]]/LayTable[[#This Row],[Total inns]],"")</f>
        <v/>
      </c>
      <c r="Z847" s="47">
        <f>(LayTable[[#This Row],[BookieInnsats]]*LayTable[[#This Row],[BookieOdds]]-LayTable[[#This Row],[BookieInnsats]])*(1-LayTable[[#This Row],[C% Bookie]])</f>
        <v>0</v>
      </c>
      <c r="AA847" s="43">
        <f>LayTable[[#This Row],[LayInnsats]]*(1-LayTable[[#This Row],[C% Lay]])</f>
        <v>0</v>
      </c>
      <c r="AB847" s="43" t="str">
        <f>IFERROR(IF(LayTable[[#This Row],[Sport]]="",AB846,LayTable[[#This Row],[Faktisk res]]+AB846),"")</f>
        <v/>
      </c>
      <c r="AC847" s="43">
        <f>(LayTable[[#This Row],[BackWin-Commission]]+LayTable[[#This Row],[BookieInnsats]])</f>
        <v>0</v>
      </c>
      <c r="AD847" s="43" t="e">
        <f>(LayTable[[#This Row],[LayWin-Commission]])+LayTable[[#This Row],[LayLiability]]</f>
        <v>#VALUE!</v>
      </c>
      <c r="AE847" s="43"/>
      <c r="AF847" s="183"/>
    </row>
    <row r="848" spans="1:32">
      <c r="A848" s="84"/>
      <c r="B848" s="39"/>
      <c r="C848" s="40"/>
      <c r="D848" s="41"/>
      <c r="E848" s="40"/>
      <c r="F848" s="41"/>
      <c r="G848" s="183"/>
      <c r="H848" s="38"/>
      <c r="I848" s="42"/>
      <c r="J848" s="42"/>
      <c r="K848" s="43"/>
      <c r="L848" s="43"/>
      <c r="M848" s="44" t="str">
        <f>IF(LayTable[[#This Row],[Sport]]="","",LayTable[[#This Row],[LayInnsats]]*(LayTable[[#This Row],[LayOdds]]-1))</f>
        <v/>
      </c>
      <c r="N848" s="45" t="str">
        <f>IF(LayTable[[#This Row],[Sport]]="","",1/((1/LayTable[[#This Row],[BookieOdds]])+(1/((1/((1+((LayTable[[#This Row],[LayOdds]]-1)*(1+LayTable[[#This Row],[C% Lay]])))-1))+1)))-1)</f>
        <v/>
      </c>
      <c r="Q848" s="46" t="str">
        <f>IF(LayTable[[#This Row],[Sport]]="","",LayTable[[#This Row],[BookieInnsats]]+LayTable[[#This Row],[LayLiability]])</f>
        <v/>
      </c>
      <c r="R8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8" s="47" t="str">
        <f>IF(LayTable[[#This Row],[Utfall bookie]]="","",LayTable[[#This Row],[WBABack]]+LayTable[[#This Row],[WBALay]]-LayTable[[#This Row],[Total inns]])</f>
        <v/>
      </c>
      <c r="U8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8" s="48" t="str">
        <f>IFERROR(IF(LayTable[[#This Row],[Total inns]]="","",LayTable[[#This Row],[Rback]]/LayTable[[#This Row],[Total inns]]),"")</f>
        <v/>
      </c>
      <c r="X848" s="48" t="str">
        <f>IFERROR(IF(LayTable[[#This Row],[Total inns]]="","",LayTable[[#This Row],[Rlay]]/LayTable[[#This Row],[Total inns]]),"")</f>
        <v/>
      </c>
      <c r="Y848" s="48" t="str">
        <f>IFERROR(LayTable[[#This Row],[Faktisk res]]/LayTable[[#This Row],[Total inns]],"")</f>
        <v/>
      </c>
      <c r="Z848" s="47">
        <f>(LayTable[[#This Row],[BookieInnsats]]*LayTable[[#This Row],[BookieOdds]]-LayTable[[#This Row],[BookieInnsats]])*(1-LayTable[[#This Row],[C% Bookie]])</f>
        <v>0</v>
      </c>
      <c r="AA848" s="43">
        <f>LayTable[[#This Row],[LayInnsats]]*(1-LayTable[[#This Row],[C% Lay]])</f>
        <v>0</v>
      </c>
      <c r="AB848" s="43" t="str">
        <f>IFERROR(IF(LayTable[[#This Row],[Sport]]="",AB847,LayTable[[#This Row],[Faktisk res]]+AB847),"")</f>
        <v/>
      </c>
      <c r="AC848" s="43">
        <f>(LayTable[[#This Row],[BackWin-Commission]]+LayTable[[#This Row],[BookieInnsats]])</f>
        <v>0</v>
      </c>
      <c r="AD848" s="43" t="e">
        <f>(LayTable[[#This Row],[LayWin-Commission]])+LayTable[[#This Row],[LayLiability]]</f>
        <v>#VALUE!</v>
      </c>
      <c r="AE848" s="43"/>
      <c r="AF848" s="183"/>
    </row>
    <row r="849" spans="1:32">
      <c r="A849" s="84"/>
      <c r="B849" s="39"/>
      <c r="C849" s="40"/>
      <c r="D849" s="41"/>
      <c r="E849" s="40"/>
      <c r="F849" s="41"/>
      <c r="G849" s="183"/>
      <c r="H849" s="38"/>
      <c r="I849" s="42"/>
      <c r="J849" s="42"/>
      <c r="K849" s="43"/>
      <c r="L849" s="43"/>
      <c r="M849" s="44" t="str">
        <f>IF(LayTable[[#This Row],[Sport]]="","",LayTable[[#This Row],[LayInnsats]]*(LayTable[[#This Row],[LayOdds]]-1))</f>
        <v/>
      </c>
      <c r="N849" s="45" t="str">
        <f>IF(LayTable[[#This Row],[Sport]]="","",1/((1/LayTable[[#This Row],[BookieOdds]])+(1/((1/((1+((LayTable[[#This Row],[LayOdds]]-1)*(1+LayTable[[#This Row],[C% Lay]])))-1))+1)))-1)</f>
        <v/>
      </c>
      <c r="Q849" s="46" t="str">
        <f>IF(LayTable[[#This Row],[Sport]]="","",LayTable[[#This Row],[BookieInnsats]]+LayTable[[#This Row],[LayLiability]])</f>
        <v/>
      </c>
      <c r="R8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49" s="47" t="str">
        <f>IF(LayTable[[#This Row],[Utfall bookie]]="","",LayTable[[#This Row],[WBABack]]+LayTable[[#This Row],[WBALay]]-LayTable[[#This Row],[Total inns]])</f>
        <v/>
      </c>
      <c r="U8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49" s="48" t="str">
        <f>IFERROR(IF(LayTable[[#This Row],[Total inns]]="","",LayTable[[#This Row],[Rback]]/LayTable[[#This Row],[Total inns]]),"")</f>
        <v/>
      </c>
      <c r="X849" s="48" t="str">
        <f>IFERROR(IF(LayTable[[#This Row],[Total inns]]="","",LayTable[[#This Row],[Rlay]]/LayTable[[#This Row],[Total inns]]),"")</f>
        <v/>
      </c>
      <c r="Y849" s="48" t="str">
        <f>IFERROR(LayTable[[#This Row],[Faktisk res]]/LayTable[[#This Row],[Total inns]],"")</f>
        <v/>
      </c>
      <c r="Z849" s="47">
        <f>(LayTable[[#This Row],[BookieInnsats]]*LayTable[[#This Row],[BookieOdds]]-LayTable[[#This Row],[BookieInnsats]])*(1-LayTable[[#This Row],[C% Bookie]])</f>
        <v>0</v>
      </c>
      <c r="AA849" s="43">
        <f>LayTable[[#This Row],[LayInnsats]]*(1-LayTable[[#This Row],[C% Lay]])</f>
        <v>0</v>
      </c>
      <c r="AB849" s="43" t="str">
        <f>IFERROR(IF(LayTable[[#This Row],[Sport]]="",AB848,LayTable[[#This Row],[Faktisk res]]+AB848),"")</f>
        <v/>
      </c>
      <c r="AC849" s="43">
        <f>(LayTable[[#This Row],[BackWin-Commission]]+LayTable[[#This Row],[BookieInnsats]])</f>
        <v>0</v>
      </c>
      <c r="AD849" s="43" t="e">
        <f>(LayTable[[#This Row],[LayWin-Commission]])+LayTable[[#This Row],[LayLiability]]</f>
        <v>#VALUE!</v>
      </c>
      <c r="AE849" s="43"/>
      <c r="AF849" s="183"/>
    </row>
    <row r="850" spans="1:32">
      <c r="A850" s="84"/>
      <c r="B850" s="39"/>
      <c r="C850" s="40"/>
      <c r="D850" s="41"/>
      <c r="E850" s="40"/>
      <c r="F850" s="41"/>
      <c r="G850" s="183"/>
      <c r="H850" s="38"/>
      <c r="I850" s="42"/>
      <c r="J850" s="42"/>
      <c r="K850" s="43"/>
      <c r="L850" s="43"/>
      <c r="M850" s="44" t="str">
        <f>IF(LayTable[[#This Row],[Sport]]="","",LayTable[[#This Row],[LayInnsats]]*(LayTable[[#This Row],[LayOdds]]-1))</f>
        <v/>
      </c>
      <c r="N850" s="45" t="str">
        <f>IF(LayTable[[#This Row],[Sport]]="","",1/((1/LayTable[[#This Row],[BookieOdds]])+(1/((1/((1+((LayTable[[#This Row],[LayOdds]]-1)*(1+LayTable[[#This Row],[C% Lay]])))-1))+1)))-1)</f>
        <v/>
      </c>
      <c r="Q850" s="46" t="str">
        <f>IF(LayTable[[#This Row],[Sport]]="","",LayTable[[#This Row],[BookieInnsats]]+LayTable[[#This Row],[LayLiability]])</f>
        <v/>
      </c>
      <c r="R8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0" s="47" t="str">
        <f>IF(LayTable[[#This Row],[Utfall bookie]]="","",LayTable[[#This Row],[WBABack]]+LayTable[[#This Row],[WBALay]]-LayTable[[#This Row],[Total inns]])</f>
        <v/>
      </c>
      <c r="U8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0" s="48" t="str">
        <f>IFERROR(IF(LayTable[[#This Row],[Total inns]]="","",LayTable[[#This Row],[Rback]]/LayTable[[#This Row],[Total inns]]),"")</f>
        <v/>
      </c>
      <c r="X850" s="48" t="str">
        <f>IFERROR(IF(LayTable[[#This Row],[Total inns]]="","",LayTable[[#This Row],[Rlay]]/LayTable[[#This Row],[Total inns]]),"")</f>
        <v/>
      </c>
      <c r="Y850" s="48" t="str">
        <f>IFERROR(LayTable[[#This Row],[Faktisk res]]/LayTable[[#This Row],[Total inns]],"")</f>
        <v/>
      </c>
      <c r="Z850" s="47">
        <f>(LayTable[[#This Row],[BookieInnsats]]*LayTable[[#This Row],[BookieOdds]]-LayTable[[#This Row],[BookieInnsats]])*(1-LayTable[[#This Row],[C% Bookie]])</f>
        <v>0</v>
      </c>
      <c r="AA850" s="43">
        <f>LayTable[[#This Row],[LayInnsats]]*(1-LayTable[[#This Row],[C% Lay]])</f>
        <v>0</v>
      </c>
      <c r="AB850" s="43" t="str">
        <f>IFERROR(IF(LayTable[[#This Row],[Sport]]="",AB849,LayTable[[#This Row],[Faktisk res]]+AB849),"")</f>
        <v/>
      </c>
      <c r="AC850" s="43">
        <f>(LayTable[[#This Row],[BackWin-Commission]]+LayTable[[#This Row],[BookieInnsats]])</f>
        <v>0</v>
      </c>
      <c r="AD850" s="43" t="e">
        <f>(LayTable[[#This Row],[LayWin-Commission]])+LayTable[[#This Row],[LayLiability]]</f>
        <v>#VALUE!</v>
      </c>
      <c r="AE850" s="43"/>
      <c r="AF850" s="183"/>
    </row>
    <row r="851" spans="1:32">
      <c r="A851" s="84"/>
      <c r="B851" s="39"/>
      <c r="C851" s="40"/>
      <c r="D851" s="41"/>
      <c r="E851" s="40"/>
      <c r="F851" s="41"/>
      <c r="G851" s="183"/>
      <c r="H851" s="38"/>
      <c r="I851" s="42"/>
      <c r="J851" s="42"/>
      <c r="K851" s="43"/>
      <c r="L851" s="43"/>
      <c r="M851" s="44" t="str">
        <f>IF(LayTable[[#This Row],[Sport]]="","",LayTable[[#This Row],[LayInnsats]]*(LayTable[[#This Row],[LayOdds]]-1))</f>
        <v/>
      </c>
      <c r="N851" s="45" t="str">
        <f>IF(LayTable[[#This Row],[Sport]]="","",1/((1/LayTable[[#This Row],[BookieOdds]])+(1/((1/((1+((LayTable[[#This Row],[LayOdds]]-1)*(1+LayTable[[#This Row],[C% Lay]])))-1))+1)))-1)</f>
        <v/>
      </c>
      <c r="Q851" s="46" t="str">
        <f>IF(LayTable[[#This Row],[Sport]]="","",LayTable[[#This Row],[BookieInnsats]]+LayTable[[#This Row],[LayLiability]])</f>
        <v/>
      </c>
      <c r="R8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1" s="47" t="str">
        <f>IF(LayTable[[#This Row],[Utfall bookie]]="","",LayTable[[#This Row],[WBABack]]+LayTable[[#This Row],[WBALay]]-LayTable[[#This Row],[Total inns]])</f>
        <v/>
      </c>
      <c r="U8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1" s="48" t="str">
        <f>IFERROR(IF(LayTable[[#This Row],[Total inns]]="","",LayTable[[#This Row],[Rback]]/LayTable[[#This Row],[Total inns]]),"")</f>
        <v/>
      </c>
      <c r="X851" s="48" t="str">
        <f>IFERROR(IF(LayTable[[#This Row],[Total inns]]="","",LayTable[[#This Row],[Rlay]]/LayTable[[#This Row],[Total inns]]),"")</f>
        <v/>
      </c>
      <c r="Y851" s="48" t="str">
        <f>IFERROR(LayTable[[#This Row],[Faktisk res]]/LayTable[[#This Row],[Total inns]],"")</f>
        <v/>
      </c>
      <c r="Z851" s="47">
        <f>(LayTable[[#This Row],[BookieInnsats]]*LayTable[[#This Row],[BookieOdds]]-LayTable[[#This Row],[BookieInnsats]])*(1-LayTable[[#This Row],[C% Bookie]])</f>
        <v>0</v>
      </c>
      <c r="AA851" s="43">
        <f>LayTable[[#This Row],[LayInnsats]]*(1-LayTable[[#This Row],[C% Lay]])</f>
        <v>0</v>
      </c>
      <c r="AB851" s="43" t="str">
        <f>IFERROR(IF(LayTable[[#This Row],[Sport]]="",AB850,LayTable[[#This Row],[Faktisk res]]+AB850),"")</f>
        <v/>
      </c>
      <c r="AC851" s="43">
        <f>(LayTable[[#This Row],[BackWin-Commission]]+LayTable[[#This Row],[BookieInnsats]])</f>
        <v>0</v>
      </c>
      <c r="AD851" s="43" t="e">
        <f>(LayTable[[#This Row],[LayWin-Commission]])+LayTable[[#This Row],[LayLiability]]</f>
        <v>#VALUE!</v>
      </c>
      <c r="AE851" s="43"/>
      <c r="AF851" s="183"/>
    </row>
    <row r="852" spans="1:32">
      <c r="A852" s="84"/>
      <c r="B852" s="39"/>
      <c r="C852" s="40"/>
      <c r="D852" s="41"/>
      <c r="E852" s="40"/>
      <c r="F852" s="41"/>
      <c r="G852" s="183"/>
      <c r="H852" s="38"/>
      <c r="I852" s="42"/>
      <c r="J852" s="42"/>
      <c r="K852" s="43"/>
      <c r="L852" s="43"/>
      <c r="M852" s="44" t="str">
        <f>IF(LayTable[[#This Row],[Sport]]="","",LayTable[[#This Row],[LayInnsats]]*(LayTable[[#This Row],[LayOdds]]-1))</f>
        <v/>
      </c>
      <c r="N852" s="45" t="str">
        <f>IF(LayTable[[#This Row],[Sport]]="","",1/((1/LayTable[[#This Row],[BookieOdds]])+(1/((1/((1+((LayTable[[#This Row],[LayOdds]]-1)*(1+LayTable[[#This Row],[C% Lay]])))-1))+1)))-1)</f>
        <v/>
      </c>
      <c r="Q852" s="46" t="str">
        <f>IF(LayTable[[#This Row],[Sport]]="","",LayTable[[#This Row],[BookieInnsats]]+LayTable[[#This Row],[LayLiability]])</f>
        <v/>
      </c>
      <c r="R8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2" s="47" t="str">
        <f>IF(LayTable[[#This Row],[Utfall bookie]]="","",LayTable[[#This Row],[WBABack]]+LayTable[[#This Row],[WBALay]]-LayTable[[#This Row],[Total inns]])</f>
        <v/>
      </c>
      <c r="U8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2" s="48" t="str">
        <f>IFERROR(IF(LayTable[[#This Row],[Total inns]]="","",LayTable[[#This Row],[Rback]]/LayTable[[#This Row],[Total inns]]),"")</f>
        <v/>
      </c>
      <c r="X852" s="48" t="str">
        <f>IFERROR(IF(LayTable[[#This Row],[Total inns]]="","",LayTable[[#This Row],[Rlay]]/LayTable[[#This Row],[Total inns]]),"")</f>
        <v/>
      </c>
      <c r="Y852" s="48" t="str">
        <f>IFERROR(LayTable[[#This Row],[Faktisk res]]/LayTable[[#This Row],[Total inns]],"")</f>
        <v/>
      </c>
      <c r="Z852" s="47">
        <f>(LayTable[[#This Row],[BookieInnsats]]*LayTable[[#This Row],[BookieOdds]]-LayTable[[#This Row],[BookieInnsats]])*(1-LayTable[[#This Row],[C% Bookie]])</f>
        <v>0</v>
      </c>
      <c r="AA852" s="43">
        <f>LayTable[[#This Row],[LayInnsats]]*(1-LayTable[[#This Row],[C% Lay]])</f>
        <v>0</v>
      </c>
      <c r="AB852" s="43" t="str">
        <f>IFERROR(IF(LayTable[[#This Row],[Sport]]="",AB851,LayTable[[#This Row],[Faktisk res]]+AB851),"")</f>
        <v/>
      </c>
      <c r="AC852" s="43">
        <f>(LayTable[[#This Row],[BackWin-Commission]]+LayTable[[#This Row],[BookieInnsats]])</f>
        <v>0</v>
      </c>
      <c r="AD852" s="43" t="e">
        <f>(LayTable[[#This Row],[LayWin-Commission]])+LayTable[[#This Row],[LayLiability]]</f>
        <v>#VALUE!</v>
      </c>
      <c r="AE852" s="43"/>
      <c r="AF852" s="183"/>
    </row>
    <row r="853" spans="1:32">
      <c r="A853" s="84"/>
      <c r="B853" s="39"/>
      <c r="C853" s="40"/>
      <c r="D853" s="41"/>
      <c r="E853" s="40"/>
      <c r="F853" s="41"/>
      <c r="G853" s="183"/>
      <c r="H853" s="38"/>
      <c r="I853" s="42"/>
      <c r="J853" s="42"/>
      <c r="K853" s="43"/>
      <c r="L853" s="43"/>
      <c r="M853" s="44" t="str">
        <f>IF(LayTable[[#This Row],[Sport]]="","",LayTable[[#This Row],[LayInnsats]]*(LayTable[[#This Row],[LayOdds]]-1))</f>
        <v/>
      </c>
      <c r="N853" s="45" t="str">
        <f>IF(LayTable[[#This Row],[Sport]]="","",1/((1/LayTable[[#This Row],[BookieOdds]])+(1/((1/((1+((LayTable[[#This Row],[LayOdds]]-1)*(1+LayTable[[#This Row],[C% Lay]])))-1))+1)))-1)</f>
        <v/>
      </c>
      <c r="Q853" s="46" t="str">
        <f>IF(LayTable[[#This Row],[Sport]]="","",LayTable[[#This Row],[BookieInnsats]]+LayTable[[#This Row],[LayLiability]])</f>
        <v/>
      </c>
      <c r="R8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3" s="47" t="str">
        <f>IF(LayTable[[#This Row],[Utfall bookie]]="","",LayTable[[#This Row],[WBABack]]+LayTable[[#This Row],[WBALay]]-LayTable[[#This Row],[Total inns]])</f>
        <v/>
      </c>
      <c r="U8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3" s="48" t="str">
        <f>IFERROR(IF(LayTable[[#This Row],[Total inns]]="","",LayTable[[#This Row],[Rback]]/LayTable[[#This Row],[Total inns]]),"")</f>
        <v/>
      </c>
      <c r="X853" s="48" t="str">
        <f>IFERROR(IF(LayTable[[#This Row],[Total inns]]="","",LayTable[[#This Row],[Rlay]]/LayTable[[#This Row],[Total inns]]),"")</f>
        <v/>
      </c>
      <c r="Y853" s="48" t="str">
        <f>IFERROR(LayTable[[#This Row],[Faktisk res]]/LayTable[[#This Row],[Total inns]],"")</f>
        <v/>
      </c>
      <c r="Z853" s="47">
        <f>(LayTable[[#This Row],[BookieInnsats]]*LayTable[[#This Row],[BookieOdds]]-LayTable[[#This Row],[BookieInnsats]])*(1-LayTable[[#This Row],[C% Bookie]])</f>
        <v>0</v>
      </c>
      <c r="AA853" s="43">
        <f>LayTable[[#This Row],[LayInnsats]]*(1-LayTable[[#This Row],[C% Lay]])</f>
        <v>0</v>
      </c>
      <c r="AB853" s="43" t="str">
        <f>IFERROR(IF(LayTable[[#This Row],[Sport]]="",AB852,LayTable[[#This Row],[Faktisk res]]+AB852),"")</f>
        <v/>
      </c>
      <c r="AC853" s="43">
        <f>(LayTable[[#This Row],[BackWin-Commission]]+LayTable[[#This Row],[BookieInnsats]])</f>
        <v>0</v>
      </c>
      <c r="AD853" s="43" t="e">
        <f>(LayTable[[#This Row],[LayWin-Commission]])+LayTable[[#This Row],[LayLiability]]</f>
        <v>#VALUE!</v>
      </c>
      <c r="AE853" s="43"/>
      <c r="AF853" s="183"/>
    </row>
    <row r="854" spans="1:32">
      <c r="A854" s="84"/>
      <c r="B854" s="39"/>
      <c r="C854" s="40"/>
      <c r="D854" s="41"/>
      <c r="E854" s="40"/>
      <c r="F854" s="41"/>
      <c r="G854" s="183"/>
      <c r="H854" s="38"/>
      <c r="I854" s="42"/>
      <c r="J854" s="42"/>
      <c r="K854" s="43"/>
      <c r="L854" s="43"/>
      <c r="M854" s="44" t="str">
        <f>IF(LayTable[[#This Row],[Sport]]="","",LayTable[[#This Row],[LayInnsats]]*(LayTable[[#This Row],[LayOdds]]-1))</f>
        <v/>
      </c>
      <c r="N854" s="45" t="str">
        <f>IF(LayTable[[#This Row],[Sport]]="","",1/((1/LayTable[[#This Row],[BookieOdds]])+(1/((1/((1+((LayTable[[#This Row],[LayOdds]]-1)*(1+LayTable[[#This Row],[C% Lay]])))-1))+1)))-1)</f>
        <v/>
      </c>
      <c r="Q854" s="46" t="str">
        <f>IF(LayTable[[#This Row],[Sport]]="","",LayTable[[#This Row],[BookieInnsats]]+LayTable[[#This Row],[LayLiability]])</f>
        <v/>
      </c>
      <c r="R8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4" s="47" t="str">
        <f>IF(LayTable[[#This Row],[Utfall bookie]]="","",LayTable[[#This Row],[WBABack]]+LayTable[[#This Row],[WBALay]]-LayTable[[#This Row],[Total inns]])</f>
        <v/>
      </c>
      <c r="U8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4" s="48" t="str">
        <f>IFERROR(IF(LayTable[[#This Row],[Total inns]]="","",LayTable[[#This Row],[Rback]]/LayTable[[#This Row],[Total inns]]),"")</f>
        <v/>
      </c>
      <c r="X854" s="48" t="str">
        <f>IFERROR(IF(LayTable[[#This Row],[Total inns]]="","",LayTable[[#This Row],[Rlay]]/LayTable[[#This Row],[Total inns]]),"")</f>
        <v/>
      </c>
      <c r="Y854" s="48" t="str">
        <f>IFERROR(LayTable[[#This Row],[Faktisk res]]/LayTable[[#This Row],[Total inns]],"")</f>
        <v/>
      </c>
      <c r="Z854" s="47">
        <f>(LayTable[[#This Row],[BookieInnsats]]*LayTable[[#This Row],[BookieOdds]]-LayTable[[#This Row],[BookieInnsats]])*(1-LayTable[[#This Row],[C% Bookie]])</f>
        <v>0</v>
      </c>
      <c r="AA854" s="43">
        <f>LayTable[[#This Row],[LayInnsats]]*(1-LayTable[[#This Row],[C% Lay]])</f>
        <v>0</v>
      </c>
      <c r="AB854" s="43" t="str">
        <f>IFERROR(IF(LayTable[[#This Row],[Sport]]="",AB853,LayTable[[#This Row],[Faktisk res]]+AB853),"")</f>
        <v/>
      </c>
      <c r="AC854" s="43">
        <f>(LayTable[[#This Row],[BackWin-Commission]]+LayTable[[#This Row],[BookieInnsats]])</f>
        <v>0</v>
      </c>
      <c r="AD854" s="43" t="e">
        <f>(LayTable[[#This Row],[LayWin-Commission]])+LayTable[[#This Row],[LayLiability]]</f>
        <v>#VALUE!</v>
      </c>
      <c r="AE854" s="43"/>
      <c r="AF854" s="183"/>
    </row>
    <row r="855" spans="1:32">
      <c r="A855" s="84"/>
      <c r="B855" s="39"/>
      <c r="C855" s="40"/>
      <c r="D855" s="41"/>
      <c r="E855" s="40"/>
      <c r="F855" s="41"/>
      <c r="G855" s="183"/>
      <c r="H855" s="38"/>
      <c r="I855" s="42"/>
      <c r="J855" s="42"/>
      <c r="K855" s="43"/>
      <c r="L855" s="43"/>
      <c r="M855" s="44" t="str">
        <f>IF(LayTable[[#This Row],[Sport]]="","",LayTable[[#This Row],[LayInnsats]]*(LayTable[[#This Row],[LayOdds]]-1))</f>
        <v/>
      </c>
      <c r="N855" s="45" t="str">
        <f>IF(LayTable[[#This Row],[Sport]]="","",1/((1/LayTable[[#This Row],[BookieOdds]])+(1/((1/((1+((LayTable[[#This Row],[LayOdds]]-1)*(1+LayTable[[#This Row],[C% Lay]])))-1))+1)))-1)</f>
        <v/>
      </c>
      <c r="Q855" s="46" t="str">
        <f>IF(LayTable[[#This Row],[Sport]]="","",LayTable[[#This Row],[BookieInnsats]]+LayTable[[#This Row],[LayLiability]])</f>
        <v/>
      </c>
      <c r="R8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5" s="47" t="str">
        <f>IF(LayTable[[#This Row],[Utfall bookie]]="","",LayTable[[#This Row],[WBABack]]+LayTable[[#This Row],[WBALay]]-LayTable[[#This Row],[Total inns]])</f>
        <v/>
      </c>
      <c r="U8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5" s="48" t="str">
        <f>IFERROR(IF(LayTable[[#This Row],[Total inns]]="","",LayTable[[#This Row],[Rback]]/LayTable[[#This Row],[Total inns]]),"")</f>
        <v/>
      </c>
      <c r="X855" s="48" t="str">
        <f>IFERROR(IF(LayTable[[#This Row],[Total inns]]="","",LayTable[[#This Row],[Rlay]]/LayTable[[#This Row],[Total inns]]),"")</f>
        <v/>
      </c>
      <c r="Y855" s="48" t="str">
        <f>IFERROR(LayTable[[#This Row],[Faktisk res]]/LayTable[[#This Row],[Total inns]],"")</f>
        <v/>
      </c>
      <c r="Z855" s="47">
        <f>(LayTable[[#This Row],[BookieInnsats]]*LayTable[[#This Row],[BookieOdds]]-LayTable[[#This Row],[BookieInnsats]])*(1-LayTable[[#This Row],[C% Bookie]])</f>
        <v>0</v>
      </c>
      <c r="AA855" s="43">
        <f>LayTable[[#This Row],[LayInnsats]]*(1-LayTable[[#This Row],[C% Lay]])</f>
        <v>0</v>
      </c>
      <c r="AB855" s="43" t="str">
        <f>IFERROR(IF(LayTable[[#This Row],[Sport]]="",AB854,LayTable[[#This Row],[Faktisk res]]+AB854),"")</f>
        <v/>
      </c>
      <c r="AC855" s="43">
        <f>(LayTable[[#This Row],[BackWin-Commission]]+LayTable[[#This Row],[BookieInnsats]])</f>
        <v>0</v>
      </c>
      <c r="AD855" s="43" t="e">
        <f>(LayTable[[#This Row],[LayWin-Commission]])+LayTable[[#This Row],[LayLiability]]</f>
        <v>#VALUE!</v>
      </c>
      <c r="AE855" s="43"/>
      <c r="AF855" s="183"/>
    </row>
    <row r="856" spans="1:32">
      <c r="A856" s="84"/>
      <c r="B856" s="39"/>
      <c r="C856" s="40"/>
      <c r="D856" s="41"/>
      <c r="E856" s="40"/>
      <c r="F856" s="41"/>
      <c r="G856" s="183"/>
      <c r="H856" s="38"/>
      <c r="I856" s="42"/>
      <c r="J856" s="42"/>
      <c r="K856" s="43"/>
      <c r="L856" s="43"/>
      <c r="M856" s="44" t="str">
        <f>IF(LayTable[[#This Row],[Sport]]="","",LayTable[[#This Row],[LayInnsats]]*(LayTable[[#This Row],[LayOdds]]-1))</f>
        <v/>
      </c>
      <c r="N856" s="45" t="str">
        <f>IF(LayTable[[#This Row],[Sport]]="","",1/((1/LayTable[[#This Row],[BookieOdds]])+(1/((1/((1+((LayTable[[#This Row],[LayOdds]]-1)*(1+LayTable[[#This Row],[C% Lay]])))-1))+1)))-1)</f>
        <v/>
      </c>
      <c r="Q856" s="46" t="str">
        <f>IF(LayTable[[#This Row],[Sport]]="","",LayTable[[#This Row],[BookieInnsats]]+LayTable[[#This Row],[LayLiability]])</f>
        <v/>
      </c>
      <c r="R8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6" s="47" t="str">
        <f>IF(LayTable[[#This Row],[Utfall bookie]]="","",LayTable[[#This Row],[WBABack]]+LayTable[[#This Row],[WBALay]]-LayTable[[#This Row],[Total inns]])</f>
        <v/>
      </c>
      <c r="U8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6" s="48" t="str">
        <f>IFERROR(IF(LayTable[[#This Row],[Total inns]]="","",LayTable[[#This Row],[Rback]]/LayTable[[#This Row],[Total inns]]),"")</f>
        <v/>
      </c>
      <c r="X856" s="48" t="str">
        <f>IFERROR(IF(LayTable[[#This Row],[Total inns]]="","",LayTable[[#This Row],[Rlay]]/LayTable[[#This Row],[Total inns]]),"")</f>
        <v/>
      </c>
      <c r="Y856" s="48" t="str">
        <f>IFERROR(LayTable[[#This Row],[Faktisk res]]/LayTable[[#This Row],[Total inns]],"")</f>
        <v/>
      </c>
      <c r="Z856" s="47">
        <f>(LayTable[[#This Row],[BookieInnsats]]*LayTable[[#This Row],[BookieOdds]]-LayTable[[#This Row],[BookieInnsats]])*(1-LayTable[[#This Row],[C% Bookie]])</f>
        <v>0</v>
      </c>
      <c r="AA856" s="43">
        <f>LayTable[[#This Row],[LayInnsats]]*(1-LayTable[[#This Row],[C% Lay]])</f>
        <v>0</v>
      </c>
      <c r="AB856" s="43" t="str">
        <f>IFERROR(IF(LayTable[[#This Row],[Sport]]="",AB855,LayTable[[#This Row],[Faktisk res]]+AB855),"")</f>
        <v/>
      </c>
      <c r="AC856" s="43">
        <f>(LayTable[[#This Row],[BackWin-Commission]]+LayTable[[#This Row],[BookieInnsats]])</f>
        <v>0</v>
      </c>
      <c r="AD856" s="43" t="e">
        <f>(LayTable[[#This Row],[LayWin-Commission]])+LayTable[[#This Row],[LayLiability]]</f>
        <v>#VALUE!</v>
      </c>
      <c r="AE856" s="43"/>
      <c r="AF856" s="183"/>
    </row>
    <row r="857" spans="1:32">
      <c r="A857" s="84"/>
      <c r="B857" s="39"/>
      <c r="C857" s="40"/>
      <c r="D857" s="41"/>
      <c r="E857" s="40"/>
      <c r="F857" s="41"/>
      <c r="G857" s="183"/>
      <c r="H857" s="38"/>
      <c r="I857" s="42"/>
      <c r="J857" s="42"/>
      <c r="K857" s="43"/>
      <c r="L857" s="43"/>
      <c r="M857" s="44" t="str">
        <f>IF(LayTable[[#This Row],[Sport]]="","",LayTable[[#This Row],[LayInnsats]]*(LayTable[[#This Row],[LayOdds]]-1))</f>
        <v/>
      </c>
      <c r="N857" s="45" t="str">
        <f>IF(LayTable[[#This Row],[Sport]]="","",1/((1/LayTable[[#This Row],[BookieOdds]])+(1/((1/((1+((LayTable[[#This Row],[LayOdds]]-1)*(1+LayTable[[#This Row],[C% Lay]])))-1))+1)))-1)</f>
        <v/>
      </c>
      <c r="Q857" s="46" t="str">
        <f>IF(LayTable[[#This Row],[Sport]]="","",LayTable[[#This Row],[BookieInnsats]]+LayTable[[#This Row],[LayLiability]])</f>
        <v/>
      </c>
      <c r="R8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7" s="47" t="str">
        <f>IF(LayTable[[#This Row],[Utfall bookie]]="","",LayTable[[#This Row],[WBABack]]+LayTable[[#This Row],[WBALay]]-LayTable[[#This Row],[Total inns]])</f>
        <v/>
      </c>
      <c r="U8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7" s="48" t="str">
        <f>IFERROR(IF(LayTable[[#This Row],[Total inns]]="","",LayTable[[#This Row],[Rback]]/LayTable[[#This Row],[Total inns]]),"")</f>
        <v/>
      </c>
      <c r="X857" s="48" t="str">
        <f>IFERROR(IF(LayTable[[#This Row],[Total inns]]="","",LayTable[[#This Row],[Rlay]]/LayTable[[#This Row],[Total inns]]),"")</f>
        <v/>
      </c>
      <c r="Y857" s="48" t="str">
        <f>IFERROR(LayTable[[#This Row],[Faktisk res]]/LayTable[[#This Row],[Total inns]],"")</f>
        <v/>
      </c>
      <c r="Z857" s="47">
        <f>(LayTable[[#This Row],[BookieInnsats]]*LayTable[[#This Row],[BookieOdds]]-LayTable[[#This Row],[BookieInnsats]])*(1-LayTable[[#This Row],[C% Bookie]])</f>
        <v>0</v>
      </c>
      <c r="AA857" s="43">
        <f>LayTable[[#This Row],[LayInnsats]]*(1-LayTable[[#This Row],[C% Lay]])</f>
        <v>0</v>
      </c>
      <c r="AB857" s="43" t="str">
        <f>IFERROR(IF(LayTable[[#This Row],[Sport]]="",AB856,LayTable[[#This Row],[Faktisk res]]+AB856),"")</f>
        <v/>
      </c>
      <c r="AC857" s="43">
        <f>(LayTable[[#This Row],[BackWin-Commission]]+LayTable[[#This Row],[BookieInnsats]])</f>
        <v>0</v>
      </c>
      <c r="AD857" s="43" t="e">
        <f>(LayTable[[#This Row],[LayWin-Commission]])+LayTable[[#This Row],[LayLiability]]</f>
        <v>#VALUE!</v>
      </c>
      <c r="AE857" s="43"/>
      <c r="AF857" s="183"/>
    </row>
    <row r="858" spans="1:32">
      <c r="A858" s="84"/>
      <c r="B858" s="39"/>
      <c r="C858" s="40"/>
      <c r="D858" s="41"/>
      <c r="E858" s="40"/>
      <c r="F858" s="41"/>
      <c r="G858" s="183"/>
      <c r="H858" s="38"/>
      <c r="I858" s="42"/>
      <c r="J858" s="42"/>
      <c r="K858" s="43"/>
      <c r="L858" s="43"/>
      <c r="M858" s="44" t="str">
        <f>IF(LayTable[[#This Row],[Sport]]="","",LayTable[[#This Row],[LayInnsats]]*(LayTable[[#This Row],[LayOdds]]-1))</f>
        <v/>
      </c>
      <c r="N858" s="45" t="str">
        <f>IF(LayTable[[#This Row],[Sport]]="","",1/((1/LayTable[[#This Row],[BookieOdds]])+(1/((1/((1+((LayTable[[#This Row],[LayOdds]]-1)*(1+LayTable[[#This Row],[C% Lay]])))-1))+1)))-1)</f>
        <v/>
      </c>
      <c r="Q858" s="46" t="str">
        <f>IF(LayTable[[#This Row],[Sport]]="","",LayTable[[#This Row],[BookieInnsats]]+LayTable[[#This Row],[LayLiability]])</f>
        <v/>
      </c>
      <c r="R8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8" s="47" t="str">
        <f>IF(LayTable[[#This Row],[Utfall bookie]]="","",LayTable[[#This Row],[WBABack]]+LayTable[[#This Row],[WBALay]]-LayTable[[#This Row],[Total inns]])</f>
        <v/>
      </c>
      <c r="U8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8" s="48" t="str">
        <f>IFERROR(IF(LayTable[[#This Row],[Total inns]]="","",LayTable[[#This Row],[Rback]]/LayTable[[#This Row],[Total inns]]),"")</f>
        <v/>
      </c>
      <c r="X858" s="48" t="str">
        <f>IFERROR(IF(LayTable[[#This Row],[Total inns]]="","",LayTable[[#This Row],[Rlay]]/LayTable[[#This Row],[Total inns]]),"")</f>
        <v/>
      </c>
      <c r="Y858" s="48" t="str">
        <f>IFERROR(LayTable[[#This Row],[Faktisk res]]/LayTable[[#This Row],[Total inns]],"")</f>
        <v/>
      </c>
      <c r="Z858" s="47">
        <f>(LayTable[[#This Row],[BookieInnsats]]*LayTable[[#This Row],[BookieOdds]]-LayTable[[#This Row],[BookieInnsats]])*(1-LayTable[[#This Row],[C% Bookie]])</f>
        <v>0</v>
      </c>
      <c r="AA858" s="43">
        <f>LayTable[[#This Row],[LayInnsats]]*(1-LayTable[[#This Row],[C% Lay]])</f>
        <v>0</v>
      </c>
      <c r="AB858" s="43" t="str">
        <f>IFERROR(IF(LayTable[[#This Row],[Sport]]="",AB857,LayTable[[#This Row],[Faktisk res]]+AB857),"")</f>
        <v/>
      </c>
      <c r="AC858" s="43">
        <f>(LayTable[[#This Row],[BackWin-Commission]]+LayTable[[#This Row],[BookieInnsats]])</f>
        <v>0</v>
      </c>
      <c r="AD858" s="43" t="e">
        <f>(LayTable[[#This Row],[LayWin-Commission]])+LayTable[[#This Row],[LayLiability]]</f>
        <v>#VALUE!</v>
      </c>
      <c r="AE858" s="43"/>
      <c r="AF858" s="183"/>
    </row>
    <row r="859" spans="1:32">
      <c r="A859" s="84"/>
      <c r="B859" s="39"/>
      <c r="C859" s="40"/>
      <c r="D859" s="41"/>
      <c r="E859" s="40"/>
      <c r="F859" s="41"/>
      <c r="G859" s="183"/>
      <c r="H859" s="38"/>
      <c r="I859" s="42"/>
      <c r="J859" s="42"/>
      <c r="K859" s="43"/>
      <c r="L859" s="43"/>
      <c r="M859" s="44" t="str">
        <f>IF(LayTable[[#This Row],[Sport]]="","",LayTable[[#This Row],[LayInnsats]]*(LayTable[[#This Row],[LayOdds]]-1))</f>
        <v/>
      </c>
      <c r="N859" s="45" t="str">
        <f>IF(LayTable[[#This Row],[Sport]]="","",1/((1/LayTable[[#This Row],[BookieOdds]])+(1/((1/((1+((LayTable[[#This Row],[LayOdds]]-1)*(1+LayTable[[#This Row],[C% Lay]])))-1))+1)))-1)</f>
        <v/>
      </c>
      <c r="Q859" s="46" t="str">
        <f>IF(LayTable[[#This Row],[Sport]]="","",LayTable[[#This Row],[BookieInnsats]]+LayTable[[#This Row],[LayLiability]])</f>
        <v/>
      </c>
      <c r="R8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59" s="47" t="str">
        <f>IF(LayTable[[#This Row],[Utfall bookie]]="","",LayTable[[#This Row],[WBABack]]+LayTable[[#This Row],[WBALay]]-LayTable[[#This Row],[Total inns]])</f>
        <v/>
      </c>
      <c r="U8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59" s="48" t="str">
        <f>IFERROR(IF(LayTable[[#This Row],[Total inns]]="","",LayTable[[#This Row],[Rback]]/LayTable[[#This Row],[Total inns]]),"")</f>
        <v/>
      </c>
      <c r="X859" s="48" t="str">
        <f>IFERROR(IF(LayTable[[#This Row],[Total inns]]="","",LayTable[[#This Row],[Rlay]]/LayTable[[#This Row],[Total inns]]),"")</f>
        <v/>
      </c>
      <c r="Y859" s="48" t="str">
        <f>IFERROR(LayTable[[#This Row],[Faktisk res]]/LayTable[[#This Row],[Total inns]],"")</f>
        <v/>
      </c>
      <c r="Z859" s="47">
        <f>(LayTable[[#This Row],[BookieInnsats]]*LayTable[[#This Row],[BookieOdds]]-LayTable[[#This Row],[BookieInnsats]])*(1-LayTable[[#This Row],[C% Bookie]])</f>
        <v>0</v>
      </c>
      <c r="AA859" s="43">
        <f>LayTable[[#This Row],[LayInnsats]]*(1-LayTable[[#This Row],[C% Lay]])</f>
        <v>0</v>
      </c>
      <c r="AB859" s="43" t="str">
        <f>IFERROR(IF(LayTable[[#This Row],[Sport]]="",AB858,LayTable[[#This Row],[Faktisk res]]+AB858),"")</f>
        <v/>
      </c>
      <c r="AC859" s="43">
        <f>(LayTable[[#This Row],[BackWin-Commission]]+LayTable[[#This Row],[BookieInnsats]])</f>
        <v>0</v>
      </c>
      <c r="AD859" s="43" t="e">
        <f>(LayTable[[#This Row],[LayWin-Commission]])+LayTable[[#This Row],[LayLiability]]</f>
        <v>#VALUE!</v>
      </c>
      <c r="AE859" s="43"/>
      <c r="AF859" s="183"/>
    </row>
    <row r="860" spans="1:32">
      <c r="A860" s="84"/>
      <c r="B860" s="39"/>
      <c r="C860" s="40"/>
      <c r="D860" s="41"/>
      <c r="E860" s="40"/>
      <c r="F860" s="41"/>
      <c r="G860" s="183"/>
      <c r="H860" s="38"/>
      <c r="I860" s="42"/>
      <c r="J860" s="42"/>
      <c r="K860" s="43"/>
      <c r="L860" s="43"/>
      <c r="M860" s="44" t="str">
        <f>IF(LayTable[[#This Row],[Sport]]="","",LayTable[[#This Row],[LayInnsats]]*(LayTable[[#This Row],[LayOdds]]-1))</f>
        <v/>
      </c>
      <c r="N860" s="45" t="str">
        <f>IF(LayTable[[#This Row],[Sport]]="","",1/((1/LayTable[[#This Row],[BookieOdds]])+(1/((1/((1+((LayTable[[#This Row],[LayOdds]]-1)*(1+LayTable[[#This Row],[C% Lay]])))-1))+1)))-1)</f>
        <v/>
      </c>
      <c r="Q860" s="46" t="str">
        <f>IF(LayTable[[#This Row],[Sport]]="","",LayTable[[#This Row],[BookieInnsats]]+LayTable[[#This Row],[LayLiability]])</f>
        <v/>
      </c>
      <c r="R8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0" s="47" t="str">
        <f>IF(LayTable[[#This Row],[Utfall bookie]]="","",LayTable[[#This Row],[WBABack]]+LayTable[[#This Row],[WBALay]]-LayTable[[#This Row],[Total inns]])</f>
        <v/>
      </c>
      <c r="U8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0" s="48" t="str">
        <f>IFERROR(IF(LayTable[[#This Row],[Total inns]]="","",LayTable[[#This Row],[Rback]]/LayTable[[#This Row],[Total inns]]),"")</f>
        <v/>
      </c>
      <c r="X860" s="48" t="str">
        <f>IFERROR(IF(LayTable[[#This Row],[Total inns]]="","",LayTable[[#This Row],[Rlay]]/LayTable[[#This Row],[Total inns]]),"")</f>
        <v/>
      </c>
      <c r="Y860" s="48" t="str">
        <f>IFERROR(LayTable[[#This Row],[Faktisk res]]/LayTable[[#This Row],[Total inns]],"")</f>
        <v/>
      </c>
      <c r="Z860" s="47">
        <f>(LayTable[[#This Row],[BookieInnsats]]*LayTable[[#This Row],[BookieOdds]]-LayTable[[#This Row],[BookieInnsats]])*(1-LayTable[[#This Row],[C% Bookie]])</f>
        <v>0</v>
      </c>
      <c r="AA860" s="43">
        <f>LayTable[[#This Row],[LayInnsats]]*(1-LayTable[[#This Row],[C% Lay]])</f>
        <v>0</v>
      </c>
      <c r="AB860" s="43" t="str">
        <f>IFERROR(IF(LayTable[[#This Row],[Sport]]="",AB859,LayTable[[#This Row],[Faktisk res]]+AB859),"")</f>
        <v/>
      </c>
      <c r="AC860" s="43">
        <f>(LayTable[[#This Row],[BackWin-Commission]]+LayTable[[#This Row],[BookieInnsats]])</f>
        <v>0</v>
      </c>
      <c r="AD860" s="43" t="e">
        <f>(LayTable[[#This Row],[LayWin-Commission]])+LayTable[[#This Row],[LayLiability]]</f>
        <v>#VALUE!</v>
      </c>
      <c r="AE860" s="43"/>
      <c r="AF860" s="183"/>
    </row>
    <row r="861" spans="1:32">
      <c r="A861" s="84"/>
      <c r="B861" s="39"/>
      <c r="C861" s="40"/>
      <c r="D861" s="41"/>
      <c r="E861" s="40"/>
      <c r="F861" s="41"/>
      <c r="G861" s="183"/>
      <c r="H861" s="38"/>
      <c r="I861" s="42"/>
      <c r="J861" s="42"/>
      <c r="K861" s="43"/>
      <c r="L861" s="43"/>
      <c r="M861" s="44" t="str">
        <f>IF(LayTable[[#This Row],[Sport]]="","",LayTable[[#This Row],[LayInnsats]]*(LayTable[[#This Row],[LayOdds]]-1))</f>
        <v/>
      </c>
      <c r="N861" s="45" t="str">
        <f>IF(LayTable[[#This Row],[Sport]]="","",1/((1/LayTable[[#This Row],[BookieOdds]])+(1/((1/((1+((LayTable[[#This Row],[LayOdds]]-1)*(1+LayTable[[#This Row],[C% Lay]])))-1))+1)))-1)</f>
        <v/>
      </c>
      <c r="Q861" s="46" t="str">
        <f>IF(LayTable[[#This Row],[Sport]]="","",LayTable[[#This Row],[BookieInnsats]]+LayTable[[#This Row],[LayLiability]])</f>
        <v/>
      </c>
      <c r="R8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1" s="47" t="str">
        <f>IF(LayTable[[#This Row],[Utfall bookie]]="","",LayTable[[#This Row],[WBABack]]+LayTable[[#This Row],[WBALay]]-LayTable[[#This Row],[Total inns]])</f>
        <v/>
      </c>
      <c r="U8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1" s="48" t="str">
        <f>IFERROR(IF(LayTable[[#This Row],[Total inns]]="","",LayTable[[#This Row],[Rback]]/LayTable[[#This Row],[Total inns]]),"")</f>
        <v/>
      </c>
      <c r="X861" s="48" t="str">
        <f>IFERROR(IF(LayTable[[#This Row],[Total inns]]="","",LayTable[[#This Row],[Rlay]]/LayTable[[#This Row],[Total inns]]),"")</f>
        <v/>
      </c>
      <c r="Y861" s="48" t="str">
        <f>IFERROR(LayTable[[#This Row],[Faktisk res]]/LayTable[[#This Row],[Total inns]],"")</f>
        <v/>
      </c>
      <c r="Z861" s="47">
        <f>(LayTable[[#This Row],[BookieInnsats]]*LayTable[[#This Row],[BookieOdds]]-LayTable[[#This Row],[BookieInnsats]])*(1-LayTable[[#This Row],[C% Bookie]])</f>
        <v>0</v>
      </c>
      <c r="AA861" s="43">
        <f>LayTable[[#This Row],[LayInnsats]]*(1-LayTable[[#This Row],[C% Lay]])</f>
        <v>0</v>
      </c>
      <c r="AB861" s="43" t="str">
        <f>IFERROR(IF(LayTable[[#This Row],[Sport]]="",AB860,LayTable[[#This Row],[Faktisk res]]+AB860),"")</f>
        <v/>
      </c>
      <c r="AC861" s="43">
        <f>(LayTable[[#This Row],[BackWin-Commission]]+LayTable[[#This Row],[BookieInnsats]])</f>
        <v>0</v>
      </c>
      <c r="AD861" s="43" t="e">
        <f>(LayTable[[#This Row],[LayWin-Commission]])+LayTable[[#This Row],[LayLiability]]</f>
        <v>#VALUE!</v>
      </c>
      <c r="AE861" s="43"/>
      <c r="AF861" s="183"/>
    </row>
    <row r="862" spans="1:32">
      <c r="A862" s="84"/>
      <c r="B862" s="39"/>
      <c r="C862" s="40"/>
      <c r="D862" s="41"/>
      <c r="E862" s="40"/>
      <c r="F862" s="41"/>
      <c r="G862" s="183"/>
      <c r="H862" s="38"/>
      <c r="I862" s="42"/>
      <c r="J862" s="42"/>
      <c r="K862" s="43"/>
      <c r="L862" s="43"/>
      <c r="M862" s="44" t="str">
        <f>IF(LayTable[[#This Row],[Sport]]="","",LayTable[[#This Row],[LayInnsats]]*(LayTable[[#This Row],[LayOdds]]-1))</f>
        <v/>
      </c>
      <c r="N862" s="45" t="str">
        <f>IF(LayTable[[#This Row],[Sport]]="","",1/((1/LayTable[[#This Row],[BookieOdds]])+(1/((1/((1+((LayTable[[#This Row],[LayOdds]]-1)*(1+LayTable[[#This Row],[C% Lay]])))-1))+1)))-1)</f>
        <v/>
      </c>
      <c r="Q862" s="46" t="str">
        <f>IF(LayTable[[#This Row],[Sport]]="","",LayTable[[#This Row],[BookieInnsats]]+LayTable[[#This Row],[LayLiability]])</f>
        <v/>
      </c>
      <c r="R8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2" s="47" t="str">
        <f>IF(LayTable[[#This Row],[Utfall bookie]]="","",LayTable[[#This Row],[WBABack]]+LayTable[[#This Row],[WBALay]]-LayTable[[#This Row],[Total inns]])</f>
        <v/>
      </c>
      <c r="U8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2" s="48" t="str">
        <f>IFERROR(IF(LayTable[[#This Row],[Total inns]]="","",LayTable[[#This Row],[Rback]]/LayTable[[#This Row],[Total inns]]),"")</f>
        <v/>
      </c>
      <c r="X862" s="48" t="str">
        <f>IFERROR(IF(LayTable[[#This Row],[Total inns]]="","",LayTable[[#This Row],[Rlay]]/LayTable[[#This Row],[Total inns]]),"")</f>
        <v/>
      </c>
      <c r="Y862" s="48" t="str">
        <f>IFERROR(LayTable[[#This Row],[Faktisk res]]/LayTable[[#This Row],[Total inns]],"")</f>
        <v/>
      </c>
      <c r="Z862" s="47">
        <f>(LayTable[[#This Row],[BookieInnsats]]*LayTable[[#This Row],[BookieOdds]]-LayTable[[#This Row],[BookieInnsats]])*(1-LayTable[[#This Row],[C% Bookie]])</f>
        <v>0</v>
      </c>
      <c r="AA862" s="43">
        <f>LayTable[[#This Row],[LayInnsats]]*(1-LayTable[[#This Row],[C% Lay]])</f>
        <v>0</v>
      </c>
      <c r="AB862" s="43" t="str">
        <f>IFERROR(IF(LayTable[[#This Row],[Sport]]="",AB861,LayTable[[#This Row],[Faktisk res]]+AB861),"")</f>
        <v/>
      </c>
      <c r="AC862" s="43">
        <f>(LayTable[[#This Row],[BackWin-Commission]]+LayTable[[#This Row],[BookieInnsats]])</f>
        <v>0</v>
      </c>
      <c r="AD862" s="43" t="e">
        <f>(LayTable[[#This Row],[LayWin-Commission]])+LayTable[[#This Row],[LayLiability]]</f>
        <v>#VALUE!</v>
      </c>
      <c r="AE862" s="43"/>
      <c r="AF862" s="183"/>
    </row>
    <row r="863" spans="1:32">
      <c r="A863" s="84"/>
      <c r="B863" s="39"/>
      <c r="C863" s="40"/>
      <c r="D863" s="41"/>
      <c r="E863" s="40"/>
      <c r="F863" s="41"/>
      <c r="G863" s="183"/>
      <c r="H863" s="38"/>
      <c r="I863" s="42"/>
      <c r="J863" s="42"/>
      <c r="K863" s="43"/>
      <c r="L863" s="43"/>
      <c r="M863" s="44" t="str">
        <f>IF(LayTable[[#This Row],[Sport]]="","",LayTable[[#This Row],[LayInnsats]]*(LayTable[[#This Row],[LayOdds]]-1))</f>
        <v/>
      </c>
      <c r="N863" s="45" t="str">
        <f>IF(LayTable[[#This Row],[Sport]]="","",1/((1/LayTable[[#This Row],[BookieOdds]])+(1/((1/((1+((LayTable[[#This Row],[LayOdds]]-1)*(1+LayTable[[#This Row],[C% Lay]])))-1))+1)))-1)</f>
        <v/>
      </c>
      <c r="Q863" s="46" t="str">
        <f>IF(LayTable[[#This Row],[Sport]]="","",LayTable[[#This Row],[BookieInnsats]]+LayTable[[#This Row],[LayLiability]])</f>
        <v/>
      </c>
      <c r="R8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3" s="47" t="str">
        <f>IF(LayTable[[#This Row],[Utfall bookie]]="","",LayTable[[#This Row],[WBABack]]+LayTable[[#This Row],[WBALay]]-LayTable[[#This Row],[Total inns]])</f>
        <v/>
      </c>
      <c r="U8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3" s="48" t="str">
        <f>IFERROR(IF(LayTable[[#This Row],[Total inns]]="","",LayTable[[#This Row],[Rback]]/LayTable[[#This Row],[Total inns]]),"")</f>
        <v/>
      </c>
      <c r="X863" s="48" t="str">
        <f>IFERROR(IF(LayTable[[#This Row],[Total inns]]="","",LayTable[[#This Row],[Rlay]]/LayTable[[#This Row],[Total inns]]),"")</f>
        <v/>
      </c>
      <c r="Y863" s="48" t="str">
        <f>IFERROR(LayTable[[#This Row],[Faktisk res]]/LayTable[[#This Row],[Total inns]],"")</f>
        <v/>
      </c>
      <c r="Z863" s="47">
        <f>(LayTable[[#This Row],[BookieInnsats]]*LayTable[[#This Row],[BookieOdds]]-LayTable[[#This Row],[BookieInnsats]])*(1-LayTable[[#This Row],[C% Bookie]])</f>
        <v>0</v>
      </c>
      <c r="AA863" s="43">
        <f>LayTable[[#This Row],[LayInnsats]]*(1-LayTable[[#This Row],[C% Lay]])</f>
        <v>0</v>
      </c>
      <c r="AB863" s="43" t="str">
        <f>IFERROR(IF(LayTable[[#This Row],[Sport]]="",AB862,LayTable[[#This Row],[Faktisk res]]+AB862),"")</f>
        <v/>
      </c>
      <c r="AC863" s="43">
        <f>(LayTable[[#This Row],[BackWin-Commission]]+LayTable[[#This Row],[BookieInnsats]])</f>
        <v>0</v>
      </c>
      <c r="AD863" s="43" t="e">
        <f>(LayTable[[#This Row],[LayWin-Commission]])+LayTable[[#This Row],[LayLiability]]</f>
        <v>#VALUE!</v>
      </c>
      <c r="AE863" s="43"/>
      <c r="AF863" s="183"/>
    </row>
    <row r="864" spans="1:32">
      <c r="A864" s="84"/>
      <c r="B864" s="39"/>
      <c r="C864" s="40"/>
      <c r="D864" s="41"/>
      <c r="E864" s="40"/>
      <c r="F864" s="41"/>
      <c r="G864" s="183"/>
      <c r="H864" s="38"/>
      <c r="I864" s="42"/>
      <c r="J864" s="42"/>
      <c r="K864" s="43"/>
      <c r="L864" s="43"/>
      <c r="M864" s="44" t="str">
        <f>IF(LayTable[[#This Row],[Sport]]="","",LayTable[[#This Row],[LayInnsats]]*(LayTable[[#This Row],[LayOdds]]-1))</f>
        <v/>
      </c>
      <c r="N864" s="45" t="str">
        <f>IF(LayTable[[#This Row],[Sport]]="","",1/((1/LayTable[[#This Row],[BookieOdds]])+(1/((1/((1+((LayTable[[#This Row],[LayOdds]]-1)*(1+LayTable[[#This Row],[C% Lay]])))-1))+1)))-1)</f>
        <v/>
      </c>
      <c r="Q864" s="46" t="str">
        <f>IF(LayTable[[#This Row],[Sport]]="","",LayTable[[#This Row],[BookieInnsats]]+LayTable[[#This Row],[LayLiability]])</f>
        <v/>
      </c>
      <c r="R8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4" s="47" t="str">
        <f>IF(LayTable[[#This Row],[Utfall bookie]]="","",LayTable[[#This Row],[WBABack]]+LayTable[[#This Row],[WBALay]]-LayTable[[#This Row],[Total inns]])</f>
        <v/>
      </c>
      <c r="U8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4" s="48" t="str">
        <f>IFERROR(IF(LayTable[[#This Row],[Total inns]]="","",LayTable[[#This Row],[Rback]]/LayTable[[#This Row],[Total inns]]),"")</f>
        <v/>
      </c>
      <c r="X864" s="48" t="str">
        <f>IFERROR(IF(LayTable[[#This Row],[Total inns]]="","",LayTable[[#This Row],[Rlay]]/LayTable[[#This Row],[Total inns]]),"")</f>
        <v/>
      </c>
      <c r="Y864" s="48" t="str">
        <f>IFERROR(LayTable[[#This Row],[Faktisk res]]/LayTable[[#This Row],[Total inns]],"")</f>
        <v/>
      </c>
      <c r="Z864" s="47">
        <f>(LayTable[[#This Row],[BookieInnsats]]*LayTable[[#This Row],[BookieOdds]]-LayTable[[#This Row],[BookieInnsats]])*(1-LayTable[[#This Row],[C% Bookie]])</f>
        <v>0</v>
      </c>
      <c r="AA864" s="43">
        <f>LayTable[[#This Row],[LayInnsats]]*(1-LayTable[[#This Row],[C% Lay]])</f>
        <v>0</v>
      </c>
      <c r="AB864" s="43" t="str">
        <f>IFERROR(IF(LayTable[[#This Row],[Sport]]="",AB863,LayTable[[#This Row],[Faktisk res]]+AB863),"")</f>
        <v/>
      </c>
      <c r="AC864" s="43">
        <f>(LayTable[[#This Row],[BackWin-Commission]]+LayTable[[#This Row],[BookieInnsats]])</f>
        <v>0</v>
      </c>
      <c r="AD864" s="43" t="e">
        <f>(LayTable[[#This Row],[LayWin-Commission]])+LayTable[[#This Row],[LayLiability]]</f>
        <v>#VALUE!</v>
      </c>
      <c r="AE864" s="43"/>
      <c r="AF864" s="183"/>
    </row>
    <row r="865" spans="1:32">
      <c r="A865" s="84"/>
      <c r="B865" s="39"/>
      <c r="C865" s="40"/>
      <c r="D865" s="41"/>
      <c r="E865" s="40"/>
      <c r="F865" s="41"/>
      <c r="G865" s="183"/>
      <c r="H865" s="38"/>
      <c r="I865" s="42"/>
      <c r="J865" s="42"/>
      <c r="K865" s="43"/>
      <c r="L865" s="43"/>
      <c r="M865" s="44" t="str">
        <f>IF(LayTable[[#This Row],[Sport]]="","",LayTable[[#This Row],[LayInnsats]]*(LayTable[[#This Row],[LayOdds]]-1))</f>
        <v/>
      </c>
      <c r="N865" s="45" t="str">
        <f>IF(LayTable[[#This Row],[Sport]]="","",1/((1/LayTable[[#This Row],[BookieOdds]])+(1/((1/((1+((LayTable[[#This Row],[LayOdds]]-1)*(1+LayTable[[#This Row],[C% Lay]])))-1))+1)))-1)</f>
        <v/>
      </c>
      <c r="Q865" s="46" t="str">
        <f>IF(LayTable[[#This Row],[Sport]]="","",LayTable[[#This Row],[BookieInnsats]]+LayTable[[#This Row],[LayLiability]])</f>
        <v/>
      </c>
      <c r="R8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5" s="47" t="str">
        <f>IF(LayTable[[#This Row],[Utfall bookie]]="","",LayTable[[#This Row],[WBABack]]+LayTable[[#This Row],[WBALay]]-LayTable[[#This Row],[Total inns]])</f>
        <v/>
      </c>
      <c r="U8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5" s="48" t="str">
        <f>IFERROR(IF(LayTable[[#This Row],[Total inns]]="","",LayTable[[#This Row],[Rback]]/LayTable[[#This Row],[Total inns]]),"")</f>
        <v/>
      </c>
      <c r="X865" s="48" t="str">
        <f>IFERROR(IF(LayTable[[#This Row],[Total inns]]="","",LayTable[[#This Row],[Rlay]]/LayTable[[#This Row],[Total inns]]),"")</f>
        <v/>
      </c>
      <c r="Y865" s="48" t="str">
        <f>IFERROR(LayTable[[#This Row],[Faktisk res]]/LayTable[[#This Row],[Total inns]],"")</f>
        <v/>
      </c>
      <c r="Z865" s="47">
        <f>(LayTable[[#This Row],[BookieInnsats]]*LayTable[[#This Row],[BookieOdds]]-LayTable[[#This Row],[BookieInnsats]])*(1-LayTable[[#This Row],[C% Bookie]])</f>
        <v>0</v>
      </c>
      <c r="AA865" s="43">
        <f>LayTable[[#This Row],[LayInnsats]]*(1-LayTable[[#This Row],[C% Lay]])</f>
        <v>0</v>
      </c>
      <c r="AB865" s="43" t="str">
        <f>IFERROR(IF(LayTable[[#This Row],[Sport]]="",AB864,LayTable[[#This Row],[Faktisk res]]+AB864),"")</f>
        <v/>
      </c>
      <c r="AC865" s="43">
        <f>(LayTable[[#This Row],[BackWin-Commission]]+LayTable[[#This Row],[BookieInnsats]])</f>
        <v>0</v>
      </c>
      <c r="AD865" s="43" t="e">
        <f>(LayTable[[#This Row],[LayWin-Commission]])+LayTable[[#This Row],[LayLiability]]</f>
        <v>#VALUE!</v>
      </c>
      <c r="AE865" s="43"/>
      <c r="AF865" s="183"/>
    </row>
    <row r="866" spans="1:32">
      <c r="A866" s="84"/>
      <c r="B866" s="39"/>
      <c r="C866" s="40"/>
      <c r="D866" s="41"/>
      <c r="E866" s="40"/>
      <c r="F866" s="41"/>
      <c r="G866" s="183"/>
      <c r="H866" s="38"/>
      <c r="I866" s="42"/>
      <c r="J866" s="42"/>
      <c r="K866" s="43"/>
      <c r="L866" s="43"/>
      <c r="M866" s="44" t="str">
        <f>IF(LayTable[[#This Row],[Sport]]="","",LayTable[[#This Row],[LayInnsats]]*(LayTable[[#This Row],[LayOdds]]-1))</f>
        <v/>
      </c>
      <c r="N866" s="45" t="str">
        <f>IF(LayTable[[#This Row],[Sport]]="","",1/((1/LayTable[[#This Row],[BookieOdds]])+(1/((1/((1+((LayTable[[#This Row],[LayOdds]]-1)*(1+LayTable[[#This Row],[C% Lay]])))-1))+1)))-1)</f>
        <v/>
      </c>
      <c r="Q866" s="46" t="str">
        <f>IF(LayTable[[#This Row],[Sport]]="","",LayTable[[#This Row],[BookieInnsats]]+LayTable[[#This Row],[LayLiability]])</f>
        <v/>
      </c>
      <c r="R8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6" s="47" t="str">
        <f>IF(LayTable[[#This Row],[Utfall bookie]]="","",LayTable[[#This Row],[WBABack]]+LayTable[[#This Row],[WBALay]]-LayTable[[#This Row],[Total inns]])</f>
        <v/>
      </c>
      <c r="U8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6" s="48" t="str">
        <f>IFERROR(IF(LayTable[[#This Row],[Total inns]]="","",LayTable[[#This Row],[Rback]]/LayTable[[#This Row],[Total inns]]),"")</f>
        <v/>
      </c>
      <c r="X866" s="48" t="str">
        <f>IFERROR(IF(LayTable[[#This Row],[Total inns]]="","",LayTable[[#This Row],[Rlay]]/LayTable[[#This Row],[Total inns]]),"")</f>
        <v/>
      </c>
      <c r="Y866" s="48" t="str">
        <f>IFERROR(LayTable[[#This Row],[Faktisk res]]/LayTable[[#This Row],[Total inns]],"")</f>
        <v/>
      </c>
      <c r="Z866" s="47">
        <f>(LayTable[[#This Row],[BookieInnsats]]*LayTable[[#This Row],[BookieOdds]]-LayTable[[#This Row],[BookieInnsats]])*(1-LayTable[[#This Row],[C% Bookie]])</f>
        <v>0</v>
      </c>
      <c r="AA866" s="43">
        <f>LayTable[[#This Row],[LayInnsats]]*(1-LayTable[[#This Row],[C% Lay]])</f>
        <v>0</v>
      </c>
      <c r="AB866" s="43" t="str">
        <f>IFERROR(IF(LayTable[[#This Row],[Sport]]="",AB865,LayTable[[#This Row],[Faktisk res]]+AB865),"")</f>
        <v/>
      </c>
      <c r="AC866" s="43">
        <f>(LayTable[[#This Row],[BackWin-Commission]]+LayTable[[#This Row],[BookieInnsats]])</f>
        <v>0</v>
      </c>
      <c r="AD866" s="43" t="e">
        <f>(LayTable[[#This Row],[LayWin-Commission]])+LayTable[[#This Row],[LayLiability]]</f>
        <v>#VALUE!</v>
      </c>
      <c r="AE866" s="43"/>
      <c r="AF866" s="183"/>
    </row>
    <row r="867" spans="1:32">
      <c r="A867" s="84"/>
      <c r="B867" s="39"/>
      <c r="C867" s="40"/>
      <c r="D867" s="41"/>
      <c r="E867" s="40"/>
      <c r="F867" s="41"/>
      <c r="G867" s="183"/>
      <c r="H867" s="38"/>
      <c r="I867" s="42"/>
      <c r="J867" s="42"/>
      <c r="K867" s="43"/>
      <c r="L867" s="43"/>
      <c r="M867" s="44" t="str">
        <f>IF(LayTable[[#This Row],[Sport]]="","",LayTable[[#This Row],[LayInnsats]]*(LayTable[[#This Row],[LayOdds]]-1))</f>
        <v/>
      </c>
      <c r="N867" s="45" t="str">
        <f>IF(LayTable[[#This Row],[Sport]]="","",1/((1/LayTable[[#This Row],[BookieOdds]])+(1/((1/((1+((LayTable[[#This Row],[LayOdds]]-1)*(1+LayTable[[#This Row],[C% Lay]])))-1))+1)))-1)</f>
        <v/>
      </c>
      <c r="Q867" s="46" t="str">
        <f>IF(LayTable[[#This Row],[Sport]]="","",LayTable[[#This Row],[BookieInnsats]]+LayTable[[#This Row],[LayLiability]])</f>
        <v/>
      </c>
      <c r="R8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7" s="47" t="str">
        <f>IF(LayTable[[#This Row],[Utfall bookie]]="","",LayTable[[#This Row],[WBABack]]+LayTable[[#This Row],[WBALay]]-LayTable[[#This Row],[Total inns]])</f>
        <v/>
      </c>
      <c r="U8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7" s="48" t="str">
        <f>IFERROR(IF(LayTable[[#This Row],[Total inns]]="","",LayTable[[#This Row],[Rback]]/LayTable[[#This Row],[Total inns]]),"")</f>
        <v/>
      </c>
      <c r="X867" s="48" t="str">
        <f>IFERROR(IF(LayTable[[#This Row],[Total inns]]="","",LayTable[[#This Row],[Rlay]]/LayTable[[#This Row],[Total inns]]),"")</f>
        <v/>
      </c>
      <c r="Y867" s="48" t="str">
        <f>IFERROR(LayTable[[#This Row],[Faktisk res]]/LayTable[[#This Row],[Total inns]],"")</f>
        <v/>
      </c>
      <c r="Z867" s="47">
        <f>(LayTable[[#This Row],[BookieInnsats]]*LayTable[[#This Row],[BookieOdds]]-LayTable[[#This Row],[BookieInnsats]])*(1-LayTable[[#This Row],[C% Bookie]])</f>
        <v>0</v>
      </c>
      <c r="AA867" s="43">
        <f>LayTable[[#This Row],[LayInnsats]]*(1-LayTable[[#This Row],[C% Lay]])</f>
        <v>0</v>
      </c>
      <c r="AB867" s="43" t="str">
        <f>IFERROR(IF(LayTable[[#This Row],[Sport]]="",AB866,LayTable[[#This Row],[Faktisk res]]+AB866),"")</f>
        <v/>
      </c>
      <c r="AC867" s="43">
        <f>(LayTable[[#This Row],[BackWin-Commission]]+LayTable[[#This Row],[BookieInnsats]])</f>
        <v>0</v>
      </c>
      <c r="AD867" s="43" t="e">
        <f>(LayTable[[#This Row],[LayWin-Commission]])+LayTable[[#This Row],[LayLiability]]</f>
        <v>#VALUE!</v>
      </c>
      <c r="AE867" s="43"/>
      <c r="AF867" s="183"/>
    </row>
    <row r="868" spans="1:32">
      <c r="A868" s="84"/>
      <c r="B868" s="39"/>
      <c r="C868" s="40"/>
      <c r="D868" s="41"/>
      <c r="E868" s="40"/>
      <c r="F868" s="41"/>
      <c r="G868" s="183"/>
      <c r="H868" s="38"/>
      <c r="I868" s="42"/>
      <c r="J868" s="42"/>
      <c r="K868" s="43"/>
      <c r="L868" s="43"/>
      <c r="M868" s="44" t="str">
        <f>IF(LayTable[[#This Row],[Sport]]="","",LayTable[[#This Row],[LayInnsats]]*(LayTable[[#This Row],[LayOdds]]-1))</f>
        <v/>
      </c>
      <c r="N868" s="45" t="str">
        <f>IF(LayTable[[#This Row],[Sport]]="","",1/((1/LayTable[[#This Row],[BookieOdds]])+(1/((1/((1+((LayTable[[#This Row],[LayOdds]]-1)*(1+LayTable[[#This Row],[C% Lay]])))-1))+1)))-1)</f>
        <v/>
      </c>
      <c r="Q868" s="46" t="str">
        <f>IF(LayTable[[#This Row],[Sport]]="","",LayTable[[#This Row],[BookieInnsats]]+LayTable[[#This Row],[LayLiability]])</f>
        <v/>
      </c>
      <c r="R8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8" s="47" t="str">
        <f>IF(LayTable[[#This Row],[Utfall bookie]]="","",LayTable[[#This Row],[WBABack]]+LayTable[[#This Row],[WBALay]]-LayTable[[#This Row],[Total inns]])</f>
        <v/>
      </c>
      <c r="U8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8" s="48" t="str">
        <f>IFERROR(IF(LayTable[[#This Row],[Total inns]]="","",LayTable[[#This Row],[Rback]]/LayTable[[#This Row],[Total inns]]),"")</f>
        <v/>
      </c>
      <c r="X868" s="48" t="str">
        <f>IFERROR(IF(LayTable[[#This Row],[Total inns]]="","",LayTable[[#This Row],[Rlay]]/LayTable[[#This Row],[Total inns]]),"")</f>
        <v/>
      </c>
      <c r="Y868" s="48" t="str">
        <f>IFERROR(LayTable[[#This Row],[Faktisk res]]/LayTable[[#This Row],[Total inns]],"")</f>
        <v/>
      </c>
      <c r="Z868" s="47">
        <f>(LayTable[[#This Row],[BookieInnsats]]*LayTable[[#This Row],[BookieOdds]]-LayTable[[#This Row],[BookieInnsats]])*(1-LayTable[[#This Row],[C% Bookie]])</f>
        <v>0</v>
      </c>
      <c r="AA868" s="43">
        <f>LayTable[[#This Row],[LayInnsats]]*(1-LayTable[[#This Row],[C% Lay]])</f>
        <v>0</v>
      </c>
      <c r="AB868" s="43" t="str">
        <f>IFERROR(IF(LayTable[[#This Row],[Sport]]="",AB867,LayTable[[#This Row],[Faktisk res]]+AB867),"")</f>
        <v/>
      </c>
      <c r="AC868" s="43">
        <f>(LayTable[[#This Row],[BackWin-Commission]]+LayTable[[#This Row],[BookieInnsats]])</f>
        <v>0</v>
      </c>
      <c r="AD868" s="43" t="e">
        <f>(LayTable[[#This Row],[LayWin-Commission]])+LayTable[[#This Row],[LayLiability]]</f>
        <v>#VALUE!</v>
      </c>
      <c r="AE868" s="43"/>
      <c r="AF868" s="183"/>
    </row>
    <row r="869" spans="1:32">
      <c r="A869" s="84"/>
      <c r="B869" s="39"/>
      <c r="C869" s="40"/>
      <c r="D869" s="41"/>
      <c r="E869" s="40"/>
      <c r="F869" s="41"/>
      <c r="G869" s="183"/>
      <c r="H869" s="38"/>
      <c r="I869" s="42"/>
      <c r="J869" s="42"/>
      <c r="K869" s="43"/>
      <c r="L869" s="43"/>
      <c r="M869" s="44" t="str">
        <f>IF(LayTable[[#This Row],[Sport]]="","",LayTable[[#This Row],[LayInnsats]]*(LayTable[[#This Row],[LayOdds]]-1))</f>
        <v/>
      </c>
      <c r="N869" s="45" t="str">
        <f>IF(LayTable[[#This Row],[Sport]]="","",1/((1/LayTable[[#This Row],[BookieOdds]])+(1/((1/((1+((LayTable[[#This Row],[LayOdds]]-1)*(1+LayTable[[#This Row],[C% Lay]])))-1))+1)))-1)</f>
        <v/>
      </c>
      <c r="Q869" s="46" t="str">
        <f>IF(LayTable[[#This Row],[Sport]]="","",LayTable[[#This Row],[BookieInnsats]]+LayTable[[#This Row],[LayLiability]])</f>
        <v/>
      </c>
      <c r="R8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69" s="47" t="str">
        <f>IF(LayTable[[#This Row],[Utfall bookie]]="","",LayTable[[#This Row],[WBABack]]+LayTable[[#This Row],[WBALay]]-LayTable[[#This Row],[Total inns]])</f>
        <v/>
      </c>
      <c r="U8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69" s="48" t="str">
        <f>IFERROR(IF(LayTable[[#This Row],[Total inns]]="","",LayTable[[#This Row],[Rback]]/LayTable[[#This Row],[Total inns]]),"")</f>
        <v/>
      </c>
      <c r="X869" s="48" t="str">
        <f>IFERROR(IF(LayTable[[#This Row],[Total inns]]="","",LayTable[[#This Row],[Rlay]]/LayTable[[#This Row],[Total inns]]),"")</f>
        <v/>
      </c>
      <c r="Y869" s="48" t="str">
        <f>IFERROR(LayTable[[#This Row],[Faktisk res]]/LayTable[[#This Row],[Total inns]],"")</f>
        <v/>
      </c>
      <c r="Z869" s="47">
        <f>(LayTable[[#This Row],[BookieInnsats]]*LayTable[[#This Row],[BookieOdds]]-LayTable[[#This Row],[BookieInnsats]])*(1-LayTable[[#This Row],[C% Bookie]])</f>
        <v>0</v>
      </c>
      <c r="AA869" s="43">
        <f>LayTable[[#This Row],[LayInnsats]]*(1-LayTable[[#This Row],[C% Lay]])</f>
        <v>0</v>
      </c>
      <c r="AB869" s="43" t="str">
        <f>IFERROR(IF(LayTable[[#This Row],[Sport]]="",AB868,LayTable[[#This Row],[Faktisk res]]+AB868),"")</f>
        <v/>
      </c>
      <c r="AC869" s="43">
        <f>(LayTable[[#This Row],[BackWin-Commission]]+LayTable[[#This Row],[BookieInnsats]])</f>
        <v>0</v>
      </c>
      <c r="AD869" s="43" t="e">
        <f>(LayTable[[#This Row],[LayWin-Commission]])+LayTable[[#This Row],[LayLiability]]</f>
        <v>#VALUE!</v>
      </c>
      <c r="AE869" s="43"/>
      <c r="AF869" s="183"/>
    </row>
    <row r="870" spans="1:32">
      <c r="A870" s="84"/>
      <c r="B870" s="39"/>
      <c r="C870" s="40"/>
      <c r="D870" s="41"/>
      <c r="E870" s="40"/>
      <c r="F870" s="41"/>
      <c r="G870" s="183"/>
      <c r="H870" s="38"/>
      <c r="I870" s="42"/>
      <c r="J870" s="42"/>
      <c r="K870" s="43"/>
      <c r="L870" s="43"/>
      <c r="M870" s="44" t="str">
        <f>IF(LayTable[[#This Row],[Sport]]="","",LayTable[[#This Row],[LayInnsats]]*(LayTable[[#This Row],[LayOdds]]-1))</f>
        <v/>
      </c>
      <c r="N870" s="45" t="str">
        <f>IF(LayTable[[#This Row],[Sport]]="","",1/((1/LayTable[[#This Row],[BookieOdds]])+(1/((1/((1+((LayTable[[#This Row],[LayOdds]]-1)*(1+LayTable[[#This Row],[C% Lay]])))-1))+1)))-1)</f>
        <v/>
      </c>
      <c r="Q870" s="46" t="str">
        <f>IF(LayTable[[#This Row],[Sport]]="","",LayTable[[#This Row],[BookieInnsats]]+LayTable[[#This Row],[LayLiability]])</f>
        <v/>
      </c>
      <c r="R8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0" s="47" t="str">
        <f>IF(LayTable[[#This Row],[Utfall bookie]]="","",LayTable[[#This Row],[WBABack]]+LayTable[[#This Row],[WBALay]]-LayTable[[#This Row],[Total inns]])</f>
        <v/>
      </c>
      <c r="U8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0" s="48" t="str">
        <f>IFERROR(IF(LayTable[[#This Row],[Total inns]]="","",LayTable[[#This Row],[Rback]]/LayTable[[#This Row],[Total inns]]),"")</f>
        <v/>
      </c>
      <c r="X870" s="48" t="str">
        <f>IFERROR(IF(LayTable[[#This Row],[Total inns]]="","",LayTable[[#This Row],[Rlay]]/LayTable[[#This Row],[Total inns]]),"")</f>
        <v/>
      </c>
      <c r="Y870" s="48" t="str">
        <f>IFERROR(LayTable[[#This Row],[Faktisk res]]/LayTable[[#This Row],[Total inns]],"")</f>
        <v/>
      </c>
      <c r="Z870" s="47">
        <f>(LayTable[[#This Row],[BookieInnsats]]*LayTable[[#This Row],[BookieOdds]]-LayTable[[#This Row],[BookieInnsats]])*(1-LayTable[[#This Row],[C% Bookie]])</f>
        <v>0</v>
      </c>
      <c r="AA870" s="43">
        <f>LayTable[[#This Row],[LayInnsats]]*(1-LayTable[[#This Row],[C% Lay]])</f>
        <v>0</v>
      </c>
      <c r="AB870" s="43" t="str">
        <f>IFERROR(IF(LayTable[[#This Row],[Sport]]="",AB869,LayTable[[#This Row],[Faktisk res]]+AB869),"")</f>
        <v/>
      </c>
      <c r="AC870" s="43">
        <f>(LayTable[[#This Row],[BackWin-Commission]]+LayTable[[#This Row],[BookieInnsats]])</f>
        <v>0</v>
      </c>
      <c r="AD870" s="43" t="e">
        <f>(LayTable[[#This Row],[LayWin-Commission]])+LayTable[[#This Row],[LayLiability]]</f>
        <v>#VALUE!</v>
      </c>
      <c r="AE870" s="43"/>
      <c r="AF870" s="183"/>
    </row>
    <row r="871" spans="1:32">
      <c r="A871" s="84"/>
      <c r="B871" s="39"/>
      <c r="C871" s="40"/>
      <c r="D871" s="41"/>
      <c r="E871" s="40"/>
      <c r="F871" s="41"/>
      <c r="G871" s="183"/>
      <c r="H871" s="38"/>
      <c r="I871" s="42"/>
      <c r="J871" s="42"/>
      <c r="K871" s="43"/>
      <c r="L871" s="43"/>
      <c r="M871" s="44" t="str">
        <f>IF(LayTable[[#This Row],[Sport]]="","",LayTable[[#This Row],[LayInnsats]]*(LayTable[[#This Row],[LayOdds]]-1))</f>
        <v/>
      </c>
      <c r="N871" s="45" t="str">
        <f>IF(LayTable[[#This Row],[Sport]]="","",1/((1/LayTable[[#This Row],[BookieOdds]])+(1/((1/((1+((LayTable[[#This Row],[LayOdds]]-1)*(1+LayTable[[#This Row],[C% Lay]])))-1))+1)))-1)</f>
        <v/>
      </c>
      <c r="Q871" s="46" t="str">
        <f>IF(LayTable[[#This Row],[Sport]]="","",LayTable[[#This Row],[BookieInnsats]]+LayTable[[#This Row],[LayLiability]])</f>
        <v/>
      </c>
      <c r="R8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1" s="47" t="str">
        <f>IF(LayTable[[#This Row],[Utfall bookie]]="","",LayTable[[#This Row],[WBABack]]+LayTable[[#This Row],[WBALay]]-LayTable[[#This Row],[Total inns]])</f>
        <v/>
      </c>
      <c r="U8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1" s="48" t="str">
        <f>IFERROR(IF(LayTable[[#This Row],[Total inns]]="","",LayTable[[#This Row],[Rback]]/LayTable[[#This Row],[Total inns]]),"")</f>
        <v/>
      </c>
      <c r="X871" s="48" t="str">
        <f>IFERROR(IF(LayTable[[#This Row],[Total inns]]="","",LayTable[[#This Row],[Rlay]]/LayTable[[#This Row],[Total inns]]),"")</f>
        <v/>
      </c>
      <c r="Y871" s="48" t="str">
        <f>IFERROR(LayTable[[#This Row],[Faktisk res]]/LayTable[[#This Row],[Total inns]],"")</f>
        <v/>
      </c>
      <c r="Z871" s="47">
        <f>(LayTable[[#This Row],[BookieInnsats]]*LayTable[[#This Row],[BookieOdds]]-LayTable[[#This Row],[BookieInnsats]])*(1-LayTable[[#This Row],[C% Bookie]])</f>
        <v>0</v>
      </c>
      <c r="AA871" s="43">
        <f>LayTable[[#This Row],[LayInnsats]]*(1-LayTable[[#This Row],[C% Lay]])</f>
        <v>0</v>
      </c>
      <c r="AB871" s="43" t="str">
        <f>IFERROR(IF(LayTable[[#This Row],[Sport]]="",AB870,LayTable[[#This Row],[Faktisk res]]+AB870),"")</f>
        <v/>
      </c>
      <c r="AC871" s="43">
        <f>(LayTable[[#This Row],[BackWin-Commission]]+LayTable[[#This Row],[BookieInnsats]])</f>
        <v>0</v>
      </c>
      <c r="AD871" s="43" t="e">
        <f>(LayTable[[#This Row],[LayWin-Commission]])+LayTable[[#This Row],[LayLiability]]</f>
        <v>#VALUE!</v>
      </c>
      <c r="AE871" s="43"/>
      <c r="AF871" s="181"/>
    </row>
    <row r="872" spans="1:32">
      <c r="A872" s="84"/>
      <c r="B872" s="39"/>
      <c r="C872" s="40"/>
      <c r="D872" s="41"/>
      <c r="E872" s="40"/>
      <c r="F872" s="41"/>
      <c r="G872" s="183"/>
      <c r="H872" s="38"/>
      <c r="I872" s="42"/>
      <c r="J872" s="42"/>
      <c r="K872" s="43"/>
      <c r="L872" s="43"/>
      <c r="M872" s="44" t="str">
        <f>IF(LayTable[[#This Row],[Sport]]="","",LayTable[[#This Row],[LayInnsats]]*(LayTable[[#This Row],[LayOdds]]-1))</f>
        <v/>
      </c>
      <c r="N872" s="45" t="str">
        <f>IF(LayTable[[#This Row],[Sport]]="","",1/((1/LayTable[[#This Row],[BookieOdds]])+(1/((1/((1+((LayTable[[#This Row],[LayOdds]]-1)*(1+LayTable[[#This Row],[C% Lay]])))-1))+1)))-1)</f>
        <v/>
      </c>
      <c r="Q872" s="46" t="str">
        <f>IF(LayTable[[#This Row],[Sport]]="","",LayTable[[#This Row],[BookieInnsats]]+LayTable[[#This Row],[LayLiability]])</f>
        <v/>
      </c>
      <c r="R8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2" s="47" t="str">
        <f>IF(LayTable[[#This Row],[Utfall bookie]]="","",LayTable[[#This Row],[WBABack]]+LayTable[[#This Row],[WBALay]]-LayTable[[#This Row],[Total inns]])</f>
        <v/>
      </c>
      <c r="U8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2" s="48" t="str">
        <f>IFERROR(IF(LayTable[[#This Row],[Total inns]]="","",LayTable[[#This Row],[Rback]]/LayTable[[#This Row],[Total inns]]),"")</f>
        <v/>
      </c>
      <c r="X872" s="48" t="str">
        <f>IFERROR(IF(LayTable[[#This Row],[Total inns]]="","",LayTable[[#This Row],[Rlay]]/LayTable[[#This Row],[Total inns]]),"")</f>
        <v/>
      </c>
      <c r="Y872" s="48" t="str">
        <f>IFERROR(LayTable[[#This Row],[Faktisk res]]/LayTable[[#This Row],[Total inns]],"")</f>
        <v/>
      </c>
      <c r="Z872" s="47">
        <f>(LayTable[[#This Row],[BookieInnsats]]*LayTable[[#This Row],[BookieOdds]]-LayTable[[#This Row],[BookieInnsats]])*(1-LayTable[[#This Row],[C% Bookie]])</f>
        <v>0</v>
      </c>
      <c r="AA872" s="43">
        <f>LayTable[[#This Row],[LayInnsats]]*(1-LayTable[[#This Row],[C% Lay]])</f>
        <v>0</v>
      </c>
      <c r="AB872" s="43" t="str">
        <f>IFERROR(IF(LayTable[[#This Row],[Sport]]="",AB871,LayTable[[#This Row],[Faktisk res]]+AB871),"")</f>
        <v/>
      </c>
      <c r="AC872" s="43">
        <f>(LayTable[[#This Row],[BackWin-Commission]]+LayTable[[#This Row],[BookieInnsats]])</f>
        <v>0</v>
      </c>
      <c r="AD872" s="43" t="e">
        <f>(LayTable[[#This Row],[LayWin-Commission]])+LayTable[[#This Row],[LayLiability]]</f>
        <v>#VALUE!</v>
      </c>
      <c r="AE872" s="43"/>
      <c r="AF872" s="181"/>
    </row>
    <row r="873" spans="1:32">
      <c r="A873" s="84"/>
      <c r="B873" s="39"/>
      <c r="C873" s="40"/>
      <c r="D873" s="41"/>
      <c r="E873" s="40"/>
      <c r="F873" s="41"/>
      <c r="G873" s="183"/>
      <c r="H873" s="38"/>
      <c r="I873" s="42"/>
      <c r="J873" s="42"/>
      <c r="K873" s="43"/>
      <c r="L873" s="43"/>
      <c r="M873" s="44" t="str">
        <f>IF(LayTable[[#This Row],[Sport]]="","",LayTable[[#This Row],[LayInnsats]]*(LayTable[[#This Row],[LayOdds]]-1))</f>
        <v/>
      </c>
      <c r="N873" s="45" t="str">
        <f>IF(LayTable[[#This Row],[Sport]]="","",1/((1/LayTable[[#This Row],[BookieOdds]])+(1/((1/((1+((LayTable[[#This Row],[LayOdds]]-1)*(1+LayTable[[#This Row],[C% Lay]])))-1))+1)))-1)</f>
        <v/>
      </c>
      <c r="Q873" s="46" t="str">
        <f>IF(LayTable[[#This Row],[Sport]]="","",LayTable[[#This Row],[BookieInnsats]]+LayTable[[#This Row],[LayLiability]])</f>
        <v/>
      </c>
      <c r="R8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3" s="47" t="str">
        <f>IF(LayTable[[#This Row],[Utfall bookie]]="","",LayTable[[#This Row],[WBABack]]+LayTable[[#This Row],[WBALay]]-LayTable[[#This Row],[Total inns]])</f>
        <v/>
      </c>
      <c r="U8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3" s="48" t="str">
        <f>IFERROR(IF(LayTable[[#This Row],[Total inns]]="","",LayTable[[#This Row],[Rback]]/LayTable[[#This Row],[Total inns]]),"")</f>
        <v/>
      </c>
      <c r="X873" s="48" t="str">
        <f>IFERROR(IF(LayTable[[#This Row],[Total inns]]="","",LayTable[[#This Row],[Rlay]]/LayTable[[#This Row],[Total inns]]),"")</f>
        <v/>
      </c>
      <c r="Y873" s="48" t="str">
        <f>IFERROR(LayTable[[#This Row],[Faktisk res]]/LayTable[[#This Row],[Total inns]],"")</f>
        <v/>
      </c>
      <c r="Z873" s="47">
        <f>(LayTable[[#This Row],[BookieInnsats]]*LayTable[[#This Row],[BookieOdds]]-LayTable[[#This Row],[BookieInnsats]])*(1-LayTable[[#This Row],[C% Bookie]])</f>
        <v>0</v>
      </c>
      <c r="AA873" s="43">
        <f>LayTable[[#This Row],[LayInnsats]]*(1-LayTable[[#This Row],[C% Lay]])</f>
        <v>0</v>
      </c>
      <c r="AB873" s="43" t="str">
        <f>IFERROR(IF(LayTable[[#This Row],[Sport]]="",AB872,LayTable[[#This Row],[Faktisk res]]+AB872),"")</f>
        <v/>
      </c>
      <c r="AC873" s="43">
        <f>(LayTable[[#This Row],[BackWin-Commission]]+LayTable[[#This Row],[BookieInnsats]])</f>
        <v>0</v>
      </c>
      <c r="AD873" s="43" t="e">
        <f>(LayTable[[#This Row],[LayWin-Commission]])+LayTable[[#This Row],[LayLiability]]</f>
        <v>#VALUE!</v>
      </c>
      <c r="AE873" s="43"/>
      <c r="AF873" s="181"/>
    </row>
    <row r="874" spans="1:32">
      <c r="A874" s="84"/>
      <c r="B874" s="39"/>
      <c r="C874" s="40"/>
      <c r="D874" s="41"/>
      <c r="E874" s="40"/>
      <c r="F874" s="41"/>
      <c r="G874" s="183"/>
      <c r="H874" s="38"/>
      <c r="I874" s="42"/>
      <c r="J874" s="42"/>
      <c r="K874" s="43"/>
      <c r="L874" s="43"/>
      <c r="M874" s="44" t="str">
        <f>IF(LayTable[[#This Row],[Sport]]="","",LayTable[[#This Row],[LayInnsats]]*(LayTable[[#This Row],[LayOdds]]-1))</f>
        <v/>
      </c>
      <c r="N874" s="45" t="str">
        <f>IF(LayTable[[#This Row],[Sport]]="","",1/((1/LayTable[[#This Row],[BookieOdds]])+(1/((1/((1+((LayTable[[#This Row],[LayOdds]]-1)*(1+LayTable[[#This Row],[C% Lay]])))-1))+1)))-1)</f>
        <v/>
      </c>
      <c r="Q874" s="46" t="str">
        <f>IF(LayTable[[#This Row],[Sport]]="","",LayTable[[#This Row],[BookieInnsats]]+LayTable[[#This Row],[LayLiability]])</f>
        <v/>
      </c>
      <c r="R8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4" s="47" t="str">
        <f>IF(LayTable[[#This Row],[Utfall bookie]]="","",LayTable[[#This Row],[WBABack]]+LayTable[[#This Row],[WBALay]]-LayTable[[#This Row],[Total inns]])</f>
        <v/>
      </c>
      <c r="U8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4" s="48" t="str">
        <f>IFERROR(IF(LayTable[[#This Row],[Total inns]]="","",LayTable[[#This Row],[Rback]]/LayTable[[#This Row],[Total inns]]),"")</f>
        <v/>
      </c>
      <c r="X874" s="48" t="str">
        <f>IFERROR(IF(LayTable[[#This Row],[Total inns]]="","",LayTable[[#This Row],[Rlay]]/LayTable[[#This Row],[Total inns]]),"")</f>
        <v/>
      </c>
      <c r="Y874" s="48" t="str">
        <f>IFERROR(LayTable[[#This Row],[Faktisk res]]/LayTable[[#This Row],[Total inns]],"")</f>
        <v/>
      </c>
      <c r="Z874" s="47">
        <f>(LayTable[[#This Row],[BookieInnsats]]*LayTable[[#This Row],[BookieOdds]]-LayTable[[#This Row],[BookieInnsats]])*(1-LayTable[[#This Row],[C% Bookie]])</f>
        <v>0</v>
      </c>
      <c r="AA874" s="43">
        <f>LayTable[[#This Row],[LayInnsats]]*(1-LayTable[[#This Row],[C% Lay]])</f>
        <v>0</v>
      </c>
      <c r="AB874" s="43" t="str">
        <f>IFERROR(IF(LayTable[[#This Row],[Sport]]="",AB873,LayTable[[#This Row],[Faktisk res]]+AB873),"")</f>
        <v/>
      </c>
      <c r="AC874" s="43">
        <f>(LayTable[[#This Row],[BackWin-Commission]]+LayTable[[#This Row],[BookieInnsats]])</f>
        <v>0</v>
      </c>
      <c r="AD874" s="43" t="e">
        <f>(LayTable[[#This Row],[LayWin-Commission]])+LayTable[[#This Row],[LayLiability]]</f>
        <v>#VALUE!</v>
      </c>
      <c r="AE874" s="43"/>
      <c r="AF874" s="181"/>
    </row>
    <row r="875" spans="1:32">
      <c r="A875" s="84"/>
      <c r="B875" s="39"/>
      <c r="C875" s="40"/>
      <c r="D875" s="41"/>
      <c r="E875" s="40"/>
      <c r="F875" s="41"/>
      <c r="G875" s="183"/>
      <c r="H875" s="38"/>
      <c r="I875" s="42"/>
      <c r="J875" s="42"/>
      <c r="K875" s="43"/>
      <c r="L875" s="43"/>
      <c r="M875" s="44" t="str">
        <f>IF(LayTable[[#This Row],[Sport]]="","",LayTable[[#This Row],[LayInnsats]]*(LayTable[[#This Row],[LayOdds]]-1))</f>
        <v/>
      </c>
      <c r="N875" s="45" t="str">
        <f>IF(LayTable[[#This Row],[Sport]]="","",1/((1/LayTable[[#This Row],[BookieOdds]])+(1/((1/((1+((LayTable[[#This Row],[LayOdds]]-1)*(1+LayTable[[#This Row],[C% Lay]])))-1))+1)))-1)</f>
        <v/>
      </c>
      <c r="Q875" s="46" t="str">
        <f>IF(LayTable[[#This Row],[Sport]]="","",LayTable[[#This Row],[BookieInnsats]]+LayTable[[#This Row],[LayLiability]])</f>
        <v/>
      </c>
      <c r="R8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5" s="47" t="str">
        <f>IF(LayTable[[#This Row],[Utfall bookie]]="","",LayTable[[#This Row],[WBABack]]+LayTable[[#This Row],[WBALay]]-LayTable[[#This Row],[Total inns]])</f>
        <v/>
      </c>
      <c r="U8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5" s="48" t="str">
        <f>IFERROR(IF(LayTable[[#This Row],[Total inns]]="","",LayTable[[#This Row],[Rback]]/LayTable[[#This Row],[Total inns]]),"")</f>
        <v/>
      </c>
      <c r="X875" s="48" t="str">
        <f>IFERROR(IF(LayTable[[#This Row],[Total inns]]="","",LayTable[[#This Row],[Rlay]]/LayTable[[#This Row],[Total inns]]),"")</f>
        <v/>
      </c>
      <c r="Y875" s="48" t="str">
        <f>IFERROR(LayTable[[#This Row],[Faktisk res]]/LayTable[[#This Row],[Total inns]],"")</f>
        <v/>
      </c>
      <c r="Z875" s="47">
        <f>(LayTable[[#This Row],[BookieInnsats]]*LayTable[[#This Row],[BookieOdds]]-LayTable[[#This Row],[BookieInnsats]])*(1-LayTable[[#This Row],[C% Bookie]])</f>
        <v>0</v>
      </c>
      <c r="AA875" s="43">
        <f>LayTable[[#This Row],[LayInnsats]]*(1-LayTable[[#This Row],[C% Lay]])</f>
        <v>0</v>
      </c>
      <c r="AB875" s="43" t="str">
        <f>IFERROR(IF(LayTable[[#This Row],[Sport]]="",AB874,LayTable[[#This Row],[Faktisk res]]+AB874),"")</f>
        <v/>
      </c>
      <c r="AC875" s="43">
        <f>(LayTable[[#This Row],[BackWin-Commission]]+LayTable[[#This Row],[BookieInnsats]])</f>
        <v>0</v>
      </c>
      <c r="AD875" s="43" t="e">
        <f>(LayTable[[#This Row],[LayWin-Commission]])+LayTable[[#This Row],[LayLiability]]</f>
        <v>#VALUE!</v>
      </c>
      <c r="AE875" s="43"/>
      <c r="AF875" s="181"/>
    </row>
    <row r="876" spans="1:32">
      <c r="A876" s="84"/>
      <c r="B876" s="39"/>
      <c r="C876" s="40"/>
      <c r="D876" s="41"/>
      <c r="E876" s="40"/>
      <c r="F876" s="41"/>
      <c r="G876" s="183"/>
      <c r="H876" s="38"/>
      <c r="I876" s="42"/>
      <c r="J876" s="42"/>
      <c r="K876" s="43"/>
      <c r="L876" s="43"/>
      <c r="M876" s="44" t="str">
        <f>IF(LayTable[[#This Row],[Sport]]="","",LayTable[[#This Row],[LayInnsats]]*(LayTable[[#This Row],[LayOdds]]-1))</f>
        <v/>
      </c>
      <c r="N876" s="45" t="str">
        <f>IF(LayTable[[#This Row],[Sport]]="","",1/((1/LayTable[[#This Row],[BookieOdds]])+(1/((1/((1+((LayTable[[#This Row],[LayOdds]]-1)*(1+LayTable[[#This Row],[C% Lay]])))-1))+1)))-1)</f>
        <v/>
      </c>
      <c r="Q876" s="46" t="str">
        <f>IF(LayTable[[#This Row],[Sport]]="","",LayTable[[#This Row],[BookieInnsats]]+LayTable[[#This Row],[LayLiability]])</f>
        <v/>
      </c>
      <c r="R8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6" s="47" t="str">
        <f>IF(LayTable[[#This Row],[Utfall bookie]]="","",LayTable[[#This Row],[WBABack]]+LayTable[[#This Row],[WBALay]]-LayTable[[#This Row],[Total inns]])</f>
        <v/>
      </c>
      <c r="U8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6" s="48" t="str">
        <f>IFERROR(IF(LayTable[[#This Row],[Total inns]]="","",LayTable[[#This Row],[Rback]]/LayTable[[#This Row],[Total inns]]),"")</f>
        <v/>
      </c>
      <c r="X876" s="48" t="str">
        <f>IFERROR(IF(LayTable[[#This Row],[Total inns]]="","",LayTable[[#This Row],[Rlay]]/LayTable[[#This Row],[Total inns]]),"")</f>
        <v/>
      </c>
      <c r="Y876" s="48" t="str">
        <f>IFERROR(LayTable[[#This Row],[Faktisk res]]/LayTable[[#This Row],[Total inns]],"")</f>
        <v/>
      </c>
      <c r="Z876" s="47">
        <f>(LayTable[[#This Row],[BookieInnsats]]*LayTable[[#This Row],[BookieOdds]]-LayTable[[#This Row],[BookieInnsats]])*(1-LayTable[[#This Row],[C% Bookie]])</f>
        <v>0</v>
      </c>
      <c r="AA876" s="43">
        <f>LayTable[[#This Row],[LayInnsats]]*(1-LayTable[[#This Row],[C% Lay]])</f>
        <v>0</v>
      </c>
      <c r="AB876" s="43" t="str">
        <f>IFERROR(IF(LayTable[[#This Row],[Sport]]="",AB875,LayTable[[#This Row],[Faktisk res]]+AB875),"")</f>
        <v/>
      </c>
      <c r="AC876" s="43">
        <f>(LayTable[[#This Row],[BackWin-Commission]]+LayTable[[#This Row],[BookieInnsats]])</f>
        <v>0</v>
      </c>
      <c r="AD876" s="43" t="e">
        <f>(LayTable[[#This Row],[LayWin-Commission]])+LayTable[[#This Row],[LayLiability]]</f>
        <v>#VALUE!</v>
      </c>
      <c r="AE876" s="43"/>
      <c r="AF876" s="181"/>
    </row>
    <row r="877" spans="1:32">
      <c r="A877" s="84"/>
      <c r="B877" s="39"/>
      <c r="C877" s="40"/>
      <c r="D877" s="41"/>
      <c r="E877" s="40"/>
      <c r="F877" s="41"/>
      <c r="G877" s="183"/>
      <c r="H877" s="38"/>
      <c r="I877" s="42"/>
      <c r="J877" s="42"/>
      <c r="K877" s="43"/>
      <c r="L877" s="43"/>
      <c r="M877" s="44" t="str">
        <f>IF(LayTable[[#This Row],[Sport]]="","",LayTable[[#This Row],[LayInnsats]]*(LayTable[[#This Row],[LayOdds]]-1))</f>
        <v/>
      </c>
      <c r="N877" s="45" t="str">
        <f>IF(LayTable[[#This Row],[Sport]]="","",1/((1/LayTable[[#This Row],[BookieOdds]])+(1/((1/((1+((LayTable[[#This Row],[LayOdds]]-1)*(1+LayTable[[#This Row],[C% Lay]])))-1))+1)))-1)</f>
        <v/>
      </c>
      <c r="Q877" s="46" t="str">
        <f>IF(LayTable[[#This Row],[Sport]]="","",LayTable[[#This Row],[BookieInnsats]]+LayTable[[#This Row],[LayLiability]])</f>
        <v/>
      </c>
      <c r="R8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7" s="47" t="str">
        <f>IF(LayTable[[#This Row],[Utfall bookie]]="","",LayTable[[#This Row],[WBABack]]+LayTable[[#This Row],[WBALay]]-LayTable[[#This Row],[Total inns]])</f>
        <v/>
      </c>
      <c r="U8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7" s="48" t="str">
        <f>IFERROR(IF(LayTable[[#This Row],[Total inns]]="","",LayTable[[#This Row],[Rback]]/LayTable[[#This Row],[Total inns]]),"")</f>
        <v/>
      </c>
      <c r="X877" s="48" t="str">
        <f>IFERROR(IF(LayTable[[#This Row],[Total inns]]="","",LayTable[[#This Row],[Rlay]]/LayTable[[#This Row],[Total inns]]),"")</f>
        <v/>
      </c>
      <c r="Y877" s="48" t="str">
        <f>IFERROR(LayTable[[#This Row],[Faktisk res]]/LayTable[[#This Row],[Total inns]],"")</f>
        <v/>
      </c>
      <c r="Z877" s="47">
        <f>(LayTable[[#This Row],[BookieInnsats]]*LayTable[[#This Row],[BookieOdds]]-LayTable[[#This Row],[BookieInnsats]])*(1-LayTable[[#This Row],[C% Bookie]])</f>
        <v>0</v>
      </c>
      <c r="AA877" s="43">
        <f>LayTable[[#This Row],[LayInnsats]]*(1-LayTable[[#This Row],[C% Lay]])</f>
        <v>0</v>
      </c>
      <c r="AB877" s="43" t="str">
        <f>IFERROR(IF(LayTable[[#This Row],[Sport]]="",AB876,LayTable[[#This Row],[Faktisk res]]+AB876),"")</f>
        <v/>
      </c>
      <c r="AC877" s="43">
        <f>(LayTable[[#This Row],[BackWin-Commission]]+LayTable[[#This Row],[BookieInnsats]])</f>
        <v>0</v>
      </c>
      <c r="AD877" s="43" t="e">
        <f>(LayTable[[#This Row],[LayWin-Commission]])+LayTable[[#This Row],[LayLiability]]</f>
        <v>#VALUE!</v>
      </c>
      <c r="AE877" s="43"/>
      <c r="AF877" s="181"/>
    </row>
    <row r="878" spans="1:32">
      <c r="A878" s="84"/>
      <c r="B878" s="39"/>
      <c r="C878" s="40"/>
      <c r="D878" s="41"/>
      <c r="E878" s="40"/>
      <c r="F878" s="41"/>
      <c r="G878" s="183"/>
      <c r="H878" s="38"/>
      <c r="I878" s="42"/>
      <c r="J878" s="42"/>
      <c r="K878" s="43"/>
      <c r="L878" s="43"/>
      <c r="M878" s="44" t="str">
        <f>IF(LayTable[[#This Row],[Sport]]="","",LayTable[[#This Row],[LayInnsats]]*(LayTable[[#This Row],[LayOdds]]-1))</f>
        <v/>
      </c>
      <c r="N878" s="45" t="str">
        <f>IF(LayTable[[#This Row],[Sport]]="","",1/((1/LayTable[[#This Row],[BookieOdds]])+(1/((1/((1+((LayTable[[#This Row],[LayOdds]]-1)*(1+LayTable[[#This Row],[C% Lay]])))-1))+1)))-1)</f>
        <v/>
      </c>
      <c r="Q878" s="46" t="str">
        <f>IF(LayTable[[#This Row],[Sport]]="","",LayTable[[#This Row],[BookieInnsats]]+LayTable[[#This Row],[LayLiability]])</f>
        <v/>
      </c>
      <c r="R8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8" s="47" t="str">
        <f>IF(LayTable[[#This Row],[Utfall bookie]]="","",LayTable[[#This Row],[WBABack]]+LayTable[[#This Row],[WBALay]]-LayTable[[#This Row],[Total inns]])</f>
        <v/>
      </c>
      <c r="U8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8" s="48" t="str">
        <f>IFERROR(IF(LayTable[[#This Row],[Total inns]]="","",LayTable[[#This Row],[Rback]]/LayTable[[#This Row],[Total inns]]),"")</f>
        <v/>
      </c>
      <c r="X878" s="48" t="str">
        <f>IFERROR(IF(LayTable[[#This Row],[Total inns]]="","",LayTable[[#This Row],[Rlay]]/LayTable[[#This Row],[Total inns]]),"")</f>
        <v/>
      </c>
      <c r="Y878" s="48" t="str">
        <f>IFERROR(LayTable[[#This Row],[Faktisk res]]/LayTable[[#This Row],[Total inns]],"")</f>
        <v/>
      </c>
      <c r="Z878" s="47">
        <f>(LayTable[[#This Row],[BookieInnsats]]*LayTable[[#This Row],[BookieOdds]]-LayTable[[#This Row],[BookieInnsats]])*(1-LayTable[[#This Row],[C% Bookie]])</f>
        <v>0</v>
      </c>
      <c r="AA878" s="43">
        <f>LayTable[[#This Row],[LayInnsats]]*(1-LayTable[[#This Row],[C% Lay]])</f>
        <v>0</v>
      </c>
      <c r="AB878" s="43" t="str">
        <f>IFERROR(IF(LayTable[[#This Row],[Sport]]="",AB877,LayTable[[#This Row],[Faktisk res]]+AB877),"")</f>
        <v/>
      </c>
      <c r="AC878" s="43">
        <f>(LayTable[[#This Row],[BackWin-Commission]]+LayTable[[#This Row],[BookieInnsats]])</f>
        <v>0</v>
      </c>
      <c r="AD878" s="43" t="e">
        <f>(LayTable[[#This Row],[LayWin-Commission]])+LayTable[[#This Row],[LayLiability]]</f>
        <v>#VALUE!</v>
      </c>
      <c r="AE878" s="43"/>
      <c r="AF878" s="181"/>
    </row>
    <row r="879" spans="1:32">
      <c r="A879" s="84"/>
      <c r="B879" s="39"/>
      <c r="C879" s="40"/>
      <c r="D879" s="41"/>
      <c r="E879" s="40"/>
      <c r="F879" s="41"/>
      <c r="G879" s="183"/>
      <c r="H879" s="38"/>
      <c r="I879" s="42"/>
      <c r="J879" s="42"/>
      <c r="K879" s="43"/>
      <c r="L879" s="43"/>
      <c r="M879" s="44" t="str">
        <f>IF(LayTable[[#This Row],[Sport]]="","",LayTable[[#This Row],[LayInnsats]]*(LayTable[[#This Row],[LayOdds]]-1))</f>
        <v/>
      </c>
      <c r="N879" s="45" t="str">
        <f>IF(LayTable[[#This Row],[Sport]]="","",1/((1/LayTable[[#This Row],[BookieOdds]])+(1/((1/((1+((LayTable[[#This Row],[LayOdds]]-1)*(1+LayTable[[#This Row],[C% Lay]])))-1))+1)))-1)</f>
        <v/>
      </c>
      <c r="Q879" s="46" t="str">
        <f>IF(LayTable[[#This Row],[Sport]]="","",LayTable[[#This Row],[BookieInnsats]]+LayTable[[#This Row],[LayLiability]])</f>
        <v/>
      </c>
      <c r="R8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79" s="47" t="str">
        <f>IF(LayTable[[#This Row],[Utfall bookie]]="","",LayTable[[#This Row],[WBABack]]+LayTable[[#This Row],[WBALay]]-LayTable[[#This Row],[Total inns]])</f>
        <v/>
      </c>
      <c r="U8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79" s="48" t="str">
        <f>IFERROR(IF(LayTable[[#This Row],[Total inns]]="","",LayTable[[#This Row],[Rback]]/LayTable[[#This Row],[Total inns]]),"")</f>
        <v/>
      </c>
      <c r="X879" s="48" t="str">
        <f>IFERROR(IF(LayTable[[#This Row],[Total inns]]="","",LayTable[[#This Row],[Rlay]]/LayTable[[#This Row],[Total inns]]),"")</f>
        <v/>
      </c>
      <c r="Y879" s="48" t="str">
        <f>IFERROR(LayTable[[#This Row],[Faktisk res]]/LayTable[[#This Row],[Total inns]],"")</f>
        <v/>
      </c>
      <c r="Z879" s="47">
        <f>(LayTable[[#This Row],[BookieInnsats]]*LayTable[[#This Row],[BookieOdds]]-LayTable[[#This Row],[BookieInnsats]])*(1-LayTable[[#This Row],[C% Bookie]])</f>
        <v>0</v>
      </c>
      <c r="AA879" s="43">
        <f>LayTable[[#This Row],[LayInnsats]]*(1-LayTable[[#This Row],[C% Lay]])</f>
        <v>0</v>
      </c>
      <c r="AB879" s="43" t="str">
        <f>IFERROR(IF(LayTable[[#This Row],[Sport]]="",AB878,LayTable[[#This Row],[Faktisk res]]+AB878),"")</f>
        <v/>
      </c>
      <c r="AC879" s="43">
        <f>(LayTable[[#This Row],[BackWin-Commission]]+LayTable[[#This Row],[BookieInnsats]])</f>
        <v>0</v>
      </c>
      <c r="AD879" s="43" t="e">
        <f>(LayTable[[#This Row],[LayWin-Commission]])+LayTable[[#This Row],[LayLiability]]</f>
        <v>#VALUE!</v>
      </c>
      <c r="AE879" s="43"/>
      <c r="AF879" s="181"/>
    </row>
    <row r="880" spans="1:32">
      <c r="A880" s="84"/>
      <c r="B880" s="39"/>
      <c r="C880" s="40"/>
      <c r="D880" s="41"/>
      <c r="E880" s="40"/>
      <c r="F880" s="41"/>
      <c r="G880" s="183"/>
      <c r="H880" s="38"/>
      <c r="I880" s="42"/>
      <c r="J880" s="42"/>
      <c r="K880" s="43"/>
      <c r="L880" s="43"/>
      <c r="M880" s="44" t="str">
        <f>IF(LayTable[[#This Row],[Sport]]="","",LayTable[[#This Row],[LayInnsats]]*(LayTable[[#This Row],[LayOdds]]-1))</f>
        <v/>
      </c>
      <c r="N880" s="45" t="str">
        <f>IF(LayTable[[#This Row],[Sport]]="","",1/((1/LayTable[[#This Row],[BookieOdds]])+(1/((1/((1+((LayTable[[#This Row],[LayOdds]]-1)*(1+LayTable[[#This Row],[C% Lay]])))-1))+1)))-1)</f>
        <v/>
      </c>
      <c r="Q880" s="46" t="str">
        <f>IF(LayTable[[#This Row],[Sport]]="","",LayTable[[#This Row],[BookieInnsats]]+LayTable[[#This Row],[LayLiability]])</f>
        <v/>
      </c>
      <c r="R8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0" s="47" t="str">
        <f>IF(LayTable[[#This Row],[Utfall bookie]]="","",LayTable[[#This Row],[WBABack]]+LayTable[[#This Row],[WBALay]]-LayTable[[#This Row],[Total inns]])</f>
        <v/>
      </c>
      <c r="U8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0" s="48" t="str">
        <f>IFERROR(IF(LayTable[[#This Row],[Total inns]]="","",LayTable[[#This Row],[Rback]]/LayTable[[#This Row],[Total inns]]),"")</f>
        <v/>
      </c>
      <c r="X880" s="48" t="str">
        <f>IFERROR(IF(LayTable[[#This Row],[Total inns]]="","",LayTable[[#This Row],[Rlay]]/LayTable[[#This Row],[Total inns]]),"")</f>
        <v/>
      </c>
      <c r="Y880" s="48" t="str">
        <f>IFERROR(LayTable[[#This Row],[Faktisk res]]/LayTable[[#This Row],[Total inns]],"")</f>
        <v/>
      </c>
      <c r="Z880" s="47">
        <f>(LayTable[[#This Row],[BookieInnsats]]*LayTable[[#This Row],[BookieOdds]]-LayTable[[#This Row],[BookieInnsats]])*(1-LayTable[[#This Row],[C% Bookie]])</f>
        <v>0</v>
      </c>
      <c r="AA880" s="43">
        <f>LayTable[[#This Row],[LayInnsats]]*(1-LayTable[[#This Row],[C% Lay]])</f>
        <v>0</v>
      </c>
      <c r="AB880" s="43" t="str">
        <f>IFERROR(IF(LayTable[[#This Row],[Sport]]="",#REF!,LayTable[[#This Row],[Faktisk res]]+#REF!),"")</f>
        <v/>
      </c>
      <c r="AC880" s="43">
        <f>(LayTable[[#This Row],[BackWin-Commission]]+LayTable[[#This Row],[BookieInnsats]])</f>
        <v>0</v>
      </c>
      <c r="AD880" s="43" t="e">
        <f>(LayTable[[#This Row],[LayWin-Commission]])+LayTable[[#This Row],[LayLiability]]</f>
        <v>#VALUE!</v>
      </c>
      <c r="AE880" s="43"/>
      <c r="AF880" s="181"/>
    </row>
    <row r="881" spans="1:32">
      <c r="A881" s="84"/>
      <c r="B881" s="39"/>
      <c r="C881" s="40"/>
      <c r="D881" s="41"/>
      <c r="E881" s="40"/>
      <c r="F881" s="41"/>
      <c r="G881" s="183"/>
      <c r="H881" s="38"/>
      <c r="I881" s="42"/>
      <c r="J881" s="42"/>
      <c r="K881" s="43"/>
      <c r="L881" s="43"/>
      <c r="M881" s="44" t="str">
        <f>IF(LayTable[[#This Row],[Sport]]="","",LayTable[[#This Row],[LayInnsats]]*(LayTable[[#This Row],[LayOdds]]-1))</f>
        <v/>
      </c>
      <c r="N881" s="45" t="str">
        <f>IF(LayTable[[#This Row],[Sport]]="","",1/((1/LayTable[[#This Row],[BookieOdds]])+(1/((1/((1+((LayTable[[#This Row],[LayOdds]]-1)*(1+LayTable[[#This Row],[C% Lay]])))-1))+1)))-1)</f>
        <v/>
      </c>
      <c r="Q881" s="46" t="str">
        <f>IF(LayTable[[#This Row],[Sport]]="","",LayTable[[#This Row],[BookieInnsats]]+LayTable[[#This Row],[LayLiability]])</f>
        <v/>
      </c>
      <c r="R8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1" s="47" t="str">
        <f>IF(LayTable[[#This Row],[Utfall bookie]]="","",LayTable[[#This Row],[WBABack]]+LayTable[[#This Row],[WBALay]]-LayTable[[#This Row],[Total inns]])</f>
        <v/>
      </c>
      <c r="U8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1" s="48" t="str">
        <f>IFERROR(IF(LayTable[[#This Row],[Total inns]]="","",LayTable[[#This Row],[Rback]]/LayTable[[#This Row],[Total inns]]),"")</f>
        <v/>
      </c>
      <c r="X881" s="48" t="str">
        <f>IFERROR(IF(LayTable[[#This Row],[Total inns]]="","",LayTable[[#This Row],[Rlay]]/LayTable[[#This Row],[Total inns]]),"")</f>
        <v/>
      </c>
      <c r="Y881" s="48" t="str">
        <f>IFERROR(LayTable[[#This Row],[Faktisk res]]/LayTable[[#This Row],[Total inns]],"")</f>
        <v/>
      </c>
      <c r="Z881" s="47">
        <f>(LayTable[[#This Row],[BookieInnsats]]*LayTable[[#This Row],[BookieOdds]]-LayTable[[#This Row],[BookieInnsats]])*(1-LayTable[[#This Row],[C% Bookie]])</f>
        <v>0</v>
      </c>
      <c r="AA881" s="43">
        <f>LayTable[[#This Row],[LayInnsats]]*(1-LayTable[[#This Row],[C% Lay]])</f>
        <v>0</v>
      </c>
      <c r="AB881" s="43" t="str">
        <f>IFERROR(IF(LayTable[[#This Row],[Sport]]="",AB880,LayTable[[#This Row],[Faktisk res]]+AB880),"")</f>
        <v/>
      </c>
      <c r="AC881" s="43">
        <f>(LayTable[[#This Row],[BackWin-Commission]]+LayTable[[#This Row],[BookieInnsats]])</f>
        <v>0</v>
      </c>
      <c r="AD881" s="43" t="e">
        <f>(LayTable[[#This Row],[LayWin-Commission]])+LayTable[[#This Row],[LayLiability]]</f>
        <v>#VALUE!</v>
      </c>
      <c r="AE881" s="43"/>
      <c r="AF881" s="181"/>
    </row>
    <row r="882" spans="1:32">
      <c r="A882" s="84"/>
      <c r="B882" s="39"/>
      <c r="C882" s="40"/>
      <c r="D882" s="41"/>
      <c r="E882" s="40"/>
      <c r="F882" s="41"/>
      <c r="G882" s="183"/>
      <c r="H882" s="38"/>
      <c r="I882" s="42"/>
      <c r="J882" s="42"/>
      <c r="K882" s="43"/>
      <c r="L882" s="43"/>
      <c r="M882" s="44" t="str">
        <f>IF(LayTable[[#This Row],[Sport]]="","",LayTable[[#This Row],[LayInnsats]]*(LayTable[[#This Row],[LayOdds]]-1))</f>
        <v/>
      </c>
      <c r="N882" s="45" t="str">
        <f>IF(LayTable[[#This Row],[Sport]]="","",1/((1/LayTable[[#This Row],[BookieOdds]])+(1/((1/((1+((LayTable[[#This Row],[LayOdds]]-1)*(1+LayTable[[#This Row],[C% Lay]])))-1))+1)))-1)</f>
        <v/>
      </c>
      <c r="Q882" s="46" t="str">
        <f>IF(LayTable[[#This Row],[Sport]]="","",LayTable[[#This Row],[BookieInnsats]]+LayTable[[#This Row],[LayLiability]])</f>
        <v/>
      </c>
      <c r="R8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2" s="47" t="str">
        <f>IF(LayTable[[#This Row],[Utfall bookie]]="","",LayTable[[#This Row],[WBABack]]+LayTable[[#This Row],[WBALay]]-LayTable[[#This Row],[Total inns]])</f>
        <v/>
      </c>
      <c r="U8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2" s="48" t="str">
        <f>IFERROR(IF(LayTable[[#This Row],[Total inns]]="","",LayTable[[#This Row],[Rback]]/LayTable[[#This Row],[Total inns]]),"")</f>
        <v/>
      </c>
      <c r="X882" s="48" t="str">
        <f>IFERROR(IF(LayTable[[#This Row],[Total inns]]="","",LayTable[[#This Row],[Rlay]]/LayTable[[#This Row],[Total inns]]),"")</f>
        <v/>
      </c>
      <c r="Y882" s="48" t="str">
        <f>IFERROR(LayTable[[#This Row],[Faktisk res]]/LayTable[[#This Row],[Total inns]],"")</f>
        <v/>
      </c>
      <c r="Z882" s="47">
        <f>(LayTable[[#This Row],[BookieInnsats]]*LayTable[[#This Row],[BookieOdds]]-LayTable[[#This Row],[BookieInnsats]])*(1-LayTable[[#This Row],[C% Bookie]])</f>
        <v>0</v>
      </c>
      <c r="AA882" s="43">
        <f>LayTable[[#This Row],[LayInnsats]]*(1-LayTable[[#This Row],[C% Lay]])</f>
        <v>0</v>
      </c>
      <c r="AB882" s="43" t="str">
        <f>IFERROR(IF(LayTable[[#This Row],[Sport]]="",AB881,LayTable[[#This Row],[Faktisk res]]+AB881),"")</f>
        <v/>
      </c>
      <c r="AC882" s="43">
        <f>(LayTable[[#This Row],[BackWin-Commission]]+LayTable[[#This Row],[BookieInnsats]])</f>
        <v>0</v>
      </c>
      <c r="AD882" s="43" t="e">
        <f>(LayTable[[#This Row],[LayWin-Commission]])+LayTable[[#This Row],[LayLiability]]</f>
        <v>#VALUE!</v>
      </c>
      <c r="AE882" s="43"/>
      <c r="AF882" s="181"/>
    </row>
    <row r="883" spans="1:32">
      <c r="A883" s="84"/>
      <c r="B883" s="39"/>
      <c r="C883" s="40"/>
      <c r="D883" s="41"/>
      <c r="E883" s="40"/>
      <c r="F883" s="41"/>
      <c r="G883" s="183"/>
      <c r="H883" s="38"/>
      <c r="I883" s="42"/>
      <c r="J883" s="42"/>
      <c r="K883" s="43"/>
      <c r="L883" s="43"/>
      <c r="M883" s="44" t="str">
        <f>IF(LayTable[[#This Row],[Sport]]="","",LayTable[[#This Row],[LayInnsats]]*(LayTable[[#This Row],[LayOdds]]-1))</f>
        <v/>
      </c>
      <c r="N883" s="45" t="str">
        <f>IF(LayTable[[#This Row],[Sport]]="","",1/((1/LayTable[[#This Row],[BookieOdds]])+(1/((1/((1+((LayTable[[#This Row],[LayOdds]]-1)*(1+LayTable[[#This Row],[C% Lay]])))-1))+1)))-1)</f>
        <v/>
      </c>
      <c r="Q883" s="46" t="str">
        <f>IF(LayTable[[#This Row],[Sport]]="","",LayTable[[#This Row],[BookieInnsats]]+LayTable[[#This Row],[LayLiability]])</f>
        <v/>
      </c>
      <c r="R8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3" s="47" t="str">
        <f>IF(LayTable[[#This Row],[Utfall bookie]]="","",LayTable[[#This Row],[WBABack]]+LayTable[[#This Row],[WBALay]]-LayTable[[#This Row],[Total inns]])</f>
        <v/>
      </c>
      <c r="U8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3" s="48" t="str">
        <f>IFERROR(IF(LayTable[[#This Row],[Total inns]]="","",LayTable[[#This Row],[Rback]]/LayTable[[#This Row],[Total inns]]),"")</f>
        <v/>
      </c>
      <c r="X883" s="48" t="str">
        <f>IFERROR(IF(LayTable[[#This Row],[Total inns]]="","",LayTable[[#This Row],[Rlay]]/LayTable[[#This Row],[Total inns]]),"")</f>
        <v/>
      </c>
      <c r="Y883" s="48" t="str">
        <f>IFERROR(LayTable[[#This Row],[Faktisk res]]/LayTable[[#This Row],[Total inns]],"")</f>
        <v/>
      </c>
      <c r="Z883" s="47">
        <f>(LayTable[[#This Row],[BookieInnsats]]*LayTable[[#This Row],[BookieOdds]]-LayTable[[#This Row],[BookieInnsats]])*(1-LayTable[[#This Row],[C% Bookie]])</f>
        <v>0</v>
      </c>
      <c r="AA883" s="43">
        <f>LayTable[[#This Row],[LayInnsats]]*(1-LayTable[[#This Row],[C% Lay]])</f>
        <v>0</v>
      </c>
      <c r="AB883" s="43" t="str">
        <f>IFERROR(IF(LayTable[[#This Row],[Sport]]="",AB882,LayTable[[#This Row],[Faktisk res]]+AB882),"")</f>
        <v/>
      </c>
      <c r="AC883" s="43">
        <f>(LayTable[[#This Row],[BackWin-Commission]]+LayTable[[#This Row],[BookieInnsats]])</f>
        <v>0</v>
      </c>
      <c r="AD883" s="43" t="e">
        <f>(LayTable[[#This Row],[LayWin-Commission]])+LayTable[[#This Row],[LayLiability]]</f>
        <v>#VALUE!</v>
      </c>
      <c r="AE883" s="43"/>
      <c r="AF883" s="181"/>
    </row>
    <row r="884" spans="1:32">
      <c r="A884" s="84"/>
      <c r="B884" s="39"/>
      <c r="C884" s="40"/>
      <c r="D884" s="41"/>
      <c r="E884" s="40"/>
      <c r="F884" s="41"/>
      <c r="G884" s="183"/>
      <c r="H884" s="38"/>
      <c r="I884" s="42"/>
      <c r="J884" s="42"/>
      <c r="K884" s="43"/>
      <c r="L884" s="43"/>
      <c r="M884" s="44" t="str">
        <f>IF(LayTable[[#This Row],[Sport]]="","",LayTable[[#This Row],[LayInnsats]]*(LayTable[[#This Row],[LayOdds]]-1))</f>
        <v/>
      </c>
      <c r="N884" s="45" t="str">
        <f>IF(LayTable[[#This Row],[Sport]]="","",1/((1/LayTable[[#This Row],[BookieOdds]])+(1/((1/((1+((LayTable[[#This Row],[LayOdds]]-1)*(1+LayTable[[#This Row],[C% Lay]])))-1))+1)))-1)</f>
        <v/>
      </c>
      <c r="Q884" s="46" t="str">
        <f>IF(LayTable[[#This Row],[Sport]]="","",LayTable[[#This Row],[BookieInnsats]]+LayTable[[#This Row],[LayLiability]])</f>
        <v/>
      </c>
      <c r="R8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4" s="47" t="str">
        <f>IF(LayTable[[#This Row],[Utfall bookie]]="","",LayTable[[#This Row],[WBABack]]+LayTable[[#This Row],[WBALay]]-LayTable[[#This Row],[Total inns]])</f>
        <v/>
      </c>
      <c r="U8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4" s="48" t="str">
        <f>IFERROR(IF(LayTable[[#This Row],[Total inns]]="","",LayTable[[#This Row],[Rback]]/LayTable[[#This Row],[Total inns]]),"")</f>
        <v/>
      </c>
      <c r="X884" s="48" t="str">
        <f>IFERROR(IF(LayTable[[#This Row],[Total inns]]="","",LayTable[[#This Row],[Rlay]]/LayTable[[#This Row],[Total inns]]),"")</f>
        <v/>
      </c>
      <c r="Y884" s="48" t="str">
        <f>IFERROR(LayTable[[#This Row],[Faktisk res]]/LayTable[[#This Row],[Total inns]],"")</f>
        <v/>
      </c>
      <c r="Z884" s="47">
        <f>(LayTable[[#This Row],[BookieInnsats]]*LayTable[[#This Row],[BookieOdds]]-LayTable[[#This Row],[BookieInnsats]])*(1-LayTable[[#This Row],[C% Bookie]])</f>
        <v>0</v>
      </c>
      <c r="AA884" s="43">
        <f>LayTable[[#This Row],[LayInnsats]]*(1-LayTable[[#This Row],[C% Lay]])</f>
        <v>0</v>
      </c>
      <c r="AB884" s="43" t="str">
        <f>IFERROR(IF(LayTable[[#This Row],[Sport]]="",AB883,LayTable[[#This Row],[Faktisk res]]+AB883),"")</f>
        <v/>
      </c>
      <c r="AC884" s="43">
        <f>(LayTable[[#This Row],[BackWin-Commission]]+LayTable[[#This Row],[BookieInnsats]])</f>
        <v>0</v>
      </c>
      <c r="AD884" s="43" t="e">
        <f>(LayTable[[#This Row],[LayWin-Commission]])+LayTable[[#This Row],[LayLiability]]</f>
        <v>#VALUE!</v>
      </c>
      <c r="AE884" s="43"/>
      <c r="AF884" s="181"/>
    </row>
    <row r="885" spans="1:32">
      <c r="A885" s="84"/>
      <c r="B885" s="39"/>
      <c r="C885" s="40"/>
      <c r="D885" s="41"/>
      <c r="E885" s="40"/>
      <c r="F885" s="41"/>
      <c r="G885" s="183"/>
      <c r="H885" s="38"/>
      <c r="I885" s="42"/>
      <c r="J885" s="42"/>
      <c r="K885" s="43"/>
      <c r="L885" s="43"/>
      <c r="M885" s="44" t="str">
        <f>IF(LayTable[[#This Row],[Sport]]="","",LayTable[[#This Row],[LayInnsats]]*(LayTable[[#This Row],[LayOdds]]-1))</f>
        <v/>
      </c>
      <c r="N885" s="45" t="str">
        <f>IF(LayTable[[#This Row],[Sport]]="","",1/((1/LayTable[[#This Row],[BookieOdds]])+(1/((1/((1+((LayTable[[#This Row],[LayOdds]]-1)*(1+LayTable[[#This Row],[C% Lay]])))-1))+1)))-1)</f>
        <v/>
      </c>
      <c r="Q885" s="46" t="str">
        <f>IF(LayTable[[#This Row],[Sport]]="","",LayTable[[#This Row],[BookieInnsats]]+LayTable[[#This Row],[LayLiability]])</f>
        <v/>
      </c>
      <c r="R8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5" s="47" t="str">
        <f>IF(LayTable[[#This Row],[Utfall bookie]]="","",LayTable[[#This Row],[WBABack]]+LayTable[[#This Row],[WBALay]]-LayTable[[#This Row],[Total inns]])</f>
        <v/>
      </c>
      <c r="U8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5" s="48" t="str">
        <f>IFERROR(IF(LayTable[[#This Row],[Total inns]]="","",LayTable[[#This Row],[Rback]]/LayTable[[#This Row],[Total inns]]),"")</f>
        <v/>
      </c>
      <c r="X885" s="48" t="str">
        <f>IFERROR(IF(LayTable[[#This Row],[Total inns]]="","",LayTable[[#This Row],[Rlay]]/LayTable[[#This Row],[Total inns]]),"")</f>
        <v/>
      </c>
      <c r="Y885" s="48" t="str">
        <f>IFERROR(LayTable[[#This Row],[Faktisk res]]/LayTable[[#This Row],[Total inns]],"")</f>
        <v/>
      </c>
      <c r="Z885" s="47">
        <f>(LayTable[[#This Row],[BookieInnsats]]*LayTable[[#This Row],[BookieOdds]]-LayTable[[#This Row],[BookieInnsats]])*(1-LayTable[[#This Row],[C% Bookie]])</f>
        <v>0</v>
      </c>
      <c r="AA885" s="43">
        <f>LayTable[[#This Row],[LayInnsats]]*(1-LayTable[[#This Row],[C% Lay]])</f>
        <v>0</v>
      </c>
      <c r="AB885" s="43" t="str">
        <f>IFERROR(IF(LayTable[[#This Row],[Sport]]="",AB884,LayTable[[#This Row],[Faktisk res]]+AB884),"")</f>
        <v/>
      </c>
      <c r="AC885" s="43">
        <f>(LayTable[[#This Row],[BackWin-Commission]]+LayTable[[#This Row],[BookieInnsats]])</f>
        <v>0</v>
      </c>
      <c r="AD885" s="43" t="e">
        <f>(LayTable[[#This Row],[LayWin-Commission]])+LayTable[[#This Row],[LayLiability]]</f>
        <v>#VALUE!</v>
      </c>
      <c r="AE885" s="43"/>
      <c r="AF885" s="181"/>
    </row>
    <row r="886" spans="1:32">
      <c r="A886" s="84"/>
      <c r="B886" s="39"/>
      <c r="C886" s="40"/>
      <c r="D886" s="41"/>
      <c r="E886" s="40"/>
      <c r="F886" s="41"/>
      <c r="G886" s="183"/>
      <c r="H886" s="38"/>
      <c r="I886" s="42"/>
      <c r="J886" s="42"/>
      <c r="K886" s="43"/>
      <c r="L886" s="43"/>
      <c r="M886" s="44" t="str">
        <f>IF(LayTable[[#This Row],[Sport]]="","",LayTable[[#This Row],[LayInnsats]]*(LayTable[[#This Row],[LayOdds]]-1))</f>
        <v/>
      </c>
      <c r="N886" s="45" t="str">
        <f>IF(LayTable[[#This Row],[Sport]]="","",1/((1/LayTable[[#This Row],[BookieOdds]])+(1/((1/((1+((LayTable[[#This Row],[LayOdds]]-1)*(1+LayTable[[#This Row],[C% Lay]])))-1))+1)))-1)</f>
        <v/>
      </c>
      <c r="Q886" s="46" t="str">
        <f>IF(LayTable[[#This Row],[Sport]]="","",LayTable[[#This Row],[BookieInnsats]]+LayTable[[#This Row],[LayLiability]])</f>
        <v/>
      </c>
      <c r="R8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6" s="47" t="str">
        <f>IF(LayTable[[#This Row],[Utfall bookie]]="","",LayTable[[#This Row],[WBABack]]+LayTable[[#This Row],[WBALay]]-LayTable[[#This Row],[Total inns]])</f>
        <v/>
      </c>
      <c r="U8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6" s="48" t="str">
        <f>IFERROR(IF(LayTable[[#This Row],[Total inns]]="","",LayTable[[#This Row],[Rback]]/LayTable[[#This Row],[Total inns]]),"")</f>
        <v/>
      </c>
      <c r="X886" s="48" t="str">
        <f>IFERROR(IF(LayTable[[#This Row],[Total inns]]="","",LayTable[[#This Row],[Rlay]]/LayTable[[#This Row],[Total inns]]),"")</f>
        <v/>
      </c>
      <c r="Y886" s="48" t="str">
        <f>IFERROR(LayTable[[#This Row],[Faktisk res]]/LayTable[[#This Row],[Total inns]],"")</f>
        <v/>
      </c>
      <c r="Z886" s="47">
        <f>(LayTable[[#This Row],[BookieInnsats]]*LayTable[[#This Row],[BookieOdds]]-LayTable[[#This Row],[BookieInnsats]])*(1-LayTable[[#This Row],[C% Bookie]])</f>
        <v>0</v>
      </c>
      <c r="AA886" s="43">
        <f>LayTable[[#This Row],[LayInnsats]]*(1-LayTable[[#This Row],[C% Lay]])</f>
        <v>0</v>
      </c>
      <c r="AB886" s="43" t="str">
        <f>IFERROR(IF(LayTable[[#This Row],[Sport]]="",AB885,LayTable[[#This Row],[Faktisk res]]+AB885),"")</f>
        <v/>
      </c>
      <c r="AC886" s="43">
        <f>(LayTable[[#This Row],[BackWin-Commission]]+LayTable[[#This Row],[BookieInnsats]])</f>
        <v>0</v>
      </c>
      <c r="AD886" s="43" t="e">
        <f>(LayTable[[#This Row],[LayWin-Commission]])+LayTable[[#This Row],[LayLiability]]</f>
        <v>#VALUE!</v>
      </c>
      <c r="AE886" s="43"/>
      <c r="AF886" s="181"/>
    </row>
    <row r="887" spans="1:32">
      <c r="A887" s="84"/>
      <c r="B887" s="39"/>
      <c r="C887" s="40"/>
      <c r="D887" s="41"/>
      <c r="E887" s="40"/>
      <c r="F887" s="41"/>
      <c r="G887" s="183"/>
      <c r="H887" s="38"/>
      <c r="I887" s="42"/>
      <c r="J887" s="42"/>
      <c r="K887" s="43"/>
      <c r="L887" s="43"/>
      <c r="M887" s="44" t="str">
        <f>IF(LayTable[[#This Row],[Sport]]="","",LayTable[[#This Row],[LayInnsats]]*(LayTable[[#This Row],[LayOdds]]-1))</f>
        <v/>
      </c>
      <c r="N887" s="45" t="str">
        <f>IF(LayTable[[#This Row],[Sport]]="","",1/((1/LayTable[[#This Row],[BookieOdds]])+(1/((1/((1+((LayTable[[#This Row],[LayOdds]]-1)*(1+LayTable[[#This Row],[C% Lay]])))-1))+1)))-1)</f>
        <v/>
      </c>
      <c r="Q887" s="46" t="str">
        <f>IF(LayTable[[#This Row],[Sport]]="","",LayTable[[#This Row],[BookieInnsats]]+LayTable[[#This Row],[LayLiability]])</f>
        <v/>
      </c>
      <c r="R8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7" s="47" t="str">
        <f>IF(LayTable[[#This Row],[Utfall bookie]]="","",LayTable[[#This Row],[WBABack]]+LayTable[[#This Row],[WBALay]]-LayTable[[#This Row],[Total inns]])</f>
        <v/>
      </c>
      <c r="U8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7" s="48" t="str">
        <f>IFERROR(IF(LayTable[[#This Row],[Total inns]]="","",LayTable[[#This Row],[Rback]]/LayTable[[#This Row],[Total inns]]),"")</f>
        <v/>
      </c>
      <c r="X887" s="48" t="str">
        <f>IFERROR(IF(LayTable[[#This Row],[Total inns]]="","",LayTable[[#This Row],[Rlay]]/LayTable[[#This Row],[Total inns]]),"")</f>
        <v/>
      </c>
      <c r="Y887" s="48" t="str">
        <f>IFERROR(LayTable[[#This Row],[Faktisk res]]/LayTable[[#This Row],[Total inns]],"")</f>
        <v/>
      </c>
      <c r="Z887" s="47">
        <f>(LayTable[[#This Row],[BookieInnsats]]*LayTable[[#This Row],[BookieOdds]]-LayTable[[#This Row],[BookieInnsats]])*(1-LayTable[[#This Row],[C% Bookie]])</f>
        <v>0</v>
      </c>
      <c r="AA887" s="43">
        <f>LayTable[[#This Row],[LayInnsats]]*(1-LayTable[[#This Row],[C% Lay]])</f>
        <v>0</v>
      </c>
      <c r="AB887" s="43" t="str">
        <f>IFERROR(IF(LayTable[[#This Row],[Sport]]="",AB886,LayTable[[#This Row],[Faktisk res]]+AB886),"")</f>
        <v/>
      </c>
      <c r="AC887" s="43">
        <f>(LayTable[[#This Row],[BackWin-Commission]]+LayTable[[#This Row],[BookieInnsats]])</f>
        <v>0</v>
      </c>
      <c r="AD887" s="43" t="e">
        <f>(LayTable[[#This Row],[LayWin-Commission]])+LayTable[[#This Row],[LayLiability]]</f>
        <v>#VALUE!</v>
      </c>
      <c r="AE887" s="43"/>
      <c r="AF887" s="181"/>
    </row>
    <row r="888" spans="1:32">
      <c r="A888" s="84"/>
      <c r="B888" s="39"/>
      <c r="C888" s="40"/>
      <c r="D888" s="41"/>
      <c r="E888" s="40"/>
      <c r="F888" s="41"/>
      <c r="G888" s="183"/>
      <c r="H888" s="38"/>
      <c r="I888" s="42"/>
      <c r="J888" s="42"/>
      <c r="K888" s="43"/>
      <c r="L888" s="43"/>
      <c r="M888" s="44" t="str">
        <f>IF(LayTable[[#This Row],[Sport]]="","",LayTable[[#This Row],[LayInnsats]]*(LayTable[[#This Row],[LayOdds]]-1))</f>
        <v/>
      </c>
      <c r="N888" s="45" t="str">
        <f>IF(LayTable[[#This Row],[Sport]]="","",1/((1/LayTable[[#This Row],[BookieOdds]])+(1/((1/((1+((LayTable[[#This Row],[LayOdds]]-1)*(1+LayTable[[#This Row],[C% Lay]])))-1))+1)))-1)</f>
        <v/>
      </c>
      <c r="Q888" s="46" t="str">
        <f>IF(LayTable[[#This Row],[Sport]]="","",LayTable[[#This Row],[BookieInnsats]]+LayTable[[#This Row],[LayLiability]])</f>
        <v/>
      </c>
      <c r="R8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8" s="47" t="str">
        <f>IF(LayTable[[#This Row],[Utfall bookie]]="","",LayTable[[#This Row],[WBABack]]+LayTable[[#This Row],[WBALay]]-LayTable[[#This Row],[Total inns]])</f>
        <v/>
      </c>
      <c r="U8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8" s="48" t="str">
        <f>IFERROR(IF(LayTable[[#This Row],[Total inns]]="","",LayTable[[#This Row],[Rback]]/LayTable[[#This Row],[Total inns]]),"")</f>
        <v/>
      </c>
      <c r="X888" s="48" t="str">
        <f>IFERROR(IF(LayTable[[#This Row],[Total inns]]="","",LayTable[[#This Row],[Rlay]]/LayTable[[#This Row],[Total inns]]),"")</f>
        <v/>
      </c>
      <c r="Y888" s="48" t="str">
        <f>IFERROR(LayTable[[#This Row],[Faktisk res]]/LayTable[[#This Row],[Total inns]],"")</f>
        <v/>
      </c>
      <c r="Z888" s="47">
        <f>(LayTable[[#This Row],[BookieInnsats]]*LayTable[[#This Row],[BookieOdds]]-LayTable[[#This Row],[BookieInnsats]])*(1-LayTable[[#This Row],[C% Bookie]])</f>
        <v>0</v>
      </c>
      <c r="AA888" s="43">
        <f>LayTable[[#This Row],[LayInnsats]]*(1-LayTable[[#This Row],[C% Lay]])</f>
        <v>0</v>
      </c>
      <c r="AB888" s="43" t="str">
        <f>IFERROR(IF(LayTable[[#This Row],[Sport]]="",AB887,LayTable[[#This Row],[Faktisk res]]+AB887),"")</f>
        <v/>
      </c>
      <c r="AC888" s="43">
        <f>(LayTable[[#This Row],[BackWin-Commission]]+LayTable[[#This Row],[BookieInnsats]])</f>
        <v>0</v>
      </c>
      <c r="AD888" s="43" t="e">
        <f>(LayTable[[#This Row],[LayWin-Commission]])+LayTable[[#This Row],[LayLiability]]</f>
        <v>#VALUE!</v>
      </c>
      <c r="AE888" s="43"/>
      <c r="AF888" s="181"/>
    </row>
    <row r="889" spans="1:32">
      <c r="A889" s="84"/>
      <c r="B889" s="39"/>
      <c r="C889" s="40"/>
      <c r="D889" s="41"/>
      <c r="E889" s="40"/>
      <c r="F889" s="41"/>
      <c r="G889" s="183"/>
      <c r="H889" s="38"/>
      <c r="I889" s="42"/>
      <c r="J889" s="42"/>
      <c r="K889" s="43"/>
      <c r="L889" s="43"/>
      <c r="M889" s="44" t="str">
        <f>IF(LayTable[[#This Row],[Sport]]="","",LayTable[[#This Row],[LayInnsats]]*(LayTable[[#This Row],[LayOdds]]-1))</f>
        <v/>
      </c>
      <c r="N889" s="45" t="str">
        <f>IF(LayTable[[#This Row],[Sport]]="","",1/((1/LayTable[[#This Row],[BookieOdds]])+(1/((1/((1+((LayTable[[#This Row],[LayOdds]]-1)*(1+LayTable[[#This Row],[C% Lay]])))-1))+1)))-1)</f>
        <v/>
      </c>
      <c r="Q889" s="46" t="str">
        <f>IF(LayTable[[#This Row],[Sport]]="","",LayTable[[#This Row],[BookieInnsats]]+LayTable[[#This Row],[LayLiability]])</f>
        <v/>
      </c>
      <c r="R8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89" s="47" t="str">
        <f>IF(LayTable[[#This Row],[Utfall bookie]]="","",LayTable[[#This Row],[WBABack]]+LayTable[[#This Row],[WBALay]]-LayTable[[#This Row],[Total inns]])</f>
        <v/>
      </c>
      <c r="U8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89" s="48" t="str">
        <f>IFERROR(IF(LayTable[[#This Row],[Total inns]]="","",LayTable[[#This Row],[Rback]]/LayTable[[#This Row],[Total inns]]),"")</f>
        <v/>
      </c>
      <c r="X889" s="48" t="str">
        <f>IFERROR(IF(LayTable[[#This Row],[Total inns]]="","",LayTable[[#This Row],[Rlay]]/LayTable[[#This Row],[Total inns]]),"")</f>
        <v/>
      </c>
      <c r="Y889" s="48" t="str">
        <f>IFERROR(LayTable[[#This Row],[Faktisk res]]/LayTable[[#This Row],[Total inns]],"")</f>
        <v/>
      </c>
      <c r="Z889" s="47">
        <f>(LayTable[[#This Row],[BookieInnsats]]*LayTable[[#This Row],[BookieOdds]]-LayTable[[#This Row],[BookieInnsats]])*(1-LayTable[[#This Row],[C% Bookie]])</f>
        <v>0</v>
      </c>
      <c r="AA889" s="43">
        <f>LayTable[[#This Row],[LayInnsats]]*(1-LayTable[[#This Row],[C% Lay]])</f>
        <v>0</v>
      </c>
      <c r="AB889" s="43" t="str">
        <f>IFERROR(IF(LayTable[[#This Row],[Sport]]="",AB888,LayTable[[#This Row],[Faktisk res]]+AB888),"")</f>
        <v/>
      </c>
      <c r="AC889" s="43">
        <f>(LayTable[[#This Row],[BackWin-Commission]]+LayTable[[#This Row],[BookieInnsats]])</f>
        <v>0</v>
      </c>
      <c r="AD889" s="43" t="e">
        <f>(LayTable[[#This Row],[LayWin-Commission]])+LayTable[[#This Row],[LayLiability]]</f>
        <v>#VALUE!</v>
      </c>
      <c r="AE889" s="43"/>
      <c r="AF889" s="181"/>
    </row>
    <row r="890" spans="1:32">
      <c r="A890" s="84"/>
      <c r="B890" s="39"/>
      <c r="C890" s="40"/>
      <c r="D890" s="41"/>
      <c r="E890" s="40"/>
      <c r="F890" s="41"/>
      <c r="G890" s="183"/>
      <c r="H890" s="38"/>
      <c r="I890" s="42"/>
      <c r="J890" s="42"/>
      <c r="K890" s="43"/>
      <c r="L890" s="43"/>
      <c r="M890" s="44" t="str">
        <f>IF(LayTable[[#This Row],[Sport]]="","",LayTable[[#This Row],[LayInnsats]]*(LayTable[[#This Row],[LayOdds]]-1))</f>
        <v/>
      </c>
      <c r="N890" s="45" t="str">
        <f>IF(LayTable[[#This Row],[Sport]]="","",1/((1/LayTable[[#This Row],[BookieOdds]])+(1/((1/((1+((LayTable[[#This Row],[LayOdds]]-1)*(1+LayTable[[#This Row],[C% Lay]])))-1))+1)))-1)</f>
        <v/>
      </c>
      <c r="Q890" s="46" t="str">
        <f>IF(LayTable[[#This Row],[Sport]]="","",LayTable[[#This Row],[BookieInnsats]]+LayTable[[#This Row],[LayLiability]])</f>
        <v/>
      </c>
      <c r="R8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0" s="47" t="str">
        <f>IF(LayTable[[#This Row],[Utfall bookie]]="","",LayTable[[#This Row],[WBABack]]+LayTable[[#This Row],[WBALay]]-LayTable[[#This Row],[Total inns]])</f>
        <v/>
      </c>
      <c r="U8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0" s="48" t="str">
        <f>IFERROR(IF(LayTable[[#This Row],[Total inns]]="","",LayTable[[#This Row],[Rback]]/LayTable[[#This Row],[Total inns]]),"")</f>
        <v/>
      </c>
      <c r="X890" s="48" t="str">
        <f>IFERROR(IF(LayTable[[#This Row],[Total inns]]="","",LayTable[[#This Row],[Rlay]]/LayTable[[#This Row],[Total inns]]),"")</f>
        <v/>
      </c>
      <c r="Y890" s="48" t="str">
        <f>IFERROR(LayTable[[#This Row],[Faktisk res]]/LayTable[[#This Row],[Total inns]],"")</f>
        <v/>
      </c>
      <c r="Z890" s="47">
        <f>(LayTable[[#This Row],[BookieInnsats]]*LayTable[[#This Row],[BookieOdds]]-LayTable[[#This Row],[BookieInnsats]])*(1-LayTable[[#This Row],[C% Bookie]])</f>
        <v>0</v>
      </c>
      <c r="AA890" s="43">
        <f>LayTable[[#This Row],[LayInnsats]]*(1-LayTable[[#This Row],[C% Lay]])</f>
        <v>0</v>
      </c>
      <c r="AB890" s="43" t="str">
        <f>IFERROR(IF(LayTable[[#This Row],[Sport]]="",AB889,LayTable[[#This Row],[Faktisk res]]+AB889),"")</f>
        <v/>
      </c>
      <c r="AC890" s="43">
        <f>(LayTable[[#This Row],[BackWin-Commission]]+LayTable[[#This Row],[BookieInnsats]])</f>
        <v>0</v>
      </c>
      <c r="AD890" s="43" t="e">
        <f>(LayTable[[#This Row],[LayWin-Commission]])+LayTable[[#This Row],[LayLiability]]</f>
        <v>#VALUE!</v>
      </c>
      <c r="AE890" s="43"/>
      <c r="AF890" s="181"/>
    </row>
    <row r="891" spans="1:32">
      <c r="A891" s="84"/>
      <c r="B891" s="39"/>
      <c r="C891" s="40"/>
      <c r="D891" s="41"/>
      <c r="E891" s="40"/>
      <c r="F891" s="41"/>
      <c r="G891" s="183"/>
      <c r="H891" s="38"/>
      <c r="I891" s="42"/>
      <c r="J891" s="42"/>
      <c r="K891" s="43"/>
      <c r="L891" s="43"/>
      <c r="M891" s="44" t="str">
        <f>IF(LayTable[[#This Row],[Sport]]="","",LayTable[[#This Row],[LayInnsats]]*(LayTable[[#This Row],[LayOdds]]-1))</f>
        <v/>
      </c>
      <c r="N891" s="45" t="str">
        <f>IF(LayTable[[#This Row],[Sport]]="","",1/((1/LayTable[[#This Row],[BookieOdds]])+(1/((1/((1+((LayTable[[#This Row],[LayOdds]]-1)*(1+LayTable[[#This Row],[C% Lay]])))-1))+1)))-1)</f>
        <v/>
      </c>
      <c r="Q891" s="46" t="str">
        <f>IF(LayTable[[#This Row],[Sport]]="","",LayTable[[#This Row],[BookieInnsats]]+LayTable[[#This Row],[LayLiability]])</f>
        <v/>
      </c>
      <c r="R8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1" s="47" t="str">
        <f>IF(LayTable[[#This Row],[Utfall bookie]]="","",LayTable[[#This Row],[WBABack]]+LayTable[[#This Row],[WBALay]]-LayTable[[#This Row],[Total inns]])</f>
        <v/>
      </c>
      <c r="U8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1" s="48" t="str">
        <f>IFERROR(IF(LayTable[[#This Row],[Total inns]]="","",LayTable[[#This Row],[Rback]]/LayTable[[#This Row],[Total inns]]),"")</f>
        <v/>
      </c>
      <c r="X891" s="48" t="str">
        <f>IFERROR(IF(LayTable[[#This Row],[Total inns]]="","",LayTable[[#This Row],[Rlay]]/LayTable[[#This Row],[Total inns]]),"")</f>
        <v/>
      </c>
      <c r="Y891" s="48" t="str">
        <f>IFERROR(LayTable[[#This Row],[Faktisk res]]/LayTable[[#This Row],[Total inns]],"")</f>
        <v/>
      </c>
      <c r="Z891" s="47">
        <f>(LayTable[[#This Row],[BookieInnsats]]*LayTable[[#This Row],[BookieOdds]]-LayTable[[#This Row],[BookieInnsats]])*(1-LayTable[[#This Row],[C% Bookie]])</f>
        <v>0</v>
      </c>
      <c r="AA891" s="43">
        <f>LayTable[[#This Row],[LayInnsats]]*(1-LayTable[[#This Row],[C% Lay]])</f>
        <v>0</v>
      </c>
      <c r="AB891" s="43" t="str">
        <f>IFERROR(IF(LayTable[[#This Row],[Sport]]="",AB890,LayTable[[#This Row],[Faktisk res]]+AB890),"")</f>
        <v/>
      </c>
      <c r="AC891" s="43">
        <f>(LayTable[[#This Row],[BackWin-Commission]]+LayTable[[#This Row],[BookieInnsats]])</f>
        <v>0</v>
      </c>
      <c r="AD891" s="43" t="e">
        <f>(LayTable[[#This Row],[LayWin-Commission]])+LayTable[[#This Row],[LayLiability]]</f>
        <v>#VALUE!</v>
      </c>
      <c r="AE891" s="43"/>
      <c r="AF891" s="181"/>
    </row>
    <row r="892" spans="1:32">
      <c r="A892" s="84"/>
      <c r="B892" s="39"/>
      <c r="C892" s="40"/>
      <c r="D892" s="41"/>
      <c r="E892" s="40"/>
      <c r="F892" s="41"/>
      <c r="G892" s="183"/>
      <c r="H892" s="38"/>
      <c r="I892" s="42"/>
      <c r="J892" s="42"/>
      <c r="K892" s="43"/>
      <c r="L892" s="43"/>
      <c r="M892" s="44" t="str">
        <f>IF(LayTable[[#This Row],[Sport]]="","",LayTable[[#This Row],[LayInnsats]]*(LayTable[[#This Row],[LayOdds]]-1))</f>
        <v/>
      </c>
      <c r="N892" s="45" t="str">
        <f>IF(LayTable[[#This Row],[Sport]]="","",1/((1/LayTable[[#This Row],[BookieOdds]])+(1/((1/((1+((LayTable[[#This Row],[LayOdds]]-1)*(1+LayTable[[#This Row],[C% Lay]])))-1))+1)))-1)</f>
        <v/>
      </c>
      <c r="Q892" s="46" t="str">
        <f>IF(LayTable[[#This Row],[Sport]]="","",LayTable[[#This Row],[BookieInnsats]]+LayTable[[#This Row],[LayLiability]])</f>
        <v/>
      </c>
      <c r="R8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2" s="47" t="str">
        <f>IF(LayTable[[#This Row],[Utfall bookie]]="","",LayTable[[#This Row],[WBABack]]+LayTable[[#This Row],[WBALay]]-LayTable[[#This Row],[Total inns]])</f>
        <v/>
      </c>
      <c r="U8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2" s="48" t="str">
        <f>IFERROR(IF(LayTable[[#This Row],[Total inns]]="","",LayTable[[#This Row],[Rback]]/LayTable[[#This Row],[Total inns]]),"")</f>
        <v/>
      </c>
      <c r="X892" s="48" t="str">
        <f>IFERROR(IF(LayTable[[#This Row],[Total inns]]="","",LayTable[[#This Row],[Rlay]]/LayTable[[#This Row],[Total inns]]),"")</f>
        <v/>
      </c>
      <c r="Y892" s="48" t="str">
        <f>IFERROR(LayTable[[#This Row],[Faktisk res]]/LayTable[[#This Row],[Total inns]],"")</f>
        <v/>
      </c>
      <c r="Z892" s="47">
        <f>(LayTable[[#This Row],[BookieInnsats]]*LayTable[[#This Row],[BookieOdds]]-LayTable[[#This Row],[BookieInnsats]])*(1-LayTable[[#This Row],[C% Bookie]])</f>
        <v>0</v>
      </c>
      <c r="AA892" s="43">
        <f>LayTable[[#This Row],[LayInnsats]]*(1-LayTable[[#This Row],[C% Lay]])</f>
        <v>0</v>
      </c>
      <c r="AB892" s="43" t="str">
        <f>IFERROR(IF(LayTable[[#This Row],[Sport]]="",AB891,LayTable[[#This Row],[Faktisk res]]+AB891),"")</f>
        <v/>
      </c>
      <c r="AC892" s="43">
        <f>(LayTable[[#This Row],[BackWin-Commission]]+LayTable[[#This Row],[BookieInnsats]])</f>
        <v>0</v>
      </c>
      <c r="AD892" s="43" t="e">
        <f>(LayTable[[#This Row],[LayWin-Commission]])+LayTable[[#This Row],[LayLiability]]</f>
        <v>#VALUE!</v>
      </c>
      <c r="AE892" s="43"/>
      <c r="AF892" s="181"/>
    </row>
    <row r="893" spans="1:32">
      <c r="A893" s="84"/>
      <c r="B893" s="39"/>
      <c r="C893" s="40"/>
      <c r="D893" s="41"/>
      <c r="E893" s="40"/>
      <c r="F893" s="41"/>
      <c r="G893" s="183"/>
      <c r="H893" s="38"/>
      <c r="I893" s="42"/>
      <c r="J893" s="42"/>
      <c r="K893" s="43"/>
      <c r="L893" s="43"/>
      <c r="M893" s="44" t="str">
        <f>IF(LayTable[[#This Row],[Sport]]="","",LayTable[[#This Row],[LayInnsats]]*(LayTable[[#This Row],[LayOdds]]-1))</f>
        <v/>
      </c>
      <c r="N893" s="45" t="str">
        <f>IF(LayTable[[#This Row],[Sport]]="","",1/((1/LayTable[[#This Row],[BookieOdds]])+(1/((1/((1+((LayTable[[#This Row],[LayOdds]]-1)*(1+LayTable[[#This Row],[C% Lay]])))-1))+1)))-1)</f>
        <v/>
      </c>
      <c r="Q893" s="46" t="str">
        <f>IF(LayTable[[#This Row],[Sport]]="","",LayTable[[#This Row],[BookieInnsats]]+LayTable[[#This Row],[LayLiability]])</f>
        <v/>
      </c>
      <c r="R8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3" s="47" t="str">
        <f>IF(LayTable[[#This Row],[Utfall bookie]]="","",LayTable[[#This Row],[WBABack]]+LayTable[[#This Row],[WBALay]]-LayTable[[#This Row],[Total inns]])</f>
        <v/>
      </c>
      <c r="U8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3" s="48" t="str">
        <f>IFERROR(IF(LayTable[[#This Row],[Total inns]]="","",LayTable[[#This Row],[Rback]]/LayTable[[#This Row],[Total inns]]),"")</f>
        <v/>
      </c>
      <c r="X893" s="48" t="str">
        <f>IFERROR(IF(LayTable[[#This Row],[Total inns]]="","",LayTable[[#This Row],[Rlay]]/LayTable[[#This Row],[Total inns]]),"")</f>
        <v/>
      </c>
      <c r="Y893" s="48" t="str">
        <f>IFERROR(LayTable[[#This Row],[Faktisk res]]/LayTable[[#This Row],[Total inns]],"")</f>
        <v/>
      </c>
      <c r="Z893" s="47">
        <f>(LayTable[[#This Row],[BookieInnsats]]*LayTable[[#This Row],[BookieOdds]]-LayTable[[#This Row],[BookieInnsats]])*(1-LayTable[[#This Row],[C% Bookie]])</f>
        <v>0</v>
      </c>
      <c r="AA893" s="43">
        <f>LayTable[[#This Row],[LayInnsats]]*(1-LayTable[[#This Row],[C% Lay]])</f>
        <v>0</v>
      </c>
      <c r="AB893" s="43" t="str">
        <f>IFERROR(IF(LayTable[[#This Row],[Sport]]="",AB892,LayTable[[#This Row],[Faktisk res]]+AB892),"")</f>
        <v/>
      </c>
      <c r="AC893" s="43">
        <f>(LayTable[[#This Row],[BackWin-Commission]]+LayTable[[#This Row],[BookieInnsats]])</f>
        <v>0</v>
      </c>
      <c r="AD893" s="43" t="e">
        <f>(LayTable[[#This Row],[LayWin-Commission]])+LayTable[[#This Row],[LayLiability]]</f>
        <v>#VALUE!</v>
      </c>
      <c r="AE893" s="43"/>
      <c r="AF893" s="181"/>
    </row>
    <row r="894" spans="1:32">
      <c r="A894" s="84"/>
      <c r="B894" s="39"/>
      <c r="C894" s="40"/>
      <c r="D894" s="41"/>
      <c r="E894" s="40"/>
      <c r="F894" s="41"/>
      <c r="G894" s="183"/>
      <c r="H894" s="38"/>
      <c r="I894" s="42"/>
      <c r="J894" s="42"/>
      <c r="K894" s="43"/>
      <c r="L894" s="43"/>
      <c r="M894" s="44" t="str">
        <f>IF(LayTable[[#This Row],[Sport]]="","",LayTable[[#This Row],[LayInnsats]]*(LayTable[[#This Row],[LayOdds]]-1))</f>
        <v/>
      </c>
      <c r="N894" s="45" t="str">
        <f>IF(LayTable[[#This Row],[Sport]]="","",1/((1/LayTable[[#This Row],[BookieOdds]])+(1/((1/((1+((LayTable[[#This Row],[LayOdds]]-1)*(1+LayTable[[#This Row],[C% Lay]])))-1))+1)))-1)</f>
        <v/>
      </c>
      <c r="Q894" s="46" t="str">
        <f>IF(LayTable[[#This Row],[Sport]]="","",LayTable[[#This Row],[BookieInnsats]]+LayTable[[#This Row],[LayLiability]])</f>
        <v/>
      </c>
      <c r="R8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4" s="47" t="str">
        <f>IF(LayTable[[#This Row],[Utfall bookie]]="","",LayTable[[#This Row],[WBABack]]+LayTable[[#This Row],[WBALay]]-LayTable[[#This Row],[Total inns]])</f>
        <v/>
      </c>
      <c r="U8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4" s="48" t="str">
        <f>IFERROR(IF(LayTable[[#This Row],[Total inns]]="","",LayTable[[#This Row],[Rback]]/LayTable[[#This Row],[Total inns]]),"")</f>
        <v/>
      </c>
      <c r="X894" s="48" t="str">
        <f>IFERROR(IF(LayTable[[#This Row],[Total inns]]="","",LayTable[[#This Row],[Rlay]]/LayTable[[#This Row],[Total inns]]),"")</f>
        <v/>
      </c>
      <c r="Y894" s="48" t="str">
        <f>IFERROR(LayTable[[#This Row],[Faktisk res]]/LayTable[[#This Row],[Total inns]],"")</f>
        <v/>
      </c>
      <c r="Z894" s="47">
        <f>(LayTable[[#This Row],[BookieInnsats]]*LayTable[[#This Row],[BookieOdds]]-LayTable[[#This Row],[BookieInnsats]])*(1-LayTable[[#This Row],[C% Bookie]])</f>
        <v>0</v>
      </c>
      <c r="AA894" s="43">
        <f>LayTable[[#This Row],[LayInnsats]]*(1-LayTable[[#This Row],[C% Lay]])</f>
        <v>0</v>
      </c>
      <c r="AB894" s="43" t="str">
        <f>IFERROR(IF(LayTable[[#This Row],[Sport]]="",AB893,LayTable[[#This Row],[Faktisk res]]+AB893),"")</f>
        <v/>
      </c>
      <c r="AC894" s="43">
        <f>(LayTable[[#This Row],[BackWin-Commission]]+LayTable[[#This Row],[BookieInnsats]])</f>
        <v>0</v>
      </c>
      <c r="AD894" s="43" t="e">
        <f>(LayTable[[#This Row],[LayWin-Commission]])+LayTable[[#This Row],[LayLiability]]</f>
        <v>#VALUE!</v>
      </c>
      <c r="AE894" s="43"/>
      <c r="AF894" s="181"/>
    </row>
    <row r="895" spans="1:32">
      <c r="A895" s="84"/>
      <c r="B895" s="39"/>
      <c r="C895" s="40"/>
      <c r="D895" s="41"/>
      <c r="E895" s="40"/>
      <c r="F895" s="41"/>
      <c r="G895" s="183"/>
      <c r="H895" s="38"/>
      <c r="I895" s="42"/>
      <c r="J895" s="42"/>
      <c r="K895" s="43"/>
      <c r="L895" s="43"/>
      <c r="M895" s="44" t="str">
        <f>IF(LayTable[[#This Row],[Sport]]="","",LayTable[[#This Row],[LayInnsats]]*(LayTable[[#This Row],[LayOdds]]-1))</f>
        <v/>
      </c>
      <c r="N895" s="45" t="str">
        <f>IF(LayTable[[#This Row],[Sport]]="","",1/((1/LayTable[[#This Row],[BookieOdds]])+(1/((1/((1+((LayTable[[#This Row],[LayOdds]]-1)*(1+LayTable[[#This Row],[C% Lay]])))-1))+1)))-1)</f>
        <v/>
      </c>
      <c r="Q895" s="46" t="str">
        <f>IF(LayTable[[#This Row],[Sport]]="","",LayTable[[#This Row],[BookieInnsats]]+LayTable[[#This Row],[LayLiability]])</f>
        <v/>
      </c>
      <c r="R8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5" s="47" t="str">
        <f>IF(LayTable[[#This Row],[Utfall bookie]]="","",LayTable[[#This Row],[WBABack]]+LayTable[[#This Row],[WBALay]]-LayTable[[#This Row],[Total inns]])</f>
        <v/>
      </c>
      <c r="U8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5" s="48" t="str">
        <f>IFERROR(IF(LayTable[[#This Row],[Total inns]]="","",LayTable[[#This Row],[Rback]]/LayTable[[#This Row],[Total inns]]),"")</f>
        <v/>
      </c>
      <c r="X895" s="48" t="str">
        <f>IFERROR(IF(LayTable[[#This Row],[Total inns]]="","",LayTable[[#This Row],[Rlay]]/LayTable[[#This Row],[Total inns]]),"")</f>
        <v/>
      </c>
      <c r="Y895" s="48" t="str">
        <f>IFERROR(LayTable[[#This Row],[Faktisk res]]/LayTable[[#This Row],[Total inns]],"")</f>
        <v/>
      </c>
      <c r="Z895" s="47">
        <f>(LayTable[[#This Row],[BookieInnsats]]*LayTable[[#This Row],[BookieOdds]]-LayTable[[#This Row],[BookieInnsats]])*(1-LayTable[[#This Row],[C% Bookie]])</f>
        <v>0</v>
      </c>
      <c r="AA895" s="43">
        <f>LayTable[[#This Row],[LayInnsats]]*(1-LayTable[[#This Row],[C% Lay]])</f>
        <v>0</v>
      </c>
      <c r="AB895" s="43" t="str">
        <f>IFERROR(IF(LayTable[[#This Row],[Sport]]="",AB894,LayTable[[#This Row],[Faktisk res]]+AB894),"")</f>
        <v/>
      </c>
      <c r="AC895" s="43">
        <f>(LayTable[[#This Row],[BackWin-Commission]]+LayTable[[#This Row],[BookieInnsats]])</f>
        <v>0</v>
      </c>
      <c r="AD895" s="43" t="e">
        <f>(LayTable[[#This Row],[LayWin-Commission]])+LayTable[[#This Row],[LayLiability]]</f>
        <v>#VALUE!</v>
      </c>
      <c r="AE895" s="43"/>
      <c r="AF895" s="181"/>
    </row>
    <row r="896" spans="1:32">
      <c r="A896" s="84"/>
      <c r="B896" s="39"/>
      <c r="C896" s="40"/>
      <c r="D896" s="41"/>
      <c r="E896" s="40"/>
      <c r="F896" s="41"/>
      <c r="G896" s="183"/>
      <c r="H896" s="38"/>
      <c r="I896" s="42"/>
      <c r="J896" s="42"/>
      <c r="K896" s="43"/>
      <c r="L896" s="43"/>
      <c r="M896" s="44" t="str">
        <f>IF(LayTable[[#This Row],[Sport]]="","",LayTable[[#This Row],[LayInnsats]]*(LayTable[[#This Row],[LayOdds]]-1))</f>
        <v/>
      </c>
      <c r="N896" s="45" t="str">
        <f>IF(LayTable[[#This Row],[Sport]]="","",1/((1/LayTable[[#This Row],[BookieOdds]])+(1/((1/((1+((LayTable[[#This Row],[LayOdds]]-1)*(1+LayTable[[#This Row],[C% Lay]])))-1))+1)))-1)</f>
        <v/>
      </c>
      <c r="Q896" s="46" t="str">
        <f>IF(LayTable[[#This Row],[Sport]]="","",LayTable[[#This Row],[BookieInnsats]]+LayTable[[#This Row],[LayLiability]])</f>
        <v/>
      </c>
      <c r="R8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6" s="47" t="str">
        <f>IF(LayTable[[#This Row],[Utfall bookie]]="","",LayTable[[#This Row],[WBABack]]+LayTable[[#This Row],[WBALay]]-LayTable[[#This Row],[Total inns]])</f>
        <v/>
      </c>
      <c r="U8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6" s="48" t="str">
        <f>IFERROR(IF(LayTable[[#This Row],[Total inns]]="","",LayTable[[#This Row],[Rback]]/LayTable[[#This Row],[Total inns]]),"")</f>
        <v/>
      </c>
      <c r="X896" s="48" t="str">
        <f>IFERROR(IF(LayTable[[#This Row],[Total inns]]="","",LayTable[[#This Row],[Rlay]]/LayTable[[#This Row],[Total inns]]),"")</f>
        <v/>
      </c>
      <c r="Y896" s="48" t="str">
        <f>IFERROR(LayTable[[#This Row],[Faktisk res]]/LayTable[[#This Row],[Total inns]],"")</f>
        <v/>
      </c>
      <c r="Z896" s="47">
        <f>(LayTable[[#This Row],[BookieInnsats]]*LayTable[[#This Row],[BookieOdds]]-LayTable[[#This Row],[BookieInnsats]])*(1-LayTable[[#This Row],[C% Bookie]])</f>
        <v>0</v>
      </c>
      <c r="AA896" s="43">
        <f>LayTable[[#This Row],[LayInnsats]]*(1-LayTable[[#This Row],[C% Lay]])</f>
        <v>0</v>
      </c>
      <c r="AB896" s="43" t="str">
        <f>IFERROR(IF(LayTable[[#This Row],[Sport]]="",AB895,LayTable[[#This Row],[Faktisk res]]+AB895),"")</f>
        <v/>
      </c>
      <c r="AC896" s="43">
        <f>(LayTable[[#This Row],[BackWin-Commission]]+LayTable[[#This Row],[BookieInnsats]])</f>
        <v>0</v>
      </c>
      <c r="AD896" s="43" t="e">
        <f>(LayTable[[#This Row],[LayWin-Commission]])+LayTable[[#This Row],[LayLiability]]</f>
        <v>#VALUE!</v>
      </c>
      <c r="AE896" s="43"/>
      <c r="AF896" s="181"/>
    </row>
    <row r="897" spans="1:32">
      <c r="A897" s="84"/>
      <c r="B897" s="39"/>
      <c r="C897" s="40"/>
      <c r="D897" s="41"/>
      <c r="E897" s="40"/>
      <c r="F897" s="41"/>
      <c r="G897" s="183"/>
      <c r="H897" s="38"/>
      <c r="I897" s="42"/>
      <c r="J897" s="42"/>
      <c r="K897" s="43"/>
      <c r="L897" s="43"/>
      <c r="M897" s="44" t="str">
        <f>IF(LayTable[[#This Row],[Sport]]="","",LayTable[[#This Row],[LayInnsats]]*(LayTable[[#This Row],[LayOdds]]-1))</f>
        <v/>
      </c>
      <c r="N897" s="45" t="str">
        <f>IF(LayTable[[#This Row],[Sport]]="","",1/((1/LayTable[[#This Row],[BookieOdds]])+(1/((1/((1+((LayTable[[#This Row],[LayOdds]]-1)*(1+LayTable[[#This Row],[C% Lay]])))-1))+1)))-1)</f>
        <v/>
      </c>
      <c r="Q897" s="46" t="str">
        <f>IF(LayTable[[#This Row],[Sport]]="","",LayTable[[#This Row],[BookieInnsats]]+LayTable[[#This Row],[LayLiability]])</f>
        <v/>
      </c>
      <c r="R8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7" s="47" t="str">
        <f>IF(LayTable[[#This Row],[Utfall bookie]]="","",LayTable[[#This Row],[WBABack]]+LayTable[[#This Row],[WBALay]]-LayTable[[#This Row],[Total inns]])</f>
        <v/>
      </c>
      <c r="U8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7" s="48" t="str">
        <f>IFERROR(IF(LayTable[[#This Row],[Total inns]]="","",LayTable[[#This Row],[Rback]]/LayTable[[#This Row],[Total inns]]),"")</f>
        <v/>
      </c>
      <c r="X897" s="48" t="str">
        <f>IFERROR(IF(LayTable[[#This Row],[Total inns]]="","",LayTable[[#This Row],[Rlay]]/LayTable[[#This Row],[Total inns]]),"")</f>
        <v/>
      </c>
      <c r="Y897" s="48" t="str">
        <f>IFERROR(LayTable[[#This Row],[Faktisk res]]/LayTable[[#This Row],[Total inns]],"")</f>
        <v/>
      </c>
      <c r="Z897" s="47">
        <f>(LayTable[[#This Row],[BookieInnsats]]*LayTable[[#This Row],[BookieOdds]]-LayTable[[#This Row],[BookieInnsats]])*(1-LayTable[[#This Row],[C% Bookie]])</f>
        <v>0</v>
      </c>
      <c r="AA897" s="43">
        <f>LayTable[[#This Row],[LayInnsats]]*(1-LayTable[[#This Row],[C% Lay]])</f>
        <v>0</v>
      </c>
      <c r="AB897" s="43" t="str">
        <f>IFERROR(IF(LayTable[[#This Row],[Sport]]="",AB896,LayTable[[#This Row],[Faktisk res]]+AB896),"")</f>
        <v/>
      </c>
      <c r="AC897" s="43">
        <f>(LayTable[[#This Row],[BackWin-Commission]]+LayTable[[#This Row],[BookieInnsats]])</f>
        <v>0</v>
      </c>
      <c r="AD897" s="43" t="e">
        <f>(LayTable[[#This Row],[LayWin-Commission]])+LayTable[[#This Row],[LayLiability]]</f>
        <v>#VALUE!</v>
      </c>
      <c r="AE897" s="43"/>
      <c r="AF897" s="181"/>
    </row>
    <row r="898" spans="1:32">
      <c r="A898" s="84"/>
      <c r="B898" s="39"/>
      <c r="C898" s="40"/>
      <c r="D898" s="41"/>
      <c r="E898" s="40"/>
      <c r="F898" s="41"/>
      <c r="G898" s="183"/>
      <c r="H898" s="38"/>
      <c r="I898" s="42"/>
      <c r="J898" s="42"/>
      <c r="K898" s="43"/>
      <c r="L898" s="43"/>
      <c r="M898" s="44" t="str">
        <f>IF(LayTable[[#This Row],[Sport]]="","",LayTable[[#This Row],[LayInnsats]]*(LayTable[[#This Row],[LayOdds]]-1))</f>
        <v/>
      </c>
      <c r="N898" s="45" t="str">
        <f>IF(LayTable[[#This Row],[Sport]]="","",1/((1/LayTable[[#This Row],[BookieOdds]])+(1/((1/((1+((LayTable[[#This Row],[LayOdds]]-1)*(1+LayTable[[#This Row],[C% Lay]])))-1))+1)))-1)</f>
        <v/>
      </c>
      <c r="Q898" s="46" t="str">
        <f>IF(LayTable[[#This Row],[Sport]]="","",LayTable[[#This Row],[BookieInnsats]]+LayTable[[#This Row],[LayLiability]])</f>
        <v/>
      </c>
      <c r="R8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8" s="47" t="str">
        <f>IF(LayTable[[#This Row],[Utfall bookie]]="","",LayTable[[#This Row],[WBABack]]+LayTable[[#This Row],[WBALay]]-LayTable[[#This Row],[Total inns]])</f>
        <v/>
      </c>
      <c r="U8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8" s="48" t="str">
        <f>IFERROR(IF(LayTable[[#This Row],[Total inns]]="","",LayTable[[#This Row],[Rback]]/LayTable[[#This Row],[Total inns]]),"")</f>
        <v/>
      </c>
      <c r="X898" s="48" t="str">
        <f>IFERROR(IF(LayTable[[#This Row],[Total inns]]="","",LayTable[[#This Row],[Rlay]]/LayTable[[#This Row],[Total inns]]),"")</f>
        <v/>
      </c>
      <c r="Y898" s="48" t="str">
        <f>IFERROR(LayTable[[#This Row],[Faktisk res]]/LayTable[[#This Row],[Total inns]],"")</f>
        <v/>
      </c>
      <c r="Z898" s="47">
        <f>(LayTable[[#This Row],[BookieInnsats]]*LayTable[[#This Row],[BookieOdds]]-LayTable[[#This Row],[BookieInnsats]])*(1-LayTable[[#This Row],[C% Bookie]])</f>
        <v>0</v>
      </c>
      <c r="AA898" s="43">
        <f>LayTable[[#This Row],[LayInnsats]]*(1-LayTable[[#This Row],[C% Lay]])</f>
        <v>0</v>
      </c>
      <c r="AB898" s="43" t="str">
        <f>IFERROR(IF(LayTable[[#This Row],[Sport]]="",AB897,LayTable[[#This Row],[Faktisk res]]+AB897),"")</f>
        <v/>
      </c>
      <c r="AC898" s="43">
        <f>(LayTable[[#This Row],[BackWin-Commission]]+LayTable[[#This Row],[BookieInnsats]])</f>
        <v>0</v>
      </c>
      <c r="AD898" s="43" t="e">
        <f>(LayTable[[#This Row],[LayWin-Commission]])+LayTable[[#This Row],[LayLiability]]</f>
        <v>#VALUE!</v>
      </c>
      <c r="AE898" s="43"/>
      <c r="AF898" s="181"/>
    </row>
    <row r="899" spans="1:32">
      <c r="A899" s="84"/>
      <c r="B899" s="39"/>
      <c r="C899" s="40"/>
      <c r="D899" s="41"/>
      <c r="E899" s="40"/>
      <c r="F899" s="41"/>
      <c r="G899" s="183"/>
      <c r="H899" s="38"/>
      <c r="I899" s="42"/>
      <c r="J899" s="42"/>
      <c r="K899" s="43"/>
      <c r="L899" s="43"/>
      <c r="M899" s="44" t="str">
        <f>IF(LayTable[[#This Row],[Sport]]="","",LayTable[[#This Row],[LayInnsats]]*(LayTable[[#This Row],[LayOdds]]-1))</f>
        <v/>
      </c>
      <c r="N899" s="45" t="str">
        <f>IF(LayTable[[#This Row],[Sport]]="","",1/((1/LayTable[[#This Row],[BookieOdds]])+(1/((1/((1+((LayTable[[#This Row],[LayOdds]]-1)*(1+LayTable[[#This Row],[C% Lay]])))-1))+1)))-1)</f>
        <v/>
      </c>
      <c r="Q899" s="46" t="str">
        <f>IF(LayTable[[#This Row],[Sport]]="","",LayTable[[#This Row],[BookieInnsats]]+LayTable[[#This Row],[LayLiability]])</f>
        <v/>
      </c>
      <c r="R8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8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899" s="47" t="str">
        <f>IF(LayTable[[#This Row],[Utfall bookie]]="","",LayTable[[#This Row],[WBABack]]+LayTable[[#This Row],[WBALay]]-LayTable[[#This Row],[Total inns]])</f>
        <v/>
      </c>
      <c r="U8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8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899" s="48" t="str">
        <f>IFERROR(IF(LayTable[[#This Row],[Total inns]]="","",LayTable[[#This Row],[Rback]]/LayTable[[#This Row],[Total inns]]),"")</f>
        <v/>
      </c>
      <c r="X899" s="48" t="str">
        <f>IFERROR(IF(LayTable[[#This Row],[Total inns]]="","",LayTable[[#This Row],[Rlay]]/LayTable[[#This Row],[Total inns]]),"")</f>
        <v/>
      </c>
      <c r="Y899" s="48" t="str">
        <f>IFERROR(LayTable[[#This Row],[Faktisk res]]/LayTable[[#This Row],[Total inns]],"")</f>
        <v/>
      </c>
      <c r="Z899" s="47">
        <f>(LayTable[[#This Row],[BookieInnsats]]*LayTable[[#This Row],[BookieOdds]]-LayTable[[#This Row],[BookieInnsats]])*(1-LayTable[[#This Row],[C% Bookie]])</f>
        <v>0</v>
      </c>
      <c r="AA899" s="43">
        <f>LayTable[[#This Row],[LayInnsats]]*(1-LayTable[[#This Row],[C% Lay]])</f>
        <v>0</v>
      </c>
      <c r="AB899" s="43" t="str">
        <f>IFERROR(IF(LayTable[[#This Row],[Sport]]="",AB898,LayTable[[#This Row],[Faktisk res]]+AB898),"")</f>
        <v/>
      </c>
      <c r="AC899" s="43">
        <f>(LayTable[[#This Row],[BackWin-Commission]]+LayTable[[#This Row],[BookieInnsats]])</f>
        <v>0</v>
      </c>
      <c r="AD899" s="43" t="e">
        <f>(LayTable[[#This Row],[LayWin-Commission]])+LayTable[[#This Row],[LayLiability]]</f>
        <v>#VALUE!</v>
      </c>
      <c r="AE899" s="43"/>
      <c r="AF899" s="181"/>
    </row>
    <row r="900" spans="1:32">
      <c r="A900" s="84"/>
      <c r="B900" s="39"/>
      <c r="C900" s="40"/>
      <c r="D900" s="41"/>
      <c r="E900" s="40"/>
      <c r="F900" s="41"/>
      <c r="G900" s="183"/>
      <c r="H900" s="38"/>
      <c r="I900" s="42"/>
      <c r="J900" s="42"/>
      <c r="K900" s="43"/>
      <c r="L900" s="43"/>
      <c r="M900" s="44" t="str">
        <f>IF(LayTable[[#This Row],[Sport]]="","",LayTable[[#This Row],[LayInnsats]]*(LayTable[[#This Row],[LayOdds]]-1))</f>
        <v/>
      </c>
      <c r="N900" s="45" t="str">
        <f>IF(LayTable[[#This Row],[Sport]]="","",1/((1/LayTable[[#This Row],[BookieOdds]])+(1/((1/((1+((LayTable[[#This Row],[LayOdds]]-1)*(1+LayTable[[#This Row],[C% Lay]])))-1))+1)))-1)</f>
        <v/>
      </c>
      <c r="Q900" s="46" t="str">
        <f>IF(LayTable[[#This Row],[Sport]]="","",LayTable[[#This Row],[BookieInnsats]]+LayTable[[#This Row],[LayLiability]])</f>
        <v/>
      </c>
      <c r="R9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0" s="47" t="str">
        <f>IF(LayTable[[#This Row],[Utfall bookie]]="","",LayTable[[#This Row],[WBABack]]+LayTable[[#This Row],[WBALay]]-LayTable[[#This Row],[Total inns]])</f>
        <v/>
      </c>
      <c r="U9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0" s="48" t="str">
        <f>IFERROR(IF(LayTable[[#This Row],[Total inns]]="","",LayTable[[#This Row],[Rback]]/LayTable[[#This Row],[Total inns]]),"")</f>
        <v/>
      </c>
      <c r="X900" s="48" t="str">
        <f>IFERROR(IF(LayTable[[#This Row],[Total inns]]="","",LayTable[[#This Row],[Rlay]]/LayTable[[#This Row],[Total inns]]),"")</f>
        <v/>
      </c>
      <c r="Y900" s="48" t="str">
        <f>IFERROR(LayTable[[#This Row],[Faktisk res]]/LayTable[[#This Row],[Total inns]],"")</f>
        <v/>
      </c>
      <c r="Z900" s="47">
        <f>(LayTable[[#This Row],[BookieInnsats]]*LayTable[[#This Row],[BookieOdds]]-LayTable[[#This Row],[BookieInnsats]])*(1-LayTable[[#This Row],[C% Bookie]])</f>
        <v>0</v>
      </c>
      <c r="AA900" s="43">
        <f>LayTable[[#This Row],[LayInnsats]]*(1-LayTable[[#This Row],[C% Lay]])</f>
        <v>0</v>
      </c>
      <c r="AB900" s="43" t="str">
        <f>IFERROR(IF(LayTable[[#This Row],[Sport]]="",AB899,LayTable[[#This Row],[Faktisk res]]+AB899),"")</f>
        <v/>
      </c>
      <c r="AC900" s="43">
        <f>(LayTable[[#This Row],[BackWin-Commission]]+LayTable[[#This Row],[BookieInnsats]])</f>
        <v>0</v>
      </c>
      <c r="AD900" s="43" t="e">
        <f>(LayTable[[#This Row],[LayWin-Commission]])+LayTable[[#This Row],[LayLiability]]</f>
        <v>#VALUE!</v>
      </c>
      <c r="AE900" s="43"/>
      <c r="AF900" s="181"/>
    </row>
    <row r="901" spans="1:32">
      <c r="A901" s="84"/>
      <c r="B901" s="39"/>
      <c r="C901" s="40"/>
      <c r="D901" s="41"/>
      <c r="E901" s="40"/>
      <c r="F901" s="41"/>
      <c r="G901" s="183"/>
      <c r="H901" s="38"/>
      <c r="I901" s="42"/>
      <c r="J901" s="42"/>
      <c r="K901" s="43"/>
      <c r="L901" s="43"/>
      <c r="M901" s="44" t="str">
        <f>IF(LayTable[[#This Row],[Sport]]="","",LayTable[[#This Row],[LayInnsats]]*(LayTable[[#This Row],[LayOdds]]-1))</f>
        <v/>
      </c>
      <c r="N901" s="45" t="str">
        <f>IF(LayTable[[#This Row],[Sport]]="","",1/((1/LayTable[[#This Row],[BookieOdds]])+(1/((1/((1+((LayTable[[#This Row],[LayOdds]]-1)*(1+LayTable[[#This Row],[C% Lay]])))-1))+1)))-1)</f>
        <v/>
      </c>
      <c r="Q901" s="46" t="str">
        <f>IF(LayTable[[#This Row],[Sport]]="","",LayTable[[#This Row],[BookieInnsats]]+LayTable[[#This Row],[LayLiability]])</f>
        <v/>
      </c>
      <c r="R9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1" s="47" t="str">
        <f>IF(LayTable[[#This Row],[Utfall bookie]]="","",LayTable[[#This Row],[WBABack]]+LayTable[[#This Row],[WBALay]]-LayTable[[#This Row],[Total inns]])</f>
        <v/>
      </c>
      <c r="U9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1" s="48" t="str">
        <f>IFERROR(IF(LayTable[[#This Row],[Total inns]]="","",LayTable[[#This Row],[Rback]]/LayTable[[#This Row],[Total inns]]),"")</f>
        <v/>
      </c>
      <c r="X901" s="48" t="str">
        <f>IFERROR(IF(LayTable[[#This Row],[Total inns]]="","",LayTable[[#This Row],[Rlay]]/LayTable[[#This Row],[Total inns]]),"")</f>
        <v/>
      </c>
      <c r="Y901" s="48" t="str">
        <f>IFERROR(LayTable[[#This Row],[Faktisk res]]/LayTable[[#This Row],[Total inns]],"")</f>
        <v/>
      </c>
      <c r="Z901" s="47">
        <f>(LayTable[[#This Row],[BookieInnsats]]*LayTable[[#This Row],[BookieOdds]]-LayTable[[#This Row],[BookieInnsats]])*(1-LayTable[[#This Row],[C% Bookie]])</f>
        <v>0</v>
      </c>
      <c r="AA901" s="43">
        <f>LayTable[[#This Row],[LayInnsats]]*(1-LayTable[[#This Row],[C% Lay]])</f>
        <v>0</v>
      </c>
      <c r="AB901" s="43" t="str">
        <f>IFERROR(IF(LayTable[[#This Row],[Sport]]="",AB900,LayTable[[#This Row],[Faktisk res]]+AB900),"")</f>
        <v/>
      </c>
      <c r="AC901" s="43">
        <f>(LayTable[[#This Row],[BackWin-Commission]]+LayTable[[#This Row],[BookieInnsats]])</f>
        <v>0</v>
      </c>
      <c r="AD901" s="43" t="e">
        <f>(LayTable[[#This Row],[LayWin-Commission]])+LayTable[[#This Row],[LayLiability]]</f>
        <v>#VALUE!</v>
      </c>
      <c r="AE901" s="43"/>
      <c r="AF901" s="181"/>
    </row>
    <row r="902" spans="1:32">
      <c r="A902" s="84"/>
      <c r="B902" s="39"/>
      <c r="C902" s="40"/>
      <c r="D902" s="41"/>
      <c r="E902" s="40"/>
      <c r="F902" s="41"/>
      <c r="G902" s="183"/>
      <c r="H902" s="38"/>
      <c r="I902" s="42"/>
      <c r="J902" s="42"/>
      <c r="K902" s="43"/>
      <c r="L902" s="43"/>
      <c r="M902" s="44" t="str">
        <f>IF(LayTable[[#This Row],[Sport]]="","",LayTable[[#This Row],[LayInnsats]]*(LayTable[[#This Row],[LayOdds]]-1))</f>
        <v/>
      </c>
      <c r="N902" s="45" t="str">
        <f>IF(LayTable[[#This Row],[Sport]]="","",1/((1/LayTable[[#This Row],[BookieOdds]])+(1/((1/((1+((LayTable[[#This Row],[LayOdds]]-1)*(1+LayTable[[#This Row],[C% Lay]])))-1))+1)))-1)</f>
        <v/>
      </c>
      <c r="Q902" s="46" t="str">
        <f>IF(LayTable[[#This Row],[Sport]]="","",LayTable[[#This Row],[BookieInnsats]]+LayTable[[#This Row],[LayLiability]])</f>
        <v/>
      </c>
      <c r="R9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2" s="47" t="str">
        <f>IF(LayTable[[#This Row],[Utfall bookie]]="","",LayTable[[#This Row],[WBABack]]+LayTable[[#This Row],[WBALay]]-LayTable[[#This Row],[Total inns]])</f>
        <v/>
      </c>
      <c r="U9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2" s="48" t="str">
        <f>IFERROR(IF(LayTable[[#This Row],[Total inns]]="","",LayTable[[#This Row],[Rback]]/LayTable[[#This Row],[Total inns]]),"")</f>
        <v/>
      </c>
      <c r="X902" s="48" t="str">
        <f>IFERROR(IF(LayTable[[#This Row],[Total inns]]="","",LayTable[[#This Row],[Rlay]]/LayTable[[#This Row],[Total inns]]),"")</f>
        <v/>
      </c>
      <c r="Y902" s="48" t="str">
        <f>IFERROR(LayTable[[#This Row],[Faktisk res]]/LayTable[[#This Row],[Total inns]],"")</f>
        <v/>
      </c>
      <c r="Z902" s="47">
        <f>(LayTable[[#This Row],[BookieInnsats]]*LayTable[[#This Row],[BookieOdds]]-LayTable[[#This Row],[BookieInnsats]])*(1-LayTable[[#This Row],[C% Bookie]])</f>
        <v>0</v>
      </c>
      <c r="AA902" s="43">
        <f>LayTable[[#This Row],[LayInnsats]]*(1-LayTable[[#This Row],[C% Lay]])</f>
        <v>0</v>
      </c>
      <c r="AB902" s="43" t="str">
        <f>IFERROR(IF(LayTable[[#This Row],[Sport]]="",AB901,LayTable[[#This Row],[Faktisk res]]+AB901),"")</f>
        <v/>
      </c>
      <c r="AC902" s="43">
        <f>(LayTable[[#This Row],[BackWin-Commission]]+LayTable[[#This Row],[BookieInnsats]])</f>
        <v>0</v>
      </c>
      <c r="AD902" s="43" t="e">
        <f>(LayTable[[#This Row],[LayWin-Commission]])+LayTable[[#This Row],[LayLiability]]</f>
        <v>#VALUE!</v>
      </c>
      <c r="AE902" s="43"/>
      <c r="AF902" s="181"/>
    </row>
    <row r="903" spans="1:32">
      <c r="A903" s="84"/>
      <c r="B903" s="39"/>
      <c r="C903" s="40"/>
      <c r="D903" s="41"/>
      <c r="E903" s="40"/>
      <c r="F903" s="41"/>
      <c r="G903" s="183"/>
      <c r="H903" s="38"/>
      <c r="I903" s="42"/>
      <c r="J903" s="42"/>
      <c r="K903" s="43"/>
      <c r="L903" s="43"/>
      <c r="M903" s="44" t="str">
        <f>IF(LayTable[[#This Row],[Sport]]="","",LayTable[[#This Row],[LayInnsats]]*(LayTable[[#This Row],[LayOdds]]-1))</f>
        <v/>
      </c>
      <c r="N903" s="45" t="str">
        <f>IF(LayTable[[#This Row],[Sport]]="","",1/((1/LayTable[[#This Row],[BookieOdds]])+(1/((1/((1+((LayTable[[#This Row],[LayOdds]]-1)*(1+LayTable[[#This Row],[C% Lay]])))-1))+1)))-1)</f>
        <v/>
      </c>
      <c r="Q903" s="46" t="str">
        <f>IF(LayTable[[#This Row],[Sport]]="","",LayTable[[#This Row],[BookieInnsats]]+LayTable[[#This Row],[LayLiability]])</f>
        <v/>
      </c>
      <c r="R9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3" s="47" t="str">
        <f>IF(LayTable[[#This Row],[Utfall bookie]]="","",LayTable[[#This Row],[WBABack]]+LayTable[[#This Row],[WBALay]]-LayTable[[#This Row],[Total inns]])</f>
        <v/>
      </c>
      <c r="U9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3" s="48" t="str">
        <f>IFERROR(IF(LayTable[[#This Row],[Total inns]]="","",LayTable[[#This Row],[Rback]]/LayTable[[#This Row],[Total inns]]),"")</f>
        <v/>
      </c>
      <c r="X903" s="48" t="str">
        <f>IFERROR(IF(LayTable[[#This Row],[Total inns]]="","",LayTable[[#This Row],[Rlay]]/LayTable[[#This Row],[Total inns]]),"")</f>
        <v/>
      </c>
      <c r="Y903" s="48" t="str">
        <f>IFERROR(LayTable[[#This Row],[Faktisk res]]/LayTable[[#This Row],[Total inns]],"")</f>
        <v/>
      </c>
      <c r="Z903" s="47">
        <f>(LayTable[[#This Row],[BookieInnsats]]*LayTable[[#This Row],[BookieOdds]]-LayTable[[#This Row],[BookieInnsats]])*(1-LayTable[[#This Row],[C% Bookie]])</f>
        <v>0</v>
      </c>
      <c r="AA903" s="43">
        <f>LayTable[[#This Row],[LayInnsats]]*(1-LayTable[[#This Row],[C% Lay]])</f>
        <v>0</v>
      </c>
      <c r="AB903" s="43" t="str">
        <f>IFERROR(IF(LayTable[[#This Row],[Sport]]="",AB902,LayTable[[#This Row],[Faktisk res]]+AB902),"")</f>
        <v/>
      </c>
      <c r="AC903" s="43">
        <f>(LayTable[[#This Row],[BackWin-Commission]]+LayTable[[#This Row],[BookieInnsats]])</f>
        <v>0</v>
      </c>
      <c r="AD903" s="43" t="e">
        <f>(LayTable[[#This Row],[LayWin-Commission]])+LayTable[[#This Row],[LayLiability]]</f>
        <v>#VALUE!</v>
      </c>
      <c r="AE903" s="43"/>
      <c r="AF903" s="181"/>
    </row>
    <row r="904" spans="1:32">
      <c r="A904" s="84"/>
      <c r="B904" s="39"/>
      <c r="C904" s="40"/>
      <c r="D904" s="41"/>
      <c r="E904" s="40"/>
      <c r="F904" s="41"/>
      <c r="G904" s="183"/>
      <c r="H904" s="38"/>
      <c r="I904" s="42"/>
      <c r="J904" s="42"/>
      <c r="K904" s="43"/>
      <c r="L904" s="43"/>
      <c r="M904" s="44" t="str">
        <f>IF(LayTable[[#This Row],[Sport]]="","",LayTable[[#This Row],[LayInnsats]]*(LayTable[[#This Row],[LayOdds]]-1))</f>
        <v/>
      </c>
      <c r="N904" s="45" t="str">
        <f>IF(LayTable[[#This Row],[Sport]]="","",1/((1/LayTable[[#This Row],[BookieOdds]])+(1/((1/((1+((LayTable[[#This Row],[LayOdds]]-1)*(1+LayTable[[#This Row],[C% Lay]])))-1))+1)))-1)</f>
        <v/>
      </c>
      <c r="Q904" s="46" t="str">
        <f>IF(LayTable[[#This Row],[Sport]]="","",LayTable[[#This Row],[BookieInnsats]]+LayTable[[#This Row],[LayLiability]])</f>
        <v/>
      </c>
      <c r="R9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4" s="47" t="str">
        <f>IF(LayTable[[#This Row],[Utfall bookie]]="","",LayTable[[#This Row],[WBABack]]+LayTable[[#This Row],[WBALay]]-LayTable[[#This Row],[Total inns]])</f>
        <v/>
      </c>
      <c r="U9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4" s="48" t="str">
        <f>IFERROR(IF(LayTable[[#This Row],[Total inns]]="","",LayTable[[#This Row],[Rback]]/LayTable[[#This Row],[Total inns]]),"")</f>
        <v/>
      </c>
      <c r="X904" s="48" t="str">
        <f>IFERROR(IF(LayTable[[#This Row],[Total inns]]="","",LayTable[[#This Row],[Rlay]]/LayTable[[#This Row],[Total inns]]),"")</f>
        <v/>
      </c>
      <c r="Y904" s="48" t="str">
        <f>IFERROR(LayTable[[#This Row],[Faktisk res]]/LayTable[[#This Row],[Total inns]],"")</f>
        <v/>
      </c>
      <c r="Z904" s="47">
        <f>(LayTable[[#This Row],[BookieInnsats]]*LayTable[[#This Row],[BookieOdds]]-LayTable[[#This Row],[BookieInnsats]])*(1-LayTable[[#This Row],[C% Bookie]])</f>
        <v>0</v>
      </c>
      <c r="AA904" s="43">
        <f>LayTable[[#This Row],[LayInnsats]]*(1-LayTable[[#This Row],[C% Lay]])</f>
        <v>0</v>
      </c>
      <c r="AB904" s="43" t="str">
        <f>IFERROR(IF(LayTable[[#This Row],[Sport]]="",AB903,LayTable[[#This Row],[Faktisk res]]+AB903),"")</f>
        <v/>
      </c>
      <c r="AC904" s="43">
        <f>(LayTable[[#This Row],[BackWin-Commission]]+LayTable[[#This Row],[BookieInnsats]])</f>
        <v>0</v>
      </c>
      <c r="AD904" s="43" t="e">
        <f>(LayTable[[#This Row],[LayWin-Commission]])+LayTable[[#This Row],[LayLiability]]</f>
        <v>#VALUE!</v>
      </c>
      <c r="AE904" s="43"/>
      <c r="AF904" s="181"/>
    </row>
    <row r="905" spans="1:32">
      <c r="A905" s="84"/>
      <c r="B905" s="39"/>
      <c r="C905" s="40"/>
      <c r="D905" s="41"/>
      <c r="E905" s="40"/>
      <c r="F905" s="41"/>
      <c r="G905" s="183"/>
      <c r="H905" s="38"/>
      <c r="I905" s="42"/>
      <c r="J905" s="42"/>
      <c r="K905" s="43"/>
      <c r="L905" s="43"/>
      <c r="M905" s="44" t="str">
        <f>IF(LayTable[[#This Row],[Sport]]="","",LayTable[[#This Row],[LayInnsats]]*(LayTable[[#This Row],[LayOdds]]-1))</f>
        <v/>
      </c>
      <c r="N905" s="45" t="str">
        <f>IF(LayTable[[#This Row],[Sport]]="","",1/((1/LayTable[[#This Row],[BookieOdds]])+(1/((1/((1+((LayTable[[#This Row],[LayOdds]]-1)*(1+LayTable[[#This Row],[C% Lay]])))-1))+1)))-1)</f>
        <v/>
      </c>
      <c r="Q905" s="46" t="str">
        <f>IF(LayTable[[#This Row],[Sport]]="","",LayTable[[#This Row],[BookieInnsats]]+LayTable[[#This Row],[LayLiability]])</f>
        <v/>
      </c>
      <c r="R9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5" s="47" t="str">
        <f>IF(LayTable[[#This Row],[Utfall bookie]]="","",LayTable[[#This Row],[WBABack]]+LayTable[[#This Row],[WBALay]]-LayTable[[#This Row],[Total inns]])</f>
        <v/>
      </c>
      <c r="U9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5" s="48" t="str">
        <f>IFERROR(IF(LayTable[[#This Row],[Total inns]]="","",LayTable[[#This Row],[Rback]]/LayTable[[#This Row],[Total inns]]),"")</f>
        <v/>
      </c>
      <c r="X905" s="48" t="str">
        <f>IFERROR(IF(LayTable[[#This Row],[Total inns]]="","",LayTable[[#This Row],[Rlay]]/LayTable[[#This Row],[Total inns]]),"")</f>
        <v/>
      </c>
      <c r="Y905" s="48" t="str">
        <f>IFERROR(LayTable[[#This Row],[Faktisk res]]/LayTable[[#This Row],[Total inns]],"")</f>
        <v/>
      </c>
      <c r="Z905" s="47">
        <f>(LayTable[[#This Row],[BookieInnsats]]*LayTable[[#This Row],[BookieOdds]]-LayTable[[#This Row],[BookieInnsats]])*(1-LayTable[[#This Row],[C% Bookie]])</f>
        <v>0</v>
      </c>
      <c r="AA905" s="43">
        <f>LayTable[[#This Row],[LayInnsats]]*(1-LayTable[[#This Row],[C% Lay]])</f>
        <v>0</v>
      </c>
      <c r="AB905" s="43" t="str">
        <f>IFERROR(IF(LayTable[[#This Row],[Sport]]="",AB904,LayTable[[#This Row],[Faktisk res]]+AB904),"")</f>
        <v/>
      </c>
      <c r="AC905" s="43">
        <f>(LayTable[[#This Row],[BackWin-Commission]]+LayTable[[#This Row],[BookieInnsats]])</f>
        <v>0</v>
      </c>
      <c r="AD905" s="43" t="e">
        <f>(LayTable[[#This Row],[LayWin-Commission]])+LayTable[[#This Row],[LayLiability]]</f>
        <v>#VALUE!</v>
      </c>
      <c r="AE905" s="43"/>
      <c r="AF905" s="181"/>
    </row>
    <row r="906" spans="1:32">
      <c r="A906" s="84"/>
      <c r="B906" s="39"/>
      <c r="C906" s="40"/>
      <c r="D906" s="41"/>
      <c r="E906" s="40"/>
      <c r="F906" s="41"/>
      <c r="G906" s="183"/>
      <c r="H906" s="38"/>
      <c r="I906" s="42"/>
      <c r="J906" s="42"/>
      <c r="K906" s="43"/>
      <c r="L906" s="43"/>
      <c r="M906" s="44" t="str">
        <f>IF(LayTable[[#This Row],[Sport]]="","",LayTable[[#This Row],[LayInnsats]]*(LayTable[[#This Row],[LayOdds]]-1))</f>
        <v/>
      </c>
      <c r="N906" s="45" t="str">
        <f>IF(LayTable[[#This Row],[Sport]]="","",1/((1/LayTable[[#This Row],[BookieOdds]])+(1/((1/((1+((LayTable[[#This Row],[LayOdds]]-1)*(1+LayTable[[#This Row],[C% Lay]])))-1))+1)))-1)</f>
        <v/>
      </c>
      <c r="Q906" s="46" t="str">
        <f>IF(LayTable[[#This Row],[Sport]]="","",LayTable[[#This Row],[BookieInnsats]]+LayTable[[#This Row],[LayLiability]])</f>
        <v/>
      </c>
      <c r="R9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6" s="47" t="str">
        <f>IF(LayTable[[#This Row],[Utfall bookie]]="","",LayTable[[#This Row],[WBABack]]+LayTable[[#This Row],[WBALay]]-LayTable[[#This Row],[Total inns]])</f>
        <v/>
      </c>
      <c r="U9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6" s="48" t="str">
        <f>IFERROR(IF(LayTable[[#This Row],[Total inns]]="","",LayTable[[#This Row],[Rback]]/LayTable[[#This Row],[Total inns]]),"")</f>
        <v/>
      </c>
      <c r="X906" s="48" t="str">
        <f>IFERROR(IF(LayTable[[#This Row],[Total inns]]="","",LayTable[[#This Row],[Rlay]]/LayTable[[#This Row],[Total inns]]),"")</f>
        <v/>
      </c>
      <c r="Y906" s="48" t="str">
        <f>IFERROR(LayTable[[#This Row],[Faktisk res]]/LayTable[[#This Row],[Total inns]],"")</f>
        <v/>
      </c>
      <c r="Z906" s="47">
        <f>(LayTable[[#This Row],[BookieInnsats]]*LayTable[[#This Row],[BookieOdds]]-LayTable[[#This Row],[BookieInnsats]])*(1-LayTable[[#This Row],[C% Bookie]])</f>
        <v>0</v>
      </c>
      <c r="AA906" s="43">
        <f>LayTable[[#This Row],[LayInnsats]]*(1-LayTable[[#This Row],[C% Lay]])</f>
        <v>0</v>
      </c>
      <c r="AB906" s="43" t="str">
        <f>IFERROR(IF(LayTable[[#This Row],[Sport]]="",AB905,LayTable[[#This Row],[Faktisk res]]+AB905),"")</f>
        <v/>
      </c>
      <c r="AC906" s="43">
        <f>(LayTable[[#This Row],[BackWin-Commission]]+LayTable[[#This Row],[BookieInnsats]])</f>
        <v>0</v>
      </c>
      <c r="AD906" s="43" t="e">
        <f>(LayTable[[#This Row],[LayWin-Commission]])+LayTable[[#This Row],[LayLiability]]</f>
        <v>#VALUE!</v>
      </c>
      <c r="AE906" s="43"/>
      <c r="AF906" s="181"/>
    </row>
    <row r="907" spans="1:32">
      <c r="A907" s="84"/>
      <c r="B907" s="39"/>
      <c r="C907" s="40"/>
      <c r="D907" s="41"/>
      <c r="E907" s="40"/>
      <c r="F907" s="41"/>
      <c r="G907" s="183"/>
      <c r="H907" s="38"/>
      <c r="I907" s="42"/>
      <c r="J907" s="42"/>
      <c r="K907" s="43"/>
      <c r="L907" s="43"/>
      <c r="M907" s="44" t="str">
        <f>IF(LayTable[[#This Row],[Sport]]="","",LayTable[[#This Row],[LayInnsats]]*(LayTable[[#This Row],[LayOdds]]-1))</f>
        <v/>
      </c>
      <c r="N907" s="45" t="str">
        <f>IF(LayTable[[#This Row],[Sport]]="","",1/((1/LayTable[[#This Row],[BookieOdds]])+(1/((1/((1+((LayTable[[#This Row],[LayOdds]]-1)*(1+LayTable[[#This Row],[C% Lay]])))-1))+1)))-1)</f>
        <v/>
      </c>
      <c r="Q907" s="46" t="str">
        <f>IF(LayTable[[#This Row],[Sport]]="","",LayTable[[#This Row],[BookieInnsats]]+LayTable[[#This Row],[LayLiability]])</f>
        <v/>
      </c>
      <c r="R9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7" s="47" t="str">
        <f>IF(LayTable[[#This Row],[Utfall bookie]]="","",LayTable[[#This Row],[WBABack]]+LayTable[[#This Row],[WBALay]]-LayTable[[#This Row],[Total inns]])</f>
        <v/>
      </c>
      <c r="U9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7" s="48" t="str">
        <f>IFERROR(IF(LayTable[[#This Row],[Total inns]]="","",LayTable[[#This Row],[Rback]]/LayTable[[#This Row],[Total inns]]),"")</f>
        <v/>
      </c>
      <c r="X907" s="48" t="str">
        <f>IFERROR(IF(LayTable[[#This Row],[Total inns]]="","",LayTable[[#This Row],[Rlay]]/LayTable[[#This Row],[Total inns]]),"")</f>
        <v/>
      </c>
      <c r="Y907" s="48" t="str">
        <f>IFERROR(LayTable[[#This Row],[Faktisk res]]/LayTable[[#This Row],[Total inns]],"")</f>
        <v/>
      </c>
      <c r="Z907" s="47">
        <f>(LayTable[[#This Row],[BookieInnsats]]*LayTable[[#This Row],[BookieOdds]]-LayTable[[#This Row],[BookieInnsats]])*(1-LayTable[[#This Row],[C% Bookie]])</f>
        <v>0</v>
      </c>
      <c r="AA907" s="43">
        <f>LayTable[[#This Row],[LayInnsats]]*(1-LayTable[[#This Row],[C% Lay]])</f>
        <v>0</v>
      </c>
      <c r="AB907" s="43" t="str">
        <f>IFERROR(IF(LayTable[[#This Row],[Sport]]="",AB906,LayTable[[#This Row],[Faktisk res]]+AB906),"")</f>
        <v/>
      </c>
      <c r="AC907" s="43">
        <f>(LayTable[[#This Row],[BackWin-Commission]]+LayTable[[#This Row],[BookieInnsats]])</f>
        <v>0</v>
      </c>
      <c r="AD907" s="43" t="e">
        <f>(LayTable[[#This Row],[LayWin-Commission]])+LayTable[[#This Row],[LayLiability]]</f>
        <v>#VALUE!</v>
      </c>
      <c r="AE907" s="43"/>
      <c r="AF907" s="181"/>
    </row>
    <row r="908" spans="1:32">
      <c r="A908" s="84"/>
      <c r="B908" s="39"/>
      <c r="C908" s="40"/>
      <c r="D908" s="41"/>
      <c r="E908" s="40"/>
      <c r="F908" s="41"/>
      <c r="G908" s="183"/>
      <c r="H908" s="38"/>
      <c r="I908" s="42"/>
      <c r="J908" s="42"/>
      <c r="K908" s="43"/>
      <c r="L908" s="43"/>
      <c r="M908" s="44" t="str">
        <f>IF(LayTable[[#This Row],[Sport]]="","",LayTable[[#This Row],[LayInnsats]]*(LayTable[[#This Row],[LayOdds]]-1))</f>
        <v/>
      </c>
      <c r="N908" s="45" t="str">
        <f>IF(LayTable[[#This Row],[Sport]]="","",1/((1/LayTable[[#This Row],[BookieOdds]])+(1/((1/((1+((LayTable[[#This Row],[LayOdds]]-1)*(1+LayTable[[#This Row],[C% Lay]])))-1))+1)))-1)</f>
        <v/>
      </c>
      <c r="Q908" s="46" t="str">
        <f>IF(LayTable[[#This Row],[Sport]]="","",LayTable[[#This Row],[BookieInnsats]]+LayTable[[#This Row],[LayLiability]])</f>
        <v/>
      </c>
      <c r="R9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8" s="47" t="str">
        <f>IF(LayTable[[#This Row],[Utfall bookie]]="","",LayTable[[#This Row],[WBABack]]+LayTable[[#This Row],[WBALay]]-LayTable[[#This Row],[Total inns]])</f>
        <v/>
      </c>
      <c r="U9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8" s="48" t="str">
        <f>IFERROR(IF(LayTable[[#This Row],[Total inns]]="","",LayTable[[#This Row],[Rback]]/LayTable[[#This Row],[Total inns]]),"")</f>
        <v/>
      </c>
      <c r="X908" s="48" t="str">
        <f>IFERROR(IF(LayTable[[#This Row],[Total inns]]="","",LayTable[[#This Row],[Rlay]]/LayTable[[#This Row],[Total inns]]),"")</f>
        <v/>
      </c>
      <c r="Y908" s="48" t="str">
        <f>IFERROR(LayTable[[#This Row],[Faktisk res]]/LayTable[[#This Row],[Total inns]],"")</f>
        <v/>
      </c>
      <c r="Z908" s="47">
        <f>(LayTable[[#This Row],[BookieInnsats]]*LayTable[[#This Row],[BookieOdds]]-LayTable[[#This Row],[BookieInnsats]])*(1-LayTable[[#This Row],[C% Bookie]])</f>
        <v>0</v>
      </c>
      <c r="AA908" s="43">
        <f>LayTable[[#This Row],[LayInnsats]]*(1-LayTable[[#This Row],[C% Lay]])</f>
        <v>0</v>
      </c>
      <c r="AB908" s="43" t="str">
        <f>IFERROR(IF(LayTable[[#This Row],[Sport]]="",AB907,LayTable[[#This Row],[Faktisk res]]+AB907),"")</f>
        <v/>
      </c>
      <c r="AC908" s="43">
        <f>(LayTable[[#This Row],[BackWin-Commission]]+LayTable[[#This Row],[BookieInnsats]])</f>
        <v>0</v>
      </c>
      <c r="AD908" s="43" t="e">
        <f>(LayTable[[#This Row],[LayWin-Commission]])+LayTable[[#This Row],[LayLiability]]</f>
        <v>#VALUE!</v>
      </c>
      <c r="AE908" s="43"/>
      <c r="AF908" s="181"/>
    </row>
    <row r="909" spans="1:32">
      <c r="A909" s="84"/>
      <c r="B909" s="39"/>
      <c r="C909" s="40"/>
      <c r="D909" s="41"/>
      <c r="E909" s="40"/>
      <c r="F909" s="41"/>
      <c r="G909" s="183"/>
      <c r="H909" s="38"/>
      <c r="I909" s="42"/>
      <c r="J909" s="42"/>
      <c r="K909" s="43"/>
      <c r="L909" s="43"/>
      <c r="M909" s="44" t="str">
        <f>IF(LayTable[[#This Row],[Sport]]="","",LayTable[[#This Row],[LayInnsats]]*(LayTable[[#This Row],[LayOdds]]-1))</f>
        <v/>
      </c>
      <c r="N909" s="45" t="str">
        <f>IF(LayTable[[#This Row],[Sport]]="","",1/((1/LayTable[[#This Row],[BookieOdds]])+(1/((1/((1+((LayTable[[#This Row],[LayOdds]]-1)*(1+LayTable[[#This Row],[C% Lay]])))-1))+1)))-1)</f>
        <v/>
      </c>
      <c r="Q909" s="46" t="str">
        <f>IF(LayTable[[#This Row],[Sport]]="","",LayTable[[#This Row],[BookieInnsats]]+LayTable[[#This Row],[LayLiability]])</f>
        <v/>
      </c>
      <c r="R9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09" s="47" t="str">
        <f>IF(LayTable[[#This Row],[Utfall bookie]]="","",LayTable[[#This Row],[WBABack]]+LayTable[[#This Row],[WBALay]]-LayTable[[#This Row],[Total inns]])</f>
        <v/>
      </c>
      <c r="U9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09" s="48" t="str">
        <f>IFERROR(IF(LayTable[[#This Row],[Total inns]]="","",LayTable[[#This Row],[Rback]]/LayTable[[#This Row],[Total inns]]),"")</f>
        <v/>
      </c>
      <c r="X909" s="48" t="str">
        <f>IFERROR(IF(LayTable[[#This Row],[Total inns]]="","",LayTable[[#This Row],[Rlay]]/LayTable[[#This Row],[Total inns]]),"")</f>
        <v/>
      </c>
      <c r="Y909" s="48" t="str">
        <f>IFERROR(LayTable[[#This Row],[Faktisk res]]/LayTable[[#This Row],[Total inns]],"")</f>
        <v/>
      </c>
      <c r="Z909" s="47">
        <f>(LayTable[[#This Row],[BookieInnsats]]*LayTable[[#This Row],[BookieOdds]]-LayTable[[#This Row],[BookieInnsats]])*(1-LayTable[[#This Row],[C% Bookie]])</f>
        <v>0</v>
      </c>
      <c r="AA909" s="43">
        <f>LayTable[[#This Row],[LayInnsats]]*(1-LayTable[[#This Row],[C% Lay]])</f>
        <v>0</v>
      </c>
      <c r="AB909" s="43" t="str">
        <f>IFERROR(IF(LayTable[[#This Row],[Sport]]="",AB908,LayTable[[#This Row],[Faktisk res]]+AB908),"")</f>
        <v/>
      </c>
      <c r="AC909" s="43">
        <f>(LayTable[[#This Row],[BackWin-Commission]]+LayTable[[#This Row],[BookieInnsats]])</f>
        <v>0</v>
      </c>
      <c r="AD909" s="43" t="e">
        <f>(LayTable[[#This Row],[LayWin-Commission]])+LayTable[[#This Row],[LayLiability]]</f>
        <v>#VALUE!</v>
      </c>
      <c r="AE909" s="43"/>
      <c r="AF909" s="181"/>
    </row>
    <row r="910" spans="1:32">
      <c r="A910" s="84"/>
      <c r="B910" s="39"/>
      <c r="C910" s="40"/>
      <c r="D910" s="41"/>
      <c r="E910" s="40"/>
      <c r="F910" s="41"/>
      <c r="G910" s="183"/>
      <c r="H910" s="38"/>
      <c r="I910" s="42"/>
      <c r="J910" s="42"/>
      <c r="K910" s="43"/>
      <c r="L910" s="43"/>
      <c r="M910" s="44" t="str">
        <f>IF(LayTable[[#This Row],[Sport]]="","",LayTable[[#This Row],[LayInnsats]]*(LayTable[[#This Row],[LayOdds]]-1))</f>
        <v/>
      </c>
      <c r="N910" s="45" t="str">
        <f>IF(LayTable[[#This Row],[Sport]]="","",1/((1/LayTable[[#This Row],[BookieOdds]])+(1/((1/((1+((LayTable[[#This Row],[LayOdds]]-1)*(1+LayTable[[#This Row],[C% Lay]])))-1))+1)))-1)</f>
        <v/>
      </c>
      <c r="Q910" s="46" t="str">
        <f>IF(LayTable[[#This Row],[Sport]]="","",LayTable[[#This Row],[BookieInnsats]]+LayTable[[#This Row],[LayLiability]])</f>
        <v/>
      </c>
      <c r="R9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0" s="47" t="str">
        <f>IF(LayTable[[#This Row],[Utfall bookie]]="","",LayTable[[#This Row],[WBABack]]+LayTable[[#This Row],[WBALay]]-LayTable[[#This Row],[Total inns]])</f>
        <v/>
      </c>
      <c r="U9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0" s="48" t="str">
        <f>IFERROR(IF(LayTable[[#This Row],[Total inns]]="","",LayTable[[#This Row],[Rback]]/LayTable[[#This Row],[Total inns]]),"")</f>
        <v/>
      </c>
      <c r="X910" s="48" t="str">
        <f>IFERROR(IF(LayTable[[#This Row],[Total inns]]="","",LayTable[[#This Row],[Rlay]]/LayTable[[#This Row],[Total inns]]),"")</f>
        <v/>
      </c>
      <c r="Y910" s="48" t="str">
        <f>IFERROR(LayTable[[#This Row],[Faktisk res]]/LayTable[[#This Row],[Total inns]],"")</f>
        <v/>
      </c>
      <c r="Z910" s="47">
        <f>(LayTable[[#This Row],[BookieInnsats]]*LayTable[[#This Row],[BookieOdds]]-LayTable[[#This Row],[BookieInnsats]])*(1-LayTable[[#This Row],[C% Bookie]])</f>
        <v>0</v>
      </c>
      <c r="AA910" s="43">
        <f>LayTable[[#This Row],[LayInnsats]]*(1-LayTable[[#This Row],[C% Lay]])</f>
        <v>0</v>
      </c>
      <c r="AB910" s="43" t="str">
        <f>IFERROR(IF(LayTable[[#This Row],[Sport]]="",AB909,LayTable[[#This Row],[Faktisk res]]+AB909),"")</f>
        <v/>
      </c>
      <c r="AC910" s="43">
        <f>(LayTable[[#This Row],[BackWin-Commission]]+LayTable[[#This Row],[BookieInnsats]])</f>
        <v>0</v>
      </c>
      <c r="AD910" s="43" t="e">
        <f>(LayTable[[#This Row],[LayWin-Commission]])+LayTable[[#This Row],[LayLiability]]</f>
        <v>#VALUE!</v>
      </c>
      <c r="AE910" s="43"/>
      <c r="AF910" s="181"/>
    </row>
    <row r="911" spans="1:32">
      <c r="A911" s="84"/>
      <c r="B911" s="39"/>
      <c r="C911" s="40"/>
      <c r="D911" s="41"/>
      <c r="E911" s="40"/>
      <c r="F911" s="41"/>
      <c r="G911" s="183"/>
      <c r="H911" s="38"/>
      <c r="I911" s="42"/>
      <c r="J911" s="42"/>
      <c r="K911" s="43"/>
      <c r="L911" s="43"/>
      <c r="M911" s="44" t="str">
        <f>IF(LayTable[[#This Row],[Sport]]="","",LayTable[[#This Row],[LayInnsats]]*(LayTable[[#This Row],[LayOdds]]-1))</f>
        <v/>
      </c>
      <c r="N911" s="45" t="str">
        <f>IF(LayTable[[#This Row],[Sport]]="","",1/((1/LayTable[[#This Row],[BookieOdds]])+(1/((1/((1+((LayTable[[#This Row],[LayOdds]]-1)*(1+LayTable[[#This Row],[C% Lay]])))-1))+1)))-1)</f>
        <v/>
      </c>
      <c r="Q911" s="46" t="str">
        <f>IF(LayTable[[#This Row],[Sport]]="","",LayTable[[#This Row],[BookieInnsats]]+LayTable[[#This Row],[LayLiability]])</f>
        <v/>
      </c>
      <c r="R9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1" s="47" t="str">
        <f>IF(LayTable[[#This Row],[Utfall bookie]]="","",LayTable[[#This Row],[WBABack]]+LayTable[[#This Row],[WBALay]]-LayTable[[#This Row],[Total inns]])</f>
        <v/>
      </c>
      <c r="U9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1" s="48" t="str">
        <f>IFERROR(IF(LayTable[[#This Row],[Total inns]]="","",LayTable[[#This Row],[Rback]]/LayTable[[#This Row],[Total inns]]),"")</f>
        <v/>
      </c>
      <c r="X911" s="48" t="str">
        <f>IFERROR(IF(LayTable[[#This Row],[Total inns]]="","",LayTable[[#This Row],[Rlay]]/LayTable[[#This Row],[Total inns]]),"")</f>
        <v/>
      </c>
      <c r="Y911" s="48" t="str">
        <f>IFERROR(LayTable[[#This Row],[Faktisk res]]/LayTable[[#This Row],[Total inns]],"")</f>
        <v/>
      </c>
      <c r="Z911" s="47">
        <f>(LayTable[[#This Row],[BookieInnsats]]*LayTable[[#This Row],[BookieOdds]]-LayTable[[#This Row],[BookieInnsats]])*(1-LayTable[[#This Row],[C% Bookie]])</f>
        <v>0</v>
      </c>
      <c r="AA911" s="43">
        <f>LayTable[[#This Row],[LayInnsats]]*(1-LayTable[[#This Row],[C% Lay]])</f>
        <v>0</v>
      </c>
      <c r="AB911" s="43" t="str">
        <f>IFERROR(IF(LayTable[[#This Row],[Sport]]="",AB910,LayTable[[#This Row],[Faktisk res]]+AB910),"")</f>
        <v/>
      </c>
      <c r="AC911" s="43">
        <f>(LayTable[[#This Row],[BackWin-Commission]]+LayTable[[#This Row],[BookieInnsats]])</f>
        <v>0</v>
      </c>
      <c r="AD911" s="43" t="e">
        <f>(LayTable[[#This Row],[LayWin-Commission]])+LayTable[[#This Row],[LayLiability]]</f>
        <v>#VALUE!</v>
      </c>
      <c r="AE911" s="43"/>
      <c r="AF911" s="181"/>
    </row>
    <row r="912" spans="1:32">
      <c r="A912" s="84"/>
      <c r="B912" s="39"/>
      <c r="C912" s="40"/>
      <c r="D912" s="41"/>
      <c r="E912" s="40"/>
      <c r="F912" s="41"/>
      <c r="G912" s="183"/>
      <c r="H912" s="38"/>
      <c r="I912" s="42"/>
      <c r="J912" s="42"/>
      <c r="K912" s="43"/>
      <c r="L912" s="43"/>
      <c r="M912" s="44" t="str">
        <f>IF(LayTable[[#This Row],[Sport]]="","",LayTable[[#This Row],[LayInnsats]]*(LayTable[[#This Row],[LayOdds]]-1))</f>
        <v/>
      </c>
      <c r="N912" s="45" t="str">
        <f>IF(LayTable[[#This Row],[Sport]]="","",1/((1/LayTable[[#This Row],[BookieOdds]])+(1/((1/((1+((LayTable[[#This Row],[LayOdds]]-1)*(1+LayTable[[#This Row],[C% Lay]])))-1))+1)))-1)</f>
        <v/>
      </c>
      <c r="Q912" s="46" t="str">
        <f>IF(LayTable[[#This Row],[Sport]]="","",LayTable[[#This Row],[BookieInnsats]]+LayTable[[#This Row],[LayLiability]])</f>
        <v/>
      </c>
      <c r="R9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2" s="47" t="str">
        <f>IF(LayTable[[#This Row],[Utfall bookie]]="","",LayTable[[#This Row],[WBABack]]+LayTable[[#This Row],[WBALay]]-LayTable[[#This Row],[Total inns]])</f>
        <v/>
      </c>
      <c r="U9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2" s="48" t="str">
        <f>IFERROR(IF(LayTable[[#This Row],[Total inns]]="","",LayTable[[#This Row],[Rback]]/LayTable[[#This Row],[Total inns]]),"")</f>
        <v/>
      </c>
      <c r="X912" s="48" t="str">
        <f>IFERROR(IF(LayTable[[#This Row],[Total inns]]="","",LayTable[[#This Row],[Rlay]]/LayTable[[#This Row],[Total inns]]),"")</f>
        <v/>
      </c>
      <c r="Y912" s="48" t="str">
        <f>IFERROR(LayTable[[#This Row],[Faktisk res]]/LayTable[[#This Row],[Total inns]],"")</f>
        <v/>
      </c>
      <c r="Z912" s="47">
        <f>(LayTable[[#This Row],[BookieInnsats]]*LayTable[[#This Row],[BookieOdds]]-LayTable[[#This Row],[BookieInnsats]])*(1-LayTable[[#This Row],[C% Bookie]])</f>
        <v>0</v>
      </c>
      <c r="AA912" s="43">
        <f>LayTable[[#This Row],[LayInnsats]]*(1-LayTable[[#This Row],[C% Lay]])</f>
        <v>0</v>
      </c>
      <c r="AB912" s="43" t="str">
        <f>IFERROR(IF(LayTable[[#This Row],[Sport]]="",AB911,LayTable[[#This Row],[Faktisk res]]+AB911),"")</f>
        <v/>
      </c>
      <c r="AC912" s="43">
        <f>(LayTable[[#This Row],[BackWin-Commission]]+LayTable[[#This Row],[BookieInnsats]])</f>
        <v>0</v>
      </c>
      <c r="AD912" s="43" t="e">
        <f>(LayTable[[#This Row],[LayWin-Commission]])+LayTable[[#This Row],[LayLiability]]</f>
        <v>#VALUE!</v>
      </c>
      <c r="AE912" s="43"/>
      <c r="AF912" s="181"/>
    </row>
    <row r="913" spans="1:32">
      <c r="A913" s="84"/>
      <c r="B913" s="39"/>
      <c r="C913" s="40"/>
      <c r="D913" s="41"/>
      <c r="E913" s="40"/>
      <c r="F913" s="41"/>
      <c r="G913" s="183"/>
      <c r="H913" s="38"/>
      <c r="I913" s="42"/>
      <c r="J913" s="42"/>
      <c r="K913" s="43"/>
      <c r="L913" s="43"/>
      <c r="M913" s="44" t="str">
        <f>IF(LayTable[[#This Row],[Sport]]="","",LayTable[[#This Row],[LayInnsats]]*(LayTable[[#This Row],[LayOdds]]-1))</f>
        <v/>
      </c>
      <c r="N913" s="45" t="str">
        <f>IF(LayTable[[#This Row],[Sport]]="","",1/((1/LayTable[[#This Row],[BookieOdds]])+(1/((1/((1+((LayTable[[#This Row],[LayOdds]]-1)*(1+LayTable[[#This Row],[C% Lay]])))-1))+1)))-1)</f>
        <v/>
      </c>
      <c r="Q913" s="46" t="str">
        <f>IF(LayTable[[#This Row],[Sport]]="","",LayTable[[#This Row],[BookieInnsats]]+LayTable[[#This Row],[LayLiability]])</f>
        <v/>
      </c>
      <c r="R9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3" s="47" t="str">
        <f>IF(LayTable[[#This Row],[Utfall bookie]]="","",LayTable[[#This Row],[WBABack]]+LayTable[[#This Row],[WBALay]]-LayTable[[#This Row],[Total inns]])</f>
        <v/>
      </c>
      <c r="U9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3" s="48" t="str">
        <f>IFERROR(IF(LayTable[[#This Row],[Total inns]]="","",LayTable[[#This Row],[Rback]]/LayTable[[#This Row],[Total inns]]),"")</f>
        <v/>
      </c>
      <c r="X913" s="48" t="str">
        <f>IFERROR(IF(LayTable[[#This Row],[Total inns]]="","",LayTable[[#This Row],[Rlay]]/LayTable[[#This Row],[Total inns]]),"")</f>
        <v/>
      </c>
      <c r="Y913" s="48" t="str">
        <f>IFERROR(LayTable[[#This Row],[Faktisk res]]/LayTable[[#This Row],[Total inns]],"")</f>
        <v/>
      </c>
      <c r="Z913" s="47">
        <f>(LayTable[[#This Row],[BookieInnsats]]*LayTable[[#This Row],[BookieOdds]]-LayTable[[#This Row],[BookieInnsats]])*(1-LayTable[[#This Row],[C% Bookie]])</f>
        <v>0</v>
      </c>
      <c r="AA913" s="43">
        <f>LayTable[[#This Row],[LayInnsats]]*(1-LayTable[[#This Row],[C% Lay]])</f>
        <v>0</v>
      </c>
      <c r="AB913" s="43" t="str">
        <f>IFERROR(IF(LayTable[[#This Row],[Sport]]="",AB912,LayTable[[#This Row],[Faktisk res]]+AB912),"")</f>
        <v/>
      </c>
      <c r="AC913" s="43">
        <f>(LayTable[[#This Row],[BackWin-Commission]]+LayTable[[#This Row],[BookieInnsats]])</f>
        <v>0</v>
      </c>
      <c r="AD913" s="43" t="e">
        <f>(LayTable[[#This Row],[LayWin-Commission]])+LayTable[[#This Row],[LayLiability]]</f>
        <v>#VALUE!</v>
      </c>
      <c r="AE913" s="43"/>
      <c r="AF913" s="181"/>
    </row>
    <row r="914" spans="1:32">
      <c r="A914" s="84"/>
      <c r="B914" s="39"/>
      <c r="C914" s="40"/>
      <c r="D914" s="41"/>
      <c r="E914" s="40"/>
      <c r="F914" s="41"/>
      <c r="G914" s="183"/>
      <c r="H914" s="38"/>
      <c r="I914" s="42"/>
      <c r="J914" s="42"/>
      <c r="K914" s="43"/>
      <c r="L914" s="43"/>
      <c r="M914" s="44" t="str">
        <f>IF(LayTable[[#This Row],[Sport]]="","",LayTable[[#This Row],[LayInnsats]]*(LayTable[[#This Row],[LayOdds]]-1))</f>
        <v/>
      </c>
      <c r="N914" s="45" t="str">
        <f>IF(LayTable[[#This Row],[Sport]]="","",1/((1/LayTable[[#This Row],[BookieOdds]])+(1/((1/((1+((LayTable[[#This Row],[LayOdds]]-1)*(1+LayTable[[#This Row],[C% Lay]])))-1))+1)))-1)</f>
        <v/>
      </c>
      <c r="Q914" s="46" t="str">
        <f>IF(LayTable[[#This Row],[Sport]]="","",LayTable[[#This Row],[BookieInnsats]]+LayTable[[#This Row],[LayLiability]])</f>
        <v/>
      </c>
      <c r="R9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4" s="47" t="str">
        <f>IF(LayTable[[#This Row],[Utfall bookie]]="","",LayTable[[#This Row],[WBABack]]+LayTable[[#This Row],[WBALay]]-LayTable[[#This Row],[Total inns]])</f>
        <v/>
      </c>
      <c r="U9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4" s="48" t="str">
        <f>IFERROR(IF(LayTable[[#This Row],[Total inns]]="","",LayTable[[#This Row],[Rback]]/LayTable[[#This Row],[Total inns]]),"")</f>
        <v/>
      </c>
      <c r="X914" s="48" t="str">
        <f>IFERROR(IF(LayTable[[#This Row],[Total inns]]="","",LayTable[[#This Row],[Rlay]]/LayTable[[#This Row],[Total inns]]),"")</f>
        <v/>
      </c>
      <c r="Y914" s="48" t="str">
        <f>IFERROR(LayTable[[#This Row],[Faktisk res]]/LayTable[[#This Row],[Total inns]],"")</f>
        <v/>
      </c>
      <c r="Z914" s="47">
        <f>(LayTable[[#This Row],[BookieInnsats]]*LayTable[[#This Row],[BookieOdds]]-LayTable[[#This Row],[BookieInnsats]])*(1-LayTable[[#This Row],[C% Bookie]])</f>
        <v>0</v>
      </c>
      <c r="AA914" s="43">
        <f>LayTable[[#This Row],[LayInnsats]]*(1-LayTable[[#This Row],[C% Lay]])</f>
        <v>0</v>
      </c>
      <c r="AB914" s="43" t="str">
        <f>IFERROR(IF(LayTable[[#This Row],[Sport]]="",AB913,LayTable[[#This Row],[Faktisk res]]+AB913),"")</f>
        <v/>
      </c>
      <c r="AC914" s="43">
        <f>(LayTable[[#This Row],[BackWin-Commission]]+LayTable[[#This Row],[BookieInnsats]])</f>
        <v>0</v>
      </c>
      <c r="AD914" s="43" t="e">
        <f>(LayTable[[#This Row],[LayWin-Commission]])+LayTable[[#This Row],[LayLiability]]</f>
        <v>#VALUE!</v>
      </c>
      <c r="AE914" s="43"/>
      <c r="AF914" s="181"/>
    </row>
    <row r="915" spans="1:32">
      <c r="A915" s="84"/>
      <c r="B915" s="39"/>
      <c r="C915" s="40"/>
      <c r="D915" s="41"/>
      <c r="E915" s="40"/>
      <c r="F915" s="41"/>
      <c r="G915" s="183"/>
      <c r="H915" s="38"/>
      <c r="I915" s="42"/>
      <c r="J915" s="42"/>
      <c r="K915" s="43"/>
      <c r="L915" s="43"/>
      <c r="M915" s="44" t="str">
        <f>IF(LayTable[[#This Row],[Sport]]="","",LayTable[[#This Row],[LayInnsats]]*(LayTable[[#This Row],[LayOdds]]-1))</f>
        <v/>
      </c>
      <c r="N915" s="45" t="str">
        <f>IF(LayTable[[#This Row],[Sport]]="","",1/((1/LayTable[[#This Row],[BookieOdds]])+(1/((1/((1+((LayTable[[#This Row],[LayOdds]]-1)*(1+LayTable[[#This Row],[C% Lay]])))-1))+1)))-1)</f>
        <v/>
      </c>
      <c r="Q915" s="46" t="str">
        <f>IF(LayTable[[#This Row],[Sport]]="","",LayTable[[#This Row],[BookieInnsats]]+LayTable[[#This Row],[LayLiability]])</f>
        <v/>
      </c>
      <c r="R9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5" s="47" t="str">
        <f>IF(LayTable[[#This Row],[Utfall bookie]]="","",LayTable[[#This Row],[WBABack]]+LayTable[[#This Row],[WBALay]]-LayTable[[#This Row],[Total inns]])</f>
        <v/>
      </c>
      <c r="U9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5" s="48" t="str">
        <f>IFERROR(IF(LayTable[[#This Row],[Total inns]]="","",LayTable[[#This Row],[Rback]]/LayTable[[#This Row],[Total inns]]),"")</f>
        <v/>
      </c>
      <c r="X915" s="48" t="str">
        <f>IFERROR(IF(LayTable[[#This Row],[Total inns]]="","",LayTable[[#This Row],[Rlay]]/LayTable[[#This Row],[Total inns]]),"")</f>
        <v/>
      </c>
      <c r="Y915" s="48" t="str">
        <f>IFERROR(LayTable[[#This Row],[Faktisk res]]/LayTable[[#This Row],[Total inns]],"")</f>
        <v/>
      </c>
      <c r="Z915" s="47">
        <f>(LayTable[[#This Row],[BookieInnsats]]*LayTable[[#This Row],[BookieOdds]]-LayTable[[#This Row],[BookieInnsats]])*(1-LayTable[[#This Row],[C% Bookie]])</f>
        <v>0</v>
      </c>
      <c r="AA915" s="43">
        <f>LayTable[[#This Row],[LayInnsats]]*(1-LayTable[[#This Row],[C% Lay]])</f>
        <v>0</v>
      </c>
      <c r="AB915" s="43" t="str">
        <f>IFERROR(IF(LayTable[[#This Row],[Sport]]="",AB914,LayTable[[#This Row],[Faktisk res]]+AB914),"")</f>
        <v/>
      </c>
      <c r="AC915" s="43">
        <f>(LayTable[[#This Row],[BackWin-Commission]]+LayTable[[#This Row],[BookieInnsats]])</f>
        <v>0</v>
      </c>
      <c r="AD915" s="43" t="e">
        <f>(LayTable[[#This Row],[LayWin-Commission]])+LayTable[[#This Row],[LayLiability]]</f>
        <v>#VALUE!</v>
      </c>
      <c r="AE915" s="43"/>
      <c r="AF915" s="181"/>
    </row>
    <row r="916" spans="1:32">
      <c r="A916" s="84"/>
      <c r="B916" s="39"/>
      <c r="C916" s="40"/>
      <c r="D916" s="41"/>
      <c r="E916" s="40"/>
      <c r="F916" s="41"/>
      <c r="G916" s="183"/>
      <c r="H916" s="38"/>
      <c r="I916" s="42"/>
      <c r="J916" s="42"/>
      <c r="K916" s="43"/>
      <c r="L916" s="43"/>
      <c r="M916" s="44" t="str">
        <f>IF(LayTable[[#This Row],[Sport]]="","",LayTable[[#This Row],[LayInnsats]]*(LayTable[[#This Row],[LayOdds]]-1))</f>
        <v/>
      </c>
      <c r="N916" s="45" t="str">
        <f>IF(LayTable[[#This Row],[Sport]]="","",1/((1/LayTable[[#This Row],[BookieOdds]])+(1/((1/((1+((LayTable[[#This Row],[LayOdds]]-1)*(1+LayTable[[#This Row],[C% Lay]])))-1))+1)))-1)</f>
        <v/>
      </c>
      <c r="Q916" s="46" t="str">
        <f>IF(LayTable[[#This Row],[Sport]]="","",LayTable[[#This Row],[BookieInnsats]]+LayTable[[#This Row],[LayLiability]])</f>
        <v/>
      </c>
      <c r="R9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6" s="47" t="str">
        <f>IF(LayTable[[#This Row],[Utfall bookie]]="","",LayTable[[#This Row],[WBABack]]+LayTable[[#This Row],[WBALay]]-LayTable[[#This Row],[Total inns]])</f>
        <v/>
      </c>
      <c r="U9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6" s="48" t="str">
        <f>IFERROR(IF(LayTable[[#This Row],[Total inns]]="","",LayTable[[#This Row],[Rback]]/LayTable[[#This Row],[Total inns]]),"")</f>
        <v/>
      </c>
      <c r="X916" s="48" t="str">
        <f>IFERROR(IF(LayTable[[#This Row],[Total inns]]="","",LayTable[[#This Row],[Rlay]]/LayTable[[#This Row],[Total inns]]),"")</f>
        <v/>
      </c>
      <c r="Y916" s="48" t="str">
        <f>IFERROR(LayTable[[#This Row],[Faktisk res]]/LayTable[[#This Row],[Total inns]],"")</f>
        <v/>
      </c>
      <c r="Z916" s="47">
        <f>(LayTable[[#This Row],[BookieInnsats]]*LayTable[[#This Row],[BookieOdds]]-LayTable[[#This Row],[BookieInnsats]])*(1-LayTable[[#This Row],[C% Bookie]])</f>
        <v>0</v>
      </c>
      <c r="AA916" s="43">
        <f>LayTable[[#This Row],[LayInnsats]]*(1-LayTable[[#This Row],[C% Lay]])</f>
        <v>0</v>
      </c>
      <c r="AB916" s="43" t="str">
        <f>IFERROR(IF(LayTable[[#This Row],[Sport]]="",AB915,LayTable[[#This Row],[Faktisk res]]+AB915),"")</f>
        <v/>
      </c>
      <c r="AC916" s="43">
        <f>(LayTable[[#This Row],[BackWin-Commission]]+LayTable[[#This Row],[BookieInnsats]])</f>
        <v>0</v>
      </c>
      <c r="AD916" s="43" t="e">
        <f>(LayTable[[#This Row],[LayWin-Commission]])+LayTable[[#This Row],[LayLiability]]</f>
        <v>#VALUE!</v>
      </c>
      <c r="AE916" s="43"/>
      <c r="AF916" s="181"/>
    </row>
    <row r="917" spans="1:32">
      <c r="A917" s="84"/>
      <c r="B917" s="39"/>
      <c r="C917" s="40"/>
      <c r="D917" s="41"/>
      <c r="E917" s="40"/>
      <c r="F917" s="41"/>
      <c r="G917" s="183"/>
      <c r="H917" s="38"/>
      <c r="I917" s="42"/>
      <c r="J917" s="42"/>
      <c r="K917" s="43"/>
      <c r="L917" s="43"/>
      <c r="M917" s="44" t="str">
        <f>IF(LayTable[[#This Row],[Sport]]="","",LayTable[[#This Row],[LayInnsats]]*(LayTable[[#This Row],[LayOdds]]-1))</f>
        <v/>
      </c>
      <c r="N917" s="45" t="str">
        <f>IF(LayTable[[#This Row],[Sport]]="","",1/((1/LayTable[[#This Row],[BookieOdds]])+(1/((1/((1+((LayTable[[#This Row],[LayOdds]]-1)*(1+LayTable[[#This Row],[C% Lay]])))-1))+1)))-1)</f>
        <v/>
      </c>
      <c r="Q917" s="46" t="str">
        <f>IF(LayTable[[#This Row],[Sport]]="","",LayTable[[#This Row],[BookieInnsats]]+LayTable[[#This Row],[LayLiability]])</f>
        <v/>
      </c>
      <c r="R9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7" s="47" t="str">
        <f>IF(LayTable[[#This Row],[Utfall bookie]]="","",LayTable[[#This Row],[WBABack]]+LayTable[[#This Row],[WBALay]]-LayTable[[#This Row],[Total inns]])</f>
        <v/>
      </c>
      <c r="U9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7" s="48" t="str">
        <f>IFERROR(IF(LayTable[[#This Row],[Total inns]]="","",LayTable[[#This Row],[Rback]]/LayTable[[#This Row],[Total inns]]),"")</f>
        <v/>
      </c>
      <c r="X917" s="48" t="str">
        <f>IFERROR(IF(LayTable[[#This Row],[Total inns]]="","",LayTable[[#This Row],[Rlay]]/LayTable[[#This Row],[Total inns]]),"")</f>
        <v/>
      </c>
      <c r="Y917" s="48" t="str">
        <f>IFERROR(LayTable[[#This Row],[Faktisk res]]/LayTable[[#This Row],[Total inns]],"")</f>
        <v/>
      </c>
      <c r="Z917" s="47">
        <f>(LayTable[[#This Row],[BookieInnsats]]*LayTable[[#This Row],[BookieOdds]]-LayTable[[#This Row],[BookieInnsats]])*(1-LayTable[[#This Row],[C% Bookie]])</f>
        <v>0</v>
      </c>
      <c r="AA917" s="43">
        <f>LayTable[[#This Row],[LayInnsats]]*(1-LayTable[[#This Row],[C% Lay]])</f>
        <v>0</v>
      </c>
      <c r="AB917" s="43" t="str">
        <f>IFERROR(IF(LayTable[[#This Row],[Sport]]="",AB916,LayTable[[#This Row],[Faktisk res]]+AB916),"")</f>
        <v/>
      </c>
      <c r="AC917" s="43">
        <f>(LayTable[[#This Row],[BackWin-Commission]]+LayTable[[#This Row],[BookieInnsats]])</f>
        <v>0</v>
      </c>
      <c r="AD917" s="43" t="e">
        <f>(LayTable[[#This Row],[LayWin-Commission]])+LayTable[[#This Row],[LayLiability]]</f>
        <v>#VALUE!</v>
      </c>
      <c r="AE917" s="43"/>
      <c r="AF917" s="181"/>
    </row>
    <row r="918" spans="1:32">
      <c r="A918" s="84"/>
      <c r="B918" s="39"/>
      <c r="C918" s="40"/>
      <c r="D918" s="41"/>
      <c r="E918" s="40"/>
      <c r="F918" s="41"/>
      <c r="G918" s="183"/>
      <c r="H918" s="38"/>
      <c r="I918" s="42"/>
      <c r="J918" s="42"/>
      <c r="K918" s="43"/>
      <c r="L918" s="43"/>
      <c r="M918" s="44" t="str">
        <f>IF(LayTable[[#This Row],[Sport]]="","",LayTable[[#This Row],[LayInnsats]]*(LayTable[[#This Row],[LayOdds]]-1))</f>
        <v/>
      </c>
      <c r="N918" s="45" t="str">
        <f>IF(LayTable[[#This Row],[Sport]]="","",1/((1/LayTable[[#This Row],[BookieOdds]])+(1/((1/((1+((LayTable[[#This Row],[LayOdds]]-1)*(1+LayTable[[#This Row],[C% Lay]])))-1))+1)))-1)</f>
        <v/>
      </c>
      <c r="Q918" s="46" t="str">
        <f>IF(LayTable[[#This Row],[Sport]]="","",LayTable[[#This Row],[BookieInnsats]]+LayTable[[#This Row],[LayLiability]])</f>
        <v/>
      </c>
      <c r="R9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8" s="47" t="str">
        <f>IF(LayTable[[#This Row],[Utfall bookie]]="","",LayTable[[#This Row],[WBABack]]+LayTable[[#This Row],[WBALay]]-LayTable[[#This Row],[Total inns]])</f>
        <v/>
      </c>
      <c r="U9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8" s="48" t="str">
        <f>IFERROR(IF(LayTable[[#This Row],[Total inns]]="","",LayTable[[#This Row],[Rback]]/LayTable[[#This Row],[Total inns]]),"")</f>
        <v/>
      </c>
      <c r="X918" s="48" t="str">
        <f>IFERROR(IF(LayTable[[#This Row],[Total inns]]="","",LayTable[[#This Row],[Rlay]]/LayTable[[#This Row],[Total inns]]),"")</f>
        <v/>
      </c>
      <c r="Y918" s="48" t="str">
        <f>IFERROR(LayTable[[#This Row],[Faktisk res]]/LayTable[[#This Row],[Total inns]],"")</f>
        <v/>
      </c>
      <c r="Z918" s="47">
        <f>(LayTable[[#This Row],[BookieInnsats]]*LayTable[[#This Row],[BookieOdds]]-LayTable[[#This Row],[BookieInnsats]])*(1-LayTable[[#This Row],[C% Bookie]])</f>
        <v>0</v>
      </c>
      <c r="AA918" s="43">
        <f>LayTable[[#This Row],[LayInnsats]]*(1-LayTable[[#This Row],[C% Lay]])</f>
        <v>0</v>
      </c>
      <c r="AB918" s="43" t="str">
        <f>IFERROR(IF(LayTable[[#This Row],[Sport]]="",AB917,LayTable[[#This Row],[Faktisk res]]+AB917),"")</f>
        <v/>
      </c>
      <c r="AC918" s="43">
        <f>(LayTable[[#This Row],[BackWin-Commission]]+LayTable[[#This Row],[BookieInnsats]])</f>
        <v>0</v>
      </c>
      <c r="AD918" s="43" t="e">
        <f>(LayTable[[#This Row],[LayWin-Commission]])+LayTable[[#This Row],[LayLiability]]</f>
        <v>#VALUE!</v>
      </c>
      <c r="AE918" s="43"/>
      <c r="AF918" s="181"/>
    </row>
    <row r="919" spans="1:32">
      <c r="A919" s="84"/>
      <c r="B919" s="39"/>
      <c r="C919" s="40"/>
      <c r="D919" s="41"/>
      <c r="E919" s="40"/>
      <c r="F919" s="41"/>
      <c r="G919" s="183"/>
      <c r="H919" s="38"/>
      <c r="I919" s="42"/>
      <c r="J919" s="42"/>
      <c r="K919" s="43"/>
      <c r="L919" s="43"/>
      <c r="M919" s="44" t="str">
        <f>IF(LayTable[[#This Row],[Sport]]="","",LayTable[[#This Row],[LayInnsats]]*(LayTable[[#This Row],[LayOdds]]-1))</f>
        <v/>
      </c>
      <c r="N919" s="45" t="str">
        <f>IF(LayTable[[#This Row],[Sport]]="","",1/((1/LayTable[[#This Row],[BookieOdds]])+(1/((1/((1+((LayTable[[#This Row],[LayOdds]]-1)*(1+LayTable[[#This Row],[C% Lay]])))-1))+1)))-1)</f>
        <v/>
      </c>
      <c r="Q919" s="46" t="str">
        <f>IF(LayTable[[#This Row],[Sport]]="","",LayTable[[#This Row],[BookieInnsats]]+LayTable[[#This Row],[LayLiability]])</f>
        <v/>
      </c>
      <c r="R9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19" s="47" t="str">
        <f>IF(LayTable[[#This Row],[Utfall bookie]]="","",LayTable[[#This Row],[WBABack]]+LayTable[[#This Row],[WBALay]]-LayTable[[#This Row],[Total inns]])</f>
        <v/>
      </c>
      <c r="U9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19" s="48" t="str">
        <f>IFERROR(IF(LayTable[[#This Row],[Total inns]]="","",LayTable[[#This Row],[Rback]]/LayTable[[#This Row],[Total inns]]),"")</f>
        <v/>
      </c>
      <c r="X919" s="48" t="str">
        <f>IFERROR(IF(LayTable[[#This Row],[Total inns]]="","",LayTable[[#This Row],[Rlay]]/LayTable[[#This Row],[Total inns]]),"")</f>
        <v/>
      </c>
      <c r="Y919" s="48" t="str">
        <f>IFERROR(LayTable[[#This Row],[Faktisk res]]/LayTable[[#This Row],[Total inns]],"")</f>
        <v/>
      </c>
      <c r="Z919" s="47">
        <f>(LayTable[[#This Row],[BookieInnsats]]*LayTable[[#This Row],[BookieOdds]]-LayTable[[#This Row],[BookieInnsats]])*(1-LayTable[[#This Row],[C% Bookie]])</f>
        <v>0</v>
      </c>
      <c r="AA919" s="43">
        <f>LayTable[[#This Row],[LayInnsats]]*(1-LayTable[[#This Row],[C% Lay]])</f>
        <v>0</v>
      </c>
      <c r="AB919" s="43" t="str">
        <f>IFERROR(IF(LayTable[[#This Row],[Sport]]="",AB918,LayTable[[#This Row],[Faktisk res]]+AB918),"")</f>
        <v/>
      </c>
      <c r="AC919" s="43">
        <f>(LayTable[[#This Row],[BackWin-Commission]]+LayTable[[#This Row],[BookieInnsats]])</f>
        <v>0</v>
      </c>
      <c r="AD919" s="43" t="e">
        <f>(LayTable[[#This Row],[LayWin-Commission]])+LayTable[[#This Row],[LayLiability]]</f>
        <v>#VALUE!</v>
      </c>
      <c r="AE919" s="43"/>
      <c r="AF919" s="181"/>
    </row>
    <row r="920" spans="1:32">
      <c r="A920" s="84"/>
      <c r="B920" s="39"/>
      <c r="C920" s="40"/>
      <c r="D920" s="41"/>
      <c r="E920" s="40"/>
      <c r="F920" s="41"/>
      <c r="G920" s="183"/>
      <c r="H920" s="38"/>
      <c r="I920" s="42"/>
      <c r="J920" s="42"/>
      <c r="K920" s="43"/>
      <c r="L920" s="43"/>
      <c r="M920" s="44" t="str">
        <f>IF(LayTable[[#This Row],[Sport]]="","",LayTable[[#This Row],[LayInnsats]]*(LayTable[[#This Row],[LayOdds]]-1))</f>
        <v/>
      </c>
      <c r="N920" s="45" t="str">
        <f>IF(LayTable[[#This Row],[Sport]]="","",1/((1/LayTable[[#This Row],[BookieOdds]])+(1/((1/((1+((LayTable[[#This Row],[LayOdds]]-1)*(1+LayTable[[#This Row],[C% Lay]])))-1))+1)))-1)</f>
        <v/>
      </c>
      <c r="Q920" s="46" t="str">
        <f>IF(LayTable[[#This Row],[Sport]]="","",LayTable[[#This Row],[BookieInnsats]]+LayTable[[#This Row],[LayLiability]])</f>
        <v/>
      </c>
      <c r="R9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0" s="47" t="str">
        <f>IF(LayTable[[#This Row],[Utfall bookie]]="","",LayTable[[#This Row],[WBABack]]+LayTable[[#This Row],[WBALay]]-LayTable[[#This Row],[Total inns]])</f>
        <v/>
      </c>
      <c r="U9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0" s="48" t="str">
        <f>IFERROR(IF(LayTable[[#This Row],[Total inns]]="","",LayTable[[#This Row],[Rback]]/LayTable[[#This Row],[Total inns]]),"")</f>
        <v/>
      </c>
      <c r="X920" s="48" t="str">
        <f>IFERROR(IF(LayTable[[#This Row],[Total inns]]="","",LayTable[[#This Row],[Rlay]]/LayTable[[#This Row],[Total inns]]),"")</f>
        <v/>
      </c>
      <c r="Y920" s="48" t="str">
        <f>IFERROR(LayTable[[#This Row],[Faktisk res]]/LayTable[[#This Row],[Total inns]],"")</f>
        <v/>
      </c>
      <c r="Z920" s="47">
        <f>(LayTable[[#This Row],[BookieInnsats]]*LayTable[[#This Row],[BookieOdds]]-LayTable[[#This Row],[BookieInnsats]])*(1-LayTable[[#This Row],[C% Bookie]])</f>
        <v>0</v>
      </c>
      <c r="AA920" s="43">
        <f>LayTable[[#This Row],[LayInnsats]]*(1-LayTable[[#This Row],[C% Lay]])</f>
        <v>0</v>
      </c>
      <c r="AB920" s="43" t="str">
        <f>IFERROR(IF(LayTable[[#This Row],[Sport]]="",AB919,LayTable[[#This Row],[Faktisk res]]+AB919),"")</f>
        <v/>
      </c>
      <c r="AC920" s="43">
        <f>(LayTable[[#This Row],[BackWin-Commission]]+LayTable[[#This Row],[BookieInnsats]])</f>
        <v>0</v>
      </c>
      <c r="AD920" s="43" t="e">
        <f>(LayTable[[#This Row],[LayWin-Commission]])+LayTable[[#This Row],[LayLiability]]</f>
        <v>#VALUE!</v>
      </c>
      <c r="AE920" s="43"/>
      <c r="AF920" s="181"/>
    </row>
    <row r="921" spans="1:32">
      <c r="A921" s="84"/>
      <c r="B921" s="39"/>
      <c r="C921" s="40"/>
      <c r="D921" s="41"/>
      <c r="E921" s="40"/>
      <c r="F921" s="41"/>
      <c r="G921" s="183"/>
      <c r="H921" s="38"/>
      <c r="I921" s="42"/>
      <c r="J921" s="42"/>
      <c r="K921" s="43"/>
      <c r="L921" s="43"/>
      <c r="M921" s="44" t="str">
        <f>IF(LayTable[[#This Row],[Sport]]="","",LayTable[[#This Row],[LayInnsats]]*(LayTable[[#This Row],[LayOdds]]-1))</f>
        <v/>
      </c>
      <c r="N921" s="45" t="str">
        <f>IF(LayTable[[#This Row],[Sport]]="","",1/((1/LayTable[[#This Row],[BookieOdds]])+(1/((1/((1+((LayTable[[#This Row],[LayOdds]]-1)*(1+LayTable[[#This Row],[C% Lay]])))-1))+1)))-1)</f>
        <v/>
      </c>
      <c r="Q921" s="46" t="str">
        <f>IF(LayTable[[#This Row],[Sport]]="","",LayTable[[#This Row],[BookieInnsats]]+LayTable[[#This Row],[LayLiability]])</f>
        <v/>
      </c>
      <c r="R9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1" s="47" t="str">
        <f>IF(LayTable[[#This Row],[Utfall bookie]]="","",LayTable[[#This Row],[WBABack]]+LayTable[[#This Row],[WBALay]]-LayTable[[#This Row],[Total inns]])</f>
        <v/>
      </c>
      <c r="U9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1" s="48" t="str">
        <f>IFERROR(IF(LayTable[[#This Row],[Total inns]]="","",LayTable[[#This Row],[Rback]]/LayTable[[#This Row],[Total inns]]),"")</f>
        <v/>
      </c>
      <c r="X921" s="48" t="str">
        <f>IFERROR(IF(LayTable[[#This Row],[Total inns]]="","",LayTable[[#This Row],[Rlay]]/LayTable[[#This Row],[Total inns]]),"")</f>
        <v/>
      </c>
      <c r="Y921" s="48" t="str">
        <f>IFERROR(LayTable[[#This Row],[Faktisk res]]/LayTable[[#This Row],[Total inns]],"")</f>
        <v/>
      </c>
      <c r="Z921" s="47">
        <f>(LayTable[[#This Row],[BookieInnsats]]*LayTable[[#This Row],[BookieOdds]]-LayTable[[#This Row],[BookieInnsats]])*(1-LayTable[[#This Row],[C% Bookie]])</f>
        <v>0</v>
      </c>
      <c r="AA921" s="43">
        <f>LayTable[[#This Row],[LayInnsats]]*(1-LayTable[[#This Row],[C% Lay]])</f>
        <v>0</v>
      </c>
      <c r="AB921" s="43" t="str">
        <f>IFERROR(IF(LayTable[[#This Row],[Sport]]="",AB920,LayTable[[#This Row],[Faktisk res]]+AB920),"")</f>
        <v/>
      </c>
      <c r="AC921" s="43">
        <f>(LayTable[[#This Row],[BackWin-Commission]]+LayTable[[#This Row],[BookieInnsats]])</f>
        <v>0</v>
      </c>
      <c r="AD921" s="43" t="e">
        <f>(LayTable[[#This Row],[LayWin-Commission]])+LayTable[[#This Row],[LayLiability]]</f>
        <v>#VALUE!</v>
      </c>
      <c r="AE921" s="43"/>
      <c r="AF921" s="181"/>
    </row>
    <row r="922" spans="1:32">
      <c r="A922" s="84"/>
      <c r="B922" s="39"/>
      <c r="C922" s="40"/>
      <c r="D922" s="41"/>
      <c r="E922" s="40"/>
      <c r="F922" s="41"/>
      <c r="G922" s="183"/>
      <c r="H922" s="38"/>
      <c r="I922" s="42"/>
      <c r="J922" s="42"/>
      <c r="K922" s="43"/>
      <c r="L922" s="43"/>
      <c r="M922" s="44" t="str">
        <f>IF(LayTable[[#This Row],[Sport]]="","",LayTable[[#This Row],[LayInnsats]]*(LayTable[[#This Row],[LayOdds]]-1))</f>
        <v/>
      </c>
      <c r="N922" s="45" t="str">
        <f>IF(LayTable[[#This Row],[Sport]]="","",1/((1/LayTable[[#This Row],[BookieOdds]])+(1/((1/((1+((LayTable[[#This Row],[LayOdds]]-1)*(1+LayTable[[#This Row],[C% Lay]])))-1))+1)))-1)</f>
        <v/>
      </c>
      <c r="Q922" s="46" t="str">
        <f>IF(LayTable[[#This Row],[Sport]]="","",LayTable[[#This Row],[BookieInnsats]]+LayTable[[#This Row],[LayLiability]])</f>
        <v/>
      </c>
      <c r="R9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2" s="47" t="str">
        <f>IF(LayTable[[#This Row],[Utfall bookie]]="","",LayTable[[#This Row],[WBABack]]+LayTable[[#This Row],[WBALay]]-LayTable[[#This Row],[Total inns]])</f>
        <v/>
      </c>
      <c r="U9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2" s="48" t="str">
        <f>IFERROR(IF(LayTable[[#This Row],[Total inns]]="","",LayTable[[#This Row],[Rback]]/LayTable[[#This Row],[Total inns]]),"")</f>
        <v/>
      </c>
      <c r="X922" s="48" t="str">
        <f>IFERROR(IF(LayTable[[#This Row],[Total inns]]="","",LayTable[[#This Row],[Rlay]]/LayTable[[#This Row],[Total inns]]),"")</f>
        <v/>
      </c>
      <c r="Y922" s="48" t="str">
        <f>IFERROR(LayTable[[#This Row],[Faktisk res]]/LayTable[[#This Row],[Total inns]],"")</f>
        <v/>
      </c>
      <c r="Z922" s="47">
        <f>(LayTable[[#This Row],[BookieInnsats]]*LayTable[[#This Row],[BookieOdds]]-LayTable[[#This Row],[BookieInnsats]])*(1-LayTable[[#This Row],[C% Bookie]])</f>
        <v>0</v>
      </c>
      <c r="AA922" s="43">
        <f>LayTable[[#This Row],[LayInnsats]]*(1-LayTable[[#This Row],[C% Lay]])</f>
        <v>0</v>
      </c>
      <c r="AB922" s="43" t="str">
        <f>IFERROR(IF(LayTable[[#This Row],[Sport]]="",AB921,LayTable[[#This Row],[Faktisk res]]+AB921),"")</f>
        <v/>
      </c>
      <c r="AC922" s="43">
        <f>(LayTable[[#This Row],[BackWin-Commission]]+LayTable[[#This Row],[BookieInnsats]])</f>
        <v>0</v>
      </c>
      <c r="AD922" s="43" t="e">
        <f>(LayTable[[#This Row],[LayWin-Commission]])+LayTable[[#This Row],[LayLiability]]</f>
        <v>#VALUE!</v>
      </c>
      <c r="AE922" s="43"/>
      <c r="AF922" s="181"/>
    </row>
    <row r="923" spans="1:32">
      <c r="A923" s="84"/>
      <c r="B923" s="39"/>
      <c r="C923" s="40"/>
      <c r="D923" s="41"/>
      <c r="E923" s="40"/>
      <c r="F923" s="41"/>
      <c r="G923" s="183"/>
      <c r="H923" s="38"/>
      <c r="I923" s="42"/>
      <c r="J923" s="42"/>
      <c r="K923" s="43"/>
      <c r="L923" s="43"/>
      <c r="M923" s="44" t="str">
        <f>IF(LayTable[[#This Row],[Sport]]="","",LayTable[[#This Row],[LayInnsats]]*(LayTable[[#This Row],[LayOdds]]-1))</f>
        <v/>
      </c>
      <c r="N923" s="45" t="str">
        <f>IF(LayTable[[#This Row],[Sport]]="","",1/((1/LayTable[[#This Row],[BookieOdds]])+(1/((1/((1+((LayTable[[#This Row],[LayOdds]]-1)*(1+LayTable[[#This Row],[C% Lay]])))-1))+1)))-1)</f>
        <v/>
      </c>
      <c r="Q923" s="46" t="str">
        <f>IF(LayTable[[#This Row],[Sport]]="","",LayTable[[#This Row],[BookieInnsats]]+LayTable[[#This Row],[LayLiability]])</f>
        <v/>
      </c>
      <c r="R9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3" s="47" t="str">
        <f>IF(LayTable[[#This Row],[Utfall bookie]]="","",LayTable[[#This Row],[WBABack]]+LayTable[[#This Row],[WBALay]]-LayTable[[#This Row],[Total inns]])</f>
        <v/>
      </c>
      <c r="U9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3" s="48" t="str">
        <f>IFERROR(IF(LayTable[[#This Row],[Total inns]]="","",LayTable[[#This Row],[Rback]]/LayTable[[#This Row],[Total inns]]),"")</f>
        <v/>
      </c>
      <c r="X923" s="48" t="str">
        <f>IFERROR(IF(LayTable[[#This Row],[Total inns]]="","",LayTable[[#This Row],[Rlay]]/LayTable[[#This Row],[Total inns]]),"")</f>
        <v/>
      </c>
      <c r="Y923" s="48" t="str">
        <f>IFERROR(LayTable[[#This Row],[Faktisk res]]/LayTable[[#This Row],[Total inns]],"")</f>
        <v/>
      </c>
      <c r="Z923" s="47">
        <f>(LayTable[[#This Row],[BookieInnsats]]*LayTable[[#This Row],[BookieOdds]]-LayTable[[#This Row],[BookieInnsats]])*(1-LayTable[[#This Row],[C% Bookie]])</f>
        <v>0</v>
      </c>
      <c r="AA923" s="43">
        <f>LayTable[[#This Row],[LayInnsats]]*(1-LayTable[[#This Row],[C% Lay]])</f>
        <v>0</v>
      </c>
      <c r="AB923" s="43" t="str">
        <f>IFERROR(IF(LayTable[[#This Row],[Sport]]="",AB922,LayTable[[#This Row],[Faktisk res]]+AB922),"")</f>
        <v/>
      </c>
      <c r="AC923" s="43">
        <f>(LayTable[[#This Row],[BackWin-Commission]]+LayTable[[#This Row],[BookieInnsats]])</f>
        <v>0</v>
      </c>
      <c r="AD923" s="43" t="e">
        <f>(LayTable[[#This Row],[LayWin-Commission]])+LayTable[[#This Row],[LayLiability]]</f>
        <v>#VALUE!</v>
      </c>
      <c r="AE923" s="43"/>
      <c r="AF923" s="181"/>
    </row>
    <row r="924" spans="1:32">
      <c r="A924" s="84"/>
      <c r="B924" s="39"/>
      <c r="C924" s="40"/>
      <c r="D924" s="41"/>
      <c r="E924" s="40"/>
      <c r="F924" s="41"/>
      <c r="G924" s="183"/>
      <c r="H924" s="38"/>
      <c r="I924" s="42"/>
      <c r="J924" s="42"/>
      <c r="K924" s="43"/>
      <c r="L924" s="43"/>
      <c r="M924" s="44" t="str">
        <f>IF(LayTable[[#This Row],[Sport]]="","",LayTable[[#This Row],[LayInnsats]]*(LayTable[[#This Row],[LayOdds]]-1))</f>
        <v/>
      </c>
      <c r="N924" s="45" t="str">
        <f>IF(LayTable[[#This Row],[Sport]]="","",1/((1/LayTable[[#This Row],[BookieOdds]])+(1/((1/((1+((LayTable[[#This Row],[LayOdds]]-1)*(1+LayTable[[#This Row],[C% Lay]])))-1))+1)))-1)</f>
        <v/>
      </c>
      <c r="Q924" s="46" t="str">
        <f>IF(LayTable[[#This Row],[Sport]]="","",LayTable[[#This Row],[BookieInnsats]]+LayTable[[#This Row],[LayLiability]])</f>
        <v/>
      </c>
      <c r="R9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4" s="47" t="str">
        <f>IF(LayTable[[#This Row],[Utfall bookie]]="","",LayTable[[#This Row],[WBABack]]+LayTable[[#This Row],[WBALay]]-LayTable[[#This Row],[Total inns]])</f>
        <v/>
      </c>
      <c r="U9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4" s="48" t="str">
        <f>IFERROR(IF(LayTable[[#This Row],[Total inns]]="","",LayTable[[#This Row],[Rback]]/LayTable[[#This Row],[Total inns]]),"")</f>
        <v/>
      </c>
      <c r="X924" s="48" t="str">
        <f>IFERROR(IF(LayTable[[#This Row],[Total inns]]="","",LayTable[[#This Row],[Rlay]]/LayTable[[#This Row],[Total inns]]),"")</f>
        <v/>
      </c>
      <c r="Y924" s="48" t="str">
        <f>IFERROR(LayTable[[#This Row],[Faktisk res]]/LayTable[[#This Row],[Total inns]],"")</f>
        <v/>
      </c>
      <c r="Z924" s="47">
        <f>(LayTable[[#This Row],[BookieInnsats]]*LayTable[[#This Row],[BookieOdds]]-LayTable[[#This Row],[BookieInnsats]])*(1-LayTable[[#This Row],[C% Bookie]])</f>
        <v>0</v>
      </c>
      <c r="AA924" s="43">
        <f>LayTable[[#This Row],[LayInnsats]]*(1-LayTable[[#This Row],[C% Lay]])</f>
        <v>0</v>
      </c>
      <c r="AB924" s="43" t="str">
        <f>IFERROR(IF(LayTable[[#This Row],[Sport]]="",AB923,LayTable[[#This Row],[Faktisk res]]+AB923),"")</f>
        <v/>
      </c>
      <c r="AC924" s="43">
        <f>(LayTable[[#This Row],[BackWin-Commission]]+LayTable[[#This Row],[BookieInnsats]])</f>
        <v>0</v>
      </c>
      <c r="AD924" s="43" t="e">
        <f>(LayTable[[#This Row],[LayWin-Commission]])+LayTable[[#This Row],[LayLiability]]</f>
        <v>#VALUE!</v>
      </c>
      <c r="AE924" s="43"/>
      <c r="AF924" s="181"/>
    </row>
    <row r="925" spans="1:32">
      <c r="A925" s="84"/>
      <c r="B925" s="39"/>
      <c r="C925" s="40"/>
      <c r="D925" s="41"/>
      <c r="E925" s="40"/>
      <c r="F925" s="41"/>
      <c r="G925" s="183"/>
      <c r="H925" s="38"/>
      <c r="I925" s="42"/>
      <c r="J925" s="42"/>
      <c r="K925" s="43"/>
      <c r="L925" s="43"/>
      <c r="M925" s="44" t="str">
        <f>IF(LayTable[[#This Row],[Sport]]="","",LayTable[[#This Row],[LayInnsats]]*(LayTable[[#This Row],[LayOdds]]-1))</f>
        <v/>
      </c>
      <c r="N925" s="45" t="str">
        <f>IF(LayTable[[#This Row],[Sport]]="","",1/((1/LayTable[[#This Row],[BookieOdds]])+(1/((1/((1+((LayTable[[#This Row],[LayOdds]]-1)*(1+LayTable[[#This Row],[C% Lay]])))-1))+1)))-1)</f>
        <v/>
      </c>
      <c r="Q925" s="46" t="str">
        <f>IF(LayTable[[#This Row],[Sport]]="","",LayTable[[#This Row],[BookieInnsats]]+LayTable[[#This Row],[LayLiability]])</f>
        <v/>
      </c>
      <c r="R9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5" s="47" t="str">
        <f>IF(LayTable[[#This Row],[Utfall bookie]]="","",LayTable[[#This Row],[WBABack]]+LayTable[[#This Row],[WBALay]]-LayTable[[#This Row],[Total inns]])</f>
        <v/>
      </c>
      <c r="U9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5" s="48" t="str">
        <f>IFERROR(IF(LayTable[[#This Row],[Total inns]]="","",LayTable[[#This Row],[Rback]]/LayTable[[#This Row],[Total inns]]),"")</f>
        <v/>
      </c>
      <c r="X925" s="48" t="str">
        <f>IFERROR(IF(LayTable[[#This Row],[Total inns]]="","",LayTable[[#This Row],[Rlay]]/LayTable[[#This Row],[Total inns]]),"")</f>
        <v/>
      </c>
      <c r="Y925" s="48" t="str">
        <f>IFERROR(LayTable[[#This Row],[Faktisk res]]/LayTable[[#This Row],[Total inns]],"")</f>
        <v/>
      </c>
      <c r="Z925" s="47">
        <f>(LayTable[[#This Row],[BookieInnsats]]*LayTable[[#This Row],[BookieOdds]]-LayTable[[#This Row],[BookieInnsats]])*(1-LayTable[[#This Row],[C% Bookie]])</f>
        <v>0</v>
      </c>
      <c r="AA925" s="43">
        <f>LayTable[[#This Row],[LayInnsats]]*(1-LayTable[[#This Row],[C% Lay]])</f>
        <v>0</v>
      </c>
      <c r="AB925" s="43" t="str">
        <f>IFERROR(IF(LayTable[[#This Row],[Sport]]="",AB924,LayTable[[#This Row],[Faktisk res]]+AB924),"")</f>
        <v/>
      </c>
      <c r="AC925" s="43">
        <f>(LayTable[[#This Row],[BackWin-Commission]]+LayTable[[#This Row],[BookieInnsats]])</f>
        <v>0</v>
      </c>
      <c r="AD925" s="43" t="e">
        <f>(LayTable[[#This Row],[LayWin-Commission]])+LayTable[[#This Row],[LayLiability]]</f>
        <v>#VALUE!</v>
      </c>
      <c r="AE925" s="43"/>
      <c r="AF925" s="181"/>
    </row>
    <row r="926" spans="1:32">
      <c r="A926" s="84"/>
      <c r="B926" s="39"/>
      <c r="C926" s="40"/>
      <c r="D926" s="41"/>
      <c r="E926" s="40"/>
      <c r="F926" s="41"/>
      <c r="G926" s="183"/>
      <c r="H926" s="38"/>
      <c r="I926" s="42"/>
      <c r="J926" s="42"/>
      <c r="K926" s="43"/>
      <c r="L926" s="43"/>
      <c r="M926" s="44" t="str">
        <f>IF(LayTable[[#This Row],[Sport]]="","",LayTable[[#This Row],[LayInnsats]]*(LayTable[[#This Row],[LayOdds]]-1))</f>
        <v/>
      </c>
      <c r="N926" s="45" t="str">
        <f>IF(LayTable[[#This Row],[Sport]]="","",1/((1/LayTable[[#This Row],[BookieOdds]])+(1/((1/((1+((LayTable[[#This Row],[LayOdds]]-1)*(1+LayTable[[#This Row],[C% Lay]])))-1))+1)))-1)</f>
        <v/>
      </c>
      <c r="Q926" s="46" t="str">
        <f>IF(LayTable[[#This Row],[Sport]]="","",LayTable[[#This Row],[BookieInnsats]]+LayTable[[#This Row],[LayLiability]])</f>
        <v/>
      </c>
      <c r="R9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6" s="47" t="str">
        <f>IF(LayTable[[#This Row],[Utfall bookie]]="","",LayTable[[#This Row],[WBABack]]+LayTable[[#This Row],[WBALay]]-LayTable[[#This Row],[Total inns]])</f>
        <v/>
      </c>
      <c r="U9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6" s="48" t="str">
        <f>IFERROR(IF(LayTable[[#This Row],[Total inns]]="","",LayTable[[#This Row],[Rback]]/LayTable[[#This Row],[Total inns]]),"")</f>
        <v/>
      </c>
      <c r="X926" s="48" t="str">
        <f>IFERROR(IF(LayTable[[#This Row],[Total inns]]="","",LayTable[[#This Row],[Rlay]]/LayTable[[#This Row],[Total inns]]),"")</f>
        <v/>
      </c>
      <c r="Y926" s="48" t="str">
        <f>IFERROR(LayTable[[#This Row],[Faktisk res]]/LayTable[[#This Row],[Total inns]],"")</f>
        <v/>
      </c>
      <c r="Z926" s="47">
        <f>(LayTable[[#This Row],[BookieInnsats]]*LayTable[[#This Row],[BookieOdds]]-LayTable[[#This Row],[BookieInnsats]])*(1-LayTable[[#This Row],[C% Bookie]])</f>
        <v>0</v>
      </c>
      <c r="AA926" s="43">
        <f>LayTable[[#This Row],[LayInnsats]]*(1-LayTable[[#This Row],[C% Lay]])</f>
        <v>0</v>
      </c>
      <c r="AB926" s="43" t="str">
        <f>IFERROR(IF(LayTable[[#This Row],[Sport]]="",AB925,LayTable[[#This Row],[Faktisk res]]+AB925),"")</f>
        <v/>
      </c>
      <c r="AC926" s="43">
        <f>(LayTable[[#This Row],[BackWin-Commission]]+LayTable[[#This Row],[BookieInnsats]])</f>
        <v>0</v>
      </c>
      <c r="AD926" s="43" t="e">
        <f>(LayTable[[#This Row],[LayWin-Commission]])+LayTable[[#This Row],[LayLiability]]</f>
        <v>#VALUE!</v>
      </c>
      <c r="AE926" s="43"/>
      <c r="AF926" s="181"/>
    </row>
    <row r="927" spans="1:32">
      <c r="A927" s="84"/>
      <c r="B927" s="39"/>
      <c r="C927" s="40"/>
      <c r="D927" s="41"/>
      <c r="E927" s="40"/>
      <c r="F927" s="41"/>
      <c r="G927" s="183"/>
      <c r="H927" s="38"/>
      <c r="I927" s="42"/>
      <c r="J927" s="42"/>
      <c r="K927" s="43"/>
      <c r="L927" s="43"/>
      <c r="M927" s="44" t="str">
        <f>IF(LayTable[[#This Row],[Sport]]="","",LayTable[[#This Row],[LayInnsats]]*(LayTable[[#This Row],[LayOdds]]-1))</f>
        <v/>
      </c>
      <c r="N927" s="45" t="str">
        <f>IF(LayTable[[#This Row],[Sport]]="","",1/((1/LayTable[[#This Row],[BookieOdds]])+(1/((1/((1+((LayTable[[#This Row],[LayOdds]]-1)*(1+LayTable[[#This Row],[C% Lay]])))-1))+1)))-1)</f>
        <v/>
      </c>
      <c r="Q927" s="46" t="str">
        <f>IF(LayTable[[#This Row],[Sport]]="","",LayTable[[#This Row],[BookieInnsats]]+LayTable[[#This Row],[LayLiability]])</f>
        <v/>
      </c>
      <c r="R9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7" s="47" t="str">
        <f>IF(LayTable[[#This Row],[Utfall bookie]]="","",LayTable[[#This Row],[WBABack]]+LayTable[[#This Row],[WBALay]]-LayTable[[#This Row],[Total inns]])</f>
        <v/>
      </c>
      <c r="U9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7" s="48" t="str">
        <f>IFERROR(IF(LayTable[[#This Row],[Total inns]]="","",LayTable[[#This Row],[Rback]]/LayTable[[#This Row],[Total inns]]),"")</f>
        <v/>
      </c>
      <c r="X927" s="48" t="str">
        <f>IFERROR(IF(LayTable[[#This Row],[Total inns]]="","",LayTable[[#This Row],[Rlay]]/LayTable[[#This Row],[Total inns]]),"")</f>
        <v/>
      </c>
      <c r="Y927" s="48" t="str">
        <f>IFERROR(LayTable[[#This Row],[Faktisk res]]/LayTable[[#This Row],[Total inns]],"")</f>
        <v/>
      </c>
      <c r="Z927" s="47">
        <f>(LayTable[[#This Row],[BookieInnsats]]*LayTable[[#This Row],[BookieOdds]]-LayTable[[#This Row],[BookieInnsats]])*(1-LayTable[[#This Row],[C% Bookie]])</f>
        <v>0</v>
      </c>
      <c r="AA927" s="43">
        <f>LayTable[[#This Row],[LayInnsats]]*(1-LayTable[[#This Row],[C% Lay]])</f>
        <v>0</v>
      </c>
      <c r="AB927" s="43" t="str">
        <f>IFERROR(IF(LayTable[[#This Row],[Sport]]="",AB926,LayTable[[#This Row],[Faktisk res]]+AB926),"")</f>
        <v/>
      </c>
      <c r="AC927" s="43">
        <f>(LayTable[[#This Row],[BackWin-Commission]]+LayTable[[#This Row],[BookieInnsats]])</f>
        <v>0</v>
      </c>
      <c r="AD927" s="43" t="e">
        <f>(LayTable[[#This Row],[LayWin-Commission]])+LayTable[[#This Row],[LayLiability]]</f>
        <v>#VALUE!</v>
      </c>
      <c r="AE927" s="43"/>
      <c r="AF927" s="181"/>
    </row>
    <row r="928" spans="1:32">
      <c r="A928" s="84"/>
      <c r="B928" s="39"/>
      <c r="C928" s="40"/>
      <c r="D928" s="41"/>
      <c r="E928" s="40"/>
      <c r="F928" s="41"/>
      <c r="G928" s="183"/>
      <c r="H928" s="38"/>
      <c r="I928" s="42"/>
      <c r="J928" s="42"/>
      <c r="K928" s="43"/>
      <c r="L928" s="43"/>
      <c r="M928" s="44" t="str">
        <f>IF(LayTable[[#This Row],[Sport]]="","",LayTable[[#This Row],[LayInnsats]]*(LayTable[[#This Row],[LayOdds]]-1))</f>
        <v/>
      </c>
      <c r="N928" s="45" t="str">
        <f>IF(LayTable[[#This Row],[Sport]]="","",1/((1/LayTable[[#This Row],[BookieOdds]])+(1/((1/((1+((LayTable[[#This Row],[LayOdds]]-1)*(1+LayTable[[#This Row],[C% Lay]])))-1))+1)))-1)</f>
        <v/>
      </c>
      <c r="Q928" s="46" t="str">
        <f>IF(LayTable[[#This Row],[Sport]]="","",LayTable[[#This Row],[BookieInnsats]]+LayTable[[#This Row],[LayLiability]])</f>
        <v/>
      </c>
      <c r="R9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8" s="47" t="str">
        <f>IF(LayTable[[#This Row],[Utfall bookie]]="","",LayTable[[#This Row],[WBABack]]+LayTable[[#This Row],[WBALay]]-LayTable[[#This Row],[Total inns]])</f>
        <v/>
      </c>
      <c r="U9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8" s="48" t="str">
        <f>IFERROR(IF(LayTable[[#This Row],[Total inns]]="","",LayTable[[#This Row],[Rback]]/LayTable[[#This Row],[Total inns]]),"")</f>
        <v/>
      </c>
      <c r="X928" s="48" t="str">
        <f>IFERROR(IF(LayTable[[#This Row],[Total inns]]="","",LayTable[[#This Row],[Rlay]]/LayTable[[#This Row],[Total inns]]),"")</f>
        <v/>
      </c>
      <c r="Y928" s="48" t="str">
        <f>IFERROR(LayTable[[#This Row],[Faktisk res]]/LayTable[[#This Row],[Total inns]],"")</f>
        <v/>
      </c>
      <c r="Z928" s="47">
        <f>(LayTable[[#This Row],[BookieInnsats]]*LayTable[[#This Row],[BookieOdds]]-LayTable[[#This Row],[BookieInnsats]])*(1-LayTable[[#This Row],[C% Bookie]])</f>
        <v>0</v>
      </c>
      <c r="AA928" s="43">
        <f>LayTable[[#This Row],[LayInnsats]]*(1-LayTable[[#This Row],[C% Lay]])</f>
        <v>0</v>
      </c>
      <c r="AB928" s="43" t="str">
        <f>IFERROR(IF(LayTable[[#This Row],[Sport]]="",AB927,LayTable[[#This Row],[Faktisk res]]+AB927),"")</f>
        <v/>
      </c>
      <c r="AC928" s="43">
        <f>(LayTable[[#This Row],[BackWin-Commission]]+LayTable[[#This Row],[BookieInnsats]])</f>
        <v>0</v>
      </c>
      <c r="AD928" s="43" t="e">
        <f>(LayTable[[#This Row],[LayWin-Commission]])+LayTable[[#This Row],[LayLiability]]</f>
        <v>#VALUE!</v>
      </c>
      <c r="AE928" s="43"/>
      <c r="AF928" s="181"/>
    </row>
    <row r="929" spans="1:32">
      <c r="A929" s="84"/>
      <c r="B929" s="39"/>
      <c r="C929" s="40"/>
      <c r="D929" s="41"/>
      <c r="E929" s="40"/>
      <c r="F929" s="41"/>
      <c r="G929" s="183"/>
      <c r="H929" s="38"/>
      <c r="I929" s="42"/>
      <c r="J929" s="42"/>
      <c r="K929" s="43"/>
      <c r="L929" s="43"/>
      <c r="M929" s="44" t="str">
        <f>IF(LayTable[[#This Row],[Sport]]="","",LayTable[[#This Row],[LayInnsats]]*(LayTable[[#This Row],[LayOdds]]-1))</f>
        <v/>
      </c>
      <c r="N929" s="45" t="str">
        <f>IF(LayTable[[#This Row],[Sport]]="","",1/((1/LayTable[[#This Row],[BookieOdds]])+(1/((1/((1+((LayTable[[#This Row],[LayOdds]]-1)*(1+LayTable[[#This Row],[C% Lay]])))-1))+1)))-1)</f>
        <v/>
      </c>
      <c r="Q929" s="46" t="str">
        <f>IF(LayTable[[#This Row],[Sport]]="","",LayTable[[#This Row],[BookieInnsats]]+LayTable[[#This Row],[LayLiability]])</f>
        <v/>
      </c>
      <c r="R9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29" s="47" t="str">
        <f>IF(LayTable[[#This Row],[Utfall bookie]]="","",LayTable[[#This Row],[WBABack]]+LayTable[[#This Row],[WBALay]]-LayTable[[#This Row],[Total inns]])</f>
        <v/>
      </c>
      <c r="U9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29" s="48" t="str">
        <f>IFERROR(IF(LayTable[[#This Row],[Total inns]]="","",LayTable[[#This Row],[Rback]]/LayTable[[#This Row],[Total inns]]),"")</f>
        <v/>
      </c>
      <c r="X929" s="48" t="str">
        <f>IFERROR(IF(LayTable[[#This Row],[Total inns]]="","",LayTable[[#This Row],[Rlay]]/LayTable[[#This Row],[Total inns]]),"")</f>
        <v/>
      </c>
      <c r="Y929" s="48" t="str">
        <f>IFERROR(LayTable[[#This Row],[Faktisk res]]/LayTable[[#This Row],[Total inns]],"")</f>
        <v/>
      </c>
      <c r="Z929" s="47">
        <f>(LayTable[[#This Row],[BookieInnsats]]*LayTable[[#This Row],[BookieOdds]]-LayTable[[#This Row],[BookieInnsats]])*(1-LayTable[[#This Row],[C% Bookie]])</f>
        <v>0</v>
      </c>
      <c r="AA929" s="43">
        <f>LayTable[[#This Row],[LayInnsats]]*(1-LayTable[[#This Row],[C% Lay]])</f>
        <v>0</v>
      </c>
      <c r="AB929" s="43" t="str">
        <f>IFERROR(IF(LayTable[[#This Row],[Sport]]="",AB928,LayTable[[#This Row],[Faktisk res]]+AB928),"")</f>
        <v/>
      </c>
      <c r="AC929" s="43">
        <f>(LayTable[[#This Row],[BackWin-Commission]]+LayTable[[#This Row],[BookieInnsats]])</f>
        <v>0</v>
      </c>
      <c r="AD929" s="43" t="e">
        <f>(LayTable[[#This Row],[LayWin-Commission]])+LayTable[[#This Row],[LayLiability]]</f>
        <v>#VALUE!</v>
      </c>
      <c r="AE929" s="43"/>
      <c r="AF929" s="181"/>
    </row>
    <row r="930" spans="1:32">
      <c r="A930" s="84"/>
      <c r="B930" s="39"/>
      <c r="C930" s="40"/>
      <c r="D930" s="41"/>
      <c r="E930" s="40"/>
      <c r="F930" s="41"/>
      <c r="G930" s="183"/>
      <c r="H930" s="38"/>
      <c r="I930" s="42"/>
      <c r="J930" s="42"/>
      <c r="K930" s="43"/>
      <c r="L930" s="43"/>
      <c r="M930" s="44" t="str">
        <f>IF(LayTable[[#This Row],[Sport]]="","",LayTable[[#This Row],[LayInnsats]]*(LayTable[[#This Row],[LayOdds]]-1))</f>
        <v/>
      </c>
      <c r="N930" s="45" t="str">
        <f>IF(LayTable[[#This Row],[Sport]]="","",1/((1/LayTable[[#This Row],[BookieOdds]])+(1/((1/((1+((LayTable[[#This Row],[LayOdds]]-1)*(1+LayTable[[#This Row],[C% Lay]])))-1))+1)))-1)</f>
        <v/>
      </c>
      <c r="Q930" s="46" t="str">
        <f>IF(LayTable[[#This Row],[Sport]]="","",LayTable[[#This Row],[BookieInnsats]]+LayTable[[#This Row],[LayLiability]])</f>
        <v/>
      </c>
      <c r="R9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0" s="47" t="str">
        <f>IF(LayTable[[#This Row],[Utfall bookie]]="","",LayTable[[#This Row],[WBABack]]+LayTable[[#This Row],[WBALay]]-LayTable[[#This Row],[Total inns]])</f>
        <v/>
      </c>
      <c r="U9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0" s="48" t="str">
        <f>IFERROR(IF(LayTable[[#This Row],[Total inns]]="","",LayTable[[#This Row],[Rback]]/LayTable[[#This Row],[Total inns]]),"")</f>
        <v/>
      </c>
      <c r="X930" s="48" t="str">
        <f>IFERROR(IF(LayTable[[#This Row],[Total inns]]="","",LayTable[[#This Row],[Rlay]]/LayTable[[#This Row],[Total inns]]),"")</f>
        <v/>
      </c>
      <c r="Y930" s="48" t="str">
        <f>IFERROR(LayTable[[#This Row],[Faktisk res]]/LayTable[[#This Row],[Total inns]],"")</f>
        <v/>
      </c>
      <c r="Z930" s="47">
        <f>(LayTable[[#This Row],[BookieInnsats]]*LayTable[[#This Row],[BookieOdds]]-LayTable[[#This Row],[BookieInnsats]])*(1-LayTable[[#This Row],[C% Bookie]])</f>
        <v>0</v>
      </c>
      <c r="AA930" s="43">
        <f>LayTable[[#This Row],[LayInnsats]]*(1-LayTable[[#This Row],[C% Lay]])</f>
        <v>0</v>
      </c>
      <c r="AB930" s="43" t="str">
        <f>IFERROR(IF(LayTable[[#This Row],[Sport]]="",AB929,LayTable[[#This Row],[Faktisk res]]+AB929),"")</f>
        <v/>
      </c>
      <c r="AC930" s="43">
        <f>(LayTable[[#This Row],[BackWin-Commission]]+LayTable[[#This Row],[BookieInnsats]])</f>
        <v>0</v>
      </c>
      <c r="AD930" s="43" t="e">
        <f>(LayTable[[#This Row],[LayWin-Commission]])+LayTable[[#This Row],[LayLiability]]</f>
        <v>#VALUE!</v>
      </c>
      <c r="AE930" s="43"/>
      <c r="AF930" s="181"/>
    </row>
    <row r="931" spans="1:32">
      <c r="A931" s="84"/>
      <c r="B931" s="39"/>
      <c r="C931" s="40"/>
      <c r="D931" s="41"/>
      <c r="E931" s="40"/>
      <c r="F931" s="41"/>
      <c r="G931" s="183"/>
      <c r="H931" s="38"/>
      <c r="I931" s="42"/>
      <c r="J931" s="42"/>
      <c r="K931" s="43"/>
      <c r="L931" s="43"/>
      <c r="M931" s="44" t="str">
        <f>IF(LayTable[[#This Row],[Sport]]="","",LayTable[[#This Row],[LayInnsats]]*(LayTable[[#This Row],[LayOdds]]-1))</f>
        <v/>
      </c>
      <c r="N931" s="45" t="str">
        <f>IF(LayTable[[#This Row],[Sport]]="","",1/((1/LayTable[[#This Row],[BookieOdds]])+(1/((1/((1+((LayTable[[#This Row],[LayOdds]]-1)*(1+LayTable[[#This Row],[C% Lay]])))-1))+1)))-1)</f>
        <v/>
      </c>
      <c r="Q931" s="46" t="str">
        <f>IF(LayTable[[#This Row],[Sport]]="","",LayTable[[#This Row],[BookieInnsats]]+LayTable[[#This Row],[LayLiability]])</f>
        <v/>
      </c>
      <c r="R9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1" s="47" t="str">
        <f>IF(LayTable[[#This Row],[Utfall bookie]]="","",LayTable[[#This Row],[WBABack]]+LayTable[[#This Row],[WBALay]]-LayTable[[#This Row],[Total inns]])</f>
        <v/>
      </c>
      <c r="U9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1" s="48" t="str">
        <f>IFERROR(IF(LayTable[[#This Row],[Total inns]]="","",LayTable[[#This Row],[Rback]]/LayTable[[#This Row],[Total inns]]),"")</f>
        <v/>
      </c>
      <c r="X931" s="48" t="str">
        <f>IFERROR(IF(LayTable[[#This Row],[Total inns]]="","",LayTable[[#This Row],[Rlay]]/LayTable[[#This Row],[Total inns]]),"")</f>
        <v/>
      </c>
      <c r="Y931" s="48" t="str">
        <f>IFERROR(LayTable[[#This Row],[Faktisk res]]/LayTable[[#This Row],[Total inns]],"")</f>
        <v/>
      </c>
      <c r="Z931" s="47">
        <f>(LayTable[[#This Row],[BookieInnsats]]*LayTable[[#This Row],[BookieOdds]]-LayTable[[#This Row],[BookieInnsats]])*(1-LayTable[[#This Row],[C% Bookie]])</f>
        <v>0</v>
      </c>
      <c r="AA931" s="43">
        <f>LayTable[[#This Row],[LayInnsats]]*(1-LayTable[[#This Row],[C% Lay]])</f>
        <v>0</v>
      </c>
      <c r="AB931" s="43" t="str">
        <f>IFERROR(IF(LayTable[[#This Row],[Sport]]="",AB930,LayTable[[#This Row],[Faktisk res]]+AB930),"")</f>
        <v/>
      </c>
      <c r="AC931" s="43">
        <f>(LayTable[[#This Row],[BackWin-Commission]]+LayTable[[#This Row],[BookieInnsats]])</f>
        <v>0</v>
      </c>
      <c r="AD931" s="43" t="e">
        <f>(LayTable[[#This Row],[LayWin-Commission]])+LayTable[[#This Row],[LayLiability]]</f>
        <v>#VALUE!</v>
      </c>
      <c r="AE931" s="43"/>
      <c r="AF931" s="181"/>
    </row>
    <row r="932" spans="1:32">
      <c r="A932" s="84"/>
      <c r="B932" s="39"/>
      <c r="C932" s="40"/>
      <c r="D932" s="41"/>
      <c r="E932" s="40"/>
      <c r="F932" s="41"/>
      <c r="G932" s="183"/>
      <c r="H932" s="38"/>
      <c r="I932" s="42"/>
      <c r="J932" s="42"/>
      <c r="K932" s="43"/>
      <c r="L932" s="43"/>
      <c r="M932" s="44" t="str">
        <f>IF(LayTable[[#This Row],[Sport]]="","",LayTable[[#This Row],[LayInnsats]]*(LayTable[[#This Row],[LayOdds]]-1))</f>
        <v/>
      </c>
      <c r="N932" s="45" t="str">
        <f>IF(LayTable[[#This Row],[Sport]]="","",1/((1/LayTable[[#This Row],[BookieOdds]])+(1/((1/((1+((LayTable[[#This Row],[LayOdds]]-1)*(1+LayTable[[#This Row],[C% Lay]])))-1))+1)))-1)</f>
        <v/>
      </c>
      <c r="Q932" s="46" t="str">
        <f>IF(LayTable[[#This Row],[Sport]]="","",LayTable[[#This Row],[BookieInnsats]]+LayTable[[#This Row],[LayLiability]])</f>
        <v/>
      </c>
      <c r="R9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2" s="47" t="str">
        <f>IF(LayTable[[#This Row],[Utfall bookie]]="","",LayTable[[#This Row],[WBABack]]+LayTable[[#This Row],[WBALay]]-LayTable[[#This Row],[Total inns]])</f>
        <v/>
      </c>
      <c r="U9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2" s="48" t="str">
        <f>IFERROR(IF(LayTable[[#This Row],[Total inns]]="","",LayTable[[#This Row],[Rback]]/LayTable[[#This Row],[Total inns]]),"")</f>
        <v/>
      </c>
      <c r="X932" s="48" t="str">
        <f>IFERROR(IF(LayTable[[#This Row],[Total inns]]="","",LayTable[[#This Row],[Rlay]]/LayTable[[#This Row],[Total inns]]),"")</f>
        <v/>
      </c>
      <c r="Y932" s="48" t="str">
        <f>IFERROR(LayTable[[#This Row],[Faktisk res]]/LayTable[[#This Row],[Total inns]],"")</f>
        <v/>
      </c>
      <c r="Z932" s="47">
        <f>(LayTable[[#This Row],[BookieInnsats]]*LayTable[[#This Row],[BookieOdds]]-LayTable[[#This Row],[BookieInnsats]])*(1-LayTable[[#This Row],[C% Bookie]])</f>
        <v>0</v>
      </c>
      <c r="AA932" s="43">
        <f>LayTable[[#This Row],[LayInnsats]]*(1-LayTable[[#This Row],[C% Lay]])</f>
        <v>0</v>
      </c>
      <c r="AB932" s="43" t="str">
        <f>IFERROR(IF(LayTable[[#This Row],[Sport]]="",AB931,LayTable[[#This Row],[Faktisk res]]+AB931),"")</f>
        <v/>
      </c>
      <c r="AC932" s="43">
        <f>(LayTable[[#This Row],[BackWin-Commission]]+LayTable[[#This Row],[BookieInnsats]])</f>
        <v>0</v>
      </c>
      <c r="AD932" s="43" t="e">
        <f>(LayTable[[#This Row],[LayWin-Commission]])+LayTable[[#This Row],[LayLiability]]</f>
        <v>#VALUE!</v>
      </c>
      <c r="AE932" s="43"/>
      <c r="AF932" s="181"/>
    </row>
    <row r="933" spans="1:32">
      <c r="A933" s="84"/>
      <c r="B933" s="39"/>
      <c r="C933" s="40"/>
      <c r="D933" s="41"/>
      <c r="E933" s="40"/>
      <c r="F933" s="41"/>
      <c r="G933" s="183"/>
      <c r="H933" s="38"/>
      <c r="I933" s="42"/>
      <c r="J933" s="42"/>
      <c r="K933" s="43"/>
      <c r="L933" s="43"/>
      <c r="M933" s="44" t="str">
        <f>IF(LayTable[[#This Row],[Sport]]="","",LayTable[[#This Row],[LayInnsats]]*(LayTable[[#This Row],[LayOdds]]-1))</f>
        <v/>
      </c>
      <c r="N933" s="45" t="str">
        <f>IF(LayTable[[#This Row],[Sport]]="","",1/((1/LayTable[[#This Row],[BookieOdds]])+(1/((1/((1+((LayTable[[#This Row],[LayOdds]]-1)*(1+LayTable[[#This Row],[C% Lay]])))-1))+1)))-1)</f>
        <v/>
      </c>
      <c r="Q933" s="46" t="str">
        <f>IF(LayTable[[#This Row],[Sport]]="","",LayTable[[#This Row],[BookieInnsats]]+LayTable[[#This Row],[LayLiability]])</f>
        <v/>
      </c>
      <c r="R9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3" s="47" t="str">
        <f>IF(LayTable[[#This Row],[Utfall bookie]]="","",LayTable[[#This Row],[WBABack]]+LayTable[[#This Row],[WBALay]]-LayTable[[#This Row],[Total inns]])</f>
        <v/>
      </c>
      <c r="U9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3" s="48" t="str">
        <f>IFERROR(IF(LayTable[[#This Row],[Total inns]]="","",LayTable[[#This Row],[Rback]]/LayTable[[#This Row],[Total inns]]),"")</f>
        <v/>
      </c>
      <c r="X933" s="48" t="str">
        <f>IFERROR(IF(LayTable[[#This Row],[Total inns]]="","",LayTable[[#This Row],[Rlay]]/LayTable[[#This Row],[Total inns]]),"")</f>
        <v/>
      </c>
      <c r="Y933" s="48" t="str">
        <f>IFERROR(LayTable[[#This Row],[Faktisk res]]/LayTable[[#This Row],[Total inns]],"")</f>
        <v/>
      </c>
      <c r="Z933" s="47">
        <f>(LayTable[[#This Row],[BookieInnsats]]*LayTable[[#This Row],[BookieOdds]]-LayTable[[#This Row],[BookieInnsats]])*(1-LayTable[[#This Row],[C% Bookie]])</f>
        <v>0</v>
      </c>
      <c r="AA933" s="43">
        <f>LayTable[[#This Row],[LayInnsats]]*(1-LayTable[[#This Row],[C% Lay]])</f>
        <v>0</v>
      </c>
      <c r="AB933" s="43" t="str">
        <f>IFERROR(IF(LayTable[[#This Row],[Sport]]="",AB932,LayTable[[#This Row],[Faktisk res]]+AB932),"")</f>
        <v/>
      </c>
      <c r="AC933" s="43">
        <f>(LayTable[[#This Row],[BackWin-Commission]]+LayTable[[#This Row],[BookieInnsats]])</f>
        <v>0</v>
      </c>
      <c r="AD933" s="43" t="e">
        <f>(LayTable[[#This Row],[LayWin-Commission]])+LayTable[[#This Row],[LayLiability]]</f>
        <v>#VALUE!</v>
      </c>
      <c r="AE933" s="43"/>
      <c r="AF933" s="181"/>
    </row>
    <row r="934" spans="1:32">
      <c r="A934" s="84"/>
      <c r="B934" s="39"/>
      <c r="C934" s="40"/>
      <c r="D934" s="41"/>
      <c r="E934" s="40"/>
      <c r="F934" s="41"/>
      <c r="G934" s="183"/>
      <c r="H934" s="38"/>
      <c r="I934" s="42"/>
      <c r="J934" s="42"/>
      <c r="K934" s="43"/>
      <c r="L934" s="43"/>
      <c r="M934" s="44" t="str">
        <f>IF(LayTable[[#This Row],[Sport]]="","",LayTable[[#This Row],[LayInnsats]]*(LayTable[[#This Row],[LayOdds]]-1))</f>
        <v/>
      </c>
      <c r="N934" s="45" t="str">
        <f>IF(LayTable[[#This Row],[Sport]]="","",1/((1/LayTable[[#This Row],[BookieOdds]])+(1/((1/((1+((LayTable[[#This Row],[LayOdds]]-1)*(1+LayTable[[#This Row],[C% Lay]])))-1))+1)))-1)</f>
        <v/>
      </c>
      <c r="Q934" s="46" t="str">
        <f>IF(LayTable[[#This Row],[Sport]]="","",LayTable[[#This Row],[BookieInnsats]]+LayTable[[#This Row],[LayLiability]])</f>
        <v/>
      </c>
      <c r="R9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4" s="47" t="str">
        <f>IF(LayTable[[#This Row],[Utfall bookie]]="","",LayTable[[#This Row],[WBABack]]+LayTable[[#This Row],[WBALay]]-LayTable[[#This Row],[Total inns]])</f>
        <v/>
      </c>
      <c r="U9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4" s="48" t="str">
        <f>IFERROR(IF(LayTable[[#This Row],[Total inns]]="","",LayTable[[#This Row],[Rback]]/LayTable[[#This Row],[Total inns]]),"")</f>
        <v/>
      </c>
      <c r="X934" s="48" t="str">
        <f>IFERROR(IF(LayTable[[#This Row],[Total inns]]="","",LayTable[[#This Row],[Rlay]]/LayTable[[#This Row],[Total inns]]),"")</f>
        <v/>
      </c>
      <c r="Y934" s="48" t="str">
        <f>IFERROR(LayTable[[#This Row],[Faktisk res]]/LayTable[[#This Row],[Total inns]],"")</f>
        <v/>
      </c>
      <c r="Z934" s="47">
        <f>(LayTable[[#This Row],[BookieInnsats]]*LayTable[[#This Row],[BookieOdds]]-LayTable[[#This Row],[BookieInnsats]])*(1-LayTable[[#This Row],[C% Bookie]])</f>
        <v>0</v>
      </c>
      <c r="AA934" s="43">
        <f>LayTable[[#This Row],[LayInnsats]]*(1-LayTable[[#This Row],[C% Lay]])</f>
        <v>0</v>
      </c>
      <c r="AB934" s="43" t="str">
        <f>IFERROR(IF(LayTable[[#This Row],[Sport]]="",AB933,LayTable[[#This Row],[Faktisk res]]+AB933),"")</f>
        <v/>
      </c>
      <c r="AC934" s="43">
        <f>(LayTable[[#This Row],[BackWin-Commission]]+LayTable[[#This Row],[BookieInnsats]])</f>
        <v>0</v>
      </c>
      <c r="AD934" s="43" t="e">
        <f>(LayTable[[#This Row],[LayWin-Commission]])+LayTable[[#This Row],[LayLiability]]</f>
        <v>#VALUE!</v>
      </c>
      <c r="AE934" s="43"/>
      <c r="AF934" s="181"/>
    </row>
    <row r="935" spans="1:32">
      <c r="A935" s="84"/>
      <c r="B935" s="39"/>
      <c r="C935" s="40"/>
      <c r="D935" s="41"/>
      <c r="E935" s="40"/>
      <c r="F935" s="41"/>
      <c r="G935" s="183"/>
      <c r="H935" s="38"/>
      <c r="I935" s="42"/>
      <c r="J935" s="42"/>
      <c r="K935" s="43"/>
      <c r="L935" s="43"/>
      <c r="M935" s="44" t="str">
        <f>IF(LayTable[[#This Row],[Sport]]="","",LayTable[[#This Row],[LayInnsats]]*(LayTable[[#This Row],[LayOdds]]-1))</f>
        <v/>
      </c>
      <c r="N935" s="45" t="str">
        <f>IF(LayTable[[#This Row],[Sport]]="","",1/((1/LayTable[[#This Row],[BookieOdds]])+(1/((1/((1+((LayTable[[#This Row],[LayOdds]]-1)*(1+LayTable[[#This Row],[C% Lay]])))-1))+1)))-1)</f>
        <v/>
      </c>
      <c r="Q935" s="46" t="str">
        <f>IF(LayTable[[#This Row],[Sport]]="","",LayTable[[#This Row],[BookieInnsats]]+LayTable[[#This Row],[LayLiability]])</f>
        <v/>
      </c>
      <c r="R9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5" s="47" t="str">
        <f>IF(LayTable[[#This Row],[Utfall bookie]]="","",LayTable[[#This Row],[WBABack]]+LayTable[[#This Row],[WBALay]]-LayTable[[#This Row],[Total inns]])</f>
        <v/>
      </c>
      <c r="U9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5" s="48" t="str">
        <f>IFERROR(IF(LayTable[[#This Row],[Total inns]]="","",LayTable[[#This Row],[Rback]]/LayTable[[#This Row],[Total inns]]),"")</f>
        <v/>
      </c>
      <c r="X935" s="48" t="str">
        <f>IFERROR(IF(LayTable[[#This Row],[Total inns]]="","",LayTable[[#This Row],[Rlay]]/LayTable[[#This Row],[Total inns]]),"")</f>
        <v/>
      </c>
      <c r="Y935" s="48" t="str">
        <f>IFERROR(LayTable[[#This Row],[Faktisk res]]/LayTable[[#This Row],[Total inns]],"")</f>
        <v/>
      </c>
      <c r="Z935" s="47">
        <f>(LayTable[[#This Row],[BookieInnsats]]*LayTable[[#This Row],[BookieOdds]]-LayTable[[#This Row],[BookieInnsats]])*(1-LayTable[[#This Row],[C% Bookie]])</f>
        <v>0</v>
      </c>
      <c r="AA935" s="43">
        <f>LayTable[[#This Row],[LayInnsats]]*(1-LayTable[[#This Row],[C% Lay]])</f>
        <v>0</v>
      </c>
      <c r="AB935" s="43" t="str">
        <f>IFERROR(IF(LayTable[[#This Row],[Sport]]="",AB934,LayTable[[#This Row],[Faktisk res]]+AB934),"")</f>
        <v/>
      </c>
      <c r="AC935" s="43">
        <f>(LayTable[[#This Row],[BackWin-Commission]]+LayTable[[#This Row],[BookieInnsats]])</f>
        <v>0</v>
      </c>
      <c r="AD935" s="43" t="e">
        <f>(LayTable[[#This Row],[LayWin-Commission]])+LayTable[[#This Row],[LayLiability]]</f>
        <v>#VALUE!</v>
      </c>
      <c r="AE935" s="43"/>
      <c r="AF935" s="181"/>
    </row>
    <row r="936" spans="1:32">
      <c r="A936" s="84"/>
      <c r="B936" s="39"/>
      <c r="C936" s="40"/>
      <c r="D936" s="41"/>
      <c r="E936" s="40"/>
      <c r="F936" s="41"/>
      <c r="G936" s="183"/>
      <c r="H936" s="38"/>
      <c r="I936" s="42"/>
      <c r="J936" s="42"/>
      <c r="K936" s="43"/>
      <c r="L936" s="43"/>
      <c r="M936" s="44" t="str">
        <f>IF(LayTable[[#This Row],[Sport]]="","",LayTable[[#This Row],[LayInnsats]]*(LayTable[[#This Row],[LayOdds]]-1))</f>
        <v/>
      </c>
      <c r="N936" s="45" t="str">
        <f>IF(LayTable[[#This Row],[Sport]]="","",1/((1/LayTable[[#This Row],[BookieOdds]])+(1/((1/((1+((LayTable[[#This Row],[LayOdds]]-1)*(1+LayTable[[#This Row],[C% Lay]])))-1))+1)))-1)</f>
        <v/>
      </c>
      <c r="Q936" s="46" t="str">
        <f>IF(LayTable[[#This Row],[Sport]]="","",LayTable[[#This Row],[BookieInnsats]]+LayTable[[#This Row],[LayLiability]])</f>
        <v/>
      </c>
      <c r="R9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6" s="47" t="str">
        <f>IF(LayTable[[#This Row],[Utfall bookie]]="","",LayTable[[#This Row],[WBABack]]+LayTable[[#This Row],[WBALay]]-LayTable[[#This Row],[Total inns]])</f>
        <v/>
      </c>
      <c r="U9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6" s="48" t="str">
        <f>IFERROR(IF(LayTable[[#This Row],[Total inns]]="","",LayTable[[#This Row],[Rback]]/LayTable[[#This Row],[Total inns]]),"")</f>
        <v/>
      </c>
      <c r="X936" s="48" t="str">
        <f>IFERROR(IF(LayTable[[#This Row],[Total inns]]="","",LayTable[[#This Row],[Rlay]]/LayTable[[#This Row],[Total inns]]),"")</f>
        <v/>
      </c>
      <c r="Y936" s="48" t="str">
        <f>IFERROR(LayTable[[#This Row],[Faktisk res]]/LayTable[[#This Row],[Total inns]],"")</f>
        <v/>
      </c>
      <c r="Z936" s="47">
        <f>(LayTable[[#This Row],[BookieInnsats]]*LayTable[[#This Row],[BookieOdds]]-LayTable[[#This Row],[BookieInnsats]])*(1-LayTable[[#This Row],[C% Bookie]])</f>
        <v>0</v>
      </c>
      <c r="AA936" s="43">
        <f>LayTable[[#This Row],[LayInnsats]]*(1-LayTable[[#This Row],[C% Lay]])</f>
        <v>0</v>
      </c>
      <c r="AB936" s="43" t="str">
        <f>IFERROR(IF(LayTable[[#This Row],[Sport]]="",AB935,LayTable[[#This Row],[Faktisk res]]+AB935),"")</f>
        <v/>
      </c>
      <c r="AC936" s="43">
        <f>(LayTable[[#This Row],[BackWin-Commission]]+LayTable[[#This Row],[BookieInnsats]])</f>
        <v>0</v>
      </c>
      <c r="AD936" s="43" t="e">
        <f>(LayTable[[#This Row],[LayWin-Commission]])+LayTable[[#This Row],[LayLiability]]</f>
        <v>#VALUE!</v>
      </c>
      <c r="AE936" s="43"/>
      <c r="AF936" s="181"/>
    </row>
    <row r="937" spans="1:32">
      <c r="A937" s="84"/>
      <c r="B937" s="39"/>
      <c r="C937" s="40"/>
      <c r="D937" s="41"/>
      <c r="E937" s="40"/>
      <c r="F937" s="41"/>
      <c r="G937" s="183"/>
      <c r="H937" s="38"/>
      <c r="I937" s="42"/>
      <c r="J937" s="42"/>
      <c r="K937" s="43"/>
      <c r="L937" s="43"/>
      <c r="M937" s="44" t="str">
        <f>IF(LayTable[[#This Row],[Sport]]="","",LayTable[[#This Row],[LayInnsats]]*(LayTable[[#This Row],[LayOdds]]-1))</f>
        <v/>
      </c>
      <c r="N937" s="45" t="str">
        <f>IF(LayTable[[#This Row],[Sport]]="","",1/((1/LayTable[[#This Row],[BookieOdds]])+(1/((1/((1+((LayTable[[#This Row],[LayOdds]]-1)*(1+LayTable[[#This Row],[C% Lay]])))-1))+1)))-1)</f>
        <v/>
      </c>
      <c r="Q937" s="46" t="str">
        <f>IF(LayTable[[#This Row],[Sport]]="","",LayTable[[#This Row],[BookieInnsats]]+LayTable[[#This Row],[LayLiability]])</f>
        <v/>
      </c>
      <c r="R9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7" s="47" t="str">
        <f>IF(LayTable[[#This Row],[Utfall bookie]]="","",LayTable[[#This Row],[WBABack]]+LayTable[[#This Row],[WBALay]]-LayTable[[#This Row],[Total inns]])</f>
        <v/>
      </c>
      <c r="U9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7" s="48" t="str">
        <f>IFERROR(IF(LayTable[[#This Row],[Total inns]]="","",LayTable[[#This Row],[Rback]]/LayTable[[#This Row],[Total inns]]),"")</f>
        <v/>
      </c>
      <c r="X937" s="48" t="str">
        <f>IFERROR(IF(LayTable[[#This Row],[Total inns]]="","",LayTable[[#This Row],[Rlay]]/LayTable[[#This Row],[Total inns]]),"")</f>
        <v/>
      </c>
      <c r="Y937" s="48" t="str">
        <f>IFERROR(LayTable[[#This Row],[Faktisk res]]/LayTable[[#This Row],[Total inns]],"")</f>
        <v/>
      </c>
      <c r="Z937" s="47">
        <f>(LayTable[[#This Row],[BookieInnsats]]*LayTable[[#This Row],[BookieOdds]]-LayTable[[#This Row],[BookieInnsats]])*(1-LayTable[[#This Row],[C% Bookie]])</f>
        <v>0</v>
      </c>
      <c r="AA937" s="43">
        <f>LayTable[[#This Row],[LayInnsats]]*(1-LayTable[[#This Row],[C% Lay]])</f>
        <v>0</v>
      </c>
      <c r="AB937" s="43" t="str">
        <f>IFERROR(IF(LayTable[[#This Row],[Sport]]="",AB936,LayTable[[#This Row],[Faktisk res]]+AB936),"")</f>
        <v/>
      </c>
      <c r="AC937" s="43">
        <f>(LayTable[[#This Row],[BackWin-Commission]]+LayTable[[#This Row],[BookieInnsats]])</f>
        <v>0</v>
      </c>
      <c r="AD937" s="43" t="e">
        <f>(LayTable[[#This Row],[LayWin-Commission]])+LayTable[[#This Row],[LayLiability]]</f>
        <v>#VALUE!</v>
      </c>
      <c r="AE937" s="43"/>
      <c r="AF937" s="181"/>
    </row>
    <row r="938" spans="1:32">
      <c r="A938" s="84"/>
      <c r="B938" s="39"/>
      <c r="C938" s="40"/>
      <c r="D938" s="41"/>
      <c r="E938" s="40"/>
      <c r="F938" s="41"/>
      <c r="G938" s="183"/>
      <c r="H938" s="38"/>
      <c r="I938" s="42"/>
      <c r="J938" s="42"/>
      <c r="K938" s="43"/>
      <c r="L938" s="43"/>
      <c r="M938" s="44" t="str">
        <f>IF(LayTable[[#This Row],[Sport]]="","",LayTable[[#This Row],[LayInnsats]]*(LayTable[[#This Row],[LayOdds]]-1))</f>
        <v/>
      </c>
      <c r="N938" s="45" t="str">
        <f>IF(LayTable[[#This Row],[Sport]]="","",1/((1/LayTable[[#This Row],[BookieOdds]])+(1/((1/((1+((LayTable[[#This Row],[LayOdds]]-1)*(1+LayTable[[#This Row],[C% Lay]])))-1))+1)))-1)</f>
        <v/>
      </c>
      <c r="Q938" s="46" t="str">
        <f>IF(LayTable[[#This Row],[Sport]]="","",LayTable[[#This Row],[BookieInnsats]]+LayTable[[#This Row],[LayLiability]])</f>
        <v/>
      </c>
      <c r="R9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8" s="47" t="str">
        <f>IF(LayTable[[#This Row],[Utfall bookie]]="","",LayTable[[#This Row],[WBABack]]+LayTable[[#This Row],[WBALay]]-LayTable[[#This Row],[Total inns]])</f>
        <v/>
      </c>
      <c r="U9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8" s="48" t="str">
        <f>IFERROR(IF(LayTable[[#This Row],[Total inns]]="","",LayTable[[#This Row],[Rback]]/LayTable[[#This Row],[Total inns]]),"")</f>
        <v/>
      </c>
      <c r="X938" s="48" t="str">
        <f>IFERROR(IF(LayTable[[#This Row],[Total inns]]="","",LayTable[[#This Row],[Rlay]]/LayTable[[#This Row],[Total inns]]),"")</f>
        <v/>
      </c>
      <c r="Y938" s="48" t="str">
        <f>IFERROR(LayTable[[#This Row],[Faktisk res]]/LayTable[[#This Row],[Total inns]],"")</f>
        <v/>
      </c>
      <c r="Z938" s="47">
        <f>(LayTable[[#This Row],[BookieInnsats]]*LayTable[[#This Row],[BookieOdds]]-LayTable[[#This Row],[BookieInnsats]])*(1-LayTable[[#This Row],[C% Bookie]])</f>
        <v>0</v>
      </c>
      <c r="AA938" s="43">
        <f>LayTable[[#This Row],[LayInnsats]]*(1-LayTable[[#This Row],[C% Lay]])</f>
        <v>0</v>
      </c>
      <c r="AB938" s="43" t="str">
        <f>IFERROR(IF(LayTable[[#This Row],[Sport]]="",AB937,LayTable[[#This Row],[Faktisk res]]+AB937),"")</f>
        <v/>
      </c>
      <c r="AC938" s="43">
        <f>(LayTable[[#This Row],[BackWin-Commission]]+LayTable[[#This Row],[BookieInnsats]])</f>
        <v>0</v>
      </c>
      <c r="AD938" s="43" t="e">
        <f>(LayTable[[#This Row],[LayWin-Commission]])+LayTable[[#This Row],[LayLiability]]</f>
        <v>#VALUE!</v>
      </c>
      <c r="AE938" s="43"/>
      <c r="AF938" s="181"/>
    </row>
    <row r="939" spans="1:32">
      <c r="A939" s="84"/>
      <c r="B939" s="39"/>
      <c r="C939" s="40"/>
      <c r="D939" s="41"/>
      <c r="E939" s="40"/>
      <c r="F939" s="41"/>
      <c r="G939" s="183"/>
      <c r="H939" s="38"/>
      <c r="I939" s="42"/>
      <c r="J939" s="42"/>
      <c r="K939" s="43"/>
      <c r="L939" s="43"/>
      <c r="M939" s="44" t="str">
        <f>IF(LayTable[[#This Row],[Sport]]="","",LayTable[[#This Row],[LayInnsats]]*(LayTable[[#This Row],[LayOdds]]-1))</f>
        <v/>
      </c>
      <c r="N939" s="45" t="str">
        <f>IF(LayTable[[#This Row],[Sport]]="","",1/((1/LayTable[[#This Row],[BookieOdds]])+(1/((1/((1+((LayTable[[#This Row],[LayOdds]]-1)*(1+LayTable[[#This Row],[C% Lay]])))-1))+1)))-1)</f>
        <v/>
      </c>
      <c r="Q939" s="46" t="str">
        <f>IF(LayTable[[#This Row],[Sport]]="","",LayTable[[#This Row],[BookieInnsats]]+LayTable[[#This Row],[LayLiability]])</f>
        <v/>
      </c>
      <c r="R9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39" s="47" t="str">
        <f>IF(LayTable[[#This Row],[Utfall bookie]]="","",LayTable[[#This Row],[WBABack]]+LayTable[[#This Row],[WBALay]]-LayTable[[#This Row],[Total inns]])</f>
        <v/>
      </c>
      <c r="U9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39" s="48" t="str">
        <f>IFERROR(IF(LayTable[[#This Row],[Total inns]]="","",LayTable[[#This Row],[Rback]]/LayTable[[#This Row],[Total inns]]),"")</f>
        <v/>
      </c>
      <c r="X939" s="48" t="str">
        <f>IFERROR(IF(LayTable[[#This Row],[Total inns]]="","",LayTable[[#This Row],[Rlay]]/LayTable[[#This Row],[Total inns]]),"")</f>
        <v/>
      </c>
      <c r="Y939" s="48" t="str">
        <f>IFERROR(LayTable[[#This Row],[Faktisk res]]/LayTable[[#This Row],[Total inns]],"")</f>
        <v/>
      </c>
      <c r="Z939" s="47">
        <f>(LayTable[[#This Row],[BookieInnsats]]*LayTable[[#This Row],[BookieOdds]]-LayTable[[#This Row],[BookieInnsats]])*(1-LayTable[[#This Row],[C% Bookie]])</f>
        <v>0</v>
      </c>
      <c r="AA939" s="43">
        <f>LayTable[[#This Row],[LayInnsats]]*(1-LayTable[[#This Row],[C% Lay]])</f>
        <v>0</v>
      </c>
      <c r="AB939" s="43" t="str">
        <f>IFERROR(IF(LayTable[[#This Row],[Sport]]="",AB938,LayTable[[#This Row],[Faktisk res]]+AB938),"")</f>
        <v/>
      </c>
      <c r="AC939" s="43">
        <f>(LayTable[[#This Row],[BackWin-Commission]]+LayTable[[#This Row],[BookieInnsats]])</f>
        <v>0</v>
      </c>
      <c r="AD939" s="43" t="e">
        <f>(LayTable[[#This Row],[LayWin-Commission]])+LayTable[[#This Row],[LayLiability]]</f>
        <v>#VALUE!</v>
      </c>
      <c r="AE939" s="43"/>
      <c r="AF939" s="181"/>
    </row>
    <row r="940" spans="1:32">
      <c r="A940" s="84"/>
      <c r="B940" s="39"/>
      <c r="C940" s="40"/>
      <c r="D940" s="41"/>
      <c r="E940" s="40"/>
      <c r="F940" s="41"/>
      <c r="G940" s="183"/>
      <c r="H940" s="38"/>
      <c r="I940" s="42"/>
      <c r="J940" s="42"/>
      <c r="K940" s="43"/>
      <c r="L940" s="43"/>
      <c r="M940" s="44" t="str">
        <f>IF(LayTable[[#This Row],[Sport]]="","",LayTable[[#This Row],[LayInnsats]]*(LayTable[[#This Row],[LayOdds]]-1))</f>
        <v/>
      </c>
      <c r="N940" s="45" t="str">
        <f>IF(LayTable[[#This Row],[Sport]]="","",1/((1/LayTable[[#This Row],[BookieOdds]])+(1/((1/((1+((LayTable[[#This Row],[LayOdds]]-1)*(1+LayTable[[#This Row],[C% Lay]])))-1))+1)))-1)</f>
        <v/>
      </c>
      <c r="Q940" s="46" t="str">
        <f>IF(LayTable[[#This Row],[Sport]]="","",LayTable[[#This Row],[BookieInnsats]]+LayTable[[#This Row],[LayLiability]])</f>
        <v/>
      </c>
      <c r="R9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0" s="47" t="str">
        <f>IF(LayTable[[#This Row],[Utfall bookie]]="","",LayTable[[#This Row],[WBABack]]+LayTable[[#This Row],[WBALay]]-LayTable[[#This Row],[Total inns]])</f>
        <v/>
      </c>
      <c r="U9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0" s="48" t="str">
        <f>IFERROR(IF(LayTable[[#This Row],[Total inns]]="","",LayTable[[#This Row],[Rback]]/LayTable[[#This Row],[Total inns]]),"")</f>
        <v/>
      </c>
      <c r="X940" s="48" t="str">
        <f>IFERROR(IF(LayTable[[#This Row],[Total inns]]="","",LayTable[[#This Row],[Rlay]]/LayTable[[#This Row],[Total inns]]),"")</f>
        <v/>
      </c>
      <c r="Y940" s="48" t="str">
        <f>IFERROR(LayTable[[#This Row],[Faktisk res]]/LayTable[[#This Row],[Total inns]],"")</f>
        <v/>
      </c>
      <c r="Z940" s="47">
        <f>(LayTable[[#This Row],[BookieInnsats]]*LayTable[[#This Row],[BookieOdds]]-LayTable[[#This Row],[BookieInnsats]])*(1-LayTable[[#This Row],[C% Bookie]])</f>
        <v>0</v>
      </c>
      <c r="AA940" s="43">
        <f>LayTable[[#This Row],[LayInnsats]]*(1-LayTable[[#This Row],[C% Lay]])</f>
        <v>0</v>
      </c>
      <c r="AB940" s="43" t="str">
        <f>IFERROR(IF(LayTable[[#This Row],[Sport]]="",AB939,LayTable[[#This Row],[Faktisk res]]+AB939),"")</f>
        <v/>
      </c>
      <c r="AC940" s="43">
        <f>(LayTable[[#This Row],[BackWin-Commission]]+LayTable[[#This Row],[BookieInnsats]])</f>
        <v>0</v>
      </c>
      <c r="AD940" s="43" t="e">
        <f>(LayTable[[#This Row],[LayWin-Commission]])+LayTable[[#This Row],[LayLiability]]</f>
        <v>#VALUE!</v>
      </c>
      <c r="AE940" s="43"/>
      <c r="AF940" s="181"/>
    </row>
    <row r="941" spans="1:32">
      <c r="A941" s="84"/>
      <c r="B941" s="39"/>
      <c r="C941" s="40"/>
      <c r="D941" s="41"/>
      <c r="E941" s="40"/>
      <c r="F941" s="41"/>
      <c r="G941" s="183"/>
      <c r="H941" s="38"/>
      <c r="I941" s="42"/>
      <c r="J941" s="42"/>
      <c r="K941" s="43"/>
      <c r="L941" s="43"/>
      <c r="M941" s="44" t="str">
        <f>IF(LayTable[[#This Row],[Sport]]="","",LayTable[[#This Row],[LayInnsats]]*(LayTable[[#This Row],[LayOdds]]-1))</f>
        <v/>
      </c>
      <c r="N941" s="45" t="str">
        <f>IF(LayTable[[#This Row],[Sport]]="","",1/((1/LayTable[[#This Row],[BookieOdds]])+(1/((1/((1+((LayTable[[#This Row],[LayOdds]]-1)*(1+LayTable[[#This Row],[C% Lay]])))-1))+1)))-1)</f>
        <v/>
      </c>
      <c r="Q941" s="46" t="str">
        <f>IF(LayTable[[#This Row],[Sport]]="","",LayTable[[#This Row],[BookieInnsats]]+LayTable[[#This Row],[LayLiability]])</f>
        <v/>
      </c>
      <c r="R9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1" s="47" t="str">
        <f>IF(LayTable[[#This Row],[Utfall bookie]]="","",LayTable[[#This Row],[WBABack]]+LayTable[[#This Row],[WBALay]]-LayTable[[#This Row],[Total inns]])</f>
        <v/>
      </c>
      <c r="U9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1" s="48" t="str">
        <f>IFERROR(IF(LayTable[[#This Row],[Total inns]]="","",LayTable[[#This Row],[Rback]]/LayTable[[#This Row],[Total inns]]),"")</f>
        <v/>
      </c>
      <c r="X941" s="48" t="str">
        <f>IFERROR(IF(LayTable[[#This Row],[Total inns]]="","",LayTable[[#This Row],[Rlay]]/LayTable[[#This Row],[Total inns]]),"")</f>
        <v/>
      </c>
      <c r="Y941" s="48" t="str">
        <f>IFERROR(LayTable[[#This Row],[Faktisk res]]/LayTable[[#This Row],[Total inns]],"")</f>
        <v/>
      </c>
      <c r="Z941" s="47">
        <f>(LayTable[[#This Row],[BookieInnsats]]*LayTable[[#This Row],[BookieOdds]]-LayTable[[#This Row],[BookieInnsats]])*(1-LayTable[[#This Row],[C% Bookie]])</f>
        <v>0</v>
      </c>
      <c r="AA941" s="43">
        <f>LayTable[[#This Row],[LayInnsats]]*(1-LayTable[[#This Row],[C% Lay]])</f>
        <v>0</v>
      </c>
      <c r="AB941" s="43" t="str">
        <f>IFERROR(IF(LayTable[[#This Row],[Sport]]="",AB940,LayTable[[#This Row],[Faktisk res]]+AB940),"")</f>
        <v/>
      </c>
      <c r="AC941" s="43">
        <f>(LayTable[[#This Row],[BackWin-Commission]]+LayTable[[#This Row],[BookieInnsats]])</f>
        <v>0</v>
      </c>
      <c r="AD941" s="43" t="e">
        <f>(LayTable[[#This Row],[LayWin-Commission]])+LayTable[[#This Row],[LayLiability]]</f>
        <v>#VALUE!</v>
      </c>
      <c r="AE941" s="43"/>
      <c r="AF941" s="181"/>
    </row>
    <row r="942" spans="1:32">
      <c r="A942" s="84"/>
      <c r="B942" s="39"/>
      <c r="C942" s="40"/>
      <c r="D942" s="41"/>
      <c r="E942" s="40"/>
      <c r="F942" s="41"/>
      <c r="G942" s="183"/>
      <c r="H942" s="38"/>
      <c r="I942" s="42"/>
      <c r="J942" s="42"/>
      <c r="K942" s="43"/>
      <c r="L942" s="43"/>
      <c r="M942" s="44" t="str">
        <f>IF(LayTable[[#This Row],[Sport]]="","",LayTable[[#This Row],[LayInnsats]]*(LayTable[[#This Row],[LayOdds]]-1))</f>
        <v/>
      </c>
      <c r="N942" s="45" t="str">
        <f>IF(LayTable[[#This Row],[Sport]]="","",1/((1/LayTable[[#This Row],[BookieOdds]])+(1/((1/((1+((LayTable[[#This Row],[LayOdds]]-1)*(1+LayTable[[#This Row],[C% Lay]])))-1))+1)))-1)</f>
        <v/>
      </c>
      <c r="Q942" s="46" t="str">
        <f>IF(LayTable[[#This Row],[Sport]]="","",LayTable[[#This Row],[BookieInnsats]]+LayTable[[#This Row],[LayLiability]])</f>
        <v/>
      </c>
      <c r="R9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2" s="47" t="str">
        <f>IF(LayTable[[#This Row],[Utfall bookie]]="","",LayTable[[#This Row],[WBABack]]+LayTable[[#This Row],[WBALay]]-LayTable[[#This Row],[Total inns]])</f>
        <v/>
      </c>
      <c r="U9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2" s="48" t="str">
        <f>IFERROR(IF(LayTable[[#This Row],[Total inns]]="","",LayTable[[#This Row],[Rback]]/LayTable[[#This Row],[Total inns]]),"")</f>
        <v/>
      </c>
      <c r="X942" s="48" t="str">
        <f>IFERROR(IF(LayTable[[#This Row],[Total inns]]="","",LayTable[[#This Row],[Rlay]]/LayTable[[#This Row],[Total inns]]),"")</f>
        <v/>
      </c>
      <c r="Y942" s="48" t="str">
        <f>IFERROR(LayTable[[#This Row],[Faktisk res]]/LayTable[[#This Row],[Total inns]],"")</f>
        <v/>
      </c>
      <c r="Z942" s="47">
        <f>(LayTable[[#This Row],[BookieInnsats]]*LayTable[[#This Row],[BookieOdds]]-LayTable[[#This Row],[BookieInnsats]])*(1-LayTable[[#This Row],[C% Bookie]])</f>
        <v>0</v>
      </c>
      <c r="AA942" s="43">
        <f>LayTable[[#This Row],[LayInnsats]]*(1-LayTable[[#This Row],[C% Lay]])</f>
        <v>0</v>
      </c>
      <c r="AB942" s="43" t="str">
        <f>IFERROR(IF(LayTable[[#This Row],[Sport]]="",AB941,LayTable[[#This Row],[Faktisk res]]+AB941),"")</f>
        <v/>
      </c>
      <c r="AC942" s="43">
        <f>(LayTable[[#This Row],[BackWin-Commission]]+LayTable[[#This Row],[BookieInnsats]])</f>
        <v>0</v>
      </c>
      <c r="AD942" s="43" t="e">
        <f>(LayTable[[#This Row],[LayWin-Commission]])+LayTable[[#This Row],[LayLiability]]</f>
        <v>#VALUE!</v>
      </c>
      <c r="AE942" s="43"/>
      <c r="AF942" s="181"/>
    </row>
    <row r="943" spans="1:32">
      <c r="A943" s="84"/>
      <c r="B943" s="39"/>
      <c r="C943" s="40"/>
      <c r="D943" s="41"/>
      <c r="E943" s="40"/>
      <c r="F943" s="41"/>
      <c r="G943" s="183"/>
      <c r="H943" s="38"/>
      <c r="I943" s="42"/>
      <c r="J943" s="42"/>
      <c r="K943" s="43"/>
      <c r="L943" s="43"/>
      <c r="M943" s="44" t="str">
        <f>IF(LayTable[[#This Row],[Sport]]="","",LayTable[[#This Row],[LayInnsats]]*(LayTable[[#This Row],[LayOdds]]-1))</f>
        <v/>
      </c>
      <c r="N943" s="45" t="str">
        <f>IF(LayTable[[#This Row],[Sport]]="","",1/((1/LayTable[[#This Row],[BookieOdds]])+(1/((1/((1+((LayTable[[#This Row],[LayOdds]]-1)*(1+LayTable[[#This Row],[C% Lay]])))-1))+1)))-1)</f>
        <v/>
      </c>
      <c r="Q943" s="46" t="str">
        <f>IF(LayTable[[#This Row],[Sport]]="","",LayTable[[#This Row],[BookieInnsats]]+LayTable[[#This Row],[LayLiability]])</f>
        <v/>
      </c>
      <c r="R9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3" s="47" t="str">
        <f>IF(LayTable[[#This Row],[Utfall bookie]]="","",LayTable[[#This Row],[WBABack]]+LayTable[[#This Row],[WBALay]]-LayTable[[#This Row],[Total inns]])</f>
        <v/>
      </c>
      <c r="U9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3" s="48" t="str">
        <f>IFERROR(IF(LayTable[[#This Row],[Total inns]]="","",LayTable[[#This Row],[Rback]]/LayTable[[#This Row],[Total inns]]),"")</f>
        <v/>
      </c>
      <c r="X943" s="48" t="str">
        <f>IFERROR(IF(LayTable[[#This Row],[Total inns]]="","",LayTable[[#This Row],[Rlay]]/LayTable[[#This Row],[Total inns]]),"")</f>
        <v/>
      </c>
      <c r="Y943" s="48" t="str">
        <f>IFERROR(LayTable[[#This Row],[Faktisk res]]/LayTable[[#This Row],[Total inns]],"")</f>
        <v/>
      </c>
      <c r="Z943" s="47">
        <f>(LayTable[[#This Row],[BookieInnsats]]*LayTable[[#This Row],[BookieOdds]]-LayTable[[#This Row],[BookieInnsats]])*(1-LayTable[[#This Row],[C% Bookie]])</f>
        <v>0</v>
      </c>
      <c r="AA943" s="43">
        <f>LayTable[[#This Row],[LayInnsats]]*(1-LayTable[[#This Row],[C% Lay]])</f>
        <v>0</v>
      </c>
      <c r="AB943" s="43" t="str">
        <f>IFERROR(IF(LayTable[[#This Row],[Sport]]="",AB942,LayTable[[#This Row],[Faktisk res]]+AB942),"")</f>
        <v/>
      </c>
      <c r="AC943" s="43">
        <f>(LayTable[[#This Row],[BackWin-Commission]]+LayTable[[#This Row],[BookieInnsats]])</f>
        <v>0</v>
      </c>
      <c r="AD943" s="43" t="e">
        <f>(LayTable[[#This Row],[LayWin-Commission]])+LayTable[[#This Row],[LayLiability]]</f>
        <v>#VALUE!</v>
      </c>
      <c r="AE943" s="43"/>
      <c r="AF943" s="181"/>
    </row>
    <row r="944" spans="1:32">
      <c r="A944" s="84"/>
      <c r="B944" s="39"/>
      <c r="C944" s="40"/>
      <c r="D944" s="41"/>
      <c r="E944" s="40"/>
      <c r="F944" s="41"/>
      <c r="G944" s="183"/>
      <c r="H944" s="38"/>
      <c r="I944" s="42"/>
      <c r="J944" s="42"/>
      <c r="K944" s="43"/>
      <c r="L944" s="43"/>
      <c r="M944" s="44" t="str">
        <f>IF(LayTable[[#This Row],[Sport]]="","",LayTable[[#This Row],[LayInnsats]]*(LayTable[[#This Row],[LayOdds]]-1))</f>
        <v/>
      </c>
      <c r="N944" s="45" t="str">
        <f>IF(LayTable[[#This Row],[Sport]]="","",1/((1/LayTable[[#This Row],[BookieOdds]])+(1/((1/((1+((LayTable[[#This Row],[LayOdds]]-1)*(1+LayTable[[#This Row],[C% Lay]])))-1))+1)))-1)</f>
        <v/>
      </c>
      <c r="Q944" s="46" t="str">
        <f>IF(LayTable[[#This Row],[Sport]]="","",LayTable[[#This Row],[BookieInnsats]]+LayTable[[#This Row],[LayLiability]])</f>
        <v/>
      </c>
      <c r="R9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4" s="47" t="str">
        <f>IF(LayTable[[#This Row],[Utfall bookie]]="","",LayTable[[#This Row],[WBABack]]+LayTable[[#This Row],[WBALay]]-LayTable[[#This Row],[Total inns]])</f>
        <v/>
      </c>
      <c r="U9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4" s="48" t="str">
        <f>IFERROR(IF(LayTable[[#This Row],[Total inns]]="","",LayTable[[#This Row],[Rback]]/LayTable[[#This Row],[Total inns]]),"")</f>
        <v/>
      </c>
      <c r="X944" s="48" t="str">
        <f>IFERROR(IF(LayTable[[#This Row],[Total inns]]="","",LayTable[[#This Row],[Rlay]]/LayTable[[#This Row],[Total inns]]),"")</f>
        <v/>
      </c>
      <c r="Y944" s="48" t="str">
        <f>IFERROR(LayTable[[#This Row],[Faktisk res]]/LayTable[[#This Row],[Total inns]],"")</f>
        <v/>
      </c>
      <c r="Z944" s="47">
        <f>(LayTable[[#This Row],[BookieInnsats]]*LayTable[[#This Row],[BookieOdds]]-LayTable[[#This Row],[BookieInnsats]])*(1-LayTable[[#This Row],[C% Bookie]])</f>
        <v>0</v>
      </c>
      <c r="AA944" s="43">
        <f>LayTable[[#This Row],[LayInnsats]]*(1-LayTable[[#This Row],[C% Lay]])</f>
        <v>0</v>
      </c>
      <c r="AB944" s="43" t="str">
        <f>IFERROR(IF(LayTable[[#This Row],[Sport]]="",AB943,LayTable[[#This Row],[Faktisk res]]+AB943),"")</f>
        <v/>
      </c>
      <c r="AC944" s="43">
        <f>(LayTable[[#This Row],[BackWin-Commission]]+LayTable[[#This Row],[BookieInnsats]])</f>
        <v>0</v>
      </c>
      <c r="AD944" s="43" t="e">
        <f>(LayTable[[#This Row],[LayWin-Commission]])+LayTable[[#This Row],[LayLiability]]</f>
        <v>#VALUE!</v>
      </c>
      <c r="AE944" s="43"/>
      <c r="AF944" s="181"/>
    </row>
    <row r="945" spans="1:32">
      <c r="A945" s="84"/>
      <c r="B945" s="39"/>
      <c r="C945" s="40"/>
      <c r="D945" s="41"/>
      <c r="E945" s="40"/>
      <c r="F945" s="41"/>
      <c r="G945" s="183"/>
      <c r="H945" s="38"/>
      <c r="I945" s="42"/>
      <c r="J945" s="42"/>
      <c r="K945" s="43"/>
      <c r="L945" s="43"/>
      <c r="M945" s="44" t="str">
        <f>IF(LayTable[[#This Row],[Sport]]="","",LayTable[[#This Row],[LayInnsats]]*(LayTable[[#This Row],[LayOdds]]-1))</f>
        <v/>
      </c>
      <c r="N945" s="45" t="str">
        <f>IF(LayTable[[#This Row],[Sport]]="","",1/((1/LayTable[[#This Row],[BookieOdds]])+(1/((1/((1+((LayTable[[#This Row],[LayOdds]]-1)*(1+LayTable[[#This Row],[C% Lay]])))-1))+1)))-1)</f>
        <v/>
      </c>
      <c r="Q945" s="46" t="str">
        <f>IF(LayTable[[#This Row],[Sport]]="","",LayTable[[#This Row],[BookieInnsats]]+LayTable[[#This Row],[LayLiability]])</f>
        <v/>
      </c>
      <c r="R9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5" s="47" t="str">
        <f>IF(LayTable[[#This Row],[Utfall bookie]]="","",LayTable[[#This Row],[WBABack]]+LayTable[[#This Row],[WBALay]]-LayTable[[#This Row],[Total inns]])</f>
        <v/>
      </c>
      <c r="U9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5" s="48" t="str">
        <f>IFERROR(IF(LayTable[[#This Row],[Total inns]]="","",LayTable[[#This Row],[Rback]]/LayTable[[#This Row],[Total inns]]),"")</f>
        <v/>
      </c>
      <c r="X945" s="48" t="str">
        <f>IFERROR(IF(LayTable[[#This Row],[Total inns]]="","",LayTable[[#This Row],[Rlay]]/LayTable[[#This Row],[Total inns]]),"")</f>
        <v/>
      </c>
      <c r="Y945" s="48" t="str">
        <f>IFERROR(LayTable[[#This Row],[Faktisk res]]/LayTable[[#This Row],[Total inns]],"")</f>
        <v/>
      </c>
      <c r="Z945" s="47">
        <f>(LayTable[[#This Row],[BookieInnsats]]*LayTable[[#This Row],[BookieOdds]]-LayTable[[#This Row],[BookieInnsats]])*(1-LayTable[[#This Row],[C% Bookie]])</f>
        <v>0</v>
      </c>
      <c r="AA945" s="43">
        <f>LayTable[[#This Row],[LayInnsats]]*(1-LayTable[[#This Row],[C% Lay]])</f>
        <v>0</v>
      </c>
      <c r="AB945" s="43" t="str">
        <f>IFERROR(IF(LayTable[[#This Row],[Sport]]="",AB944,LayTable[[#This Row],[Faktisk res]]+AB944),"")</f>
        <v/>
      </c>
      <c r="AC945" s="43">
        <f>(LayTable[[#This Row],[BackWin-Commission]]+LayTable[[#This Row],[BookieInnsats]])</f>
        <v>0</v>
      </c>
      <c r="AD945" s="43" t="e">
        <f>(LayTable[[#This Row],[LayWin-Commission]])+LayTable[[#This Row],[LayLiability]]</f>
        <v>#VALUE!</v>
      </c>
      <c r="AE945" s="43"/>
      <c r="AF945" s="181"/>
    </row>
    <row r="946" spans="1:32">
      <c r="A946" s="84"/>
      <c r="B946" s="39"/>
      <c r="C946" s="40"/>
      <c r="D946" s="41"/>
      <c r="E946" s="40"/>
      <c r="F946" s="41"/>
      <c r="G946" s="183"/>
      <c r="H946" s="38"/>
      <c r="I946" s="42"/>
      <c r="J946" s="42"/>
      <c r="K946" s="43"/>
      <c r="L946" s="43"/>
      <c r="M946" s="44" t="str">
        <f>IF(LayTable[[#This Row],[Sport]]="","",LayTable[[#This Row],[LayInnsats]]*(LayTable[[#This Row],[LayOdds]]-1))</f>
        <v/>
      </c>
      <c r="N946" s="45" t="str">
        <f>IF(LayTable[[#This Row],[Sport]]="","",1/((1/LayTable[[#This Row],[BookieOdds]])+(1/((1/((1+((LayTable[[#This Row],[LayOdds]]-1)*(1+LayTable[[#This Row],[C% Lay]])))-1))+1)))-1)</f>
        <v/>
      </c>
      <c r="Q946" s="46" t="str">
        <f>IF(LayTable[[#This Row],[Sport]]="","",LayTable[[#This Row],[BookieInnsats]]+LayTable[[#This Row],[LayLiability]])</f>
        <v/>
      </c>
      <c r="R9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6" s="47" t="str">
        <f>IF(LayTable[[#This Row],[Utfall bookie]]="","",LayTable[[#This Row],[WBABack]]+LayTable[[#This Row],[WBALay]]-LayTable[[#This Row],[Total inns]])</f>
        <v/>
      </c>
      <c r="U9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6" s="48" t="str">
        <f>IFERROR(IF(LayTable[[#This Row],[Total inns]]="","",LayTable[[#This Row],[Rback]]/LayTable[[#This Row],[Total inns]]),"")</f>
        <v/>
      </c>
      <c r="X946" s="48" t="str">
        <f>IFERROR(IF(LayTable[[#This Row],[Total inns]]="","",LayTable[[#This Row],[Rlay]]/LayTable[[#This Row],[Total inns]]),"")</f>
        <v/>
      </c>
      <c r="Y946" s="48" t="str">
        <f>IFERROR(LayTable[[#This Row],[Faktisk res]]/LayTable[[#This Row],[Total inns]],"")</f>
        <v/>
      </c>
      <c r="Z946" s="47">
        <f>(LayTable[[#This Row],[BookieInnsats]]*LayTable[[#This Row],[BookieOdds]]-LayTable[[#This Row],[BookieInnsats]])*(1-LayTable[[#This Row],[C% Bookie]])</f>
        <v>0</v>
      </c>
      <c r="AA946" s="43">
        <f>LayTable[[#This Row],[LayInnsats]]*(1-LayTable[[#This Row],[C% Lay]])</f>
        <v>0</v>
      </c>
      <c r="AB946" s="43" t="str">
        <f>IFERROR(IF(LayTable[[#This Row],[Sport]]="",AB945,LayTable[[#This Row],[Faktisk res]]+AB945),"")</f>
        <v/>
      </c>
      <c r="AC946" s="43">
        <f>(LayTable[[#This Row],[BackWin-Commission]]+LayTable[[#This Row],[BookieInnsats]])</f>
        <v>0</v>
      </c>
      <c r="AD946" s="43" t="e">
        <f>(LayTable[[#This Row],[LayWin-Commission]])+LayTable[[#This Row],[LayLiability]]</f>
        <v>#VALUE!</v>
      </c>
      <c r="AE946" s="43"/>
      <c r="AF946" s="181"/>
    </row>
    <row r="947" spans="1:32">
      <c r="A947" s="84"/>
      <c r="B947" s="39"/>
      <c r="C947" s="40"/>
      <c r="D947" s="41"/>
      <c r="E947" s="40"/>
      <c r="F947" s="41"/>
      <c r="G947" s="183"/>
      <c r="H947" s="38"/>
      <c r="I947" s="42"/>
      <c r="J947" s="42"/>
      <c r="K947" s="43"/>
      <c r="L947" s="43"/>
      <c r="M947" s="44" t="str">
        <f>IF(LayTable[[#This Row],[Sport]]="","",LayTable[[#This Row],[LayInnsats]]*(LayTable[[#This Row],[LayOdds]]-1))</f>
        <v/>
      </c>
      <c r="N947" s="45" t="str">
        <f>IF(LayTable[[#This Row],[Sport]]="","",1/((1/LayTable[[#This Row],[BookieOdds]])+(1/((1/((1+((LayTable[[#This Row],[LayOdds]]-1)*(1+LayTable[[#This Row],[C% Lay]])))-1))+1)))-1)</f>
        <v/>
      </c>
      <c r="Q947" s="46" t="str">
        <f>IF(LayTable[[#This Row],[Sport]]="","",LayTable[[#This Row],[BookieInnsats]]+LayTable[[#This Row],[LayLiability]])</f>
        <v/>
      </c>
      <c r="R9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7" s="47" t="str">
        <f>IF(LayTable[[#This Row],[Utfall bookie]]="","",LayTable[[#This Row],[WBABack]]+LayTable[[#This Row],[WBALay]]-LayTable[[#This Row],[Total inns]])</f>
        <v/>
      </c>
      <c r="U9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7" s="48" t="str">
        <f>IFERROR(IF(LayTable[[#This Row],[Total inns]]="","",LayTable[[#This Row],[Rback]]/LayTable[[#This Row],[Total inns]]),"")</f>
        <v/>
      </c>
      <c r="X947" s="48" t="str">
        <f>IFERROR(IF(LayTable[[#This Row],[Total inns]]="","",LayTable[[#This Row],[Rlay]]/LayTable[[#This Row],[Total inns]]),"")</f>
        <v/>
      </c>
      <c r="Y947" s="48" t="str">
        <f>IFERROR(LayTable[[#This Row],[Faktisk res]]/LayTable[[#This Row],[Total inns]],"")</f>
        <v/>
      </c>
      <c r="Z947" s="47">
        <f>(LayTable[[#This Row],[BookieInnsats]]*LayTable[[#This Row],[BookieOdds]]-LayTable[[#This Row],[BookieInnsats]])*(1-LayTable[[#This Row],[C% Bookie]])</f>
        <v>0</v>
      </c>
      <c r="AA947" s="43">
        <f>LayTable[[#This Row],[LayInnsats]]*(1-LayTable[[#This Row],[C% Lay]])</f>
        <v>0</v>
      </c>
      <c r="AB947" s="43" t="str">
        <f>IFERROR(IF(LayTable[[#This Row],[Sport]]="",AB946,LayTable[[#This Row],[Faktisk res]]+AB946),"")</f>
        <v/>
      </c>
      <c r="AC947" s="43">
        <f>(LayTable[[#This Row],[BackWin-Commission]]+LayTable[[#This Row],[BookieInnsats]])</f>
        <v>0</v>
      </c>
      <c r="AD947" s="43" t="e">
        <f>(LayTable[[#This Row],[LayWin-Commission]])+LayTable[[#This Row],[LayLiability]]</f>
        <v>#VALUE!</v>
      </c>
      <c r="AE947" s="43"/>
      <c r="AF947" s="181"/>
    </row>
    <row r="948" spans="1:32">
      <c r="A948" s="84"/>
      <c r="B948" s="39"/>
      <c r="C948" s="40"/>
      <c r="D948" s="41"/>
      <c r="E948" s="40"/>
      <c r="F948" s="41"/>
      <c r="G948" s="183"/>
      <c r="H948" s="38"/>
      <c r="I948" s="42"/>
      <c r="J948" s="42"/>
      <c r="K948" s="43"/>
      <c r="L948" s="43"/>
      <c r="M948" s="44" t="str">
        <f>IF(LayTable[[#This Row],[Sport]]="","",LayTable[[#This Row],[LayInnsats]]*(LayTable[[#This Row],[LayOdds]]-1))</f>
        <v/>
      </c>
      <c r="N948" s="45" t="str">
        <f>IF(LayTable[[#This Row],[Sport]]="","",1/((1/LayTable[[#This Row],[BookieOdds]])+(1/((1/((1+((LayTable[[#This Row],[LayOdds]]-1)*(1+LayTable[[#This Row],[C% Lay]])))-1))+1)))-1)</f>
        <v/>
      </c>
      <c r="Q948" s="46" t="str">
        <f>IF(LayTable[[#This Row],[Sport]]="","",LayTable[[#This Row],[BookieInnsats]]+LayTable[[#This Row],[LayLiability]])</f>
        <v/>
      </c>
      <c r="R9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8" s="47" t="str">
        <f>IF(LayTable[[#This Row],[Utfall bookie]]="","",LayTable[[#This Row],[WBABack]]+LayTable[[#This Row],[WBALay]]-LayTable[[#This Row],[Total inns]])</f>
        <v/>
      </c>
      <c r="U9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8" s="48" t="str">
        <f>IFERROR(IF(LayTable[[#This Row],[Total inns]]="","",LayTable[[#This Row],[Rback]]/LayTable[[#This Row],[Total inns]]),"")</f>
        <v/>
      </c>
      <c r="X948" s="48" t="str">
        <f>IFERROR(IF(LayTable[[#This Row],[Total inns]]="","",LayTable[[#This Row],[Rlay]]/LayTable[[#This Row],[Total inns]]),"")</f>
        <v/>
      </c>
      <c r="Y948" s="48" t="str">
        <f>IFERROR(LayTable[[#This Row],[Faktisk res]]/LayTable[[#This Row],[Total inns]],"")</f>
        <v/>
      </c>
      <c r="Z948" s="47">
        <f>(LayTable[[#This Row],[BookieInnsats]]*LayTable[[#This Row],[BookieOdds]]-LayTable[[#This Row],[BookieInnsats]])*(1-LayTable[[#This Row],[C% Bookie]])</f>
        <v>0</v>
      </c>
      <c r="AA948" s="43">
        <f>LayTable[[#This Row],[LayInnsats]]*(1-LayTable[[#This Row],[C% Lay]])</f>
        <v>0</v>
      </c>
      <c r="AB948" s="43" t="str">
        <f>IFERROR(IF(LayTable[[#This Row],[Sport]]="",AB947,LayTable[[#This Row],[Faktisk res]]+AB947),"")</f>
        <v/>
      </c>
      <c r="AC948" s="43">
        <f>(LayTable[[#This Row],[BackWin-Commission]]+LayTable[[#This Row],[BookieInnsats]])</f>
        <v>0</v>
      </c>
      <c r="AD948" s="43" t="e">
        <f>(LayTable[[#This Row],[LayWin-Commission]])+LayTable[[#This Row],[LayLiability]]</f>
        <v>#VALUE!</v>
      </c>
      <c r="AE948" s="43"/>
      <c r="AF948" s="181"/>
    </row>
    <row r="949" spans="1:32">
      <c r="A949" s="84"/>
      <c r="B949" s="39"/>
      <c r="C949" s="40"/>
      <c r="D949" s="41"/>
      <c r="E949" s="40"/>
      <c r="F949" s="41"/>
      <c r="G949" s="183"/>
      <c r="H949" s="38"/>
      <c r="I949" s="42"/>
      <c r="J949" s="42"/>
      <c r="K949" s="43"/>
      <c r="L949" s="43"/>
      <c r="M949" s="44" t="str">
        <f>IF(LayTable[[#This Row],[Sport]]="","",LayTable[[#This Row],[LayInnsats]]*(LayTable[[#This Row],[LayOdds]]-1))</f>
        <v/>
      </c>
      <c r="N949" s="45" t="str">
        <f>IF(LayTable[[#This Row],[Sport]]="","",1/((1/LayTable[[#This Row],[BookieOdds]])+(1/((1/((1+((LayTable[[#This Row],[LayOdds]]-1)*(1+LayTable[[#This Row],[C% Lay]])))-1))+1)))-1)</f>
        <v/>
      </c>
      <c r="Q949" s="46" t="str">
        <f>IF(LayTable[[#This Row],[Sport]]="","",LayTable[[#This Row],[BookieInnsats]]+LayTable[[#This Row],[LayLiability]])</f>
        <v/>
      </c>
      <c r="R9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49" s="47" t="str">
        <f>IF(LayTable[[#This Row],[Utfall bookie]]="","",LayTable[[#This Row],[WBABack]]+LayTable[[#This Row],[WBALay]]-LayTable[[#This Row],[Total inns]])</f>
        <v/>
      </c>
      <c r="U9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49" s="48" t="str">
        <f>IFERROR(IF(LayTable[[#This Row],[Total inns]]="","",LayTable[[#This Row],[Rback]]/LayTable[[#This Row],[Total inns]]),"")</f>
        <v/>
      </c>
      <c r="X949" s="48" t="str">
        <f>IFERROR(IF(LayTable[[#This Row],[Total inns]]="","",LayTable[[#This Row],[Rlay]]/LayTable[[#This Row],[Total inns]]),"")</f>
        <v/>
      </c>
      <c r="Y949" s="48" t="str">
        <f>IFERROR(LayTable[[#This Row],[Faktisk res]]/LayTable[[#This Row],[Total inns]],"")</f>
        <v/>
      </c>
      <c r="Z949" s="47">
        <f>(LayTable[[#This Row],[BookieInnsats]]*LayTable[[#This Row],[BookieOdds]]-LayTable[[#This Row],[BookieInnsats]])*(1-LayTable[[#This Row],[C% Bookie]])</f>
        <v>0</v>
      </c>
      <c r="AA949" s="43">
        <f>LayTable[[#This Row],[LayInnsats]]*(1-LayTable[[#This Row],[C% Lay]])</f>
        <v>0</v>
      </c>
      <c r="AB949" s="43" t="str">
        <f>IFERROR(IF(LayTable[[#This Row],[Sport]]="",AB948,LayTable[[#This Row],[Faktisk res]]+AB948),"")</f>
        <v/>
      </c>
      <c r="AC949" s="43">
        <f>(LayTable[[#This Row],[BackWin-Commission]]+LayTable[[#This Row],[BookieInnsats]])</f>
        <v>0</v>
      </c>
      <c r="AD949" s="43" t="e">
        <f>(LayTable[[#This Row],[LayWin-Commission]])+LayTable[[#This Row],[LayLiability]]</f>
        <v>#VALUE!</v>
      </c>
      <c r="AE949" s="43"/>
      <c r="AF949" s="181"/>
    </row>
    <row r="950" spans="1:32">
      <c r="A950" s="84"/>
      <c r="B950" s="39"/>
      <c r="C950" s="40"/>
      <c r="D950" s="41"/>
      <c r="E950" s="40"/>
      <c r="F950" s="41"/>
      <c r="G950" s="183"/>
      <c r="H950" s="38"/>
      <c r="I950" s="42"/>
      <c r="J950" s="42"/>
      <c r="K950" s="43"/>
      <c r="L950" s="43"/>
      <c r="M950" s="44" t="str">
        <f>IF(LayTable[[#This Row],[Sport]]="","",LayTable[[#This Row],[LayInnsats]]*(LayTable[[#This Row],[LayOdds]]-1))</f>
        <v/>
      </c>
      <c r="N950" s="45" t="str">
        <f>IF(LayTable[[#This Row],[Sport]]="","",1/((1/LayTable[[#This Row],[BookieOdds]])+(1/((1/((1+((LayTable[[#This Row],[LayOdds]]-1)*(1+LayTable[[#This Row],[C% Lay]])))-1))+1)))-1)</f>
        <v/>
      </c>
      <c r="Q950" s="46" t="str">
        <f>IF(LayTable[[#This Row],[Sport]]="","",LayTable[[#This Row],[BookieInnsats]]+LayTable[[#This Row],[LayLiability]])</f>
        <v/>
      </c>
      <c r="R9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0" s="47" t="str">
        <f>IF(LayTable[[#This Row],[Utfall bookie]]="","",LayTable[[#This Row],[WBABack]]+LayTable[[#This Row],[WBALay]]-LayTable[[#This Row],[Total inns]])</f>
        <v/>
      </c>
      <c r="U9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0" s="48" t="str">
        <f>IFERROR(IF(LayTable[[#This Row],[Total inns]]="","",LayTable[[#This Row],[Rback]]/LayTable[[#This Row],[Total inns]]),"")</f>
        <v/>
      </c>
      <c r="X950" s="48" t="str">
        <f>IFERROR(IF(LayTable[[#This Row],[Total inns]]="","",LayTable[[#This Row],[Rlay]]/LayTable[[#This Row],[Total inns]]),"")</f>
        <v/>
      </c>
      <c r="Y950" s="48" t="str">
        <f>IFERROR(LayTable[[#This Row],[Faktisk res]]/LayTable[[#This Row],[Total inns]],"")</f>
        <v/>
      </c>
      <c r="Z950" s="47">
        <f>(LayTable[[#This Row],[BookieInnsats]]*LayTable[[#This Row],[BookieOdds]]-LayTable[[#This Row],[BookieInnsats]])*(1-LayTable[[#This Row],[C% Bookie]])</f>
        <v>0</v>
      </c>
      <c r="AA950" s="43">
        <f>LayTable[[#This Row],[LayInnsats]]*(1-LayTable[[#This Row],[C% Lay]])</f>
        <v>0</v>
      </c>
      <c r="AB950" s="43" t="str">
        <f>IFERROR(IF(LayTable[[#This Row],[Sport]]="",AB949,LayTable[[#This Row],[Faktisk res]]+AB949),"")</f>
        <v/>
      </c>
      <c r="AC950" s="43">
        <f>(LayTable[[#This Row],[BackWin-Commission]]+LayTable[[#This Row],[BookieInnsats]])</f>
        <v>0</v>
      </c>
      <c r="AD950" s="43" t="e">
        <f>(LayTable[[#This Row],[LayWin-Commission]])+LayTable[[#This Row],[LayLiability]]</f>
        <v>#VALUE!</v>
      </c>
      <c r="AE950" s="43"/>
      <c r="AF950" s="181"/>
    </row>
    <row r="951" spans="1:32">
      <c r="A951" s="84"/>
      <c r="B951" s="39"/>
      <c r="C951" s="40"/>
      <c r="D951" s="41"/>
      <c r="E951" s="40"/>
      <c r="F951" s="41"/>
      <c r="G951" s="183"/>
      <c r="H951" s="38"/>
      <c r="I951" s="42"/>
      <c r="J951" s="42"/>
      <c r="K951" s="43"/>
      <c r="L951" s="43"/>
      <c r="M951" s="44" t="str">
        <f>IF(LayTable[[#This Row],[Sport]]="","",LayTable[[#This Row],[LayInnsats]]*(LayTable[[#This Row],[LayOdds]]-1))</f>
        <v/>
      </c>
      <c r="N951" s="45" t="str">
        <f>IF(LayTable[[#This Row],[Sport]]="","",1/((1/LayTable[[#This Row],[BookieOdds]])+(1/((1/((1+((LayTable[[#This Row],[LayOdds]]-1)*(1+LayTable[[#This Row],[C% Lay]])))-1))+1)))-1)</f>
        <v/>
      </c>
      <c r="Q951" s="46" t="str">
        <f>IF(LayTable[[#This Row],[Sport]]="","",LayTable[[#This Row],[BookieInnsats]]+LayTable[[#This Row],[LayLiability]])</f>
        <v/>
      </c>
      <c r="R9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1" s="47" t="str">
        <f>IF(LayTable[[#This Row],[Utfall bookie]]="","",LayTable[[#This Row],[WBABack]]+LayTable[[#This Row],[WBALay]]-LayTable[[#This Row],[Total inns]])</f>
        <v/>
      </c>
      <c r="U9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1" s="48" t="str">
        <f>IFERROR(IF(LayTable[[#This Row],[Total inns]]="","",LayTable[[#This Row],[Rback]]/LayTable[[#This Row],[Total inns]]),"")</f>
        <v/>
      </c>
      <c r="X951" s="48" t="str">
        <f>IFERROR(IF(LayTable[[#This Row],[Total inns]]="","",LayTable[[#This Row],[Rlay]]/LayTable[[#This Row],[Total inns]]),"")</f>
        <v/>
      </c>
      <c r="Y951" s="48" t="str">
        <f>IFERROR(LayTable[[#This Row],[Faktisk res]]/LayTable[[#This Row],[Total inns]],"")</f>
        <v/>
      </c>
      <c r="Z951" s="47">
        <f>(LayTable[[#This Row],[BookieInnsats]]*LayTable[[#This Row],[BookieOdds]]-LayTable[[#This Row],[BookieInnsats]])*(1-LayTable[[#This Row],[C% Bookie]])</f>
        <v>0</v>
      </c>
      <c r="AA951" s="43">
        <f>LayTable[[#This Row],[LayInnsats]]*(1-LayTable[[#This Row],[C% Lay]])</f>
        <v>0</v>
      </c>
      <c r="AB951" s="43" t="str">
        <f>IFERROR(IF(LayTable[[#This Row],[Sport]]="",AB950,LayTable[[#This Row],[Faktisk res]]+AB950),"")</f>
        <v/>
      </c>
      <c r="AC951" s="43">
        <f>(LayTable[[#This Row],[BackWin-Commission]]+LayTable[[#This Row],[BookieInnsats]])</f>
        <v>0</v>
      </c>
      <c r="AD951" s="43" t="e">
        <f>(LayTable[[#This Row],[LayWin-Commission]])+LayTable[[#This Row],[LayLiability]]</f>
        <v>#VALUE!</v>
      </c>
      <c r="AE951" s="43"/>
      <c r="AF951" s="181"/>
    </row>
    <row r="952" spans="1:32">
      <c r="A952" s="84"/>
      <c r="B952" s="39"/>
      <c r="C952" s="40"/>
      <c r="D952" s="41"/>
      <c r="E952" s="40"/>
      <c r="F952" s="41"/>
      <c r="G952" s="183"/>
      <c r="H952" s="38"/>
      <c r="I952" s="42"/>
      <c r="J952" s="42"/>
      <c r="K952" s="43"/>
      <c r="L952" s="43"/>
      <c r="M952" s="44" t="str">
        <f>IF(LayTable[[#This Row],[Sport]]="","",LayTable[[#This Row],[LayInnsats]]*(LayTable[[#This Row],[LayOdds]]-1))</f>
        <v/>
      </c>
      <c r="N952" s="45" t="str">
        <f>IF(LayTable[[#This Row],[Sport]]="","",1/((1/LayTable[[#This Row],[BookieOdds]])+(1/((1/((1+((LayTable[[#This Row],[LayOdds]]-1)*(1+LayTable[[#This Row],[C% Lay]])))-1))+1)))-1)</f>
        <v/>
      </c>
      <c r="Q952" s="46" t="str">
        <f>IF(LayTable[[#This Row],[Sport]]="","",LayTable[[#This Row],[BookieInnsats]]+LayTable[[#This Row],[LayLiability]])</f>
        <v/>
      </c>
      <c r="R9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2" s="47" t="str">
        <f>IF(LayTable[[#This Row],[Utfall bookie]]="","",LayTable[[#This Row],[WBABack]]+LayTable[[#This Row],[WBALay]]-LayTable[[#This Row],[Total inns]])</f>
        <v/>
      </c>
      <c r="U9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2" s="48" t="str">
        <f>IFERROR(IF(LayTable[[#This Row],[Total inns]]="","",LayTable[[#This Row],[Rback]]/LayTable[[#This Row],[Total inns]]),"")</f>
        <v/>
      </c>
      <c r="X952" s="48" t="str">
        <f>IFERROR(IF(LayTable[[#This Row],[Total inns]]="","",LayTable[[#This Row],[Rlay]]/LayTable[[#This Row],[Total inns]]),"")</f>
        <v/>
      </c>
      <c r="Y952" s="48" t="str">
        <f>IFERROR(LayTable[[#This Row],[Faktisk res]]/LayTable[[#This Row],[Total inns]],"")</f>
        <v/>
      </c>
      <c r="Z952" s="47">
        <f>(LayTable[[#This Row],[BookieInnsats]]*LayTable[[#This Row],[BookieOdds]]-LayTable[[#This Row],[BookieInnsats]])*(1-LayTable[[#This Row],[C% Bookie]])</f>
        <v>0</v>
      </c>
      <c r="AA952" s="43">
        <f>LayTable[[#This Row],[LayInnsats]]*(1-LayTable[[#This Row],[C% Lay]])</f>
        <v>0</v>
      </c>
      <c r="AB952" s="43" t="str">
        <f>IFERROR(IF(LayTable[[#This Row],[Sport]]="",AB951,LayTable[[#This Row],[Faktisk res]]+AB951),"")</f>
        <v/>
      </c>
      <c r="AC952" s="43">
        <f>(LayTable[[#This Row],[BackWin-Commission]]+LayTable[[#This Row],[BookieInnsats]])</f>
        <v>0</v>
      </c>
      <c r="AD952" s="43" t="e">
        <f>(LayTable[[#This Row],[LayWin-Commission]])+LayTable[[#This Row],[LayLiability]]</f>
        <v>#VALUE!</v>
      </c>
      <c r="AE952" s="43"/>
      <c r="AF952" s="181"/>
    </row>
    <row r="953" spans="1:32">
      <c r="A953" s="84"/>
      <c r="B953" s="39"/>
      <c r="C953" s="40"/>
      <c r="D953" s="41"/>
      <c r="E953" s="40"/>
      <c r="F953" s="41"/>
      <c r="G953" s="183"/>
      <c r="H953" s="38"/>
      <c r="I953" s="42"/>
      <c r="J953" s="42"/>
      <c r="K953" s="43"/>
      <c r="L953" s="43"/>
      <c r="M953" s="44" t="str">
        <f>IF(LayTable[[#This Row],[Sport]]="","",LayTable[[#This Row],[LayInnsats]]*(LayTable[[#This Row],[LayOdds]]-1))</f>
        <v/>
      </c>
      <c r="N953" s="45" t="str">
        <f>IF(LayTable[[#This Row],[Sport]]="","",1/((1/LayTable[[#This Row],[BookieOdds]])+(1/((1/((1+((LayTable[[#This Row],[LayOdds]]-1)*(1+LayTable[[#This Row],[C% Lay]])))-1))+1)))-1)</f>
        <v/>
      </c>
      <c r="Q953" s="46" t="str">
        <f>IF(LayTable[[#This Row],[Sport]]="","",LayTable[[#This Row],[BookieInnsats]]+LayTable[[#This Row],[LayLiability]])</f>
        <v/>
      </c>
      <c r="R9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3" s="47" t="str">
        <f>IF(LayTable[[#This Row],[Utfall bookie]]="","",LayTable[[#This Row],[WBABack]]+LayTable[[#This Row],[WBALay]]-LayTable[[#This Row],[Total inns]])</f>
        <v/>
      </c>
      <c r="U9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3" s="48" t="str">
        <f>IFERROR(IF(LayTable[[#This Row],[Total inns]]="","",LayTable[[#This Row],[Rback]]/LayTable[[#This Row],[Total inns]]),"")</f>
        <v/>
      </c>
      <c r="X953" s="48" t="str">
        <f>IFERROR(IF(LayTable[[#This Row],[Total inns]]="","",LayTable[[#This Row],[Rlay]]/LayTable[[#This Row],[Total inns]]),"")</f>
        <v/>
      </c>
      <c r="Y953" s="48" t="str">
        <f>IFERROR(LayTable[[#This Row],[Faktisk res]]/LayTable[[#This Row],[Total inns]],"")</f>
        <v/>
      </c>
      <c r="Z953" s="47">
        <f>(LayTable[[#This Row],[BookieInnsats]]*LayTable[[#This Row],[BookieOdds]]-LayTable[[#This Row],[BookieInnsats]])*(1-LayTable[[#This Row],[C% Bookie]])</f>
        <v>0</v>
      </c>
      <c r="AA953" s="43">
        <f>LayTable[[#This Row],[LayInnsats]]*(1-LayTable[[#This Row],[C% Lay]])</f>
        <v>0</v>
      </c>
      <c r="AB953" s="43" t="str">
        <f>IFERROR(IF(LayTable[[#This Row],[Sport]]="",AB952,LayTable[[#This Row],[Faktisk res]]+AB952),"")</f>
        <v/>
      </c>
      <c r="AC953" s="43">
        <f>(LayTable[[#This Row],[BackWin-Commission]]+LayTable[[#This Row],[BookieInnsats]])</f>
        <v>0</v>
      </c>
      <c r="AD953" s="43" t="e">
        <f>(LayTable[[#This Row],[LayWin-Commission]])+LayTable[[#This Row],[LayLiability]]</f>
        <v>#VALUE!</v>
      </c>
      <c r="AE953" s="43"/>
      <c r="AF953" s="181"/>
    </row>
    <row r="954" spans="1:32">
      <c r="A954" s="84"/>
      <c r="B954" s="39"/>
      <c r="C954" s="40"/>
      <c r="D954" s="41"/>
      <c r="E954" s="40"/>
      <c r="F954" s="41"/>
      <c r="G954" s="183"/>
      <c r="H954" s="38"/>
      <c r="I954" s="42"/>
      <c r="J954" s="42"/>
      <c r="K954" s="43"/>
      <c r="L954" s="43"/>
      <c r="M954" s="44" t="str">
        <f>IF(LayTable[[#This Row],[Sport]]="","",LayTable[[#This Row],[LayInnsats]]*(LayTable[[#This Row],[LayOdds]]-1))</f>
        <v/>
      </c>
      <c r="N954" s="45" t="str">
        <f>IF(LayTable[[#This Row],[Sport]]="","",1/((1/LayTable[[#This Row],[BookieOdds]])+(1/((1/((1+((LayTable[[#This Row],[LayOdds]]-1)*(1+LayTable[[#This Row],[C% Lay]])))-1))+1)))-1)</f>
        <v/>
      </c>
      <c r="Q954" s="46" t="str">
        <f>IF(LayTable[[#This Row],[Sport]]="","",LayTable[[#This Row],[BookieInnsats]]+LayTable[[#This Row],[LayLiability]])</f>
        <v/>
      </c>
      <c r="R9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4" s="47" t="str">
        <f>IF(LayTable[[#This Row],[Utfall bookie]]="","",LayTable[[#This Row],[WBABack]]+LayTable[[#This Row],[WBALay]]-LayTable[[#This Row],[Total inns]])</f>
        <v/>
      </c>
      <c r="U9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4" s="48" t="str">
        <f>IFERROR(IF(LayTable[[#This Row],[Total inns]]="","",LayTable[[#This Row],[Rback]]/LayTable[[#This Row],[Total inns]]),"")</f>
        <v/>
      </c>
      <c r="X954" s="48" t="str">
        <f>IFERROR(IF(LayTable[[#This Row],[Total inns]]="","",LayTable[[#This Row],[Rlay]]/LayTable[[#This Row],[Total inns]]),"")</f>
        <v/>
      </c>
      <c r="Y954" s="48" t="str">
        <f>IFERROR(LayTable[[#This Row],[Faktisk res]]/LayTable[[#This Row],[Total inns]],"")</f>
        <v/>
      </c>
      <c r="Z954" s="47">
        <f>(LayTable[[#This Row],[BookieInnsats]]*LayTable[[#This Row],[BookieOdds]]-LayTable[[#This Row],[BookieInnsats]])*(1-LayTable[[#This Row],[C% Bookie]])</f>
        <v>0</v>
      </c>
      <c r="AA954" s="43">
        <f>LayTable[[#This Row],[LayInnsats]]*(1-LayTable[[#This Row],[C% Lay]])</f>
        <v>0</v>
      </c>
      <c r="AB954" s="43" t="str">
        <f>IFERROR(IF(LayTable[[#This Row],[Sport]]="",AB953,LayTable[[#This Row],[Faktisk res]]+AB953),"")</f>
        <v/>
      </c>
      <c r="AC954" s="43">
        <f>(LayTable[[#This Row],[BackWin-Commission]]+LayTable[[#This Row],[BookieInnsats]])</f>
        <v>0</v>
      </c>
      <c r="AD954" s="43" t="e">
        <f>(LayTable[[#This Row],[LayWin-Commission]])+LayTable[[#This Row],[LayLiability]]</f>
        <v>#VALUE!</v>
      </c>
      <c r="AE954" s="43"/>
      <c r="AF954" s="181"/>
    </row>
    <row r="955" spans="1:32">
      <c r="A955" s="84"/>
      <c r="B955" s="39"/>
      <c r="C955" s="40"/>
      <c r="D955" s="41"/>
      <c r="E955" s="40"/>
      <c r="F955" s="41"/>
      <c r="G955" s="183"/>
      <c r="H955" s="38"/>
      <c r="I955" s="42"/>
      <c r="J955" s="42"/>
      <c r="K955" s="43"/>
      <c r="L955" s="43"/>
      <c r="M955" s="44" t="str">
        <f>IF(LayTable[[#This Row],[Sport]]="","",LayTable[[#This Row],[LayInnsats]]*(LayTable[[#This Row],[LayOdds]]-1))</f>
        <v/>
      </c>
      <c r="N955" s="45" t="str">
        <f>IF(LayTable[[#This Row],[Sport]]="","",1/((1/LayTable[[#This Row],[BookieOdds]])+(1/((1/((1+((LayTable[[#This Row],[LayOdds]]-1)*(1+LayTable[[#This Row],[C% Lay]])))-1))+1)))-1)</f>
        <v/>
      </c>
      <c r="Q955" s="46" t="str">
        <f>IF(LayTable[[#This Row],[Sport]]="","",LayTable[[#This Row],[BookieInnsats]]+LayTable[[#This Row],[LayLiability]])</f>
        <v/>
      </c>
      <c r="R9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5" s="47" t="str">
        <f>IF(LayTable[[#This Row],[Utfall bookie]]="","",LayTable[[#This Row],[WBABack]]+LayTable[[#This Row],[WBALay]]-LayTable[[#This Row],[Total inns]])</f>
        <v/>
      </c>
      <c r="U9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5" s="48" t="str">
        <f>IFERROR(IF(LayTable[[#This Row],[Total inns]]="","",LayTable[[#This Row],[Rback]]/LayTable[[#This Row],[Total inns]]),"")</f>
        <v/>
      </c>
      <c r="X955" s="48" t="str">
        <f>IFERROR(IF(LayTable[[#This Row],[Total inns]]="","",LayTable[[#This Row],[Rlay]]/LayTable[[#This Row],[Total inns]]),"")</f>
        <v/>
      </c>
      <c r="Y955" s="48" t="str">
        <f>IFERROR(LayTable[[#This Row],[Faktisk res]]/LayTable[[#This Row],[Total inns]],"")</f>
        <v/>
      </c>
      <c r="Z955" s="47">
        <f>(LayTable[[#This Row],[BookieInnsats]]*LayTable[[#This Row],[BookieOdds]]-LayTable[[#This Row],[BookieInnsats]])*(1-LayTable[[#This Row],[C% Bookie]])</f>
        <v>0</v>
      </c>
      <c r="AA955" s="43">
        <f>LayTable[[#This Row],[LayInnsats]]*(1-LayTable[[#This Row],[C% Lay]])</f>
        <v>0</v>
      </c>
      <c r="AB955" s="43" t="str">
        <f>IFERROR(IF(LayTable[[#This Row],[Sport]]="",AB954,LayTable[[#This Row],[Faktisk res]]+AB954),"")</f>
        <v/>
      </c>
      <c r="AC955" s="43">
        <f>(LayTable[[#This Row],[BackWin-Commission]]+LayTable[[#This Row],[BookieInnsats]])</f>
        <v>0</v>
      </c>
      <c r="AD955" s="43" t="e">
        <f>(LayTable[[#This Row],[LayWin-Commission]])+LayTable[[#This Row],[LayLiability]]</f>
        <v>#VALUE!</v>
      </c>
      <c r="AE955" s="43"/>
      <c r="AF955" s="181"/>
    </row>
    <row r="956" spans="1:32">
      <c r="A956" s="84"/>
      <c r="B956" s="39"/>
      <c r="C956" s="40"/>
      <c r="D956" s="41"/>
      <c r="E956" s="40"/>
      <c r="F956" s="41"/>
      <c r="G956" s="183"/>
      <c r="H956" s="38"/>
      <c r="I956" s="42"/>
      <c r="J956" s="42"/>
      <c r="K956" s="43"/>
      <c r="L956" s="43"/>
      <c r="M956" s="44" t="str">
        <f>IF(LayTable[[#This Row],[Sport]]="","",LayTable[[#This Row],[LayInnsats]]*(LayTable[[#This Row],[LayOdds]]-1))</f>
        <v/>
      </c>
      <c r="N956" s="45" t="str">
        <f>IF(LayTable[[#This Row],[Sport]]="","",1/((1/LayTable[[#This Row],[BookieOdds]])+(1/((1/((1+((LayTable[[#This Row],[LayOdds]]-1)*(1+LayTable[[#This Row],[C% Lay]])))-1))+1)))-1)</f>
        <v/>
      </c>
      <c r="Q956" s="46" t="str">
        <f>IF(LayTable[[#This Row],[Sport]]="","",LayTable[[#This Row],[BookieInnsats]]+LayTable[[#This Row],[LayLiability]])</f>
        <v/>
      </c>
      <c r="R9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6" s="47" t="str">
        <f>IF(LayTable[[#This Row],[Utfall bookie]]="","",LayTable[[#This Row],[WBABack]]+LayTable[[#This Row],[WBALay]]-LayTable[[#This Row],[Total inns]])</f>
        <v/>
      </c>
      <c r="U9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6" s="48" t="str">
        <f>IFERROR(IF(LayTable[[#This Row],[Total inns]]="","",LayTable[[#This Row],[Rback]]/LayTable[[#This Row],[Total inns]]),"")</f>
        <v/>
      </c>
      <c r="X956" s="48" t="str">
        <f>IFERROR(IF(LayTable[[#This Row],[Total inns]]="","",LayTable[[#This Row],[Rlay]]/LayTable[[#This Row],[Total inns]]),"")</f>
        <v/>
      </c>
      <c r="Y956" s="48" t="str">
        <f>IFERROR(LayTable[[#This Row],[Faktisk res]]/LayTable[[#This Row],[Total inns]],"")</f>
        <v/>
      </c>
      <c r="Z956" s="47">
        <f>(LayTable[[#This Row],[BookieInnsats]]*LayTable[[#This Row],[BookieOdds]]-LayTable[[#This Row],[BookieInnsats]])*(1-LayTable[[#This Row],[C% Bookie]])</f>
        <v>0</v>
      </c>
      <c r="AA956" s="43">
        <f>LayTable[[#This Row],[LayInnsats]]*(1-LayTable[[#This Row],[C% Lay]])</f>
        <v>0</v>
      </c>
      <c r="AB956" s="43" t="str">
        <f>IFERROR(IF(LayTable[[#This Row],[Sport]]="",AB955,LayTable[[#This Row],[Faktisk res]]+AB955),"")</f>
        <v/>
      </c>
      <c r="AC956" s="43">
        <f>(LayTable[[#This Row],[BackWin-Commission]]+LayTable[[#This Row],[BookieInnsats]])</f>
        <v>0</v>
      </c>
      <c r="AD956" s="43" t="e">
        <f>(LayTable[[#This Row],[LayWin-Commission]])+LayTable[[#This Row],[LayLiability]]</f>
        <v>#VALUE!</v>
      </c>
      <c r="AE956" s="43"/>
      <c r="AF956" s="181"/>
    </row>
    <row r="957" spans="1:32">
      <c r="A957" s="84"/>
      <c r="B957" s="39"/>
      <c r="C957" s="40"/>
      <c r="D957" s="41"/>
      <c r="E957" s="40"/>
      <c r="F957" s="41"/>
      <c r="G957" s="183"/>
      <c r="H957" s="38"/>
      <c r="I957" s="42"/>
      <c r="J957" s="42"/>
      <c r="K957" s="43"/>
      <c r="L957" s="43"/>
      <c r="M957" s="44" t="str">
        <f>IF(LayTable[[#This Row],[Sport]]="","",LayTable[[#This Row],[LayInnsats]]*(LayTable[[#This Row],[LayOdds]]-1))</f>
        <v/>
      </c>
      <c r="N957" s="45" t="str">
        <f>IF(LayTable[[#This Row],[Sport]]="","",1/((1/LayTable[[#This Row],[BookieOdds]])+(1/((1/((1+((LayTable[[#This Row],[LayOdds]]-1)*(1+LayTable[[#This Row],[C% Lay]])))-1))+1)))-1)</f>
        <v/>
      </c>
      <c r="Q957" s="46" t="str">
        <f>IF(LayTable[[#This Row],[Sport]]="","",LayTable[[#This Row],[BookieInnsats]]+LayTable[[#This Row],[LayLiability]])</f>
        <v/>
      </c>
      <c r="R9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7" s="47" t="str">
        <f>IF(LayTable[[#This Row],[Utfall bookie]]="","",LayTable[[#This Row],[WBABack]]+LayTable[[#This Row],[WBALay]]-LayTable[[#This Row],[Total inns]])</f>
        <v/>
      </c>
      <c r="U9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7" s="48" t="str">
        <f>IFERROR(IF(LayTable[[#This Row],[Total inns]]="","",LayTable[[#This Row],[Rback]]/LayTable[[#This Row],[Total inns]]),"")</f>
        <v/>
      </c>
      <c r="X957" s="48" t="str">
        <f>IFERROR(IF(LayTable[[#This Row],[Total inns]]="","",LayTable[[#This Row],[Rlay]]/LayTable[[#This Row],[Total inns]]),"")</f>
        <v/>
      </c>
      <c r="Y957" s="48" t="str">
        <f>IFERROR(LayTable[[#This Row],[Faktisk res]]/LayTable[[#This Row],[Total inns]],"")</f>
        <v/>
      </c>
      <c r="Z957" s="47">
        <f>(LayTable[[#This Row],[BookieInnsats]]*LayTable[[#This Row],[BookieOdds]]-LayTable[[#This Row],[BookieInnsats]])*(1-LayTable[[#This Row],[C% Bookie]])</f>
        <v>0</v>
      </c>
      <c r="AA957" s="43">
        <f>LayTable[[#This Row],[LayInnsats]]*(1-LayTable[[#This Row],[C% Lay]])</f>
        <v>0</v>
      </c>
      <c r="AB957" s="43" t="str">
        <f>IFERROR(IF(LayTable[[#This Row],[Sport]]="",AB956,LayTable[[#This Row],[Faktisk res]]+AB956),"")</f>
        <v/>
      </c>
      <c r="AC957" s="43">
        <f>(LayTable[[#This Row],[BackWin-Commission]]+LayTable[[#This Row],[BookieInnsats]])</f>
        <v>0</v>
      </c>
      <c r="AD957" s="43" t="e">
        <f>(LayTable[[#This Row],[LayWin-Commission]])+LayTable[[#This Row],[LayLiability]]</f>
        <v>#VALUE!</v>
      </c>
      <c r="AE957" s="43"/>
      <c r="AF957" s="181"/>
    </row>
    <row r="958" spans="1:32">
      <c r="A958" s="84"/>
      <c r="B958" s="39"/>
      <c r="C958" s="40"/>
      <c r="D958" s="41"/>
      <c r="E958" s="40"/>
      <c r="F958" s="41"/>
      <c r="G958" s="183"/>
      <c r="H958" s="38"/>
      <c r="I958" s="42"/>
      <c r="J958" s="42"/>
      <c r="K958" s="43"/>
      <c r="L958" s="43"/>
      <c r="M958" s="44" t="str">
        <f>IF(LayTable[[#This Row],[Sport]]="","",LayTable[[#This Row],[LayInnsats]]*(LayTable[[#This Row],[LayOdds]]-1))</f>
        <v/>
      </c>
      <c r="N958" s="45" t="str">
        <f>IF(LayTable[[#This Row],[Sport]]="","",1/((1/LayTable[[#This Row],[BookieOdds]])+(1/((1/((1+((LayTable[[#This Row],[LayOdds]]-1)*(1+LayTable[[#This Row],[C% Lay]])))-1))+1)))-1)</f>
        <v/>
      </c>
      <c r="Q958" s="46" t="str">
        <f>IF(LayTable[[#This Row],[Sport]]="","",LayTable[[#This Row],[BookieInnsats]]+LayTable[[#This Row],[LayLiability]])</f>
        <v/>
      </c>
      <c r="R9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8" s="47" t="str">
        <f>IF(LayTable[[#This Row],[Utfall bookie]]="","",LayTable[[#This Row],[WBABack]]+LayTable[[#This Row],[WBALay]]-LayTable[[#This Row],[Total inns]])</f>
        <v/>
      </c>
      <c r="U9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8" s="48" t="str">
        <f>IFERROR(IF(LayTable[[#This Row],[Total inns]]="","",LayTable[[#This Row],[Rback]]/LayTable[[#This Row],[Total inns]]),"")</f>
        <v/>
      </c>
      <c r="X958" s="48" t="str">
        <f>IFERROR(IF(LayTable[[#This Row],[Total inns]]="","",LayTable[[#This Row],[Rlay]]/LayTable[[#This Row],[Total inns]]),"")</f>
        <v/>
      </c>
      <c r="Y958" s="48" t="str">
        <f>IFERROR(LayTable[[#This Row],[Faktisk res]]/LayTable[[#This Row],[Total inns]],"")</f>
        <v/>
      </c>
      <c r="Z958" s="47">
        <f>(LayTable[[#This Row],[BookieInnsats]]*LayTable[[#This Row],[BookieOdds]]-LayTable[[#This Row],[BookieInnsats]])*(1-LayTable[[#This Row],[C% Bookie]])</f>
        <v>0</v>
      </c>
      <c r="AA958" s="43">
        <f>LayTable[[#This Row],[LayInnsats]]*(1-LayTable[[#This Row],[C% Lay]])</f>
        <v>0</v>
      </c>
      <c r="AB958" s="43" t="str">
        <f>IFERROR(IF(LayTable[[#This Row],[Sport]]="",AB957,LayTable[[#This Row],[Faktisk res]]+AB957),"")</f>
        <v/>
      </c>
      <c r="AC958" s="43">
        <f>(LayTable[[#This Row],[BackWin-Commission]]+LayTable[[#This Row],[BookieInnsats]])</f>
        <v>0</v>
      </c>
      <c r="AD958" s="43" t="e">
        <f>(LayTable[[#This Row],[LayWin-Commission]])+LayTable[[#This Row],[LayLiability]]</f>
        <v>#VALUE!</v>
      </c>
      <c r="AE958" s="43"/>
      <c r="AF958" s="181"/>
    </row>
    <row r="959" spans="1:32">
      <c r="A959" s="84"/>
      <c r="B959" s="39"/>
      <c r="C959" s="40"/>
      <c r="D959" s="41"/>
      <c r="E959" s="40"/>
      <c r="F959" s="41"/>
      <c r="G959" s="183"/>
      <c r="H959" s="38"/>
      <c r="I959" s="42"/>
      <c r="J959" s="42"/>
      <c r="K959" s="43"/>
      <c r="L959" s="43"/>
      <c r="M959" s="44" t="str">
        <f>IF(LayTable[[#This Row],[Sport]]="","",LayTable[[#This Row],[LayInnsats]]*(LayTable[[#This Row],[LayOdds]]-1))</f>
        <v/>
      </c>
      <c r="N959" s="45" t="str">
        <f>IF(LayTable[[#This Row],[Sport]]="","",1/((1/LayTable[[#This Row],[BookieOdds]])+(1/((1/((1+((LayTable[[#This Row],[LayOdds]]-1)*(1+LayTable[[#This Row],[C% Lay]])))-1))+1)))-1)</f>
        <v/>
      </c>
      <c r="Q959" s="46" t="str">
        <f>IF(LayTable[[#This Row],[Sport]]="","",LayTable[[#This Row],[BookieInnsats]]+LayTable[[#This Row],[LayLiability]])</f>
        <v/>
      </c>
      <c r="R9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59" s="47" t="str">
        <f>IF(LayTable[[#This Row],[Utfall bookie]]="","",LayTable[[#This Row],[WBABack]]+LayTable[[#This Row],[WBALay]]-LayTable[[#This Row],[Total inns]])</f>
        <v/>
      </c>
      <c r="U9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59" s="48" t="str">
        <f>IFERROR(IF(LayTable[[#This Row],[Total inns]]="","",LayTable[[#This Row],[Rback]]/LayTable[[#This Row],[Total inns]]),"")</f>
        <v/>
      </c>
      <c r="X959" s="48" t="str">
        <f>IFERROR(IF(LayTable[[#This Row],[Total inns]]="","",LayTable[[#This Row],[Rlay]]/LayTable[[#This Row],[Total inns]]),"")</f>
        <v/>
      </c>
      <c r="Y959" s="48" t="str">
        <f>IFERROR(LayTable[[#This Row],[Faktisk res]]/LayTable[[#This Row],[Total inns]],"")</f>
        <v/>
      </c>
      <c r="Z959" s="47">
        <f>(LayTable[[#This Row],[BookieInnsats]]*LayTable[[#This Row],[BookieOdds]]-LayTable[[#This Row],[BookieInnsats]])*(1-LayTable[[#This Row],[C% Bookie]])</f>
        <v>0</v>
      </c>
      <c r="AA959" s="43">
        <f>LayTable[[#This Row],[LayInnsats]]*(1-LayTable[[#This Row],[C% Lay]])</f>
        <v>0</v>
      </c>
      <c r="AB959" s="43" t="str">
        <f>IFERROR(IF(LayTable[[#This Row],[Sport]]="",AB958,LayTable[[#This Row],[Faktisk res]]+AB958),"")</f>
        <v/>
      </c>
      <c r="AC959" s="43">
        <f>(LayTable[[#This Row],[BackWin-Commission]]+LayTable[[#This Row],[BookieInnsats]])</f>
        <v>0</v>
      </c>
      <c r="AD959" s="43" t="e">
        <f>(LayTable[[#This Row],[LayWin-Commission]])+LayTable[[#This Row],[LayLiability]]</f>
        <v>#VALUE!</v>
      </c>
      <c r="AE959" s="43"/>
      <c r="AF959" s="181"/>
    </row>
    <row r="960" spans="1:32">
      <c r="A960" s="84"/>
      <c r="B960" s="39"/>
      <c r="C960" s="40"/>
      <c r="D960" s="41"/>
      <c r="E960" s="40"/>
      <c r="F960" s="41"/>
      <c r="G960" s="183"/>
      <c r="H960" s="38"/>
      <c r="I960" s="42"/>
      <c r="J960" s="42"/>
      <c r="K960" s="43"/>
      <c r="L960" s="43"/>
      <c r="M960" s="44" t="str">
        <f>IF(LayTable[[#This Row],[Sport]]="","",LayTable[[#This Row],[LayInnsats]]*(LayTable[[#This Row],[LayOdds]]-1))</f>
        <v/>
      </c>
      <c r="N960" s="45" t="str">
        <f>IF(LayTable[[#This Row],[Sport]]="","",1/((1/LayTable[[#This Row],[BookieOdds]])+(1/((1/((1+((LayTable[[#This Row],[LayOdds]]-1)*(1+LayTable[[#This Row],[C% Lay]])))-1))+1)))-1)</f>
        <v/>
      </c>
      <c r="Q960" s="46" t="str">
        <f>IF(LayTable[[#This Row],[Sport]]="","",LayTable[[#This Row],[BookieInnsats]]+LayTable[[#This Row],[LayLiability]])</f>
        <v/>
      </c>
      <c r="R9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0" s="47" t="str">
        <f>IF(LayTable[[#This Row],[Utfall bookie]]="","",LayTable[[#This Row],[WBABack]]+LayTable[[#This Row],[WBALay]]-LayTable[[#This Row],[Total inns]])</f>
        <v/>
      </c>
      <c r="U9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0" s="48" t="str">
        <f>IFERROR(IF(LayTable[[#This Row],[Total inns]]="","",LayTable[[#This Row],[Rback]]/LayTable[[#This Row],[Total inns]]),"")</f>
        <v/>
      </c>
      <c r="X960" s="48" t="str">
        <f>IFERROR(IF(LayTable[[#This Row],[Total inns]]="","",LayTable[[#This Row],[Rlay]]/LayTable[[#This Row],[Total inns]]),"")</f>
        <v/>
      </c>
      <c r="Y960" s="48" t="str">
        <f>IFERROR(LayTable[[#This Row],[Faktisk res]]/LayTable[[#This Row],[Total inns]],"")</f>
        <v/>
      </c>
      <c r="Z960" s="47">
        <f>(LayTable[[#This Row],[BookieInnsats]]*LayTable[[#This Row],[BookieOdds]]-LayTable[[#This Row],[BookieInnsats]])*(1-LayTable[[#This Row],[C% Bookie]])</f>
        <v>0</v>
      </c>
      <c r="AA960" s="43">
        <f>LayTable[[#This Row],[LayInnsats]]*(1-LayTable[[#This Row],[C% Lay]])</f>
        <v>0</v>
      </c>
      <c r="AB960" s="43" t="str">
        <f>IFERROR(IF(LayTable[[#This Row],[Sport]]="",AB959,LayTable[[#This Row],[Faktisk res]]+AB959),"")</f>
        <v/>
      </c>
      <c r="AC960" s="43">
        <f>(LayTable[[#This Row],[BackWin-Commission]]+LayTable[[#This Row],[BookieInnsats]])</f>
        <v>0</v>
      </c>
      <c r="AD960" s="43" t="e">
        <f>(LayTable[[#This Row],[LayWin-Commission]])+LayTable[[#This Row],[LayLiability]]</f>
        <v>#VALUE!</v>
      </c>
      <c r="AE960" s="43"/>
      <c r="AF960" s="181"/>
    </row>
    <row r="961" spans="1:32">
      <c r="A961" s="84"/>
      <c r="B961" s="39"/>
      <c r="C961" s="40"/>
      <c r="D961" s="41"/>
      <c r="E961" s="40"/>
      <c r="F961" s="41"/>
      <c r="G961" s="183"/>
      <c r="H961" s="38"/>
      <c r="I961" s="42"/>
      <c r="J961" s="42"/>
      <c r="K961" s="43"/>
      <c r="L961" s="43"/>
      <c r="M961" s="44" t="str">
        <f>IF(LayTable[[#This Row],[Sport]]="","",LayTable[[#This Row],[LayInnsats]]*(LayTable[[#This Row],[LayOdds]]-1))</f>
        <v/>
      </c>
      <c r="N961" s="45" t="str">
        <f>IF(LayTable[[#This Row],[Sport]]="","",1/((1/LayTable[[#This Row],[BookieOdds]])+(1/((1/((1+((LayTable[[#This Row],[LayOdds]]-1)*(1+LayTable[[#This Row],[C% Lay]])))-1))+1)))-1)</f>
        <v/>
      </c>
      <c r="Q961" s="46" t="str">
        <f>IF(LayTable[[#This Row],[Sport]]="","",LayTable[[#This Row],[BookieInnsats]]+LayTable[[#This Row],[LayLiability]])</f>
        <v/>
      </c>
      <c r="R9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1" s="47" t="str">
        <f>IF(LayTable[[#This Row],[Utfall bookie]]="","",LayTable[[#This Row],[WBABack]]+LayTable[[#This Row],[WBALay]]-LayTable[[#This Row],[Total inns]])</f>
        <v/>
      </c>
      <c r="U9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1" s="48" t="str">
        <f>IFERROR(IF(LayTable[[#This Row],[Total inns]]="","",LayTable[[#This Row],[Rback]]/LayTable[[#This Row],[Total inns]]),"")</f>
        <v/>
      </c>
      <c r="X961" s="48" t="str">
        <f>IFERROR(IF(LayTable[[#This Row],[Total inns]]="","",LayTable[[#This Row],[Rlay]]/LayTable[[#This Row],[Total inns]]),"")</f>
        <v/>
      </c>
      <c r="Y961" s="48" t="str">
        <f>IFERROR(LayTable[[#This Row],[Faktisk res]]/LayTable[[#This Row],[Total inns]],"")</f>
        <v/>
      </c>
      <c r="Z961" s="47">
        <f>(LayTable[[#This Row],[BookieInnsats]]*LayTable[[#This Row],[BookieOdds]]-LayTable[[#This Row],[BookieInnsats]])*(1-LayTable[[#This Row],[C% Bookie]])</f>
        <v>0</v>
      </c>
      <c r="AA961" s="43">
        <f>LayTable[[#This Row],[LayInnsats]]*(1-LayTable[[#This Row],[C% Lay]])</f>
        <v>0</v>
      </c>
      <c r="AB961" s="43" t="str">
        <f>IFERROR(IF(LayTable[[#This Row],[Sport]]="",AB960,LayTable[[#This Row],[Faktisk res]]+AB960),"")</f>
        <v/>
      </c>
      <c r="AC961" s="43">
        <f>(LayTable[[#This Row],[BackWin-Commission]]+LayTable[[#This Row],[BookieInnsats]])</f>
        <v>0</v>
      </c>
      <c r="AD961" s="43" t="e">
        <f>(LayTable[[#This Row],[LayWin-Commission]])+LayTable[[#This Row],[LayLiability]]</f>
        <v>#VALUE!</v>
      </c>
      <c r="AE961" s="43"/>
      <c r="AF961" s="181"/>
    </row>
    <row r="962" spans="1:32">
      <c r="A962" s="84"/>
      <c r="B962" s="39"/>
      <c r="C962" s="40"/>
      <c r="D962" s="41"/>
      <c r="E962" s="40"/>
      <c r="F962" s="41"/>
      <c r="G962" s="183"/>
      <c r="H962" s="38"/>
      <c r="I962" s="42"/>
      <c r="J962" s="42"/>
      <c r="K962" s="43"/>
      <c r="L962" s="43"/>
      <c r="M962" s="44" t="str">
        <f>IF(LayTable[[#This Row],[Sport]]="","",LayTable[[#This Row],[LayInnsats]]*(LayTable[[#This Row],[LayOdds]]-1))</f>
        <v/>
      </c>
      <c r="N962" s="45" t="str">
        <f>IF(LayTable[[#This Row],[Sport]]="","",1/((1/LayTable[[#This Row],[BookieOdds]])+(1/((1/((1+((LayTable[[#This Row],[LayOdds]]-1)*(1+LayTable[[#This Row],[C% Lay]])))-1))+1)))-1)</f>
        <v/>
      </c>
      <c r="Q962" s="46" t="str">
        <f>IF(LayTable[[#This Row],[Sport]]="","",LayTable[[#This Row],[BookieInnsats]]+LayTable[[#This Row],[LayLiability]])</f>
        <v/>
      </c>
      <c r="R9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2" s="47" t="str">
        <f>IF(LayTable[[#This Row],[Utfall bookie]]="","",LayTable[[#This Row],[WBABack]]+LayTable[[#This Row],[WBALay]]-LayTable[[#This Row],[Total inns]])</f>
        <v/>
      </c>
      <c r="U9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2" s="48" t="str">
        <f>IFERROR(IF(LayTable[[#This Row],[Total inns]]="","",LayTable[[#This Row],[Rback]]/LayTable[[#This Row],[Total inns]]),"")</f>
        <v/>
      </c>
      <c r="X962" s="48" t="str">
        <f>IFERROR(IF(LayTable[[#This Row],[Total inns]]="","",LayTable[[#This Row],[Rlay]]/LayTable[[#This Row],[Total inns]]),"")</f>
        <v/>
      </c>
      <c r="Y962" s="48" t="str">
        <f>IFERROR(LayTable[[#This Row],[Faktisk res]]/LayTable[[#This Row],[Total inns]],"")</f>
        <v/>
      </c>
      <c r="Z962" s="47">
        <f>(LayTable[[#This Row],[BookieInnsats]]*LayTable[[#This Row],[BookieOdds]]-LayTable[[#This Row],[BookieInnsats]])*(1-LayTable[[#This Row],[C% Bookie]])</f>
        <v>0</v>
      </c>
      <c r="AA962" s="43">
        <f>LayTable[[#This Row],[LayInnsats]]*(1-LayTable[[#This Row],[C% Lay]])</f>
        <v>0</v>
      </c>
      <c r="AB962" s="43" t="str">
        <f>IFERROR(IF(LayTable[[#This Row],[Sport]]="",AB961,LayTable[[#This Row],[Faktisk res]]+AB961),"")</f>
        <v/>
      </c>
      <c r="AC962" s="43">
        <f>(LayTable[[#This Row],[BackWin-Commission]]+LayTable[[#This Row],[BookieInnsats]])</f>
        <v>0</v>
      </c>
      <c r="AD962" s="43" t="e">
        <f>(LayTable[[#This Row],[LayWin-Commission]])+LayTable[[#This Row],[LayLiability]]</f>
        <v>#VALUE!</v>
      </c>
      <c r="AE962" s="43"/>
      <c r="AF962" s="181"/>
    </row>
    <row r="963" spans="1:32">
      <c r="A963" s="84"/>
      <c r="B963" s="39"/>
      <c r="C963" s="40"/>
      <c r="D963" s="41"/>
      <c r="E963" s="40"/>
      <c r="F963" s="41"/>
      <c r="G963" s="183"/>
      <c r="H963" s="38"/>
      <c r="I963" s="42"/>
      <c r="J963" s="42"/>
      <c r="K963" s="43"/>
      <c r="L963" s="43"/>
      <c r="M963" s="44" t="str">
        <f>IF(LayTable[[#This Row],[Sport]]="","",LayTable[[#This Row],[LayInnsats]]*(LayTable[[#This Row],[LayOdds]]-1))</f>
        <v/>
      </c>
      <c r="N963" s="45" t="str">
        <f>IF(LayTable[[#This Row],[Sport]]="","",1/((1/LayTable[[#This Row],[BookieOdds]])+(1/((1/((1+((LayTable[[#This Row],[LayOdds]]-1)*(1+LayTable[[#This Row],[C% Lay]])))-1))+1)))-1)</f>
        <v/>
      </c>
      <c r="Q963" s="46" t="str">
        <f>IF(LayTable[[#This Row],[Sport]]="","",LayTable[[#This Row],[BookieInnsats]]+LayTable[[#This Row],[LayLiability]])</f>
        <v/>
      </c>
      <c r="R9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3" s="47" t="str">
        <f>IF(LayTable[[#This Row],[Utfall bookie]]="","",LayTable[[#This Row],[WBABack]]+LayTable[[#This Row],[WBALay]]-LayTable[[#This Row],[Total inns]])</f>
        <v/>
      </c>
      <c r="U9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3" s="48" t="str">
        <f>IFERROR(IF(LayTable[[#This Row],[Total inns]]="","",LayTable[[#This Row],[Rback]]/LayTable[[#This Row],[Total inns]]),"")</f>
        <v/>
      </c>
      <c r="X963" s="48" t="str">
        <f>IFERROR(IF(LayTable[[#This Row],[Total inns]]="","",LayTable[[#This Row],[Rlay]]/LayTable[[#This Row],[Total inns]]),"")</f>
        <v/>
      </c>
      <c r="Y963" s="48" t="str">
        <f>IFERROR(LayTable[[#This Row],[Faktisk res]]/LayTable[[#This Row],[Total inns]],"")</f>
        <v/>
      </c>
      <c r="Z963" s="47">
        <f>(LayTable[[#This Row],[BookieInnsats]]*LayTable[[#This Row],[BookieOdds]]-LayTable[[#This Row],[BookieInnsats]])*(1-LayTable[[#This Row],[C% Bookie]])</f>
        <v>0</v>
      </c>
      <c r="AA963" s="43">
        <f>LayTable[[#This Row],[LayInnsats]]*(1-LayTable[[#This Row],[C% Lay]])</f>
        <v>0</v>
      </c>
      <c r="AB963" s="43" t="str">
        <f>IFERROR(IF(LayTable[[#This Row],[Sport]]="",AB962,LayTable[[#This Row],[Faktisk res]]+AB962),"")</f>
        <v/>
      </c>
      <c r="AC963" s="43">
        <f>(LayTable[[#This Row],[BackWin-Commission]]+LayTable[[#This Row],[BookieInnsats]])</f>
        <v>0</v>
      </c>
      <c r="AD963" s="43" t="e">
        <f>(LayTable[[#This Row],[LayWin-Commission]])+LayTable[[#This Row],[LayLiability]]</f>
        <v>#VALUE!</v>
      </c>
      <c r="AE963" s="43"/>
      <c r="AF963" s="181"/>
    </row>
    <row r="964" spans="1:32">
      <c r="A964" s="84"/>
      <c r="B964" s="39"/>
      <c r="C964" s="40"/>
      <c r="D964" s="41"/>
      <c r="E964" s="40"/>
      <c r="F964" s="41"/>
      <c r="G964" s="183"/>
      <c r="H964" s="38"/>
      <c r="I964" s="42"/>
      <c r="J964" s="42"/>
      <c r="K964" s="43"/>
      <c r="L964" s="43"/>
      <c r="M964" s="44" t="str">
        <f>IF(LayTable[[#This Row],[Sport]]="","",LayTable[[#This Row],[LayInnsats]]*(LayTable[[#This Row],[LayOdds]]-1))</f>
        <v/>
      </c>
      <c r="N964" s="45" t="str">
        <f>IF(LayTable[[#This Row],[Sport]]="","",1/((1/LayTable[[#This Row],[BookieOdds]])+(1/((1/((1+((LayTable[[#This Row],[LayOdds]]-1)*(1+LayTable[[#This Row],[C% Lay]])))-1))+1)))-1)</f>
        <v/>
      </c>
      <c r="Q964" s="46" t="str">
        <f>IF(LayTable[[#This Row],[Sport]]="","",LayTable[[#This Row],[BookieInnsats]]+LayTable[[#This Row],[LayLiability]])</f>
        <v/>
      </c>
      <c r="R9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4" s="47" t="str">
        <f>IF(LayTable[[#This Row],[Utfall bookie]]="","",LayTable[[#This Row],[WBABack]]+LayTable[[#This Row],[WBALay]]-LayTable[[#This Row],[Total inns]])</f>
        <v/>
      </c>
      <c r="U9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4" s="48" t="str">
        <f>IFERROR(IF(LayTable[[#This Row],[Total inns]]="","",LayTable[[#This Row],[Rback]]/LayTable[[#This Row],[Total inns]]),"")</f>
        <v/>
      </c>
      <c r="X964" s="48" t="str">
        <f>IFERROR(IF(LayTable[[#This Row],[Total inns]]="","",LayTable[[#This Row],[Rlay]]/LayTable[[#This Row],[Total inns]]),"")</f>
        <v/>
      </c>
      <c r="Y964" s="48" t="str">
        <f>IFERROR(LayTable[[#This Row],[Faktisk res]]/LayTable[[#This Row],[Total inns]],"")</f>
        <v/>
      </c>
      <c r="Z964" s="47">
        <f>(LayTable[[#This Row],[BookieInnsats]]*LayTable[[#This Row],[BookieOdds]]-LayTable[[#This Row],[BookieInnsats]])*(1-LayTable[[#This Row],[C% Bookie]])</f>
        <v>0</v>
      </c>
      <c r="AA964" s="43">
        <f>LayTable[[#This Row],[LayInnsats]]*(1-LayTable[[#This Row],[C% Lay]])</f>
        <v>0</v>
      </c>
      <c r="AB964" s="43" t="str">
        <f>IFERROR(IF(LayTable[[#This Row],[Sport]]="",AB963,LayTable[[#This Row],[Faktisk res]]+AB963),"")</f>
        <v/>
      </c>
      <c r="AC964" s="43">
        <f>(LayTable[[#This Row],[BackWin-Commission]]+LayTable[[#This Row],[BookieInnsats]])</f>
        <v>0</v>
      </c>
      <c r="AD964" s="43" t="e">
        <f>(LayTable[[#This Row],[LayWin-Commission]])+LayTable[[#This Row],[LayLiability]]</f>
        <v>#VALUE!</v>
      </c>
      <c r="AE964" s="43"/>
      <c r="AF964" s="181"/>
    </row>
    <row r="965" spans="1:32">
      <c r="A965" s="84"/>
      <c r="B965" s="39"/>
      <c r="C965" s="40"/>
      <c r="D965" s="41"/>
      <c r="E965" s="40"/>
      <c r="F965" s="41"/>
      <c r="G965" s="183"/>
      <c r="H965" s="38"/>
      <c r="I965" s="42"/>
      <c r="J965" s="42"/>
      <c r="K965" s="43"/>
      <c r="L965" s="43"/>
      <c r="M965" s="44" t="str">
        <f>IF(LayTable[[#This Row],[Sport]]="","",LayTable[[#This Row],[LayInnsats]]*(LayTable[[#This Row],[LayOdds]]-1))</f>
        <v/>
      </c>
      <c r="N965" s="45" t="str">
        <f>IF(LayTable[[#This Row],[Sport]]="","",1/((1/LayTable[[#This Row],[BookieOdds]])+(1/((1/((1+((LayTable[[#This Row],[LayOdds]]-1)*(1+LayTable[[#This Row],[C% Lay]])))-1))+1)))-1)</f>
        <v/>
      </c>
      <c r="Q965" s="46" t="str">
        <f>IF(LayTable[[#This Row],[Sport]]="","",LayTable[[#This Row],[BookieInnsats]]+LayTable[[#This Row],[LayLiability]])</f>
        <v/>
      </c>
      <c r="R9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5" s="47" t="str">
        <f>IF(LayTable[[#This Row],[Utfall bookie]]="","",LayTable[[#This Row],[WBABack]]+LayTable[[#This Row],[WBALay]]-LayTable[[#This Row],[Total inns]])</f>
        <v/>
      </c>
      <c r="U9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5" s="48" t="str">
        <f>IFERROR(IF(LayTable[[#This Row],[Total inns]]="","",LayTable[[#This Row],[Rback]]/LayTable[[#This Row],[Total inns]]),"")</f>
        <v/>
      </c>
      <c r="X965" s="48" t="str">
        <f>IFERROR(IF(LayTable[[#This Row],[Total inns]]="","",LayTable[[#This Row],[Rlay]]/LayTable[[#This Row],[Total inns]]),"")</f>
        <v/>
      </c>
      <c r="Y965" s="48" t="str">
        <f>IFERROR(LayTable[[#This Row],[Faktisk res]]/LayTable[[#This Row],[Total inns]],"")</f>
        <v/>
      </c>
      <c r="Z965" s="47">
        <f>(LayTable[[#This Row],[BookieInnsats]]*LayTable[[#This Row],[BookieOdds]]-LayTable[[#This Row],[BookieInnsats]])*(1-LayTable[[#This Row],[C% Bookie]])</f>
        <v>0</v>
      </c>
      <c r="AA965" s="43">
        <f>LayTable[[#This Row],[LayInnsats]]*(1-LayTable[[#This Row],[C% Lay]])</f>
        <v>0</v>
      </c>
      <c r="AB965" s="43" t="str">
        <f>IFERROR(IF(LayTable[[#This Row],[Sport]]="",AB964,LayTable[[#This Row],[Faktisk res]]+AB964),"")</f>
        <v/>
      </c>
      <c r="AC965" s="43">
        <f>(LayTable[[#This Row],[BackWin-Commission]]+LayTable[[#This Row],[BookieInnsats]])</f>
        <v>0</v>
      </c>
      <c r="AD965" s="43" t="e">
        <f>(LayTable[[#This Row],[LayWin-Commission]])+LayTable[[#This Row],[LayLiability]]</f>
        <v>#VALUE!</v>
      </c>
      <c r="AE965" s="43"/>
      <c r="AF965" s="181"/>
    </row>
    <row r="966" spans="1:32">
      <c r="A966" s="84"/>
      <c r="B966" s="39"/>
      <c r="C966" s="40"/>
      <c r="D966" s="41"/>
      <c r="E966" s="40"/>
      <c r="F966" s="41"/>
      <c r="G966" s="183"/>
      <c r="H966" s="38"/>
      <c r="I966" s="42"/>
      <c r="J966" s="42"/>
      <c r="K966" s="43"/>
      <c r="L966" s="43"/>
      <c r="M966" s="44" t="str">
        <f>IF(LayTable[[#This Row],[Sport]]="","",LayTable[[#This Row],[LayInnsats]]*(LayTable[[#This Row],[LayOdds]]-1))</f>
        <v/>
      </c>
      <c r="N966" s="45" t="str">
        <f>IF(LayTable[[#This Row],[Sport]]="","",1/((1/LayTable[[#This Row],[BookieOdds]])+(1/((1/((1+((LayTable[[#This Row],[LayOdds]]-1)*(1+LayTable[[#This Row],[C% Lay]])))-1))+1)))-1)</f>
        <v/>
      </c>
      <c r="Q966" s="46" t="str">
        <f>IF(LayTable[[#This Row],[Sport]]="","",LayTable[[#This Row],[BookieInnsats]]+LayTable[[#This Row],[LayLiability]])</f>
        <v/>
      </c>
      <c r="R9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6" s="47" t="str">
        <f>IF(LayTable[[#This Row],[Utfall bookie]]="","",LayTable[[#This Row],[WBABack]]+LayTable[[#This Row],[WBALay]]-LayTable[[#This Row],[Total inns]])</f>
        <v/>
      </c>
      <c r="U9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6" s="48" t="str">
        <f>IFERROR(IF(LayTable[[#This Row],[Total inns]]="","",LayTable[[#This Row],[Rback]]/LayTable[[#This Row],[Total inns]]),"")</f>
        <v/>
      </c>
      <c r="X966" s="48" t="str">
        <f>IFERROR(IF(LayTable[[#This Row],[Total inns]]="","",LayTable[[#This Row],[Rlay]]/LayTable[[#This Row],[Total inns]]),"")</f>
        <v/>
      </c>
      <c r="Y966" s="48" t="str">
        <f>IFERROR(LayTable[[#This Row],[Faktisk res]]/LayTable[[#This Row],[Total inns]],"")</f>
        <v/>
      </c>
      <c r="Z966" s="47">
        <f>(LayTable[[#This Row],[BookieInnsats]]*LayTable[[#This Row],[BookieOdds]]-LayTable[[#This Row],[BookieInnsats]])*(1-LayTable[[#This Row],[C% Bookie]])</f>
        <v>0</v>
      </c>
      <c r="AA966" s="43">
        <f>LayTable[[#This Row],[LayInnsats]]*(1-LayTable[[#This Row],[C% Lay]])</f>
        <v>0</v>
      </c>
      <c r="AB966" s="43" t="str">
        <f>IFERROR(IF(LayTable[[#This Row],[Sport]]="",AB965,LayTable[[#This Row],[Faktisk res]]+AB965),"")</f>
        <v/>
      </c>
      <c r="AC966" s="43">
        <f>(LayTable[[#This Row],[BackWin-Commission]]+LayTable[[#This Row],[BookieInnsats]])</f>
        <v>0</v>
      </c>
      <c r="AD966" s="43" t="e">
        <f>(LayTable[[#This Row],[LayWin-Commission]])+LayTable[[#This Row],[LayLiability]]</f>
        <v>#VALUE!</v>
      </c>
      <c r="AE966" s="43"/>
      <c r="AF966" s="181"/>
    </row>
    <row r="967" spans="1:32">
      <c r="A967" s="84"/>
      <c r="B967" s="39"/>
      <c r="C967" s="40"/>
      <c r="D967" s="41"/>
      <c r="E967" s="40"/>
      <c r="F967" s="41"/>
      <c r="G967" s="183"/>
      <c r="H967" s="38"/>
      <c r="I967" s="42"/>
      <c r="J967" s="42"/>
      <c r="K967" s="43"/>
      <c r="L967" s="43"/>
      <c r="M967" s="44" t="str">
        <f>IF(LayTable[[#This Row],[Sport]]="","",LayTable[[#This Row],[LayInnsats]]*(LayTable[[#This Row],[LayOdds]]-1))</f>
        <v/>
      </c>
      <c r="N967" s="45" t="str">
        <f>IF(LayTable[[#This Row],[Sport]]="","",1/((1/LayTable[[#This Row],[BookieOdds]])+(1/((1/((1+((LayTable[[#This Row],[LayOdds]]-1)*(1+LayTable[[#This Row],[C% Lay]])))-1))+1)))-1)</f>
        <v/>
      </c>
      <c r="Q967" s="46" t="str">
        <f>IF(LayTable[[#This Row],[Sport]]="","",LayTable[[#This Row],[BookieInnsats]]+LayTable[[#This Row],[LayLiability]])</f>
        <v/>
      </c>
      <c r="R9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7" s="47" t="str">
        <f>IF(LayTable[[#This Row],[Utfall bookie]]="","",LayTable[[#This Row],[WBABack]]+LayTable[[#This Row],[WBALay]]-LayTable[[#This Row],[Total inns]])</f>
        <v/>
      </c>
      <c r="U9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7" s="48" t="str">
        <f>IFERROR(IF(LayTable[[#This Row],[Total inns]]="","",LayTable[[#This Row],[Rback]]/LayTable[[#This Row],[Total inns]]),"")</f>
        <v/>
      </c>
      <c r="X967" s="48" t="str">
        <f>IFERROR(IF(LayTable[[#This Row],[Total inns]]="","",LayTable[[#This Row],[Rlay]]/LayTable[[#This Row],[Total inns]]),"")</f>
        <v/>
      </c>
      <c r="Y967" s="48" t="str">
        <f>IFERROR(LayTable[[#This Row],[Faktisk res]]/LayTable[[#This Row],[Total inns]],"")</f>
        <v/>
      </c>
      <c r="Z967" s="47">
        <f>(LayTable[[#This Row],[BookieInnsats]]*LayTable[[#This Row],[BookieOdds]]-LayTable[[#This Row],[BookieInnsats]])*(1-LayTable[[#This Row],[C% Bookie]])</f>
        <v>0</v>
      </c>
      <c r="AA967" s="43">
        <f>LayTable[[#This Row],[LayInnsats]]*(1-LayTable[[#This Row],[C% Lay]])</f>
        <v>0</v>
      </c>
      <c r="AB967" s="43" t="str">
        <f>IFERROR(IF(LayTable[[#This Row],[Sport]]="",AB966,LayTable[[#This Row],[Faktisk res]]+AB966),"")</f>
        <v/>
      </c>
      <c r="AC967" s="43">
        <f>(LayTable[[#This Row],[BackWin-Commission]]+LayTable[[#This Row],[BookieInnsats]])</f>
        <v>0</v>
      </c>
      <c r="AD967" s="43" t="e">
        <f>(LayTable[[#This Row],[LayWin-Commission]])+LayTable[[#This Row],[LayLiability]]</f>
        <v>#VALUE!</v>
      </c>
      <c r="AE967" s="43"/>
      <c r="AF967" s="181"/>
    </row>
    <row r="968" spans="1:32">
      <c r="A968" s="84"/>
      <c r="B968" s="39"/>
      <c r="C968" s="40"/>
      <c r="D968" s="41"/>
      <c r="E968" s="40"/>
      <c r="F968" s="41"/>
      <c r="G968" s="183"/>
      <c r="H968" s="38"/>
      <c r="I968" s="42"/>
      <c r="J968" s="42"/>
      <c r="K968" s="43"/>
      <c r="L968" s="43"/>
      <c r="M968" s="44" t="str">
        <f>IF(LayTable[[#This Row],[Sport]]="","",LayTable[[#This Row],[LayInnsats]]*(LayTable[[#This Row],[LayOdds]]-1))</f>
        <v/>
      </c>
      <c r="N968" s="45" t="str">
        <f>IF(LayTable[[#This Row],[Sport]]="","",1/((1/LayTable[[#This Row],[BookieOdds]])+(1/((1/((1+((LayTable[[#This Row],[LayOdds]]-1)*(1+LayTable[[#This Row],[C% Lay]])))-1))+1)))-1)</f>
        <v/>
      </c>
      <c r="Q968" s="46" t="str">
        <f>IF(LayTable[[#This Row],[Sport]]="","",LayTable[[#This Row],[BookieInnsats]]+LayTable[[#This Row],[LayLiability]])</f>
        <v/>
      </c>
      <c r="R9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8" s="47" t="str">
        <f>IF(LayTable[[#This Row],[Utfall bookie]]="","",LayTable[[#This Row],[WBABack]]+LayTable[[#This Row],[WBALay]]-LayTable[[#This Row],[Total inns]])</f>
        <v/>
      </c>
      <c r="U9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8" s="48" t="str">
        <f>IFERROR(IF(LayTable[[#This Row],[Total inns]]="","",LayTable[[#This Row],[Rback]]/LayTable[[#This Row],[Total inns]]),"")</f>
        <v/>
      </c>
      <c r="X968" s="48" t="str">
        <f>IFERROR(IF(LayTable[[#This Row],[Total inns]]="","",LayTable[[#This Row],[Rlay]]/LayTable[[#This Row],[Total inns]]),"")</f>
        <v/>
      </c>
      <c r="Y968" s="48" t="str">
        <f>IFERROR(LayTable[[#This Row],[Faktisk res]]/LayTable[[#This Row],[Total inns]],"")</f>
        <v/>
      </c>
      <c r="Z968" s="47">
        <f>(LayTable[[#This Row],[BookieInnsats]]*LayTable[[#This Row],[BookieOdds]]-LayTable[[#This Row],[BookieInnsats]])*(1-LayTable[[#This Row],[C% Bookie]])</f>
        <v>0</v>
      </c>
      <c r="AA968" s="43">
        <f>LayTable[[#This Row],[LayInnsats]]*(1-LayTable[[#This Row],[C% Lay]])</f>
        <v>0</v>
      </c>
      <c r="AB968" s="43" t="str">
        <f>IFERROR(IF(LayTable[[#This Row],[Sport]]="",AB967,LayTable[[#This Row],[Faktisk res]]+AB967),"")</f>
        <v/>
      </c>
      <c r="AC968" s="43">
        <f>(LayTable[[#This Row],[BackWin-Commission]]+LayTable[[#This Row],[BookieInnsats]])</f>
        <v>0</v>
      </c>
      <c r="AD968" s="43" t="e">
        <f>(LayTable[[#This Row],[LayWin-Commission]])+LayTable[[#This Row],[LayLiability]]</f>
        <v>#VALUE!</v>
      </c>
      <c r="AE968" s="43"/>
      <c r="AF968" s="181"/>
    </row>
    <row r="969" spans="1:32">
      <c r="A969" s="84"/>
      <c r="B969" s="39"/>
      <c r="C969" s="40"/>
      <c r="D969" s="41"/>
      <c r="E969" s="40"/>
      <c r="F969" s="41"/>
      <c r="G969" s="183"/>
      <c r="H969" s="38"/>
      <c r="I969" s="42"/>
      <c r="J969" s="42"/>
      <c r="K969" s="43"/>
      <c r="L969" s="43"/>
      <c r="M969" s="44" t="str">
        <f>IF(LayTable[[#This Row],[Sport]]="","",LayTable[[#This Row],[LayInnsats]]*(LayTable[[#This Row],[LayOdds]]-1))</f>
        <v/>
      </c>
      <c r="N969" s="45" t="str">
        <f>IF(LayTable[[#This Row],[Sport]]="","",1/((1/LayTable[[#This Row],[BookieOdds]])+(1/((1/((1+((LayTable[[#This Row],[LayOdds]]-1)*(1+LayTable[[#This Row],[C% Lay]])))-1))+1)))-1)</f>
        <v/>
      </c>
      <c r="Q969" s="46" t="str">
        <f>IF(LayTable[[#This Row],[Sport]]="","",LayTable[[#This Row],[BookieInnsats]]+LayTable[[#This Row],[LayLiability]])</f>
        <v/>
      </c>
      <c r="R9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69" s="47" t="str">
        <f>IF(LayTable[[#This Row],[Utfall bookie]]="","",LayTable[[#This Row],[WBABack]]+LayTable[[#This Row],[WBALay]]-LayTable[[#This Row],[Total inns]])</f>
        <v/>
      </c>
      <c r="U9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69" s="48" t="str">
        <f>IFERROR(IF(LayTable[[#This Row],[Total inns]]="","",LayTable[[#This Row],[Rback]]/LayTable[[#This Row],[Total inns]]),"")</f>
        <v/>
      </c>
      <c r="X969" s="48" t="str">
        <f>IFERROR(IF(LayTable[[#This Row],[Total inns]]="","",LayTable[[#This Row],[Rlay]]/LayTable[[#This Row],[Total inns]]),"")</f>
        <v/>
      </c>
      <c r="Y969" s="48" t="str">
        <f>IFERROR(LayTable[[#This Row],[Faktisk res]]/LayTable[[#This Row],[Total inns]],"")</f>
        <v/>
      </c>
      <c r="Z969" s="47">
        <f>(LayTable[[#This Row],[BookieInnsats]]*LayTable[[#This Row],[BookieOdds]]-LayTable[[#This Row],[BookieInnsats]])*(1-LayTable[[#This Row],[C% Bookie]])</f>
        <v>0</v>
      </c>
      <c r="AA969" s="43">
        <f>LayTable[[#This Row],[LayInnsats]]*(1-LayTable[[#This Row],[C% Lay]])</f>
        <v>0</v>
      </c>
      <c r="AB969" s="43" t="str">
        <f>IFERROR(IF(LayTable[[#This Row],[Sport]]="",AB968,LayTable[[#This Row],[Faktisk res]]+AB968),"")</f>
        <v/>
      </c>
      <c r="AC969" s="43">
        <f>(LayTable[[#This Row],[BackWin-Commission]]+LayTable[[#This Row],[BookieInnsats]])</f>
        <v>0</v>
      </c>
      <c r="AD969" s="43" t="e">
        <f>(LayTable[[#This Row],[LayWin-Commission]])+LayTable[[#This Row],[LayLiability]]</f>
        <v>#VALUE!</v>
      </c>
      <c r="AE969" s="43"/>
      <c r="AF969" s="181"/>
    </row>
    <row r="970" spans="1:32">
      <c r="A970" s="84"/>
      <c r="B970" s="39"/>
      <c r="C970" s="40"/>
      <c r="D970" s="41"/>
      <c r="E970" s="40"/>
      <c r="F970" s="41"/>
      <c r="G970" s="183"/>
      <c r="H970" s="38"/>
      <c r="I970" s="42"/>
      <c r="J970" s="42"/>
      <c r="K970" s="43"/>
      <c r="L970" s="43"/>
      <c r="M970" s="44" t="str">
        <f>IF(LayTable[[#This Row],[Sport]]="","",LayTable[[#This Row],[LayInnsats]]*(LayTable[[#This Row],[LayOdds]]-1))</f>
        <v/>
      </c>
      <c r="N970" s="45" t="str">
        <f>IF(LayTable[[#This Row],[Sport]]="","",1/((1/LayTable[[#This Row],[BookieOdds]])+(1/((1/((1+((LayTable[[#This Row],[LayOdds]]-1)*(1+LayTable[[#This Row],[C% Lay]])))-1))+1)))-1)</f>
        <v/>
      </c>
      <c r="Q970" s="46" t="str">
        <f>IF(LayTable[[#This Row],[Sport]]="","",LayTable[[#This Row],[BookieInnsats]]+LayTable[[#This Row],[LayLiability]])</f>
        <v/>
      </c>
      <c r="R9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0" s="47" t="str">
        <f>IF(LayTable[[#This Row],[Utfall bookie]]="","",LayTable[[#This Row],[WBABack]]+LayTable[[#This Row],[WBALay]]-LayTable[[#This Row],[Total inns]])</f>
        <v/>
      </c>
      <c r="U9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0" s="48" t="str">
        <f>IFERROR(IF(LayTable[[#This Row],[Total inns]]="","",LayTable[[#This Row],[Rback]]/LayTable[[#This Row],[Total inns]]),"")</f>
        <v/>
      </c>
      <c r="X970" s="48" t="str">
        <f>IFERROR(IF(LayTable[[#This Row],[Total inns]]="","",LayTable[[#This Row],[Rlay]]/LayTable[[#This Row],[Total inns]]),"")</f>
        <v/>
      </c>
      <c r="Y970" s="48" t="str">
        <f>IFERROR(LayTable[[#This Row],[Faktisk res]]/LayTable[[#This Row],[Total inns]],"")</f>
        <v/>
      </c>
      <c r="Z970" s="47">
        <f>(LayTable[[#This Row],[BookieInnsats]]*LayTable[[#This Row],[BookieOdds]]-LayTable[[#This Row],[BookieInnsats]])*(1-LayTable[[#This Row],[C% Bookie]])</f>
        <v>0</v>
      </c>
      <c r="AA970" s="43">
        <f>LayTable[[#This Row],[LayInnsats]]*(1-LayTable[[#This Row],[C% Lay]])</f>
        <v>0</v>
      </c>
      <c r="AB970" s="43" t="str">
        <f>IFERROR(IF(LayTable[[#This Row],[Sport]]="",AB969,LayTable[[#This Row],[Faktisk res]]+AB969),"")</f>
        <v/>
      </c>
      <c r="AC970" s="43">
        <f>(LayTable[[#This Row],[BackWin-Commission]]+LayTable[[#This Row],[BookieInnsats]])</f>
        <v>0</v>
      </c>
      <c r="AD970" s="43" t="e">
        <f>(LayTable[[#This Row],[LayWin-Commission]])+LayTable[[#This Row],[LayLiability]]</f>
        <v>#VALUE!</v>
      </c>
      <c r="AE970" s="43"/>
      <c r="AF970" s="181"/>
    </row>
    <row r="971" spans="1:32">
      <c r="A971" s="84"/>
      <c r="B971" s="39"/>
      <c r="C971" s="40"/>
      <c r="D971" s="41"/>
      <c r="E971" s="40"/>
      <c r="F971" s="41"/>
      <c r="G971" s="183"/>
      <c r="H971" s="38"/>
      <c r="I971" s="42"/>
      <c r="J971" s="42"/>
      <c r="K971" s="43"/>
      <c r="L971" s="43"/>
      <c r="M971" s="44" t="str">
        <f>IF(LayTable[[#This Row],[Sport]]="","",LayTable[[#This Row],[LayInnsats]]*(LayTable[[#This Row],[LayOdds]]-1))</f>
        <v/>
      </c>
      <c r="N971" s="45" t="str">
        <f>IF(LayTable[[#This Row],[Sport]]="","",1/((1/LayTable[[#This Row],[BookieOdds]])+(1/((1/((1+((LayTable[[#This Row],[LayOdds]]-1)*(1+LayTable[[#This Row],[C% Lay]])))-1))+1)))-1)</f>
        <v/>
      </c>
      <c r="Q971" s="46" t="str">
        <f>IF(LayTable[[#This Row],[Sport]]="","",LayTable[[#This Row],[BookieInnsats]]+LayTable[[#This Row],[LayLiability]])</f>
        <v/>
      </c>
      <c r="R9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1" s="47" t="str">
        <f>IF(LayTable[[#This Row],[Utfall bookie]]="","",LayTable[[#This Row],[WBABack]]+LayTable[[#This Row],[WBALay]]-LayTable[[#This Row],[Total inns]])</f>
        <v/>
      </c>
      <c r="U9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1" s="48" t="str">
        <f>IFERROR(IF(LayTable[[#This Row],[Total inns]]="","",LayTable[[#This Row],[Rback]]/LayTable[[#This Row],[Total inns]]),"")</f>
        <v/>
      </c>
      <c r="X971" s="48" t="str">
        <f>IFERROR(IF(LayTable[[#This Row],[Total inns]]="","",LayTable[[#This Row],[Rlay]]/LayTable[[#This Row],[Total inns]]),"")</f>
        <v/>
      </c>
      <c r="Y971" s="48" t="str">
        <f>IFERROR(LayTable[[#This Row],[Faktisk res]]/LayTable[[#This Row],[Total inns]],"")</f>
        <v/>
      </c>
      <c r="Z971" s="47">
        <f>(LayTable[[#This Row],[BookieInnsats]]*LayTable[[#This Row],[BookieOdds]]-LayTable[[#This Row],[BookieInnsats]])*(1-LayTable[[#This Row],[C% Bookie]])</f>
        <v>0</v>
      </c>
      <c r="AA971" s="43">
        <f>LayTable[[#This Row],[LayInnsats]]*(1-LayTable[[#This Row],[C% Lay]])</f>
        <v>0</v>
      </c>
      <c r="AB971" s="43" t="str">
        <f>IFERROR(IF(LayTable[[#This Row],[Sport]]="",AB970,LayTable[[#This Row],[Faktisk res]]+AB970),"")</f>
        <v/>
      </c>
      <c r="AC971" s="43">
        <f>(LayTable[[#This Row],[BackWin-Commission]]+LayTable[[#This Row],[BookieInnsats]])</f>
        <v>0</v>
      </c>
      <c r="AD971" s="43" t="e">
        <f>(LayTable[[#This Row],[LayWin-Commission]])+LayTable[[#This Row],[LayLiability]]</f>
        <v>#VALUE!</v>
      </c>
      <c r="AE971" s="43"/>
      <c r="AF971" s="181"/>
    </row>
    <row r="972" spans="1:32">
      <c r="A972" s="84"/>
      <c r="B972" s="39"/>
      <c r="C972" s="40"/>
      <c r="D972" s="41"/>
      <c r="E972" s="40"/>
      <c r="F972" s="41"/>
      <c r="G972" s="183"/>
      <c r="H972" s="38"/>
      <c r="I972" s="42"/>
      <c r="J972" s="42"/>
      <c r="K972" s="43"/>
      <c r="L972" s="43"/>
      <c r="M972" s="44" t="str">
        <f>IF(LayTable[[#This Row],[Sport]]="","",LayTable[[#This Row],[LayInnsats]]*(LayTable[[#This Row],[LayOdds]]-1))</f>
        <v/>
      </c>
      <c r="N972" s="45" t="str">
        <f>IF(LayTable[[#This Row],[Sport]]="","",1/((1/LayTable[[#This Row],[BookieOdds]])+(1/((1/((1+((LayTable[[#This Row],[LayOdds]]-1)*(1+LayTable[[#This Row],[C% Lay]])))-1))+1)))-1)</f>
        <v/>
      </c>
      <c r="Q972" s="46" t="str">
        <f>IF(LayTable[[#This Row],[Sport]]="","",LayTable[[#This Row],[BookieInnsats]]+LayTable[[#This Row],[LayLiability]])</f>
        <v/>
      </c>
      <c r="R9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2" s="47" t="str">
        <f>IF(LayTable[[#This Row],[Utfall bookie]]="","",LayTable[[#This Row],[WBABack]]+LayTable[[#This Row],[WBALay]]-LayTable[[#This Row],[Total inns]])</f>
        <v/>
      </c>
      <c r="U9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2" s="48" t="str">
        <f>IFERROR(IF(LayTable[[#This Row],[Total inns]]="","",LayTable[[#This Row],[Rback]]/LayTable[[#This Row],[Total inns]]),"")</f>
        <v/>
      </c>
      <c r="X972" s="48" t="str">
        <f>IFERROR(IF(LayTable[[#This Row],[Total inns]]="","",LayTable[[#This Row],[Rlay]]/LayTable[[#This Row],[Total inns]]),"")</f>
        <v/>
      </c>
      <c r="Y972" s="48" t="str">
        <f>IFERROR(LayTable[[#This Row],[Faktisk res]]/LayTable[[#This Row],[Total inns]],"")</f>
        <v/>
      </c>
      <c r="Z972" s="47">
        <f>(LayTable[[#This Row],[BookieInnsats]]*LayTable[[#This Row],[BookieOdds]]-LayTable[[#This Row],[BookieInnsats]])*(1-LayTable[[#This Row],[C% Bookie]])</f>
        <v>0</v>
      </c>
      <c r="AA972" s="43">
        <f>LayTable[[#This Row],[LayInnsats]]*(1-LayTable[[#This Row],[C% Lay]])</f>
        <v>0</v>
      </c>
      <c r="AB972" s="43" t="str">
        <f>IFERROR(IF(LayTable[[#This Row],[Sport]]="",AB971,LayTable[[#This Row],[Faktisk res]]+AB971),"")</f>
        <v/>
      </c>
      <c r="AC972" s="43">
        <f>(LayTable[[#This Row],[BackWin-Commission]]+LayTable[[#This Row],[BookieInnsats]])</f>
        <v>0</v>
      </c>
      <c r="AD972" s="43" t="e">
        <f>(LayTable[[#This Row],[LayWin-Commission]])+LayTable[[#This Row],[LayLiability]]</f>
        <v>#VALUE!</v>
      </c>
      <c r="AE972" s="43"/>
      <c r="AF972" s="181"/>
    </row>
    <row r="973" spans="1:32">
      <c r="A973" s="84"/>
      <c r="B973" s="39"/>
      <c r="C973" s="40"/>
      <c r="D973" s="41"/>
      <c r="E973" s="40"/>
      <c r="F973" s="41"/>
      <c r="G973" s="183"/>
      <c r="H973" s="38"/>
      <c r="I973" s="42"/>
      <c r="J973" s="42"/>
      <c r="K973" s="43"/>
      <c r="L973" s="43"/>
      <c r="M973" s="44" t="str">
        <f>IF(LayTable[[#This Row],[Sport]]="","",LayTable[[#This Row],[LayInnsats]]*(LayTable[[#This Row],[LayOdds]]-1))</f>
        <v/>
      </c>
      <c r="N973" s="45" t="str">
        <f>IF(LayTable[[#This Row],[Sport]]="","",1/((1/LayTable[[#This Row],[BookieOdds]])+(1/((1/((1+((LayTable[[#This Row],[LayOdds]]-1)*(1+LayTable[[#This Row],[C% Lay]])))-1))+1)))-1)</f>
        <v/>
      </c>
      <c r="Q973" s="46" t="str">
        <f>IF(LayTable[[#This Row],[Sport]]="","",LayTable[[#This Row],[BookieInnsats]]+LayTable[[#This Row],[LayLiability]])</f>
        <v/>
      </c>
      <c r="R9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3" s="47" t="str">
        <f>IF(LayTable[[#This Row],[Utfall bookie]]="","",LayTable[[#This Row],[WBABack]]+LayTable[[#This Row],[WBALay]]-LayTable[[#This Row],[Total inns]])</f>
        <v/>
      </c>
      <c r="U9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3" s="48" t="str">
        <f>IFERROR(IF(LayTable[[#This Row],[Total inns]]="","",LayTable[[#This Row],[Rback]]/LayTable[[#This Row],[Total inns]]),"")</f>
        <v/>
      </c>
      <c r="X973" s="48" t="str">
        <f>IFERROR(IF(LayTable[[#This Row],[Total inns]]="","",LayTable[[#This Row],[Rlay]]/LayTable[[#This Row],[Total inns]]),"")</f>
        <v/>
      </c>
      <c r="Y973" s="48" t="str">
        <f>IFERROR(LayTable[[#This Row],[Faktisk res]]/LayTable[[#This Row],[Total inns]],"")</f>
        <v/>
      </c>
      <c r="Z973" s="47">
        <f>(LayTable[[#This Row],[BookieInnsats]]*LayTable[[#This Row],[BookieOdds]]-LayTable[[#This Row],[BookieInnsats]])*(1-LayTable[[#This Row],[C% Bookie]])</f>
        <v>0</v>
      </c>
      <c r="AA973" s="43">
        <f>LayTable[[#This Row],[LayInnsats]]*(1-LayTable[[#This Row],[C% Lay]])</f>
        <v>0</v>
      </c>
      <c r="AB973" s="43" t="str">
        <f>IFERROR(IF(LayTable[[#This Row],[Sport]]="",AB972,LayTable[[#This Row],[Faktisk res]]+AB972),"")</f>
        <v/>
      </c>
      <c r="AC973" s="43">
        <f>(LayTable[[#This Row],[BackWin-Commission]]+LayTable[[#This Row],[BookieInnsats]])</f>
        <v>0</v>
      </c>
      <c r="AD973" s="43" t="e">
        <f>(LayTable[[#This Row],[LayWin-Commission]])+LayTable[[#This Row],[LayLiability]]</f>
        <v>#VALUE!</v>
      </c>
      <c r="AE973" s="43"/>
      <c r="AF973" s="181"/>
    </row>
    <row r="974" spans="1:32">
      <c r="A974" s="84"/>
      <c r="B974" s="39"/>
      <c r="C974" s="40"/>
      <c r="D974" s="41"/>
      <c r="E974" s="40"/>
      <c r="F974" s="41"/>
      <c r="G974" s="183"/>
      <c r="H974" s="38"/>
      <c r="I974" s="42"/>
      <c r="J974" s="42"/>
      <c r="K974" s="43"/>
      <c r="L974" s="43"/>
      <c r="M974" s="44" t="str">
        <f>IF(LayTable[[#This Row],[Sport]]="","",LayTable[[#This Row],[LayInnsats]]*(LayTable[[#This Row],[LayOdds]]-1))</f>
        <v/>
      </c>
      <c r="N974" s="45" t="str">
        <f>IF(LayTable[[#This Row],[Sport]]="","",1/((1/LayTable[[#This Row],[BookieOdds]])+(1/((1/((1+((LayTable[[#This Row],[LayOdds]]-1)*(1+LayTable[[#This Row],[C% Lay]])))-1))+1)))-1)</f>
        <v/>
      </c>
      <c r="Q974" s="46" t="str">
        <f>IF(LayTable[[#This Row],[Sport]]="","",LayTable[[#This Row],[BookieInnsats]]+LayTable[[#This Row],[LayLiability]])</f>
        <v/>
      </c>
      <c r="R9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4" s="47" t="str">
        <f>IF(LayTable[[#This Row],[Utfall bookie]]="","",LayTable[[#This Row],[WBABack]]+LayTable[[#This Row],[WBALay]]-LayTable[[#This Row],[Total inns]])</f>
        <v/>
      </c>
      <c r="U9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4" s="48" t="str">
        <f>IFERROR(IF(LayTable[[#This Row],[Total inns]]="","",LayTable[[#This Row],[Rback]]/LayTable[[#This Row],[Total inns]]),"")</f>
        <v/>
      </c>
      <c r="X974" s="48" t="str">
        <f>IFERROR(IF(LayTable[[#This Row],[Total inns]]="","",LayTable[[#This Row],[Rlay]]/LayTable[[#This Row],[Total inns]]),"")</f>
        <v/>
      </c>
      <c r="Y974" s="48" t="str">
        <f>IFERROR(LayTable[[#This Row],[Faktisk res]]/LayTable[[#This Row],[Total inns]],"")</f>
        <v/>
      </c>
      <c r="Z974" s="47">
        <f>(LayTable[[#This Row],[BookieInnsats]]*LayTable[[#This Row],[BookieOdds]]-LayTable[[#This Row],[BookieInnsats]])*(1-LayTable[[#This Row],[C% Bookie]])</f>
        <v>0</v>
      </c>
      <c r="AA974" s="43">
        <f>LayTable[[#This Row],[LayInnsats]]*(1-LayTable[[#This Row],[C% Lay]])</f>
        <v>0</v>
      </c>
      <c r="AB974" s="43" t="str">
        <f>IFERROR(IF(LayTable[[#This Row],[Sport]]="",AB973,LayTable[[#This Row],[Faktisk res]]+AB973),"")</f>
        <v/>
      </c>
      <c r="AC974" s="43">
        <f>(LayTable[[#This Row],[BackWin-Commission]]+LayTable[[#This Row],[BookieInnsats]])</f>
        <v>0</v>
      </c>
      <c r="AD974" s="43" t="e">
        <f>(LayTable[[#This Row],[LayWin-Commission]])+LayTable[[#This Row],[LayLiability]]</f>
        <v>#VALUE!</v>
      </c>
      <c r="AE974" s="43"/>
      <c r="AF974" s="181"/>
    </row>
    <row r="975" spans="1:32">
      <c r="A975" s="84"/>
      <c r="B975" s="39"/>
      <c r="C975" s="40"/>
      <c r="D975" s="41"/>
      <c r="E975" s="40"/>
      <c r="F975" s="41"/>
      <c r="G975" s="183"/>
      <c r="H975" s="38"/>
      <c r="I975" s="42"/>
      <c r="J975" s="42"/>
      <c r="K975" s="43"/>
      <c r="L975" s="43"/>
      <c r="M975" s="44" t="str">
        <f>IF(LayTable[[#This Row],[Sport]]="","",LayTable[[#This Row],[LayInnsats]]*(LayTable[[#This Row],[LayOdds]]-1))</f>
        <v/>
      </c>
      <c r="N975" s="45" t="str">
        <f>IF(LayTable[[#This Row],[Sport]]="","",1/((1/LayTable[[#This Row],[BookieOdds]])+(1/((1/((1+((LayTable[[#This Row],[LayOdds]]-1)*(1+LayTable[[#This Row],[C% Lay]])))-1))+1)))-1)</f>
        <v/>
      </c>
      <c r="Q975" s="46" t="str">
        <f>IF(LayTable[[#This Row],[Sport]]="","",LayTable[[#This Row],[BookieInnsats]]+LayTable[[#This Row],[LayLiability]])</f>
        <v/>
      </c>
      <c r="R9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5" s="47" t="str">
        <f>IF(LayTable[[#This Row],[Utfall bookie]]="","",LayTable[[#This Row],[WBABack]]+LayTable[[#This Row],[WBALay]]-LayTable[[#This Row],[Total inns]])</f>
        <v/>
      </c>
      <c r="U9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5" s="48" t="str">
        <f>IFERROR(IF(LayTable[[#This Row],[Total inns]]="","",LayTable[[#This Row],[Rback]]/LayTable[[#This Row],[Total inns]]),"")</f>
        <v/>
      </c>
      <c r="X975" s="48" t="str">
        <f>IFERROR(IF(LayTable[[#This Row],[Total inns]]="","",LayTable[[#This Row],[Rlay]]/LayTable[[#This Row],[Total inns]]),"")</f>
        <v/>
      </c>
      <c r="Y975" s="48" t="str">
        <f>IFERROR(LayTable[[#This Row],[Faktisk res]]/LayTable[[#This Row],[Total inns]],"")</f>
        <v/>
      </c>
      <c r="Z975" s="47">
        <f>(LayTable[[#This Row],[BookieInnsats]]*LayTable[[#This Row],[BookieOdds]]-LayTable[[#This Row],[BookieInnsats]])*(1-LayTable[[#This Row],[C% Bookie]])</f>
        <v>0</v>
      </c>
      <c r="AA975" s="43">
        <f>LayTable[[#This Row],[LayInnsats]]*(1-LayTable[[#This Row],[C% Lay]])</f>
        <v>0</v>
      </c>
      <c r="AB975" s="43" t="str">
        <f>IFERROR(IF(LayTable[[#This Row],[Sport]]="",AB974,LayTable[[#This Row],[Faktisk res]]+AB974),"")</f>
        <v/>
      </c>
      <c r="AC975" s="43">
        <f>(LayTable[[#This Row],[BackWin-Commission]]+LayTable[[#This Row],[BookieInnsats]])</f>
        <v>0</v>
      </c>
      <c r="AD975" s="43" t="e">
        <f>(LayTable[[#This Row],[LayWin-Commission]])+LayTable[[#This Row],[LayLiability]]</f>
        <v>#VALUE!</v>
      </c>
      <c r="AE975" s="43"/>
      <c r="AF975" s="181"/>
    </row>
    <row r="976" spans="1:32">
      <c r="A976" s="84"/>
      <c r="B976" s="39"/>
      <c r="C976" s="40"/>
      <c r="D976" s="41"/>
      <c r="E976" s="40"/>
      <c r="F976" s="41"/>
      <c r="G976" s="183"/>
      <c r="H976" s="38"/>
      <c r="I976" s="42"/>
      <c r="J976" s="42"/>
      <c r="K976" s="43"/>
      <c r="L976" s="43"/>
      <c r="M976" s="44" t="str">
        <f>IF(LayTable[[#This Row],[Sport]]="","",LayTable[[#This Row],[LayInnsats]]*(LayTable[[#This Row],[LayOdds]]-1))</f>
        <v/>
      </c>
      <c r="N976" s="45" t="str">
        <f>IF(LayTable[[#This Row],[Sport]]="","",1/((1/LayTable[[#This Row],[BookieOdds]])+(1/((1/((1+((LayTable[[#This Row],[LayOdds]]-1)*(1+LayTable[[#This Row],[C% Lay]])))-1))+1)))-1)</f>
        <v/>
      </c>
      <c r="Q976" s="46" t="str">
        <f>IF(LayTable[[#This Row],[Sport]]="","",LayTable[[#This Row],[BookieInnsats]]+LayTable[[#This Row],[LayLiability]])</f>
        <v/>
      </c>
      <c r="R9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6" s="47" t="str">
        <f>IF(LayTable[[#This Row],[Utfall bookie]]="","",LayTable[[#This Row],[WBABack]]+LayTable[[#This Row],[WBALay]]-LayTable[[#This Row],[Total inns]])</f>
        <v/>
      </c>
      <c r="U9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6" s="48" t="str">
        <f>IFERROR(IF(LayTable[[#This Row],[Total inns]]="","",LayTable[[#This Row],[Rback]]/LayTable[[#This Row],[Total inns]]),"")</f>
        <v/>
      </c>
      <c r="X976" s="48" t="str">
        <f>IFERROR(IF(LayTable[[#This Row],[Total inns]]="","",LayTable[[#This Row],[Rlay]]/LayTable[[#This Row],[Total inns]]),"")</f>
        <v/>
      </c>
      <c r="Y976" s="48" t="str">
        <f>IFERROR(LayTable[[#This Row],[Faktisk res]]/LayTable[[#This Row],[Total inns]],"")</f>
        <v/>
      </c>
      <c r="Z976" s="47">
        <f>(LayTable[[#This Row],[BookieInnsats]]*LayTable[[#This Row],[BookieOdds]]-LayTable[[#This Row],[BookieInnsats]])*(1-LayTable[[#This Row],[C% Bookie]])</f>
        <v>0</v>
      </c>
      <c r="AA976" s="43">
        <f>LayTable[[#This Row],[LayInnsats]]*(1-LayTable[[#This Row],[C% Lay]])</f>
        <v>0</v>
      </c>
      <c r="AB976" s="43" t="str">
        <f>IFERROR(IF(LayTable[[#This Row],[Sport]]="",AB975,LayTable[[#This Row],[Faktisk res]]+AB975),"")</f>
        <v/>
      </c>
      <c r="AC976" s="43">
        <f>(LayTable[[#This Row],[BackWin-Commission]]+LayTable[[#This Row],[BookieInnsats]])</f>
        <v>0</v>
      </c>
      <c r="AD976" s="43" t="e">
        <f>(LayTable[[#This Row],[LayWin-Commission]])+LayTable[[#This Row],[LayLiability]]</f>
        <v>#VALUE!</v>
      </c>
      <c r="AE976" s="43"/>
      <c r="AF976" s="181"/>
    </row>
    <row r="977" spans="1:32">
      <c r="A977" s="84"/>
      <c r="B977" s="39"/>
      <c r="C977" s="40"/>
      <c r="D977" s="41"/>
      <c r="E977" s="40"/>
      <c r="F977" s="41"/>
      <c r="G977" s="183"/>
      <c r="H977" s="38"/>
      <c r="I977" s="42"/>
      <c r="J977" s="42"/>
      <c r="K977" s="43"/>
      <c r="L977" s="43"/>
      <c r="M977" s="44" t="str">
        <f>IF(LayTable[[#This Row],[Sport]]="","",LayTable[[#This Row],[LayInnsats]]*(LayTable[[#This Row],[LayOdds]]-1))</f>
        <v/>
      </c>
      <c r="N977" s="45" t="str">
        <f>IF(LayTable[[#This Row],[Sport]]="","",1/((1/LayTable[[#This Row],[BookieOdds]])+(1/((1/((1+((LayTable[[#This Row],[LayOdds]]-1)*(1+LayTable[[#This Row],[C% Lay]])))-1))+1)))-1)</f>
        <v/>
      </c>
      <c r="Q977" s="46" t="str">
        <f>IF(LayTable[[#This Row],[Sport]]="","",LayTable[[#This Row],[BookieInnsats]]+LayTable[[#This Row],[LayLiability]])</f>
        <v/>
      </c>
      <c r="R9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7" s="47" t="str">
        <f>IF(LayTable[[#This Row],[Utfall bookie]]="","",LayTable[[#This Row],[WBABack]]+LayTable[[#This Row],[WBALay]]-LayTable[[#This Row],[Total inns]])</f>
        <v/>
      </c>
      <c r="U9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7" s="48" t="str">
        <f>IFERROR(IF(LayTable[[#This Row],[Total inns]]="","",LayTable[[#This Row],[Rback]]/LayTable[[#This Row],[Total inns]]),"")</f>
        <v/>
      </c>
      <c r="X977" s="48" t="str">
        <f>IFERROR(IF(LayTable[[#This Row],[Total inns]]="","",LayTable[[#This Row],[Rlay]]/LayTable[[#This Row],[Total inns]]),"")</f>
        <v/>
      </c>
      <c r="Y977" s="48" t="str">
        <f>IFERROR(LayTable[[#This Row],[Faktisk res]]/LayTable[[#This Row],[Total inns]],"")</f>
        <v/>
      </c>
      <c r="Z977" s="47">
        <f>(LayTable[[#This Row],[BookieInnsats]]*LayTable[[#This Row],[BookieOdds]]-LayTable[[#This Row],[BookieInnsats]])*(1-LayTable[[#This Row],[C% Bookie]])</f>
        <v>0</v>
      </c>
      <c r="AA977" s="43">
        <f>LayTable[[#This Row],[LayInnsats]]*(1-LayTable[[#This Row],[C% Lay]])</f>
        <v>0</v>
      </c>
      <c r="AB977" s="43" t="str">
        <f>IFERROR(IF(LayTable[[#This Row],[Sport]]="",AB976,LayTable[[#This Row],[Faktisk res]]+AB976),"")</f>
        <v/>
      </c>
      <c r="AC977" s="43">
        <f>(LayTable[[#This Row],[BackWin-Commission]]+LayTable[[#This Row],[BookieInnsats]])</f>
        <v>0</v>
      </c>
      <c r="AD977" s="43" t="e">
        <f>(LayTable[[#This Row],[LayWin-Commission]])+LayTable[[#This Row],[LayLiability]]</f>
        <v>#VALUE!</v>
      </c>
      <c r="AE977" s="43"/>
      <c r="AF977" s="181"/>
    </row>
    <row r="978" spans="1:32">
      <c r="A978" s="84"/>
      <c r="B978" s="39"/>
      <c r="C978" s="40"/>
      <c r="D978" s="41"/>
      <c r="E978" s="40"/>
      <c r="F978" s="41"/>
      <c r="G978" s="183"/>
      <c r="H978" s="38"/>
      <c r="I978" s="42"/>
      <c r="J978" s="42"/>
      <c r="K978" s="43"/>
      <c r="L978" s="43"/>
      <c r="M978" s="44" t="str">
        <f>IF(LayTable[[#This Row],[Sport]]="","",LayTable[[#This Row],[LayInnsats]]*(LayTable[[#This Row],[LayOdds]]-1))</f>
        <v/>
      </c>
      <c r="N978" s="45" t="str">
        <f>IF(LayTable[[#This Row],[Sport]]="","",1/((1/LayTable[[#This Row],[BookieOdds]])+(1/((1/((1+((LayTable[[#This Row],[LayOdds]]-1)*(1+LayTable[[#This Row],[C% Lay]])))-1))+1)))-1)</f>
        <v/>
      </c>
      <c r="Q978" s="46" t="str">
        <f>IF(LayTable[[#This Row],[Sport]]="","",LayTable[[#This Row],[BookieInnsats]]+LayTable[[#This Row],[LayLiability]])</f>
        <v/>
      </c>
      <c r="R9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8" s="47" t="str">
        <f>IF(LayTable[[#This Row],[Utfall bookie]]="","",LayTable[[#This Row],[WBABack]]+LayTable[[#This Row],[WBALay]]-LayTable[[#This Row],[Total inns]])</f>
        <v/>
      </c>
      <c r="U9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8" s="48" t="str">
        <f>IFERROR(IF(LayTable[[#This Row],[Total inns]]="","",LayTable[[#This Row],[Rback]]/LayTable[[#This Row],[Total inns]]),"")</f>
        <v/>
      </c>
      <c r="X978" s="48" t="str">
        <f>IFERROR(IF(LayTable[[#This Row],[Total inns]]="","",LayTable[[#This Row],[Rlay]]/LayTable[[#This Row],[Total inns]]),"")</f>
        <v/>
      </c>
      <c r="Y978" s="48" t="str">
        <f>IFERROR(LayTable[[#This Row],[Faktisk res]]/LayTable[[#This Row],[Total inns]],"")</f>
        <v/>
      </c>
      <c r="Z978" s="47">
        <f>(LayTable[[#This Row],[BookieInnsats]]*LayTable[[#This Row],[BookieOdds]]-LayTable[[#This Row],[BookieInnsats]])*(1-LayTable[[#This Row],[C% Bookie]])</f>
        <v>0</v>
      </c>
      <c r="AA978" s="43">
        <f>LayTable[[#This Row],[LayInnsats]]*(1-LayTable[[#This Row],[C% Lay]])</f>
        <v>0</v>
      </c>
      <c r="AB978" s="43" t="str">
        <f>IFERROR(IF(LayTable[[#This Row],[Sport]]="",AB977,LayTable[[#This Row],[Faktisk res]]+AB977),"")</f>
        <v/>
      </c>
      <c r="AC978" s="43">
        <f>(LayTable[[#This Row],[BackWin-Commission]]+LayTable[[#This Row],[BookieInnsats]])</f>
        <v>0</v>
      </c>
      <c r="AD978" s="43" t="e">
        <f>(LayTable[[#This Row],[LayWin-Commission]])+LayTable[[#This Row],[LayLiability]]</f>
        <v>#VALUE!</v>
      </c>
      <c r="AE978" s="43"/>
      <c r="AF978" s="181"/>
    </row>
    <row r="979" spans="1:32">
      <c r="A979" s="84"/>
      <c r="B979" s="39"/>
      <c r="C979" s="40"/>
      <c r="D979" s="41"/>
      <c r="E979" s="40"/>
      <c r="F979" s="41"/>
      <c r="G979" s="183"/>
      <c r="H979" s="38"/>
      <c r="I979" s="42"/>
      <c r="J979" s="42"/>
      <c r="K979" s="43"/>
      <c r="L979" s="43"/>
      <c r="M979" s="44" t="str">
        <f>IF(LayTable[[#This Row],[Sport]]="","",LayTable[[#This Row],[LayInnsats]]*(LayTable[[#This Row],[LayOdds]]-1))</f>
        <v/>
      </c>
      <c r="N979" s="45" t="str">
        <f>IF(LayTable[[#This Row],[Sport]]="","",1/((1/LayTable[[#This Row],[BookieOdds]])+(1/((1/((1+((LayTable[[#This Row],[LayOdds]]-1)*(1+LayTable[[#This Row],[C% Lay]])))-1))+1)))-1)</f>
        <v/>
      </c>
      <c r="Q979" s="46" t="str">
        <f>IF(LayTable[[#This Row],[Sport]]="","",LayTable[[#This Row],[BookieInnsats]]+LayTable[[#This Row],[LayLiability]])</f>
        <v/>
      </c>
      <c r="R9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79" s="47" t="str">
        <f>IF(LayTable[[#This Row],[Utfall bookie]]="","",LayTable[[#This Row],[WBABack]]+LayTable[[#This Row],[WBALay]]-LayTable[[#This Row],[Total inns]])</f>
        <v/>
      </c>
      <c r="U9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79" s="48" t="str">
        <f>IFERROR(IF(LayTable[[#This Row],[Total inns]]="","",LayTable[[#This Row],[Rback]]/LayTable[[#This Row],[Total inns]]),"")</f>
        <v/>
      </c>
      <c r="X979" s="48" t="str">
        <f>IFERROR(IF(LayTable[[#This Row],[Total inns]]="","",LayTable[[#This Row],[Rlay]]/LayTable[[#This Row],[Total inns]]),"")</f>
        <v/>
      </c>
      <c r="Y979" s="48" t="str">
        <f>IFERROR(LayTable[[#This Row],[Faktisk res]]/LayTable[[#This Row],[Total inns]],"")</f>
        <v/>
      </c>
      <c r="Z979" s="47">
        <f>(LayTable[[#This Row],[BookieInnsats]]*LayTable[[#This Row],[BookieOdds]]-LayTable[[#This Row],[BookieInnsats]])*(1-LayTable[[#This Row],[C% Bookie]])</f>
        <v>0</v>
      </c>
      <c r="AA979" s="43">
        <f>LayTable[[#This Row],[LayInnsats]]*(1-LayTable[[#This Row],[C% Lay]])</f>
        <v>0</v>
      </c>
      <c r="AB979" s="43" t="str">
        <f>IFERROR(IF(LayTable[[#This Row],[Sport]]="",AB978,LayTable[[#This Row],[Faktisk res]]+AB978),"")</f>
        <v/>
      </c>
      <c r="AC979" s="43">
        <f>(LayTable[[#This Row],[BackWin-Commission]]+LayTable[[#This Row],[BookieInnsats]])</f>
        <v>0</v>
      </c>
      <c r="AD979" s="43" t="e">
        <f>(LayTable[[#This Row],[LayWin-Commission]])+LayTable[[#This Row],[LayLiability]]</f>
        <v>#VALUE!</v>
      </c>
      <c r="AE979" s="43"/>
      <c r="AF979" s="181"/>
    </row>
    <row r="980" spans="1:32">
      <c r="A980" s="84"/>
      <c r="B980" s="39"/>
      <c r="C980" s="40"/>
      <c r="D980" s="41"/>
      <c r="E980" s="40"/>
      <c r="F980" s="41"/>
      <c r="G980" s="183"/>
      <c r="H980" s="38"/>
      <c r="I980" s="42"/>
      <c r="J980" s="42"/>
      <c r="K980" s="43"/>
      <c r="L980" s="43"/>
      <c r="M980" s="44" t="str">
        <f>IF(LayTable[[#This Row],[Sport]]="","",LayTable[[#This Row],[LayInnsats]]*(LayTable[[#This Row],[LayOdds]]-1))</f>
        <v/>
      </c>
      <c r="N980" s="45" t="str">
        <f>IF(LayTable[[#This Row],[Sport]]="","",1/((1/LayTable[[#This Row],[BookieOdds]])+(1/((1/((1+((LayTable[[#This Row],[LayOdds]]-1)*(1+LayTable[[#This Row],[C% Lay]])))-1))+1)))-1)</f>
        <v/>
      </c>
      <c r="Q980" s="46" t="str">
        <f>IF(LayTable[[#This Row],[Sport]]="","",LayTable[[#This Row],[BookieInnsats]]+LayTable[[#This Row],[LayLiability]])</f>
        <v/>
      </c>
      <c r="R9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0" s="47" t="str">
        <f>IF(LayTable[[#This Row],[Utfall bookie]]="","",LayTable[[#This Row],[WBABack]]+LayTable[[#This Row],[WBALay]]-LayTable[[#This Row],[Total inns]])</f>
        <v/>
      </c>
      <c r="U9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0" s="48" t="str">
        <f>IFERROR(IF(LayTable[[#This Row],[Total inns]]="","",LayTable[[#This Row],[Rback]]/LayTable[[#This Row],[Total inns]]),"")</f>
        <v/>
      </c>
      <c r="X980" s="48" t="str">
        <f>IFERROR(IF(LayTable[[#This Row],[Total inns]]="","",LayTable[[#This Row],[Rlay]]/LayTable[[#This Row],[Total inns]]),"")</f>
        <v/>
      </c>
      <c r="Y980" s="48" t="str">
        <f>IFERROR(LayTable[[#This Row],[Faktisk res]]/LayTable[[#This Row],[Total inns]],"")</f>
        <v/>
      </c>
      <c r="Z980" s="47">
        <f>(LayTable[[#This Row],[BookieInnsats]]*LayTable[[#This Row],[BookieOdds]]-LayTable[[#This Row],[BookieInnsats]])*(1-LayTable[[#This Row],[C% Bookie]])</f>
        <v>0</v>
      </c>
      <c r="AA980" s="43">
        <f>LayTable[[#This Row],[LayInnsats]]*(1-LayTable[[#This Row],[C% Lay]])</f>
        <v>0</v>
      </c>
      <c r="AB980" s="43" t="str">
        <f>IFERROR(IF(LayTable[[#This Row],[Sport]]="",AB979,LayTable[[#This Row],[Faktisk res]]+AB979),"")</f>
        <v/>
      </c>
      <c r="AC980" s="43">
        <f>(LayTable[[#This Row],[BackWin-Commission]]+LayTable[[#This Row],[BookieInnsats]])</f>
        <v>0</v>
      </c>
      <c r="AD980" s="43" t="e">
        <f>(LayTable[[#This Row],[LayWin-Commission]])+LayTable[[#This Row],[LayLiability]]</f>
        <v>#VALUE!</v>
      </c>
      <c r="AE980" s="43"/>
      <c r="AF980" s="181"/>
    </row>
    <row r="981" spans="1:32">
      <c r="A981" s="84"/>
      <c r="B981" s="39"/>
      <c r="C981" s="40"/>
      <c r="D981" s="41"/>
      <c r="E981" s="40"/>
      <c r="F981" s="41"/>
      <c r="G981" s="183"/>
      <c r="H981" s="38"/>
      <c r="I981" s="42"/>
      <c r="J981" s="42"/>
      <c r="K981" s="43"/>
      <c r="L981" s="43"/>
      <c r="M981" s="44" t="str">
        <f>IF(LayTable[[#This Row],[Sport]]="","",LayTable[[#This Row],[LayInnsats]]*(LayTable[[#This Row],[LayOdds]]-1))</f>
        <v/>
      </c>
      <c r="N981" s="45" t="str">
        <f>IF(LayTable[[#This Row],[Sport]]="","",1/((1/LayTable[[#This Row],[BookieOdds]])+(1/((1/((1+((LayTable[[#This Row],[LayOdds]]-1)*(1+LayTable[[#This Row],[C% Lay]])))-1))+1)))-1)</f>
        <v/>
      </c>
      <c r="Q981" s="46" t="str">
        <f>IF(LayTable[[#This Row],[Sport]]="","",LayTable[[#This Row],[BookieInnsats]]+LayTable[[#This Row],[LayLiability]])</f>
        <v/>
      </c>
      <c r="R9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1" s="47" t="str">
        <f>IF(LayTable[[#This Row],[Utfall bookie]]="","",LayTable[[#This Row],[WBABack]]+LayTable[[#This Row],[WBALay]]-LayTable[[#This Row],[Total inns]])</f>
        <v/>
      </c>
      <c r="U9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1" s="48" t="str">
        <f>IFERROR(IF(LayTable[[#This Row],[Total inns]]="","",LayTable[[#This Row],[Rback]]/LayTable[[#This Row],[Total inns]]),"")</f>
        <v/>
      </c>
      <c r="X981" s="48" t="str">
        <f>IFERROR(IF(LayTable[[#This Row],[Total inns]]="","",LayTable[[#This Row],[Rlay]]/LayTable[[#This Row],[Total inns]]),"")</f>
        <v/>
      </c>
      <c r="Y981" s="48" t="str">
        <f>IFERROR(LayTable[[#This Row],[Faktisk res]]/LayTable[[#This Row],[Total inns]],"")</f>
        <v/>
      </c>
      <c r="Z981" s="47">
        <f>(LayTable[[#This Row],[BookieInnsats]]*LayTable[[#This Row],[BookieOdds]]-LayTable[[#This Row],[BookieInnsats]])*(1-LayTable[[#This Row],[C% Bookie]])</f>
        <v>0</v>
      </c>
      <c r="AA981" s="43">
        <f>LayTable[[#This Row],[LayInnsats]]*(1-LayTable[[#This Row],[C% Lay]])</f>
        <v>0</v>
      </c>
      <c r="AB981" s="43" t="str">
        <f>IFERROR(IF(LayTable[[#This Row],[Sport]]="",AB980,LayTable[[#This Row],[Faktisk res]]+AB980),"")</f>
        <v/>
      </c>
      <c r="AC981" s="43">
        <f>(LayTable[[#This Row],[BackWin-Commission]]+LayTable[[#This Row],[BookieInnsats]])</f>
        <v>0</v>
      </c>
      <c r="AD981" s="43" t="e">
        <f>(LayTable[[#This Row],[LayWin-Commission]])+LayTable[[#This Row],[LayLiability]]</f>
        <v>#VALUE!</v>
      </c>
      <c r="AE981" s="43"/>
      <c r="AF981" s="181"/>
    </row>
    <row r="982" spans="1:32">
      <c r="A982" s="84"/>
      <c r="B982" s="39"/>
      <c r="C982" s="40"/>
      <c r="D982" s="41"/>
      <c r="E982" s="40"/>
      <c r="F982" s="41"/>
      <c r="G982" s="183"/>
      <c r="H982" s="38"/>
      <c r="I982" s="42"/>
      <c r="J982" s="42"/>
      <c r="K982" s="43"/>
      <c r="L982" s="43"/>
      <c r="M982" s="44" t="str">
        <f>IF(LayTable[[#This Row],[Sport]]="","",LayTable[[#This Row],[LayInnsats]]*(LayTable[[#This Row],[LayOdds]]-1))</f>
        <v/>
      </c>
      <c r="N982" s="45" t="str">
        <f>IF(LayTable[[#This Row],[Sport]]="","",1/((1/LayTable[[#This Row],[BookieOdds]])+(1/((1/((1+((LayTable[[#This Row],[LayOdds]]-1)*(1+LayTable[[#This Row],[C% Lay]])))-1))+1)))-1)</f>
        <v/>
      </c>
      <c r="Q982" s="46" t="str">
        <f>IF(LayTable[[#This Row],[Sport]]="","",LayTable[[#This Row],[BookieInnsats]]+LayTable[[#This Row],[LayLiability]])</f>
        <v/>
      </c>
      <c r="R9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2" s="47" t="str">
        <f>IF(LayTable[[#This Row],[Utfall bookie]]="","",LayTable[[#This Row],[WBABack]]+LayTable[[#This Row],[WBALay]]-LayTable[[#This Row],[Total inns]])</f>
        <v/>
      </c>
      <c r="U9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2" s="48" t="str">
        <f>IFERROR(IF(LayTable[[#This Row],[Total inns]]="","",LayTable[[#This Row],[Rback]]/LayTable[[#This Row],[Total inns]]),"")</f>
        <v/>
      </c>
      <c r="X982" s="48" t="str">
        <f>IFERROR(IF(LayTable[[#This Row],[Total inns]]="","",LayTable[[#This Row],[Rlay]]/LayTable[[#This Row],[Total inns]]),"")</f>
        <v/>
      </c>
      <c r="Y982" s="48" t="str">
        <f>IFERROR(LayTable[[#This Row],[Faktisk res]]/LayTable[[#This Row],[Total inns]],"")</f>
        <v/>
      </c>
      <c r="Z982" s="47">
        <f>(LayTable[[#This Row],[BookieInnsats]]*LayTable[[#This Row],[BookieOdds]]-LayTable[[#This Row],[BookieInnsats]])*(1-LayTable[[#This Row],[C% Bookie]])</f>
        <v>0</v>
      </c>
      <c r="AA982" s="43">
        <f>LayTable[[#This Row],[LayInnsats]]*(1-LayTable[[#This Row],[C% Lay]])</f>
        <v>0</v>
      </c>
      <c r="AB982" s="43" t="str">
        <f>IFERROR(IF(LayTable[[#This Row],[Sport]]="",AB981,LayTable[[#This Row],[Faktisk res]]+AB981),"")</f>
        <v/>
      </c>
      <c r="AC982" s="43">
        <f>(LayTable[[#This Row],[BackWin-Commission]]+LayTable[[#This Row],[BookieInnsats]])</f>
        <v>0</v>
      </c>
      <c r="AD982" s="43" t="e">
        <f>(LayTable[[#This Row],[LayWin-Commission]])+LayTable[[#This Row],[LayLiability]]</f>
        <v>#VALUE!</v>
      </c>
      <c r="AE982" s="43"/>
      <c r="AF982" s="181"/>
    </row>
    <row r="983" spans="1:32">
      <c r="A983" s="84"/>
      <c r="B983" s="39"/>
      <c r="C983" s="40"/>
      <c r="D983" s="41"/>
      <c r="E983" s="40"/>
      <c r="F983" s="41"/>
      <c r="G983" s="183"/>
      <c r="H983" s="38"/>
      <c r="I983" s="42"/>
      <c r="J983" s="42"/>
      <c r="K983" s="43"/>
      <c r="L983" s="43"/>
      <c r="M983" s="44" t="str">
        <f>IF(LayTable[[#This Row],[Sport]]="","",LayTable[[#This Row],[LayInnsats]]*(LayTable[[#This Row],[LayOdds]]-1))</f>
        <v/>
      </c>
      <c r="N983" s="45" t="str">
        <f>IF(LayTable[[#This Row],[Sport]]="","",1/((1/LayTable[[#This Row],[BookieOdds]])+(1/((1/((1+((LayTable[[#This Row],[LayOdds]]-1)*(1+LayTable[[#This Row],[C% Lay]])))-1))+1)))-1)</f>
        <v/>
      </c>
      <c r="Q983" s="46" t="str">
        <f>IF(LayTable[[#This Row],[Sport]]="","",LayTable[[#This Row],[BookieInnsats]]+LayTable[[#This Row],[LayLiability]])</f>
        <v/>
      </c>
      <c r="R9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3" s="47" t="str">
        <f>IF(LayTable[[#This Row],[Utfall bookie]]="","",LayTable[[#This Row],[WBABack]]+LayTable[[#This Row],[WBALay]]-LayTable[[#This Row],[Total inns]])</f>
        <v/>
      </c>
      <c r="U9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3" s="48" t="str">
        <f>IFERROR(IF(LayTable[[#This Row],[Total inns]]="","",LayTable[[#This Row],[Rback]]/LayTable[[#This Row],[Total inns]]),"")</f>
        <v/>
      </c>
      <c r="X983" s="48" t="str">
        <f>IFERROR(IF(LayTable[[#This Row],[Total inns]]="","",LayTable[[#This Row],[Rlay]]/LayTable[[#This Row],[Total inns]]),"")</f>
        <v/>
      </c>
      <c r="Y983" s="48" t="str">
        <f>IFERROR(LayTable[[#This Row],[Faktisk res]]/LayTable[[#This Row],[Total inns]],"")</f>
        <v/>
      </c>
      <c r="Z983" s="47">
        <f>(LayTable[[#This Row],[BookieInnsats]]*LayTable[[#This Row],[BookieOdds]]-LayTable[[#This Row],[BookieInnsats]])*(1-LayTable[[#This Row],[C% Bookie]])</f>
        <v>0</v>
      </c>
      <c r="AA983" s="43">
        <f>LayTable[[#This Row],[LayInnsats]]*(1-LayTable[[#This Row],[C% Lay]])</f>
        <v>0</v>
      </c>
      <c r="AB983" s="43" t="str">
        <f>IFERROR(IF(LayTable[[#This Row],[Sport]]="",AB982,LayTable[[#This Row],[Faktisk res]]+AB982),"")</f>
        <v/>
      </c>
      <c r="AC983" s="43">
        <f>(LayTable[[#This Row],[BackWin-Commission]]+LayTable[[#This Row],[BookieInnsats]])</f>
        <v>0</v>
      </c>
      <c r="AD983" s="43" t="e">
        <f>(LayTable[[#This Row],[LayWin-Commission]])+LayTable[[#This Row],[LayLiability]]</f>
        <v>#VALUE!</v>
      </c>
      <c r="AE983" s="43"/>
      <c r="AF983" s="181"/>
    </row>
    <row r="984" spans="1:32">
      <c r="A984" s="84"/>
      <c r="B984" s="39"/>
      <c r="C984" s="40"/>
      <c r="D984" s="41"/>
      <c r="E984" s="40"/>
      <c r="F984" s="41"/>
      <c r="G984" s="183"/>
      <c r="H984" s="38"/>
      <c r="I984" s="42"/>
      <c r="J984" s="42"/>
      <c r="K984" s="43"/>
      <c r="L984" s="43"/>
      <c r="M984" s="44" t="str">
        <f>IF(LayTable[[#This Row],[Sport]]="","",LayTable[[#This Row],[LayInnsats]]*(LayTable[[#This Row],[LayOdds]]-1))</f>
        <v/>
      </c>
      <c r="N984" s="45" t="str">
        <f>IF(LayTable[[#This Row],[Sport]]="","",1/((1/LayTable[[#This Row],[BookieOdds]])+(1/((1/((1+((LayTable[[#This Row],[LayOdds]]-1)*(1+LayTable[[#This Row],[C% Lay]])))-1))+1)))-1)</f>
        <v/>
      </c>
      <c r="Q984" s="46" t="str">
        <f>IF(LayTable[[#This Row],[Sport]]="","",LayTable[[#This Row],[BookieInnsats]]+LayTable[[#This Row],[LayLiability]])</f>
        <v/>
      </c>
      <c r="R9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4" s="47" t="str">
        <f>IF(LayTable[[#This Row],[Utfall bookie]]="","",LayTable[[#This Row],[WBABack]]+LayTable[[#This Row],[WBALay]]-LayTable[[#This Row],[Total inns]])</f>
        <v/>
      </c>
      <c r="U9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4" s="48" t="str">
        <f>IFERROR(IF(LayTable[[#This Row],[Total inns]]="","",LayTable[[#This Row],[Rback]]/LayTable[[#This Row],[Total inns]]),"")</f>
        <v/>
      </c>
      <c r="X984" s="48" t="str">
        <f>IFERROR(IF(LayTable[[#This Row],[Total inns]]="","",LayTable[[#This Row],[Rlay]]/LayTable[[#This Row],[Total inns]]),"")</f>
        <v/>
      </c>
      <c r="Y984" s="48" t="str">
        <f>IFERROR(LayTable[[#This Row],[Faktisk res]]/LayTable[[#This Row],[Total inns]],"")</f>
        <v/>
      </c>
      <c r="Z984" s="47">
        <f>(LayTable[[#This Row],[BookieInnsats]]*LayTable[[#This Row],[BookieOdds]]-LayTable[[#This Row],[BookieInnsats]])*(1-LayTable[[#This Row],[C% Bookie]])</f>
        <v>0</v>
      </c>
      <c r="AA984" s="43">
        <f>LayTable[[#This Row],[LayInnsats]]*(1-LayTable[[#This Row],[C% Lay]])</f>
        <v>0</v>
      </c>
      <c r="AB984" s="43" t="str">
        <f>IFERROR(IF(LayTable[[#This Row],[Sport]]="",AB983,LayTable[[#This Row],[Faktisk res]]+AB983),"")</f>
        <v/>
      </c>
      <c r="AC984" s="43">
        <f>(LayTable[[#This Row],[BackWin-Commission]]+LayTable[[#This Row],[BookieInnsats]])</f>
        <v>0</v>
      </c>
      <c r="AD984" s="43" t="e">
        <f>(LayTable[[#This Row],[LayWin-Commission]])+LayTable[[#This Row],[LayLiability]]</f>
        <v>#VALUE!</v>
      </c>
      <c r="AE984" s="43"/>
      <c r="AF984" s="181"/>
    </row>
    <row r="985" spans="1:32">
      <c r="A985" s="84"/>
      <c r="B985" s="39"/>
      <c r="C985" s="40"/>
      <c r="D985" s="41"/>
      <c r="E985" s="40"/>
      <c r="F985" s="41"/>
      <c r="G985" s="183"/>
      <c r="H985" s="38"/>
      <c r="I985" s="42"/>
      <c r="J985" s="42"/>
      <c r="K985" s="43"/>
      <c r="L985" s="43"/>
      <c r="M985" s="44" t="str">
        <f>IF(LayTable[[#This Row],[Sport]]="","",LayTable[[#This Row],[LayInnsats]]*(LayTable[[#This Row],[LayOdds]]-1))</f>
        <v/>
      </c>
      <c r="N985" s="45" t="str">
        <f>IF(LayTable[[#This Row],[Sport]]="","",1/((1/LayTable[[#This Row],[BookieOdds]])+(1/((1/((1+((LayTable[[#This Row],[LayOdds]]-1)*(1+LayTable[[#This Row],[C% Lay]])))-1))+1)))-1)</f>
        <v/>
      </c>
      <c r="Q985" s="46" t="str">
        <f>IF(LayTable[[#This Row],[Sport]]="","",LayTable[[#This Row],[BookieInnsats]]+LayTable[[#This Row],[LayLiability]])</f>
        <v/>
      </c>
      <c r="R9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5" s="47" t="str">
        <f>IF(LayTable[[#This Row],[Utfall bookie]]="","",LayTable[[#This Row],[WBABack]]+LayTable[[#This Row],[WBALay]]-LayTable[[#This Row],[Total inns]])</f>
        <v/>
      </c>
      <c r="U9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5" s="48" t="str">
        <f>IFERROR(IF(LayTable[[#This Row],[Total inns]]="","",LayTable[[#This Row],[Rback]]/LayTable[[#This Row],[Total inns]]),"")</f>
        <v/>
      </c>
      <c r="X985" s="48" t="str">
        <f>IFERROR(IF(LayTable[[#This Row],[Total inns]]="","",LayTable[[#This Row],[Rlay]]/LayTable[[#This Row],[Total inns]]),"")</f>
        <v/>
      </c>
      <c r="Y985" s="48" t="str">
        <f>IFERROR(LayTable[[#This Row],[Faktisk res]]/LayTable[[#This Row],[Total inns]],"")</f>
        <v/>
      </c>
      <c r="Z985" s="47">
        <f>(LayTable[[#This Row],[BookieInnsats]]*LayTable[[#This Row],[BookieOdds]]-LayTable[[#This Row],[BookieInnsats]])*(1-LayTable[[#This Row],[C% Bookie]])</f>
        <v>0</v>
      </c>
      <c r="AA985" s="43">
        <f>LayTable[[#This Row],[LayInnsats]]*(1-LayTable[[#This Row],[C% Lay]])</f>
        <v>0</v>
      </c>
      <c r="AB985" s="43" t="str">
        <f>IFERROR(IF(LayTable[[#This Row],[Sport]]="",AB984,LayTable[[#This Row],[Faktisk res]]+AB984),"")</f>
        <v/>
      </c>
      <c r="AC985" s="43">
        <f>(LayTable[[#This Row],[BackWin-Commission]]+LayTable[[#This Row],[BookieInnsats]])</f>
        <v>0</v>
      </c>
      <c r="AD985" s="43" t="e">
        <f>(LayTable[[#This Row],[LayWin-Commission]])+LayTable[[#This Row],[LayLiability]]</f>
        <v>#VALUE!</v>
      </c>
      <c r="AE985" s="43"/>
      <c r="AF985" s="181"/>
    </row>
    <row r="986" spans="1:32">
      <c r="A986" s="84"/>
      <c r="B986" s="39"/>
      <c r="C986" s="40"/>
      <c r="D986" s="41"/>
      <c r="E986" s="40"/>
      <c r="F986" s="41"/>
      <c r="G986" s="183"/>
      <c r="H986" s="38"/>
      <c r="I986" s="42"/>
      <c r="J986" s="42"/>
      <c r="K986" s="43"/>
      <c r="L986" s="43"/>
      <c r="M986" s="44" t="str">
        <f>IF(LayTable[[#This Row],[Sport]]="","",LayTable[[#This Row],[LayInnsats]]*(LayTable[[#This Row],[LayOdds]]-1))</f>
        <v/>
      </c>
      <c r="N986" s="45" t="str">
        <f>IF(LayTable[[#This Row],[Sport]]="","",1/((1/LayTable[[#This Row],[BookieOdds]])+(1/((1/((1+((LayTable[[#This Row],[LayOdds]]-1)*(1+LayTable[[#This Row],[C% Lay]])))-1))+1)))-1)</f>
        <v/>
      </c>
      <c r="Q986" s="46" t="str">
        <f>IF(LayTable[[#This Row],[Sport]]="","",LayTable[[#This Row],[BookieInnsats]]+LayTable[[#This Row],[LayLiability]])</f>
        <v/>
      </c>
      <c r="R9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6" s="47" t="str">
        <f>IF(LayTable[[#This Row],[Utfall bookie]]="","",LayTable[[#This Row],[WBABack]]+LayTable[[#This Row],[WBALay]]-LayTable[[#This Row],[Total inns]])</f>
        <v/>
      </c>
      <c r="U9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6" s="48" t="str">
        <f>IFERROR(IF(LayTable[[#This Row],[Total inns]]="","",LayTable[[#This Row],[Rback]]/LayTable[[#This Row],[Total inns]]),"")</f>
        <v/>
      </c>
      <c r="X986" s="48" t="str">
        <f>IFERROR(IF(LayTable[[#This Row],[Total inns]]="","",LayTable[[#This Row],[Rlay]]/LayTable[[#This Row],[Total inns]]),"")</f>
        <v/>
      </c>
      <c r="Y986" s="48" t="str">
        <f>IFERROR(LayTable[[#This Row],[Faktisk res]]/LayTable[[#This Row],[Total inns]],"")</f>
        <v/>
      </c>
      <c r="Z986" s="47">
        <f>(LayTable[[#This Row],[BookieInnsats]]*LayTable[[#This Row],[BookieOdds]]-LayTable[[#This Row],[BookieInnsats]])*(1-LayTable[[#This Row],[C% Bookie]])</f>
        <v>0</v>
      </c>
      <c r="AA986" s="43">
        <f>LayTable[[#This Row],[LayInnsats]]*(1-LayTable[[#This Row],[C% Lay]])</f>
        <v>0</v>
      </c>
      <c r="AB986" s="43" t="str">
        <f>IFERROR(IF(LayTable[[#This Row],[Sport]]="",AB985,LayTable[[#This Row],[Faktisk res]]+AB985),"")</f>
        <v/>
      </c>
      <c r="AC986" s="43">
        <f>(LayTable[[#This Row],[BackWin-Commission]]+LayTable[[#This Row],[BookieInnsats]])</f>
        <v>0</v>
      </c>
      <c r="AD986" s="43" t="e">
        <f>(LayTable[[#This Row],[LayWin-Commission]])+LayTable[[#This Row],[LayLiability]]</f>
        <v>#VALUE!</v>
      </c>
      <c r="AE986" s="43"/>
      <c r="AF986" s="181"/>
    </row>
    <row r="987" spans="1:32">
      <c r="A987" s="84"/>
      <c r="B987" s="39"/>
      <c r="C987" s="40"/>
      <c r="D987" s="41"/>
      <c r="E987" s="40"/>
      <c r="F987" s="41"/>
      <c r="G987" s="183"/>
      <c r="H987" s="38"/>
      <c r="I987" s="42"/>
      <c r="J987" s="42"/>
      <c r="K987" s="43"/>
      <c r="L987" s="43"/>
      <c r="M987" s="44" t="str">
        <f>IF(LayTable[[#This Row],[Sport]]="","",LayTable[[#This Row],[LayInnsats]]*(LayTable[[#This Row],[LayOdds]]-1))</f>
        <v/>
      </c>
      <c r="N987" s="45" t="str">
        <f>IF(LayTable[[#This Row],[Sport]]="","",1/((1/LayTable[[#This Row],[BookieOdds]])+(1/((1/((1+((LayTable[[#This Row],[LayOdds]]-1)*(1+LayTable[[#This Row],[C% Lay]])))-1))+1)))-1)</f>
        <v/>
      </c>
      <c r="Q987" s="46" t="str">
        <f>IF(LayTable[[#This Row],[Sport]]="","",LayTable[[#This Row],[BookieInnsats]]+LayTable[[#This Row],[LayLiability]])</f>
        <v/>
      </c>
      <c r="R9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7" s="47" t="str">
        <f>IF(LayTable[[#This Row],[Utfall bookie]]="","",LayTable[[#This Row],[WBABack]]+LayTable[[#This Row],[WBALay]]-LayTable[[#This Row],[Total inns]])</f>
        <v/>
      </c>
      <c r="U9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7" s="48" t="str">
        <f>IFERROR(IF(LayTable[[#This Row],[Total inns]]="","",LayTable[[#This Row],[Rback]]/LayTable[[#This Row],[Total inns]]),"")</f>
        <v/>
      </c>
      <c r="X987" s="48" t="str">
        <f>IFERROR(IF(LayTable[[#This Row],[Total inns]]="","",LayTable[[#This Row],[Rlay]]/LayTable[[#This Row],[Total inns]]),"")</f>
        <v/>
      </c>
      <c r="Y987" s="48" t="str">
        <f>IFERROR(LayTable[[#This Row],[Faktisk res]]/LayTable[[#This Row],[Total inns]],"")</f>
        <v/>
      </c>
      <c r="Z987" s="47">
        <f>(LayTable[[#This Row],[BookieInnsats]]*LayTable[[#This Row],[BookieOdds]]-LayTable[[#This Row],[BookieInnsats]])*(1-LayTable[[#This Row],[C% Bookie]])</f>
        <v>0</v>
      </c>
      <c r="AA987" s="43">
        <f>LayTable[[#This Row],[LayInnsats]]*(1-LayTable[[#This Row],[C% Lay]])</f>
        <v>0</v>
      </c>
      <c r="AB987" s="43" t="str">
        <f>IFERROR(IF(LayTable[[#This Row],[Sport]]="",AB986,LayTable[[#This Row],[Faktisk res]]+AB986),"")</f>
        <v/>
      </c>
      <c r="AC987" s="43">
        <f>(LayTable[[#This Row],[BackWin-Commission]]+LayTable[[#This Row],[BookieInnsats]])</f>
        <v>0</v>
      </c>
      <c r="AD987" s="43" t="e">
        <f>(LayTable[[#This Row],[LayWin-Commission]])+LayTable[[#This Row],[LayLiability]]</f>
        <v>#VALUE!</v>
      </c>
      <c r="AE987" s="43"/>
      <c r="AF987" s="181"/>
    </row>
    <row r="988" spans="1:32">
      <c r="A988" s="84"/>
      <c r="B988" s="39"/>
      <c r="C988" s="40"/>
      <c r="D988" s="41"/>
      <c r="E988" s="40"/>
      <c r="F988" s="41"/>
      <c r="G988" s="183"/>
      <c r="H988" s="38"/>
      <c r="I988" s="42"/>
      <c r="J988" s="42"/>
      <c r="K988" s="43"/>
      <c r="L988" s="43"/>
      <c r="M988" s="44" t="str">
        <f>IF(LayTable[[#This Row],[Sport]]="","",LayTable[[#This Row],[LayInnsats]]*(LayTable[[#This Row],[LayOdds]]-1))</f>
        <v/>
      </c>
      <c r="N988" s="45" t="str">
        <f>IF(LayTable[[#This Row],[Sport]]="","",1/((1/LayTable[[#This Row],[BookieOdds]])+(1/((1/((1+((LayTable[[#This Row],[LayOdds]]-1)*(1+LayTable[[#This Row],[C% Lay]])))-1))+1)))-1)</f>
        <v/>
      </c>
      <c r="Q988" s="46" t="str">
        <f>IF(LayTable[[#This Row],[Sport]]="","",LayTable[[#This Row],[BookieInnsats]]+LayTable[[#This Row],[LayLiability]])</f>
        <v/>
      </c>
      <c r="R9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8" s="47" t="str">
        <f>IF(LayTable[[#This Row],[Utfall bookie]]="","",LayTable[[#This Row],[WBABack]]+LayTable[[#This Row],[WBALay]]-LayTable[[#This Row],[Total inns]])</f>
        <v/>
      </c>
      <c r="U9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8" s="48" t="str">
        <f>IFERROR(IF(LayTable[[#This Row],[Total inns]]="","",LayTable[[#This Row],[Rback]]/LayTable[[#This Row],[Total inns]]),"")</f>
        <v/>
      </c>
      <c r="X988" s="48" t="str">
        <f>IFERROR(IF(LayTable[[#This Row],[Total inns]]="","",LayTable[[#This Row],[Rlay]]/LayTable[[#This Row],[Total inns]]),"")</f>
        <v/>
      </c>
      <c r="Y988" s="48" t="str">
        <f>IFERROR(LayTable[[#This Row],[Faktisk res]]/LayTable[[#This Row],[Total inns]],"")</f>
        <v/>
      </c>
      <c r="Z988" s="47">
        <f>(LayTable[[#This Row],[BookieInnsats]]*LayTable[[#This Row],[BookieOdds]]-LayTable[[#This Row],[BookieInnsats]])*(1-LayTable[[#This Row],[C% Bookie]])</f>
        <v>0</v>
      </c>
      <c r="AA988" s="43">
        <f>LayTable[[#This Row],[LayInnsats]]*(1-LayTable[[#This Row],[C% Lay]])</f>
        <v>0</v>
      </c>
      <c r="AB988" s="43" t="str">
        <f>IFERROR(IF(LayTable[[#This Row],[Sport]]="",AB987,LayTable[[#This Row],[Faktisk res]]+AB987),"")</f>
        <v/>
      </c>
      <c r="AC988" s="43">
        <f>(LayTable[[#This Row],[BackWin-Commission]]+LayTable[[#This Row],[BookieInnsats]])</f>
        <v>0</v>
      </c>
      <c r="AD988" s="43" t="e">
        <f>(LayTable[[#This Row],[LayWin-Commission]])+LayTable[[#This Row],[LayLiability]]</f>
        <v>#VALUE!</v>
      </c>
      <c r="AE988" s="43"/>
      <c r="AF988" s="181"/>
    </row>
    <row r="989" spans="1:32">
      <c r="A989" s="84"/>
      <c r="B989" s="39"/>
      <c r="C989" s="40"/>
      <c r="D989" s="41"/>
      <c r="E989" s="40"/>
      <c r="F989" s="41"/>
      <c r="G989" s="183"/>
      <c r="H989" s="38"/>
      <c r="I989" s="42"/>
      <c r="J989" s="42"/>
      <c r="K989" s="43"/>
      <c r="L989" s="43"/>
      <c r="M989" s="44" t="str">
        <f>IF(LayTable[[#This Row],[Sport]]="","",LayTable[[#This Row],[LayInnsats]]*(LayTable[[#This Row],[LayOdds]]-1))</f>
        <v/>
      </c>
      <c r="N989" s="45" t="str">
        <f>IF(LayTable[[#This Row],[Sport]]="","",1/((1/LayTable[[#This Row],[BookieOdds]])+(1/((1/((1+((LayTable[[#This Row],[LayOdds]]-1)*(1+LayTable[[#This Row],[C% Lay]])))-1))+1)))-1)</f>
        <v/>
      </c>
      <c r="Q989" s="46" t="str">
        <f>IF(LayTable[[#This Row],[Sport]]="","",LayTable[[#This Row],[BookieInnsats]]+LayTable[[#This Row],[LayLiability]])</f>
        <v/>
      </c>
      <c r="R9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89" s="47" t="str">
        <f>IF(LayTable[[#This Row],[Utfall bookie]]="","",LayTable[[#This Row],[WBABack]]+LayTable[[#This Row],[WBALay]]-LayTable[[#This Row],[Total inns]])</f>
        <v/>
      </c>
      <c r="U9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89" s="48" t="str">
        <f>IFERROR(IF(LayTable[[#This Row],[Total inns]]="","",LayTable[[#This Row],[Rback]]/LayTable[[#This Row],[Total inns]]),"")</f>
        <v/>
      </c>
      <c r="X989" s="48" t="str">
        <f>IFERROR(IF(LayTable[[#This Row],[Total inns]]="","",LayTable[[#This Row],[Rlay]]/LayTable[[#This Row],[Total inns]]),"")</f>
        <v/>
      </c>
      <c r="Y989" s="48" t="str">
        <f>IFERROR(LayTable[[#This Row],[Faktisk res]]/LayTable[[#This Row],[Total inns]],"")</f>
        <v/>
      </c>
      <c r="Z989" s="47">
        <f>(LayTable[[#This Row],[BookieInnsats]]*LayTable[[#This Row],[BookieOdds]]-LayTable[[#This Row],[BookieInnsats]])*(1-LayTable[[#This Row],[C% Bookie]])</f>
        <v>0</v>
      </c>
      <c r="AA989" s="43">
        <f>LayTable[[#This Row],[LayInnsats]]*(1-LayTable[[#This Row],[C% Lay]])</f>
        <v>0</v>
      </c>
      <c r="AB989" s="43" t="str">
        <f>IFERROR(IF(LayTable[[#This Row],[Sport]]="",AB988,LayTable[[#This Row],[Faktisk res]]+AB988),"")</f>
        <v/>
      </c>
      <c r="AC989" s="43">
        <f>(LayTable[[#This Row],[BackWin-Commission]]+LayTable[[#This Row],[BookieInnsats]])</f>
        <v>0</v>
      </c>
      <c r="AD989" s="43" t="e">
        <f>(LayTable[[#This Row],[LayWin-Commission]])+LayTable[[#This Row],[LayLiability]]</f>
        <v>#VALUE!</v>
      </c>
      <c r="AE989" s="43"/>
      <c r="AF989" s="181"/>
    </row>
    <row r="990" spans="1:32">
      <c r="A990" s="84"/>
      <c r="B990" s="39"/>
      <c r="C990" s="40"/>
      <c r="D990" s="41"/>
      <c r="E990" s="40"/>
      <c r="F990" s="41"/>
      <c r="G990" s="183"/>
      <c r="H990" s="38"/>
      <c r="I990" s="42"/>
      <c r="J990" s="42"/>
      <c r="K990" s="43"/>
      <c r="L990" s="43"/>
      <c r="M990" s="44" t="str">
        <f>IF(LayTable[[#This Row],[Sport]]="","",LayTable[[#This Row],[LayInnsats]]*(LayTable[[#This Row],[LayOdds]]-1))</f>
        <v/>
      </c>
      <c r="N990" s="45" t="str">
        <f>IF(LayTable[[#This Row],[Sport]]="","",1/((1/LayTable[[#This Row],[BookieOdds]])+(1/((1/((1+((LayTable[[#This Row],[LayOdds]]-1)*(1+LayTable[[#This Row],[C% Lay]])))-1))+1)))-1)</f>
        <v/>
      </c>
      <c r="Q990" s="46" t="str">
        <f>IF(LayTable[[#This Row],[Sport]]="","",LayTable[[#This Row],[BookieInnsats]]+LayTable[[#This Row],[LayLiability]])</f>
        <v/>
      </c>
      <c r="R9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0" s="47" t="str">
        <f>IF(LayTable[[#This Row],[Utfall bookie]]="","",LayTable[[#This Row],[WBABack]]+LayTable[[#This Row],[WBALay]]-LayTable[[#This Row],[Total inns]])</f>
        <v/>
      </c>
      <c r="U9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0" s="48" t="str">
        <f>IFERROR(IF(LayTable[[#This Row],[Total inns]]="","",LayTable[[#This Row],[Rback]]/LayTable[[#This Row],[Total inns]]),"")</f>
        <v/>
      </c>
      <c r="X990" s="48" t="str">
        <f>IFERROR(IF(LayTable[[#This Row],[Total inns]]="","",LayTable[[#This Row],[Rlay]]/LayTable[[#This Row],[Total inns]]),"")</f>
        <v/>
      </c>
      <c r="Y990" s="48" t="str">
        <f>IFERROR(LayTable[[#This Row],[Faktisk res]]/LayTable[[#This Row],[Total inns]],"")</f>
        <v/>
      </c>
      <c r="Z990" s="47">
        <f>(LayTable[[#This Row],[BookieInnsats]]*LayTable[[#This Row],[BookieOdds]]-LayTable[[#This Row],[BookieInnsats]])*(1-LayTable[[#This Row],[C% Bookie]])</f>
        <v>0</v>
      </c>
      <c r="AA990" s="43">
        <f>LayTable[[#This Row],[LayInnsats]]*(1-LayTable[[#This Row],[C% Lay]])</f>
        <v>0</v>
      </c>
      <c r="AB990" s="43" t="str">
        <f>IFERROR(IF(LayTable[[#This Row],[Sport]]="",AB989,LayTable[[#This Row],[Faktisk res]]+AB989),"")</f>
        <v/>
      </c>
      <c r="AC990" s="43">
        <f>(LayTable[[#This Row],[BackWin-Commission]]+LayTable[[#This Row],[BookieInnsats]])</f>
        <v>0</v>
      </c>
      <c r="AD990" s="43" t="e">
        <f>(LayTable[[#This Row],[LayWin-Commission]])+LayTable[[#This Row],[LayLiability]]</f>
        <v>#VALUE!</v>
      </c>
      <c r="AE990" s="43"/>
      <c r="AF990" s="181"/>
    </row>
    <row r="991" spans="1:32">
      <c r="A991" s="84"/>
      <c r="B991" s="39"/>
      <c r="C991" s="40"/>
      <c r="D991" s="41"/>
      <c r="E991" s="40"/>
      <c r="F991" s="41"/>
      <c r="G991" s="183"/>
      <c r="H991" s="38"/>
      <c r="I991" s="42"/>
      <c r="J991" s="42"/>
      <c r="K991" s="43"/>
      <c r="L991" s="43"/>
      <c r="M991" s="44" t="str">
        <f>IF(LayTable[[#This Row],[Sport]]="","",LayTable[[#This Row],[LayInnsats]]*(LayTable[[#This Row],[LayOdds]]-1))</f>
        <v/>
      </c>
      <c r="N991" s="45" t="str">
        <f>IF(LayTable[[#This Row],[Sport]]="","",1/((1/LayTable[[#This Row],[BookieOdds]])+(1/((1/((1+((LayTable[[#This Row],[LayOdds]]-1)*(1+LayTable[[#This Row],[C% Lay]])))-1))+1)))-1)</f>
        <v/>
      </c>
      <c r="Q991" s="46" t="str">
        <f>IF(LayTable[[#This Row],[Sport]]="","",LayTable[[#This Row],[BookieInnsats]]+LayTable[[#This Row],[LayLiability]])</f>
        <v/>
      </c>
      <c r="R9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1" s="47" t="str">
        <f>IF(LayTable[[#This Row],[Utfall bookie]]="","",LayTable[[#This Row],[WBABack]]+LayTable[[#This Row],[WBALay]]-LayTable[[#This Row],[Total inns]])</f>
        <v/>
      </c>
      <c r="U9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1" s="48" t="str">
        <f>IFERROR(IF(LayTable[[#This Row],[Total inns]]="","",LayTable[[#This Row],[Rback]]/LayTable[[#This Row],[Total inns]]),"")</f>
        <v/>
      </c>
      <c r="X991" s="48" t="str">
        <f>IFERROR(IF(LayTable[[#This Row],[Total inns]]="","",LayTable[[#This Row],[Rlay]]/LayTable[[#This Row],[Total inns]]),"")</f>
        <v/>
      </c>
      <c r="Y991" s="48" t="str">
        <f>IFERROR(LayTable[[#This Row],[Faktisk res]]/LayTable[[#This Row],[Total inns]],"")</f>
        <v/>
      </c>
      <c r="Z991" s="47">
        <f>(LayTable[[#This Row],[BookieInnsats]]*LayTable[[#This Row],[BookieOdds]]-LayTable[[#This Row],[BookieInnsats]])*(1-LayTable[[#This Row],[C% Bookie]])</f>
        <v>0</v>
      </c>
      <c r="AA991" s="43">
        <f>LayTable[[#This Row],[LayInnsats]]*(1-LayTable[[#This Row],[C% Lay]])</f>
        <v>0</v>
      </c>
      <c r="AB991" s="43" t="str">
        <f>IFERROR(IF(LayTable[[#This Row],[Sport]]="",AB990,LayTable[[#This Row],[Faktisk res]]+AB990),"")</f>
        <v/>
      </c>
      <c r="AC991" s="43">
        <f>(LayTable[[#This Row],[BackWin-Commission]]+LayTable[[#This Row],[BookieInnsats]])</f>
        <v>0</v>
      </c>
      <c r="AD991" s="43" t="e">
        <f>(LayTable[[#This Row],[LayWin-Commission]])+LayTable[[#This Row],[LayLiability]]</f>
        <v>#VALUE!</v>
      </c>
      <c r="AE991" s="43"/>
      <c r="AF991" s="181"/>
    </row>
    <row r="992" spans="1:32">
      <c r="A992" s="84"/>
      <c r="B992" s="39"/>
      <c r="C992" s="40"/>
      <c r="D992" s="41"/>
      <c r="E992" s="40"/>
      <c r="F992" s="41"/>
      <c r="G992" s="183"/>
      <c r="H992" s="38"/>
      <c r="I992" s="42"/>
      <c r="J992" s="42"/>
      <c r="K992" s="43"/>
      <c r="L992" s="43"/>
      <c r="M992" s="44" t="str">
        <f>IF(LayTable[[#This Row],[Sport]]="","",LayTable[[#This Row],[LayInnsats]]*(LayTable[[#This Row],[LayOdds]]-1))</f>
        <v/>
      </c>
      <c r="N992" s="45" t="str">
        <f>IF(LayTable[[#This Row],[Sport]]="","",1/((1/LayTable[[#This Row],[BookieOdds]])+(1/((1/((1+((LayTable[[#This Row],[LayOdds]]-1)*(1+LayTable[[#This Row],[C% Lay]])))-1))+1)))-1)</f>
        <v/>
      </c>
      <c r="Q992" s="46" t="str">
        <f>IF(LayTable[[#This Row],[Sport]]="","",LayTable[[#This Row],[BookieInnsats]]+LayTable[[#This Row],[LayLiability]])</f>
        <v/>
      </c>
      <c r="R9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2" s="47" t="str">
        <f>IF(LayTable[[#This Row],[Utfall bookie]]="","",LayTable[[#This Row],[WBABack]]+LayTable[[#This Row],[WBALay]]-LayTable[[#This Row],[Total inns]])</f>
        <v/>
      </c>
      <c r="U9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2" s="48" t="str">
        <f>IFERROR(IF(LayTable[[#This Row],[Total inns]]="","",LayTable[[#This Row],[Rback]]/LayTable[[#This Row],[Total inns]]),"")</f>
        <v/>
      </c>
      <c r="X992" s="48" t="str">
        <f>IFERROR(IF(LayTable[[#This Row],[Total inns]]="","",LayTable[[#This Row],[Rlay]]/LayTable[[#This Row],[Total inns]]),"")</f>
        <v/>
      </c>
      <c r="Y992" s="48" t="str">
        <f>IFERROR(LayTable[[#This Row],[Faktisk res]]/LayTable[[#This Row],[Total inns]],"")</f>
        <v/>
      </c>
      <c r="Z992" s="47">
        <f>(LayTable[[#This Row],[BookieInnsats]]*LayTable[[#This Row],[BookieOdds]]-LayTable[[#This Row],[BookieInnsats]])*(1-LayTable[[#This Row],[C% Bookie]])</f>
        <v>0</v>
      </c>
      <c r="AA992" s="43">
        <f>LayTable[[#This Row],[LayInnsats]]*(1-LayTable[[#This Row],[C% Lay]])</f>
        <v>0</v>
      </c>
      <c r="AB992" s="43" t="str">
        <f>IFERROR(IF(LayTable[[#This Row],[Sport]]="",AB991,LayTable[[#This Row],[Faktisk res]]+AB991),"")</f>
        <v/>
      </c>
      <c r="AC992" s="43">
        <f>(LayTable[[#This Row],[BackWin-Commission]]+LayTable[[#This Row],[BookieInnsats]])</f>
        <v>0</v>
      </c>
      <c r="AD992" s="43" t="e">
        <f>(LayTable[[#This Row],[LayWin-Commission]])+LayTable[[#This Row],[LayLiability]]</f>
        <v>#VALUE!</v>
      </c>
      <c r="AE992" s="43"/>
      <c r="AF992" s="181"/>
    </row>
    <row r="993" spans="1:32">
      <c r="A993" s="84"/>
      <c r="B993" s="39"/>
      <c r="C993" s="40"/>
      <c r="D993" s="41"/>
      <c r="E993" s="40"/>
      <c r="F993" s="41"/>
      <c r="G993" s="183"/>
      <c r="H993" s="38"/>
      <c r="I993" s="42"/>
      <c r="J993" s="42"/>
      <c r="K993" s="43"/>
      <c r="L993" s="43"/>
      <c r="M993" s="44" t="str">
        <f>IF(LayTable[[#This Row],[Sport]]="","",LayTable[[#This Row],[LayInnsats]]*(LayTable[[#This Row],[LayOdds]]-1))</f>
        <v/>
      </c>
      <c r="N993" s="45" t="str">
        <f>IF(LayTable[[#This Row],[Sport]]="","",1/((1/LayTable[[#This Row],[BookieOdds]])+(1/((1/((1+((LayTable[[#This Row],[LayOdds]]-1)*(1+LayTable[[#This Row],[C% Lay]])))-1))+1)))-1)</f>
        <v/>
      </c>
      <c r="Q993" s="46" t="str">
        <f>IF(LayTable[[#This Row],[Sport]]="","",LayTable[[#This Row],[BookieInnsats]]+LayTable[[#This Row],[LayLiability]])</f>
        <v/>
      </c>
      <c r="R9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3" s="47" t="str">
        <f>IF(LayTable[[#This Row],[Utfall bookie]]="","",LayTable[[#This Row],[WBABack]]+LayTable[[#This Row],[WBALay]]-LayTable[[#This Row],[Total inns]])</f>
        <v/>
      </c>
      <c r="U9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3" s="48" t="str">
        <f>IFERROR(IF(LayTable[[#This Row],[Total inns]]="","",LayTable[[#This Row],[Rback]]/LayTable[[#This Row],[Total inns]]),"")</f>
        <v/>
      </c>
      <c r="X993" s="48" t="str">
        <f>IFERROR(IF(LayTable[[#This Row],[Total inns]]="","",LayTable[[#This Row],[Rlay]]/LayTable[[#This Row],[Total inns]]),"")</f>
        <v/>
      </c>
      <c r="Y993" s="48" t="str">
        <f>IFERROR(LayTable[[#This Row],[Faktisk res]]/LayTable[[#This Row],[Total inns]],"")</f>
        <v/>
      </c>
      <c r="Z993" s="47">
        <f>(LayTable[[#This Row],[BookieInnsats]]*LayTable[[#This Row],[BookieOdds]]-LayTable[[#This Row],[BookieInnsats]])*(1-LayTable[[#This Row],[C% Bookie]])</f>
        <v>0</v>
      </c>
      <c r="AA993" s="43">
        <f>LayTable[[#This Row],[LayInnsats]]*(1-LayTable[[#This Row],[C% Lay]])</f>
        <v>0</v>
      </c>
      <c r="AB993" s="43" t="str">
        <f>IFERROR(IF(LayTable[[#This Row],[Sport]]="",AB992,LayTable[[#This Row],[Faktisk res]]+AB992),"")</f>
        <v/>
      </c>
      <c r="AC993" s="43">
        <f>(LayTable[[#This Row],[BackWin-Commission]]+LayTable[[#This Row],[BookieInnsats]])</f>
        <v>0</v>
      </c>
      <c r="AD993" s="43" t="e">
        <f>(LayTable[[#This Row],[LayWin-Commission]])+LayTable[[#This Row],[LayLiability]]</f>
        <v>#VALUE!</v>
      </c>
      <c r="AE993" s="43"/>
      <c r="AF993" s="181"/>
    </row>
    <row r="994" spans="1:32">
      <c r="A994" s="84"/>
      <c r="B994" s="39"/>
      <c r="C994" s="40"/>
      <c r="D994" s="41"/>
      <c r="E994" s="40"/>
      <c r="F994" s="41"/>
      <c r="G994" s="183"/>
      <c r="H994" s="38"/>
      <c r="I994" s="42"/>
      <c r="J994" s="42"/>
      <c r="K994" s="43"/>
      <c r="L994" s="43"/>
      <c r="M994" s="44" t="str">
        <f>IF(LayTable[[#This Row],[Sport]]="","",LayTable[[#This Row],[LayInnsats]]*(LayTable[[#This Row],[LayOdds]]-1))</f>
        <v/>
      </c>
      <c r="N994" s="45" t="str">
        <f>IF(LayTable[[#This Row],[Sport]]="","",1/((1/LayTable[[#This Row],[BookieOdds]])+(1/((1/((1+((LayTable[[#This Row],[LayOdds]]-1)*(1+LayTable[[#This Row],[C% Lay]])))-1))+1)))-1)</f>
        <v/>
      </c>
      <c r="Q994" s="46" t="str">
        <f>IF(LayTable[[#This Row],[Sport]]="","",LayTable[[#This Row],[BookieInnsats]]+LayTable[[#This Row],[LayLiability]])</f>
        <v/>
      </c>
      <c r="R9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4" s="47" t="str">
        <f>IF(LayTable[[#This Row],[Utfall bookie]]="","",LayTable[[#This Row],[WBABack]]+LayTable[[#This Row],[WBALay]]-LayTable[[#This Row],[Total inns]])</f>
        <v/>
      </c>
      <c r="U9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4" s="48" t="str">
        <f>IFERROR(IF(LayTable[[#This Row],[Total inns]]="","",LayTable[[#This Row],[Rback]]/LayTable[[#This Row],[Total inns]]),"")</f>
        <v/>
      </c>
      <c r="X994" s="48" t="str">
        <f>IFERROR(IF(LayTable[[#This Row],[Total inns]]="","",LayTable[[#This Row],[Rlay]]/LayTable[[#This Row],[Total inns]]),"")</f>
        <v/>
      </c>
      <c r="Y994" s="48" t="str">
        <f>IFERROR(LayTable[[#This Row],[Faktisk res]]/LayTable[[#This Row],[Total inns]],"")</f>
        <v/>
      </c>
      <c r="Z994" s="47">
        <f>(LayTable[[#This Row],[BookieInnsats]]*LayTable[[#This Row],[BookieOdds]]-LayTable[[#This Row],[BookieInnsats]])*(1-LayTable[[#This Row],[C% Bookie]])</f>
        <v>0</v>
      </c>
      <c r="AA994" s="43">
        <f>LayTable[[#This Row],[LayInnsats]]*(1-LayTable[[#This Row],[C% Lay]])</f>
        <v>0</v>
      </c>
      <c r="AB994" s="43" t="str">
        <f>IFERROR(IF(LayTable[[#This Row],[Sport]]="",AB993,LayTable[[#This Row],[Faktisk res]]+AB993),"")</f>
        <v/>
      </c>
      <c r="AC994" s="43">
        <f>(LayTable[[#This Row],[BackWin-Commission]]+LayTable[[#This Row],[BookieInnsats]])</f>
        <v>0</v>
      </c>
      <c r="AD994" s="43" t="e">
        <f>(LayTable[[#This Row],[LayWin-Commission]])+LayTable[[#This Row],[LayLiability]]</f>
        <v>#VALUE!</v>
      </c>
      <c r="AE994" s="43"/>
      <c r="AF994" s="181"/>
    </row>
    <row r="995" spans="1:32">
      <c r="A995" s="84"/>
      <c r="B995" s="39"/>
      <c r="C995" s="40"/>
      <c r="D995" s="41"/>
      <c r="E995" s="40"/>
      <c r="F995" s="41"/>
      <c r="G995" s="183"/>
      <c r="H995" s="38"/>
      <c r="I995" s="42"/>
      <c r="J995" s="42"/>
      <c r="K995" s="43"/>
      <c r="L995" s="43"/>
      <c r="M995" s="44" t="str">
        <f>IF(LayTable[[#This Row],[Sport]]="","",LayTable[[#This Row],[LayInnsats]]*(LayTable[[#This Row],[LayOdds]]-1))</f>
        <v/>
      </c>
      <c r="N995" s="45" t="str">
        <f>IF(LayTable[[#This Row],[Sport]]="","",1/((1/LayTable[[#This Row],[BookieOdds]])+(1/((1/((1+((LayTable[[#This Row],[LayOdds]]-1)*(1+LayTable[[#This Row],[C% Lay]])))-1))+1)))-1)</f>
        <v/>
      </c>
      <c r="Q995" s="46" t="str">
        <f>IF(LayTable[[#This Row],[Sport]]="","",LayTable[[#This Row],[BookieInnsats]]+LayTable[[#This Row],[LayLiability]])</f>
        <v/>
      </c>
      <c r="R9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5" s="47" t="str">
        <f>IF(LayTable[[#This Row],[Utfall bookie]]="","",LayTable[[#This Row],[WBABack]]+LayTable[[#This Row],[WBALay]]-LayTable[[#This Row],[Total inns]])</f>
        <v/>
      </c>
      <c r="U9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5" s="48" t="str">
        <f>IFERROR(IF(LayTable[[#This Row],[Total inns]]="","",LayTable[[#This Row],[Rback]]/LayTable[[#This Row],[Total inns]]),"")</f>
        <v/>
      </c>
      <c r="X995" s="48" t="str">
        <f>IFERROR(IF(LayTable[[#This Row],[Total inns]]="","",LayTable[[#This Row],[Rlay]]/LayTable[[#This Row],[Total inns]]),"")</f>
        <v/>
      </c>
      <c r="Y995" s="48" t="str">
        <f>IFERROR(LayTable[[#This Row],[Faktisk res]]/LayTable[[#This Row],[Total inns]],"")</f>
        <v/>
      </c>
      <c r="Z995" s="47">
        <f>(LayTable[[#This Row],[BookieInnsats]]*LayTable[[#This Row],[BookieOdds]]-LayTable[[#This Row],[BookieInnsats]])*(1-LayTable[[#This Row],[C% Bookie]])</f>
        <v>0</v>
      </c>
      <c r="AA995" s="43">
        <f>LayTable[[#This Row],[LayInnsats]]*(1-LayTable[[#This Row],[C% Lay]])</f>
        <v>0</v>
      </c>
      <c r="AB995" s="43" t="str">
        <f>IFERROR(IF(LayTable[[#This Row],[Sport]]="",AB994,LayTable[[#This Row],[Faktisk res]]+AB994),"")</f>
        <v/>
      </c>
      <c r="AC995" s="43">
        <f>(LayTable[[#This Row],[BackWin-Commission]]+LayTable[[#This Row],[BookieInnsats]])</f>
        <v>0</v>
      </c>
      <c r="AD995" s="43" t="e">
        <f>(LayTable[[#This Row],[LayWin-Commission]])+LayTable[[#This Row],[LayLiability]]</f>
        <v>#VALUE!</v>
      </c>
      <c r="AE995" s="43"/>
      <c r="AF995" s="181"/>
    </row>
    <row r="996" spans="1:32">
      <c r="A996" s="84"/>
      <c r="B996" s="39"/>
      <c r="C996" s="40"/>
      <c r="D996" s="41"/>
      <c r="E996" s="40"/>
      <c r="F996" s="41"/>
      <c r="G996" s="183"/>
      <c r="H996" s="38"/>
      <c r="I996" s="42"/>
      <c r="J996" s="42"/>
      <c r="K996" s="43"/>
      <c r="L996" s="43"/>
      <c r="M996" s="44" t="str">
        <f>IF(LayTable[[#This Row],[Sport]]="","",LayTable[[#This Row],[LayInnsats]]*(LayTable[[#This Row],[LayOdds]]-1))</f>
        <v/>
      </c>
      <c r="N996" s="45" t="str">
        <f>IF(LayTable[[#This Row],[Sport]]="","",1/((1/LayTable[[#This Row],[BookieOdds]])+(1/((1/((1+((LayTable[[#This Row],[LayOdds]]-1)*(1+LayTable[[#This Row],[C% Lay]])))-1))+1)))-1)</f>
        <v/>
      </c>
      <c r="Q996" s="46" t="str">
        <f>IF(LayTable[[#This Row],[Sport]]="","",LayTable[[#This Row],[BookieInnsats]]+LayTable[[#This Row],[LayLiability]])</f>
        <v/>
      </c>
      <c r="R9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6" s="47" t="str">
        <f>IF(LayTable[[#This Row],[Utfall bookie]]="","",LayTable[[#This Row],[WBABack]]+LayTable[[#This Row],[WBALay]]-LayTable[[#This Row],[Total inns]])</f>
        <v/>
      </c>
      <c r="U9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6" s="48" t="str">
        <f>IFERROR(IF(LayTable[[#This Row],[Total inns]]="","",LayTable[[#This Row],[Rback]]/LayTable[[#This Row],[Total inns]]),"")</f>
        <v/>
      </c>
      <c r="X996" s="48" t="str">
        <f>IFERROR(IF(LayTable[[#This Row],[Total inns]]="","",LayTable[[#This Row],[Rlay]]/LayTable[[#This Row],[Total inns]]),"")</f>
        <v/>
      </c>
      <c r="Y996" s="48" t="str">
        <f>IFERROR(LayTable[[#This Row],[Faktisk res]]/LayTable[[#This Row],[Total inns]],"")</f>
        <v/>
      </c>
      <c r="Z996" s="47">
        <f>(LayTable[[#This Row],[BookieInnsats]]*LayTable[[#This Row],[BookieOdds]]-LayTable[[#This Row],[BookieInnsats]])*(1-LayTable[[#This Row],[C% Bookie]])</f>
        <v>0</v>
      </c>
      <c r="AA996" s="43">
        <f>LayTable[[#This Row],[LayInnsats]]*(1-LayTable[[#This Row],[C% Lay]])</f>
        <v>0</v>
      </c>
      <c r="AB996" s="43" t="str">
        <f>IFERROR(IF(LayTable[[#This Row],[Sport]]="",AB995,LayTable[[#This Row],[Faktisk res]]+AB995),"")</f>
        <v/>
      </c>
      <c r="AC996" s="43">
        <f>(LayTable[[#This Row],[BackWin-Commission]]+LayTable[[#This Row],[BookieInnsats]])</f>
        <v>0</v>
      </c>
      <c r="AD996" s="43" t="e">
        <f>(LayTable[[#This Row],[LayWin-Commission]])+LayTable[[#This Row],[LayLiability]]</f>
        <v>#VALUE!</v>
      </c>
      <c r="AE996" s="43"/>
      <c r="AF996" s="181"/>
    </row>
    <row r="997" spans="1:32">
      <c r="A997" s="84"/>
      <c r="B997" s="39"/>
      <c r="C997" s="40"/>
      <c r="D997" s="41"/>
      <c r="E997" s="40"/>
      <c r="F997" s="41"/>
      <c r="G997" s="183"/>
      <c r="H997" s="38"/>
      <c r="I997" s="42"/>
      <c r="J997" s="42"/>
      <c r="K997" s="43"/>
      <c r="L997" s="43"/>
      <c r="M997" s="44" t="str">
        <f>IF(LayTable[[#This Row],[Sport]]="","",LayTable[[#This Row],[LayInnsats]]*(LayTable[[#This Row],[LayOdds]]-1))</f>
        <v/>
      </c>
      <c r="N997" s="45" t="str">
        <f>IF(LayTable[[#This Row],[Sport]]="","",1/((1/LayTable[[#This Row],[BookieOdds]])+(1/((1/((1+((LayTable[[#This Row],[LayOdds]]-1)*(1+LayTable[[#This Row],[C% Lay]])))-1))+1)))-1)</f>
        <v/>
      </c>
      <c r="Q997" s="46" t="str">
        <f>IF(LayTable[[#This Row],[Sport]]="","",LayTable[[#This Row],[BookieInnsats]]+LayTable[[#This Row],[LayLiability]])</f>
        <v/>
      </c>
      <c r="R9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7" s="47" t="str">
        <f>IF(LayTable[[#This Row],[Utfall bookie]]="","",LayTable[[#This Row],[WBABack]]+LayTable[[#This Row],[WBALay]]-LayTable[[#This Row],[Total inns]])</f>
        <v/>
      </c>
      <c r="U9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7" s="48" t="str">
        <f>IFERROR(IF(LayTable[[#This Row],[Total inns]]="","",LayTable[[#This Row],[Rback]]/LayTable[[#This Row],[Total inns]]),"")</f>
        <v/>
      </c>
      <c r="X997" s="48" t="str">
        <f>IFERROR(IF(LayTable[[#This Row],[Total inns]]="","",LayTable[[#This Row],[Rlay]]/LayTable[[#This Row],[Total inns]]),"")</f>
        <v/>
      </c>
      <c r="Y997" s="48" t="str">
        <f>IFERROR(LayTable[[#This Row],[Faktisk res]]/LayTable[[#This Row],[Total inns]],"")</f>
        <v/>
      </c>
      <c r="Z997" s="47">
        <f>(LayTable[[#This Row],[BookieInnsats]]*LayTable[[#This Row],[BookieOdds]]-LayTable[[#This Row],[BookieInnsats]])*(1-LayTable[[#This Row],[C% Bookie]])</f>
        <v>0</v>
      </c>
      <c r="AA997" s="43">
        <f>LayTable[[#This Row],[LayInnsats]]*(1-LayTable[[#This Row],[C% Lay]])</f>
        <v>0</v>
      </c>
      <c r="AB997" s="43" t="str">
        <f>IFERROR(IF(LayTable[[#This Row],[Sport]]="",AB996,LayTable[[#This Row],[Faktisk res]]+AB996),"")</f>
        <v/>
      </c>
      <c r="AC997" s="43">
        <f>(LayTable[[#This Row],[BackWin-Commission]]+LayTable[[#This Row],[BookieInnsats]])</f>
        <v>0</v>
      </c>
      <c r="AD997" s="43" t="e">
        <f>(LayTable[[#This Row],[LayWin-Commission]])+LayTable[[#This Row],[LayLiability]]</f>
        <v>#VALUE!</v>
      </c>
      <c r="AE997" s="43"/>
      <c r="AF997" s="181"/>
    </row>
    <row r="998" spans="1:32">
      <c r="A998" s="84"/>
      <c r="B998" s="39"/>
      <c r="C998" s="40"/>
      <c r="D998" s="41"/>
      <c r="E998" s="40"/>
      <c r="F998" s="41"/>
      <c r="G998" s="183"/>
      <c r="H998" s="38"/>
      <c r="I998" s="42"/>
      <c r="J998" s="42"/>
      <c r="K998" s="43"/>
      <c r="L998" s="43"/>
      <c r="M998" s="44" t="str">
        <f>IF(LayTable[[#This Row],[Sport]]="","",LayTable[[#This Row],[LayInnsats]]*(LayTable[[#This Row],[LayOdds]]-1))</f>
        <v/>
      </c>
      <c r="N998" s="45" t="str">
        <f>IF(LayTable[[#This Row],[Sport]]="","",1/((1/LayTable[[#This Row],[BookieOdds]])+(1/((1/((1+((LayTable[[#This Row],[LayOdds]]-1)*(1+LayTable[[#This Row],[C% Lay]])))-1))+1)))-1)</f>
        <v/>
      </c>
      <c r="Q998" s="46" t="str">
        <f>IF(LayTable[[#This Row],[Sport]]="","",LayTable[[#This Row],[BookieInnsats]]+LayTable[[#This Row],[LayLiability]])</f>
        <v/>
      </c>
      <c r="R9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8" s="47" t="str">
        <f>IF(LayTable[[#This Row],[Utfall bookie]]="","",LayTable[[#This Row],[WBABack]]+LayTable[[#This Row],[WBALay]]-LayTable[[#This Row],[Total inns]])</f>
        <v/>
      </c>
      <c r="U9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8" s="48" t="str">
        <f>IFERROR(IF(LayTable[[#This Row],[Total inns]]="","",LayTable[[#This Row],[Rback]]/LayTable[[#This Row],[Total inns]]),"")</f>
        <v/>
      </c>
      <c r="X998" s="48" t="str">
        <f>IFERROR(IF(LayTable[[#This Row],[Total inns]]="","",LayTable[[#This Row],[Rlay]]/LayTable[[#This Row],[Total inns]]),"")</f>
        <v/>
      </c>
      <c r="Y998" s="48" t="str">
        <f>IFERROR(LayTable[[#This Row],[Faktisk res]]/LayTable[[#This Row],[Total inns]],"")</f>
        <v/>
      </c>
      <c r="Z998" s="47">
        <f>(LayTable[[#This Row],[BookieInnsats]]*LayTable[[#This Row],[BookieOdds]]-LayTable[[#This Row],[BookieInnsats]])*(1-LayTable[[#This Row],[C% Bookie]])</f>
        <v>0</v>
      </c>
      <c r="AA998" s="43">
        <f>LayTable[[#This Row],[LayInnsats]]*(1-LayTable[[#This Row],[C% Lay]])</f>
        <v>0</v>
      </c>
      <c r="AB998" s="43" t="str">
        <f>IFERROR(IF(LayTable[[#This Row],[Sport]]="",AB997,LayTable[[#This Row],[Faktisk res]]+AB997),"")</f>
        <v/>
      </c>
      <c r="AC998" s="43">
        <f>(LayTable[[#This Row],[BackWin-Commission]]+LayTable[[#This Row],[BookieInnsats]])</f>
        <v>0</v>
      </c>
      <c r="AD998" s="43" t="e">
        <f>(LayTable[[#This Row],[LayWin-Commission]])+LayTable[[#This Row],[LayLiability]]</f>
        <v>#VALUE!</v>
      </c>
      <c r="AE998" s="43"/>
      <c r="AF998" s="181"/>
    </row>
    <row r="999" spans="1:32">
      <c r="A999" s="84"/>
      <c r="B999" s="39"/>
      <c r="C999" s="40"/>
      <c r="D999" s="41"/>
      <c r="E999" s="40"/>
      <c r="F999" s="41"/>
      <c r="G999" s="183"/>
      <c r="H999" s="38"/>
      <c r="I999" s="42"/>
      <c r="J999" s="42"/>
      <c r="K999" s="43"/>
      <c r="L999" s="43"/>
      <c r="M999" s="44" t="str">
        <f>IF(LayTable[[#This Row],[Sport]]="","",LayTable[[#This Row],[LayInnsats]]*(LayTable[[#This Row],[LayOdds]]-1))</f>
        <v/>
      </c>
      <c r="N999" s="45" t="str">
        <f>IF(LayTable[[#This Row],[Sport]]="","",1/((1/LayTable[[#This Row],[BookieOdds]])+(1/((1/((1+((LayTable[[#This Row],[LayOdds]]-1)*(1+LayTable[[#This Row],[C% Lay]])))-1))+1)))-1)</f>
        <v/>
      </c>
      <c r="Q999" s="46" t="str">
        <f>IF(LayTable[[#This Row],[Sport]]="","",LayTable[[#This Row],[BookieInnsats]]+LayTable[[#This Row],[LayLiability]])</f>
        <v/>
      </c>
      <c r="R9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9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999" s="47" t="str">
        <f>IF(LayTable[[#This Row],[Utfall bookie]]="","",LayTable[[#This Row],[WBABack]]+LayTable[[#This Row],[WBALay]]-LayTable[[#This Row],[Total inns]])</f>
        <v/>
      </c>
      <c r="U9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9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999" s="48" t="str">
        <f>IFERROR(IF(LayTable[[#This Row],[Total inns]]="","",LayTable[[#This Row],[Rback]]/LayTable[[#This Row],[Total inns]]),"")</f>
        <v/>
      </c>
      <c r="X999" s="48" t="str">
        <f>IFERROR(IF(LayTable[[#This Row],[Total inns]]="","",LayTable[[#This Row],[Rlay]]/LayTable[[#This Row],[Total inns]]),"")</f>
        <v/>
      </c>
      <c r="Y999" s="48" t="str">
        <f>IFERROR(LayTable[[#This Row],[Faktisk res]]/LayTable[[#This Row],[Total inns]],"")</f>
        <v/>
      </c>
      <c r="Z999" s="47">
        <f>(LayTable[[#This Row],[BookieInnsats]]*LayTable[[#This Row],[BookieOdds]]-LayTable[[#This Row],[BookieInnsats]])*(1-LayTable[[#This Row],[C% Bookie]])</f>
        <v>0</v>
      </c>
      <c r="AA999" s="43">
        <f>LayTable[[#This Row],[LayInnsats]]*(1-LayTable[[#This Row],[C% Lay]])</f>
        <v>0</v>
      </c>
      <c r="AB999" s="43" t="str">
        <f>IFERROR(IF(LayTable[[#This Row],[Sport]]="",AB998,LayTable[[#This Row],[Faktisk res]]+AB998),"")</f>
        <v/>
      </c>
      <c r="AC999" s="43">
        <f>(LayTable[[#This Row],[BackWin-Commission]]+LayTable[[#This Row],[BookieInnsats]])</f>
        <v>0</v>
      </c>
      <c r="AD999" s="43" t="e">
        <f>(LayTable[[#This Row],[LayWin-Commission]])+LayTable[[#This Row],[LayLiability]]</f>
        <v>#VALUE!</v>
      </c>
      <c r="AE999" s="43"/>
      <c r="AF999" s="181"/>
    </row>
    <row r="1000" spans="1:32">
      <c r="A1000" s="84"/>
      <c r="B1000" s="39"/>
      <c r="C1000" s="40"/>
      <c r="D1000" s="41"/>
      <c r="E1000" s="40"/>
      <c r="F1000" s="41"/>
      <c r="G1000" s="183"/>
      <c r="H1000" s="38"/>
      <c r="I1000" s="42"/>
      <c r="J1000" s="42"/>
      <c r="K1000" s="43"/>
      <c r="L1000" s="43"/>
      <c r="M1000" s="44" t="str">
        <f>IF(LayTable[[#This Row],[Sport]]="","",LayTable[[#This Row],[LayInnsats]]*(LayTable[[#This Row],[LayOdds]]-1))</f>
        <v/>
      </c>
      <c r="N1000" s="45" t="str">
        <f>IF(LayTable[[#This Row],[Sport]]="","",1/((1/LayTable[[#This Row],[BookieOdds]])+(1/((1/((1+((LayTable[[#This Row],[LayOdds]]-1)*(1+LayTable[[#This Row],[C% Lay]])))-1))+1)))-1)</f>
        <v/>
      </c>
      <c r="Q1000" s="46" t="str">
        <f>IF(LayTable[[#This Row],[Sport]]="","",LayTable[[#This Row],[BookieInnsats]]+LayTable[[#This Row],[LayLiability]])</f>
        <v/>
      </c>
      <c r="R10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0" s="47" t="str">
        <f>IF(LayTable[[#This Row],[Utfall bookie]]="","",LayTable[[#This Row],[WBABack]]+LayTable[[#This Row],[WBALay]]-LayTable[[#This Row],[Total inns]])</f>
        <v/>
      </c>
      <c r="U10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0" s="48" t="str">
        <f>IFERROR(IF(LayTable[[#This Row],[Total inns]]="","",LayTable[[#This Row],[Rback]]/LayTable[[#This Row],[Total inns]]),"")</f>
        <v/>
      </c>
      <c r="X1000" s="48" t="str">
        <f>IFERROR(IF(LayTable[[#This Row],[Total inns]]="","",LayTable[[#This Row],[Rlay]]/LayTable[[#This Row],[Total inns]]),"")</f>
        <v/>
      </c>
      <c r="Y1000" s="48" t="str">
        <f>IFERROR(LayTable[[#This Row],[Faktisk res]]/LayTable[[#This Row],[Total inns]],"")</f>
        <v/>
      </c>
      <c r="Z1000" s="47">
        <f>(LayTable[[#This Row],[BookieInnsats]]*LayTable[[#This Row],[BookieOdds]]-LayTable[[#This Row],[BookieInnsats]])*(1-LayTable[[#This Row],[C% Bookie]])</f>
        <v>0</v>
      </c>
      <c r="AA1000" s="43">
        <f>LayTable[[#This Row],[LayInnsats]]*(1-LayTable[[#This Row],[C% Lay]])</f>
        <v>0</v>
      </c>
      <c r="AB1000" s="43" t="str">
        <f>IFERROR(IF(LayTable[[#This Row],[Sport]]="",AB999,LayTable[[#This Row],[Faktisk res]]+AB999),"")</f>
        <v/>
      </c>
      <c r="AC1000" s="43">
        <f>(LayTable[[#This Row],[BackWin-Commission]]+LayTable[[#This Row],[BookieInnsats]])</f>
        <v>0</v>
      </c>
      <c r="AD1000" s="43" t="e">
        <f>(LayTable[[#This Row],[LayWin-Commission]])+LayTable[[#This Row],[LayLiability]]</f>
        <v>#VALUE!</v>
      </c>
      <c r="AE1000" s="43"/>
      <c r="AF1000" s="181"/>
    </row>
    <row r="1001" spans="1:32">
      <c r="A1001" s="84"/>
      <c r="B1001" s="39"/>
      <c r="C1001" s="40"/>
      <c r="D1001" s="41"/>
      <c r="E1001" s="40"/>
      <c r="F1001" s="41"/>
      <c r="G1001" s="183"/>
      <c r="H1001" s="38"/>
      <c r="I1001" s="42"/>
      <c r="J1001" s="42"/>
      <c r="K1001" s="43"/>
      <c r="L1001" s="43"/>
      <c r="M1001" s="44" t="str">
        <f>IF(LayTable[[#This Row],[Sport]]="","",LayTable[[#This Row],[LayInnsats]]*(LayTable[[#This Row],[LayOdds]]-1))</f>
        <v/>
      </c>
      <c r="N1001" s="45" t="str">
        <f>IF(LayTable[[#This Row],[Sport]]="","",1/((1/LayTable[[#This Row],[BookieOdds]])+(1/((1/((1+((LayTable[[#This Row],[LayOdds]]-1)*(1+LayTable[[#This Row],[C% Lay]])))-1))+1)))-1)</f>
        <v/>
      </c>
      <c r="Q1001" s="46" t="str">
        <f>IF(LayTable[[#This Row],[Sport]]="","",LayTable[[#This Row],[BookieInnsats]]+LayTable[[#This Row],[LayLiability]])</f>
        <v/>
      </c>
      <c r="R10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1" s="47" t="str">
        <f>IF(LayTable[[#This Row],[Utfall bookie]]="","",LayTable[[#This Row],[WBABack]]+LayTable[[#This Row],[WBALay]]-LayTable[[#This Row],[Total inns]])</f>
        <v/>
      </c>
      <c r="U10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1" s="48" t="str">
        <f>IFERROR(IF(LayTable[[#This Row],[Total inns]]="","",LayTable[[#This Row],[Rback]]/LayTable[[#This Row],[Total inns]]),"")</f>
        <v/>
      </c>
      <c r="X1001" s="48" t="str">
        <f>IFERROR(IF(LayTable[[#This Row],[Total inns]]="","",LayTable[[#This Row],[Rlay]]/LayTable[[#This Row],[Total inns]]),"")</f>
        <v/>
      </c>
      <c r="Y1001" s="48" t="str">
        <f>IFERROR(LayTable[[#This Row],[Faktisk res]]/LayTable[[#This Row],[Total inns]],"")</f>
        <v/>
      </c>
      <c r="Z1001" s="47">
        <f>(LayTable[[#This Row],[BookieInnsats]]*LayTable[[#This Row],[BookieOdds]]-LayTable[[#This Row],[BookieInnsats]])*(1-LayTable[[#This Row],[C% Bookie]])</f>
        <v>0</v>
      </c>
      <c r="AA1001" s="43">
        <f>LayTable[[#This Row],[LayInnsats]]*(1-LayTable[[#This Row],[C% Lay]])</f>
        <v>0</v>
      </c>
      <c r="AB1001" s="43" t="str">
        <f>IFERROR(IF(LayTable[[#This Row],[Sport]]="",AB1000,LayTable[[#This Row],[Faktisk res]]+AB1000),"")</f>
        <v/>
      </c>
      <c r="AC1001" s="43">
        <f>(LayTable[[#This Row],[BackWin-Commission]]+LayTable[[#This Row],[BookieInnsats]])</f>
        <v>0</v>
      </c>
      <c r="AD1001" s="43" t="e">
        <f>(LayTable[[#This Row],[LayWin-Commission]])+LayTable[[#This Row],[LayLiability]]</f>
        <v>#VALUE!</v>
      </c>
      <c r="AE1001" s="43"/>
      <c r="AF1001" s="181"/>
    </row>
    <row r="1002" spans="1:32">
      <c r="A1002" s="84"/>
      <c r="B1002" s="39"/>
      <c r="C1002" s="40"/>
      <c r="D1002" s="41"/>
      <c r="E1002" s="40"/>
      <c r="F1002" s="41"/>
      <c r="G1002" s="183"/>
      <c r="H1002" s="38"/>
      <c r="I1002" s="42"/>
      <c r="J1002" s="42"/>
      <c r="K1002" s="43"/>
      <c r="L1002" s="43"/>
      <c r="M1002" s="44" t="str">
        <f>IF(LayTable[[#This Row],[Sport]]="","",LayTable[[#This Row],[LayInnsats]]*(LayTable[[#This Row],[LayOdds]]-1))</f>
        <v/>
      </c>
      <c r="N1002" s="45" t="str">
        <f>IF(LayTable[[#This Row],[Sport]]="","",1/((1/LayTable[[#This Row],[BookieOdds]])+(1/((1/((1+((LayTable[[#This Row],[LayOdds]]-1)*(1+LayTable[[#This Row],[C% Lay]])))-1))+1)))-1)</f>
        <v/>
      </c>
      <c r="Q1002" s="46" t="str">
        <f>IF(LayTable[[#This Row],[Sport]]="","",LayTable[[#This Row],[BookieInnsats]]+LayTable[[#This Row],[LayLiability]])</f>
        <v/>
      </c>
      <c r="R10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2" s="47" t="str">
        <f>IF(LayTable[[#This Row],[Utfall bookie]]="","",LayTable[[#This Row],[WBABack]]+LayTable[[#This Row],[WBALay]]-LayTable[[#This Row],[Total inns]])</f>
        <v/>
      </c>
      <c r="U10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2" s="48" t="str">
        <f>IFERROR(IF(LayTable[[#This Row],[Total inns]]="","",LayTable[[#This Row],[Rback]]/LayTable[[#This Row],[Total inns]]),"")</f>
        <v/>
      </c>
      <c r="X1002" s="48" t="str">
        <f>IFERROR(IF(LayTable[[#This Row],[Total inns]]="","",LayTable[[#This Row],[Rlay]]/LayTable[[#This Row],[Total inns]]),"")</f>
        <v/>
      </c>
      <c r="Y1002" s="48" t="str">
        <f>IFERROR(LayTable[[#This Row],[Faktisk res]]/LayTable[[#This Row],[Total inns]],"")</f>
        <v/>
      </c>
      <c r="Z1002" s="47">
        <f>(LayTable[[#This Row],[BookieInnsats]]*LayTable[[#This Row],[BookieOdds]]-LayTable[[#This Row],[BookieInnsats]])*(1-LayTable[[#This Row],[C% Bookie]])</f>
        <v>0</v>
      </c>
      <c r="AA1002" s="43">
        <f>LayTable[[#This Row],[LayInnsats]]*(1-LayTable[[#This Row],[C% Lay]])</f>
        <v>0</v>
      </c>
      <c r="AB1002" s="43" t="str">
        <f>IFERROR(IF(LayTable[[#This Row],[Sport]]="",AB1001,LayTable[[#This Row],[Faktisk res]]+AB1001),"")</f>
        <v/>
      </c>
      <c r="AC1002" s="43">
        <f>(LayTable[[#This Row],[BackWin-Commission]]+LayTable[[#This Row],[BookieInnsats]])</f>
        <v>0</v>
      </c>
      <c r="AD1002" s="43" t="e">
        <f>(LayTable[[#This Row],[LayWin-Commission]])+LayTable[[#This Row],[LayLiability]]</f>
        <v>#VALUE!</v>
      </c>
      <c r="AE1002" s="43"/>
      <c r="AF1002" s="181"/>
    </row>
    <row r="1003" spans="1:32">
      <c r="A1003" s="84"/>
      <c r="B1003" s="39"/>
      <c r="C1003" s="40"/>
      <c r="D1003" s="41"/>
      <c r="E1003" s="40"/>
      <c r="F1003" s="41"/>
      <c r="G1003" s="183"/>
      <c r="H1003" s="38"/>
      <c r="I1003" s="42"/>
      <c r="J1003" s="42"/>
      <c r="K1003" s="43"/>
      <c r="L1003" s="43"/>
      <c r="M1003" s="44" t="str">
        <f>IF(LayTable[[#This Row],[Sport]]="","",LayTable[[#This Row],[LayInnsats]]*(LayTable[[#This Row],[LayOdds]]-1))</f>
        <v/>
      </c>
      <c r="N1003" s="45" t="str">
        <f>IF(LayTable[[#This Row],[Sport]]="","",1/((1/LayTable[[#This Row],[BookieOdds]])+(1/((1/((1+((LayTable[[#This Row],[LayOdds]]-1)*(1+LayTable[[#This Row],[C% Lay]])))-1))+1)))-1)</f>
        <v/>
      </c>
      <c r="Q1003" s="46" t="str">
        <f>IF(LayTable[[#This Row],[Sport]]="","",LayTable[[#This Row],[BookieInnsats]]+LayTable[[#This Row],[LayLiability]])</f>
        <v/>
      </c>
      <c r="R10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3" s="47" t="str">
        <f>IF(LayTable[[#This Row],[Utfall bookie]]="","",LayTable[[#This Row],[WBABack]]+LayTable[[#This Row],[WBALay]]-LayTable[[#This Row],[Total inns]])</f>
        <v/>
      </c>
      <c r="U10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3" s="48" t="str">
        <f>IFERROR(IF(LayTable[[#This Row],[Total inns]]="","",LayTable[[#This Row],[Rback]]/LayTable[[#This Row],[Total inns]]),"")</f>
        <v/>
      </c>
      <c r="X1003" s="48" t="str">
        <f>IFERROR(IF(LayTable[[#This Row],[Total inns]]="","",LayTable[[#This Row],[Rlay]]/LayTable[[#This Row],[Total inns]]),"")</f>
        <v/>
      </c>
      <c r="Y1003" s="48" t="str">
        <f>IFERROR(LayTable[[#This Row],[Faktisk res]]/LayTable[[#This Row],[Total inns]],"")</f>
        <v/>
      </c>
      <c r="Z1003" s="47">
        <f>(LayTable[[#This Row],[BookieInnsats]]*LayTable[[#This Row],[BookieOdds]]-LayTable[[#This Row],[BookieInnsats]])*(1-LayTable[[#This Row],[C% Bookie]])</f>
        <v>0</v>
      </c>
      <c r="AA1003" s="43">
        <f>LayTable[[#This Row],[LayInnsats]]*(1-LayTable[[#This Row],[C% Lay]])</f>
        <v>0</v>
      </c>
      <c r="AB1003" s="43" t="str">
        <f>IFERROR(IF(LayTable[[#This Row],[Sport]]="",AB1002,LayTable[[#This Row],[Faktisk res]]+AB1002),"")</f>
        <v/>
      </c>
      <c r="AC1003" s="43">
        <f>(LayTable[[#This Row],[BackWin-Commission]]+LayTable[[#This Row],[BookieInnsats]])</f>
        <v>0</v>
      </c>
      <c r="AD1003" s="43" t="e">
        <f>(LayTable[[#This Row],[LayWin-Commission]])+LayTable[[#This Row],[LayLiability]]</f>
        <v>#VALUE!</v>
      </c>
      <c r="AE1003" s="43"/>
      <c r="AF1003" s="181"/>
    </row>
    <row r="1004" spans="1:32">
      <c r="A1004" s="84"/>
      <c r="B1004" s="39"/>
      <c r="C1004" s="40"/>
      <c r="D1004" s="41"/>
      <c r="E1004" s="40"/>
      <c r="F1004" s="41"/>
      <c r="G1004" s="183"/>
      <c r="H1004" s="38"/>
      <c r="I1004" s="42"/>
      <c r="J1004" s="42"/>
      <c r="K1004" s="43"/>
      <c r="L1004" s="43"/>
      <c r="M1004" s="44" t="str">
        <f>IF(LayTable[[#This Row],[Sport]]="","",LayTable[[#This Row],[LayInnsats]]*(LayTable[[#This Row],[LayOdds]]-1))</f>
        <v/>
      </c>
      <c r="N1004" s="45" t="str">
        <f>IF(LayTable[[#This Row],[Sport]]="","",1/((1/LayTable[[#This Row],[BookieOdds]])+(1/((1/((1+((LayTable[[#This Row],[LayOdds]]-1)*(1+LayTable[[#This Row],[C% Lay]])))-1))+1)))-1)</f>
        <v/>
      </c>
      <c r="Q1004" s="46" t="str">
        <f>IF(LayTable[[#This Row],[Sport]]="","",LayTable[[#This Row],[BookieInnsats]]+LayTable[[#This Row],[LayLiability]])</f>
        <v/>
      </c>
      <c r="R10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4" s="47" t="str">
        <f>IF(LayTable[[#This Row],[Utfall bookie]]="","",LayTable[[#This Row],[WBABack]]+LayTable[[#This Row],[WBALay]]-LayTable[[#This Row],[Total inns]])</f>
        <v/>
      </c>
      <c r="U10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4" s="48" t="str">
        <f>IFERROR(IF(LayTable[[#This Row],[Total inns]]="","",LayTable[[#This Row],[Rback]]/LayTable[[#This Row],[Total inns]]),"")</f>
        <v/>
      </c>
      <c r="X1004" s="48" t="str">
        <f>IFERROR(IF(LayTable[[#This Row],[Total inns]]="","",LayTable[[#This Row],[Rlay]]/LayTable[[#This Row],[Total inns]]),"")</f>
        <v/>
      </c>
      <c r="Y1004" s="48" t="str">
        <f>IFERROR(LayTable[[#This Row],[Faktisk res]]/LayTable[[#This Row],[Total inns]],"")</f>
        <v/>
      </c>
      <c r="Z1004" s="47">
        <f>(LayTable[[#This Row],[BookieInnsats]]*LayTable[[#This Row],[BookieOdds]]-LayTable[[#This Row],[BookieInnsats]])*(1-LayTable[[#This Row],[C% Bookie]])</f>
        <v>0</v>
      </c>
      <c r="AA1004" s="43">
        <f>LayTable[[#This Row],[LayInnsats]]*(1-LayTable[[#This Row],[C% Lay]])</f>
        <v>0</v>
      </c>
      <c r="AB1004" s="43" t="str">
        <f>IFERROR(IF(LayTable[[#This Row],[Sport]]="",AB1003,LayTable[[#This Row],[Faktisk res]]+AB1003),"")</f>
        <v/>
      </c>
      <c r="AC1004" s="43">
        <f>(LayTable[[#This Row],[BackWin-Commission]]+LayTable[[#This Row],[BookieInnsats]])</f>
        <v>0</v>
      </c>
      <c r="AD1004" s="43" t="e">
        <f>(LayTable[[#This Row],[LayWin-Commission]])+LayTable[[#This Row],[LayLiability]]</f>
        <v>#VALUE!</v>
      </c>
      <c r="AE1004" s="43"/>
      <c r="AF1004" s="181"/>
    </row>
    <row r="1005" spans="1:32">
      <c r="A1005" s="84"/>
      <c r="B1005" s="39"/>
      <c r="C1005" s="40"/>
      <c r="D1005" s="41"/>
      <c r="E1005" s="40"/>
      <c r="F1005" s="41"/>
      <c r="G1005" s="183"/>
      <c r="H1005" s="38"/>
      <c r="I1005" s="42"/>
      <c r="J1005" s="42"/>
      <c r="K1005" s="43"/>
      <c r="L1005" s="43"/>
      <c r="M1005" s="44" t="str">
        <f>IF(LayTable[[#This Row],[Sport]]="","",LayTable[[#This Row],[LayInnsats]]*(LayTable[[#This Row],[LayOdds]]-1))</f>
        <v/>
      </c>
      <c r="N1005" s="45" t="str">
        <f>IF(LayTable[[#This Row],[Sport]]="","",1/((1/LayTable[[#This Row],[BookieOdds]])+(1/((1/((1+((LayTable[[#This Row],[LayOdds]]-1)*(1+LayTable[[#This Row],[C% Lay]])))-1))+1)))-1)</f>
        <v/>
      </c>
      <c r="Q1005" s="46" t="str">
        <f>IF(LayTable[[#This Row],[Sport]]="","",LayTable[[#This Row],[BookieInnsats]]+LayTable[[#This Row],[LayLiability]])</f>
        <v/>
      </c>
      <c r="R10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5" s="47" t="str">
        <f>IF(LayTable[[#This Row],[Utfall bookie]]="","",LayTable[[#This Row],[WBABack]]+LayTable[[#This Row],[WBALay]]-LayTable[[#This Row],[Total inns]])</f>
        <v/>
      </c>
      <c r="U10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5" s="48" t="str">
        <f>IFERROR(IF(LayTable[[#This Row],[Total inns]]="","",LayTable[[#This Row],[Rback]]/LayTable[[#This Row],[Total inns]]),"")</f>
        <v/>
      </c>
      <c r="X1005" s="48" t="str">
        <f>IFERROR(IF(LayTable[[#This Row],[Total inns]]="","",LayTable[[#This Row],[Rlay]]/LayTable[[#This Row],[Total inns]]),"")</f>
        <v/>
      </c>
      <c r="Y1005" s="48" t="str">
        <f>IFERROR(LayTable[[#This Row],[Faktisk res]]/LayTable[[#This Row],[Total inns]],"")</f>
        <v/>
      </c>
      <c r="Z1005" s="47">
        <f>(LayTable[[#This Row],[BookieInnsats]]*LayTable[[#This Row],[BookieOdds]]-LayTable[[#This Row],[BookieInnsats]])*(1-LayTable[[#This Row],[C% Bookie]])</f>
        <v>0</v>
      </c>
      <c r="AA1005" s="43">
        <f>LayTable[[#This Row],[LayInnsats]]*(1-LayTable[[#This Row],[C% Lay]])</f>
        <v>0</v>
      </c>
      <c r="AB1005" s="43" t="str">
        <f>IFERROR(IF(LayTable[[#This Row],[Sport]]="",AB1004,LayTable[[#This Row],[Faktisk res]]+AB1004),"")</f>
        <v/>
      </c>
      <c r="AC1005" s="43">
        <f>(LayTable[[#This Row],[BackWin-Commission]]+LayTable[[#This Row],[BookieInnsats]])</f>
        <v>0</v>
      </c>
      <c r="AD1005" s="43" t="e">
        <f>(LayTable[[#This Row],[LayWin-Commission]])+LayTable[[#This Row],[LayLiability]]</f>
        <v>#VALUE!</v>
      </c>
      <c r="AE1005" s="43"/>
      <c r="AF1005" s="181"/>
    </row>
    <row r="1006" spans="1:32">
      <c r="A1006" s="84"/>
      <c r="B1006" s="39"/>
      <c r="C1006" s="40"/>
      <c r="D1006" s="41"/>
      <c r="E1006" s="40"/>
      <c r="F1006" s="41"/>
      <c r="G1006" s="183"/>
      <c r="H1006" s="38"/>
      <c r="I1006" s="42"/>
      <c r="J1006" s="42"/>
      <c r="K1006" s="43"/>
      <c r="L1006" s="43"/>
      <c r="M1006" s="44" t="str">
        <f>IF(LayTable[[#This Row],[Sport]]="","",LayTable[[#This Row],[LayInnsats]]*(LayTable[[#This Row],[LayOdds]]-1))</f>
        <v/>
      </c>
      <c r="N1006" s="45" t="str">
        <f>IF(LayTable[[#This Row],[Sport]]="","",1/((1/LayTable[[#This Row],[BookieOdds]])+(1/((1/((1+((LayTable[[#This Row],[LayOdds]]-1)*(1+LayTable[[#This Row],[C% Lay]])))-1))+1)))-1)</f>
        <v/>
      </c>
      <c r="Q1006" s="46" t="str">
        <f>IF(LayTable[[#This Row],[Sport]]="","",LayTable[[#This Row],[BookieInnsats]]+LayTable[[#This Row],[LayLiability]])</f>
        <v/>
      </c>
      <c r="R10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6" s="47" t="str">
        <f>IF(LayTable[[#This Row],[Utfall bookie]]="","",LayTable[[#This Row],[WBABack]]+LayTable[[#This Row],[WBALay]]-LayTable[[#This Row],[Total inns]])</f>
        <v/>
      </c>
      <c r="U10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6" s="48" t="str">
        <f>IFERROR(IF(LayTable[[#This Row],[Total inns]]="","",LayTable[[#This Row],[Rback]]/LayTable[[#This Row],[Total inns]]),"")</f>
        <v/>
      </c>
      <c r="X1006" s="48" t="str">
        <f>IFERROR(IF(LayTable[[#This Row],[Total inns]]="","",LayTable[[#This Row],[Rlay]]/LayTable[[#This Row],[Total inns]]),"")</f>
        <v/>
      </c>
      <c r="Y1006" s="48" t="str">
        <f>IFERROR(LayTable[[#This Row],[Faktisk res]]/LayTable[[#This Row],[Total inns]],"")</f>
        <v/>
      </c>
      <c r="Z1006" s="47">
        <f>(LayTable[[#This Row],[BookieInnsats]]*LayTable[[#This Row],[BookieOdds]]-LayTable[[#This Row],[BookieInnsats]])*(1-LayTable[[#This Row],[C% Bookie]])</f>
        <v>0</v>
      </c>
      <c r="AA1006" s="43">
        <f>LayTable[[#This Row],[LayInnsats]]*(1-LayTable[[#This Row],[C% Lay]])</f>
        <v>0</v>
      </c>
      <c r="AB1006" s="43" t="str">
        <f>IFERROR(IF(LayTable[[#This Row],[Sport]]="",AB1005,LayTable[[#This Row],[Faktisk res]]+AB1005),"")</f>
        <v/>
      </c>
      <c r="AC1006" s="43">
        <f>(LayTable[[#This Row],[BackWin-Commission]]+LayTable[[#This Row],[BookieInnsats]])</f>
        <v>0</v>
      </c>
      <c r="AD1006" s="43" t="e">
        <f>(LayTable[[#This Row],[LayWin-Commission]])+LayTable[[#This Row],[LayLiability]]</f>
        <v>#VALUE!</v>
      </c>
      <c r="AE1006" s="43"/>
      <c r="AF1006" s="181"/>
    </row>
    <row r="1007" spans="1:32">
      <c r="A1007" s="84"/>
      <c r="B1007" s="39"/>
      <c r="C1007" s="40"/>
      <c r="D1007" s="41"/>
      <c r="E1007" s="40"/>
      <c r="F1007" s="41"/>
      <c r="G1007" s="183"/>
      <c r="H1007" s="38"/>
      <c r="I1007" s="42"/>
      <c r="J1007" s="42"/>
      <c r="K1007" s="43"/>
      <c r="L1007" s="43"/>
      <c r="M1007" s="44" t="str">
        <f>IF(LayTable[[#This Row],[Sport]]="","",LayTable[[#This Row],[LayInnsats]]*(LayTable[[#This Row],[LayOdds]]-1))</f>
        <v/>
      </c>
      <c r="N1007" s="45" t="str">
        <f>IF(LayTable[[#This Row],[Sport]]="","",1/((1/LayTable[[#This Row],[BookieOdds]])+(1/((1/((1+((LayTable[[#This Row],[LayOdds]]-1)*(1+LayTable[[#This Row],[C% Lay]])))-1))+1)))-1)</f>
        <v/>
      </c>
      <c r="Q1007" s="46" t="str">
        <f>IF(LayTable[[#This Row],[Sport]]="","",LayTable[[#This Row],[BookieInnsats]]+LayTable[[#This Row],[LayLiability]])</f>
        <v/>
      </c>
      <c r="R10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7" s="47" t="str">
        <f>IF(LayTable[[#This Row],[Utfall bookie]]="","",LayTable[[#This Row],[WBABack]]+LayTable[[#This Row],[WBALay]]-LayTable[[#This Row],[Total inns]])</f>
        <v/>
      </c>
      <c r="U10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7" s="48" t="str">
        <f>IFERROR(IF(LayTable[[#This Row],[Total inns]]="","",LayTable[[#This Row],[Rback]]/LayTable[[#This Row],[Total inns]]),"")</f>
        <v/>
      </c>
      <c r="X1007" s="48" t="str">
        <f>IFERROR(IF(LayTable[[#This Row],[Total inns]]="","",LayTable[[#This Row],[Rlay]]/LayTable[[#This Row],[Total inns]]),"")</f>
        <v/>
      </c>
      <c r="Y1007" s="48" t="str">
        <f>IFERROR(LayTable[[#This Row],[Faktisk res]]/LayTable[[#This Row],[Total inns]],"")</f>
        <v/>
      </c>
      <c r="Z1007" s="47">
        <f>(LayTable[[#This Row],[BookieInnsats]]*LayTable[[#This Row],[BookieOdds]]-LayTable[[#This Row],[BookieInnsats]])*(1-LayTable[[#This Row],[C% Bookie]])</f>
        <v>0</v>
      </c>
      <c r="AA1007" s="43">
        <f>LayTable[[#This Row],[LayInnsats]]*(1-LayTable[[#This Row],[C% Lay]])</f>
        <v>0</v>
      </c>
      <c r="AB1007" s="43" t="str">
        <f>IFERROR(IF(LayTable[[#This Row],[Sport]]="",AB1006,LayTable[[#This Row],[Faktisk res]]+AB1006),"")</f>
        <v/>
      </c>
      <c r="AC1007" s="43">
        <f>(LayTable[[#This Row],[BackWin-Commission]]+LayTable[[#This Row],[BookieInnsats]])</f>
        <v>0</v>
      </c>
      <c r="AD1007" s="43" t="e">
        <f>(LayTable[[#This Row],[LayWin-Commission]])+LayTable[[#This Row],[LayLiability]]</f>
        <v>#VALUE!</v>
      </c>
      <c r="AE1007" s="43"/>
      <c r="AF1007" s="181"/>
    </row>
    <row r="1008" spans="1:32">
      <c r="A1008" s="84"/>
      <c r="B1008" s="39"/>
      <c r="C1008" s="40"/>
      <c r="D1008" s="41"/>
      <c r="E1008" s="40"/>
      <c r="F1008" s="41"/>
      <c r="G1008" s="183"/>
      <c r="H1008" s="38"/>
      <c r="I1008" s="42"/>
      <c r="J1008" s="42"/>
      <c r="K1008" s="43"/>
      <c r="L1008" s="43"/>
      <c r="M1008" s="44" t="str">
        <f>IF(LayTable[[#This Row],[Sport]]="","",LayTable[[#This Row],[LayInnsats]]*(LayTable[[#This Row],[LayOdds]]-1))</f>
        <v/>
      </c>
      <c r="N1008" s="45" t="str">
        <f>IF(LayTable[[#This Row],[Sport]]="","",1/((1/LayTable[[#This Row],[BookieOdds]])+(1/((1/((1+((LayTable[[#This Row],[LayOdds]]-1)*(1+LayTable[[#This Row],[C% Lay]])))-1))+1)))-1)</f>
        <v/>
      </c>
      <c r="Q1008" s="46" t="str">
        <f>IF(LayTable[[#This Row],[Sport]]="","",LayTable[[#This Row],[BookieInnsats]]+LayTable[[#This Row],[LayLiability]])</f>
        <v/>
      </c>
      <c r="R10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8" s="47" t="str">
        <f>IF(LayTable[[#This Row],[Utfall bookie]]="","",LayTable[[#This Row],[WBABack]]+LayTable[[#This Row],[WBALay]]-LayTable[[#This Row],[Total inns]])</f>
        <v/>
      </c>
      <c r="U10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8" s="48" t="str">
        <f>IFERROR(IF(LayTable[[#This Row],[Total inns]]="","",LayTable[[#This Row],[Rback]]/LayTable[[#This Row],[Total inns]]),"")</f>
        <v/>
      </c>
      <c r="X1008" s="48" t="str">
        <f>IFERROR(IF(LayTable[[#This Row],[Total inns]]="","",LayTable[[#This Row],[Rlay]]/LayTable[[#This Row],[Total inns]]),"")</f>
        <v/>
      </c>
      <c r="Y1008" s="48" t="str">
        <f>IFERROR(LayTable[[#This Row],[Faktisk res]]/LayTable[[#This Row],[Total inns]],"")</f>
        <v/>
      </c>
      <c r="Z1008" s="47">
        <f>(LayTable[[#This Row],[BookieInnsats]]*LayTable[[#This Row],[BookieOdds]]-LayTable[[#This Row],[BookieInnsats]])*(1-LayTable[[#This Row],[C% Bookie]])</f>
        <v>0</v>
      </c>
      <c r="AA1008" s="43">
        <f>LayTable[[#This Row],[LayInnsats]]*(1-LayTable[[#This Row],[C% Lay]])</f>
        <v>0</v>
      </c>
      <c r="AB1008" s="43" t="str">
        <f>IFERROR(IF(LayTable[[#This Row],[Sport]]="",AB1007,LayTable[[#This Row],[Faktisk res]]+AB1007),"")</f>
        <v/>
      </c>
      <c r="AC1008" s="43">
        <f>(LayTable[[#This Row],[BackWin-Commission]]+LayTable[[#This Row],[BookieInnsats]])</f>
        <v>0</v>
      </c>
      <c r="AD1008" s="43" t="e">
        <f>(LayTable[[#This Row],[LayWin-Commission]])+LayTable[[#This Row],[LayLiability]]</f>
        <v>#VALUE!</v>
      </c>
      <c r="AE1008" s="43"/>
      <c r="AF1008" s="181"/>
    </row>
    <row r="1009" spans="1:32">
      <c r="A1009" s="84"/>
      <c r="B1009" s="39"/>
      <c r="C1009" s="40"/>
      <c r="D1009" s="41"/>
      <c r="E1009" s="40"/>
      <c r="F1009" s="41"/>
      <c r="G1009" s="183"/>
      <c r="H1009" s="38"/>
      <c r="I1009" s="42"/>
      <c r="J1009" s="42"/>
      <c r="K1009" s="43"/>
      <c r="L1009" s="43"/>
      <c r="M1009" s="44" t="str">
        <f>IF(LayTable[[#This Row],[Sport]]="","",LayTable[[#This Row],[LayInnsats]]*(LayTable[[#This Row],[LayOdds]]-1))</f>
        <v/>
      </c>
      <c r="N1009" s="45" t="str">
        <f>IF(LayTable[[#This Row],[Sport]]="","",1/((1/LayTable[[#This Row],[BookieOdds]])+(1/((1/((1+((LayTable[[#This Row],[LayOdds]]-1)*(1+LayTable[[#This Row],[C% Lay]])))-1))+1)))-1)</f>
        <v/>
      </c>
      <c r="Q1009" s="46" t="str">
        <f>IF(LayTable[[#This Row],[Sport]]="","",LayTable[[#This Row],[BookieInnsats]]+LayTable[[#This Row],[LayLiability]])</f>
        <v/>
      </c>
      <c r="R10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09" s="47" t="str">
        <f>IF(LayTable[[#This Row],[Utfall bookie]]="","",LayTable[[#This Row],[WBABack]]+LayTable[[#This Row],[WBALay]]-LayTable[[#This Row],[Total inns]])</f>
        <v/>
      </c>
      <c r="U10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09" s="48" t="str">
        <f>IFERROR(IF(LayTable[[#This Row],[Total inns]]="","",LayTable[[#This Row],[Rback]]/LayTable[[#This Row],[Total inns]]),"")</f>
        <v/>
      </c>
      <c r="X1009" s="48" t="str">
        <f>IFERROR(IF(LayTable[[#This Row],[Total inns]]="","",LayTable[[#This Row],[Rlay]]/LayTable[[#This Row],[Total inns]]),"")</f>
        <v/>
      </c>
      <c r="Y1009" s="48" t="str">
        <f>IFERROR(LayTable[[#This Row],[Faktisk res]]/LayTable[[#This Row],[Total inns]],"")</f>
        <v/>
      </c>
      <c r="Z1009" s="47">
        <f>(LayTable[[#This Row],[BookieInnsats]]*LayTable[[#This Row],[BookieOdds]]-LayTable[[#This Row],[BookieInnsats]])*(1-LayTable[[#This Row],[C% Bookie]])</f>
        <v>0</v>
      </c>
      <c r="AA1009" s="43">
        <f>LayTable[[#This Row],[LayInnsats]]*(1-LayTable[[#This Row],[C% Lay]])</f>
        <v>0</v>
      </c>
      <c r="AB1009" s="43" t="str">
        <f>IFERROR(IF(LayTable[[#This Row],[Sport]]="",AB1008,LayTable[[#This Row],[Faktisk res]]+AB1008),"")</f>
        <v/>
      </c>
      <c r="AC1009" s="43">
        <f>(LayTable[[#This Row],[BackWin-Commission]]+LayTable[[#This Row],[BookieInnsats]])</f>
        <v>0</v>
      </c>
      <c r="AD1009" s="43" t="e">
        <f>(LayTable[[#This Row],[LayWin-Commission]])+LayTable[[#This Row],[LayLiability]]</f>
        <v>#VALUE!</v>
      </c>
      <c r="AE1009" s="43"/>
      <c r="AF1009" s="181"/>
    </row>
    <row r="1010" spans="1:32">
      <c r="A1010" s="84"/>
      <c r="B1010" s="39"/>
      <c r="C1010" s="40"/>
      <c r="D1010" s="41"/>
      <c r="E1010" s="40"/>
      <c r="F1010" s="41"/>
      <c r="G1010" s="183"/>
      <c r="H1010" s="38"/>
      <c r="I1010" s="42"/>
      <c r="J1010" s="42"/>
      <c r="K1010" s="43"/>
      <c r="L1010" s="43"/>
      <c r="M1010" s="44" t="str">
        <f>IF(LayTable[[#This Row],[Sport]]="","",LayTable[[#This Row],[LayInnsats]]*(LayTable[[#This Row],[LayOdds]]-1))</f>
        <v/>
      </c>
      <c r="N1010" s="45" t="str">
        <f>IF(LayTable[[#This Row],[Sport]]="","",1/((1/LayTable[[#This Row],[BookieOdds]])+(1/((1/((1+((LayTable[[#This Row],[LayOdds]]-1)*(1+LayTable[[#This Row],[C% Lay]])))-1))+1)))-1)</f>
        <v/>
      </c>
      <c r="Q1010" s="46" t="str">
        <f>IF(LayTable[[#This Row],[Sport]]="","",LayTable[[#This Row],[BookieInnsats]]+LayTable[[#This Row],[LayLiability]])</f>
        <v/>
      </c>
      <c r="R10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0" s="47" t="str">
        <f>IF(LayTable[[#This Row],[Utfall bookie]]="","",LayTable[[#This Row],[WBABack]]+LayTable[[#This Row],[WBALay]]-LayTable[[#This Row],[Total inns]])</f>
        <v/>
      </c>
      <c r="U10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0" s="48" t="str">
        <f>IFERROR(IF(LayTable[[#This Row],[Total inns]]="","",LayTable[[#This Row],[Rback]]/LayTable[[#This Row],[Total inns]]),"")</f>
        <v/>
      </c>
      <c r="X1010" s="48" t="str">
        <f>IFERROR(IF(LayTable[[#This Row],[Total inns]]="","",LayTable[[#This Row],[Rlay]]/LayTable[[#This Row],[Total inns]]),"")</f>
        <v/>
      </c>
      <c r="Y1010" s="48" t="str">
        <f>IFERROR(LayTable[[#This Row],[Faktisk res]]/LayTable[[#This Row],[Total inns]],"")</f>
        <v/>
      </c>
      <c r="Z1010" s="47">
        <f>(LayTable[[#This Row],[BookieInnsats]]*LayTable[[#This Row],[BookieOdds]]-LayTable[[#This Row],[BookieInnsats]])*(1-LayTable[[#This Row],[C% Bookie]])</f>
        <v>0</v>
      </c>
      <c r="AA1010" s="43">
        <f>LayTable[[#This Row],[LayInnsats]]*(1-LayTable[[#This Row],[C% Lay]])</f>
        <v>0</v>
      </c>
      <c r="AB1010" s="43" t="str">
        <f>IFERROR(IF(LayTable[[#This Row],[Sport]]="",AB1009,LayTable[[#This Row],[Faktisk res]]+AB1009),"")</f>
        <v/>
      </c>
      <c r="AC1010" s="43">
        <f>(LayTable[[#This Row],[BackWin-Commission]]+LayTable[[#This Row],[BookieInnsats]])</f>
        <v>0</v>
      </c>
      <c r="AD1010" s="43" t="e">
        <f>(LayTable[[#This Row],[LayWin-Commission]])+LayTable[[#This Row],[LayLiability]]</f>
        <v>#VALUE!</v>
      </c>
      <c r="AE1010" s="43"/>
      <c r="AF1010" s="181"/>
    </row>
    <row r="1011" spans="1:32">
      <c r="A1011" s="84"/>
      <c r="B1011" s="39"/>
      <c r="C1011" s="40"/>
      <c r="D1011" s="41"/>
      <c r="E1011" s="40"/>
      <c r="F1011" s="41"/>
      <c r="G1011" s="183"/>
      <c r="H1011" s="38"/>
      <c r="I1011" s="42"/>
      <c r="J1011" s="42"/>
      <c r="K1011" s="43"/>
      <c r="L1011" s="43"/>
      <c r="M1011" s="44" t="str">
        <f>IF(LayTable[[#This Row],[Sport]]="","",LayTable[[#This Row],[LayInnsats]]*(LayTable[[#This Row],[LayOdds]]-1))</f>
        <v/>
      </c>
      <c r="N1011" s="45" t="str">
        <f>IF(LayTable[[#This Row],[Sport]]="","",1/((1/LayTable[[#This Row],[BookieOdds]])+(1/((1/((1+((LayTable[[#This Row],[LayOdds]]-1)*(1+LayTable[[#This Row],[C% Lay]])))-1))+1)))-1)</f>
        <v/>
      </c>
      <c r="Q1011" s="46" t="str">
        <f>IF(LayTable[[#This Row],[Sport]]="","",LayTable[[#This Row],[BookieInnsats]]+LayTable[[#This Row],[LayLiability]])</f>
        <v/>
      </c>
      <c r="R10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1" s="47" t="str">
        <f>IF(LayTable[[#This Row],[Utfall bookie]]="","",LayTable[[#This Row],[WBABack]]+LayTable[[#This Row],[WBALay]]-LayTable[[#This Row],[Total inns]])</f>
        <v/>
      </c>
      <c r="U10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1" s="48" t="str">
        <f>IFERROR(IF(LayTable[[#This Row],[Total inns]]="","",LayTable[[#This Row],[Rback]]/LayTable[[#This Row],[Total inns]]),"")</f>
        <v/>
      </c>
      <c r="X1011" s="48" t="str">
        <f>IFERROR(IF(LayTable[[#This Row],[Total inns]]="","",LayTable[[#This Row],[Rlay]]/LayTable[[#This Row],[Total inns]]),"")</f>
        <v/>
      </c>
      <c r="Y1011" s="48" t="str">
        <f>IFERROR(LayTable[[#This Row],[Faktisk res]]/LayTable[[#This Row],[Total inns]],"")</f>
        <v/>
      </c>
      <c r="Z1011" s="47">
        <f>(LayTable[[#This Row],[BookieInnsats]]*LayTable[[#This Row],[BookieOdds]]-LayTable[[#This Row],[BookieInnsats]])*(1-LayTable[[#This Row],[C% Bookie]])</f>
        <v>0</v>
      </c>
      <c r="AA1011" s="43">
        <f>LayTable[[#This Row],[LayInnsats]]*(1-LayTable[[#This Row],[C% Lay]])</f>
        <v>0</v>
      </c>
      <c r="AB1011" s="43" t="str">
        <f>IFERROR(IF(LayTable[[#This Row],[Sport]]="",#REF!,LayTable[[#This Row],[Faktisk res]]+#REF!),"")</f>
        <v/>
      </c>
      <c r="AC1011" s="43">
        <f>(LayTable[[#This Row],[BackWin-Commission]]+LayTable[[#This Row],[BookieInnsats]])</f>
        <v>0</v>
      </c>
      <c r="AD1011" s="43" t="e">
        <f>(LayTable[[#This Row],[LayWin-Commission]])+LayTable[[#This Row],[LayLiability]]</f>
        <v>#VALUE!</v>
      </c>
      <c r="AE1011" s="43"/>
      <c r="AF1011" s="181"/>
    </row>
    <row r="1012" spans="1:32">
      <c r="A1012" s="84"/>
      <c r="B1012" s="39"/>
      <c r="C1012" s="40"/>
      <c r="D1012" s="41"/>
      <c r="E1012" s="40"/>
      <c r="F1012" s="41"/>
      <c r="G1012" s="183"/>
      <c r="H1012" s="38"/>
      <c r="I1012" s="42"/>
      <c r="J1012" s="42"/>
      <c r="K1012" s="43"/>
      <c r="L1012" s="43"/>
      <c r="M1012" s="44" t="str">
        <f>IF(LayTable[[#This Row],[Sport]]="","",LayTable[[#This Row],[LayInnsats]]*(LayTable[[#This Row],[LayOdds]]-1))</f>
        <v/>
      </c>
      <c r="N1012" s="45" t="str">
        <f>IF(LayTable[[#This Row],[Sport]]="","",1/((1/LayTable[[#This Row],[BookieOdds]])+(1/((1/((1+((LayTable[[#This Row],[LayOdds]]-1)*(1+LayTable[[#This Row],[C% Lay]])))-1))+1)))-1)</f>
        <v/>
      </c>
      <c r="Q1012" s="46" t="str">
        <f>IF(LayTable[[#This Row],[Sport]]="","",LayTable[[#This Row],[BookieInnsats]]+LayTable[[#This Row],[LayLiability]])</f>
        <v/>
      </c>
      <c r="R10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2" s="47" t="str">
        <f>IF(LayTable[[#This Row],[Utfall bookie]]="","",LayTable[[#This Row],[WBABack]]+LayTable[[#This Row],[WBALay]]-LayTable[[#This Row],[Total inns]])</f>
        <v/>
      </c>
      <c r="U10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2" s="48" t="str">
        <f>IFERROR(IF(LayTable[[#This Row],[Total inns]]="","",LayTable[[#This Row],[Rback]]/LayTable[[#This Row],[Total inns]]),"")</f>
        <v/>
      </c>
      <c r="X1012" s="48" t="str">
        <f>IFERROR(IF(LayTable[[#This Row],[Total inns]]="","",LayTable[[#This Row],[Rlay]]/LayTable[[#This Row],[Total inns]]),"")</f>
        <v/>
      </c>
      <c r="Y1012" s="48" t="str">
        <f>IFERROR(LayTable[[#This Row],[Faktisk res]]/LayTable[[#This Row],[Total inns]],"")</f>
        <v/>
      </c>
      <c r="Z1012" s="47">
        <f>(LayTable[[#This Row],[BookieInnsats]]*LayTable[[#This Row],[BookieOdds]]-LayTable[[#This Row],[BookieInnsats]])*(1-LayTable[[#This Row],[C% Bookie]])</f>
        <v>0</v>
      </c>
      <c r="AA1012" s="43">
        <f>LayTable[[#This Row],[LayInnsats]]*(1-LayTable[[#This Row],[C% Lay]])</f>
        <v>0</v>
      </c>
      <c r="AB1012" s="43" t="str">
        <f>IFERROR(IF(LayTable[[#This Row],[Sport]]="",AB1011,LayTable[[#This Row],[Faktisk res]]+AB1011),"")</f>
        <v/>
      </c>
      <c r="AC1012" s="43">
        <f>(LayTable[[#This Row],[BackWin-Commission]]+LayTable[[#This Row],[BookieInnsats]])</f>
        <v>0</v>
      </c>
      <c r="AD1012" s="43" t="e">
        <f>(LayTable[[#This Row],[LayWin-Commission]])+LayTable[[#This Row],[LayLiability]]</f>
        <v>#VALUE!</v>
      </c>
      <c r="AE1012" s="43"/>
      <c r="AF1012" s="181"/>
    </row>
    <row r="1013" spans="1:32">
      <c r="A1013" s="84"/>
      <c r="B1013" s="39"/>
      <c r="C1013" s="40"/>
      <c r="D1013" s="41"/>
      <c r="E1013" s="40"/>
      <c r="F1013" s="41"/>
      <c r="G1013" s="183"/>
      <c r="H1013" s="38"/>
      <c r="I1013" s="42"/>
      <c r="J1013" s="42"/>
      <c r="K1013" s="43"/>
      <c r="L1013" s="43"/>
      <c r="M1013" s="44" t="str">
        <f>IF(LayTable[[#This Row],[Sport]]="","",LayTable[[#This Row],[LayInnsats]]*(LayTable[[#This Row],[LayOdds]]-1))</f>
        <v/>
      </c>
      <c r="N1013" s="45" t="str">
        <f>IF(LayTable[[#This Row],[Sport]]="","",1/((1/LayTable[[#This Row],[BookieOdds]])+(1/((1/((1+((LayTable[[#This Row],[LayOdds]]-1)*(1+LayTable[[#This Row],[C% Lay]])))-1))+1)))-1)</f>
        <v/>
      </c>
      <c r="Q1013" s="46" t="str">
        <f>IF(LayTable[[#This Row],[Sport]]="","",LayTable[[#This Row],[BookieInnsats]]+LayTable[[#This Row],[LayLiability]])</f>
        <v/>
      </c>
      <c r="R10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3" s="47" t="str">
        <f>IF(LayTable[[#This Row],[Utfall bookie]]="","",LayTable[[#This Row],[WBABack]]+LayTable[[#This Row],[WBALay]]-LayTable[[#This Row],[Total inns]])</f>
        <v/>
      </c>
      <c r="U10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3" s="48" t="str">
        <f>IFERROR(IF(LayTable[[#This Row],[Total inns]]="","",LayTable[[#This Row],[Rback]]/LayTable[[#This Row],[Total inns]]),"")</f>
        <v/>
      </c>
      <c r="X1013" s="48" t="str">
        <f>IFERROR(IF(LayTable[[#This Row],[Total inns]]="","",LayTable[[#This Row],[Rlay]]/LayTable[[#This Row],[Total inns]]),"")</f>
        <v/>
      </c>
      <c r="Y1013" s="48" t="str">
        <f>IFERROR(LayTable[[#This Row],[Faktisk res]]/LayTable[[#This Row],[Total inns]],"")</f>
        <v/>
      </c>
      <c r="Z1013" s="47">
        <f>(LayTable[[#This Row],[BookieInnsats]]*LayTable[[#This Row],[BookieOdds]]-LayTable[[#This Row],[BookieInnsats]])*(1-LayTable[[#This Row],[C% Bookie]])</f>
        <v>0</v>
      </c>
      <c r="AA1013" s="43">
        <f>LayTable[[#This Row],[LayInnsats]]*(1-LayTable[[#This Row],[C% Lay]])</f>
        <v>0</v>
      </c>
      <c r="AB1013" s="43" t="str">
        <f>IFERROR(IF(LayTable[[#This Row],[Sport]]="",AB1012,LayTable[[#This Row],[Faktisk res]]+AB1012),"")</f>
        <v/>
      </c>
      <c r="AC1013" s="43">
        <f>(LayTable[[#This Row],[BackWin-Commission]]+LayTable[[#This Row],[BookieInnsats]])</f>
        <v>0</v>
      </c>
      <c r="AD1013" s="43" t="e">
        <f>(LayTable[[#This Row],[LayWin-Commission]])+LayTable[[#This Row],[LayLiability]]</f>
        <v>#VALUE!</v>
      </c>
      <c r="AE1013" s="43"/>
      <c r="AF1013" s="181"/>
    </row>
    <row r="1014" spans="1:32">
      <c r="A1014" s="84"/>
      <c r="B1014" s="39"/>
      <c r="C1014" s="40"/>
      <c r="D1014" s="41"/>
      <c r="E1014" s="40"/>
      <c r="F1014" s="41"/>
      <c r="G1014" s="183"/>
      <c r="H1014" s="38"/>
      <c r="I1014" s="42"/>
      <c r="J1014" s="42"/>
      <c r="K1014" s="43"/>
      <c r="L1014" s="43"/>
      <c r="M1014" s="44" t="str">
        <f>IF(LayTable[[#This Row],[Sport]]="","",LayTable[[#This Row],[LayInnsats]]*(LayTable[[#This Row],[LayOdds]]-1))</f>
        <v/>
      </c>
      <c r="N1014" s="45" t="str">
        <f>IF(LayTable[[#This Row],[Sport]]="","",1/((1/LayTable[[#This Row],[BookieOdds]])+(1/((1/((1+((LayTable[[#This Row],[LayOdds]]-1)*(1+LayTable[[#This Row],[C% Lay]])))-1))+1)))-1)</f>
        <v/>
      </c>
      <c r="Q1014" s="46" t="str">
        <f>IF(LayTable[[#This Row],[Sport]]="","",LayTable[[#This Row],[BookieInnsats]]+LayTable[[#This Row],[LayLiability]])</f>
        <v/>
      </c>
      <c r="R10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4" s="47" t="str">
        <f>IF(LayTable[[#This Row],[Utfall bookie]]="","",LayTable[[#This Row],[WBABack]]+LayTable[[#This Row],[WBALay]]-LayTable[[#This Row],[Total inns]])</f>
        <v/>
      </c>
      <c r="U10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4" s="48" t="str">
        <f>IFERROR(IF(LayTable[[#This Row],[Total inns]]="","",LayTable[[#This Row],[Rback]]/LayTable[[#This Row],[Total inns]]),"")</f>
        <v/>
      </c>
      <c r="X1014" s="48" t="str">
        <f>IFERROR(IF(LayTable[[#This Row],[Total inns]]="","",LayTable[[#This Row],[Rlay]]/LayTable[[#This Row],[Total inns]]),"")</f>
        <v/>
      </c>
      <c r="Y1014" s="48" t="str">
        <f>IFERROR(LayTable[[#This Row],[Faktisk res]]/LayTable[[#This Row],[Total inns]],"")</f>
        <v/>
      </c>
      <c r="Z1014" s="47">
        <f>(LayTable[[#This Row],[BookieInnsats]]*LayTable[[#This Row],[BookieOdds]]-LayTable[[#This Row],[BookieInnsats]])*(1-LayTable[[#This Row],[C% Bookie]])</f>
        <v>0</v>
      </c>
      <c r="AA1014" s="43">
        <f>LayTable[[#This Row],[LayInnsats]]*(1-LayTable[[#This Row],[C% Lay]])</f>
        <v>0</v>
      </c>
      <c r="AB1014" s="43" t="str">
        <f>IFERROR(IF(LayTable[[#This Row],[Sport]]="",AB1013,LayTable[[#This Row],[Faktisk res]]+AB1013),"")</f>
        <v/>
      </c>
      <c r="AC1014" s="43">
        <f>(LayTable[[#This Row],[BackWin-Commission]]+LayTable[[#This Row],[BookieInnsats]])</f>
        <v>0</v>
      </c>
      <c r="AD1014" s="43" t="e">
        <f>(LayTable[[#This Row],[LayWin-Commission]])+LayTable[[#This Row],[LayLiability]]</f>
        <v>#VALUE!</v>
      </c>
      <c r="AE1014" s="43"/>
      <c r="AF1014" s="181"/>
    </row>
    <row r="1015" spans="1:32">
      <c r="A1015" s="84"/>
      <c r="B1015" s="39"/>
      <c r="C1015" s="40"/>
      <c r="D1015" s="41"/>
      <c r="E1015" s="40"/>
      <c r="F1015" s="41"/>
      <c r="G1015" s="183"/>
      <c r="H1015" s="38"/>
      <c r="I1015" s="42"/>
      <c r="J1015" s="42"/>
      <c r="K1015" s="43"/>
      <c r="L1015" s="43"/>
      <c r="M1015" s="44" t="str">
        <f>IF(LayTable[[#This Row],[Sport]]="","",LayTable[[#This Row],[LayInnsats]]*(LayTable[[#This Row],[LayOdds]]-1))</f>
        <v/>
      </c>
      <c r="N1015" s="45" t="str">
        <f>IF(LayTable[[#This Row],[Sport]]="","",1/((1/LayTable[[#This Row],[BookieOdds]])+(1/((1/((1+((LayTable[[#This Row],[LayOdds]]-1)*(1+LayTable[[#This Row],[C% Lay]])))-1))+1)))-1)</f>
        <v/>
      </c>
      <c r="Q1015" s="46" t="str">
        <f>IF(LayTable[[#This Row],[Sport]]="","",LayTable[[#This Row],[BookieInnsats]]+LayTable[[#This Row],[LayLiability]])</f>
        <v/>
      </c>
      <c r="R10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5" s="47" t="str">
        <f>IF(LayTable[[#This Row],[Utfall bookie]]="","",LayTable[[#This Row],[WBABack]]+LayTable[[#This Row],[WBALay]]-LayTable[[#This Row],[Total inns]])</f>
        <v/>
      </c>
      <c r="U10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5" s="48" t="str">
        <f>IFERROR(IF(LayTable[[#This Row],[Total inns]]="","",LayTable[[#This Row],[Rback]]/LayTable[[#This Row],[Total inns]]),"")</f>
        <v/>
      </c>
      <c r="X1015" s="48" t="str">
        <f>IFERROR(IF(LayTable[[#This Row],[Total inns]]="","",LayTable[[#This Row],[Rlay]]/LayTable[[#This Row],[Total inns]]),"")</f>
        <v/>
      </c>
      <c r="Y1015" s="48" t="str">
        <f>IFERROR(LayTable[[#This Row],[Faktisk res]]/LayTable[[#This Row],[Total inns]],"")</f>
        <v/>
      </c>
      <c r="Z1015" s="47">
        <f>(LayTable[[#This Row],[BookieInnsats]]*LayTable[[#This Row],[BookieOdds]]-LayTable[[#This Row],[BookieInnsats]])*(1-LayTable[[#This Row],[C% Bookie]])</f>
        <v>0</v>
      </c>
      <c r="AA1015" s="43">
        <f>LayTable[[#This Row],[LayInnsats]]*(1-LayTable[[#This Row],[C% Lay]])</f>
        <v>0</v>
      </c>
      <c r="AB1015" s="43" t="str">
        <f>IFERROR(IF(LayTable[[#This Row],[Sport]]="",AB1014,LayTable[[#This Row],[Faktisk res]]+AB1014),"")</f>
        <v/>
      </c>
      <c r="AC1015" s="43">
        <f>(LayTable[[#This Row],[BackWin-Commission]]+LayTable[[#This Row],[BookieInnsats]])</f>
        <v>0</v>
      </c>
      <c r="AD1015" s="43" t="e">
        <f>(LayTable[[#This Row],[LayWin-Commission]])+LayTable[[#This Row],[LayLiability]]</f>
        <v>#VALUE!</v>
      </c>
      <c r="AE1015" s="43"/>
      <c r="AF1015" s="181"/>
    </row>
    <row r="1016" spans="1:32">
      <c r="A1016" s="84"/>
      <c r="B1016" s="39"/>
      <c r="C1016" s="40"/>
      <c r="D1016" s="41"/>
      <c r="E1016" s="40"/>
      <c r="F1016" s="41"/>
      <c r="G1016" s="183"/>
      <c r="H1016" s="38"/>
      <c r="I1016" s="42"/>
      <c r="J1016" s="42"/>
      <c r="K1016" s="43"/>
      <c r="L1016" s="43"/>
      <c r="M1016" s="44" t="str">
        <f>IF(LayTable[[#This Row],[Sport]]="","",LayTable[[#This Row],[LayInnsats]]*(LayTable[[#This Row],[LayOdds]]-1))</f>
        <v/>
      </c>
      <c r="N1016" s="45" t="str">
        <f>IF(LayTable[[#This Row],[Sport]]="","",1/((1/LayTable[[#This Row],[BookieOdds]])+(1/((1/((1+((LayTable[[#This Row],[LayOdds]]-1)*(1+LayTable[[#This Row],[C% Lay]])))-1))+1)))-1)</f>
        <v/>
      </c>
      <c r="Q1016" s="46" t="str">
        <f>IF(LayTable[[#This Row],[Sport]]="","",LayTable[[#This Row],[BookieInnsats]]+LayTable[[#This Row],[LayLiability]])</f>
        <v/>
      </c>
      <c r="R10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6" s="47" t="str">
        <f>IF(LayTable[[#This Row],[Utfall bookie]]="","",LayTable[[#This Row],[WBABack]]+LayTable[[#This Row],[WBALay]]-LayTable[[#This Row],[Total inns]])</f>
        <v/>
      </c>
      <c r="U10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6" s="48" t="str">
        <f>IFERROR(IF(LayTable[[#This Row],[Total inns]]="","",LayTable[[#This Row],[Rback]]/LayTable[[#This Row],[Total inns]]),"")</f>
        <v/>
      </c>
      <c r="X1016" s="48" t="str">
        <f>IFERROR(IF(LayTable[[#This Row],[Total inns]]="","",LayTable[[#This Row],[Rlay]]/LayTable[[#This Row],[Total inns]]),"")</f>
        <v/>
      </c>
      <c r="Y1016" s="48" t="str">
        <f>IFERROR(LayTable[[#This Row],[Faktisk res]]/LayTable[[#This Row],[Total inns]],"")</f>
        <v/>
      </c>
      <c r="Z1016" s="47">
        <f>(LayTable[[#This Row],[BookieInnsats]]*LayTable[[#This Row],[BookieOdds]]-LayTable[[#This Row],[BookieInnsats]])*(1-LayTable[[#This Row],[C% Bookie]])</f>
        <v>0</v>
      </c>
      <c r="AA1016" s="43">
        <f>LayTable[[#This Row],[LayInnsats]]*(1-LayTable[[#This Row],[C% Lay]])</f>
        <v>0</v>
      </c>
      <c r="AB1016" s="43" t="str">
        <f>IFERROR(IF(LayTable[[#This Row],[Sport]]="",AB1015,LayTable[[#This Row],[Faktisk res]]+AB1015),"")</f>
        <v/>
      </c>
      <c r="AC1016" s="43">
        <f>(LayTable[[#This Row],[BackWin-Commission]]+LayTable[[#This Row],[BookieInnsats]])</f>
        <v>0</v>
      </c>
      <c r="AD1016" s="43" t="e">
        <f>(LayTable[[#This Row],[LayWin-Commission]])+LayTable[[#This Row],[LayLiability]]</f>
        <v>#VALUE!</v>
      </c>
      <c r="AE1016" s="43"/>
      <c r="AF1016" s="181"/>
    </row>
    <row r="1017" spans="1:32">
      <c r="A1017" s="84"/>
      <c r="B1017" s="39"/>
      <c r="C1017" s="40"/>
      <c r="D1017" s="41"/>
      <c r="E1017" s="40"/>
      <c r="F1017" s="41"/>
      <c r="G1017" s="183"/>
      <c r="H1017" s="38"/>
      <c r="I1017" s="42"/>
      <c r="J1017" s="42"/>
      <c r="K1017" s="43"/>
      <c r="L1017" s="43"/>
      <c r="M1017" s="44" t="str">
        <f>IF(LayTable[[#This Row],[Sport]]="","",LayTable[[#This Row],[LayInnsats]]*(LayTable[[#This Row],[LayOdds]]-1))</f>
        <v/>
      </c>
      <c r="N1017" s="45" t="str">
        <f>IF(LayTable[[#This Row],[Sport]]="","",1/((1/LayTable[[#This Row],[BookieOdds]])+(1/((1/((1+((LayTable[[#This Row],[LayOdds]]-1)*(1+LayTable[[#This Row],[C% Lay]])))-1))+1)))-1)</f>
        <v/>
      </c>
      <c r="Q1017" s="46" t="str">
        <f>IF(LayTable[[#This Row],[Sport]]="","",LayTable[[#This Row],[BookieInnsats]]+LayTable[[#This Row],[LayLiability]])</f>
        <v/>
      </c>
      <c r="R10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7" s="47" t="str">
        <f>IF(LayTable[[#This Row],[Utfall bookie]]="","",LayTable[[#This Row],[WBABack]]+LayTable[[#This Row],[WBALay]]-LayTable[[#This Row],[Total inns]])</f>
        <v/>
      </c>
      <c r="U10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7" s="48" t="str">
        <f>IFERROR(IF(LayTable[[#This Row],[Total inns]]="","",LayTable[[#This Row],[Rback]]/LayTable[[#This Row],[Total inns]]),"")</f>
        <v/>
      </c>
      <c r="X1017" s="48" t="str">
        <f>IFERROR(IF(LayTable[[#This Row],[Total inns]]="","",LayTable[[#This Row],[Rlay]]/LayTable[[#This Row],[Total inns]]),"")</f>
        <v/>
      </c>
      <c r="Y1017" s="48" t="str">
        <f>IFERROR(LayTable[[#This Row],[Faktisk res]]/LayTable[[#This Row],[Total inns]],"")</f>
        <v/>
      </c>
      <c r="Z1017" s="47">
        <f>(LayTable[[#This Row],[BookieInnsats]]*LayTable[[#This Row],[BookieOdds]]-LayTable[[#This Row],[BookieInnsats]])*(1-LayTable[[#This Row],[C% Bookie]])</f>
        <v>0</v>
      </c>
      <c r="AA1017" s="43">
        <f>LayTable[[#This Row],[LayInnsats]]*(1-LayTable[[#This Row],[C% Lay]])</f>
        <v>0</v>
      </c>
      <c r="AB1017" s="43" t="str">
        <f>IFERROR(IF(LayTable[[#This Row],[Sport]]="",AB1016,LayTable[[#This Row],[Faktisk res]]+AB1016),"")</f>
        <v/>
      </c>
      <c r="AC1017" s="43">
        <f>(LayTable[[#This Row],[BackWin-Commission]]+LayTable[[#This Row],[BookieInnsats]])</f>
        <v>0</v>
      </c>
      <c r="AD1017" s="43" t="e">
        <f>(LayTable[[#This Row],[LayWin-Commission]])+LayTable[[#This Row],[LayLiability]]</f>
        <v>#VALUE!</v>
      </c>
      <c r="AE1017" s="43"/>
      <c r="AF1017" s="181"/>
    </row>
    <row r="1018" spans="1:32">
      <c r="A1018" s="84"/>
      <c r="B1018" s="39"/>
      <c r="C1018" s="40"/>
      <c r="D1018" s="41"/>
      <c r="E1018" s="40"/>
      <c r="F1018" s="41"/>
      <c r="G1018" s="183"/>
      <c r="H1018" s="38"/>
      <c r="I1018" s="42"/>
      <c r="J1018" s="42"/>
      <c r="K1018" s="43"/>
      <c r="L1018" s="43"/>
      <c r="M1018" s="44" t="str">
        <f>IF(LayTable[[#This Row],[Sport]]="","",LayTable[[#This Row],[LayInnsats]]*(LayTable[[#This Row],[LayOdds]]-1))</f>
        <v/>
      </c>
      <c r="N1018" s="45" t="str">
        <f>IF(LayTable[[#This Row],[Sport]]="","",1/((1/LayTable[[#This Row],[BookieOdds]])+(1/((1/((1+((LayTable[[#This Row],[LayOdds]]-1)*(1+LayTable[[#This Row],[C% Lay]])))-1))+1)))-1)</f>
        <v/>
      </c>
      <c r="Q1018" s="46" t="str">
        <f>IF(LayTable[[#This Row],[Sport]]="","",LayTable[[#This Row],[BookieInnsats]]+LayTable[[#This Row],[LayLiability]])</f>
        <v/>
      </c>
      <c r="R10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8" s="47" t="str">
        <f>IF(LayTable[[#This Row],[Utfall bookie]]="","",LayTable[[#This Row],[WBABack]]+LayTable[[#This Row],[WBALay]]-LayTable[[#This Row],[Total inns]])</f>
        <v/>
      </c>
      <c r="U10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8" s="48" t="str">
        <f>IFERROR(IF(LayTable[[#This Row],[Total inns]]="","",LayTable[[#This Row],[Rback]]/LayTable[[#This Row],[Total inns]]),"")</f>
        <v/>
      </c>
      <c r="X1018" s="48" t="str">
        <f>IFERROR(IF(LayTable[[#This Row],[Total inns]]="","",LayTable[[#This Row],[Rlay]]/LayTable[[#This Row],[Total inns]]),"")</f>
        <v/>
      </c>
      <c r="Y1018" s="48" t="str">
        <f>IFERROR(LayTable[[#This Row],[Faktisk res]]/LayTable[[#This Row],[Total inns]],"")</f>
        <v/>
      </c>
      <c r="Z1018" s="47">
        <f>(LayTable[[#This Row],[BookieInnsats]]*LayTable[[#This Row],[BookieOdds]]-LayTable[[#This Row],[BookieInnsats]])*(1-LayTable[[#This Row],[C% Bookie]])</f>
        <v>0</v>
      </c>
      <c r="AA1018" s="43">
        <f>LayTable[[#This Row],[LayInnsats]]*(1-LayTable[[#This Row],[C% Lay]])</f>
        <v>0</v>
      </c>
      <c r="AB1018" s="43" t="str">
        <f>IFERROR(IF(LayTable[[#This Row],[Sport]]="",AB1017,LayTable[[#This Row],[Faktisk res]]+AB1017),"")</f>
        <v/>
      </c>
      <c r="AC1018" s="43">
        <f>(LayTable[[#This Row],[BackWin-Commission]]+LayTable[[#This Row],[BookieInnsats]])</f>
        <v>0</v>
      </c>
      <c r="AD1018" s="43" t="e">
        <f>(LayTable[[#This Row],[LayWin-Commission]])+LayTable[[#This Row],[LayLiability]]</f>
        <v>#VALUE!</v>
      </c>
      <c r="AE1018" s="43"/>
      <c r="AF1018" s="181"/>
    </row>
    <row r="1019" spans="1:32">
      <c r="A1019" s="84"/>
      <c r="B1019" s="39"/>
      <c r="C1019" s="40"/>
      <c r="D1019" s="41"/>
      <c r="E1019" s="40"/>
      <c r="F1019" s="41"/>
      <c r="G1019" s="183"/>
      <c r="H1019" s="38"/>
      <c r="I1019" s="42"/>
      <c r="J1019" s="42"/>
      <c r="K1019" s="43"/>
      <c r="L1019" s="43"/>
      <c r="M1019" s="44" t="str">
        <f>IF(LayTable[[#This Row],[Sport]]="","",LayTable[[#This Row],[LayInnsats]]*(LayTable[[#This Row],[LayOdds]]-1))</f>
        <v/>
      </c>
      <c r="N1019" s="45" t="str">
        <f>IF(LayTable[[#This Row],[Sport]]="","",1/((1/LayTable[[#This Row],[BookieOdds]])+(1/((1/((1+((LayTable[[#This Row],[LayOdds]]-1)*(1+LayTable[[#This Row],[C% Lay]])))-1))+1)))-1)</f>
        <v/>
      </c>
      <c r="Q1019" s="46" t="str">
        <f>IF(LayTable[[#This Row],[Sport]]="","",LayTable[[#This Row],[BookieInnsats]]+LayTable[[#This Row],[LayLiability]])</f>
        <v/>
      </c>
      <c r="R10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19" s="47" t="str">
        <f>IF(LayTable[[#This Row],[Utfall bookie]]="","",LayTable[[#This Row],[WBABack]]+LayTable[[#This Row],[WBALay]]-LayTable[[#This Row],[Total inns]])</f>
        <v/>
      </c>
      <c r="U10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19" s="48" t="str">
        <f>IFERROR(IF(LayTable[[#This Row],[Total inns]]="","",LayTable[[#This Row],[Rback]]/LayTable[[#This Row],[Total inns]]),"")</f>
        <v/>
      </c>
      <c r="X1019" s="48" t="str">
        <f>IFERROR(IF(LayTable[[#This Row],[Total inns]]="","",LayTable[[#This Row],[Rlay]]/LayTable[[#This Row],[Total inns]]),"")</f>
        <v/>
      </c>
      <c r="Y1019" s="48" t="str">
        <f>IFERROR(LayTable[[#This Row],[Faktisk res]]/LayTable[[#This Row],[Total inns]],"")</f>
        <v/>
      </c>
      <c r="Z1019" s="47">
        <f>(LayTable[[#This Row],[BookieInnsats]]*LayTable[[#This Row],[BookieOdds]]-LayTable[[#This Row],[BookieInnsats]])*(1-LayTable[[#This Row],[C% Bookie]])</f>
        <v>0</v>
      </c>
      <c r="AA1019" s="43">
        <f>LayTable[[#This Row],[LayInnsats]]*(1-LayTable[[#This Row],[C% Lay]])</f>
        <v>0</v>
      </c>
      <c r="AB1019" s="43" t="str">
        <f>IFERROR(IF(LayTable[[#This Row],[Sport]]="",AB1018,LayTable[[#This Row],[Faktisk res]]+AB1018),"")</f>
        <v/>
      </c>
      <c r="AC1019" s="43">
        <f>(LayTable[[#This Row],[BackWin-Commission]]+LayTable[[#This Row],[BookieInnsats]])</f>
        <v>0</v>
      </c>
      <c r="AD1019" s="43" t="e">
        <f>(LayTable[[#This Row],[LayWin-Commission]])+LayTable[[#This Row],[LayLiability]]</f>
        <v>#VALUE!</v>
      </c>
      <c r="AE1019" s="43"/>
      <c r="AF1019" s="181"/>
    </row>
    <row r="1020" spans="1:32">
      <c r="A1020" s="84"/>
      <c r="B1020" s="39"/>
      <c r="C1020" s="40"/>
      <c r="D1020" s="41"/>
      <c r="E1020" s="40"/>
      <c r="F1020" s="41"/>
      <c r="G1020" s="183"/>
      <c r="H1020" s="38"/>
      <c r="I1020" s="42"/>
      <c r="J1020" s="42"/>
      <c r="K1020" s="43"/>
      <c r="L1020" s="43"/>
      <c r="M1020" s="44" t="str">
        <f>IF(LayTable[[#This Row],[Sport]]="","",LayTable[[#This Row],[LayInnsats]]*(LayTable[[#This Row],[LayOdds]]-1))</f>
        <v/>
      </c>
      <c r="N1020" s="45" t="str">
        <f>IF(LayTable[[#This Row],[Sport]]="","",1/((1/LayTable[[#This Row],[BookieOdds]])+(1/((1/((1+((LayTable[[#This Row],[LayOdds]]-1)*(1+LayTable[[#This Row],[C% Lay]])))-1))+1)))-1)</f>
        <v/>
      </c>
      <c r="Q1020" s="46" t="str">
        <f>IF(LayTable[[#This Row],[Sport]]="","",LayTable[[#This Row],[BookieInnsats]]+LayTable[[#This Row],[LayLiability]])</f>
        <v/>
      </c>
      <c r="R10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0" s="47" t="str">
        <f>IF(LayTable[[#This Row],[Utfall bookie]]="","",LayTable[[#This Row],[WBABack]]+LayTable[[#This Row],[WBALay]]-LayTable[[#This Row],[Total inns]])</f>
        <v/>
      </c>
      <c r="U10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0" s="48" t="str">
        <f>IFERROR(IF(LayTable[[#This Row],[Total inns]]="","",LayTable[[#This Row],[Rback]]/LayTable[[#This Row],[Total inns]]),"")</f>
        <v/>
      </c>
      <c r="X1020" s="48" t="str">
        <f>IFERROR(IF(LayTable[[#This Row],[Total inns]]="","",LayTable[[#This Row],[Rlay]]/LayTable[[#This Row],[Total inns]]),"")</f>
        <v/>
      </c>
      <c r="Y1020" s="48" t="str">
        <f>IFERROR(LayTable[[#This Row],[Faktisk res]]/LayTable[[#This Row],[Total inns]],"")</f>
        <v/>
      </c>
      <c r="Z1020" s="47">
        <f>(LayTable[[#This Row],[BookieInnsats]]*LayTable[[#This Row],[BookieOdds]]-LayTable[[#This Row],[BookieInnsats]])*(1-LayTable[[#This Row],[C% Bookie]])</f>
        <v>0</v>
      </c>
      <c r="AA1020" s="43">
        <f>LayTable[[#This Row],[LayInnsats]]*(1-LayTable[[#This Row],[C% Lay]])</f>
        <v>0</v>
      </c>
      <c r="AB1020" s="43" t="str">
        <f>IFERROR(IF(LayTable[[#This Row],[Sport]]="",AB1019,LayTable[[#This Row],[Faktisk res]]+AB1019),"")</f>
        <v/>
      </c>
      <c r="AC1020" s="43">
        <f>(LayTable[[#This Row],[BackWin-Commission]]+LayTable[[#This Row],[BookieInnsats]])</f>
        <v>0</v>
      </c>
      <c r="AD1020" s="43" t="e">
        <f>(LayTable[[#This Row],[LayWin-Commission]])+LayTable[[#This Row],[LayLiability]]</f>
        <v>#VALUE!</v>
      </c>
      <c r="AE1020" s="43"/>
      <c r="AF1020" s="181"/>
    </row>
    <row r="1021" spans="1:32">
      <c r="A1021" s="84"/>
      <c r="B1021" s="39"/>
      <c r="C1021" s="40"/>
      <c r="D1021" s="41"/>
      <c r="E1021" s="40"/>
      <c r="F1021" s="41"/>
      <c r="G1021" s="183"/>
      <c r="H1021" s="38"/>
      <c r="I1021" s="42"/>
      <c r="J1021" s="42"/>
      <c r="K1021" s="43"/>
      <c r="L1021" s="43"/>
      <c r="M1021" s="44" t="str">
        <f>IF(LayTable[[#This Row],[Sport]]="","",LayTable[[#This Row],[LayInnsats]]*(LayTable[[#This Row],[LayOdds]]-1))</f>
        <v/>
      </c>
      <c r="N1021" s="45" t="str">
        <f>IF(LayTable[[#This Row],[Sport]]="","",1/((1/LayTable[[#This Row],[BookieOdds]])+(1/((1/((1+((LayTable[[#This Row],[LayOdds]]-1)*(1+LayTable[[#This Row],[C% Lay]])))-1))+1)))-1)</f>
        <v/>
      </c>
      <c r="Q1021" s="46" t="str">
        <f>IF(LayTable[[#This Row],[Sport]]="","",LayTable[[#This Row],[BookieInnsats]]+LayTable[[#This Row],[LayLiability]])</f>
        <v/>
      </c>
      <c r="R10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1" s="47" t="str">
        <f>IF(LayTable[[#This Row],[Utfall bookie]]="","",LayTable[[#This Row],[WBABack]]+LayTable[[#This Row],[WBALay]]-LayTable[[#This Row],[Total inns]])</f>
        <v/>
      </c>
      <c r="U10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1" s="48" t="str">
        <f>IFERROR(IF(LayTable[[#This Row],[Total inns]]="","",LayTable[[#This Row],[Rback]]/LayTable[[#This Row],[Total inns]]),"")</f>
        <v/>
      </c>
      <c r="X1021" s="48" t="str">
        <f>IFERROR(IF(LayTable[[#This Row],[Total inns]]="","",LayTable[[#This Row],[Rlay]]/LayTable[[#This Row],[Total inns]]),"")</f>
        <v/>
      </c>
      <c r="Y1021" s="48" t="str">
        <f>IFERROR(LayTable[[#This Row],[Faktisk res]]/LayTable[[#This Row],[Total inns]],"")</f>
        <v/>
      </c>
      <c r="Z1021" s="47">
        <f>(LayTable[[#This Row],[BookieInnsats]]*LayTable[[#This Row],[BookieOdds]]-LayTable[[#This Row],[BookieInnsats]])*(1-LayTable[[#This Row],[C% Bookie]])</f>
        <v>0</v>
      </c>
      <c r="AA1021" s="43">
        <f>LayTable[[#This Row],[LayInnsats]]*(1-LayTable[[#This Row],[C% Lay]])</f>
        <v>0</v>
      </c>
      <c r="AB1021" s="43" t="str">
        <f>IFERROR(IF(LayTable[[#This Row],[Sport]]="",AB1020,LayTable[[#This Row],[Faktisk res]]+AB1020),"")</f>
        <v/>
      </c>
      <c r="AC1021" s="43">
        <f>(LayTable[[#This Row],[BackWin-Commission]]+LayTable[[#This Row],[BookieInnsats]])</f>
        <v>0</v>
      </c>
      <c r="AD1021" s="43" t="e">
        <f>(LayTable[[#This Row],[LayWin-Commission]])+LayTable[[#This Row],[LayLiability]]</f>
        <v>#VALUE!</v>
      </c>
      <c r="AE1021" s="43"/>
      <c r="AF1021" s="181"/>
    </row>
    <row r="1022" spans="1:32">
      <c r="A1022" s="84"/>
      <c r="B1022" s="39"/>
      <c r="C1022" s="40"/>
      <c r="D1022" s="41"/>
      <c r="E1022" s="40"/>
      <c r="F1022" s="41"/>
      <c r="G1022" s="183"/>
      <c r="H1022" s="38"/>
      <c r="I1022" s="42"/>
      <c r="J1022" s="42"/>
      <c r="K1022" s="43"/>
      <c r="L1022" s="43"/>
      <c r="M1022" s="44" t="str">
        <f>IF(LayTable[[#This Row],[Sport]]="","",LayTable[[#This Row],[LayInnsats]]*(LayTable[[#This Row],[LayOdds]]-1))</f>
        <v/>
      </c>
      <c r="N1022" s="45" t="str">
        <f>IF(LayTable[[#This Row],[Sport]]="","",1/((1/LayTable[[#This Row],[BookieOdds]])+(1/((1/((1+((LayTable[[#This Row],[LayOdds]]-1)*(1+LayTable[[#This Row],[C% Lay]])))-1))+1)))-1)</f>
        <v/>
      </c>
      <c r="Q1022" s="46" t="str">
        <f>IF(LayTable[[#This Row],[Sport]]="","",LayTable[[#This Row],[BookieInnsats]]+LayTable[[#This Row],[LayLiability]])</f>
        <v/>
      </c>
      <c r="R10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2" s="47" t="str">
        <f>IF(LayTable[[#This Row],[Utfall bookie]]="","",LayTable[[#This Row],[WBABack]]+LayTable[[#This Row],[WBALay]]-LayTable[[#This Row],[Total inns]])</f>
        <v/>
      </c>
      <c r="U10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2" s="48" t="str">
        <f>IFERROR(IF(LayTable[[#This Row],[Total inns]]="","",LayTable[[#This Row],[Rback]]/LayTable[[#This Row],[Total inns]]),"")</f>
        <v/>
      </c>
      <c r="X1022" s="48" t="str">
        <f>IFERROR(IF(LayTable[[#This Row],[Total inns]]="","",LayTable[[#This Row],[Rlay]]/LayTable[[#This Row],[Total inns]]),"")</f>
        <v/>
      </c>
      <c r="Y1022" s="48" t="str">
        <f>IFERROR(LayTable[[#This Row],[Faktisk res]]/LayTable[[#This Row],[Total inns]],"")</f>
        <v/>
      </c>
      <c r="Z1022" s="47">
        <f>(LayTable[[#This Row],[BookieInnsats]]*LayTable[[#This Row],[BookieOdds]]-LayTable[[#This Row],[BookieInnsats]])*(1-LayTable[[#This Row],[C% Bookie]])</f>
        <v>0</v>
      </c>
      <c r="AA1022" s="43">
        <f>LayTable[[#This Row],[LayInnsats]]*(1-LayTable[[#This Row],[C% Lay]])</f>
        <v>0</v>
      </c>
      <c r="AB1022" s="43" t="str">
        <f>IFERROR(IF(LayTable[[#This Row],[Sport]]="",AB1021,LayTable[[#This Row],[Faktisk res]]+AB1021),"")</f>
        <v/>
      </c>
      <c r="AC1022" s="43">
        <f>(LayTable[[#This Row],[BackWin-Commission]]+LayTable[[#This Row],[BookieInnsats]])</f>
        <v>0</v>
      </c>
      <c r="AD1022" s="43" t="e">
        <f>(LayTable[[#This Row],[LayWin-Commission]])+LayTable[[#This Row],[LayLiability]]</f>
        <v>#VALUE!</v>
      </c>
      <c r="AE1022" s="43"/>
      <c r="AF1022" s="181"/>
    </row>
    <row r="1023" spans="1:32">
      <c r="A1023" s="84"/>
      <c r="B1023" s="39"/>
      <c r="C1023" s="40"/>
      <c r="D1023" s="41"/>
      <c r="E1023" s="40"/>
      <c r="F1023" s="41"/>
      <c r="G1023" s="183"/>
      <c r="H1023" s="38"/>
      <c r="I1023" s="42"/>
      <c r="J1023" s="42"/>
      <c r="K1023" s="43"/>
      <c r="L1023" s="43"/>
      <c r="M1023" s="44" t="str">
        <f>IF(LayTable[[#This Row],[Sport]]="","",LayTable[[#This Row],[LayInnsats]]*(LayTable[[#This Row],[LayOdds]]-1))</f>
        <v/>
      </c>
      <c r="N1023" s="45" t="str">
        <f>IF(LayTable[[#This Row],[Sport]]="","",1/((1/LayTable[[#This Row],[BookieOdds]])+(1/((1/((1+((LayTable[[#This Row],[LayOdds]]-1)*(1+LayTable[[#This Row],[C% Lay]])))-1))+1)))-1)</f>
        <v/>
      </c>
      <c r="Q1023" s="46" t="str">
        <f>IF(LayTable[[#This Row],[Sport]]="","",LayTable[[#This Row],[BookieInnsats]]+LayTable[[#This Row],[LayLiability]])</f>
        <v/>
      </c>
      <c r="R10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3" s="47" t="str">
        <f>IF(LayTable[[#This Row],[Utfall bookie]]="","",LayTable[[#This Row],[WBABack]]+LayTable[[#This Row],[WBALay]]-LayTable[[#This Row],[Total inns]])</f>
        <v/>
      </c>
      <c r="U10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3" s="48" t="str">
        <f>IFERROR(IF(LayTable[[#This Row],[Total inns]]="","",LayTable[[#This Row],[Rback]]/LayTable[[#This Row],[Total inns]]),"")</f>
        <v/>
      </c>
      <c r="X1023" s="48" t="str">
        <f>IFERROR(IF(LayTable[[#This Row],[Total inns]]="","",LayTable[[#This Row],[Rlay]]/LayTable[[#This Row],[Total inns]]),"")</f>
        <v/>
      </c>
      <c r="Y1023" s="48" t="str">
        <f>IFERROR(LayTable[[#This Row],[Faktisk res]]/LayTable[[#This Row],[Total inns]],"")</f>
        <v/>
      </c>
      <c r="Z1023" s="47">
        <f>(LayTable[[#This Row],[BookieInnsats]]*LayTable[[#This Row],[BookieOdds]]-LayTable[[#This Row],[BookieInnsats]])*(1-LayTable[[#This Row],[C% Bookie]])</f>
        <v>0</v>
      </c>
      <c r="AA1023" s="43">
        <f>LayTable[[#This Row],[LayInnsats]]*(1-LayTable[[#This Row],[C% Lay]])</f>
        <v>0</v>
      </c>
      <c r="AB1023" s="43" t="str">
        <f>IFERROR(IF(LayTable[[#This Row],[Sport]]="",AB1022,LayTable[[#This Row],[Faktisk res]]+AB1022),"")</f>
        <v/>
      </c>
      <c r="AC1023" s="43">
        <f>(LayTable[[#This Row],[BackWin-Commission]]+LayTable[[#This Row],[BookieInnsats]])</f>
        <v>0</v>
      </c>
      <c r="AD1023" s="43" t="e">
        <f>(LayTable[[#This Row],[LayWin-Commission]])+LayTable[[#This Row],[LayLiability]]</f>
        <v>#VALUE!</v>
      </c>
      <c r="AE1023" s="43"/>
      <c r="AF1023" s="181"/>
    </row>
    <row r="1024" spans="1:32">
      <c r="A1024" s="84"/>
      <c r="B1024" s="39"/>
      <c r="C1024" s="40"/>
      <c r="D1024" s="41"/>
      <c r="E1024" s="40"/>
      <c r="F1024" s="41"/>
      <c r="G1024" s="183"/>
      <c r="H1024" s="38"/>
      <c r="I1024" s="42"/>
      <c r="J1024" s="42"/>
      <c r="K1024" s="43"/>
      <c r="L1024" s="43"/>
      <c r="M1024" s="44" t="str">
        <f>IF(LayTable[[#This Row],[Sport]]="","",LayTable[[#This Row],[LayInnsats]]*(LayTable[[#This Row],[LayOdds]]-1))</f>
        <v/>
      </c>
      <c r="N1024" s="45" t="str">
        <f>IF(LayTable[[#This Row],[Sport]]="","",1/((1/LayTable[[#This Row],[BookieOdds]])+(1/((1/((1+((LayTable[[#This Row],[LayOdds]]-1)*(1+LayTable[[#This Row],[C% Lay]])))-1))+1)))-1)</f>
        <v/>
      </c>
      <c r="Q1024" s="46" t="str">
        <f>IF(LayTable[[#This Row],[Sport]]="","",LayTable[[#This Row],[BookieInnsats]]+LayTable[[#This Row],[LayLiability]])</f>
        <v/>
      </c>
      <c r="R10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4" s="47" t="str">
        <f>IF(LayTable[[#This Row],[Utfall bookie]]="","",LayTable[[#This Row],[WBABack]]+LayTable[[#This Row],[WBALay]]-LayTable[[#This Row],[Total inns]])</f>
        <v/>
      </c>
      <c r="U10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4" s="48" t="str">
        <f>IFERROR(IF(LayTable[[#This Row],[Total inns]]="","",LayTable[[#This Row],[Rback]]/LayTable[[#This Row],[Total inns]]),"")</f>
        <v/>
      </c>
      <c r="X1024" s="48" t="str">
        <f>IFERROR(IF(LayTable[[#This Row],[Total inns]]="","",LayTable[[#This Row],[Rlay]]/LayTable[[#This Row],[Total inns]]),"")</f>
        <v/>
      </c>
      <c r="Y1024" s="48" t="str">
        <f>IFERROR(LayTable[[#This Row],[Faktisk res]]/LayTable[[#This Row],[Total inns]],"")</f>
        <v/>
      </c>
      <c r="Z1024" s="47">
        <f>(LayTable[[#This Row],[BookieInnsats]]*LayTable[[#This Row],[BookieOdds]]-LayTable[[#This Row],[BookieInnsats]])*(1-LayTable[[#This Row],[C% Bookie]])</f>
        <v>0</v>
      </c>
      <c r="AA1024" s="43">
        <f>LayTable[[#This Row],[LayInnsats]]*(1-LayTable[[#This Row],[C% Lay]])</f>
        <v>0</v>
      </c>
      <c r="AB1024" s="43" t="str">
        <f>IFERROR(IF(LayTable[[#This Row],[Sport]]="",AB1023,LayTable[[#This Row],[Faktisk res]]+AB1023),"")</f>
        <v/>
      </c>
      <c r="AC1024" s="43">
        <f>(LayTable[[#This Row],[BackWin-Commission]]+LayTable[[#This Row],[BookieInnsats]])</f>
        <v>0</v>
      </c>
      <c r="AD1024" s="43" t="e">
        <f>(LayTable[[#This Row],[LayWin-Commission]])+LayTable[[#This Row],[LayLiability]]</f>
        <v>#VALUE!</v>
      </c>
      <c r="AE1024" s="43"/>
      <c r="AF1024" s="181"/>
    </row>
    <row r="1025" spans="1:32">
      <c r="A1025" s="84"/>
      <c r="B1025" s="39"/>
      <c r="C1025" s="40"/>
      <c r="D1025" s="41"/>
      <c r="E1025" s="40"/>
      <c r="F1025" s="41"/>
      <c r="G1025" s="183"/>
      <c r="H1025" s="38"/>
      <c r="I1025" s="42"/>
      <c r="J1025" s="42"/>
      <c r="K1025" s="43"/>
      <c r="L1025" s="43"/>
      <c r="M1025" s="44" t="str">
        <f>IF(LayTable[[#This Row],[Sport]]="","",LayTable[[#This Row],[LayInnsats]]*(LayTable[[#This Row],[LayOdds]]-1))</f>
        <v/>
      </c>
      <c r="N1025" s="45" t="str">
        <f>IF(LayTable[[#This Row],[Sport]]="","",1/((1/LayTable[[#This Row],[BookieOdds]])+(1/((1/((1+((LayTable[[#This Row],[LayOdds]]-1)*(1+LayTable[[#This Row],[C% Lay]])))-1))+1)))-1)</f>
        <v/>
      </c>
      <c r="Q1025" s="46" t="str">
        <f>IF(LayTable[[#This Row],[Sport]]="","",LayTable[[#This Row],[BookieInnsats]]+LayTable[[#This Row],[LayLiability]])</f>
        <v/>
      </c>
      <c r="R10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5" s="47" t="str">
        <f>IF(LayTable[[#This Row],[Utfall bookie]]="","",LayTable[[#This Row],[WBABack]]+LayTable[[#This Row],[WBALay]]-LayTable[[#This Row],[Total inns]])</f>
        <v/>
      </c>
      <c r="U10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5" s="48" t="str">
        <f>IFERROR(IF(LayTable[[#This Row],[Total inns]]="","",LayTable[[#This Row],[Rback]]/LayTable[[#This Row],[Total inns]]),"")</f>
        <v/>
      </c>
      <c r="X1025" s="48" t="str">
        <f>IFERROR(IF(LayTable[[#This Row],[Total inns]]="","",LayTable[[#This Row],[Rlay]]/LayTable[[#This Row],[Total inns]]),"")</f>
        <v/>
      </c>
      <c r="Y1025" s="48" t="str">
        <f>IFERROR(LayTable[[#This Row],[Faktisk res]]/LayTable[[#This Row],[Total inns]],"")</f>
        <v/>
      </c>
      <c r="Z1025" s="47">
        <f>(LayTable[[#This Row],[BookieInnsats]]*LayTable[[#This Row],[BookieOdds]]-LayTable[[#This Row],[BookieInnsats]])*(1-LayTable[[#This Row],[C% Bookie]])</f>
        <v>0</v>
      </c>
      <c r="AA1025" s="43">
        <f>LayTable[[#This Row],[LayInnsats]]*(1-LayTable[[#This Row],[C% Lay]])</f>
        <v>0</v>
      </c>
      <c r="AB1025" s="43" t="str">
        <f>IFERROR(IF(LayTable[[#This Row],[Sport]]="",AB1024,LayTable[[#This Row],[Faktisk res]]+AB1024),"")</f>
        <v/>
      </c>
      <c r="AC1025" s="43">
        <f>(LayTable[[#This Row],[BackWin-Commission]]+LayTable[[#This Row],[BookieInnsats]])</f>
        <v>0</v>
      </c>
      <c r="AD1025" s="43" t="e">
        <f>(LayTable[[#This Row],[LayWin-Commission]])+LayTable[[#This Row],[LayLiability]]</f>
        <v>#VALUE!</v>
      </c>
      <c r="AE1025" s="43"/>
      <c r="AF1025" s="181"/>
    </row>
    <row r="1026" spans="1:32">
      <c r="A1026" s="84"/>
      <c r="B1026" s="39"/>
      <c r="C1026" s="40"/>
      <c r="D1026" s="41"/>
      <c r="E1026" s="40"/>
      <c r="F1026" s="41"/>
      <c r="G1026" s="183"/>
      <c r="H1026" s="38"/>
      <c r="I1026" s="42"/>
      <c r="J1026" s="42"/>
      <c r="K1026" s="43"/>
      <c r="L1026" s="43"/>
      <c r="M1026" s="44" t="str">
        <f>IF(LayTable[[#This Row],[Sport]]="","",LayTable[[#This Row],[LayInnsats]]*(LayTable[[#This Row],[LayOdds]]-1))</f>
        <v/>
      </c>
      <c r="N1026" s="45" t="str">
        <f>IF(LayTable[[#This Row],[Sport]]="","",1/((1/LayTable[[#This Row],[BookieOdds]])+(1/((1/((1+((LayTable[[#This Row],[LayOdds]]-1)*(1+LayTable[[#This Row],[C% Lay]])))-1))+1)))-1)</f>
        <v/>
      </c>
      <c r="Q1026" s="46" t="str">
        <f>IF(LayTable[[#This Row],[Sport]]="","",LayTable[[#This Row],[BookieInnsats]]+LayTable[[#This Row],[LayLiability]])</f>
        <v/>
      </c>
      <c r="R10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6" s="47" t="str">
        <f>IF(LayTable[[#This Row],[Utfall bookie]]="","",LayTable[[#This Row],[WBABack]]+LayTable[[#This Row],[WBALay]]-LayTable[[#This Row],[Total inns]])</f>
        <v/>
      </c>
      <c r="U10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6" s="48" t="str">
        <f>IFERROR(IF(LayTable[[#This Row],[Total inns]]="","",LayTable[[#This Row],[Rback]]/LayTable[[#This Row],[Total inns]]),"")</f>
        <v/>
      </c>
      <c r="X1026" s="48" t="str">
        <f>IFERROR(IF(LayTable[[#This Row],[Total inns]]="","",LayTable[[#This Row],[Rlay]]/LayTable[[#This Row],[Total inns]]),"")</f>
        <v/>
      </c>
      <c r="Y1026" s="48" t="str">
        <f>IFERROR(LayTable[[#This Row],[Faktisk res]]/LayTable[[#This Row],[Total inns]],"")</f>
        <v/>
      </c>
      <c r="Z1026" s="47">
        <f>(LayTable[[#This Row],[BookieInnsats]]*LayTable[[#This Row],[BookieOdds]]-LayTable[[#This Row],[BookieInnsats]])*(1-LayTable[[#This Row],[C% Bookie]])</f>
        <v>0</v>
      </c>
      <c r="AA1026" s="43">
        <f>LayTable[[#This Row],[LayInnsats]]*(1-LayTable[[#This Row],[C% Lay]])</f>
        <v>0</v>
      </c>
      <c r="AB1026" s="43" t="str">
        <f>IFERROR(IF(LayTable[[#This Row],[Sport]]="",AB1025,LayTable[[#This Row],[Faktisk res]]+AB1025),"")</f>
        <v/>
      </c>
      <c r="AC1026" s="43">
        <f>(LayTable[[#This Row],[BackWin-Commission]]+LayTable[[#This Row],[BookieInnsats]])</f>
        <v>0</v>
      </c>
      <c r="AD1026" s="43" t="e">
        <f>(LayTable[[#This Row],[LayWin-Commission]])+LayTable[[#This Row],[LayLiability]]</f>
        <v>#VALUE!</v>
      </c>
      <c r="AE1026" s="43"/>
      <c r="AF1026" s="181"/>
    </row>
    <row r="1027" spans="1:32">
      <c r="A1027" s="84"/>
      <c r="B1027" s="39"/>
      <c r="C1027" s="40"/>
      <c r="D1027" s="41"/>
      <c r="E1027" s="40"/>
      <c r="F1027" s="41"/>
      <c r="G1027" s="183"/>
      <c r="H1027" s="38"/>
      <c r="I1027" s="42"/>
      <c r="J1027" s="42"/>
      <c r="K1027" s="43"/>
      <c r="L1027" s="43"/>
      <c r="M1027" s="44" t="str">
        <f>IF(LayTable[[#This Row],[Sport]]="","",LayTable[[#This Row],[LayInnsats]]*(LayTable[[#This Row],[LayOdds]]-1))</f>
        <v/>
      </c>
      <c r="N1027" s="45" t="str">
        <f>IF(LayTable[[#This Row],[Sport]]="","",1/((1/LayTable[[#This Row],[BookieOdds]])+(1/((1/((1+((LayTable[[#This Row],[LayOdds]]-1)*(1+LayTable[[#This Row],[C% Lay]])))-1))+1)))-1)</f>
        <v/>
      </c>
      <c r="Q1027" s="46" t="str">
        <f>IF(LayTable[[#This Row],[Sport]]="","",LayTable[[#This Row],[BookieInnsats]]+LayTable[[#This Row],[LayLiability]])</f>
        <v/>
      </c>
      <c r="R10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7" s="47" t="str">
        <f>IF(LayTable[[#This Row],[Utfall bookie]]="","",LayTable[[#This Row],[WBABack]]+LayTable[[#This Row],[WBALay]]-LayTable[[#This Row],[Total inns]])</f>
        <v/>
      </c>
      <c r="U10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7" s="48" t="str">
        <f>IFERROR(IF(LayTable[[#This Row],[Total inns]]="","",LayTable[[#This Row],[Rback]]/LayTable[[#This Row],[Total inns]]),"")</f>
        <v/>
      </c>
      <c r="X1027" s="48" t="str">
        <f>IFERROR(IF(LayTable[[#This Row],[Total inns]]="","",LayTable[[#This Row],[Rlay]]/LayTable[[#This Row],[Total inns]]),"")</f>
        <v/>
      </c>
      <c r="Y1027" s="48" t="str">
        <f>IFERROR(LayTable[[#This Row],[Faktisk res]]/LayTable[[#This Row],[Total inns]],"")</f>
        <v/>
      </c>
      <c r="Z1027" s="47">
        <f>(LayTable[[#This Row],[BookieInnsats]]*LayTable[[#This Row],[BookieOdds]]-LayTable[[#This Row],[BookieInnsats]])*(1-LayTable[[#This Row],[C% Bookie]])</f>
        <v>0</v>
      </c>
      <c r="AA1027" s="43">
        <f>LayTable[[#This Row],[LayInnsats]]*(1-LayTable[[#This Row],[C% Lay]])</f>
        <v>0</v>
      </c>
      <c r="AB1027" s="43" t="str">
        <f>IFERROR(IF(LayTable[[#This Row],[Sport]]="",AB1026,LayTable[[#This Row],[Faktisk res]]+AB1026),"")</f>
        <v/>
      </c>
      <c r="AC1027" s="43">
        <f>(LayTable[[#This Row],[BackWin-Commission]]+LayTable[[#This Row],[BookieInnsats]])</f>
        <v>0</v>
      </c>
      <c r="AD1027" s="43" t="e">
        <f>(LayTable[[#This Row],[LayWin-Commission]])+LayTable[[#This Row],[LayLiability]]</f>
        <v>#VALUE!</v>
      </c>
      <c r="AE1027" s="43"/>
      <c r="AF1027" s="181"/>
    </row>
    <row r="1028" spans="1:32">
      <c r="A1028" s="84"/>
      <c r="B1028" s="39"/>
      <c r="C1028" s="40"/>
      <c r="D1028" s="41"/>
      <c r="E1028" s="40"/>
      <c r="F1028" s="41"/>
      <c r="G1028" s="183"/>
      <c r="H1028" s="38"/>
      <c r="I1028" s="42"/>
      <c r="J1028" s="42"/>
      <c r="K1028" s="43"/>
      <c r="L1028" s="43"/>
      <c r="M1028" s="44" t="str">
        <f>IF(LayTable[[#This Row],[Sport]]="","",LayTable[[#This Row],[LayInnsats]]*(LayTable[[#This Row],[LayOdds]]-1))</f>
        <v/>
      </c>
      <c r="N1028" s="45" t="str">
        <f>IF(LayTable[[#This Row],[Sport]]="","",1/((1/LayTable[[#This Row],[BookieOdds]])+(1/((1/((1+((LayTable[[#This Row],[LayOdds]]-1)*(1+LayTable[[#This Row],[C% Lay]])))-1))+1)))-1)</f>
        <v/>
      </c>
      <c r="Q1028" s="46" t="str">
        <f>IF(LayTable[[#This Row],[Sport]]="","",LayTable[[#This Row],[BookieInnsats]]+LayTable[[#This Row],[LayLiability]])</f>
        <v/>
      </c>
      <c r="R10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8" s="47" t="str">
        <f>IF(LayTable[[#This Row],[Utfall bookie]]="","",LayTable[[#This Row],[WBABack]]+LayTable[[#This Row],[WBALay]]-LayTable[[#This Row],[Total inns]])</f>
        <v/>
      </c>
      <c r="U10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8" s="48" t="str">
        <f>IFERROR(IF(LayTable[[#This Row],[Total inns]]="","",LayTable[[#This Row],[Rback]]/LayTable[[#This Row],[Total inns]]),"")</f>
        <v/>
      </c>
      <c r="X1028" s="48" t="str">
        <f>IFERROR(IF(LayTable[[#This Row],[Total inns]]="","",LayTable[[#This Row],[Rlay]]/LayTable[[#This Row],[Total inns]]),"")</f>
        <v/>
      </c>
      <c r="Y1028" s="48" t="str">
        <f>IFERROR(LayTable[[#This Row],[Faktisk res]]/LayTable[[#This Row],[Total inns]],"")</f>
        <v/>
      </c>
      <c r="Z1028" s="47">
        <f>(LayTable[[#This Row],[BookieInnsats]]*LayTable[[#This Row],[BookieOdds]]-LayTable[[#This Row],[BookieInnsats]])*(1-LayTable[[#This Row],[C% Bookie]])</f>
        <v>0</v>
      </c>
      <c r="AA1028" s="43">
        <f>LayTable[[#This Row],[LayInnsats]]*(1-LayTable[[#This Row],[C% Lay]])</f>
        <v>0</v>
      </c>
      <c r="AB1028" s="43" t="str">
        <f>IFERROR(IF(LayTable[[#This Row],[Sport]]="",AB1027,LayTable[[#This Row],[Faktisk res]]+AB1027),"")</f>
        <v/>
      </c>
      <c r="AC1028" s="43">
        <f>(LayTable[[#This Row],[BackWin-Commission]]+LayTable[[#This Row],[BookieInnsats]])</f>
        <v>0</v>
      </c>
      <c r="AD1028" s="43" t="e">
        <f>(LayTable[[#This Row],[LayWin-Commission]])+LayTable[[#This Row],[LayLiability]]</f>
        <v>#VALUE!</v>
      </c>
      <c r="AE1028" s="43"/>
      <c r="AF1028" s="181"/>
    </row>
    <row r="1029" spans="1:32">
      <c r="A1029" s="84"/>
      <c r="B1029" s="39"/>
      <c r="C1029" s="40"/>
      <c r="D1029" s="41"/>
      <c r="E1029" s="40"/>
      <c r="F1029" s="41"/>
      <c r="G1029" s="183"/>
      <c r="H1029" s="38"/>
      <c r="I1029" s="42"/>
      <c r="J1029" s="42"/>
      <c r="K1029" s="43"/>
      <c r="L1029" s="43"/>
      <c r="M1029" s="44" t="str">
        <f>IF(LayTable[[#This Row],[Sport]]="","",LayTable[[#This Row],[LayInnsats]]*(LayTable[[#This Row],[LayOdds]]-1))</f>
        <v/>
      </c>
      <c r="N1029" s="45" t="str">
        <f>IF(LayTable[[#This Row],[Sport]]="","",1/((1/LayTable[[#This Row],[BookieOdds]])+(1/((1/((1+((LayTable[[#This Row],[LayOdds]]-1)*(1+LayTable[[#This Row],[C% Lay]])))-1))+1)))-1)</f>
        <v/>
      </c>
      <c r="Q1029" s="46" t="str">
        <f>IF(LayTable[[#This Row],[Sport]]="","",LayTable[[#This Row],[BookieInnsats]]+LayTable[[#This Row],[LayLiability]])</f>
        <v/>
      </c>
      <c r="R10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29" s="47" t="str">
        <f>IF(LayTable[[#This Row],[Utfall bookie]]="","",LayTable[[#This Row],[WBABack]]+LayTable[[#This Row],[WBALay]]-LayTable[[#This Row],[Total inns]])</f>
        <v/>
      </c>
      <c r="U10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29" s="48" t="str">
        <f>IFERROR(IF(LayTable[[#This Row],[Total inns]]="","",LayTable[[#This Row],[Rback]]/LayTable[[#This Row],[Total inns]]),"")</f>
        <v/>
      </c>
      <c r="X1029" s="48" t="str">
        <f>IFERROR(IF(LayTable[[#This Row],[Total inns]]="","",LayTable[[#This Row],[Rlay]]/LayTable[[#This Row],[Total inns]]),"")</f>
        <v/>
      </c>
      <c r="Y1029" s="48" t="str">
        <f>IFERROR(LayTable[[#This Row],[Faktisk res]]/LayTable[[#This Row],[Total inns]],"")</f>
        <v/>
      </c>
      <c r="Z1029" s="47">
        <f>(LayTable[[#This Row],[BookieInnsats]]*LayTable[[#This Row],[BookieOdds]]-LayTable[[#This Row],[BookieInnsats]])*(1-LayTable[[#This Row],[C% Bookie]])</f>
        <v>0</v>
      </c>
      <c r="AA1029" s="43">
        <f>LayTable[[#This Row],[LayInnsats]]*(1-LayTable[[#This Row],[C% Lay]])</f>
        <v>0</v>
      </c>
      <c r="AB1029" s="43" t="str">
        <f>IFERROR(IF(LayTable[[#This Row],[Sport]]="",AB1028,LayTable[[#This Row],[Faktisk res]]+AB1028),"")</f>
        <v/>
      </c>
      <c r="AC1029" s="43">
        <f>(LayTable[[#This Row],[BackWin-Commission]]+LayTable[[#This Row],[BookieInnsats]])</f>
        <v>0</v>
      </c>
      <c r="AD1029" s="43" t="e">
        <f>(LayTable[[#This Row],[LayWin-Commission]])+LayTable[[#This Row],[LayLiability]]</f>
        <v>#VALUE!</v>
      </c>
      <c r="AE1029" s="43"/>
      <c r="AF1029" s="181"/>
    </row>
    <row r="1030" spans="1:32">
      <c r="A1030" s="84"/>
      <c r="B1030" s="39"/>
      <c r="C1030" s="40"/>
      <c r="D1030" s="41"/>
      <c r="E1030" s="40"/>
      <c r="F1030" s="41"/>
      <c r="G1030" s="183"/>
      <c r="H1030" s="38"/>
      <c r="I1030" s="42"/>
      <c r="J1030" s="42"/>
      <c r="K1030" s="43"/>
      <c r="L1030" s="43"/>
      <c r="M1030" s="44" t="str">
        <f>IF(LayTable[[#This Row],[Sport]]="","",LayTable[[#This Row],[LayInnsats]]*(LayTable[[#This Row],[LayOdds]]-1))</f>
        <v/>
      </c>
      <c r="N1030" s="45" t="str">
        <f>IF(LayTable[[#This Row],[Sport]]="","",1/((1/LayTable[[#This Row],[BookieOdds]])+(1/((1/((1+((LayTable[[#This Row],[LayOdds]]-1)*(1+LayTable[[#This Row],[C% Lay]])))-1))+1)))-1)</f>
        <v/>
      </c>
      <c r="Q1030" s="46" t="str">
        <f>IF(LayTable[[#This Row],[Sport]]="","",LayTable[[#This Row],[BookieInnsats]]+LayTable[[#This Row],[LayLiability]])</f>
        <v/>
      </c>
      <c r="R10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0" s="47" t="str">
        <f>IF(LayTable[[#This Row],[Utfall bookie]]="","",LayTable[[#This Row],[WBABack]]+LayTable[[#This Row],[WBALay]]-LayTable[[#This Row],[Total inns]])</f>
        <v/>
      </c>
      <c r="U10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0" s="48" t="str">
        <f>IFERROR(IF(LayTable[[#This Row],[Total inns]]="","",LayTable[[#This Row],[Rback]]/LayTable[[#This Row],[Total inns]]),"")</f>
        <v/>
      </c>
      <c r="X1030" s="48" t="str">
        <f>IFERROR(IF(LayTable[[#This Row],[Total inns]]="","",LayTable[[#This Row],[Rlay]]/LayTable[[#This Row],[Total inns]]),"")</f>
        <v/>
      </c>
      <c r="Y1030" s="48" t="str">
        <f>IFERROR(LayTable[[#This Row],[Faktisk res]]/LayTable[[#This Row],[Total inns]],"")</f>
        <v/>
      </c>
      <c r="Z1030" s="47">
        <f>(LayTable[[#This Row],[BookieInnsats]]*LayTable[[#This Row],[BookieOdds]]-LayTable[[#This Row],[BookieInnsats]])*(1-LayTable[[#This Row],[C% Bookie]])</f>
        <v>0</v>
      </c>
      <c r="AA1030" s="43">
        <f>LayTable[[#This Row],[LayInnsats]]*(1-LayTable[[#This Row],[C% Lay]])</f>
        <v>0</v>
      </c>
      <c r="AB1030" s="43" t="str">
        <f>IFERROR(IF(LayTable[[#This Row],[Sport]]="",AB1029,LayTable[[#This Row],[Faktisk res]]+AB1029),"")</f>
        <v/>
      </c>
      <c r="AC1030" s="43">
        <f>(LayTable[[#This Row],[BackWin-Commission]]+LayTable[[#This Row],[BookieInnsats]])</f>
        <v>0</v>
      </c>
      <c r="AD1030" s="43" t="e">
        <f>(LayTable[[#This Row],[LayWin-Commission]])+LayTable[[#This Row],[LayLiability]]</f>
        <v>#VALUE!</v>
      </c>
      <c r="AE1030" s="43"/>
      <c r="AF1030" s="181"/>
    </row>
    <row r="1031" spans="1:32">
      <c r="A1031" s="84"/>
      <c r="B1031" s="39"/>
      <c r="C1031" s="40"/>
      <c r="D1031" s="41"/>
      <c r="E1031" s="40"/>
      <c r="F1031" s="41"/>
      <c r="G1031" s="183"/>
      <c r="H1031" s="38"/>
      <c r="I1031" s="42"/>
      <c r="J1031" s="42"/>
      <c r="K1031" s="43"/>
      <c r="L1031" s="43"/>
      <c r="M1031" s="44" t="str">
        <f>IF(LayTable[[#This Row],[Sport]]="","",LayTable[[#This Row],[LayInnsats]]*(LayTable[[#This Row],[LayOdds]]-1))</f>
        <v/>
      </c>
      <c r="N1031" s="45" t="str">
        <f>IF(LayTable[[#This Row],[Sport]]="","",1/((1/LayTable[[#This Row],[BookieOdds]])+(1/((1/((1+((LayTable[[#This Row],[LayOdds]]-1)*(1+LayTable[[#This Row],[C% Lay]])))-1))+1)))-1)</f>
        <v/>
      </c>
      <c r="Q1031" s="46" t="str">
        <f>IF(LayTable[[#This Row],[Sport]]="","",LayTable[[#This Row],[BookieInnsats]]+LayTable[[#This Row],[LayLiability]])</f>
        <v/>
      </c>
      <c r="R10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1" s="47" t="str">
        <f>IF(LayTable[[#This Row],[Utfall bookie]]="","",LayTable[[#This Row],[WBABack]]+LayTable[[#This Row],[WBALay]]-LayTable[[#This Row],[Total inns]])</f>
        <v/>
      </c>
      <c r="U10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1" s="48" t="str">
        <f>IFERROR(IF(LayTable[[#This Row],[Total inns]]="","",LayTable[[#This Row],[Rback]]/LayTable[[#This Row],[Total inns]]),"")</f>
        <v/>
      </c>
      <c r="X1031" s="48" t="str">
        <f>IFERROR(IF(LayTable[[#This Row],[Total inns]]="","",LayTable[[#This Row],[Rlay]]/LayTable[[#This Row],[Total inns]]),"")</f>
        <v/>
      </c>
      <c r="Y1031" s="48" t="str">
        <f>IFERROR(LayTable[[#This Row],[Faktisk res]]/LayTable[[#This Row],[Total inns]],"")</f>
        <v/>
      </c>
      <c r="Z1031" s="47">
        <f>(LayTable[[#This Row],[BookieInnsats]]*LayTable[[#This Row],[BookieOdds]]-LayTable[[#This Row],[BookieInnsats]])*(1-LayTable[[#This Row],[C% Bookie]])</f>
        <v>0</v>
      </c>
      <c r="AA1031" s="43">
        <f>LayTable[[#This Row],[LayInnsats]]*(1-LayTable[[#This Row],[C% Lay]])</f>
        <v>0</v>
      </c>
      <c r="AB1031" s="43" t="str">
        <f>IFERROR(IF(LayTable[[#This Row],[Sport]]="",AB1030,LayTable[[#This Row],[Faktisk res]]+AB1030),"")</f>
        <v/>
      </c>
      <c r="AC1031" s="43">
        <f>(LayTable[[#This Row],[BackWin-Commission]]+LayTable[[#This Row],[BookieInnsats]])</f>
        <v>0</v>
      </c>
      <c r="AD1031" s="43" t="e">
        <f>(LayTable[[#This Row],[LayWin-Commission]])+LayTable[[#This Row],[LayLiability]]</f>
        <v>#VALUE!</v>
      </c>
      <c r="AE1031" s="43"/>
      <c r="AF1031" s="181"/>
    </row>
    <row r="1032" spans="1:32">
      <c r="A1032" s="84"/>
      <c r="B1032" s="39"/>
      <c r="C1032" s="40"/>
      <c r="D1032" s="41"/>
      <c r="E1032" s="40"/>
      <c r="F1032" s="41"/>
      <c r="G1032" s="183"/>
      <c r="H1032" s="38"/>
      <c r="I1032" s="42"/>
      <c r="J1032" s="42"/>
      <c r="K1032" s="43"/>
      <c r="L1032" s="43"/>
      <c r="M1032" s="44" t="str">
        <f>IF(LayTable[[#This Row],[Sport]]="","",LayTable[[#This Row],[LayInnsats]]*(LayTable[[#This Row],[LayOdds]]-1))</f>
        <v/>
      </c>
      <c r="N1032" s="45" t="str">
        <f>IF(LayTable[[#This Row],[Sport]]="","",1/((1/LayTable[[#This Row],[BookieOdds]])+(1/((1/((1+((LayTable[[#This Row],[LayOdds]]-1)*(1+LayTable[[#This Row],[C% Lay]])))-1))+1)))-1)</f>
        <v/>
      </c>
      <c r="Q1032" s="46" t="str">
        <f>IF(LayTable[[#This Row],[Sport]]="","",LayTable[[#This Row],[BookieInnsats]]+LayTable[[#This Row],[LayLiability]])</f>
        <v/>
      </c>
      <c r="R10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2" s="47" t="str">
        <f>IF(LayTable[[#This Row],[Utfall bookie]]="","",LayTable[[#This Row],[WBABack]]+LayTable[[#This Row],[WBALay]]-LayTable[[#This Row],[Total inns]])</f>
        <v/>
      </c>
      <c r="U10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2" s="48" t="str">
        <f>IFERROR(IF(LayTable[[#This Row],[Total inns]]="","",LayTable[[#This Row],[Rback]]/LayTable[[#This Row],[Total inns]]),"")</f>
        <v/>
      </c>
      <c r="X1032" s="48" t="str">
        <f>IFERROR(IF(LayTable[[#This Row],[Total inns]]="","",LayTable[[#This Row],[Rlay]]/LayTable[[#This Row],[Total inns]]),"")</f>
        <v/>
      </c>
      <c r="Y1032" s="48" t="str">
        <f>IFERROR(LayTable[[#This Row],[Faktisk res]]/LayTable[[#This Row],[Total inns]],"")</f>
        <v/>
      </c>
      <c r="Z1032" s="47">
        <f>(LayTable[[#This Row],[BookieInnsats]]*LayTable[[#This Row],[BookieOdds]]-LayTable[[#This Row],[BookieInnsats]])*(1-LayTable[[#This Row],[C% Bookie]])</f>
        <v>0</v>
      </c>
      <c r="AA1032" s="43">
        <f>LayTable[[#This Row],[LayInnsats]]*(1-LayTable[[#This Row],[C% Lay]])</f>
        <v>0</v>
      </c>
      <c r="AB1032" s="43" t="str">
        <f>IFERROR(IF(LayTable[[#This Row],[Sport]]="",AB1031,LayTable[[#This Row],[Faktisk res]]+AB1031),"")</f>
        <v/>
      </c>
      <c r="AC1032" s="43">
        <f>(LayTable[[#This Row],[BackWin-Commission]]+LayTable[[#This Row],[BookieInnsats]])</f>
        <v>0</v>
      </c>
      <c r="AD1032" s="43" t="e">
        <f>(LayTable[[#This Row],[LayWin-Commission]])+LayTable[[#This Row],[LayLiability]]</f>
        <v>#VALUE!</v>
      </c>
      <c r="AE1032" s="43"/>
      <c r="AF1032" s="181"/>
    </row>
    <row r="1033" spans="1:32">
      <c r="A1033" s="84"/>
      <c r="B1033" s="39"/>
      <c r="C1033" s="40"/>
      <c r="D1033" s="41"/>
      <c r="E1033" s="40"/>
      <c r="F1033" s="41"/>
      <c r="G1033" s="183"/>
      <c r="H1033" s="38"/>
      <c r="I1033" s="42"/>
      <c r="J1033" s="42"/>
      <c r="K1033" s="43"/>
      <c r="L1033" s="43"/>
      <c r="M1033" s="44" t="str">
        <f>IF(LayTable[[#This Row],[Sport]]="","",LayTable[[#This Row],[LayInnsats]]*(LayTable[[#This Row],[LayOdds]]-1))</f>
        <v/>
      </c>
      <c r="N1033" s="45" t="str">
        <f>IF(LayTable[[#This Row],[Sport]]="","",1/((1/LayTable[[#This Row],[BookieOdds]])+(1/((1/((1+((LayTable[[#This Row],[LayOdds]]-1)*(1+LayTable[[#This Row],[C% Lay]])))-1))+1)))-1)</f>
        <v/>
      </c>
      <c r="Q1033" s="46" t="str">
        <f>IF(LayTable[[#This Row],[Sport]]="","",LayTable[[#This Row],[BookieInnsats]]+LayTable[[#This Row],[LayLiability]])</f>
        <v/>
      </c>
      <c r="R10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3" s="47" t="str">
        <f>IF(LayTable[[#This Row],[Utfall bookie]]="","",LayTable[[#This Row],[WBABack]]+LayTable[[#This Row],[WBALay]]-LayTable[[#This Row],[Total inns]])</f>
        <v/>
      </c>
      <c r="U10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3" s="48" t="str">
        <f>IFERROR(IF(LayTable[[#This Row],[Total inns]]="","",LayTable[[#This Row],[Rback]]/LayTable[[#This Row],[Total inns]]),"")</f>
        <v/>
      </c>
      <c r="X1033" s="48" t="str">
        <f>IFERROR(IF(LayTable[[#This Row],[Total inns]]="","",LayTable[[#This Row],[Rlay]]/LayTable[[#This Row],[Total inns]]),"")</f>
        <v/>
      </c>
      <c r="Y1033" s="48" t="str">
        <f>IFERROR(LayTable[[#This Row],[Faktisk res]]/LayTable[[#This Row],[Total inns]],"")</f>
        <v/>
      </c>
      <c r="Z1033" s="47">
        <f>(LayTable[[#This Row],[BookieInnsats]]*LayTable[[#This Row],[BookieOdds]]-LayTable[[#This Row],[BookieInnsats]])*(1-LayTable[[#This Row],[C% Bookie]])</f>
        <v>0</v>
      </c>
      <c r="AA1033" s="43">
        <f>LayTable[[#This Row],[LayInnsats]]*(1-LayTable[[#This Row],[C% Lay]])</f>
        <v>0</v>
      </c>
      <c r="AB1033" s="43" t="str">
        <f>IFERROR(IF(LayTable[[#This Row],[Sport]]="",AB1032,LayTable[[#This Row],[Faktisk res]]+AB1032),"")</f>
        <v/>
      </c>
      <c r="AC1033" s="43">
        <f>(LayTable[[#This Row],[BackWin-Commission]]+LayTable[[#This Row],[BookieInnsats]])</f>
        <v>0</v>
      </c>
      <c r="AD1033" s="43" t="e">
        <f>(LayTable[[#This Row],[LayWin-Commission]])+LayTable[[#This Row],[LayLiability]]</f>
        <v>#VALUE!</v>
      </c>
      <c r="AE1033" s="43"/>
      <c r="AF1033" s="181"/>
    </row>
    <row r="1034" spans="1:32">
      <c r="A1034" s="84"/>
      <c r="B1034" s="39"/>
      <c r="C1034" s="40"/>
      <c r="D1034" s="41"/>
      <c r="E1034" s="40"/>
      <c r="F1034" s="41"/>
      <c r="G1034" s="183"/>
      <c r="H1034" s="38"/>
      <c r="I1034" s="42"/>
      <c r="J1034" s="42"/>
      <c r="K1034" s="43"/>
      <c r="L1034" s="43"/>
      <c r="M1034" s="44" t="str">
        <f>IF(LayTable[[#This Row],[Sport]]="","",LayTable[[#This Row],[LayInnsats]]*(LayTable[[#This Row],[LayOdds]]-1))</f>
        <v/>
      </c>
      <c r="N1034" s="45" t="str">
        <f>IF(LayTable[[#This Row],[Sport]]="","",1/((1/LayTable[[#This Row],[BookieOdds]])+(1/((1/((1+((LayTable[[#This Row],[LayOdds]]-1)*(1+LayTable[[#This Row],[C% Lay]])))-1))+1)))-1)</f>
        <v/>
      </c>
      <c r="Q1034" s="46" t="str">
        <f>IF(LayTable[[#This Row],[Sport]]="","",LayTable[[#This Row],[BookieInnsats]]+LayTable[[#This Row],[LayLiability]])</f>
        <v/>
      </c>
      <c r="R10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4" s="47" t="str">
        <f>IF(LayTable[[#This Row],[Utfall bookie]]="","",LayTable[[#This Row],[WBABack]]+LayTable[[#This Row],[WBALay]]-LayTable[[#This Row],[Total inns]])</f>
        <v/>
      </c>
      <c r="U10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4" s="48" t="str">
        <f>IFERROR(IF(LayTable[[#This Row],[Total inns]]="","",LayTable[[#This Row],[Rback]]/LayTable[[#This Row],[Total inns]]),"")</f>
        <v/>
      </c>
      <c r="X1034" s="48" t="str">
        <f>IFERROR(IF(LayTable[[#This Row],[Total inns]]="","",LayTable[[#This Row],[Rlay]]/LayTable[[#This Row],[Total inns]]),"")</f>
        <v/>
      </c>
      <c r="Y1034" s="48" t="str">
        <f>IFERROR(LayTable[[#This Row],[Faktisk res]]/LayTable[[#This Row],[Total inns]],"")</f>
        <v/>
      </c>
      <c r="Z1034" s="47">
        <f>(LayTable[[#This Row],[BookieInnsats]]*LayTable[[#This Row],[BookieOdds]]-LayTable[[#This Row],[BookieInnsats]])*(1-LayTable[[#This Row],[C% Bookie]])</f>
        <v>0</v>
      </c>
      <c r="AA1034" s="43">
        <f>LayTable[[#This Row],[LayInnsats]]*(1-LayTable[[#This Row],[C% Lay]])</f>
        <v>0</v>
      </c>
      <c r="AB1034" s="43" t="str">
        <f>IFERROR(IF(LayTable[[#This Row],[Sport]]="",AB1033,LayTable[[#This Row],[Faktisk res]]+AB1033),"")</f>
        <v/>
      </c>
      <c r="AC1034" s="43">
        <f>(LayTable[[#This Row],[BackWin-Commission]]+LayTable[[#This Row],[BookieInnsats]])</f>
        <v>0</v>
      </c>
      <c r="AD1034" s="43" t="e">
        <f>(LayTable[[#This Row],[LayWin-Commission]])+LayTable[[#This Row],[LayLiability]]</f>
        <v>#VALUE!</v>
      </c>
      <c r="AE1034" s="43"/>
      <c r="AF1034" s="181"/>
    </row>
    <row r="1035" spans="1:32">
      <c r="A1035" s="84"/>
      <c r="B1035" s="39"/>
      <c r="C1035" s="40"/>
      <c r="D1035" s="41"/>
      <c r="E1035" s="40"/>
      <c r="F1035" s="41"/>
      <c r="G1035" s="183"/>
      <c r="H1035" s="38"/>
      <c r="I1035" s="42"/>
      <c r="J1035" s="42"/>
      <c r="K1035" s="43"/>
      <c r="L1035" s="43"/>
      <c r="M1035" s="44" t="str">
        <f>IF(LayTable[[#This Row],[Sport]]="","",LayTable[[#This Row],[LayInnsats]]*(LayTable[[#This Row],[LayOdds]]-1))</f>
        <v/>
      </c>
      <c r="N1035" s="45" t="str">
        <f>IF(LayTable[[#This Row],[Sport]]="","",1/((1/LayTable[[#This Row],[BookieOdds]])+(1/((1/((1+((LayTable[[#This Row],[LayOdds]]-1)*(1+LayTable[[#This Row],[C% Lay]])))-1))+1)))-1)</f>
        <v/>
      </c>
      <c r="Q1035" s="46" t="str">
        <f>IF(LayTable[[#This Row],[Sport]]="","",LayTable[[#This Row],[BookieInnsats]]+LayTable[[#This Row],[LayLiability]])</f>
        <v/>
      </c>
      <c r="R10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5" s="47" t="str">
        <f>IF(LayTable[[#This Row],[Utfall bookie]]="","",LayTable[[#This Row],[WBABack]]+LayTable[[#This Row],[WBALay]]-LayTable[[#This Row],[Total inns]])</f>
        <v/>
      </c>
      <c r="U10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5" s="48" t="str">
        <f>IFERROR(IF(LayTable[[#This Row],[Total inns]]="","",LayTable[[#This Row],[Rback]]/LayTable[[#This Row],[Total inns]]),"")</f>
        <v/>
      </c>
      <c r="X1035" s="48" t="str">
        <f>IFERROR(IF(LayTable[[#This Row],[Total inns]]="","",LayTable[[#This Row],[Rlay]]/LayTable[[#This Row],[Total inns]]),"")</f>
        <v/>
      </c>
      <c r="Y1035" s="48" t="str">
        <f>IFERROR(LayTable[[#This Row],[Faktisk res]]/LayTable[[#This Row],[Total inns]],"")</f>
        <v/>
      </c>
      <c r="Z1035" s="47">
        <f>(LayTable[[#This Row],[BookieInnsats]]*LayTable[[#This Row],[BookieOdds]]-LayTable[[#This Row],[BookieInnsats]])*(1-LayTable[[#This Row],[C% Bookie]])</f>
        <v>0</v>
      </c>
      <c r="AA1035" s="43">
        <f>LayTable[[#This Row],[LayInnsats]]*(1-LayTable[[#This Row],[C% Lay]])</f>
        <v>0</v>
      </c>
      <c r="AB1035" s="43" t="str">
        <f>IFERROR(IF(LayTable[[#This Row],[Sport]]="",AB1034,LayTable[[#This Row],[Faktisk res]]+AB1034),"")</f>
        <v/>
      </c>
      <c r="AC1035" s="43">
        <f>(LayTable[[#This Row],[BackWin-Commission]]+LayTable[[#This Row],[BookieInnsats]])</f>
        <v>0</v>
      </c>
      <c r="AD1035" s="43" t="e">
        <f>(LayTable[[#This Row],[LayWin-Commission]])+LayTable[[#This Row],[LayLiability]]</f>
        <v>#VALUE!</v>
      </c>
      <c r="AE1035" s="43"/>
      <c r="AF1035" s="181"/>
    </row>
    <row r="1036" spans="1:32">
      <c r="A1036" s="84"/>
      <c r="B1036" s="39"/>
      <c r="C1036" s="40"/>
      <c r="D1036" s="41"/>
      <c r="E1036" s="40"/>
      <c r="F1036" s="41"/>
      <c r="G1036" s="183"/>
      <c r="H1036" s="38"/>
      <c r="I1036" s="42"/>
      <c r="J1036" s="42"/>
      <c r="K1036" s="43"/>
      <c r="L1036" s="43"/>
      <c r="M1036" s="44" t="str">
        <f>IF(LayTable[[#This Row],[Sport]]="","",LayTable[[#This Row],[LayInnsats]]*(LayTable[[#This Row],[LayOdds]]-1))</f>
        <v/>
      </c>
      <c r="N1036" s="45" t="str">
        <f>IF(LayTable[[#This Row],[Sport]]="","",1/((1/LayTable[[#This Row],[BookieOdds]])+(1/((1/((1+((LayTable[[#This Row],[LayOdds]]-1)*(1+LayTable[[#This Row],[C% Lay]])))-1))+1)))-1)</f>
        <v/>
      </c>
      <c r="Q1036" s="46" t="str">
        <f>IF(LayTable[[#This Row],[Sport]]="","",LayTable[[#This Row],[BookieInnsats]]+LayTable[[#This Row],[LayLiability]])</f>
        <v/>
      </c>
      <c r="R10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6" s="47" t="str">
        <f>IF(LayTable[[#This Row],[Utfall bookie]]="","",LayTable[[#This Row],[WBABack]]+LayTable[[#This Row],[WBALay]]-LayTable[[#This Row],[Total inns]])</f>
        <v/>
      </c>
      <c r="U10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6" s="48" t="str">
        <f>IFERROR(IF(LayTable[[#This Row],[Total inns]]="","",LayTable[[#This Row],[Rback]]/LayTable[[#This Row],[Total inns]]),"")</f>
        <v/>
      </c>
      <c r="X1036" s="48" t="str">
        <f>IFERROR(IF(LayTable[[#This Row],[Total inns]]="","",LayTable[[#This Row],[Rlay]]/LayTable[[#This Row],[Total inns]]),"")</f>
        <v/>
      </c>
      <c r="Y1036" s="48" t="str">
        <f>IFERROR(LayTable[[#This Row],[Faktisk res]]/LayTable[[#This Row],[Total inns]],"")</f>
        <v/>
      </c>
      <c r="Z1036" s="47">
        <f>(LayTable[[#This Row],[BookieInnsats]]*LayTable[[#This Row],[BookieOdds]]-LayTable[[#This Row],[BookieInnsats]])*(1-LayTable[[#This Row],[C% Bookie]])</f>
        <v>0</v>
      </c>
      <c r="AA1036" s="43">
        <f>LayTable[[#This Row],[LayInnsats]]*(1-LayTable[[#This Row],[C% Lay]])</f>
        <v>0</v>
      </c>
      <c r="AB1036" s="43" t="str">
        <f>IFERROR(IF(LayTable[[#This Row],[Sport]]="",AB1035,LayTable[[#This Row],[Faktisk res]]+AB1035),"")</f>
        <v/>
      </c>
      <c r="AC1036" s="43">
        <f>(LayTable[[#This Row],[BackWin-Commission]]+LayTable[[#This Row],[BookieInnsats]])</f>
        <v>0</v>
      </c>
      <c r="AD1036" s="43" t="e">
        <f>(LayTable[[#This Row],[LayWin-Commission]])+LayTable[[#This Row],[LayLiability]]</f>
        <v>#VALUE!</v>
      </c>
      <c r="AE1036" s="43"/>
      <c r="AF1036" s="181"/>
    </row>
    <row r="1037" spans="1:32">
      <c r="A1037" s="84"/>
      <c r="B1037" s="39"/>
      <c r="C1037" s="40"/>
      <c r="D1037" s="41"/>
      <c r="E1037" s="40"/>
      <c r="F1037" s="41"/>
      <c r="G1037" s="183"/>
      <c r="H1037" s="38"/>
      <c r="I1037" s="42"/>
      <c r="J1037" s="42"/>
      <c r="K1037" s="43"/>
      <c r="L1037" s="43"/>
      <c r="M1037" s="44" t="str">
        <f>IF(LayTable[[#This Row],[Sport]]="","",LayTable[[#This Row],[LayInnsats]]*(LayTable[[#This Row],[LayOdds]]-1))</f>
        <v/>
      </c>
      <c r="N1037" s="45" t="str">
        <f>IF(LayTable[[#This Row],[Sport]]="","",1/((1/LayTable[[#This Row],[BookieOdds]])+(1/((1/((1+((LayTable[[#This Row],[LayOdds]]-1)*(1+LayTable[[#This Row],[C% Lay]])))-1))+1)))-1)</f>
        <v/>
      </c>
      <c r="Q1037" s="46" t="str">
        <f>IF(LayTable[[#This Row],[Sport]]="","",LayTable[[#This Row],[BookieInnsats]]+LayTable[[#This Row],[LayLiability]])</f>
        <v/>
      </c>
      <c r="R10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7" s="47" t="str">
        <f>IF(LayTable[[#This Row],[Utfall bookie]]="","",LayTable[[#This Row],[WBABack]]+LayTable[[#This Row],[WBALay]]-LayTable[[#This Row],[Total inns]])</f>
        <v/>
      </c>
      <c r="U10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7" s="48" t="str">
        <f>IFERROR(IF(LayTable[[#This Row],[Total inns]]="","",LayTable[[#This Row],[Rback]]/LayTable[[#This Row],[Total inns]]),"")</f>
        <v/>
      </c>
      <c r="X1037" s="48" t="str">
        <f>IFERROR(IF(LayTable[[#This Row],[Total inns]]="","",LayTable[[#This Row],[Rlay]]/LayTable[[#This Row],[Total inns]]),"")</f>
        <v/>
      </c>
      <c r="Y1037" s="48" t="str">
        <f>IFERROR(LayTable[[#This Row],[Faktisk res]]/LayTable[[#This Row],[Total inns]],"")</f>
        <v/>
      </c>
      <c r="Z1037" s="47">
        <f>(LayTable[[#This Row],[BookieInnsats]]*LayTable[[#This Row],[BookieOdds]]-LayTable[[#This Row],[BookieInnsats]])*(1-LayTable[[#This Row],[C% Bookie]])</f>
        <v>0</v>
      </c>
      <c r="AA1037" s="43">
        <f>LayTable[[#This Row],[LayInnsats]]*(1-LayTable[[#This Row],[C% Lay]])</f>
        <v>0</v>
      </c>
      <c r="AB1037" s="43" t="str">
        <f>IFERROR(IF(LayTable[[#This Row],[Sport]]="",AB1036,LayTable[[#This Row],[Faktisk res]]+AB1036),"")</f>
        <v/>
      </c>
      <c r="AC1037" s="43">
        <f>(LayTable[[#This Row],[BackWin-Commission]]+LayTable[[#This Row],[BookieInnsats]])</f>
        <v>0</v>
      </c>
      <c r="AD1037" s="43" t="e">
        <f>(LayTable[[#This Row],[LayWin-Commission]])+LayTable[[#This Row],[LayLiability]]</f>
        <v>#VALUE!</v>
      </c>
      <c r="AE1037" s="43"/>
      <c r="AF1037" s="181"/>
    </row>
    <row r="1038" spans="1:32">
      <c r="A1038" s="84"/>
      <c r="B1038" s="39"/>
      <c r="C1038" s="40"/>
      <c r="D1038" s="41"/>
      <c r="E1038" s="40"/>
      <c r="F1038" s="41"/>
      <c r="G1038" s="183"/>
      <c r="H1038" s="38"/>
      <c r="I1038" s="42"/>
      <c r="J1038" s="42"/>
      <c r="K1038" s="43"/>
      <c r="L1038" s="43"/>
      <c r="M1038" s="44" t="str">
        <f>IF(LayTable[[#This Row],[Sport]]="","",LayTable[[#This Row],[LayInnsats]]*(LayTable[[#This Row],[LayOdds]]-1))</f>
        <v/>
      </c>
      <c r="N1038" s="45" t="str">
        <f>IF(LayTable[[#This Row],[Sport]]="","",1/((1/LayTable[[#This Row],[BookieOdds]])+(1/((1/((1+((LayTable[[#This Row],[LayOdds]]-1)*(1+LayTable[[#This Row],[C% Lay]])))-1))+1)))-1)</f>
        <v/>
      </c>
      <c r="Q1038" s="46" t="str">
        <f>IF(LayTable[[#This Row],[Sport]]="","",LayTable[[#This Row],[BookieInnsats]]+LayTable[[#This Row],[LayLiability]])</f>
        <v/>
      </c>
      <c r="R10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8" s="47" t="str">
        <f>IF(LayTable[[#This Row],[Utfall bookie]]="","",LayTable[[#This Row],[WBABack]]+LayTable[[#This Row],[WBALay]]-LayTable[[#This Row],[Total inns]])</f>
        <v/>
      </c>
      <c r="U10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8" s="48" t="str">
        <f>IFERROR(IF(LayTable[[#This Row],[Total inns]]="","",LayTable[[#This Row],[Rback]]/LayTable[[#This Row],[Total inns]]),"")</f>
        <v/>
      </c>
      <c r="X1038" s="48" t="str">
        <f>IFERROR(IF(LayTable[[#This Row],[Total inns]]="","",LayTable[[#This Row],[Rlay]]/LayTable[[#This Row],[Total inns]]),"")</f>
        <v/>
      </c>
      <c r="Y1038" s="48" t="str">
        <f>IFERROR(LayTable[[#This Row],[Faktisk res]]/LayTable[[#This Row],[Total inns]],"")</f>
        <v/>
      </c>
      <c r="Z1038" s="47">
        <f>(LayTable[[#This Row],[BookieInnsats]]*LayTable[[#This Row],[BookieOdds]]-LayTable[[#This Row],[BookieInnsats]])*(1-LayTable[[#This Row],[C% Bookie]])</f>
        <v>0</v>
      </c>
      <c r="AA1038" s="43">
        <f>LayTable[[#This Row],[LayInnsats]]*(1-LayTable[[#This Row],[C% Lay]])</f>
        <v>0</v>
      </c>
      <c r="AB1038" s="43" t="str">
        <f>IFERROR(IF(LayTable[[#This Row],[Sport]]="",AB1037,LayTable[[#This Row],[Faktisk res]]+AB1037),"")</f>
        <v/>
      </c>
      <c r="AC1038" s="43">
        <f>(LayTable[[#This Row],[BackWin-Commission]]+LayTable[[#This Row],[BookieInnsats]])</f>
        <v>0</v>
      </c>
      <c r="AD1038" s="43" t="e">
        <f>(LayTable[[#This Row],[LayWin-Commission]])+LayTable[[#This Row],[LayLiability]]</f>
        <v>#VALUE!</v>
      </c>
      <c r="AE1038" s="43"/>
      <c r="AF1038" s="181"/>
    </row>
    <row r="1039" spans="1:32">
      <c r="A1039" s="84"/>
      <c r="B1039" s="39"/>
      <c r="C1039" s="40"/>
      <c r="D1039" s="41"/>
      <c r="E1039" s="40"/>
      <c r="F1039" s="41"/>
      <c r="G1039" s="183"/>
      <c r="H1039" s="38"/>
      <c r="I1039" s="42"/>
      <c r="J1039" s="42"/>
      <c r="K1039" s="43"/>
      <c r="L1039" s="43"/>
      <c r="M1039" s="44" t="str">
        <f>IF(LayTable[[#This Row],[Sport]]="","",LayTable[[#This Row],[LayInnsats]]*(LayTable[[#This Row],[LayOdds]]-1))</f>
        <v/>
      </c>
      <c r="N1039" s="45" t="str">
        <f>IF(LayTable[[#This Row],[Sport]]="","",1/((1/LayTable[[#This Row],[BookieOdds]])+(1/((1/((1+((LayTable[[#This Row],[LayOdds]]-1)*(1+LayTable[[#This Row],[C% Lay]])))-1))+1)))-1)</f>
        <v/>
      </c>
      <c r="Q1039" s="46" t="str">
        <f>IF(LayTable[[#This Row],[Sport]]="","",LayTable[[#This Row],[BookieInnsats]]+LayTable[[#This Row],[LayLiability]])</f>
        <v/>
      </c>
      <c r="R1039" s="47">
        <v>-1.4000000000002899E-2</v>
      </c>
      <c r="S10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39" s="47" t="str">
        <f>IF(LayTable[[#This Row],[Utfall bookie]]="","",LayTable[[#This Row],[WBABack]]+LayTable[[#This Row],[WBALay]]-LayTable[[#This Row],[Total inns]])</f>
        <v/>
      </c>
      <c r="U10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39" s="48" t="str">
        <f>IFERROR(IF(LayTable[[#This Row],[Total inns]]="","",LayTable[[#This Row],[Rback]]/LayTable[[#This Row],[Total inns]]),"")</f>
        <v/>
      </c>
      <c r="X1039" s="48" t="str">
        <f>IFERROR(IF(LayTable[[#This Row],[Total inns]]="","",LayTable[[#This Row],[Rlay]]/LayTable[[#This Row],[Total inns]]),"")</f>
        <v/>
      </c>
      <c r="Y1039" s="48" t="str">
        <f>IFERROR(LayTable[[#This Row],[Faktisk res]]/LayTable[[#This Row],[Total inns]],"")</f>
        <v/>
      </c>
      <c r="Z1039" s="47">
        <f>(LayTable[[#This Row],[BookieInnsats]]*LayTable[[#This Row],[BookieOdds]]-LayTable[[#This Row],[BookieInnsats]])*(1-LayTable[[#This Row],[C% Bookie]])</f>
        <v>0</v>
      </c>
      <c r="AA1039" s="43">
        <f>LayTable[[#This Row],[LayInnsats]]*(1-LayTable[[#This Row],[C% Lay]])</f>
        <v>0</v>
      </c>
      <c r="AB1039" s="43" t="str">
        <f>IFERROR(IF(LayTable[[#This Row],[Sport]]="",AB1038,LayTable[[#This Row],[Faktisk res]]+AB1038),"")</f>
        <v/>
      </c>
      <c r="AC1039" s="43">
        <f>(LayTable[[#This Row],[BackWin-Commission]]+LayTable[[#This Row],[BookieInnsats]])</f>
        <v>0</v>
      </c>
      <c r="AD1039" s="43" t="e">
        <f>(LayTable[[#This Row],[LayWin-Commission]])+LayTable[[#This Row],[LayLiability]]</f>
        <v>#VALUE!</v>
      </c>
      <c r="AE1039" s="43"/>
      <c r="AF1039" s="181"/>
    </row>
    <row r="1040" spans="1:32">
      <c r="A1040" s="84"/>
      <c r="B1040" s="39"/>
      <c r="C1040" s="40"/>
      <c r="D1040" s="41"/>
      <c r="E1040" s="40"/>
      <c r="F1040" s="41"/>
      <c r="G1040" s="183"/>
      <c r="H1040" s="38"/>
      <c r="I1040" s="42"/>
      <c r="J1040" s="42"/>
      <c r="K1040" s="43"/>
      <c r="L1040" s="43"/>
      <c r="M1040" s="44" t="str">
        <f>IF(LayTable[[#This Row],[Sport]]="","",LayTable[[#This Row],[LayInnsats]]*(LayTable[[#This Row],[LayOdds]]-1))</f>
        <v/>
      </c>
      <c r="N1040" s="45" t="str">
        <f>IF(LayTable[[#This Row],[Sport]]="","",1/((1/LayTable[[#This Row],[BookieOdds]])+(1/((1/((1+((LayTable[[#This Row],[LayOdds]]-1)*(1+LayTable[[#This Row],[C% Lay]])))-1))+1)))-1)</f>
        <v/>
      </c>
      <c r="Q1040" s="46" t="str">
        <f>IF(LayTable[[#This Row],[Sport]]="","",LayTable[[#This Row],[BookieInnsats]]+LayTable[[#This Row],[LayLiability]])</f>
        <v/>
      </c>
      <c r="R10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0" s="47" t="str">
        <f>IF(LayTable[[#This Row],[Utfall bookie]]="","",LayTable[[#This Row],[WBABack]]+LayTable[[#This Row],[WBALay]]-LayTable[[#This Row],[Total inns]])</f>
        <v/>
      </c>
      <c r="U10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0" s="48" t="str">
        <f>IFERROR(IF(LayTable[[#This Row],[Total inns]]="","",LayTable[[#This Row],[Rback]]/LayTable[[#This Row],[Total inns]]),"")</f>
        <v/>
      </c>
      <c r="X1040" s="48" t="str">
        <f>IFERROR(IF(LayTable[[#This Row],[Total inns]]="","",LayTable[[#This Row],[Rlay]]/LayTable[[#This Row],[Total inns]]),"")</f>
        <v/>
      </c>
      <c r="Y1040" s="48" t="str">
        <f>IFERROR(LayTable[[#This Row],[Faktisk res]]/LayTable[[#This Row],[Total inns]],"")</f>
        <v/>
      </c>
      <c r="Z1040" s="47">
        <f>(LayTable[[#This Row],[BookieInnsats]]*LayTable[[#This Row],[BookieOdds]]-LayTable[[#This Row],[BookieInnsats]])*(1-LayTable[[#This Row],[C% Bookie]])</f>
        <v>0</v>
      </c>
      <c r="AA1040" s="43">
        <f>LayTable[[#This Row],[LayInnsats]]*(1-LayTable[[#This Row],[C% Lay]])</f>
        <v>0</v>
      </c>
      <c r="AB1040" s="43" t="str">
        <f>IFERROR(IF(LayTable[[#This Row],[Sport]]="",AB1039,LayTable[[#This Row],[Faktisk res]]+AB1039),"")</f>
        <v/>
      </c>
      <c r="AC1040" s="43">
        <f>(LayTable[[#This Row],[BackWin-Commission]]+LayTable[[#This Row],[BookieInnsats]])</f>
        <v>0</v>
      </c>
      <c r="AD1040" s="43" t="e">
        <f>(LayTable[[#This Row],[LayWin-Commission]])+LayTable[[#This Row],[LayLiability]]</f>
        <v>#VALUE!</v>
      </c>
      <c r="AE1040" s="43"/>
      <c r="AF1040" s="181"/>
    </row>
    <row r="1041" spans="1:32">
      <c r="A1041" s="84"/>
      <c r="B1041" s="39"/>
      <c r="C1041" s="40"/>
      <c r="D1041" s="41"/>
      <c r="E1041" s="40"/>
      <c r="F1041" s="41"/>
      <c r="G1041" s="183"/>
      <c r="H1041" s="38"/>
      <c r="I1041" s="42"/>
      <c r="J1041" s="42"/>
      <c r="K1041" s="43"/>
      <c r="L1041" s="43"/>
      <c r="M1041" s="44" t="str">
        <f>IF(LayTable[[#This Row],[Sport]]="","",LayTable[[#This Row],[LayInnsats]]*(LayTable[[#This Row],[LayOdds]]-1))</f>
        <v/>
      </c>
      <c r="N1041" s="45" t="str">
        <f>IF(LayTable[[#This Row],[Sport]]="","",1/((1/LayTable[[#This Row],[BookieOdds]])+(1/((1/((1+((LayTable[[#This Row],[LayOdds]]-1)*(1+LayTable[[#This Row],[C% Lay]])))-1))+1)))-1)</f>
        <v/>
      </c>
      <c r="Q1041" s="46" t="str">
        <f>IF(LayTable[[#This Row],[Sport]]="","",LayTable[[#This Row],[BookieInnsats]]+LayTable[[#This Row],[LayLiability]])</f>
        <v/>
      </c>
      <c r="R10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1" s="47" t="str">
        <f>IF(LayTable[[#This Row],[Utfall bookie]]="","",LayTable[[#This Row],[WBABack]]+LayTable[[#This Row],[WBALay]]-LayTable[[#This Row],[Total inns]])</f>
        <v/>
      </c>
      <c r="U10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1" s="48" t="str">
        <f>IFERROR(IF(LayTable[[#This Row],[Total inns]]="","",LayTable[[#This Row],[Rback]]/LayTable[[#This Row],[Total inns]]),"")</f>
        <v/>
      </c>
      <c r="X1041" s="48" t="str">
        <f>IFERROR(IF(LayTable[[#This Row],[Total inns]]="","",LayTable[[#This Row],[Rlay]]/LayTable[[#This Row],[Total inns]]),"")</f>
        <v/>
      </c>
      <c r="Y1041" s="48" t="str">
        <f>IFERROR(LayTable[[#This Row],[Faktisk res]]/LayTable[[#This Row],[Total inns]],"")</f>
        <v/>
      </c>
      <c r="Z1041" s="47">
        <f>(LayTable[[#This Row],[BookieInnsats]]*LayTable[[#This Row],[BookieOdds]]-LayTable[[#This Row],[BookieInnsats]])*(1-LayTable[[#This Row],[C% Bookie]])</f>
        <v>0</v>
      </c>
      <c r="AA1041" s="43">
        <f>LayTable[[#This Row],[LayInnsats]]*(1-LayTable[[#This Row],[C% Lay]])</f>
        <v>0</v>
      </c>
      <c r="AB1041" s="43" t="str">
        <f>IFERROR(IF(LayTable[[#This Row],[Sport]]="",AB1040,LayTable[[#This Row],[Faktisk res]]+AB1040),"")</f>
        <v/>
      </c>
      <c r="AC1041" s="43">
        <f>(LayTable[[#This Row],[BackWin-Commission]]+LayTable[[#This Row],[BookieInnsats]])</f>
        <v>0</v>
      </c>
      <c r="AD1041" s="43" t="e">
        <f>(LayTable[[#This Row],[LayWin-Commission]])+LayTable[[#This Row],[LayLiability]]</f>
        <v>#VALUE!</v>
      </c>
      <c r="AE1041" s="43"/>
      <c r="AF1041" s="181"/>
    </row>
    <row r="1042" spans="1:32">
      <c r="A1042" s="84"/>
      <c r="B1042" s="39"/>
      <c r="C1042" s="40"/>
      <c r="D1042" s="41"/>
      <c r="E1042" s="40"/>
      <c r="F1042" s="41"/>
      <c r="G1042" s="183"/>
      <c r="H1042" s="38"/>
      <c r="I1042" s="42"/>
      <c r="J1042" s="42"/>
      <c r="K1042" s="43"/>
      <c r="L1042" s="43"/>
      <c r="M1042" s="44" t="str">
        <f>IF(LayTable[[#This Row],[Sport]]="","",LayTable[[#This Row],[LayInnsats]]*(LayTable[[#This Row],[LayOdds]]-1))</f>
        <v/>
      </c>
      <c r="N1042" s="45" t="str">
        <f>IF(LayTable[[#This Row],[Sport]]="","",1/((1/LayTable[[#This Row],[BookieOdds]])+(1/((1/((1+((LayTable[[#This Row],[LayOdds]]-1)*(1+LayTable[[#This Row],[C% Lay]])))-1))+1)))-1)</f>
        <v/>
      </c>
      <c r="Q1042" s="46" t="str">
        <f>IF(LayTable[[#This Row],[Sport]]="","",LayTable[[#This Row],[BookieInnsats]]+LayTable[[#This Row],[LayLiability]])</f>
        <v/>
      </c>
      <c r="R10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2" s="47" t="str">
        <f>IF(LayTable[[#This Row],[Utfall bookie]]="","",LayTable[[#This Row],[WBABack]]+LayTable[[#This Row],[WBALay]]-LayTable[[#This Row],[Total inns]])</f>
        <v/>
      </c>
      <c r="U10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2" s="48" t="str">
        <f>IFERROR(IF(LayTable[[#This Row],[Total inns]]="","",LayTable[[#This Row],[Rback]]/LayTable[[#This Row],[Total inns]]),"")</f>
        <v/>
      </c>
      <c r="X1042" s="48" t="str">
        <f>IFERROR(IF(LayTable[[#This Row],[Total inns]]="","",LayTable[[#This Row],[Rlay]]/LayTable[[#This Row],[Total inns]]),"")</f>
        <v/>
      </c>
      <c r="Y1042" s="48" t="str">
        <f>IFERROR(LayTable[[#This Row],[Faktisk res]]/LayTable[[#This Row],[Total inns]],"")</f>
        <v/>
      </c>
      <c r="Z1042" s="47">
        <f>(LayTable[[#This Row],[BookieInnsats]]*LayTable[[#This Row],[BookieOdds]]-LayTable[[#This Row],[BookieInnsats]])*(1-LayTable[[#This Row],[C% Bookie]])</f>
        <v>0</v>
      </c>
      <c r="AA1042" s="43">
        <f>LayTable[[#This Row],[LayInnsats]]*(1-LayTable[[#This Row],[C% Lay]])</f>
        <v>0</v>
      </c>
      <c r="AB1042" s="43" t="str">
        <f>IFERROR(IF(LayTable[[#This Row],[Sport]]="",AB1041,LayTable[[#This Row],[Faktisk res]]+AB1041),"")</f>
        <v/>
      </c>
      <c r="AC1042" s="43">
        <f>(LayTable[[#This Row],[BackWin-Commission]]+LayTable[[#This Row],[BookieInnsats]])</f>
        <v>0</v>
      </c>
      <c r="AD1042" s="43" t="e">
        <f>(LayTable[[#This Row],[LayWin-Commission]])+LayTable[[#This Row],[LayLiability]]</f>
        <v>#VALUE!</v>
      </c>
      <c r="AE1042" s="43"/>
      <c r="AF1042" s="181"/>
    </row>
    <row r="1043" spans="1:32">
      <c r="A1043" s="84"/>
      <c r="B1043" s="39"/>
      <c r="C1043" s="40"/>
      <c r="D1043" s="41"/>
      <c r="E1043" s="40"/>
      <c r="F1043" s="41"/>
      <c r="G1043" s="183"/>
      <c r="H1043" s="38"/>
      <c r="I1043" s="42"/>
      <c r="J1043" s="42"/>
      <c r="K1043" s="43"/>
      <c r="L1043" s="43"/>
      <c r="M1043" s="44" t="str">
        <f>IF(LayTable[[#This Row],[Sport]]="","",LayTable[[#This Row],[LayInnsats]]*(LayTable[[#This Row],[LayOdds]]-1))</f>
        <v/>
      </c>
      <c r="N1043" s="45" t="str">
        <f>IF(LayTable[[#This Row],[Sport]]="","",1/((1/LayTable[[#This Row],[BookieOdds]])+(1/((1/((1+((LayTable[[#This Row],[LayOdds]]-1)*(1+LayTable[[#This Row],[C% Lay]])))-1))+1)))-1)</f>
        <v/>
      </c>
      <c r="Q1043" s="46" t="str">
        <f>IF(LayTable[[#This Row],[Sport]]="","",LayTable[[#This Row],[BookieInnsats]]+LayTable[[#This Row],[LayLiability]])</f>
        <v/>
      </c>
      <c r="R10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3" s="47" t="str">
        <f>IF(LayTable[[#This Row],[Utfall bookie]]="","",LayTable[[#This Row],[WBABack]]+LayTable[[#This Row],[WBALay]]-LayTable[[#This Row],[Total inns]])</f>
        <v/>
      </c>
      <c r="U10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3" s="48" t="str">
        <f>IFERROR(IF(LayTable[[#This Row],[Total inns]]="","",LayTable[[#This Row],[Rback]]/LayTable[[#This Row],[Total inns]]),"")</f>
        <v/>
      </c>
      <c r="X1043" s="48" t="str">
        <f>IFERROR(IF(LayTable[[#This Row],[Total inns]]="","",LayTable[[#This Row],[Rlay]]/LayTable[[#This Row],[Total inns]]),"")</f>
        <v/>
      </c>
      <c r="Y1043" s="48" t="str">
        <f>IFERROR(LayTable[[#This Row],[Faktisk res]]/LayTable[[#This Row],[Total inns]],"")</f>
        <v/>
      </c>
      <c r="Z1043" s="47">
        <f>(LayTable[[#This Row],[BookieInnsats]]*LayTable[[#This Row],[BookieOdds]]-LayTable[[#This Row],[BookieInnsats]])*(1-LayTable[[#This Row],[C% Bookie]])</f>
        <v>0</v>
      </c>
      <c r="AA1043" s="43">
        <f>LayTable[[#This Row],[LayInnsats]]*(1-LayTable[[#This Row],[C% Lay]])</f>
        <v>0</v>
      </c>
      <c r="AB1043" s="43" t="str">
        <f>IFERROR(IF(LayTable[[#This Row],[Sport]]="",AB1042,LayTable[[#This Row],[Faktisk res]]+AB1042),"")</f>
        <v/>
      </c>
      <c r="AC1043" s="43">
        <f>(LayTable[[#This Row],[BackWin-Commission]]+LayTable[[#This Row],[BookieInnsats]])</f>
        <v>0</v>
      </c>
      <c r="AD1043" s="43" t="e">
        <f>(LayTable[[#This Row],[LayWin-Commission]])+LayTable[[#This Row],[LayLiability]]</f>
        <v>#VALUE!</v>
      </c>
      <c r="AE1043" s="43"/>
      <c r="AF1043" s="181"/>
    </row>
    <row r="1044" spans="1:32">
      <c r="A1044" s="84"/>
      <c r="B1044" s="39"/>
      <c r="C1044" s="40"/>
      <c r="D1044" s="41"/>
      <c r="E1044" s="40"/>
      <c r="F1044" s="41"/>
      <c r="G1044" s="183"/>
      <c r="H1044" s="38"/>
      <c r="I1044" s="42"/>
      <c r="J1044" s="42"/>
      <c r="K1044" s="43"/>
      <c r="L1044" s="43"/>
      <c r="M1044" s="44" t="str">
        <f>IF(LayTable[[#This Row],[Sport]]="","",LayTable[[#This Row],[LayInnsats]]*(LayTable[[#This Row],[LayOdds]]-1))</f>
        <v/>
      </c>
      <c r="N1044" s="45" t="str">
        <f>IF(LayTable[[#This Row],[Sport]]="","",1/((1/LayTable[[#This Row],[BookieOdds]])+(1/((1/((1+((LayTable[[#This Row],[LayOdds]]-1)*(1+LayTable[[#This Row],[C% Lay]])))-1))+1)))-1)</f>
        <v/>
      </c>
      <c r="Q1044" s="46" t="str">
        <f>IF(LayTable[[#This Row],[Sport]]="","",LayTable[[#This Row],[BookieInnsats]]+LayTable[[#This Row],[LayLiability]])</f>
        <v/>
      </c>
      <c r="R10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4" s="47" t="str">
        <f>IF(LayTable[[#This Row],[Utfall bookie]]="","",LayTable[[#This Row],[WBABack]]+LayTable[[#This Row],[WBALay]]-LayTable[[#This Row],[Total inns]])</f>
        <v/>
      </c>
      <c r="U10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4" s="48" t="str">
        <f>IFERROR(IF(LayTable[[#This Row],[Total inns]]="","",LayTable[[#This Row],[Rback]]/LayTable[[#This Row],[Total inns]]),"")</f>
        <v/>
      </c>
      <c r="X1044" s="48" t="str">
        <f>IFERROR(IF(LayTable[[#This Row],[Total inns]]="","",LayTable[[#This Row],[Rlay]]/LayTable[[#This Row],[Total inns]]),"")</f>
        <v/>
      </c>
      <c r="Y1044" s="48" t="str">
        <f>IFERROR(LayTable[[#This Row],[Faktisk res]]/LayTable[[#This Row],[Total inns]],"")</f>
        <v/>
      </c>
      <c r="Z1044" s="47">
        <f>(LayTable[[#This Row],[BookieInnsats]]*LayTable[[#This Row],[BookieOdds]]-LayTable[[#This Row],[BookieInnsats]])*(1-LayTable[[#This Row],[C% Bookie]])</f>
        <v>0</v>
      </c>
      <c r="AA1044" s="43">
        <f>LayTable[[#This Row],[LayInnsats]]*(1-LayTable[[#This Row],[C% Lay]])</f>
        <v>0</v>
      </c>
      <c r="AB1044" s="43" t="str">
        <f>IFERROR(IF(LayTable[[#This Row],[Sport]]="",AB1043,LayTable[[#This Row],[Faktisk res]]+AB1043),"")</f>
        <v/>
      </c>
      <c r="AC1044" s="43">
        <f>(LayTable[[#This Row],[BackWin-Commission]]+LayTable[[#This Row],[BookieInnsats]])</f>
        <v>0</v>
      </c>
      <c r="AD1044" s="43" t="e">
        <f>(LayTable[[#This Row],[LayWin-Commission]])+LayTable[[#This Row],[LayLiability]]</f>
        <v>#VALUE!</v>
      </c>
      <c r="AE1044" s="43"/>
      <c r="AF1044" s="181"/>
    </row>
    <row r="1045" spans="1:32">
      <c r="A1045" s="84"/>
      <c r="B1045" s="39"/>
      <c r="C1045" s="40"/>
      <c r="D1045" s="41"/>
      <c r="E1045" s="40"/>
      <c r="F1045" s="41"/>
      <c r="G1045" s="183"/>
      <c r="H1045" s="38"/>
      <c r="I1045" s="42"/>
      <c r="J1045" s="42"/>
      <c r="K1045" s="43"/>
      <c r="L1045" s="43"/>
      <c r="M1045" s="44" t="str">
        <f>IF(LayTable[[#This Row],[Sport]]="","",LayTable[[#This Row],[LayInnsats]]*(LayTable[[#This Row],[LayOdds]]-1))</f>
        <v/>
      </c>
      <c r="N1045" s="45" t="str">
        <f>IF(LayTable[[#This Row],[Sport]]="","",1/((1/LayTable[[#This Row],[BookieOdds]])+(1/((1/((1+((LayTable[[#This Row],[LayOdds]]-1)*(1+LayTable[[#This Row],[C% Lay]])))-1))+1)))-1)</f>
        <v/>
      </c>
      <c r="Q1045" s="46" t="str">
        <f>IF(LayTable[[#This Row],[Sport]]="","",LayTable[[#This Row],[BookieInnsats]]+LayTable[[#This Row],[LayLiability]])</f>
        <v/>
      </c>
      <c r="R10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5" s="47" t="str">
        <f>IF(LayTable[[#This Row],[Utfall bookie]]="","",LayTable[[#This Row],[WBABack]]+LayTable[[#This Row],[WBALay]]-LayTable[[#This Row],[Total inns]])</f>
        <v/>
      </c>
      <c r="U10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5" s="48" t="str">
        <f>IFERROR(IF(LayTable[[#This Row],[Total inns]]="","",LayTable[[#This Row],[Rback]]/LayTable[[#This Row],[Total inns]]),"")</f>
        <v/>
      </c>
      <c r="X1045" s="48" t="str">
        <f>IFERROR(IF(LayTable[[#This Row],[Total inns]]="","",LayTable[[#This Row],[Rlay]]/LayTable[[#This Row],[Total inns]]),"")</f>
        <v/>
      </c>
      <c r="Y1045" s="48" t="str">
        <f>IFERROR(LayTable[[#This Row],[Faktisk res]]/LayTable[[#This Row],[Total inns]],"")</f>
        <v/>
      </c>
      <c r="Z1045" s="47">
        <f>(LayTable[[#This Row],[BookieInnsats]]*LayTable[[#This Row],[BookieOdds]]-LayTable[[#This Row],[BookieInnsats]])*(1-LayTable[[#This Row],[C% Bookie]])</f>
        <v>0</v>
      </c>
      <c r="AA1045" s="43">
        <f>LayTable[[#This Row],[LayInnsats]]*(1-LayTable[[#This Row],[C% Lay]])</f>
        <v>0</v>
      </c>
      <c r="AB1045" s="43" t="str">
        <f>IFERROR(IF(LayTable[[#This Row],[Sport]]="",AB1044,LayTable[[#This Row],[Faktisk res]]+AB1044),"")</f>
        <v/>
      </c>
      <c r="AC1045" s="43">
        <f>(LayTable[[#This Row],[BackWin-Commission]]+LayTable[[#This Row],[BookieInnsats]])</f>
        <v>0</v>
      </c>
      <c r="AD1045" s="43" t="e">
        <f>(LayTable[[#This Row],[LayWin-Commission]])+LayTable[[#This Row],[LayLiability]]</f>
        <v>#VALUE!</v>
      </c>
      <c r="AE1045" s="43"/>
      <c r="AF1045" s="181"/>
    </row>
    <row r="1046" spans="1:32">
      <c r="A1046" s="84"/>
      <c r="B1046" s="39"/>
      <c r="C1046" s="40"/>
      <c r="D1046" s="41"/>
      <c r="E1046" s="40"/>
      <c r="F1046" s="41"/>
      <c r="G1046" s="183"/>
      <c r="H1046" s="38"/>
      <c r="I1046" s="42"/>
      <c r="J1046" s="42"/>
      <c r="K1046" s="43"/>
      <c r="L1046" s="43"/>
      <c r="M1046" s="44" t="str">
        <f>IF(LayTable[[#This Row],[Sport]]="","",LayTable[[#This Row],[LayInnsats]]*(LayTable[[#This Row],[LayOdds]]-1))</f>
        <v/>
      </c>
      <c r="N1046" s="45" t="str">
        <f>IF(LayTable[[#This Row],[Sport]]="","",1/((1/LayTable[[#This Row],[BookieOdds]])+(1/((1/((1+((LayTable[[#This Row],[LayOdds]]-1)*(1+LayTable[[#This Row],[C% Lay]])))-1))+1)))-1)</f>
        <v/>
      </c>
      <c r="Q1046" s="46" t="str">
        <f>IF(LayTable[[#This Row],[Sport]]="","",LayTable[[#This Row],[BookieInnsats]]+LayTable[[#This Row],[LayLiability]])</f>
        <v/>
      </c>
      <c r="R10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6" s="47" t="str">
        <f>IF(LayTable[[#This Row],[Utfall bookie]]="","",LayTable[[#This Row],[WBABack]]+LayTable[[#This Row],[WBALay]]-LayTable[[#This Row],[Total inns]])</f>
        <v/>
      </c>
      <c r="U10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6" s="48" t="str">
        <f>IFERROR(IF(LayTable[[#This Row],[Total inns]]="","",LayTable[[#This Row],[Rback]]/LayTable[[#This Row],[Total inns]]),"")</f>
        <v/>
      </c>
      <c r="X1046" s="48" t="str">
        <f>IFERROR(IF(LayTable[[#This Row],[Total inns]]="","",LayTable[[#This Row],[Rlay]]/LayTable[[#This Row],[Total inns]]),"")</f>
        <v/>
      </c>
      <c r="Y1046" s="48" t="str">
        <f>IFERROR(LayTable[[#This Row],[Faktisk res]]/LayTable[[#This Row],[Total inns]],"")</f>
        <v/>
      </c>
      <c r="Z1046" s="47">
        <f>(LayTable[[#This Row],[BookieInnsats]]*LayTable[[#This Row],[BookieOdds]]-LayTable[[#This Row],[BookieInnsats]])*(1-LayTable[[#This Row],[C% Bookie]])</f>
        <v>0</v>
      </c>
      <c r="AA1046" s="43">
        <f>LayTable[[#This Row],[LayInnsats]]*(1-LayTable[[#This Row],[C% Lay]])</f>
        <v>0</v>
      </c>
      <c r="AB1046" s="43" t="str">
        <f>IFERROR(IF(LayTable[[#This Row],[Sport]]="",AB1045,LayTable[[#This Row],[Faktisk res]]+AB1045),"")</f>
        <v/>
      </c>
      <c r="AC1046" s="43">
        <f>(LayTable[[#This Row],[BackWin-Commission]]+LayTable[[#This Row],[BookieInnsats]])</f>
        <v>0</v>
      </c>
      <c r="AD1046" s="43" t="e">
        <f>(LayTable[[#This Row],[LayWin-Commission]])+LayTable[[#This Row],[LayLiability]]</f>
        <v>#VALUE!</v>
      </c>
      <c r="AE1046" s="43"/>
      <c r="AF1046" s="181"/>
    </row>
    <row r="1047" spans="1:32">
      <c r="A1047" s="84"/>
      <c r="B1047" s="39"/>
      <c r="C1047" s="40"/>
      <c r="D1047" s="41"/>
      <c r="E1047" s="40"/>
      <c r="F1047" s="41"/>
      <c r="G1047" s="183"/>
      <c r="H1047" s="38"/>
      <c r="I1047" s="42"/>
      <c r="J1047" s="42"/>
      <c r="K1047" s="43"/>
      <c r="L1047" s="43"/>
      <c r="M1047" s="44" t="str">
        <f>IF(LayTable[[#This Row],[Sport]]="","",LayTable[[#This Row],[LayInnsats]]*(LayTable[[#This Row],[LayOdds]]-1))</f>
        <v/>
      </c>
      <c r="N1047" s="45" t="str">
        <f>IF(LayTable[[#This Row],[Sport]]="","",1/((1/LayTable[[#This Row],[BookieOdds]])+(1/((1/((1+((LayTable[[#This Row],[LayOdds]]-1)*(1+LayTable[[#This Row],[C% Lay]])))-1))+1)))-1)</f>
        <v/>
      </c>
      <c r="Q1047" s="46" t="str">
        <f>IF(LayTable[[#This Row],[Sport]]="","",LayTable[[#This Row],[BookieInnsats]]+LayTable[[#This Row],[LayLiability]])</f>
        <v/>
      </c>
      <c r="R10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7" s="47" t="str">
        <f>IF(LayTable[[#This Row],[Utfall bookie]]="","",LayTable[[#This Row],[WBABack]]+LayTable[[#This Row],[WBALay]]-LayTable[[#This Row],[Total inns]])</f>
        <v/>
      </c>
      <c r="U10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7" s="48" t="str">
        <f>IFERROR(IF(LayTable[[#This Row],[Total inns]]="","",LayTable[[#This Row],[Rback]]/LayTable[[#This Row],[Total inns]]),"")</f>
        <v/>
      </c>
      <c r="X1047" s="48" t="str">
        <f>IFERROR(IF(LayTable[[#This Row],[Total inns]]="","",LayTable[[#This Row],[Rlay]]/LayTable[[#This Row],[Total inns]]),"")</f>
        <v/>
      </c>
      <c r="Y1047" s="48" t="str">
        <f>IFERROR(LayTable[[#This Row],[Faktisk res]]/LayTable[[#This Row],[Total inns]],"")</f>
        <v/>
      </c>
      <c r="Z1047" s="47">
        <f>(LayTable[[#This Row],[BookieInnsats]]*LayTable[[#This Row],[BookieOdds]]-LayTable[[#This Row],[BookieInnsats]])*(1-LayTable[[#This Row],[C% Bookie]])</f>
        <v>0</v>
      </c>
      <c r="AA1047" s="43">
        <f>LayTable[[#This Row],[LayInnsats]]*(1-LayTable[[#This Row],[C% Lay]])</f>
        <v>0</v>
      </c>
      <c r="AB1047" s="43" t="str">
        <f>IFERROR(IF(LayTable[[#This Row],[Sport]]="",AB1046,LayTable[[#This Row],[Faktisk res]]+AB1046),"")</f>
        <v/>
      </c>
      <c r="AC1047" s="43">
        <f>(LayTable[[#This Row],[BackWin-Commission]]+LayTable[[#This Row],[BookieInnsats]])</f>
        <v>0</v>
      </c>
      <c r="AD1047" s="43" t="e">
        <f>(LayTable[[#This Row],[LayWin-Commission]])+LayTable[[#This Row],[LayLiability]]</f>
        <v>#VALUE!</v>
      </c>
      <c r="AE1047" s="43"/>
      <c r="AF1047" s="181"/>
    </row>
    <row r="1048" spans="1:32">
      <c r="A1048" s="84"/>
      <c r="B1048" s="39"/>
      <c r="C1048" s="40"/>
      <c r="D1048" s="41"/>
      <c r="E1048" s="40"/>
      <c r="F1048" s="41"/>
      <c r="G1048" s="183"/>
      <c r="H1048" s="38"/>
      <c r="I1048" s="42"/>
      <c r="J1048" s="42"/>
      <c r="K1048" s="43"/>
      <c r="L1048" s="43"/>
      <c r="M1048" s="44" t="str">
        <f>IF(LayTable[[#This Row],[Sport]]="","",LayTable[[#This Row],[LayInnsats]]*(LayTable[[#This Row],[LayOdds]]-1))</f>
        <v/>
      </c>
      <c r="N1048" s="45" t="str">
        <f>IF(LayTable[[#This Row],[Sport]]="","",1/((1/LayTable[[#This Row],[BookieOdds]])+(1/((1/((1+((LayTable[[#This Row],[LayOdds]]-1)*(1+LayTable[[#This Row],[C% Lay]])))-1))+1)))-1)</f>
        <v/>
      </c>
      <c r="Q1048" s="46" t="str">
        <f>IF(LayTable[[#This Row],[Sport]]="","",LayTable[[#This Row],[BookieInnsats]]+LayTable[[#This Row],[LayLiability]])</f>
        <v/>
      </c>
      <c r="R10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8" s="47" t="str">
        <f>IF(LayTable[[#This Row],[Utfall bookie]]="","",LayTable[[#This Row],[WBABack]]+LayTable[[#This Row],[WBALay]]-LayTable[[#This Row],[Total inns]])</f>
        <v/>
      </c>
      <c r="U10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8" s="48" t="str">
        <f>IFERROR(IF(LayTable[[#This Row],[Total inns]]="","",LayTable[[#This Row],[Rback]]/LayTable[[#This Row],[Total inns]]),"")</f>
        <v/>
      </c>
      <c r="X1048" s="48" t="str">
        <f>IFERROR(IF(LayTable[[#This Row],[Total inns]]="","",LayTable[[#This Row],[Rlay]]/LayTable[[#This Row],[Total inns]]),"")</f>
        <v/>
      </c>
      <c r="Y1048" s="48" t="str">
        <f>IFERROR(LayTable[[#This Row],[Faktisk res]]/LayTable[[#This Row],[Total inns]],"")</f>
        <v/>
      </c>
      <c r="Z1048" s="47">
        <f>(LayTable[[#This Row],[BookieInnsats]]*LayTable[[#This Row],[BookieOdds]]-LayTable[[#This Row],[BookieInnsats]])*(1-LayTable[[#This Row],[C% Bookie]])</f>
        <v>0</v>
      </c>
      <c r="AA1048" s="43">
        <f>LayTable[[#This Row],[LayInnsats]]*(1-LayTable[[#This Row],[C% Lay]])</f>
        <v>0</v>
      </c>
      <c r="AB1048" s="43" t="str">
        <f>IFERROR(IF(LayTable[[#This Row],[Sport]]="",AB1047,LayTable[[#This Row],[Faktisk res]]+AB1047),"")</f>
        <v/>
      </c>
      <c r="AC1048" s="43">
        <f>(LayTable[[#This Row],[BackWin-Commission]]+LayTable[[#This Row],[BookieInnsats]])</f>
        <v>0</v>
      </c>
      <c r="AD1048" s="43" t="e">
        <f>(LayTable[[#This Row],[LayWin-Commission]])+LayTable[[#This Row],[LayLiability]]</f>
        <v>#VALUE!</v>
      </c>
      <c r="AE1048" s="43"/>
      <c r="AF1048" s="181"/>
    </row>
    <row r="1049" spans="1:32">
      <c r="A1049" s="84"/>
      <c r="B1049" s="39"/>
      <c r="C1049" s="40"/>
      <c r="D1049" s="41"/>
      <c r="E1049" s="40"/>
      <c r="F1049" s="41"/>
      <c r="G1049" s="183"/>
      <c r="H1049" s="38"/>
      <c r="I1049" s="42"/>
      <c r="J1049" s="42"/>
      <c r="K1049" s="43"/>
      <c r="L1049" s="43"/>
      <c r="M1049" s="44" t="str">
        <f>IF(LayTable[[#This Row],[Sport]]="","",LayTable[[#This Row],[LayInnsats]]*(LayTable[[#This Row],[LayOdds]]-1))</f>
        <v/>
      </c>
      <c r="N1049" s="45" t="str">
        <f>IF(LayTable[[#This Row],[Sport]]="","",1/((1/LayTable[[#This Row],[BookieOdds]])+(1/((1/((1+((LayTable[[#This Row],[LayOdds]]-1)*(1+LayTable[[#This Row],[C% Lay]])))-1))+1)))-1)</f>
        <v/>
      </c>
      <c r="Q1049" s="46" t="str">
        <f>IF(LayTable[[#This Row],[Sport]]="","",LayTable[[#This Row],[BookieInnsats]]+LayTable[[#This Row],[LayLiability]])</f>
        <v/>
      </c>
      <c r="R10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49" s="47" t="str">
        <f>IF(LayTable[[#This Row],[Utfall bookie]]="","",LayTable[[#This Row],[WBABack]]+LayTable[[#This Row],[WBALay]]-LayTable[[#This Row],[Total inns]])</f>
        <v/>
      </c>
      <c r="U10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49" s="48" t="str">
        <f>IFERROR(IF(LayTable[[#This Row],[Total inns]]="","",LayTable[[#This Row],[Rback]]/LayTable[[#This Row],[Total inns]]),"")</f>
        <v/>
      </c>
      <c r="X1049" s="48" t="str">
        <f>IFERROR(IF(LayTable[[#This Row],[Total inns]]="","",LayTable[[#This Row],[Rlay]]/LayTable[[#This Row],[Total inns]]),"")</f>
        <v/>
      </c>
      <c r="Y1049" s="48" t="str">
        <f>IFERROR(LayTable[[#This Row],[Faktisk res]]/LayTable[[#This Row],[Total inns]],"")</f>
        <v/>
      </c>
      <c r="Z1049" s="47">
        <f>(LayTable[[#This Row],[BookieInnsats]]*LayTable[[#This Row],[BookieOdds]]-LayTable[[#This Row],[BookieInnsats]])*(1-LayTable[[#This Row],[C% Bookie]])</f>
        <v>0</v>
      </c>
      <c r="AA1049" s="43">
        <f>LayTable[[#This Row],[LayInnsats]]*(1-LayTable[[#This Row],[C% Lay]])</f>
        <v>0</v>
      </c>
      <c r="AB1049" s="43" t="str">
        <f>IFERROR(IF(LayTable[[#This Row],[Sport]]="",AB1048,LayTable[[#This Row],[Faktisk res]]+AB1048),"")</f>
        <v/>
      </c>
      <c r="AC1049" s="43">
        <f>(LayTable[[#This Row],[BackWin-Commission]]+LayTable[[#This Row],[BookieInnsats]])</f>
        <v>0</v>
      </c>
      <c r="AD1049" s="43" t="e">
        <f>(LayTable[[#This Row],[LayWin-Commission]])+LayTable[[#This Row],[LayLiability]]</f>
        <v>#VALUE!</v>
      </c>
      <c r="AE1049" s="43"/>
      <c r="AF1049" s="181"/>
    </row>
    <row r="1050" spans="1:32">
      <c r="A1050" s="84"/>
      <c r="B1050" s="39"/>
      <c r="C1050" s="40"/>
      <c r="D1050" s="41"/>
      <c r="E1050" s="40"/>
      <c r="F1050" s="41"/>
      <c r="G1050" s="183"/>
      <c r="H1050" s="38"/>
      <c r="I1050" s="42"/>
      <c r="J1050" s="42"/>
      <c r="K1050" s="43"/>
      <c r="L1050" s="43"/>
      <c r="M1050" s="44" t="str">
        <f>IF(LayTable[[#This Row],[Sport]]="","",LayTable[[#This Row],[LayInnsats]]*(LayTable[[#This Row],[LayOdds]]-1))</f>
        <v/>
      </c>
      <c r="N1050" s="45" t="str">
        <f>IF(LayTable[[#This Row],[Sport]]="","",1/((1/LayTable[[#This Row],[BookieOdds]])+(1/((1/((1+((LayTable[[#This Row],[LayOdds]]-1)*(1+LayTable[[#This Row],[C% Lay]])))-1))+1)))-1)</f>
        <v/>
      </c>
      <c r="Q1050" s="46" t="str">
        <f>IF(LayTable[[#This Row],[Sport]]="","",LayTable[[#This Row],[BookieInnsats]]+LayTable[[#This Row],[LayLiability]])</f>
        <v/>
      </c>
      <c r="R10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0" s="47" t="str">
        <f>IF(LayTable[[#This Row],[Utfall bookie]]="","",LayTable[[#This Row],[WBABack]]+LayTable[[#This Row],[WBALay]]-LayTable[[#This Row],[Total inns]])</f>
        <v/>
      </c>
      <c r="U10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0" s="48" t="str">
        <f>IFERROR(IF(LayTable[[#This Row],[Total inns]]="","",LayTable[[#This Row],[Rback]]/LayTable[[#This Row],[Total inns]]),"")</f>
        <v/>
      </c>
      <c r="X1050" s="48" t="str">
        <f>IFERROR(IF(LayTable[[#This Row],[Total inns]]="","",LayTable[[#This Row],[Rlay]]/LayTable[[#This Row],[Total inns]]),"")</f>
        <v/>
      </c>
      <c r="Y1050" s="48" t="str">
        <f>IFERROR(LayTable[[#This Row],[Faktisk res]]/LayTable[[#This Row],[Total inns]],"")</f>
        <v/>
      </c>
      <c r="Z1050" s="47">
        <f>(LayTable[[#This Row],[BookieInnsats]]*LayTable[[#This Row],[BookieOdds]]-LayTable[[#This Row],[BookieInnsats]])*(1-LayTable[[#This Row],[C% Bookie]])</f>
        <v>0</v>
      </c>
      <c r="AA1050" s="43">
        <f>LayTable[[#This Row],[LayInnsats]]*(1-LayTable[[#This Row],[C% Lay]])</f>
        <v>0</v>
      </c>
      <c r="AB1050" s="43" t="str">
        <f>IFERROR(IF(LayTable[[#This Row],[Sport]]="",AB1049,LayTable[[#This Row],[Faktisk res]]+AB1049),"")</f>
        <v/>
      </c>
      <c r="AC1050" s="43">
        <f>(LayTable[[#This Row],[BackWin-Commission]]+LayTable[[#This Row],[BookieInnsats]])</f>
        <v>0</v>
      </c>
      <c r="AD1050" s="43" t="e">
        <f>(LayTable[[#This Row],[LayWin-Commission]])+LayTable[[#This Row],[LayLiability]]</f>
        <v>#VALUE!</v>
      </c>
      <c r="AE1050" s="43"/>
      <c r="AF1050" s="181"/>
    </row>
    <row r="1051" spans="1:32">
      <c r="A1051" s="84"/>
      <c r="B1051" s="39"/>
      <c r="C1051" s="40"/>
      <c r="D1051" s="41"/>
      <c r="E1051" s="40"/>
      <c r="F1051" s="41"/>
      <c r="G1051" s="183"/>
      <c r="H1051" s="38"/>
      <c r="I1051" s="42"/>
      <c r="J1051" s="42"/>
      <c r="K1051" s="43"/>
      <c r="L1051" s="43"/>
      <c r="M1051" s="44" t="str">
        <f>IF(LayTable[[#This Row],[Sport]]="","",LayTable[[#This Row],[LayInnsats]]*(LayTable[[#This Row],[LayOdds]]-1))</f>
        <v/>
      </c>
      <c r="N1051" s="45" t="str">
        <f>IF(LayTable[[#This Row],[Sport]]="","",1/((1/LayTable[[#This Row],[BookieOdds]])+(1/((1/((1+((LayTable[[#This Row],[LayOdds]]-1)*(1+LayTable[[#This Row],[C% Lay]])))-1))+1)))-1)</f>
        <v/>
      </c>
      <c r="Q1051" s="46" t="str">
        <f>IF(LayTable[[#This Row],[Sport]]="","",LayTable[[#This Row],[BookieInnsats]]+LayTable[[#This Row],[LayLiability]])</f>
        <v/>
      </c>
      <c r="R10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1" s="47" t="str">
        <f>IF(LayTable[[#This Row],[Utfall bookie]]="","",LayTable[[#This Row],[WBABack]]+LayTable[[#This Row],[WBALay]]-LayTable[[#This Row],[Total inns]])</f>
        <v/>
      </c>
      <c r="U10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1" s="48" t="str">
        <f>IFERROR(IF(LayTable[[#This Row],[Total inns]]="","",LayTable[[#This Row],[Rback]]/LayTable[[#This Row],[Total inns]]),"")</f>
        <v/>
      </c>
      <c r="X1051" s="48" t="str">
        <f>IFERROR(IF(LayTable[[#This Row],[Total inns]]="","",LayTable[[#This Row],[Rlay]]/LayTable[[#This Row],[Total inns]]),"")</f>
        <v/>
      </c>
      <c r="Y1051" s="48" t="str">
        <f>IFERROR(LayTable[[#This Row],[Faktisk res]]/LayTable[[#This Row],[Total inns]],"")</f>
        <v/>
      </c>
      <c r="Z1051" s="47">
        <f>(LayTable[[#This Row],[BookieInnsats]]*LayTable[[#This Row],[BookieOdds]]-LayTable[[#This Row],[BookieInnsats]])*(1-LayTable[[#This Row],[C% Bookie]])</f>
        <v>0</v>
      </c>
      <c r="AA1051" s="43">
        <f>LayTable[[#This Row],[LayInnsats]]*(1-LayTable[[#This Row],[C% Lay]])</f>
        <v>0</v>
      </c>
      <c r="AB1051" s="43" t="str">
        <f>IFERROR(IF(LayTable[[#This Row],[Sport]]="",AB1050,LayTable[[#This Row],[Faktisk res]]+AB1050),"")</f>
        <v/>
      </c>
      <c r="AC1051" s="43">
        <f>(LayTable[[#This Row],[BackWin-Commission]]+LayTable[[#This Row],[BookieInnsats]])</f>
        <v>0</v>
      </c>
      <c r="AD1051" s="43" t="e">
        <f>(LayTable[[#This Row],[LayWin-Commission]])+LayTable[[#This Row],[LayLiability]]</f>
        <v>#VALUE!</v>
      </c>
      <c r="AE1051" s="43"/>
      <c r="AF1051" s="181"/>
    </row>
    <row r="1052" spans="1:32">
      <c r="A1052" s="84"/>
      <c r="B1052" s="39"/>
      <c r="C1052" s="40"/>
      <c r="D1052" s="41"/>
      <c r="E1052" s="40"/>
      <c r="F1052" s="41"/>
      <c r="G1052" s="183"/>
      <c r="H1052" s="38"/>
      <c r="I1052" s="42"/>
      <c r="J1052" s="42"/>
      <c r="K1052" s="43"/>
      <c r="L1052" s="43"/>
      <c r="M1052" s="44" t="str">
        <f>IF(LayTable[[#This Row],[Sport]]="","",LayTable[[#This Row],[LayInnsats]]*(LayTable[[#This Row],[LayOdds]]-1))</f>
        <v/>
      </c>
      <c r="N1052" s="45" t="str">
        <f>IF(LayTable[[#This Row],[Sport]]="","",1/((1/LayTable[[#This Row],[BookieOdds]])+(1/((1/((1+((LayTable[[#This Row],[LayOdds]]-1)*(1+LayTable[[#This Row],[C% Lay]])))-1))+1)))-1)</f>
        <v/>
      </c>
      <c r="Q1052" s="46" t="str">
        <f>IF(LayTable[[#This Row],[Sport]]="","",LayTable[[#This Row],[BookieInnsats]]+LayTable[[#This Row],[LayLiability]])</f>
        <v/>
      </c>
      <c r="R10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2" s="47" t="str">
        <f>IF(LayTable[[#This Row],[Utfall bookie]]="","",LayTable[[#This Row],[WBABack]]+LayTable[[#This Row],[WBALay]]-LayTable[[#This Row],[Total inns]])</f>
        <v/>
      </c>
      <c r="U10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2" s="48" t="str">
        <f>IFERROR(IF(LayTable[[#This Row],[Total inns]]="","",LayTable[[#This Row],[Rback]]/LayTable[[#This Row],[Total inns]]),"")</f>
        <v/>
      </c>
      <c r="X1052" s="48" t="str">
        <f>IFERROR(IF(LayTable[[#This Row],[Total inns]]="","",LayTable[[#This Row],[Rlay]]/LayTable[[#This Row],[Total inns]]),"")</f>
        <v/>
      </c>
      <c r="Y1052" s="48" t="str">
        <f>IFERROR(LayTable[[#This Row],[Faktisk res]]/LayTable[[#This Row],[Total inns]],"")</f>
        <v/>
      </c>
      <c r="Z1052" s="47">
        <f>(LayTable[[#This Row],[BookieInnsats]]*LayTable[[#This Row],[BookieOdds]]-LayTable[[#This Row],[BookieInnsats]])*(1-LayTable[[#This Row],[C% Bookie]])</f>
        <v>0</v>
      </c>
      <c r="AA1052" s="43">
        <f>LayTable[[#This Row],[LayInnsats]]*(1-LayTable[[#This Row],[C% Lay]])</f>
        <v>0</v>
      </c>
      <c r="AB1052" s="43" t="str">
        <f>IFERROR(IF(LayTable[[#This Row],[Sport]]="",AB1051,LayTable[[#This Row],[Faktisk res]]+AB1051),"")</f>
        <v/>
      </c>
      <c r="AC1052" s="43">
        <f>(LayTable[[#This Row],[BackWin-Commission]]+LayTable[[#This Row],[BookieInnsats]])</f>
        <v>0</v>
      </c>
      <c r="AD1052" s="43" t="e">
        <f>(LayTable[[#This Row],[LayWin-Commission]])+LayTable[[#This Row],[LayLiability]]</f>
        <v>#VALUE!</v>
      </c>
      <c r="AE1052" s="43"/>
      <c r="AF1052" s="181"/>
    </row>
    <row r="1053" spans="1:32">
      <c r="A1053" s="84"/>
      <c r="B1053" s="39"/>
      <c r="C1053" s="40"/>
      <c r="D1053" s="41"/>
      <c r="E1053" s="40"/>
      <c r="F1053" s="41"/>
      <c r="G1053" s="183"/>
      <c r="H1053" s="38"/>
      <c r="I1053" s="42"/>
      <c r="J1053" s="42"/>
      <c r="K1053" s="43"/>
      <c r="L1053" s="43"/>
      <c r="M1053" s="44" t="str">
        <f>IF(LayTable[[#This Row],[Sport]]="","",LayTable[[#This Row],[LayInnsats]]*(LayTable[[#This Row],[LayOdds]]-1))</f>
        <v/>
      </c>
      <c r="N1053" s="45" t="str">
        <f>IF(LayTable[[#This Row],[Sport]]="","",1/((1/LayTable[[#This Row],[BookieOdds]])+(1/((1/((1+((LayTable[[#This Row],[LayOdds]]-1)*(1+LayTable[[#This Row],[C% Lay]])))-1))+1)))-1)</f>
        <v/>
      </c>
      <c r="Q1053" s="46" t="str">
        <f>IF(LayTable[[#This Row],[Sport]]="","",LayTable[[#This Row],[BookieInnsats]]+LayTable[[#This Row],[LayLiability]])</f>
        <v/>
      </c>
      <c r="R10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3" s="47" t="str">
        <f>IF(LayTable[[#This Row],[Utfall bookie]]="","",LayTable[[#This Row],[WBABack]]+LayTable[[#This Row],[WBALay]]-LayTable[[#This Row],[Total inns]])</f>
        <v/>
      </c>
      <c r="U10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3" s="48" t="str">
        <f>IFERROR(IF(LayTable[[#This Row],[Total inns]]="","",LayTable[[#This Row],[Rback]]/LayTable[[#This Row],[Total inns]]),"")</f>
        <v/>
      </c>
      <c r="X1053" s="48" t="str">
        <f>IFERROR(IF(LayTable[[#This Row],[Total inns]]="","",LayTable[[#This Row],[Rlay]]/LayTable[[#This Row],[Total inns]]),"")</f>
        <v/>
      </c>
      <c r="Y1053" s="48" t="str">
        <f>IFERROR(LayTable[[#This Row],[Faktisk res]]/LayTable[[#This Row],[Total inns]],"")</f>
        <v/>
      </c>
      <c r="Z1053" s="47">
        <f>(LayTable[[#This Row],[BookieInnsats]]*LayTable[[#This Row],[BookieOdds]]-LayTable[[#This Row],[BookieInnsats]])*(1-LayTable[[#This Row],[C% Bookie]])</f>
        <v>0</v>
      </c>
      <c r="AA1053" s="43">
        <f>LayTable[[#This Row],[LayInnsats]]*(1-LayTable[[#This Row],[C% Lay]])</f>
        <v>0</v>
      </c>
      <c r="AB1053" s="43" t="str">
        <f>IFERROR(IF(LayTable[[#This Row],[Sport]]="",AB1052,LayTable[[#This Row],[Faktisk res]]+AB1052),"")</f>
        <v/>
      </c>
      <c r="AC1053" s="43">
        <f>(LayTable[[#This Row],[BackWin-Commission]]+LayTable[[#This Row],[BookieInnsats]])</f>
        <v>0</v>
      </c>
      <c r="AD1053" s="43" t="e">
        <f>(LayTable[[#This Row],[LayWin-Commission]])+LayTable[[#This Row],[LayLiability]]</f>
        <v>#VALUE!</v>
      </c>
      <c r="AE1053" s="43"/>
      <c r="AF1053" s="181"/>
    </row>
    <row r="1054" spans="1:32">
      <c r="A1054" s="84"/>
      <c r="B1054" s="39"/>
      <c r="C1054" s="40"/>
      <c r="D1054" s="41"/>
      <c r="E1054" s="40"/>
      <c r="F1054" s="41"/>
      <c r="G1054" s="183"/>
      <c r="H1054" s="38"/>
      <c r="I1054" s="42"/>
      <c r="J1054" s="42"/>
      <c r="K1054" s="43"/>
      <c r="L1054" s="43"/>
      <c r="M1054" s="44" t="str">
        <f>IF(LayTable[[#This Row],[Sport]]="","",LayTable[[#This Row],[LayInnsats]]*(LayTable[[#This Row],[LayOdds]]-1))</f>
        <v/>
      </c>
      <c r="N1054" s="45" t="str">
        <f>IF(LayTable[[#This Row],[Sport]]="","",1/((1/LayTable[[#This Row],[BookieOdds]])+(1/((1/((1+((LayTable[[#This Row],[LayOdds]]-1)*(1+LayTable[[#This Row],[C% Lay]])))-1))+1)))-1)</f>
        <v/>
      </c>
      <c r="Q1054" s="46" t="str">
        <f>IF(LayTable[[#This Row],[Sport]]="","",LayTable[[#This Row],[BookieInnsats]]+LayTable[[#This Row],[LayLiability]])</f>
        <v/>
      </c>
      <c r="R10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4" s="47" t="str">
        <f>IF(LayTable[[#This Row],[Utfall bookie]]="","",LayTable[[#This Row],[WBABack]]+LayTable[[#This Row],[WBALay]]-LayTable[[#This Row],[Total inns]])</f>
        <v/>
      </c>
      <c r="U10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4" s="48" t="str">
        <f>IFERROR(IF(LayTable[[#This Row],[Total inns]]="","",LayTable[[#This Row],[Rback]]/LayTable[[#This Row],[Total inns]]),"")</f>
        <v/>
      </c>
      <c r="X1054" s="48" t="str">
        <f>IFERROR(IF(LayTable[[#This Row],[Total inns]]="","",LayTable[[#This Row],[Rlay]]/LayTable[[#This Row],[Total inns]]),"")</f>
        <v/>
      </c>
      <c r="Y1054" s="48" t="str">
        <f>IFERROR(LayTable[[#This Row],[Faktisk res]]/LayTable[[#This Row],[Total inns]],"")</f>
        <v/>
      </c>
      <c r="Z1054" s="47">
        <f>(LayTable[[#This Row],[BookieInnsats]]*LayTable[[#This Row],[BookieOdds]]-LayTable[[#This Row],[BookieInnsats]])*(1-LayTable[[#This Row],[C% Bookie]])</f>
        <v>0</v>
      </c>
      <c r="AA1054" s="43">
        <f>LayTable[[#This Row],[LayInnsats]]*(1-LayTable[[#This Row],[C% Lay]])</f>
        <v>0</v>
      </c>
      <c r="AB1054" s="43" t="str">
        <f>IFERROR(IF(LayTable[[#This Row],[Sport]]="",AB1053,LayTable[[#This Row],[Faktisk res]]+AB1053),"")</f>
        <v/>
      </c>
      <c r="AC1054" s="43">
        <f>(LayTable[[#This Row],[BackWin-Commission]]+LayTable[[#This Row],[BookieInnsats]])</f>
        <v>0</v>
      </c>
      <c r="AD1054" s="43" t="e">
        <f>(LayTable[[#This Row],[LayWin-Commission]])+LayTable[[#This Row],[LayLiability]]</f>
        <v>#VALUE!</v>
      </c>
      <c r="AE1054" s="43"/>
      <c r="AF1054" s="181"/>
    </row>
    <row r="1055" spans="1:32">
      <c r="A1055" s="84"/>
      <c r="B1055" s="39"/>
      <c r="C1055" s="40"/>
      <c r="D1055" s="41"/>
      <c r="E1055" s="40"/>
      <c r="F1055" s="41"/>
      <c r="G1055" s="183"/>
      <c r="H1055" s="38"/>
      <c r="I1055" s="42"/>
      <c r="J1055" s="42"/>
      <c r="K1055" s="42"/>
      <c r="L1055" s="43"/>
      <c r="M1055" s="44" t="str">
        <f>IF(LayTable[[#This Row],[Sport]]="","",LayTable[[#This Row],[LayInnsats]]*(LayTable[[#This Row],[LayOdds]]-1))</f>
        <v/>
      </c>
      <c r="N1055" s="45" t="str">
        <f>IF(LayTable[[#This Row],[Sport]]="","",1/((1/LayTable[[#This Row],[BookieOdds]])+(1/((1/((1+((LayTable[[#This Row],[LayOdds]]-1)*(1+LayTable[[#This Row],[C% Lay]])))-1))+1)))-1)</f>
        <v/>
      </c>
      <c r="Q1055" s="46" t="str">
        <f>IF(LayTable[[#This Row],[Sport]]="","",LayTable[[#This Row],[BookieInnsats]]+LayTable[[#This Row],[LayLiability]])</f>
        <v/>
      </c>
      <c r="R10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5" s="47" t="str">
        <f>IF(LayTable[[#This Row],[Utfall bookie]]="","",LayTable[[#This Row],[WBABack]]+LayTable[[#This Row],[WBALay]]-LayTable[[#This Row],[Total inns]])</f>
        <v/>
      </c>
      <c r="U10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5" s="48" t="str">
        <f>IFERROR(IF(LayTable[[#This Row],[Total inns]]="","",LayTable[[#This Row],[Rback]]/LayTable[[#This Row],[Total inns]]),"")</f>
        <v/>
      </c>
      <c r="X1055" s="48" t="str">
        <f>IFERROR(IF(LayTable[[#This Row],[Total inns]]="","",LayTable[[#This Row],[Rlay]]/LayTable[[#This Row],[Total inns]]),"")</f>
        <v/>
      </c>
      <c r="Y1055" s="48" t="str">
        <f>IFERROR(LayTable[[#This Row],[Faktisk res]]/LayTable[[#This Row],[Total inns]],"")</f>
        <v/>
      </c>
      <c r="Z1055" s="47">
        <f>(LayTable[[#This Row],[BookieInnsats]]*LayTable[[#This Row],[BookieOdds]]-LayTable[[#This Row],[BookieInnsats]])*(1-LayTable[[#This Row],[C% Bookie]])</f>
        <v>0</v>
      </c>
      <c r="AA1055" s="43">
        <f>LayTable[[#This Row],[LayInnsats]]*(1-LayTable[[#This Row],[C% Lay]])</f>
        <v>0</v>
      </c>
      <c r="AB1055" s="43" t="str">
        <f>IFERROR(IF(LayTable[[#This Row],[Sport]]="",AB1054,LayTable[[#This Row],[Faktisk res]]+AB1054),"")</f>
        <v/>
      </c>
      <c r="AC1055" s="43">
        <f>(LayTable[[#This Row],[BackWin-Commission]]+LayTable[[#This Row],[BookieInnsats]])</f>
        <v>0</v>
      </c>
      <c r="AD1055" s="43" t="e">
        <f>(LayTable[[#This Row],[LayWin-Commission]])+LayTable[[#This Row],[LayLiability]]</f>
        <v>#VALUE!</v>
      </c>
      <c r="AE1055" s="43"/>
      <c r="AF1055" s="181"/>
    </row>
    <row r="1056" spans="1:32">
      <c r="A1056" s="84"/>
      <c r="B1056" s="39"/>
      <c r="C1056" s="40"/>
      <c r="D1056" s="41"/>
      <c r="E1056" s="40"/>
      <c r="F1056" s="41"/>
      <c r="G1056" s="183"/>
      <c r="H1056" s="38"/>
      <c r="I1056" s="42"/>
      <c r="J1056" s="42"/>
      <c r="K1056" s="43"/>
      <c r="L1056" s="43"/>
      <c r="M1056" s="44" t="str">
        <f>IF(LayTable[[#This Row],[Sport]]="","",LayTable[[#This Row],[LayInnsats]]*(LayTable[[#This Row],[LayOdds]]-1))</f>
        <v/>
      </c>
      <c r="N1056" s="45" t="str">
        <f>IF(LayTable[[#This Row],[Sport]]="","",1/((1/LayTable[[#This Row],[BookieOdds]])+(1/((1/((1+((LayTable[[#This Row],[LayOdds]]-1)*(1+LayTable[[#This Row],[C% Lay]])))-1))+1)))-1)</f>
        <v/>
      </c>
      <c r="Q1056" s="46" t="str">
        <f>IF(LayTable[[#This Row],[Sport]]="","",LayTable[[#This Row],[BookieInnsats]]+LayTable[[#This Row],[LayLiability]])</f>
        <v/>
      </c>
      <c r="R10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6" s="47" t="str">
        <f>IF(LayTable[[#This Row],[Utfall bookie]]="","",LayTable[[#This Row],[WBABack]]+LayTable[[#This Row],[WBALay]]-LayTable[[#This Row],[Total inns]])</f>
        <v/>
      </c>
      <c r="U10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6" s="48" t="str">
        <f>IFERROR(IF(LayTable[[#This Row],[Total inns]]="","",LayTable[[#This Row],[Rback]]/LayTable[[#This Row],[Total inns]]),"")</f>
        <v/>
      </c>
      <c r="X1056" s="48" t="str">
        <f>IFERROR(IF(LayTable[[#This Row],[Total inns]]="","",LayTable[[#This Row],[Rlay]]/LayTable[[#This Row],[Total inns]]),"")</f>
        <v/>
      </c>
      <c r="Y1056" s="48" t="str">
        <f>IFERROR(LayTable[[#This Row],[Faktisk res]]/LayTable[[#This Row],[Total inns]],"")</f>
        <v/>
      </c>
      <c r="Z1056" s="47">
        <f>(LayTable[[#This Row],[BookieInnsats]]*LayTable[[#This Row],[BookieOdds]]-LayTable[[#This Row],[BookieInnsats]])*(1-LayTable[[#This Row],[C% Bookie]])</f>
        <v>0</v>
      </c>
      <c r="AA1056" s="43">
        <f>LayTable[[#This Row],[LayInnsats]]*(1-LayTable[[#This Row],[C% Lay]])</f>
        <v>0</v>
      </c>
      <c r="AB1056" s="43" t="str">
        <f>IFERROR(IF(LayTable[[#This Row],[Sport]]="",AB1055,LayTable[[#This Row],[Faktisk res]]+AB1055),"")</f>
        <v/>
      </c>
      <c r="AC1056" s="43">
        <f>(LayTable[[#This Row],[BackWin-Commission]]+LayTable[[#This Row],[BookieInnsats]])</f>
        <v>0</v>
      </c>
      <c r="AD1056" s="43" t="e">
        <f>(LayTable[[#This Row],[LayWin-Commission]])+LayTable[[#This Row],[LayLiability]]</f>
        <v>#VALUE!</v>
      </c>
      <c r="AE1056" s="43"/>
      <c r="AF1056" s="181"/>
    </row>
    <row r="1057" spans="1:32">
      <c r="A1057" s="84"/>
      <c r="B1057" s="39"/>
      <c r="C1057" s="40"/>
      <c r="D1057" s="41"/>
      <c r="E1057" s="40"/>
      <c r="F1057" s="41"/>
      <c r="G1057" s="183"/>
      <c r="H1057" s="38"/>
      <c r="I1057" s="42"/>
      <c r="J1057" s="42"/>
      <c r="K1057" s="43"/>
      <c r="L1057" s="43"/>
      <c r="M1057" s="44" t="str">
        <f>IF(LayTable[[#This Row],[Sport]]="","",LayTable[[#This Row],[LayInnsats]]*(LayTable[[#This Row],[LayOdds]]-1))</f>
        <v/>
      </c>
      <c r="N1057" s="45" t="str">
        <f>IF(LayTable[[#This Row],[Sport]]="","",1/((1/LayTable[[#This Row],[BookieOdds]])+(1/((1/((1+((LayTable[[#This Row],[LayOdds]]-1)*(1+LayTable[[#This Row],[C% Lay]])))-1))+1)))-1)</f>
        <v/>
      </c>
      <c r="Q1057" s="46" t="str">
        <f>IF(LayTable[[#This Row],[Sport]]="","",LayTable[[#This Row],[BookieInnsats]]+LayTable[[#This Row],[LayLiability]])</f>
        <v/>
      </c>
      <c r="R10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7" s="47" t="str">
        <f>IF(LayTable[[#This Row],[Utfall bookie]]="","",LayTable[[#This Row],[WBABack]]+LayTable[[#This Row],[WBALay]]-LayTable[[#This Row],[Total inns]])</f>
        <v/>
      </c>
      <c r="U10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7" s="48" t="str">
        <f>IFERROR(IF(LayTable[[#This Row],[Total inns]]="","",LayTable[[#This Row],[Rback]]/LayTable[[#This Row],[Total inns]]),"")</f>
        <v/>
      </c>
      <c r="X1057" s="48" t="str">
        <f>IFERROR(IF(LayTable[[#This Row],[Total inns]]="","",LayTable[[#This Row],[Rlay]]/LayTable[[#This Row],[Total inns]]),"")</f>
        <v/>
      </c>
      <c r="Y1057" s="48" t="str">
        <f>IFERROR(LayTable[[#This Row],[Faktisk res]]/LayTable[[#This Row],[Total inns]],"")</f>
        <v/>
      </c>
      <c r="Z1057" s="47">
        <f>(LayTable[[#This Row],[BookieInnsats]]*LayTable[[#This Row],[BookieOdds]]-LayTable[[#This Row],[BookieInnsats]])*(1-LayTable[[#This Row],[C% Bookie]])</f>
        <v>0</v>
      </c>
      <c r="AA1057" s="43">
        <f>LayTable[[#This Row],[LayInnsats]]*(1-LayTable[[#This Row],[C% Lay]])</f>
        <v>0</v>
      </c>
      <c r="AB1057" s="43" t="str">
        <f>IFERROR(IF(LayTable[[#This Row],[Sport]]="",AB1056,LayTable[[#This Row],[Faktisk res]]+AB1056),"")</f>
        <v/>
      </c>
      <c r="AC1057" s="43">
        <f>(LayTable[[#This Row],[BackWin-Commission]]+LayTable[[#This Row],[BookieInnsats]])</f>
        <v>0</v>
      </c>
      <c r="AD1057" s="43" t="e">
        <f>(LayTable[[#This Row],[LayWin-Commission]])+LayTable[[#This Row],[LayLiability]]</f>
        <v>#VALUE!</v>
      </c>
      <c r="AE1057" s="43"/>
      <c r="AF1057" s="181"/>
    </row>
    <row r="1058" spans="1:32">
      <c r="A1058" s="84"/>
      <c r="B1058" s="39"/>
      <c r="C1058" s="40"/>
      <c r="D1058" s="41"/>
      <c r="E1058" s="40"/>
      <c r="F1058" s="41"/>
      <c r="G1058" s="183"/>
      <c r="H1058" s="38"/>
      <c r="I1058" s="42"/>
      <c r="J1058" s="42"/>
      <c r="K1058" s="43"/>
      <c r="L1058" s="43"/>
      <c r="M1058" s="44" t="str">
        <f>IF(LayTable[[#This Row],[Sport]]="","",LayTable[[#This Row],[LayInnsats]]*(LayTable[[#This Row],[LayOdds]]-1))</f>
        <v/>
      </c>
      <c r="N1058" s="45" t="str">
        <f>IF(LayTable[[#This Row],[Sport]]="","",1/((1/LayTable[[#This Row],[BookieOdds]])+(1/((1/((1+((LayTable[[#This Row],[LayOdds]]-1)*(1+LayTable[[#This Row],[C% Lay]])))-1))+1)))-1)</f>
        <v/>
      </c>
      <c r="Q1058" s="46" t="str">
        <f>IF(LayTable[[#This Row],[Sport]]="","",LayTable[[#This Row],[BookieInnsats]]+LayTable[[#This Row],[LayLiability]])</f>
        <v/>
      </c>
      <c r="R10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8" s="47" t="str">
        <f>IF(LayTable[[#This Row],[Utfall bookie]]="","",LayTable[[#This Row],[WBABack]]+LayTable[[#This Row],[WBALay]]-LayTable[[#This Row],[Total inns]])</f>
        <v/>
      </c>
      <c r="U10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8" s="48" t="str">
        <f>IFERROR(IF(LayTable[[#This Row],[Total inns]]="","",LayTable[[#This Row],[Rback]]/LayTable[[#This Row],[Total inns]]),"")</f>
        <v/>
      </c>
      <c r="X1058" s="48" t="str">
        <f>IFERROR(IF(LayTable[[#This Row],[Total inns]]="","",LayTable[[#This Row],[Rlay]]/LayTable[[#This Row],[Total inns]]),"")</f>
        <v/>
      </c>
      <c r="Y1058" s="48" t="str">
        <f>IFERROR(LayTable[[#This Row],[Faktisk res]]/LayTable[[#This Row],[Total inns]],"")</f>
        <v/>
      </c>
      <c r="Z1058" s="47">
        <f>(LayTable[[#This Row],[BookieInnsats]]*LayTable[[#This Row],[BookieOdds]]-LayTable[[#This Row],[BookieInnsats]])*(1-LayTable[[#This Row],[C% Bookie]])</f>
        <v>0</v>
      </c>
      <c r="AA1058" s="43">
        <f>LayTable[[#This Row],[LayInnsats]]*(1-LayTable[[#This Row],[C% Lay]])</f>
        <v>0</v>
      </c>
      <c r="AB1058" s="43" t="str">
        <f>IFERROR(IF(LayTable[[#This Row],[Sport]]="",AB1057,LayTable[[#This Row],[Faktisk res]]+AB1057),"")</f>
        <v/>
      </c>
      <c r="AC1058" s="43">
        <f>(LayTable[[#This Row],[BackWin-Commission]]+LayTable[[#This Row],[BookieInnsats]])</f>
        <v>0</v>
      </c>
      <c r="AD1058" s="43" t="e">
        <f>(LayTable[[#This Row],[LayWin-Commission]])+LayTable[[#This Row],[LayLiability]]</f>
        <v>#VALUE!</v>
      </c>
      <c r="AE1058" s="43"/>
      <c r="AF1058" s="181"/>
    </row>
    <row r="1059" spans="1:32">
      <c r="A1059" s="84"/>
      <c r="B1059" s="39"/>
      <c r="C1059" s="40"/>
      <c r="D1059" s="41"/>
      <c r="E1059" s="40"/>
      <c r="F1059" s="41"/>
      <c r="G1059" s="183"/>
      <c r="H1059" s="38"/>
      <c r="I1059" s="42"/>
      <c r="J1059" s="42"/>
      <c r="K1059" s="43"/>
      <c r="L1059" s="43"/>
      <c r="M1059" s="44" t="str">
        <f>IF(LayTable[[#This Row],[Sport]]="","",LayTable[[#This Row],[LayInnsats]]*(LayTable[[#This Row],[LayOdds]]-1))</f>
        <v/>
      </c>
      <c r="N1059" s="45" t="str">
        <f>IF(LayTable[[#This Row],[Sport]]="","",1/((1/LayTable[[#This Row],[BookieOdds]])+(1/((1/((1+((LayTable[[#This Row],[LayOdds]]-1)*(1+LayTable[[#This Row],[C% Lay]])))-1))+1)))-1)</f>
        <v/>
      </c>
      <c r="Q1059" s="46" t="str">
        <f>IF(LayTable[[#This Row],[Sport]]="","",LayTable[[#This Row],[BookieInnsats]]+LayTable[[#This Row],[LayLiability]])</f>
        <v/>
      </c>
      <c r="R10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59" s="47" t="str">
        <f>IF(LayTable[[#This Row],[Utfall bookie]]="","",LayTable[[#This Row],[WBABack]]+LayTable[[#This Row],[WBALay]]-LayTable[[#This Row],[Total inns]])</f>
        <v/>
      </c>
      <c r="U10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59" s="48" t="str">
        <f>IFERROR(IF(LayTable[[#This Row],[Total inns]]="","",LayTable[[#This Row],[Rback]]/LayTable[[#This Row],[Total inns]]),"")</f>
        <v/>
      </c>
      <c r="X1059" s="48" t="str">
        <f>IFERROR(IF(LayTable[[#This Row],[Total inns]]="","",LayTable[[#This Row],[Rlay]]/LayTable[[#This Row],[Total inns]]),"")</f>
        <v/>
      </c>
      <c r="Y1059" s="48" t="str">
        <f>IFERROR(LayTable[[#This Row],[Faktisk res]]/LayTable[[#This Row],[Total inns]],"")</f>
        <v/>
      </c>
      <c r="Z1059" s="47">
        <f>(LayTable[[#This Row],[BookieInnsats]]*LayTable[[#This Row],[BookieOdds]]-LayTable[[#This Row],[BookieInnsats]])*(1-LayTable[[#This Row],[C% Bookie]])</f>
        <v>0</v>
      </c>
      <c r="AA1059" s="43">
        <f>LayTable[[#This Row],[LayInnsats]]*(1-LayTable[[#This Row],[C% Lay]])</f>
        <v>0</v>
      </c>
      <c r="AB1059" s="43" t="str">
        <f>IFERROR(IF(LayTable[[#This Row],[Sport]]="",AB1058,LayTable[[#This Row],[Faktisk res]]+AB1058),"")</f>
        <v/>
      </c>
      <c r="AC1059" s="43">
        <f>(LayTable[[#This Row],[BackWin-Commission]]+LayTable[[#This Row],[BookieInnsats]])</f>
        <v>0</v>
      </c>
      <c r="AD1059" s="43" t="e">
        <f>(LayTable[[#This Row],[LayWin-Commission]])+LayTable[[#This Row],[LayLiability]]</f>
        <v>#VALUE!</v>
      </c>
      <c r="AE1059" s="43"/>
      <c r="AF1059" s="181"/>
    </row>
    <row r="1060" spans="1:32">
      <c r="A1060" s="84"/>
      <c r="B1060" s="39"/>
      <c r="C1060" s="40"/>
      <c r="D1060" s="41"/>
      <c r="E1060" s="40"/>
      <c r="F1060" s="41"/>
      <c r="G1060" s="183"/>
      <c r="H1060" s="38"/>
      <c r="I1060" s="42"/>
      <c r="J1060" s="42"/>
      <c r="K1060" s="43"/>
      <c r="L1060" s="43"/>
      <c r="M1060" s="44" t="str">
        <f>IF(LayTable[[#This Row],[Sport]]="","",LayTable[[#This Row],[LayInnsats]]*(LayTable[[#This Row],[LayOdds]]-1))</f>
        <v/>
      </c>
      <c r="N1060" s="45" t="str">
        <f>IF(LayTable[[#This Row],[Sport]]="","",1/((1/LayTable[[#This Row],[BookieOdds]])+(1/((1/((1+((LayTable[[#This Row],[LayOdds]]-1)*(1+LayTable[[#This Row],[C% Lay]])))-1))+1)))-1)</f>
        <v/>
      </c>
      <c r="Q1060" s="46" t="str">
        <f>IF(LayTable[[#This Row],[Sport]]="","",LayTable[[#This Row],[BookieInnsats]]+LayTable[[#This Row],[LayLiability]])</f>
        <v/>
      </c>
      <c r="R10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0" s="47" t="str">
        <f>IF(LayTable[[#This Row],[Utfall bookie]]="","",LayTable[[#This Row],[WBABack]]+LayTable[[#This Row],[WBALay]]-LayTable[[#This Row],[Total inns]])</f>
        <v/>
      </c>
      <c r="U10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0" s="48" t="str">
        <f>IFERROR(IF(LayTable[[#This Row],[Total inns]]="","",LayTable[[#This Row],[Rback]]/LayTable[[#This Row],[Total inns]]),"")</f>
        <v/>
      </c>
      <c r="X1060" s="48" t="str">
        <f>IFERROR(IF(LayTable[[#This Row],[Total inns]]="","",LayTable[[#This Row],[Rlay]]/LayTable[[#This Row],[Total inns]]),"")</f>
        <v/>
      </c>
      <c r="Y1060" s="48" t="str">
        <f>IFERROR(LayTable[[#This Row],[Faktisk res]]/LayTable[[#This Row],[Total inns]],"")</f>
        <v/>
      </c>
      <c r="Z1060" s="47">
        <f>(LayTable[[#This Row],[BookieInnsats]]*LayTable[[#This Row],[BookieOdds]]-LayTable[[#This Row],[BookieInnsats]])*(1-LayTable[[#This Row],[C% Bookie]])</f>
        <v>0</v>
      </c>
      <c r="AA1060" s="43">
        <f>LayTable[[#This Row],[LayInnsats]]*(1-LayTable[[#This Row],[C% Lay]])</f>
        <v>0</v>
      </c>
      <c r="AB1060" s="43" t="str">
        <f>IFERROR(IF(LayTable[[#This Row],[Sport]]="",AB1059,LayTable[[#This Row],[Faktisk res]]+AB1059),"")</f>
        <v/>
      </c>
      <c r="AC1060" s="43">
        <f>(LayTable[[#This Row],[BackWin-Commission]]+LayTable[[#This Row],[BookieInnsats]])</f>
        <v>0</v>
      </c>
      <c r="AD1060" s="43" t="e">
        <f>(LayTable[[#This Row],[LayWin-Commission]])+LayTable[[#This Row],[LayLiability]]</f>
        <v>#VALUE!</v>
      </c>
      <c r="AE1060" s="43"/>
      <c r="AF1060" s="181"/>
    </row>
    <row r="1061" spans="1:32">
      <c r="A1061" s="84"/>
      <c r="B1061" s="39"/>
      <c r="C1061" s="40"/>
      <c r="D1061" s="41"/>
      <c r="E1061" s="40"/>
      <c r="F1061" s="41"/>
      <c r="G1061" s="183"/>
      <c r="H1061" s="38"/>
      <c r="I1061" s="42"/>
      <c r="J1061" s="42"/>
      <c r="K1061" s="43"/>
      <c r="L1061" s="43"/>
      <c r="M1061" s="44" t="str">
        <f>IF(LayTable[[#This Row],[Sport]]="","",LayTable[[#This Row],[LayInnsats]]*(LayTable[[#This Row],[LayOdds]]-1))</f>
        <v/>
      </c>
      <c r="N1061" s="45" t="str">
        <f>IF(LayTable[[#This Row],[Sport]]="","",1/((1/LayTable[[#This Row],[BookieOdds]])+(1/((1/((1+((LayTable[[#This Row],[LayOdds]]-1)*(1+LayTable[[#This Row],[C% Lay]])))-1))+1)))-1)</f>
        <v/>
      </c>
      <c r="Q1061" s="46" t="str">
        <f>IF(LayTable[[#This Row],[Sport]]="","",LayTable[[#This Row],[BookieInnsats]]+LayTable[[#This Row],[LayLiability]])</f>
        <v/>
      </c>
      <c r="R10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1" s="47" t="str">
        <f>IF(LayTable[[#This Row],[Utfall bookie]]="","",LayTable[[#This Row],[WBABack]]+LayTable[[#This Row],[WBALay]]-LayTable[[#This Row],[Total inns]])</f>
        <v/>
      </c>
      <c r="U10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1" s="48" t="str">
        <f>IFERROR(IF(LayTable[[#This Row],[Total inns]]="","",LayTable[[#This Row],[Rback]]/LayTable[[#This Row],[Total inns]]),"")</f>
        <v/>
      </c>
      <c r="X1061" s="48" t="str">
        <f>IFERROR(IF(LayTable[[#This Row],[Total inns]]="","",LayTable[[#This Row],[Rlay]]/LayTable[[#This Row],[Total inns]]),"")</f>
        <v/>
      </c>
      <c r="Y1061" s="48" t="str">
        <f>IFERROR(LayTable[[#This Row],[Faktisk res]]/LayTable[[#This Row],[Total inns]],"")</f>
        <v/>
      </c>
      <c r="Z1061" s="47">
        <f>(LayTable[[#This Row],[BookieInnsats]]*LayTable[[#This Row],[BookieOdds]]-LayTable[[#This Row],[BookieInnsats]])*(1-LayTable[[#This Row],[C% Bookie]])</f>
        <v>0</v>
      </c>
      <c r="AA1061" s="43">
        <f>LayTable[[#This Row],[LayInnsats]]*(1-LayTable[[#This Row],[C% Lay]])</f>
        <v>0</v>
      </c>
      <c r="AB1061" s="43" t="str">
        <f>IFERROR(IF(LayTable[[#This Row],[Sport]]="",AB1060,LayTable[[#This Row],[Faktisk res]]+AB1060),"")</f>
        <v/>
      </c>
      <c r="AC1061" s="43">
        <f>(LayTable[[#This Row],[BackWin-Commission]]+LayTable[[#This Row],[BookieInnsats]])</f>
        <v>0</v>
      </c>
      <c r="AD1061" s="43" t="e">
        <f>(LayTable[[#This Row],[LayWin-Commission]])+LayTable[[#This Row],[LayLiability]]</f>
        <v>#VALUE!</v>
      </c>
      <c r="AE1061" s="43"/>
      <c r="AF1061" s="181"/>
    </row>
    <row r="1062" spans="1:32">
      <c r="A1062" s="84"/>
      <c r="B1062" s="39"/>
      <c r="C1062" s="40"/>
      <c r="D1062" s="41"/>
      <c r="E1062" s="40"/>
      <c r="F1062" s="41"/>
      <c r="G1062" s="183"/>
      <c r="H1062" s="38"/>
      <c r="I1062" s="42"/>
      <c r="J1062" s="42"/>
      <c r="K1062" s="43"/>
      <c r="L1062" s="43"/>
      <c r="M1062" s="44" t="str">
        <f>IF(LayTable[[#This Row],[Sport]]="","",LayTable[[#This Row],[LayInnsats]]*(LayTable[[#This Row],[LayOdds]]-1))</f>
        <v/>
      </c>
      <c r="N1062" s="45" t="str">
        <f>IF(LayTable[[#This Row],[Sport]]="","",1/((1/LayTable[[#This Row],[BookieOdds]])+(1/((1/((1+((LayTable[[#This Row],[LayOdds]]-1)*(1+LayTable[[#This Row],[C% Lay]])))-1))+1)))-1)</f>
        <v/>
      </c>
      <c r="Q1062" s="46" t="str">
        <f>IF(LayTable[[#This Row],[Sport]]="","",LayTable[[#This Row],[BookieInnsats]]+LayTable[[#This Row],[LayLiability]])</f>
        <v/>
      </c>
      <c r="R10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2" s="47" t="str">
        <f>IF(LayTable[[#This Row],[Utfall bookie]]="","",LayTable[[#This Row],[WBABack]]+LayTable[[#This Row],[WBALay]]-LayTable[[#This Row],[Total inns]])</f>
        <v/>
      </c>
      <c r="U10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2" s="48" t="str">
        <f>IFERROR(IF(LayTable[[#This Row],[Total inns]]="","",LayTable[[#This Row],[Rback]]/LayTable[[#This Row],[Total inns]]),"")</f>
        <v/>
      </c>
      <c r="X1062" s="48" t="str">
        <f>IFERROR(IF(LayTable[[#This Row],[Total inns]]="","",LayTable[[#This Row],[Rlay]]/LayTable[[#This Row],[Total inns]]),"")</f>
        <v/>
      </c>
      <c r="Y1062" s="48" t="str">
        <f>IFERROR(LayTable[[#This Row],[Faktisk res]]/LayTable[[#This Row],[Total inns]],"")</f>
        <v/>
      </c>
      <c r="Z1062" s="47">
        <f>(LayTable[[#This Row],[BookieInnsats]]*LayTable[[#This Row],[BookieOdds]]-LayTable[[#This Row],[BookieInnsats]])*(1-LayTable[[#This Row],[C% Bookie]])</f>
        <v>0</v>
      </c>
      <c r="AA1062" s="43">
        <f>LayTable[[#This Row],[LayInnsats]]*(1-LayTable[[#This Row],[C% Lay]])</f>
        <v>0</v>
      </c>
      <c r="AB1062" s="43" t="str">
        <f>IFERROR(IF(LayTable[[#This Row],[Sport]]="",AB1061,LayTable[[#This Row],[Faktisk res]]+AB1061),"")</f>
        <v/>
      </c>
      <c r="AC1062" s="43">
        <f>(LayTable[[#This Row],[BackWin-Commission]]+LayTable[[#This Row],[BookieInnsats]])</f>
        <v>0</v>
      </c>
      <c r="AD1062" s="43" t="e">
        <f>(LayTable[[#This Row],[LayWin-Commission]])+LayTable[[#This Row],[LayLiability]]</f>
        <v>#VALUE!</v>
      </c>
      <c r="AE1062" s="43"/>
      <c r="AF1062" s="181"/>
    </row>
    <row r="1063" spans="1:32">
      <c r="A1063" s="84"/>
      <c r="B1063" s="39"/>
      <c r="C1063" s="40"/>
      <c r="D1063" s="41"/>
      <c r="E1063" s="40"/>
      <c r="F1063" s="41"/>
      <c r="G1063" s="183"/>
      <c r="H1063" s="38"/>
      <c r="I1063" s="42"/>
      <c r="J1063" s="42"/>
      <c r="K1063" s="43"/>
      <c r="L1063" s="43"/>
      <c r="M1063" s="44" t="str">
        <f>IF(LayTable[[#This Row],[Sport]]="","",LayTable[[#This Row],[LayInnsats]]*(LayTable[[#This Row],[LayOdds]]-1))</f>
        <v/>
      </c>
      <c r="N1063" s="45" t="str">
        <f>IF(LayTable[[#This Row],[Sport]]="","",1/((1/LayTable[[#This Row],[BookieOdds]])+(1/((1/((1+((LayTable[[#This Row],[LayOdds]]-1)*(1+LayTable[[#This Row],[C% Lay]])))-1))+1)))-1)</f>
        <v/>
      </c>
      <c r="Q1063" s="46" t="str">
        <f>IF(LayTable[[#This Row],[Sport]]="","",LayTable[[#This Row],[BookieInnsats]]+LayTable[[#This Row],[LayLiability]])</f>
        <v/>
      </c>
      <c r="R10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3" s="47" t="str">
        <f>IF(LayTable[[#This Row],[Utfall bookie]]="","",LayTable[[#This Row],[WBABack]]+LayTable[[#This Row],[WBALay]]-LayTable[[#This Row],[Total inns]])</f>
        <v/>
      </c>
      <c r="U10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3" s="48" t="str">
        <f>IFERROR(IF(LayTable[[#This Row],[Total inns]]="","",LayTable[[#This Row],[Rback]]/LayTable[[#This Row],[Total inns]]),"")</f>
        <v/>
      </c>
      <c r="X1063" s="48" t="str">
        <f>IFERROR(IF(LayTable[[#This Row],[Total inns]]="","",LayTable[[#This Row],[Rlay]]/LayTable[[#This Row],[Total inns]]),"")</f>
        <v/>
      </c>
      <c r="Y1063" s="48" t="str">
        <f>IFERROR(LayTable[[#This Row],[Faktisk res]]/LayTable[[#This Row],[Total inns]],"")</f>
        <v/>
      </c>
      <c r="Z1063" s="47">
        <f>(LayTable[[#This Row],[BookieInnsats]]*LayTable[[#This Row],[BookieOdds]]-LayTable[[#This Row],[BookieInnsats]])*(1-LayTable[[#This Row],[C% Bookie]])</f>
        <v>0</v>
      </c>
      <c r="AA1063" s="43">
        <f>LayTable[[#This Row],[LayInnsats]]*(1-LayTable[[#This Row],[C% Lay]])</f>
        <v>0</v>
      </c>
      <c r="AB1063" s="43" t="str">
        <f>IFERROR(IF(LayTable[[#This Row],[Sport]]="",AB1062,LayTable[[#This Row],[Faktisk res]]+AB1062),"")</f>
        <v/>
      </c>
      <c r="AC1063" s="43">
        <f>(LayTable[[#This Row],[BackWin-Commission]]+LayTable[[#This Row],[BookieInnsats]])</f>
        <v>0</v>
      </c>
      <c r="AD1063" s="43" t="e">
        <f>(LayTable[[#This Row],[LayWin-Commission]])+LayTable[[#This Row],[LayLiability]]</f>
        <v>#VALUE!</v>
      </c>
      <c r="AE1063" s="43"/>
      <c r="AF1063" s="181"/>
    </row>
    <row r="1064" spans="1:32">
      <c r="A1064" s="84"/>
      <c r="B1064" s="39"/>
      <c r="C1064" s="40"/>
      <c r="D1064" s="41"/>
      <c r="E1064" s="40"/>
      <c r="F1064" s="41"/>
      <c r="G1064" s="183"/>
      <c r="H1064" s="38"/>
      <c r="I1064" s="42"/>
      <c r="J1064" s="42"/>
      <c r="K1064" s="43"/>
      <c r="L1064" s="43"/>
      <c r="M1064" s="44" t="str">
        <f>IF(LayTable[[#This Row],[Sport]]="","",LayTable[[#This Row],[LayInnsats]]*(LayTable[[#This Row],[LayOdds]]-1))</f>
        <v/>
      </c>
      <c r="N1064" s="45" t="str">
        <f>IF(LayTable[[#This Row],[Sport]]="","",1/((1/LayTable[[#This Row],[BookieOdds]])+(1/((1/((1+((LayTable[[#This Row],[LayOdds]]-1)*(1+LayTable[[#This Row],[C% Lay]])))-1))+1)))-1)</f>
        <v/>
      </c>
      <c r="Q1064" s="46" t="str">
        <f>IF(LayTable[[#This Row],[Sport]]="","",LayTable[[#This Row],[BookieInnsats]]+LayTable[[#This Row],[LayLiability]])</f>
        <v/>
      </c>
      <c r="R10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4" s="47" t="str">
        <f>IF(LayTable[[#This Row],[Utfall bookie]]="","",LayTable[[#This Row],[WBABack]]+LayTable[[#This Row],[WBALay]]-LayTable[[#This Row],[Total inns]])</f>
        <v/>
      </c>
      <c r="U10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4" s="48" t="str">
        <f>IFERROR(IF(LayTable[[#This Row],[Total inns]]="","",LayTable[[#This Row],[Rback]]/LayTable[[#This Row],[Total inns]]),"")</f>
        <v/>
      </c>
      <c r="X1064" s="48" t="str">
        <f>IFERROR(IF(LayTable[[#This Row],[Total inns]]="","",LayTable[[#This Row],[Rlay]]/LayTable[[#This Row],[Total inns]]),"")</f>
        <v/>
      </c>
      <c r="Y1064" s="48" t="str">
        <f>IFERROR(LayTable[[#This Row],[Faktisk res]]/LayTable[[#This Row],[Total inns]],"")</f>
        <v/>
      </c>
      <c r="Z1064" s="47">
        <f>(LayTable[[#This Row],[BookieInnsats]]*LayTable[[#This Row],[BookieOdds]]-LayTable[[#This Row],[BookieInnsats]])*(1-LayTable[[#This Row],[C% Bookie]])</f>
        <v>0</v>
      </c>
      <c r="AA1064" s="43">
        <f>LayTable[[#This Row],[LayInnsats]]*(1-LayTable[[#This Row],[C% Lay]])</f>
        <v>0</v>
      </c>
      <c r="AB1064" s="43" t="str">
        <f>IFERROR(IF(LayTable[[#This Row],[Sport]]="",AB1063,LayTable[[#This Row],[Faktisk res]]+AB1063),"")</f>
        <v/>
      </c>
      <c r="AC1064" s="43">
        <f>(LayTable[[#This Row],[BackWin-Commission]]+LayTable[[#This Row],[BookieInnsats]])</f>
        <v>0</v>
      </c>
      <c r="AD1064" s="43" t="e">
        <f>(LayTable[[#This Row],[LayWin-Commission]])+LayTable[[#This Row],[LayLiability]]</f>
        <v>#VALUE!</v>
      </c>
      <c r="AE1064" s="43"/>
      <c r="AF1064" s="181"/>
    </row>
    <row r="1065" spans="1:32">
      <c r="A1065" s="84"/>
      <c r="B1065" s="39"/>
      <c r="C1065" s="40"/>
      <c r="D1065" s="41"/>
      <c r="E1065" s="40"/>
      <c r="F1065" s="41"/>
      <c r="G1065" s="183"/>
      <c r="H1065" s="38"/>
      <c r="I1065" s="42"/>
      <c r="J1065" s="42"/>
      <c r="K1065" s="43"/>
      <c r="L1065" s="43"/>
      <c r="M1065" s="44" t="str">
        <f>IF(LayTable[[#This Row],[Sport]]="","",LayTable[[#This Row],[LayInnsats]]*(LayTable[[#This Row],[LayOdds]]-1))</f>
        <v/>
      </c>
      <c r="N1065" s="45" t="str">
        <f>IF(LayTable[[#This Row],[Sport]]="","",1/((1/LayTable[[#This Row],[BookieOdds]])+(1/((1/((1+((LayTable[[#This Row],[LayOdds]]-1)*(1+LayTable[[#This Row],[C% Lay]])))-1))+1)))-1)</f>
        <v/>
      </c>
      <c r="Q1065" s="46" t="str">
        <f>IF(LayTable[[#This Row],[Sport]]="","",LayTable[[#This Row],[BookieInnsats]]+LayTable[[#This Row],[LayLiability]])</f>
        <v/>
      </c>
      <c r="R10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5" s="47" t="str">
        <f>IF(LayTable[[#This Row],[Utfall bookie]]="","",LayTable[[#This Row],[WBABack]]+LayTable[[#This Row],[WBALay]]-LayTable[[#This Row],[Total inns]])</f>
        <v/>
      </c>
      <c r="U10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5" s="48" t="str">
        <f>IFERROR(IF(LayTable[[#This Row],[Total inns]]="","",LayTable[[#This Row],[Rback]]/LayTable[[#This Row],[Total inns]]),"")</f>
        <v/>
      </c>
      <c r="X1065" s="48" t="str">
        <f>IFERROR(IF(LayTable[[#This Row],[Total inns]]="","",LayTable[[#This Row],[Rlay]]/LayTable[[#This Row],[Total inns]]),"")</f>
        <v/>
      </c>
      <c r="Y1065" s="48" t="str">
        <f>IFERROR(LayTable[[#This Row],[Faktisk res]]/LayTable[[#This Row],[Total inns]],"")</f>
        <v/>
      </c>
      <c r="Z1065" s="47">
        <f>(LayTable[[#This Row],[BookieInnsats]]*LayTable[[#This Row],[BookieOdds]]-LayTable[[#This Row],[BookieInnsats]])*(1-LayTable[[#This Row],[C% Bookie]])</f>
        <v>0</v>
      </c>
      <c r="AA1065" s="43">
        <f>LayTable[[#This Row],[LayInnsats]]*(1-LayTable[[#This Row],[C% Lay]])</f>
        <v>0</v>
      </c>
      <c r="AB1065" s="43" t="str">
        <f>IFERROR(IF(LayTable[[#This Row],[Sport]]="",AB1064,LayTable[[#This Row],[Faktisk res]]+AB1064),"")</f>
        <v/>
      </c>
      <c r="AC1065" s="43">
        <f>(LayTable[[#This Row],[BackWin-Commission]]+LayTable[[#This Row],[BookieInnsats]])</f>
        <v>0</v>
      </c>
      <c r="AD1065" s="43" t="e">
        <f>(LayTable[[#This Row],[LayWin-Commission]])+LayTable[[#This Row],[LayLiability]]</f>
        <v>#VALUE!</v>
      </c>
      <c r="AE1065" s="43"/>
      <c r="AF1065" s="181"/>
    </row>
    <row r="1066" spans="1:32">
      <c r="A1066" s="84"/>
      <c r="B1066" s="39"/>
      <c r="C1066" s="40"/>
      <c r="D1066" s="41"/>
      <c r="E1066" s="40"/>
      <c r="F1066" s="41"/>
      <c r="G1066" s="183"/>
      <c r="H1066" s="38"/>
      <c r="I1066" s="42"/>
      <c r="J1066" s="42"/>
      <c r="K1066" s="43"/>
      <c r="L1066" s="43"/>
      <c r="M1066" s="44" t="str">
        <f>IF(LayTable[[#This Row],[Sport]]="","",LayTable[[#This Row],[LayInnsats]]*(LayTable[[#This Row],[LayOdds]]-1))</f>
        <v/>
      </c>
      <c r="N1066" s="45" t="str">
        <f>IF(LayTable[[#This Row],[Sport]]="","",1/((1/LayTable[[#This Row],[BookieOdds]])+(1/((1/((1+((LayTable[[#This Row],[LayOdds]]-1)*(1+LayTable[[#This Row],[C% Lay]])))-1))+1)))-1)</f>
        <v/>
      </c>
      <c r="Q1066" s="46" t="str">
        <f>IF(LayTable[[#This Row],[Sport]]="","",LayTable[[#This Row],[BookieInnsats]]+LayTable[[#This Row],[LayLiability]])</f>
        <v/>
      </c>
      <c r="R10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6" s="47" t="str">
        <f>IF(LayTable[[#This Row],[Utfall bookie]]="","",LayTable[[#This Row],[WBABack]]+LayTable[[#This Row],[WBALay]]-LayTable[[#This Row],[Total inns]])</f>
        <v/>
      </c>
      <c r="U10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6" s="48" t="str">
        <f>IFERROR(IF(LayTable[[#This Row],[Total inns]]="","",LayTable[[#This Row],[Rback]]/LayTable[[#This Row],[Total inns]]),"")</f>
        <v/>
      </c>
      <c r="X1066" s="48" t="str">
        <f>IFERROR(IF(LayTable[[#This Row],[Total inns]]="","",LayTable[[#This Row],[Rlay]]/LayTable[[#This Row],[Total inns]]),"")</f>
        <v/>
      </c>
      <c r="Y1066" s="48" t="str">
        <f>IFERROR(LayTable[[#This Row],[Faktisk res]]/LayTable[[#This Row],[Total inns]],"")</f>
        <v/>
      </c>
      <c r="Z1066" s="47">
        <f>(LayTable[[#This Row],[BookieInnsats]]*LayTable[[#This Row],[BookieOdds]]-LayTable[[#This Row],[BookieInnsats]])*(1-LayTable[[#This Row],[C% Bookie]])</f>
        <v>0</v>
      </c>
      <c r="AA1066" s="43">
        <f>LayTable[[#This Row],[LayInnsats]]*(1-LayTable[[#This Row],[C% Lay]])</f>
        <v>0</v>
      </c>
      <c r="AB1066" s="43" t="str">
        <f>IFERROR(IF(LayTable[[#This Row],[Sport]]="",AB1065,LayTable[[#This Row],[Faktisk res]]+AB1065),"")</f>
        <v/>
      </c>
      <c r="AC1066" s="43">
        <f>(LayTable[[#This Row],[BackWin-Commission]]+LayTable[[#This Row],[BookieInnsats]])</f>
        <v>0</v>
      </c>
      <c r="AD1066" s="43" t="e">
        <f>(LayTable[[#This Row],[LayWin-Commission]])+LayTable[[#This Row],[LayLiability]]</f>
        <v>#VALUE!</v>
      </c>
      <c r="AE1066" s="43"/>
      <c r="AF1066" s="181"/>
    </row>
    <row r="1067" spans="1:32">
      <c r="A1067" s="84"/>
      <c r="B1067" s="39"/>
      <c r="C1067" s="40"/>
      <c r="D1067" s="41"/>
      <c r="E1067" s="40"/>
      <c r="F1067" s="41"/>
      <c r="G1067" s="183"/>
      <c r="H1067" s="38"/>
      <c r="I1067" s="148"/>
      <c r="J1067" s="148"/>
      <c r="K1067" s="139"/>
      <c r="L1067" s="139"/>
      <c r="M1067" s="44" t="str">
        <f>IF(LayTable[[#This Row],[Sport]]="","",LayTable[[#This Row],[LayInnsats]]*(LayTable[[#This Row],[LayOdds]]-1))</f>
        <v/>
      </c>
      <c r="N1067" s="45" t="str">
        <f>IF(LayTable[[#This Row],[Sport]]="","",1/((1/LayTable[[#This Row],[BookieOdds]])+(1/((1/((1+((LayTable[[#This Row],[LayOdds]]-1)*(1+LayTable[[#This Row],[C% Lay]])))-1))+1)))-1)</f>
        <v/>
      </c>
      <c r="Q1067" s="46" t="str">
        <f>IF(LayTable[[#This Row],[Sport]]="","",LayTable[[#This Row],[BookieInnsats]]+LayTable[[#This Row],[LayLiability]])</f>
        <v/>
      </c>
      <c r="R10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7" s="47" t="str">
        <f>IF(LayTable[[#This Row],[Utfall bookie]]="","",LayTable[[#This Row],[WBABack]]+LayTable[[#This Row],[WBALay]]-LayTable[[#This Row],[Total inns]])</f>
        <v/>
      </c>
      <c r="U10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7" s="48" t="str">
        <f>IFERROR(IF(LayTable[[#This Row],[Total inns]]="","",LayTable[[#This Row],[Rback]]/LayTable[[#This Row],[Total inns]]),"")</f>
        <v/>
      </c>
      <c r="X1067" s="48" t="str">
        <f>IFERROR(IF(LayTable[[#This Row],[Total inns]]="","",LayTable[[#This Row],[Rlay]]/LayTable[[#This Row],[Total inns]]),"")</f>
        <v/>
      </c>
      <c r="Y1067" s="48" t="str">
        <f>IFERROR(LayTable[[#This Row],[Faktisk res]]/LayTable[[#This Row],[Total inns]],"")</f>
        <v/>
      </c>
      <c r="Z1067" s="47">
        <f>(LayTable[[#This Row],[BookieInnsats]]*LayTable[[#This Row],[BookieOdds]]-LayTable[[#This Row],[BookieInnsats]])*(1-LayTable[[#This Row],[C% Bookie]])</f>
        <v>0</v>
      </c>
      <c r="AA1067" s="43">
        <f>LayTable[[#This Row],[LayInnsats]]*(1-LayTable[[#This Row],[C% Lay]])</f>
        <v>0</v>
      </c>
      <c r="AB1067" s="43" t="str">
        <f>IFERROR(IF(LayTable[[#This Row],[Sport]]="",AB1066,LayTable[[#This Row],[Faktisk res]]+AB1066),"")</f>
        <v/>
      </c>
      <c r="AC1067" s="43">
        <f>(LayTable[[#This Row],[BackWin-Commission]]+LayTable[[#This Row],[BookieInnsats]])</f>
        <v>0</v>
      </c>
      <c r="AD1067" s="43" t="e">
        <f>(LayTable[[#This Row],[LayWin-Commission]])+LayTable[[#This Row],[LayLiability]]</f>
        <v>#VALUE!</v>
      </c>
      <c r="AE1067" s="43"/>
      <c r="AF1067" s="181"/>
    </row>
    <row r="1068" spans="1:32">
      <c r="A1068" s="84"/>
      <c r="B1068" s="39"/>
      <c r="C1068" s="40"/>
      <c r="D1068" s="41"/>
      <c r="E1068" s="40"/>
      <c r="F1068" s="41"/>
      <c r="G1068" s="183"/>
      <c r="H1068" s="38"/>
      <c r="I1068" s="42"/>
      <c r="J1068" s="42"/>
      <c r="K1068" s="43"/>
      <c r="L1068" s="43"/>
      <c r="M1068" s="44" t="str">
        <f>IF(LayTable[[#This Row],[Sport]]="","",LayTable[[#This Row],[LayInnsats]]*(LayTable[[#This Row],[LayOdds]]-1))</f>
        <v/>
      </c>
      <c r="N1068" s="45" t="str">
        <f>IF(LayTable[[#This Row],[Sport]]="","",1/((1/LayTable[[#This Row],[BookieOdds]])+(1/((1/((1+((LayTable[[#This Row],[LayOdds]]-1)*(1+LayTable[[#This Row],[C% Lay]])))-1))+1)))-1)</f>
        <v/>
      </c>
      <c r="Q1068" s="46" t="str">
        <f>IF(LayTable[[#This Row],[Sport]]="","",LayTable[[#This Row],[BookieInnsats]]+LayTable[[#This Row],[LayLiability]])</f>
        <v/>
      </c>
      <c r="R10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8" s="47" t="str">
        <f>IF(LayTable[[#This Row],[Utfall bookie]]="","",LayTable[[#This Row],[WBABack]]+LayTable[[#This Row],[WBALay]]-LayTable[[#This Row],[Total inns]])</f>
        <v/>
      </c>
      <c r="U10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8" s="48" t="str">
        <f>IFERROR(IF(LayTable[[#This Row],[Total inns]]="","",LayTable[[#This Row],[Rback]]/LayTable[[#This Row],[Total inns]]),"")</f>
        <v/>
      </c>
      <c r="X1068" s="48" t="str">
        <f>IFERROR(IF(LayTable[[#This Row],[Total inns]]="","",LayTable[[#This Row],[Rlay]]/LayTable[[#This Row],[Total inns]]),"")</f>
        <v/>
      </c>
      <c r="Y1068" s="48" t="str">
        <f>IFERROR(LayTable[[#This Row],[Faktisk res]]/LayTable[[#This Row],[Total inns]],"")</f>
        <v/>
      </c>
      <c r="Z1068" s="47">
        <f>(LayTable[[#This Row],[BookieInnsats]]*LayTable[[#This Row],[BookieOdds]]-LayTable[[#This Row],[BookieInnsats]])*(1-LayTable[[#This Row],[C% Bookie]])</f>
        <v>0</v>
      </c>
      <c r="AA1068" s="43">
        <f>LayTable[[#This Row],[LayInnsats]]*(1-LayTable[[#This Row],[C% Lay]])</f>
        <v>0</v>
      </c>
      <c r="AB1068" s="43" t="str">
        <f>IFERROR(IF(LayTable[[#This Row],[Sport]]="",AB1067,LayTable[[#This Row],[Faktisk res]]+AB1067),"")</f>
        <v/>
      </c>
      <c r="AC1068" s="43">
        <f>(LayTable[[#This Row],[BackWin-Commission]]+LayTable[[#This Row],[BookieInnsats]])</f>
        <v>0</v>
      </c>
      <c r="AD1068" s="43" t="e">
        <f>(LayTable[[#This Row],[LayWin-Commission]])+LayTable[[#This Row],[LayLiability]]</f>
        <v>#VALUE!</v>
      </c>
      <c r="AE1068" s="43"/>
      <c r="AF1068" s="181"/>
    </row>
    <row r="1069" spans="1:32">
      <c r="A1069" s="84"/>
      <c r="B1069" s="39"/>
      <c r="C1069" s="40"/>
      <c r="D1069" s="41"/>
      <c r="E1069" s="40"/>
      <c r="F1069" s="41"/>
      <c r="G1069" s="101"/>
      <c r="H1069" s="38"/>
      <c r="I1069" s="42"/>
      <c r="J1069" s="42"/>
      <c r="K1069" s="43"/>
      <c r="L1069" s="43"/>
      <c r="M1069" s="44" t="str">
        <f>IF(LayTable[[#This Row],[Sport]]="","",LayTable[[#This Row],[LayInnsats]]*(LayTable[[#This Row],[LayOdds]]-1))</f>
        <v/>
      </c>
      <c r="N1069" s="45" t="str">
        <f>IF(LayTable[[#This Row],[Sport]]="","",1/((1/LayTable[[#This Row],[BookieOdds]])+(1/((1/((1+((LayTable[[#This Row],[LayOdds]]-1)*(1+LayTable[[#This Row],[C% Lay]])))-1))+1)))-1)</f>
        <v/>
      </c>
      <c r="Q1069" s="46" t="str">
        <f>IF(LayTable[[#This Row],[Sport]]="","",LayTable[[#This Row],[BookieInnsats]]+LayTable[[#This Row],[LayLiability]])</f>
        <v/>
      </c>
      <c r="R10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69" s="47" t="str">
        <f>IF(LayTable[[#This Row],[Utfall bookie]]="","",LayTable[[#This Row],[WBABack]]+LayTable[[#This Row],[WBALay]]-LayTable[[#This Row],[Total inns]])</f>
        <v/>
      </c>
      <c r="U10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69" s="48" t="str">
        <f>IFERROR(IF(LayTable[[#This Row],[Total inns]]="","",LayTable[[#This Row],[Rback]]/LayTable[[#This Row],[Total inns]]),"")</f>
        <v/>
      </c>
      <c r="X1069" s="48" t="str">
        <f>IFERROR(IF(LayTable[[#This Row],[Total inns]]="","",LayTable[[#This Row],[Rlay]]/LayTable[[#This Row],[Total inns]]),"")</f>
        <v/>
      </c>
      <c r="Y1069" s="48" t="str">
        <f>IFERROR(LayTable[[#This Row],[Faktisk res]]/LayTable[[#This Row],[Total inns]],"")</f>
        <v/>
      </c>
      <c r="Z1069" s="47">
        <f>(LayTable[[#This Row],[BookieInnsats]]*LayTable[[#This Row],[BookieOdds]]-LayTable[[#This Row],[BookieInnsats]])*(1-LayTable[[#This Row],[C% Bookie]])</f>
        <v>0</v>
      </c>
      <c r="AA1069" s="43">
        <f>LayTable[[#This Row],[LayInnsats]]*(1-LayTable[[#This Row],[C% Lay]])</f>
        <v>0</v>
      </c>
      <c r="AB1069" s="43" t="str">
        <f>IFERROR(IF(LayTable[[#This Row],[Sport]]="",AB1068,LayTable[[#This Row],[Faktisk res]]+AB1068),"")</f>
        <v/>
      </c>
      <c r="AC1069" s="43">
        <f>(LayTable[[#This Row],[BackWin-Commission]]+LayTable[[#This Row],[BookieInnsats]])</f>
        <v>0</v>
      </c>
      <c r="AD1069" s="43" t="e">
        <f>(LayTable[[#This Row],[LayWin-Commission]])+LayTable[[#This Row],[LayLiability]]</f>
        <v>#VALUE!</v>
      </c>
      <c r="AE1069" s="43"/>
      <c r="AF1069" s="181"/>
    </row>
    <row r="1070" spans="1:32">
      <c r="A1070" s="84"/>
      <c r="B1070" s="39"/>
      <c r="C1070" s="40"/>
      <c r="D1070" s="41"/>
      <c r="E1070" s="40"/>
      <c r="F1070" s="41"/>
      <c r="G1070" s="101"/>
      <c r="H1070" s="38"/>
      <c r="I1070" s="42"/>
      <c r="J1070" s="42"/>
      <c r="K1070" s="43"/>
      <c r="L1070" s="43"/>
      <c r="M1070" s="44" t="str">
        <f>IF(LayTable[[#This Row],[Sport]]="","",LayTable[[#This Row],[LayInnsats]]*(LayTable[[#This Row],[LayOdds]]-1))</f>
        <v/>
      </c>
      <c r="N1070" s="45" t="str">
        <f>IF(LayTable[[#This Row],[Sport]]="","",1/((1/LayTable[[#This Row],[BookieOdds]])+(1/((1/((1+((LayTable[[#This Row],[LayOdds]]-1)*(1+LayTable[[#This Row],[C% Lay]])))-1))+1)))-1)</f>
        <v/>
      </c>
      <c r="Q1070" s="46" t="str">
        <f>IF(LayTable[[#This Row],[Sport]]="","",LayTable[[#This Row],[BookieInnsats]]+LayTable[[#This Row],[LayLiability]])</f>
        <v/>
      </c>
      <c r="R10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0" s="47" t="str">
        <f>IF(LayTable[[#This Row],[Utfall bookie]]="","",LayTable[[#This Row],[WBABack]]+LayTable[[#This Row],[WBALay]]-LayTable[[#This Row],[Total inns]])</f>
        <v/>
      </c>
      <c r="U10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0" s="48" t="str">
        <f>IFERROR(IF(LayTable[[#This Row],[Total inns]]="","",LayTable[[#This Row],[Rback]]/LayTable[[#This Row],[Total inns]]),"")</f>
        <v/>
      </c>
      <c r="X1070" s="48" t="str">
        <f>IFERROR(IF(LayTable[[#This Row],[Total inns]]="","",LayTable[[#This Row],[Rlay]]/LayTable[[#This Row],[Total inns]]),"")</f>
        <v/>
      </c>
      <c r="Y1070" s="48" t="str">
        <f>IFERROR(LayTable[[#This Row],[Faktisk res]]/LayTable[[#This Row],[Total inns]],"")</f>
        <v/>
      </c>
      <c r="Z1070" s="47">
        <f>(LayTable[[#This Row],[BookieInnsats]]*LayTable[[#This Row],[BookieOdds]]-LayTable[[#This Row],[BookieInnsats]])*(1-LayTable[[#This Row],[C% Bookie]])</f>
        <v>0</v>
      </c>
      <c r="AA1070" s="43">
        <f>LayTable[[#This Row],[LayInnsats]]*(1-LayTable[[#This Row],[C% Lay]])</f>
        <v>0</v>
      </c>
      <c r="AB1070" s="43" t="str">
        <f>IFERROR(IF(LayTable[[#This Row],[Sport]]="",AB1069,LayTable[[#This Row],[Faktisk res]]+AB1069),"")</f>
        <v/>
      </c>
      <c r="AC1070" s="43">
        <f>(LayTable[[#This Row],[BackWin-Commission]]+LayTable[[#This Row],[BookieInnsats]])</f>
        <v>0</v>
      </c>
      <c r="AD1070" s="43" t="e">
        <f>(LayTable[[#This Row],[LayWin-Commission]])+LayTable[[#This Row],[LayLiability]]</f>
        <v>#VALUE!</v>
      </c>
      <c r="AE1070" s="43"/>
      <c r="AF1070" s="181"/>
    </row>
    <row r="1071" spans="1:32">
      <c r="A1071" s="84"/>
      <c r="B1071" s="39"/>
      <c r="C1071" s="40"/>
      <c r="D1071" s="41"/>
      <c r="E1071" s="40"/>
      <c r="F1071" s="41"/>
      <c r="G1071" s="101"/>
      <c r="H1071" s="38"/>
      <c r="I1071" s="42"/>
      <c r="J1071" s="42"/>
      <c r="K1071" s="43"/>
      <c r="L1071" s="43"/>
      <c r="M1071" s="44" t="str">
        <f>IF(LayTable[[#This Row],[Sport]]="","",LayTable[[#This Row],[LayInnsats]]*(LayTable[[#This Row],[LayOdds]]-1))</f>
        <v/>
      </c>
      <c r="N1071" s="45" t="str">
        <f>IF(LayTable[[#This Row],[Sport]]="","",1/((1/LayTable[[#This Row],[BookieOdds]])+(1/((1/((1+((LayTable[[#This Row],[LayOdds]]-1)*(1+LayTable[[#This Row],[C% Lay]])))-1))+1)))-1)</f>
        <v/>
      </c>
      <c r="Q1071" s="46" t="str">
        <f>IF(LayTable[[#This Row],[Sport]]="","",LayTable[[#This Row],[BookieInnsats]]+LayTable[[#This Row],[LayLiability]])</f>
        <v/>
      </c>
      <c r="R10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1" s="47" t="str">
        <f>IF(LayTable[[#This Row],[Utfall bookie]]="","",LayTable[[#This Row],[WBABack]]+LayTable[[#This Row],[WBALay]]-LayTable[[#This Row],[Total inns]])</f>
        <v/>
      </c>
      <c r="U10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1" s="48" t="str">
        <f>IFERROR(IF(LayTable[[#This Row],[Total inns]]="","",LayTable[[#This Row],[Rback]]/LayTable[[#This Row],[Total inns]]),"")</f>
        <v/>
      </c>
      <c r="X1071" s="48" t="str">
        <f>IFERROR(IF(LayTable[[#This Row],[Total inns]]="","",LayTable[[#This Row],[Rlay]]/LayTable[[#This Row],[Total inns]]),"")</f>
        <v/>
      </c>
      <c r="Y1071" s="48" t="str">
        <f>IFERROR(LayTable[[#This Row],[Faktisk res]]/LayTable[[#This Row],[Total inns]],"")</f>
        <v/>
      </c>
      <c r="Z1071" s="47">
        <f>(LayTable[[#This Row],[BookieInnsats]]*LayTable[[#This Row],[BookieOdds]]-LayTable[[#This Row],[BookieInnsats]])*(1-LayTable[[#This Row],[C% Bookie]])</f>
        <v>0</v>
      </c>
      <c r="AA1071" s="43">
        <f>LayTable[[#This Row],[LayInnsats]]*(1-LayTable[[#This Row],[C% Lay]])</f>
        <v>0</v>
      </c>
      <c r="AB1071" s="43" t="str">
        <f>IFERROR(IF(LayTable[[#This Row],[Sport]]="",AB1070,LayTable[[#This Row],[Faktisk res]]+AB1070),"")</f>
        <v/>
      </c>
      <c r="AC1071" s="43">
        <f>(LayTable[[#This Row],[BackWin-Commission]]+LayTable[[#This Row],[BookieInnsats]])</f>
        <v>0</v>
      </c>
      <c r="AD1071" s="43" t="e">
        <f>(LayTable[[#This Row],[LayWin-Commission]])+LayTable[[#This Row],[LayLiability]]</f>
        <v>#VALUE!</v>
      </c>
      <c r="AE1071" s="43"/>
      <c r="AF1071" s="181"/>
    </row>
    <row r="1072" spans="1:32">
      <c r="A1072" s="84"/>
      <c r="B1072" s="39"/>
      <c r="C1072" s="40"/>
      <c r="D1072" s="41"/>
      <c r="E1072" s="40"/>
      <c r="F1072" s="41"/>
      <c r="G1072" s="101"/>
      <c r="H1072" s="38"/>
      <c r="I1072" s="42"/>
      <c r="J1072" s="42"/>
      <c r="K1072" s="43"/>
      <c r="L1072" s="43"/>
      <c r="M1072" s="44" t="str">
        <f>IF(LayTable[[#This Row],[Sport]]="","",LayTable[[#This Row],[LayInnsats]]*(LayTable[[#This Row],[LayOdds]]-1))</f>
        <v/>
      </c>
      <c r="N1072" s="45" t="str">
        <f>IF(LayTable[[#This Row],[Sport]]="","",1/((1/LayTable[[#This Row],[BookieOdds]])+(1/((1/((1+((LayTable[[#This Row],[LayOdds]]-1)*(1+LayTable[[#This Row],[C% Lay]])))-1))+1)))-1)</f>
        <v/>
      </c>
      <c r="Q1072" s="46" t="str">
        <f>IF(LayTable[[#This Row],[Sport]]="","",LayTable[[#This Row],[BookieInnsats]]+LayTable[[#This Row],[LayLiability]])</f>
        <v/>
      </c>
      <c r="R10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2" s="47" t="str">
        <f>IF(LayTable[[#This Row],[Utfall bookie]]="","",LayTable[[#This Row],[WBABack]]+LayTable[[#This Row],[WBALay]]-LayTable[[#This Row],[Total inns]])</f>
        <v/>
      </c>
      <c r="U10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2" s="48" t="str">
        <f>IFERROR(IF(LayTable[[#This Row],[Total inns]]="","",LayTable[[#This Row],[Rback]]/LayTable[[#This Row],[Total inns]]),"")</f>
        <v/>
      </c>
      <c r="X1072" s="48" t="str">
        <f>IFERROR(IF(LayTable[[#This Row],[Total inns]]="","",LayTable[[#This Row],[Rlay]]/LayTable[[#This Row],[Total inns]]),"")</f>
        <v/>
      </c>
      <c r="Y1072" s="48" t="str">
        <f>IFERROR(LayTable[[#This Row],[Faktisk res]]/LayTable[[#This Row],[Total inns]],"")</f>
        <v/>
      </c>
      <c r="Z1072" s="47">
        <f>(LayTable[[#This Row],[BookieInnsats]]*LayTable[[#This Row],[BookieOdds]]-LayTable[[#This Row],[BookieInnsats]])*(1-LayTable[[#This Row],[C% Bookie]])</f>
        <v>0</v>
      </c>
      <c r="AA1072" s="43">
        <f>LayTable[[#This Row],[LayInnsats]]*(1-LayTable[[#This Row],[C% Lay]])</f>
        <v>0</v>
      </c>
      <c r="AB1072" s="43" t="str">
        <f>IFERROR(IF(LayTable[[#This Row],[Sport]]="",AB1071,LayTable[[#This Row],[Faktisk res]]+AB1071),"")</f>
        <v/>
      </c>
      <c r="AC1072" s="43">
        <f>(LayTable[[#This Row],[BackWin-Commission]]+LayTable[[#This Row],[BookieInnsats]])</f>
        <v>0</v>
      </c>
      <c r="AD1072" s="43" t="e">
        <f>(LayTable[[#This Row],[LayWin-Commission]])+LayTable[[#This Row],[LayLiability]]</f>
        <v>#VALUE!</v>
      </c>
      <c r="AE1072" s="43"/>
      <c r="AF1072" s="181"/>
    </row>
    <row r="1073" spans="1:32">
      <c r="A1073" s="84"/>
      <c r="B1073" s="39"/>
      <c r="C1073" s="40"/>
      <c r="D1073" s="41"/>
      <c r="E1073" s="40"/>
      <c r="F1073" s="41"/>
      <c r="G1073" s="101"/>
      <c r="H1073" s="38"/>
      <c r="I1073" s="42"/>
      <c r="J1073" s="42"/>
      <c r="K1073" s="43"/>
      <c r="L1073" s="43"/>
      <c r="M1073" s="44" t="str">
        <f>IF(LayTable[[#This Row],[Sport]]="","",LayTable[[#This Row],[LayInnsats]]*(LayTable[[#This Row],[LayOdds]]-1))</f>
        <v/>
      </c>
      <c r="N1073" s="45" t="str">
        <f>IF(LayTable[[#This Row],[Sport]]="","",1/((1/LayTable[[#This Row],[BookieOdds]])+(1/((1/((1+((LayTable[[#This Row],[LayOdds]]-1)*(1+LayTable[[#This Row],[C% Lay]])))-1))+1)))-1)</f>
        <v/>
      </c>
      <c r="Q1073" s="46" t="str">
        <f>IF(LayTable[[#This Row],[Sport]]="","",LayTable[[#This Row],[BookieInnsats]]+LayTable[[#This Row],[LayLiability]])</f>
        <v/>
      </c>
      <c r="R10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3" s="47" t="str">
        <f>IF(LayTable[[#This Row],[Utfall bookie]]="","",LayTable[[#This Row],[WBABack]]+LayTable[[#This Row],[WBALay]]-LayTable[[#This Row],[Total inns]])</f>
        <v/>
      </c>
      <c r="U10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3" s="48" t="str">
        <f>IFERROR(IF(LayTable[[#This Row],[Total inns]]="","",LayTable[[#This Row],[Rback]]/LayTable[[#This Row],[Total inns]]),"")</f>
        <v/>
      </c>
      <c r="X1073" s="48" t="str">
        <f>IFERROR(IF(LayTable[[#This Row],[Total inns]]="","",LayTable[[#This Row],[Rlay]]/LayTable[[#This Row],[Total inns]]),"")</f>
        <v/>
      </c>
      <c r="Y1073" s="48" t="str">
        <f>IFERROR(LayTable[[#This Row],[Faktisk res]]/LayTable[[#This Row],[Total inns]],"")</f>
        <v/>
      </c>
      <c r="Z1073" s="47">
        <f>(LayTable[[#This Row],[BookieInnsats]]*LayTable[[#This Row],[BookieOdds]]-LayTable[[#This Row],[BookieInnsats]])*(1-LayTable[[#This Row],[C% Bookie]])</f>
        <v>0</v>
      </c>
      <c r="AA1073" s="43">
        <f>LayTable[[#This Row],[LayInnsats]]*(1-LayTable[[#This Row],[C% Lay]])</f>
        <v>0</v>
      </c>
      <c r="AB1073" s="43" t="str">
        <f>IFERROR(IF(LayTable[[#This Row],[Sport]]="",AB1072,LayTable[[#This Row],[Faktisk res]]+AB1072),"")</f>
        <v/>
      </c>
      <c r="AC1073" s="43">
        <f>(LayTable[[#This Row],[BackWin-Commission]]+LayTable[[#This Row],[BookieInnsats]])</f>
        <v>0</v>
      </c>
      <c r="AD1073" s="43" t="e">
        <f>(LayTable[[#This Row],[LayWin-Commission]])+LayTable[[#This Row],[LayLiability]]</f>
        <v>#VALUE!</v>
      </c>
      <c r="AE1073" s="43"/>
      <c r="AF1073" s="181"/>
    </row>
    <row r="1074" spans="1:32">
      <c r="A1074" s="84"/>
      <c r="B1074" s="39"/>
      <c r="C1074" s="40"/>
      <c r="D1074" s="41"/>
      <c r="E1074" s="40"/>
      <c r="F1074" s="41"/>
      <c r="G1074" s="101"/>
      <c r="H1074" s="38"/>
      <c r="I1074" s="42"/>
      <c r="J1074" s="42"/>
      <c r="K1074" s="43"/>
      <c r="L1074" s="43"/>
      <c r="M1074" s="44" t="str">
        <f>IF(LayTable[[#This Row],[Sport]]="","",LayTable[[#This Row],[LayInnsats]]*(LayTable[[#This Row],[LayOdds]]-1))</f>
        <v/>
      </c>
      <c r="N1074" s="45" t="str">
        <f>IF(LayTable[[#This Row],[Sport]]="","",1/((1/LayTable[[#This Row],[BookieOdds]])+(1/((1/((1+((LayTable[[#This Row],[LayOdds]]-1)*(1+LayTable[[#This Row],[C% Lay]])))-1))+1)))-1)</f>
        <v/>
      </c>
      <c r="Q1074" s="46" t="str">
        <f>IF(LayTable[[#This Row],[Sport]]="","",LayTable[[#This Row],[BookieInnsats]]+LayTable[[#This Row],[LayLiability]])</f>
        <v/>
      </c>
      <c r="R10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4" s="47" t="str">
        <f>IF(LayTable[[#This Row],[Utfall bookie]]="","",LayTable[[#This Row],[WBABack]]+LayTable[[#This Row],[WBALay]]-LayTable[[#This Row],[Total inns]])</f>
        <v/>
      </c>
      <c r="U10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4" s="48" t="str">
        <f>IFERROR(IF(LayTable[[#This Row],[Total inns]]="","",LayTable[[#This Row],[Rback]]/LayTable[[#This Row],[Total inns]]),"")</f>
        <v/>
      </c>
      <c r="X1074" s="48" t="str">
        <f>IFERROR(IF(LayTable[[#This Row],[Total inns]]="","",LayTable[[#This Row],[Rlay]]/LayTable[[#This Row],[Total inns]]),"")</f>
        <v/>
      </c>
      <c r="Y1074" s="48" t="str">
        <f>IFERROR(LayTable[[#This Row],[Faktisk res]]/LayTable[[#This Row],[Total inns]],"")</f>
        <v/>
      </c>
      <c r="Z1074" s="47">
        <f>(LayTable[[#This Row],[BookieInnsats]]*LayTable[[#This Row],[BookieOdds]]-LayTable[[#This Row],[BookieInnsats]])*(1-LayTable[[#This Row],[C% Bookie]])</f>
        <v>0</v>
      </c>
      <c r="AA1074" s="43">
        <f>LayTable[[#This Row],[LayInnsats]]*(1-LayTable[[#This Row],[C% Lay]])</f>
        <v>0</v>
      </c>
      <c r="AB1074" s="43" t="str">
        <f>IFERROR(IF(LayTable[[#This Row],[Sport]]="",AB1073,LayTable[[#This Row],[Faktisk res]]+AB1073),"")</f>
        <v/>
      </c>
      <c r="AC1074" s="43">
        <f>(LayTable[[#This Row],[BackWin-Commission]]+LayTable[[#This Row],[BookieInnsats]])</f>
        <v>0</v>
      </c>
      <c r="AD1074" s="43" t="e">
        <f>(LayTable[[#This Row],[LayWin-Commission]])+LayTable[[#This Row],[LayLiability]]</f>
        <v>#VALUE!</v>
      </c>
      <c r="AE1074" s="43"/>
      <c r="AF1074" s="181"/>
    </row>
    <row r="1075" spans="1:32">
      <c r="A1075" s="84"/>
      <c r="B1075" s="39"/>
      <c r="C1075" s="40"/>
      <c r="D1075" s="41"/>
      <c r="E1075" s="40"/>
      <c r="F1075" s="41"/>
      <c r="G1075" s="101"/>
      <c r="H1075" s="38"/>
      <c r="I1075" s="42"/>
      <c r="J1075" s="42"/>
      <c r="K1075" s="43"/>
      <c r="L1075" s="43"/>
      <c r="M1075" s="44" t="str">
        <f>IF(LayTable[[#This Row],[Sport]]="","",LayTable[[#This Row],[LayInnsats]]*(LayTable[[#This Row],[LayOdds]]-1))</f>
        <v/>
      </c>
      <c r="N1075" s="45" t="str">
        <f>IF(LayTable[[#This Row],[Sport]]="","",1/((1/LayTable[[#This Row],[BookieOdds]])+(1/((1/((1+((LayTable[[#This Row],[LayOdds]]-1)*(1+LayTable[[#This Row],[C% Lay]])))-1))+1)))-1)</f>
        <v/>
      </c>
      <c r="Q1075" s="46" t="str">
        <f>IF(LayTable[[#This Row],[Sport]]="","",LayTable[[#This Row],[BookieInnsats]]+LayTable[[#This Row],[LayLiability]])</f>
        <v/>
      </c>
      <c r="R10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5" s="47" t="str">
        <f>IF(LayTable[[#This Row],[Utfall bookie]]="","",LayTable[[#This Row],[WBABack]]+LayTable[[#This Row],[WBALay]]-LayTable[[#This Row],[Total inns]])</f>
        <v/>
      </c>
      <c r="U10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5" s="48" t="str">
        <f>IFERROR(IF(LayTable[[#This Row],[Total inns]]="","",LayTable[[#This Row],[Rback]]/LayTable[[#This Row],[Total inns]]),"")</f>
        <v/>
      </c>
      <c r="X1075" s="48" t="str">
        <f>IFERROR(IF(LayTable[[#This Row],[Total inns]]="","",LayTable[[#This Row],[Rlay]]/LayTable[[#This Row],[Total inns]]),"")</f>
        <v/>
      </c>
      <c r="Y1075" s="48" t="str">
        <f>IFERROR(LayTable[[#This Row],[Faktisk res]]/LayTable[[#This Row],[Total inns]],"")</f>
        <v/>
      </c>
      <c r="Z1075" s="47">
        <f>(LayTable[[#This Row],[BookieInnsats]]*LayTable[[#This Row],[BookieOdds]]-LayTable[[#This Row],[BookieInnsats]])*(1-LayTable[[#This Row],[C% Bookie]])</f>
        <v>0</v>
      </c>
      <c r="AA1075" s="43">
        <f>LayTable[[#This Row],[LayInnsats]]*(1-LayTable[[#This Row],[C% Lay]])</f>
        <v>0</v>
      </c>
      <c r="AB1075" s="43" t="str">
        <f>IFERROR(IF(LayTable[[#This Row],[Sport]]="",AB1074,LayTable[[#This Row],[Faktisk res]]+AB1074),"")</f>
        <v/>
      </c>
      <c r="AC1075" s="43">
        <f>(LayTable[[#This Row],[BackWin-Commission]]+LayTable[[#This Row],[BookieInnsats]])</f>
        <v>0</v>
      </c>
      <c r="AD1075" s="43" t="e">
        <f>(LayTable[[#This Row],[LayWin-Commission]])+LayTable[[#This Row],[LayLiability]]</f>
        <v>#VALUE!</v>
      </c>
      <c r="AE1075" s="43"/>
      <c r="AF1075" s="181"/>
    </row>
    <row r="1076" spans="1:32">
      <c r="A1076" s="84"/>
      <c r="B1076" s="39"/>
      <c r="C1076" s="40"/>
      <c r="D1076" s="41"/>
      <c r="E1076" s="40"/>
      <c r="F1076" s="41"/>
      <c r="G1076" s="101"/>
      <c r="H1076" s="38"/>
      <c r="I1076" s="42"/>
      <c r="J1076" s="42"/>
      <c r="K1076" s="43"/>
      <c r="L1076" s="43"/>
      <c r="M1076" s="44" t="str">
        <f>IF(LayTable[[#This Row],[Sport]]="","",LayTable[[#This Row],[LayInnsats]]*(LayTable[[#This Row],[LayOdds]]-1))</f>
        <v/>
      </c>
      <c r="N1076" s="45" t="str">
        <f>IF(LayTable[[#This Row],[Sport]]="","",1/((1/LayTable[[#This Row],[BookieOdds]])+(1/((1/((1+((LayTable[[#This Row],[LayOdds]]-1)*(1+LayTable[[#This Row],[C% Lay]])))-1))+1)))-1)</f>
        <v/>
      </c>
      <c r="Q1076" s="46" t="str">
        <f>IF(LayTable[[#This Row],[Sport]]="","",LayTable[[#This Row],[BookieInnsats]]+LayTable[[#This Row],[LayLiability]])</f>
        <v/>
      </c>
      <c r="R10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6" s="47" t="str">
        <f>IF(LayTable[[#This Row],[Utfall bookie]]="","",LayTable[[#This Row],[WBABack]]+LayTable[[#This Row],[WBALay]]-LayTable[[#This Row],[Total inns]])</f>
        <v/>
      </c>
      <c r="U10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6" s="48" t="str">
        <f>IFERROR(IF(LayTable[[#This Row],[Total inns]]="","",LayTable[[#This Row],[Rback]]/LayTable[[#This Row],[Total inns]]),"")</f>
        <v/>
      </c>
      <c r="X1076" s="48" t="str">
        <f>IFERROR(IF(LayTable[[#This Row],[Total inns]]="","",LayTable[[#This Row],[Rlay]]/LayTable[[#This Row],[Total inns]]),"")</f>
        <v/>
      </c>
      <c r="Y1076" s="48" t="str">
        <f>IFERROR(LayTable[[#This Row],[Faktisk res]]/LayTable[[#This Row],[Total inns]],"")</f>
        <v/>
      </c>
      <c r="Z1076" s="47">
        <f>(LayTable[[#This Row],[BookieInnsats]]*LayTable[[#This Row],[BookieOdds]]-LayTable[[#This Row],[BookieInnsats]])*(1-LayTable[[#This Row],[C% Bookie]])</f>
        <v>0</v>
      </c>
      <c r="AA1076" s="43">
        <f>LayTable[[#This Row],[LayInnsats]]*(1-LayTable[[#This Row],[C% Lay]])</f>
        <v>0</v>
      </c>
      <c r="AB1076" s="43" t="str">
        <f>IFERROR(IF(LayTable[[#This Row],[Sport]]="",AB1075,LayTable[[#This Row],[Faktisk res]]+AB1075),"")</f>
        <v/>
      </c>
      <c r="AC1076" s="43">
        <f>(LayTable[[#This Row],[BackWin-Commission]]+LayTable[[#This Row],[BookieInnsats]])</f>
        <v>0</v>
      </c>
      <c r="AD1076" s="43" t="e">
        <f>(LayTable[[#This Row],[LayWin-Commission]])+LayTable[[#This Row],[LayLiability]]</f>
        <v>#VALUE!</v>
      </c>
      <c r="AE1076" s="43"/>
      <c r="AF1076" s="181"/>
    </row>
    <row r="1077" spans="1:32">
      <c r="A1077" s="84"/>
      <c r="B1077" s="39"/>
      <c r="C1077" s="40"/>
      <c r="D1077" s="41"/>
      <c r="E1077" s="40"/>
      <c r="F1077" s="41"/>
      <c r="G1077" s="101"/>
      <c r="H1077" s="38"/>
      <c r="I1077" s="42"/>
      <c r="J1077" s="42"/>
      <c r="K1077" s="43"/>
      <c r="L1077" s="43"/>
      <c r="M1077" s="44" t="str">
        <f>IF(LayTable[[#This Row],[Sport]]="","",LayTable[[#This Row],[LayInnsats]]*(LayTable[[#This Row],[LayOdds]]-1))</f>
        <v/>
      </c>
      <c r="N1077" s="45" t="str">
        <f>IF(LayTable[[#This Row],[Sport]]="","",1/((1/LayTable[[#This Row],[BookieOdds]])+(1/((1/((1+((LayTable[[#This Row],[LayOdds]]-1)*(1+LayTable[[#This Row],[C% Lay]])))-1))+1)))-1)</f>
        <v/>
      </c>
      <c r="Q1077" s="46" t="str">
        <f>IF(LayTable[[#This Row],[Sport]]="","",LayTable[[#This Row],[BookieInnsats]]+LayTable[[#This Row],[LayLiability]])</f>
        <v/>
      </c>
      <c r="R10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7" s="47" t="str">
        <f>IF(LayTable[[#This Row],[Utfall bookie]]="","",LayTable[[#This Row],[WBABack]]+LayTable[[#This Row],[WBALay]]-LayTable[[#This Row],[Total inns]])</f>
        <v/>
      </c>
      <c r="U10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7" s="48" t="str">
        <f>IFERROR(IF(LayTable[[#This Row],[Total inns]]="","",LayTable[[#This Row],[Rback]]/LayTable[[#This Row],[Total inns]]),"")</f>
        <v/>
      </c>
      <c r="X1077" s="48" t="str">
        <f>IFERROR(IF(LayTable[[#This Row],[Total inns]]="","",LayTable[[#This Row],[Rlay]]/LayTable[[#This Row],[Total inns]]),"")</f>
        <v/>
      </c>
      <c r="Y1077" s="48" t="str">
        <f>IFERROR(LayTable[[#This Row],[Faktisk res]]/LayTable[[#This Row],[Total inns]],"")</f>
        <v/>
      </c>
      <c r="Z1077" s="47">
        <f>(LayTable[[#This Row],[BookieInnsats]]*LayTable[[#This Row],[BookieOdds]]-LayTable[[#This Row],[BookieInnsats]])*(1-LayTable[[#This Row],[C% Bookie]])</f>
        <v>0</v>
      </c>
      <c r="AA1077" s="43">
        <f>LayTable[[#This Row],[LayInnsats]]*(1-LayTable[[#This Row],[C% Lay]])</f>
        <v>0</v>
      </c>
      <c r="AB1077" s="43" t="str">
        <f>IFERROR(IF(LayTable[[#This Row],[Sport]]="",AB1076,LayTable[[#This Row],[Faktisk res]]+AB1076),"")</f>
        <v/>
      </c>
      <c r="AC1077" s="43">
        <f>(LayTable[[#This Row],[BackWin-Commission]]+LayTable[[#This Row],[BookieInnsats]])</f>
        <v>0</v>
      </c>
      <c r="AD1077" s="43" t="e">
        <f>(LayTable[[#This Row],[LayWin-Commission]])+LayTable[[#This Row],[LayLiability]]</f>
        <v>#VALUE!</v>
      </c>
      <c r="AE1077" s="43"/>
      <c r="AF1077" s="181"/>
    </row>
    <row r="1078" spans="1:32">
      <c r="A1078" s="84"/>
      <c r="B1078" s="39"/>
      <c r="C1078" s="40"/>
      <c r="D1078" s="41"/>
      <c r="E1078" s="40"/>
      <c r="F1078" s="41"/>
      <c r="G1078" s="101"/>
      <c r="H1078" s="38"/>
      <c r="I1078" s="42"/>
      <c r="J1078" s="42"/>
      <c r="K1078" s="43"/>
      <c r="L1078" s="43"/>
      <c r="M1078" s="44" t="str">
        <f>IF(LayTable[[#This Row],[Sport]]="","",LayTable[[#This Row],[LayInnsats]]*(LayTable[[#This Row],[LayOdds]]-1))</f>
        <v/>
      </c>
      <c r="N1078" s="45" t="str">
        <f>IF(LayTable[[#This Row],[Sport]]="","",1/((1/LayTable[[#This Row],[BookieOdds]])+(1/((1/((1+((LayTable[[#This Row],[LayOdds]]-1)*(1+LayTable[[#This Row],[C% Lay]])))-1))+1)))-1)</f>
        <v/>
      </c>
      <c r="Q1078" s="46" t="str">
        <f>IF(LayTable[[#This Row],[Sport]]="","",LayTable[[#This Row],[BookieInnsats]]+LayTable[[#This Row],[LayLiability]])</f>
        <v/>
      </c>
      <c r="R10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8" s="47" t="str">
        <f>IF(LayTable[[#This Row],[Utfall bookie]]="","",LayTable[[#This Row],[WBABack]]+LayTable[[#This Row],[WBALay]]-LayTable[[#This Row],[Total inns]])</f>
        <v/>
      </c>
      <c r="U10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8" s="48" t="str">
        <f>IFERROR(IF(LayTable[[#This Row],[Total inns]]="","",LayTable[[#This Row],[Rback]]/LayTable[[#This Row],[Total inns]]),"")</f>
        <v/>
      </c>
      <c r="X1078" s="48" t="str">
        <f>IFERROR(IF(LayTable[[#This Row],[Total inns]]="","",LayTable[[#This Row],[Rlay]]/LayTable[[#This Row],[Total inns]]),"")</f>
        <v/>
      </c>
      <c r="Y1078" s="48" t="str">
        <f>IFERROR(LayTable[[#This Row],[Faktisk res]]/LayTable[[#This Row],[Total inns]],"")</f>
        <v/>
      </c>
      <c r="Z1078" s="47">
        <f>(LayTable[[#This Row],[BookieInnsats]]*LayTable[[#This Row],[BookieOdds]]-LayTable[[#This Row],[BookieInnsats]])*(1-LayTable[[#This Row],[C% Bookie]])</f>
        <v>0</v>
      </c>
      <c r="AA1078" s="43">
        <f>LayTable[[#This Row],[LayInnsats]]*(1-LayTable[[#This Row],[C% Lay]])</f>
        <v>0</v>
      </c>
      <c r="AB1078" s="43" t="str">
        <f>IFERROR(IF(LayTable[[#This Row],[Sport]]="",AB1077,LayTable[[#This Row],[Faktisk res]]+AB1077),"")</f>
        <v/>
      </c>
      <c r="AC1078" s="43">
        <f>(LayTable[[#This Row],[BackWin-Commission]]+LayTable[[#This Row],[BookieInnsats]])</f>
        <v>0</v>
      </c>
      <c r="AD1078" s="43" t="e">
        <f>(LayTable[[#This Row],[LayWin-Commission]])+LayTable[[#This Row],[LayLiability]]</f>
        <v>#VALUE!</v>
      </c>
      <c r="AE1078" s="43"/>
      <c r="AF1078" s="181"/>
    </row>
    <row r="1079" spans="1:32">
      <c r="A1079" s="84"/>
      <c r="B1079" s="39"/>
      <c r="C1079" s="40"/>
      <c r="D1079" s="41"/>
      <c r="E1079" s="40"/>
      <c r="F1079" s="41"/>
      <c r="G1079" s="101"/>
      <c r="H1079" s="38"/>
      <c r="I1079" s="42"/>
      <c r="J1079" s="42"/>
      <c r="K1079" s="43"/>
      <c r="L1079" s="43"/>
      <c r="M1079" s="44" t="str">
        <f>IF(LayTable[[#This Row],[Sport]]="","",LayTable[[#This Row],[LayInnsats]]*(LayTable[[#This Row],[LayOdds]]-1))</f>
        <v/>
      </c>
      <c r="N1079" s="45" t="str">
        <f>IF(LayTable[[#This Row],[Sport]]="","",1/((1/LayTable[[#This Row],[BookieOdds]])+(1/((1/((1+((LayTable[[#This Row],[LayOdds]]-1)*(1+LayTable[[#This Row],[C% Lay]])))-1))+1)))-1)</f>
        <v/>
      </c>
      <c r="Q1079" s="46" t="str">
        <f>IF(LayTable[[#This Row],[Sport]]="","",LayTable[[#This Row],[BookieInnsats]]+LayTable[[#This Row],[LayLiability]])</f>
        <v/>
      </c>
      <c r="R10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79" s="47" t="str">
        <f>IF(LayTable[[#This Row],[Utfall bookie]]="","",LayTable[[#This Row],[WBABack]]+LayTable[[#This Row],[WBALay]]-LayTable[[#This Row],[Total inns]])</f>
        <v/>
      </c>
      <c r="U10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79" s="48" t="str">
        <f>IFERROR(IF(LayTable[[#This Row],[Total inns]]="","",LayTable[[#This Row],[Rback]]/LayTable[[#This Row],[Total inns]]),"")</f>
        <v/>
      </c>
      <c r="X1079" s="48" t="str">
        <f>IFERROR(IF(LayTable[[#This Row],[Total inns]]="","",LayTable[[#This Row],[Rlay]]/LayTable[[#This Row],[Total inns]]),"")</f>
        <v/>
      </c>
      <c r="Y1079" s="48" t="str">
        <f>IFERROR(LayTable[[#This Row],[Faktisk res]]/LayTable[[#This Row],[Total inns]],"")</f>
        <v/>
      </c>
      <c r="Z1079" s="47">
        <f>(LayTable[[#This Row],[BookieInnsats]]*LayTable[[#This Row],[BookieOdds]]-LayTable[[#This Row],[BookieInnsats]])*(1-LayTable[[#This Row],[C% Bookie]])</f>
        <v>0</v>
      </c>
      <c r="AA1079" s="43">
        <f>LayTable[[#This Row],[LayInnsats]]*(1-LayTable[[#This Row],[C% Lay]])</f>
        <v>0</v>
      </c>
      <c r="AB1079" s="43" t="str">
        <f>IFERROR(IF(LayTable[[#This Row],[Sport]]="",AB1078,LayTable[[#This Row],[Faktisk res]]+AB1078),"")</f>
        <v/>
      </c>
      <c r="AC1079" s="43">
        <f>(LayTable[[#This Row],[BackWin-Commission]]+LayTable[[#This Row],[BookieInnsats]])</f>
        <v>0</v>
      </c>
      <c r="AD1079" s="43" t="e">
        <f>(LayTable[[#This Row],[LayWin-Commission]])+LayTable[[#This Row],[LayLiability]]</f>
        <v>#VALUE!</v>
      </c>
      <c r="AE1079" s="43"/>
      <c r="AF1079" s="181"/>
    </row>
    <row r="1080" spans="1:32">
      <c r="A1080" s="84"/>
      <c r="B1080" s="39"/>
      <c r="C1080" s="40"/>
      <c r="D1080" s="41"/>
      <c r="E1080" s="40"/>
      <c r="F1080" s="41"/>
      <c r="G1080" s="101"/>
      <c r="H1080" s="38"/>
      <c r="I1080" s="42"/>
      <c r="J1080" s="42"/>
      <c r="K1080" s="43"/>
      <c r="L1080" s="43"/>
      <c r="M1080" s="44" t="str">
        <f>IF(LayTable[[#This Row],[Sport]]="","",LayTable[[#This Row],[LayInnsats]]*(LayTable[[#This Row],[LayOdds]]-1))</f>
        <v/>
      </c>
      <c r="N1080" s="45" t="str">
        <f>IF(LayTable[[#This Row],[Sport]]="","",1/((1/LayTable[[#This Row],[BookieOdds]])+(1/((1/((1+((LayTable[[#This Row],[LayOdds]]-1)*(1+LayTable[[#This Row],[C% Lay]])))-1))+1)))-1)</f>
        <v/>
      </c>
      <c r="Q1080" s="46" t="str">
        <f>IF(LayTable[[#This Row],[Sport]]="","",LayTable[[#This Row],[BookieInnsats]]+LayTable[[#This Row],[LayLiability]])</f>
        <v/>
      </c>
      <c r="R10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0" s="47" t="str">
        <f>IF(LayTable[[#This Row],[Utfall bookie]]="","",LayTable[[#This Row],[WBABack]]+LayTable[[#This Row],[WBALay]]-LayTable[[#This Row],[Total inns]])</f>
        <v/>
      </c>
      <c r="U10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0" s="48" t="str">
        <f>IFERROR(IF(LayTable[[#This Row],[Total inns]]="","",LayTable[[#This Row],[Rback]]/LayTable[[#This Row],[Total inns]]),"")</f>
        <v/>
      </c>
      <c r="X1080" s="48" t="str">
        <f>IFERROR(IF(LayTable[[#This Row],[Total inns]]="","",LayTable[[#This Row],[Rlay]]/LayTable[[#This Row],[Total inns]]),"")</f>
        <v/>
      </c>
      <c r="Y1080" s="48" t="str">
        <f>IFERROR(LayTable[[#This Row],[Faktisk res]]/LayTable[[#This Row],[Total inns]],"")</f>
        <v/>
      </c>
      <c r="Z1080" s="47">
        <f>(LayTable[[#This Row],[BookieInnsats]]*LayTable[[#This Row],[BookieOdds]]-LayTable[[#This Row],[BookieInnsats]])*(1-LayTable[[#This Row],[C% Bookie]])</f>
        <v>0</v>
      </c>
      <c r="AA1080" s="43">
        <f>LayTable[[#This Row],[LayInnsats]]*(1-LayTable[[#This Row],[C% Lay]])</f>
        <v>0</v>
      </c>
      <c r="AB1080" s="43" t="str">
        <f>IFERROR(IF(LayTable[[#This Row],[Sport]]="",AB1079,LayTable[[#This Row],[Faktisk res]]+AB1079),"")</f>
        <v/>
      </c>
      <c r="AC1080" s="43">
        <f>(LayTable[[#This Row],[BackWin-Commission]]+LayTable[[#This Row],[BookieInnsats]])</f>
        <v>0</v>
      </c>
      <c r="AD1080" s="43" t="e">
        <f>(LayTable[[#This Row],[LayWin-Commission]])+LayTable[[#This Row],[LayLiability]]</f>
        <v>#VALUE!</v>
      </c>
      <c r="AE1080" s="43"/>
      <c r="AF1080" s="181"/>
    </row>
    <row r="1081" spans="1:32">
      <c r="A1081" s="84"/>
      <c r="B1081" s="39"/>
      <c r="C1081" s="40"/>
      <c r="D1081" s="41"/>
      <c r="E1081" s="40"/>
      <c r="F1081" s="41"/>
      <c r="G1081" s="101"/>
      <c r="H1081" s="38"/>
      <c r="I1081" s="42"/>
      <c r="J1081" s="42"/>
      <c r="K1081" s="43"/>
      <c r="L1081" s="43"/>
      <c r="M1081" s="44" t="str">
        <f>IF(LayTable[[#This Row],[Sport]]="","",LayTable[[#This Row],[LayInnsats]]*(LayTable[[#This Row],[LayOdds]]-1))</f>
        <v/>
      </c>
      <c r="N1081" s="45" t="str">
        <f>IF(LayTable[[#This Row],[Sport]]="","",1/((1/LayTable[[#This Row],[BookieOdds]])+(1/((1/((1+((LayTable[[#This Row],[LayOdds]]-1)*(1+LayTable[[#This Row],[C% Lay]])))-1))+1)))-1)</f>
        <v/>
      </c>
      <c r="Q1081" s="46" t="str">
        <f>IF(LayTable[[#This Row],[Sport]]="","",LayTable[[#This Row],[BookieInnsats]]+LayTable[[#This Row],[LayLiability]])</f>
        <v/>
      </c>
      <c r="R10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1" s="47" t="str">
        <f>IF(LayTable[[#This Row],[Utfall bookie]]="","",LayTable[[#This Row],[WBABack]]+LayTable[[#This Row],[WBALay]]-LayTable[[#This Row],[Total inns]])</f>
        <v/>
      </c>
      <c r="U10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1" s="48" t="str">
        <f>IFERROR(IF(LayTable[[#This Row],[Total inns]]="","",LayTable[[#This Row],[Rback]]/LayTable[[#This Row],[Total inns]]),"")</f>
        <v/>
      </c>
      <c r="X1081" s="48" t="str">
        <f>IFERROR(IF(LayTable[[#This Row],[Total inns]]="","",LayTable[[#This Row],[Rlay]]/LayTable[[#This Row],[Total inns]]),"")</f>
        <v/>
      </c>
      <c r="Y1081" s="48" t="str">
        <f>IFERROR(LayTable[[#This Row],[Faktisk res]]/LayTable[[#This Row],[Total inns]],"")</f>
        <v/>
      </c>
      <c r="Z1081" s="47">
        <f>(LayTable[[#This Row],[BookieInnsats]]*LayTable[[#This Row],[BookieOdds]]-LayTable[[#This Row],[BookieInnsats]])*(1-LayTable[[#This Row],[C% Bookie]])</f>
        <v>0</v>
      </c>
      <c r="AA1081" s="43">
        <f>LayTable[[#This Row],[LayInnsats]]*(1-LayTable[[#This Row],[C% Lay]])</f>
        <v>0</v>
      </c>
      <c r="AB1081" s="43" t="str">
        <f>IFERROR(IF(LayTable[[#This Row],[Sport]]="",AB1080,LayTable[[#This Row],[Faktisk res]]+AB1080),"")</f>
        <v/>
      </c>
      <c r="AC1081" s="43">
        <f>(LayTable[[#This Row],[BackWin-Commission]]+LayTable[[#This Row],[BookieInnsats]])</f>
        <v>0</v>
      </c>
      <c r="AD1081" s="43" t="e">
        <f>(LayTable[[#This Row],[LayWin-Commission]])+LayTable[[#This Row],[LayLiability]]</f>
        <v>#VALUE!</v>
      </c>
      <c r="AE1081" s="43"/>
      <c r="AF1081" s="181"/>
    </row>
    <row r="1082" spans="1:32">
      <c r="A1082" s="84"/>
      <c r="B1082" s="39"/>
      <c r="C1082" s="40"/>
      <c r="D1082" s="41"/>
      <c r="E1082" s="40"/>
      <c r="F1082" s="41"/>
      <c r="G1082" s="101"/>
      <c r="H1082" s="38"/>
      <c r="I1082" s="42"/>
      <c r="J1082" s="42"/>
      <c r="K1082" s="43"/>
      <c r="L1082" s="43"/>
      <c r="M1082" s="44" t="str">
        <f>IF(LayTable[[#This Row],[Sport]]="","",LayTable[[#This Row],[LayInnsats]]*(LayTable[[#This Row],[LayOdds]]-1))</f>
        <v/>
      </c>
      <c r="N1082" s="45" t="str">
        <f>IF(LayTable[[#This Row],[Sport]]="","",1/((1/LayTable[[#This Row],[BookieOdds]])+(1/((1/((1+((LayTable[[#This Row],[LayOdds]]-1)*(1+LayTable[[#This Row],[C% Lay]])))-1))+1)))-1)</f>
        <v/>
      </c>
      <c r="Q1082" s="46" t="str">
        <f>IF(LayTable[[#This Row],[Sport]]="","",LayTable[[#This Row],[BookieInnsats]]+LayTable[[#This Row],[LayLiability]])</f>
        <v/>
      </c>
      <c r="R10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2" s="47" t="str">
        <f>IF(LayTable[[#This Row],[Utfall bookie]]="","",LayTable[[#This Row],[WBABack]]+LayTable[[#This Row],[WBALay]]-LayTable[[#This Row],[Total inns]])</f>
        <v/>
      </c>
      <c r="U10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2" s="48" t="str">
        <f>IFERROR(IF(LayTable[[#This Row],[Total inns]]="","",LayTable[[#This Row],[Rback]]/LayTable[[#This Row],[Total inns]]),"")</f>
        <v/>
      </c>
      <c r="X1082" s="48" t="str">
        <f>IFERROR(IF(LayTable[[#This Row],[Total inns]]="","",LayTable[[#This Row],[Rlay]]/LayTable[[#This Row],[Total inns]]),"")</f>
        <v/>
      </c>
      <c r="Y1082" s="48" t="str">
        <f>IFERROR(LayTable[[#This Row],[Faktisk res]]/LayTable[[#This Row],[Total inns]],"")</f>
        <v/>
      </c>
      <c r="Z1082" s="47">
        <f>(LayTable[[#This Row],[BookieInnsats]]*LayTable[[#This Row],[BookieOdds]]-LayTable[[#This Row],[BookieInnsats]])*(1-LayTable[[#This Row],[C% Bookie]])</f>
        <v>0</v>
      </c>
      <c r="AA1082" s="43">
        <f>LayTable[[#This Row],[LayInnsats]]*(1-LayTable[[#This Row],[C% Lay]])</f>
        <v>0</v>
      </c>
      <c r="AB1082" s="43" t="str">
        <f>IFERROR(IF(LayTable[[#This Row],[Sport]]="",AB1081,LayTable[[#This Row],[Faktisk res]]+AB1081),"")</f>
        <v/>
      </c>
      <c r="AC1082" s="43">
        <f>(LayTable[[#This Row],[BackWin-Commission]]+LayTable[[#This Row],[BookieInnsats]])</f>
        <v>0</v>
      </c>
      <c r="AD1082" s="43" t="e">
        <f>(LayTable[[#This Row],[LayWin-Commission]])+LayTable[[#This Row],[LayLiability]]</f>
        <v>#VALUE!</v>
      </c>
      <c r="AE1082" s="43"/>
      <c r="AF1082" s="181"/>
    </row>
    <row r="1083" spans="1:32">
      <c r="A1083" s="84"/>
      <c r="B1083" s="39"/>
      <c r="C1083" s="40"/>
      <c r="D1083" s="41"/>
      <c r="E1083" s="40"/>
      <c r="F1083" s="41"/>
      <c r="G1083" s="101"/>
      <c r="H1083" s="38"/>
      <c r="I1083" s="42"/>
      <c r="J1083" s="42"/>
      <c r="K1083" s="43"/>
      <c r="L1083" s="43"/>
      <c r="M1083" s="44" t="str">
        <f>IF(LayTable[[#This Row],[Sport]]="","",LayTable[[#This Row],[LayInnsats]]*(LayTable[[#This Row],[LayOdds]]-1))</f>
        <v/>
      </c>
      <c r="N1083" s="45" t="str">
        <f>IF(LayTable[[#This Row],[Sport]]="","",1/((1/LayTable[[#This Row],[BookieOdds]])+(1/((1/((1+((LayTable[[#This Row],[LayOdds]]-1)*(1+LayTable[[#This Row],[C% Lay]])))-1))+1)))-1)</f>
        <v/>
      </c>
      <c r="Q1083" s="46" t="str">
        <f>IF(LayTable[[#This Row],[Sport]]="","",LayTable[[#This Row],[BookieInnsats]]+LayTable[[#This Row],[LayLiability]])</f>
        <v/>
      </c>
      <c r="R10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3" s="47" t="str">
        <f>IF(LayTable[[#This Row],[Utfall bookie]]="","",LayTable[[#This Row],[WBABack]]+LayTable[[#This Row],[WBALay]]-LayTable[[#This Row],[Total inns]])</f>
        <v/>
      </c>
      <c r="U10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3" s="48" t="str">
        <f>IFERROR(IF(LayTable[[#This Row],[Total inns]]="","",LayTable[[#This Row],[Rback]]/LayTable[[#This Row],[Total inns]]),"")</f>
        <v/>
      </c>
      <c r="X1083" s="48" t="str">
        <f>IFERROR(IF(LayTable[[#This Row],[Total inns]]="","",LayTable[[#This Row],[Rlay]]/LayTable[[#This Row],[Total inns]]),"")</f>
        <v/>
      </c>
      <c r="Y1083" s="48" t="str">
        <f>IFERROR(LayTable[[#This Row],[Faktisk res]]/LayTable[[#This Row],[Total inns]],"")</f>
        <v/>
      </c>
      <c r="Z1083" s="47">
        <f>(LayTable[[#This Row],[BookieInnsats]]*LayTable[[#This Row],[BookieOdds]]-LayTable[[#This Row],[BookieInnsats]])*(1-LayTable[[#This Row],[C% Bookie]])</f>
        <v>0</v>
      </c>
      <c r="AA1083" s="43">
        <f>LayTable[[#This Row],[LayInnsats]]*(1-LayTable[[#This Row],[C% Lay]])</f>
        <v>0</v>
      </c>
      <c r="AB1083" s="43" t="str">
        <f>IFERROR(IF(LayTable[[#This Row],[Sport]]="",AB1082,LayTable[[#This Row],[Faktisk res]]+AB1082),"")</f>
        <v/>
      </c>
      <c r="AC1083" s="43">
        <f>(LayTable[[#This Row],[BackWin-Commission]]+LayTable[[#This Row],[BookieInnsats]])</f>
        <v>0</v>
      </c>
      <c r="AD1083" s="43" t="e">
        <f>(LayTable[[#This Row],[LayWin-Commission]])+LayTable[[#This Row],[LayLiability]]</f>
        <v>#VALUE!</v>
      </c>
      <c r="AE1083" s="43"/>
      <c r="AF1083" s="181"/>
    </row>
    <row r="1084" spans="1:32">
      <c r="A1084" s="84"/>
      <c r="B1084" s="39"/>
      <c r="C1084" s="40"/>
      <c r="D1084" s="41"/>
      <c r="E1084" s="40"/>
      <c r="F1084" s="41"/>
      <c r="G1084" s="101"/>
      <c r="H1084" s="38"/>
      <c r="I1084" s="42"/>
      <c r="J1084" s="42"/>
      <c r="K1084" s="43"/>
      <c r="L1084" s="43"/>
      <c r="M1084" s="44" t="str">
        <f>IF(LayTable[[#This Row],[Sport]]="","",LayTable[[#This Row],[LayInnsats]]*(LayTable[[#This Row],[LayOdds]]-1))</f>
        <v/>
      </c>
      <c r="N1084" s="45" t="str">
        <f>IF(LayTable[[#This Row],[Sport]]="","",1/((1/LayTable[[#This Row],[BookieOdds]])+(1/((1/((1+((LayTable[[#This Row],[LayOdds]]-1)*(1+LayTable[[#This Row],[C% Lay]])))-1))+1)))-1)</f>
        <v/>
      </c>
      <c r="Q1084" s="46" t="str">
        <f>IF(LayTable[[#This Row],[Sport]]="","",LayTable[[#This Row],[BookieInnsats]]+LayTable[[#This Row],[LayLiability]])</f>
        <v/>
      </c>
      <c r="R10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4" s="47" t="str">
        <f>IF(LayTable[[#This Row],[Utfall bookie]]="","",LayTable[[#This Row],[WBABack]]+LayTable[[#This Row],[WBALay]]-LayTable[[#This Row],[Total inns]])</f>
        <v/>
      </c>
      <c r="U10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4" s="48" t="str">
        <f>IFERROR(IF(LayTable[[#This Row],[Total inns]]="","",LayTable[[#This Row],[Rback]]/LayTable[[#This Row],[Total inns]]),"")</f>
        <v/>
      </c>
      <c r="X1084" s="48" t="str">
        <f>IFERROR(IF(LayTable[[#This Row],[Total inns]]="","",LayTable[[#This Row],[Rlay]]/LayTable[[#This Row],[Total inns]]),"")</f>
        <v/>
      </c>
      <c r="Y1084" s="48" t="str">
        <f>IFERROR(LayTable[[#This Row],[Faktisk res]]/LayTable[[#This Row],[Total inns]],"")</f>
        <v/>
      </c>
      <c r="Z1084" s="47">
        <f>(LayTable[[#This Row],[BookieInnsats]]*LayTable[[#This Row],[BookieOdds]]-LayTable[[#This Row],[BookieInnsats]])*(1-LayTable[[#This Row],[C% Bookie]])</f>
        <v>0</v>
      </c>
      <c r="AA1084" s="43">
        <f>LayTable[[#This Row],[LayInnsats]]*(1-LayTable[[#This Row],[C% Lay]])</f>
        <v>0</v>
      </c>
      <c r="AB1084" s="43" t="str">
        <f>IFERROR(IF(LayTable[[#This Row],[Sport]]="",AB1083,LayTable[[#This Row],[Faktisk res]]+AB1083),"")</f>
        <v/>
      </c>
      <c r="AC1084" s="43">
        <f>(LayTable[[#This Row],[BackWin-Commission]]+LayTable[[#This Row],[BookieInnsats]])</f>
        <v>0</v>
      </c>
      <c r="AD1084" s="43" t="e">
        <f>(LayTable[[#This Row],[LayWin-Commission]])+LayTable[[#This Row],[LayLiability]]</f>
        <v>#VALUE!</v>
      </c>
      <c r="AE1084" s="43"/>
      <c r="AF1084" s="181"/>
    </row>
    <row r="1085" spans="1:32">
      <c r="A1085" s="84"/>
      <c r="B1085" s="39"/>
      <c r="C1085" s="40"/>
      <c r="D1085" s="41"/>
      <c r="E1085" s="40"/>
      <c r="F1085" s="41"/>
      <c r="G1085" s="101"/>
      <c r="H1085" s="38"/>
      <c r="I1085" s="42"/>
      <c r="J1085" s="42"/>
      <c r="K1085" s="43"/>
      <c r="L1085" s="43"/>
      <c r="M1085" s="44" t="str">
        <f>IF(LayTable[[#This Row],[Sport]]="","",LayTable[[#This Row],[LayInnsats]]*(LayTable[[#This Row],[LayOdds]]-1))</f>
        <v/>
      </c>
      <c r="N1085" s="45" t="str">
        <f>IF(LayTable[[#This Row],[Sport]]="","",1/((1/LayTable[[#This Row],[BookieOdds]])+(1/((1/((1+((LayTable[[#This Row],[LayOdds]]-1)*(1+LayTable[[#This Row],[C% Lay]])))-1))+1)))-1)</f>
        <v/>
      </c>
      <c r="Q1085" s="46" t="str">
        <f>IF(LayTable[[#This Row],[Sport]]="","",LayTable[[#This Row],[BookieInnsats]]+LayTable[[#This Row],[LayLiability]])</f>
        <v/>
      </c>
      <c r="R10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5" s="47" t="str">
        <f>IF(LayTable[[#This Row],[Utfall bookie]]="","",LayTable[[#This Row],[WBABack]]+LayTable[[#This Row],[WBALay]]-LayTable[[#This Row],[Total inns]])</f>
        <v/>
      </c>
      <c r="U10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5" s="48" t="str">
        <f>IFERROR(IF(LayTable[[#This Row],[Total inns]]="","",LayTable[[#This Row],[Rback]]/LayTable[[#This Row],[Total inns]]),"")</f>
        <v/>
      </c>
      <c r="X1085" s="48" t="str">
        <f>IFERROR(IF(LayTable[[#This Row],[Total inns]]="","",LayTable[[#This Row],[Rlay]]/LayTable[[#This Row],[Total inns]]),"")</f>
        <v/>
      </c>
      <c r="Y1085" s="48" t="str">
        <f>IFERROR(LayTable[[#This Row],[Faktisk res]]/LayTable[[#This Row],[Total inns]],"")</f>
        <v/>
      </c>
      <c r="Z1085" s="47">
        <f>(LayTable[[#This Row],[BookieInnsats]]*LayTable[[#This Row],[BookieOdds]]-LayTable[[#This Row],[BookieInnsats]])*(1-LayTable[[#This Row],[C% Bookie]])</f>
        <v>0</v>
      </c>
      <c r="AA1085" s="43">
        <f>LayTable[[#This Row],[LayInnsats]]*(1-LayTable[[#This Row],[C% Lay]])</f>
        <v>0</v>
      </c>
      <c r="AB1085" s="43" t="str">
        <f>IFERROR(IF(LayTable[[#This Row],[Sport]]="",AB1084,LayTable[[#This Row],[Faktisk res]]+AB1084),"")</f>
        <v/>
      </c>
      <c r="AC1085" s="43">
        <f>(LayTable[[#This Row],[BackWin-Commission]]+LayTable[[#This Row],[BookieInnsats]])</f>
        <v>0</v>
      </c>
      <c r="AD1085" s="43" t="e">
        <f>(LayTable[[#This Row],[LayWin-Commission]])+LayTable[[#This Row],[LayLiability]]</f>
        <v>#VALUE!</v>
      </c>
      <c r="AE1085" s="43"/>
      <c r="AF1085" s="181"/>
    </row>
    <row r="1086" spans="1:32">
      <c r="A1086" s="84"/>
      <c r="B1086" s="39"/>
      <c r="C1086" s="40"/>
      <c r="D1086" s="41"/>
      <c r="E1086" s="40"/>
      <c r="F1086" s="41"/>
      <c r="G1086" s="101"/>
      <c r="H1086" s="38"/>
      <c r="I1086" s="42"/>
      <c r="J1086" s="42"/>
      <c r="K1086" s="43"/>
      <c r="L1086" s="43"/>
      <c r="M1086" s="44" t="str">
        <f>IF(LayTable[[#This Row],[Sport]]="","",LayTable[[#This Row],[LayInnsats]]*(LayTable[[#This Row],[LayOdds]]-1))</f>
        <v/>
      </c>
      <c r="N1086" s="45" t="str">
        <f>IF(LayTable[[#This Row],[Sport]]="","",1/((1/LayTable[[#This Row],[BookieOdds]])+(1/((1/((1+((LayTable[[#This Row],[LayOdds]]-1)*(1+LayTable[[#This Row],[C% Lay]])))-1))+1)))-1)</f>
        <v/>
      </c>
      <c r="Q1086" s="46" t="str">
        <f>IF(LayTable[[#This Row],[Sport]]="","",LayTable[[#This Row],[BookieInnsats]]+LayTable[[#This Row],[LayLiability]])</f>
        <v/>
      </c>
      <c r="R10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6" s="47" t="str">
        <f>IF(LayTable[[#This Row],[Utfall bookie]]="","",LayTable[[#This Row],[WBABack]]+LayTable[[#This Row],[WBALay]]-LayTable[[#This Row],[Total inns]])</f>
        <v/>
      </c>
      <c r="U10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6" s="48" t="str">
        <f>IFERROR(IF(LayTable[[#This Row],[Total inns]]="","",LayTable[[#This Row],[Rback]]/LayTable[[#This Row],[Total inns]]),"")</f>
        <v/>
      </c>
      <c r="X1086" s="48" t="str">
        <f>IFERROR(IF(LayTable[[#This Row],[Total inns]]="","",LayTable[[#This Row],[Rlay]]/LayTable[[#This Row],[Total inns]]),"")</f>
        <v/>
      </c>
      <c r="Y1086" s="48" t="str">
        <f>IFERROR(LayTable[[#This Row],[Faktisk res]]/LayTable[[#This Row],[Total inns]],"")</f>
        <v/>
      </c>
      <c r="Z1086" s="47">
        <f>(LayTable[[#This Row],[BookieInnsats]]*LayTable[[#This Row],[BookieOdds]]-LayTable[[#This Row],[BookieInnsats]])*(1-LayTable[[#This Row],[C% Bookie]])</f>
        <v>0</v>
      </c>
      <c r="AA1086" s="43">
        <f>LayTable[[#This Row],[LayInnsats]]*(1-LayTable[[#This Row],[C% Lay]])</f>
        <v>0</v>
      </c>
      <c r="AB1086" s="43" t="str">
        <f>IFERROR(IF(LayTable[[#This Row],[Sport]]="",AB1085,LayTable[[#This Row],[Faktisk res]]+AB1085),"")</f>
        <v/>
      </c>
      <c r="AC1086" s="43">
        <f>(LayTable[[#This Row],[BackWin-Commission]]+LayTable[[#This Row],[BookieInnsats]])</f>
        <v>0</v>
      </c>
      <c r="AD1086" s="43" t="e">
        <f>(LayTable[[#This Row],[LayWin-Commission]])+LayTable[[#This Row],[LayLiability]]</f>
        <v>#VALUE!</v>
      </c>
      <c r="AE1086" s="43"/>
      <c r="AF1086" s="181"/>
    </row>
    <row r="1087" spans="1:32">
      <c r="A1087" s="84"/>
      <c r="B1087" s="39"/>
      <c r="C1087" s="40"/>
      <c r="D1087" s="41"/>
      <c r="E1087" s="40"/>
      <c r="F1087" s="41"/>
      <c r="G1087" s="101"/>
      <c r="H1087" s="38"/>
      <c r="I1087" s="42"/>
      <c r="J1087" s="42"/>
      <c r="K1087" s="43"/>
      <c r="L1087" s="43"/>
      <c r="M1087" s="44" t="str">
        <f>IF(LayTable[[#This Row],[Sport]]="","",LayTable[[#This Row],[LayInnsats]]*(LayTable[[#This Row],[LayOdds]]-1))</f>
        <v/>
      </c>
      <c r="N1087" s="45" t="str">
        <f>IF(LayTable[[#This Row],[Sport]]="","",1/((1/LayTable[[#This Row],[BookieOdds]])+(1/((1/((1+((LayTable[[#This Row],[LayOdds]]-1)*(1+LayTable[[#This Row],[C% Lay]])))-1))+1)))-1)</f>
        <v/>
      </c>
      <c r="Q1087" s="46" t="str">
        <f>IF(LayTable[[#This Row],[Sport]]="","",LayTable[[#This Row],[BookieInnsats]]+LayTable[[#This Row],[LayLiability]])</f>
        <v/>
      </c>
      <c r="R10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7" s="47" t="str">
        <f>IF(LayTable[[#This Row],[Utfall bookie]]="","",LayTable[[#This Row],[WBABack]]+LayTable[[#This Row],[WBALay]]-LayTable[[#This Row],[Total inns]])</f>
        <v/>
      </c>
      <c r="U10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7" s="48" t="str">
        <f>IFERROR(IF(LayTable[[#This Row],[Total inns]]="","",LayTable[[#This Row],[Rback]]/LayTable[[#This Row],[Total inns]]),"")</f>
        <v/>
      </c>
      <c r="X1087" s="48" t="str">
        <f>IFERROR(IF(LayTable[[#This Row],[Total inns]]="","",LayTable[[#This Row],[Rlay]]/LayTable[[#This Row],[Total inns]]),"")</f>
        <v/>
      </c>
      <c r="Y1087" s="48" t="str">
        <f>IFERROR(LayTable[[#This Row],[Faktisk res]]/LayTable[[#This Row],[Total inns]],"")</f>
        <v/>
      </c>
      <c r="Z1087" s="47">
        <f>(LayTable[[#This Row],[BookieInnsats]]*LayTable[[#This Row],[BookieOdds]]-LayTable[[#This Row],[BookieInnsats]])*(1-LayTable[[#This Row],[C% Bookie]])</f>
        <v>0</v>
      </c>
      <c r="AA1087" s="43">
        <f>LayTable[[#This Row],[LayInnsats]]*(1-LayTable[[#This Row],[C% Lay]])</f>
        <v>0</v>
      </c>
      <c r="AB1087" s="43" t="str">
        <f>IFERROR(IF(LayTable[[#This Row],[Sport]]="",AB1086,LayTable[[#This Row],[Faktisk res]]+AB1086),"")</f>
        <v/>
      </c>
      <c r="AC1087" s="43">
        <f>(LayTable[[#This Row],[BackWin-Commission]]+LayTable[[#This Row],[BookieInnsats]])</f>
        <v>0</v>
      </c>
      <c r="AD1087" s="43" t="e">
        <f>(LayTable[[#This Row],[LayWin-Commission]])+LayTable[[#This Row],[LayLiability]]</f>
        <v>#VALUE!</v>
      </c>
      <c r="AE1087" s="43"/>
      <c r="AF1087" s="181"/>
    </row>
    <row r="1088" spans="1:32">
      <c r="A1088" s="84"/>
      <c r="B1088" s="39"/>
      <c r="C1088" s="40"/>
      <c r="D1088" s="41"/>
      <c r="E1088" s="40"/>
      <c r="F1088" s="41"/>
      <c r="G1088" s="101"/>
      <c r="H1088" s="38"/>
      <c r="I1088" s="42"/>
      <c r="J1088" s="42"/>
      <c r="K1088" s="43"/>
      <c r="L1088" s="43"/>
      <c r="M1088" s="44" t="str">
        <f>IF(LayTable[[#This Row],[Sport]]="","",LayTable[[#This Row],[LayInnsats]]*(LayTable[[#This Row],[LayOdds]]-1))</f>
        <v/>
      </c>
      <c r="N1088" s="45" t="str">
        <f>IF(LayTable[[#This Row],[Sport]]="","",1/((1/LayTable[[#This Row],[BookieOdds]])+(1/((1/((1+((LayTable[[#This Row],[LayOdds]]-1)*(1+LayTable[[#This Row],[C% Lay]])))-1))+1)))-1)</f>
        <v/>
      </c>
      <c r="Q1088" s="46" t="str">
        <f>IF(LayTable[[#This Row],[Sport]]="","",LayTable[[#This Row],[BookieInnsats]]+LayTable[[#This Row],[LayLiability]])</f>
        <v/>
      </c>
      <c r="R10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8" s="47" t="str">
        <f>IF(LayTable[[#This Row],[Utfall bookie]]="","",LayTable[[#This Row],[WBABack]]+LayTable[[#This Row],[WBALay]]-LayTable[[#This Row],[Total inns]])</f>
        <v/>
      </c>
      <c r="U10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8" s="48" t="str">
        <f>IFERROR(IF(LayTable[[#This Row],[Total inns]]="","",LayTable[[#This Row],[Rback]]/LayTable[[#This Row],[Total inns]]),"")</f>
        <v/>
      </c>
      <c r="X1088" s="48" t="str">
        <f>IFERROR(IF(LayTable[[#This Row],[Total inns]]="","",LayTable[[#This Row],[Rlay]]/LayTable[[#This Row],[Total inns]]),"")</f>
        <v/>
      </c>
      <c r="Y1088" s="48" t="str">
        <f>IFERROR(LayTable[[#This Row],[Faktisk res]]/LayTable[[#This Row],[Total inns]],"")</f>
        <v/>
      </c>
      <c r="Z1088" s="47">
        <f>(LayTable[[#This Row],[BookieInnsats]]*LayTable[[#This Row],[BookieOdds]]-LayTable[[#This Row],[BookieInnsats]])*(1-LayTable[[#This Row],[C% Bookie]])</f>
        <v>0</v>
      </c>
      <c r="AA1088" s="43">
        <f>LayTable[[#This Row],[LayInnsats]]*(1-LayTable[[#This Row],[C% Lay]])</f>
        <v>0</v>
      </c>
      <c r="AB1088" s="43" t="str">
        <f>IFERROR(IF(LayTable[[#This Row],[Sport]]="",AB1087,LayTable[[#This Row],[Faktisk res]]+AB1087),"")</f>
        <v/>
      </c>
      <c r="AC1088" s="43">
        <f>(LayTable[[#This Row],[BackWin-Commission]]+LayTable[[#This Row],[BookieInnsats]])</f>
        <v>0</v>
      </c>
      <c r="AD1088" s="43" t="e">
        <f>(LayTable[[#This Row],[LayWin-Commission]])+LayTable[[#This Row],[LayLiability]]</f>
        <v>#VALUE!</v>
      </c>
      <c r="AE1088" s="43"/>
      <c r="AF1088" s="181"/>
    </row>
    <row r="1089" spans="1:32">
      <c r="A1089" s="84"/>
      <c r="B1089" s="39"/>
      <c r="C1089" s="40"/>
      <c r="D1089" s="41"/>
      <c r="E1089" s="40"/>
      <c r="F1089" s="41"/>
      <c r="G1089" s="101"/>
      <c r="H1089" s="38"/>
      <c r="I1089" s="42"/>
      <c r="J1089" s="42"/>
      <c r="K1089" s="43"/>
      <c r="L1089" s="43"/>
      <c r="M1089" s="44" t="str">
        <f>IF(LayTable[[#This Row],[Sport]]="","",LayTable[[#This Row],[LayInnsats]]*(LayTable[[#This Row],[LayOdds]]-1))</f>
        <v/>
      </c>
      <c r="N1089" s="45" t="str">
        <f>IF(LayTable[[#This Row],[Sport]]="","",1/((1/LayTable[[#This Row],[BookieOdds]])+(1/((1/((1+((LayTable[[#This Row],[LayOdds]]-1)*(1+LayTable[[#This Row],[C% Lay]])))-1))+1)))-1)</f>
        <v/>
      </c>
      <c r="Q1089" s="46" t="str">
        <f>IF(LayTable[[#This Row],[Sport]]="","",LayTable[[#This Row],[BookieInnsats]]+LayTable[[#This Row],[LayLiability]])</f>
        <v/>
      </c>
      <c r="R10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89" s="47" t="str">
        <f>IF(LayTable[[#This Row],[Utfall bookie]]="","",LayTable[[#This Row],[WBABack]]+LayTable[[#This Row],[WBALay]]-LayTable[[#This Row],[Total inns]])</f>
        <v/>
      </c>
      <c r="U10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89" s="48" t="str">
        <f>IFERROR(IF(LayTable[[#This Row],[Total inns]]="","",LayTable[[#This Row],[Rback]]/LayTable[[#This Row],[Total inns]]),"")</f>
        <v/>
      </c>
      <c r="X1089" s="48" t="str">
        <f>IFERROR(IF(LayTable[[#This Row],[Total inns]]="","",LayTable[[#This Row],[Rlay]]/LayTable[[#This Row],[Total inns]]),"")</f>
        <v/>
      </c>
      <c r="Y1089" s="48" t="str">
        <f>IFERROR(LayTable[[#This Row],[Faktisk res]]/LayTable[[#This Row],[Total inns]],"")</f>
        <v/>
      </c>
      <c r="Z1089" s="47">
        <f>(LayTable[[#This Row],[BookieInnsats]]*LayTable[[#This Row],[BookieOdds]]-LayTable[[#This Row],[BookieInnsats]])*(1-LayTable[[#This Row],[C% Bookie]])</f>
        <v>0</v>
      </c>
      <c r="AA1089" s="43">
        <f>LayTable[[#This Row],[LayInnsats]]*(1-LayTable[[#This Row],[C% Lay]])</f>
        <v>0</v>
      </c>
      <c r="AB1089" s="43" t="str">
        <f>IFERROR(IF(LayTable[[#This Row],[Sport]]="",AB1088,LayTable[[#This Row],[Faktisk res]]+AB1088),"")</f>
        <v/>
      </c>
      <c r="AC1089" s="43">
        <f>(LayTable[[#This Row],[BackWin-Commission]]+LayTable[[#This Row],[BookieInnsats]])</f>
        <v>0</v>
      </c>
      <c r="AD1089" s="43" t="e">
        <f>(LayTable[[#This Row],[LayWin-Commission]])+LayTable[[#This Row],[LayLiability]]</f>
        <v>#VALUE!</v>
      </c>
      <c r="AE1089" s="43"/>
      <c r="AF1089" s="181"/>
    </row>
    <row r="1090" spans="1:32">
      <c r="A1090" s="84"/>
      <c r="B1090" s="39"/>
      <c r="C1090" s="40"/>
      <c r="D1090" s="41"/>
      <c r="E1090" s="40"/>
      <c r="F1090" s="41"/>
      <c r="G1090" s="101"/>
      <c r="H1090" s="38"/>
      <c r="I1090" s="42"/>
      <c r="J1090" s="42"/>
      <c r="K1090" s="43"/>
      <c r="L1090" s="43"/>
      <c r="M1090" s="44" t="str">
        <f>IF(LayTable[[#This Row],[Sport]]="","",LayTable[[#This Row],[LayInnsats]]*(LayTable[[#This Row],[LayOdds]]-1))</f>
        <v/>
      </c>
      <c r="N1090" s="45" t="str">
        <f>IF(LayTable[[#This Row],[Sport]]="","",1/((1/LayTable[[#This Row],[BookieOdds]])+(1/((1/((1+((LayTable[[#This Row],[LayOdds]]-1)*(1+LayTable[[#This Row],[C% Lay]])))-1))+1)))-1)</f>
        <v/>
      </c>
      <c r="Q1090" s="46" t="str">
        <f>IF(LayTable[[#This Row],[Sport]]="","",LayTable[[#This Row],[BookieInnsats]]+LayTable[[#This Row],[LayLiability]])</f>
        <v/>
      </c>
      <c r="R10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0" s="47" t="str">
        <f>IF(LayTable[[#This Row],[Utfall bookie]]="","",LayTable[[#This Row],[WBABack]]+LayTable[[#This Row],[WBALay]]-LayTable[[#This Row],[Total inns]])</f>
        <v/>
      </c>
      <c r="U10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0" s="48" t="str">
        <f>IFERROR(IF(LayTable[[#This Row],[Total inns]]="","",LayTable[[#This Row],[Rback]]/LayTable[[#This Row],[Total inns]]),"")</f>
        <v/>
      </c>
      <c r="X1090" s="48" t="str">
        <f>IFERROR(IF(LayTable[[#This Row],[Total inns]]="","",LayTable[[#This Row],[Rlay]]/LayTable[[#This Row],[Total inns]]),"")</f>
        <v/>
      </c>
      <c r="Y1090" s="48" t="str">
        <f>IFERROR(LayTable[[#This Row],[Faktisk res]]/LayTable[[#This Row],[Total inns]],"")</f>
        <v/>
      </c>
      <c r="Z1090" s="47">
        <f>(LayTable[[#This Row],[BookieInnsats]]*LayTable[[#This Row],[BookieOdds]]-LayTable[[#This Row],[BookieInnsats]])*(1-LayTable[[#This Row],[C% Bookie]])</f>
        <v>0</v>
      </c>
      <c r="AA1090" s="43">
        <f>LayTable[[#This Row],[LayInnsats]]*(1-LayTable[[#This Row],[C% Lay]])</f>
        <v>0</v>
      </c>
      <c r="AB1090" s="43" t="str">
        <f>IFERROR(IF(LayTable[[#This Row],[Sport]]="",AB1089,LayTable[[#This Row],[Faktisk res]]+AB1089),"")</f>
        <v/>
      </c>
      <c r="AC1090" s="43">
        <f>(LayTable[[#This Row],[BackWin-Commission]]+LayTable[[#This Row],[BookieInnsats]])</f>
        <v>0</v>
      </c>
      <c r="AD1090" s="43" t="e">
        <f>(LayTable[[#This Row],[LayWin-Commission]])+LayTable[[#This Row],[LayLiability]]</f>
        <v>#VALUE!</v>
      </c>
      <c r="AE1090" s="43"/>
      <c r="AF1090" s="181"/>
    </row>
    <row r="1091" spans="1:32">
      <c r="A1091" s="84"/>
      <c r="B1091" s="39"/>
      <c r="C1091" s="40"/>
      <c r="D1091" s="41"/>
      <c r="E1091" s="40"/>
      <c r="F1091" s="41"/>
      <c r="G1091" s="101"/>
      <c r="H1091" s="38"/>
      <c r="I1091" s="42"/>
      <c r="J1091" s="42"/>
      <c r="K1091" s="43"/>
      <c r="L1091" s="43"/>
      <c r="M1091" s="44" t="str">
        <f>IF(LayTable[[#This Row],[Sport]]="","",LayTable[[#This Row],[LayInnsats]]*(LayTable[[#This Row],[LayOdds]]-1))</f>
        <v/>
      </c>
      <c r="N1091" s="45" t="str">
        <f>IF(LayTable[[#This Row],[Sport]]="","",1/((1/LayTable[[#This Row],[BookieOdds]])+(1/((1/((1+((LayTable[[#This Row],[LayOdds]]-1)*(1+LayTable[[#This Row],[C% Lay]])))-1))+1)))-1)</f>
        <v/>
      </c>
      <c r="Q1091" s="46" t="str">
        <f>IF(LayTable[[#This Row],[Sport]]="","",LayTable[[#This Row],[BookieInnsats]]+LayTable[[#This Row],[LayLiability]])</f>
        <v/>
      </c>
      <c r="R10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1" s="47" t="str">
        <f>IF(LayTable[[#This Row],[Utfall bookie]]="","",LayTable[[#This Row],[WBABack]]+LayTable[[#This Row],[WBALay]]-LayTable[[#This Row],[Total inns]])</f>
        <v/>
      </c>
      <c r="U10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1" s="48" t="str">
        <f>IFERROR(IF(LayTable[[#This Row],[Total inns]]="","",LayTable[[#This Row],[Rback]]/LayTable[[#This Row],[Total inns]]),"")</f>
        <v/>
      </c>
      <c r="X1091" s="48" t="str">
        <f>IFERROR(IF(LayTable[[#This Row],[Total inns]]="","",LayTable[[#This Row],[Rlay]]/LayTable[[#This Row],[Total inns]]),"")</f>
        <v/>
      </c>
      <c r="Y1091" s="48" t="str">
        <f>IFERROR(LayTable[[#This Row],[Faktisk res]]/LayTable[[#This Row],[Total inns]],"")</f>
        <v/>
      </c>
      <c r="Z1091" s="47">
        <f>(LayTable[[#This Row],[BookieInnsats]]*LayTable[[#This Row],[BookieOdds]]-LayTable[[#This Row],[BookieInnsats]])*(1-LayTable[[#This Row],[C% Bookie]])</f>
        <v>0</v>
      </c>
      <c r="AA1091" s="43">
        <f>LayTable[[#This Row],[LayInnsats]]*(1-LayTable[[#This Row],[C% Lay]])</f>
        <v>0</v>
      </c>
      <c r="AB1091" s="43" t="str">
        <f>IFERROR(IF(LayTable[[#This Row],[Sport]]="",AB1090,LayTable[[#This Row],[Faktisk res]]+AB1090),"")</f>
        <v/>
      </c>
      <c r="AC1091" s="43">
        <f>(LayTable[[#This Row],[BackWin-Commission]]+LayTable[[#This Row],[BookieInnsats]])</f>
        <v>0</v>
      </c>
      <c r="AD1091" s="43" t="e">
        <f>(LayTable[[#This Row],[LayWin-Commission]])+LayTable[[#This Row],[LayLiability]]</f>
        <v>#VALUE!</v>
      </c>
      <c r="AE1091" s="43"/>
      <c r="AF1091" s="181"/>
    </row>
    <row r="1092" spans="1:32">
      <c r="A1092" s="84"/>
      <c r="B1092" s="39"/>
      <c r="C1092" s="40"/>
      <c r="D1092" s="41"/>
      <c r="E1092" s="40"/>
      <c r="F1092" s="41"/>
      <c r="G1092" s="101"/>
      <c r="H1092" s="38"/>
      <c r="I1092" s="42"/>
      <c r="J1092" s="42"/>
      <c r="K1092" s="43"/>
      <c r="L1092" s="43"/>
      <c r="M1092" s="44" t="str">
        <f>IF(LayTable[[#This Row],[Sport]]="","",LayTable[[#This Row],[LayInnsats]]*(LayTable[[#This Row],[LayOdds]]-1))</f>
        <v/>
      </c>
      <c r="N1092" s="45" t="str">
        <f>IF(LayTable[[#This Row],[Sport]]="","",1/((1/LayTable[[#This Row],[BookieOdds]])+(1/((1/((1+((LayTable[[#This Row],[LayOdds]]-1)*(1+LayTable[[#This Row],[C% Lay]])))-1))+1)))-1)</f>
        <v/>
      </c>
      <c r="Q1092" s="46" t="str">
        <f>IF(LayTable[[#This Row],[Sport]]="","",LayTable[[#This Row],[BookieInnsats]]+LayTable[[#This Row],[LayLiability]])</f>
        <v/>
      </c>
      <c r="R10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2" s="47" t="str">
        <f>IF(LayTable[[#This Row],[Utfall bookie]]="","",LayTable[[#This Row],[WBABack]]+LayTable[[#This Row],[WBALay]]-LayTable[[#This Row],[Total inns]])</f>
        <v/>
      </c>
      <c r="U10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2" s="48" t="str">
        <f>IFERROR(IF(LayTable[[#This Row],[Total inns]]="","",LayTable[[#This Row],[Rback]]/LayTable[[#This Row],[Total inns]]),"")</f>
        <v/>
      </c>
      <c r="X1092" s="48" t="str">
        <f>IFERROR(IF(LayTable[[#This Row],[Total inns]]="","",LayTable[[#This Row],[Rlay]]/LayTable[[#This Row],[Total inns]]),"")</f>
        <v/>
      </c>
      <c r="Y1092" s="48" t="str">
        <f>IFERROR(LayTable[[#This Row],[Faktisk res]]/LayTable[[#This Row],[Total inns]],"")</f>
        <v/>
      </c>
      <c r="Z1092" s="47">
        <f>(LayTable[[#This Row],[BookieInnsats]]*LayTable[[#This Row],[BookieOdds]]-LayTable[[#This Row],[BookieInnsats]])*(1-LayTable[[#This Row],[C% Bookie]])</f>
        <v>0</v>
      </c>
      <c r="AA1092" s="43">
        <f>LayTable[[#This Row],[LayInnsats]]*(1-LayTable[[#This Row],[C% Lay]])</f>
        <v>0</v>
      </c>
      <c r="AB1092" s="43" t="str">
        <f>IFERROR(IF(LayTable[[#This Row],[Sport]]="",AB1091,LayTable[[#This Row],[Faktisk res]]+AB1091),"")</f>
        <v/>
      </c>
      <c r="AC1092" s="43">
        <f>(LayTable[[#This Row],[BackWin-Commission]]+LayTable[[#This Row],[BookieInnsats]])</f>
        <v>0</v>
      </c>
      <c r="AD1092" s="43" t="e">
        <f>(LayTable[[#This Row],[LayWin-Commission]])+LayTable[[#This Row],[LayLiability]]</f>
        <v>#VALUE!</v>
      </c>
      <c r="AE1092" s="43"/>
      <c r="AF1092" s="181"/>
    </row>
    <row r="1093" spans="1:32">
      <c r="A1093" s="84"/>
      <c r="B1093" s="39"/>
      <c r="C1093" s="40"/>
      <c r="D1093" s="41"/>
      <c r="E1093" s="40"/>
      <c r="F1093" s="41"/>
      <c r="G1093" s="101"/>
      <c r="H1093" s="38"/>
      <c r="I1093" s="42"/>
      <c r="J1093" s="42"/>
      <c r="K1093" s="43"/>
      <c r="L1093" s="43"/>
      <c r="M1093" s="44" t="str">
        <f>IF(LayTable[[#This Row],[Sport]]="","",LayTable[[#This Row],[LayInnsats]]*(LayTable[[#This Row],[LayOdds]]-1))</f>
        <v/>
      </c>
      <c r="N1093" s="45" t="str">
        <f>IF(LayTable[[#This Row],[Sport]]="","",1/((1/LayTable[[#This Row],[BookieOdds]])+(1/((1/((1+((LayTable[[#This Row],[LayOdds]]-1)*(1+LayTable[[#This Row],[C% Lay]])))-1))+1)))-1)</f>
        <v/>
      </c>
      <c r="Q1093" s="46" t="str">
        <f>IF(LayTable[[#This Row],[Sport]]="","",LayTable[[#This Row],[BookieInnsats]]+LayTable[[#This Row],[LayLiability]])</f>
        <v/>
      </c>
      <c r="R10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3" s="47" t="str">
        <f>IF(LayTable[[#This Row],[Utfall bookie]]="","",LayTable[[#This Row],[WBABack]]+LayTable[[#This Row],[WBALay]]-LayTable[[#This Row],[Total inns]])</f>
        <v/>
      </c>
      <c r="U10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3" s="48" t="str">
        <f>IFERROR(IF(LayTable[[#This Row],[Total inns]]="","",LayTable[[#This Row],[Rback]]/LayTable[[#This Row],[Total inns]]),"")</f>
        <v/>
      </c>
      <c r="X1093" s="48" t="str">
        <f>IFERROR(IF(LayTable[[#This Row],[Total inns]]="","",LayTable[[#This Row],[Rlay]]/LayTable[[#This Row],[Total inns]]),"")</f>
        <v/>
      </c>
      <c r="Y1093" s="48" t="str">
        <f>IFERROR(LayTable[[#This Row],[Faktisk res]]/LayTable[[#This Row],[Total inns]],"")</f>
        <v/>
      </c>
      <c r="Z1093" s="47">
        <f>(LayTable[[#This Row],[BookieInnsats]]*LayTable[[#This Row],[BookieOdds]]-LayTable[[#This Row],[BookieInnsats]])*(1-LayTable[[#This Row],[C% Bookie]])</f>
        <v>0</v>
      </c>
      <c r="AA1093" s="43">
        <f>LayTable[[#This Row],[LayInnsats]]*(1-LayTable[[#This Row],[C% Lay]])</f>
        <v>0</v>
      </c>
      <c r="AB1093" s="43" t="str">
        <f>IFERROR(IF(LayTable[[#This Row],[Sport]]="",AB1092,LayTable[[#This Row],[Faktisk res]]+AB1092),"")</f>
        <v/>
      </c>
      <c r="AC1093" s="43">
        <f>(LayTable[[#This Row],[BackWin-Commission]]+LayTable[[#This Row],[BookieInnsats]])</f>
        <v>0</v>
      </c>
      <c r="AD1093" s="43" t="e">
        <f>(LayTable[[#This Row],[LayWin-Commission]])+LayTable[[#This Row],[LayLiability]]</f>
        <v>#VALUE!</v>
      </c>
      <c r="AE1093" s="43"/>
      <c r="AF1093" s="181"/>
    </row>
    <row r="1094" spans="1:32">
      <c r="A1094" s="84"/>
      <c r="B1094" s="39"/>
      <c r="C1094" s="40"/>
      <c r="D1094" s="41"/>
      <c r="E1094" s="40"/>
      <c r="F1094" s="41"/>
      <c r="G1094" s="101"/>
      <c r="H1094" s="38"/>
      <c r="I1094" s="42"/>
      <c r="J1094" s="42"/>
      <c r="K1094" s="43"/>
      <c r="L1094" s="43"/>
      <c r="M1094" s="44" t="str">
        <f>IF(LayTable[[#This Row],[Sport]]="","",LayTable[[#This Row],[LayInnsats]]*(LayTable[[#This Row],[LayOdds]]-1))</f>
        <v/>
      </c>
      <c r="N1094" s="45" t="str">
        <f>IF(LayTable[[#This Row],[Sport]]="","",1/((1/LayTable[[#This Row],[BookieOdds]])+(1/((1/((1+((LayTable[[#This Row],[LayOdds]]-1)*(1+LayTable[[#This Row],[C% Lay]])))-1))+1)))-1)</f>
        <v/>
      </c>
      <c r="Q1094" s="46" t="str">
        <f>IF(LayTable[[#This Row],[Sport]]="","",LayTable[[#This Row],[BookieInnsats]]+LayTable[[#This Row],[LayLiability]])</f>
        <v/>
      </c>
      <c r="R10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4" s="47" t="str">
        <f>IF(LayTable[[#This Row],[Utfall bookie]]="","",LayTable[[#This Row],[WBABack]]+LayTable[[#This Row],[WBALay]]-LayTable[[#This Row],[Total inns]])</f>
        <v/>
      </c>
      <c r="U10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4" s="48" t="str">
        <f>IFERROR(IF(LayTable[[#This Row],[Total inns]]="","",LayTable[[#This Row],[Rback]]/LayTable[[#This Row],[Total inns]]),"")</f>
        <v/>
      </c>
      <c r="X1094" s="48" t="str">
        <f>IFERROR(IF(LayTable[[#This Row],[Total inns]]="","",LayTable[[#This Row],[Rlay]]/LayTable[[#This Row],[Total inns]]),"")</f>
        <v/>
      </c>
      <c r="Y1094" s="48" t="str">
        <f>IFERROR(LayTable[[#This Row],[Faktisk res]]/LayTable[[#This Row],[Total inns]],"")</f>
        <v/>
      </c>
      <c r="Z1094" s="47">
        <f>(LayTable[[#This Row],[BookieInnsats]]*LayTable[[#This Row],[BookieOdds]]-LayTable[[#This Row],[BookieInnsats]])*(1-LayTable[[#This Row],[C% Bookie]])</f>
        <v>0</v>
      </c>
      <c r="AA1094" s="43">
        <f>LayTable[[#This Row],[LayInnsats]]*(1-LayTable[[#This Row],[C% Lay]])</f>
        <v>0</v>
      </c>
      <c r="AB1094" s="43" t="str">
        <f>IFERROR(IF(LayTable[[#This Row],[Sport]]="",AB1093,LayTable[[#This Row],[Faktisk res]]+AB1093),"")</f>
        <v/>
      </c>
      <c r="AC1094" s="43">
        <f>(LayTable[[#This Row],[BackWin-Commission]]+LayTable[[#This Row],[BookieInnsats]])</f>
        <v>0</v>
      </c>
      <c r="AD1094" s="43" t="e">
        <f>(LayTable[[#This Row],[LayWin-Commission]])+LayTable[[#This Row],[LayLiability]]</f>
        <v>#VALUE!</v>
      </c>
      <c r="AE1094" s="43"/>
      <c r="AF1094" s="181"/>
    </row>
    <row r="1095" spans="1:32">
      <c r="A1095" s="84"/>
      <c r="B1095" s="39"/>
      <c r="C1095" s="40"/>
      <c r="D1095" s="41"/>
      <c r="E1095" s="40"/>
      <c r="F1095" s="41"/>
      <c r="G1095" s="101"/>
      <c r="H1095" s="38"/>
      <c r="I1095" s="42"/>
      <c r="J1095" s="42"/>
      <c r="K1095" s="43"/>
      <c r="L1095" s="43"/>
      <c r="M1095" s="44" t="str">
        <f>IF(LayTable[[#This Row],[Sport]]="","",LayTable[[#This Row],[LayInnsats]]*(LayTable[[#This Row],[LayOdds]]-1))</f>
        <v/>
      </c>
      <c r="N1095" s="45" t="str">
        <f>IF(LayTable[[#This Row],[Sport]]="","",1/((1/LayTable[[#This Row],[BookieOdds]])+(1/((1/((1+((LayTable[[#This Row],[LayOdds]]-1)*(1+LayTable[[#This Row],[C% Lay]])))-1))+1)))-1)</f>
        <v/>
      </c>
      <c r="Q1095" s="46" t="str">
        <f>IF(LayTable[[#This Row],[Sport]]="","",LayTable[[#This Row],[BookieInnsats]]+LayTable[[#This Row],[LayLiability]])</f>
        <v/>
      </c>
      <c r="R10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5" s="47" t="str">
        <f>IF(LayTable[[#This Row],[Utfall bookie]]="","",LayTable[[#This Row],[WBABack]]+LayTable[[#This Row],[WBALay]]-LayTable[[#This Row],[Total inns]])</f>
        <v/>
      </c>
      <c r="U10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5" s="48" t="str">
        <f>IFERROR(IF(LayTable[[#This Row],[Total inns]]="","",LayTable[[#This Row],[Rback]]/LayTable[[#This Row],[Total inns]]),"")</f>
        <v/>
      </c>
      <c r="X1095" s="48" t="str">
        <f>IFERROR(IF(LayTable[[#This Row],[Total inns]]="","",LayTable[[#This Row],[Rlay]]/LayTable[[#This Row],[Total inns]]),"")</f>
        <v/>
      </c>
      <c r="Y1095" s="48" t="str">
        <f>IFERROR(LayTable[[#This Row],[Faktisk res]]/LayTable[[#This Row],[Total inns]],"")</f>
        <v/>
      </c>
      <c r="Z1095" s="47">
        <f>(LayTable[[#This Row],[BookieInnsats]]*LayTable[[#This Row],[BookieOdds]]-LayTable[[#This Row],[BookieInnsats]])*(1-LayTable[[#This Row],[C% Bookie]])</f>
        <v>0</v>
      </c>
      <c r="AA1095" s="43">
        <f>LayTable[[#This Row],[LayInnsats]]*(1-LayTable[[#This Row],[C% Lay]])</f>
        <v>0</v>
      </c>
      <c r="AB1095" s="43" t="str">
        <f>IFERROR(IF(LayTable[[#This Row],[Sport]]="",AB1094,LayTable[[#This Row],[Faktisk res]]+AB1094),"")</f>
        <v/>
      </c>
      <c r="AC1095" s="43">
        <f>(LayTable[[#This Row],[BackWin-Commission]]+LayTable[[#This Row],[BookieInnsats]])</f>
        <v>0</v>
      </c>
      <c r="AD1095" s="43" t="e">
        <f>(LayTable[[#This Row],[LayWin-Commission]])+LayTable[[#This Row],[LayLiability]]</f>
        <v>#VALUE!</v>
      </c>
      <c r="AE1095" s="43"/>
      <c r="AF1095" s="181"/>
    </row>
    <row r="1096" spans="1:32">
      <c r="A1096" s="84"/>
      <c r="B1096" s="39"/>
      <c r="C1096" s="40"/>
      <c r="D1096" s="41"/>
      <c r="E1096" s="40"/>
      <c r="F1096" s="41"/>
      <c r="G1096" s="101"/>
      <c r="H1096" s="38"/>
      <c r="I1096" s="42"/>
      <c r="J1096" s="42"/>
      <c r="K1096" s="43"/>
      <c r="L1096" s="43"/>
      <c r="M1096" s="44" t="str">
        <f>IF(LayTable[[#This Row],[Sport]]="","",LayTable[[#This Row],[LayInnsats]]*(LayTable[[#This Row],[LayOdds]]-1))</f>
        <v/>
      </c>
      <c r="N1096" s="45" t="str">
        <f>IF(LayTable[[#This Row],[Sport]]="","",1/((1/LayTable[[#This Row],[BookieOdds]])+(1/((1/((1+((LayTable[[#This Row],[LayOdds]]-1)*(1+LayTable[[#This Row],[C% Lay]])))-1))+1)))-1)</f>
        <v/>
      </c>
      <c r="Q1096" s="46" t="str">
        <f>IF(LayTable[[#This Row],[Sport]]="","",LayTable[[#This Row],[BookieInnsats]]+LayTable[[#This Row],[LayLiability]])</f>
        <v/>
      </c>
      <c r="R10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6" s="47" t="str">
        <f>IF(LayTable[[#This Row],[Utfall bookie]]="","",LayTable[[#This Row],[WBABack]]+LayTable[[#This Row],[WBALay]]-LayTable[[#This Row],[Total inns]])</f>
        <v/>
      </c>
      <c r="U10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6" s="48" t="str">
        <f>IFERROR(IF(LayTable[[#This Row],[Total inns]]="","",LayTable[[#This Row],[Rback]]/LayTable[[#This Row],[Total inns]]),"")</f>
        <v/>
      </c>
      <c r="X1096" s="48" t="str">
        <f>IFERROR(IF(LayTable[[#This Row],[Total inns]]="","",LayTable[[#This Row],[Rlay]]/LayTable[[#This Row],[Total inns]]),"")</f>
        <v/>
      </c>
      <c r="Y1096" s="48" t="str">
        <f>IFERROR(LayTable[[#This Row],[Faktisk res]]/LayTable[[#This Row],[Total inns]],"")</f>
        <v/>
      </c>
      <c r="Z1096" s="47">
        <f>(LayTable[[#This Row],[BookieInnsats]]*LayTable[[#This Row],[BookieOdds]]-LayTable[[#This Row],[BookieInnsats]])*(1-LayTable[[#This Row],[C% Bookie]])</f>
        <v>0</v>
      </c>
      <c r="AA1096" s="43">
        <f>LayTable[[#This Row],[LayInnsats]]*(1-LayTable[[#This Row],[C% Lay]])</f>
        <v>0</v>
      </c>
      <c r="AB1096" s="43" t="str">
        <f>IFERROR(IF(LayTable[[#This Row],[Sport]]="",AB1095,LayTable[[#This Row],[Faktisk res]]+AB1095),"")</f>
        <v/>
      </c>
      <c r="AC1096" s="43">
        <f>(LayTable[[#This Row],[BackWin-Commission]]+LayTable[[#This Row],[BookieInnsats]])</f>
        <v>0</v>
      </c>
      <c r="AD1096" s="43" t="e">
        <f>(LayTable[[#This Row],[LayWin-Commission]])+LayTable[[#This Row],[LayLiability]]</f>
        <v>#VALUE!</v>
      </c>
      <c r="AE1096" s="43"/>
      <c r="AF1096" s="181"/>
    </row>
    <row r="1097" spans="1:32">
      <c r="A1097" s="84"/>
      <c r="B1097" s="39"/>
      <c r="C1097" s="40"/>
      <c r="D1097" s="41"/>
      <c r="E1097" s="40"/>
      <c r="F1097" s="41"/>
      <c r="G1097" s="101"/>
      <c r="H1097" s="38"/>
      <c r="I1097" s="42"/>
      <c r="J1097" s="42"/>
      <c r="K1097" s="43"/>
      <c r="L1097" s="43"/>
      <c r="M1097" s="44" t="str">
        <f>IF(LayTable[[#This Row],[Sport]]="","",LayTable[[#This Row],[LayInnsats]]*(LayTable[[#This Row],[LayOdds]]-1))</f>
        <v/>
      </c>
      <c r="N1097" s="45" t="str">
        <f>IF(LayTable[[#This Row],[Sport]]="","",1/((1/LayTable[[#This Row],[BookieOdds]])+(1/((1/((1+((LayTable[[#This Row],[LayOdds]]-1)*(1+LayTable[[#This Row],[C% Lay]])))-1))+1)))-1)</f>
        <v/>
      </c>
      <c r="Q1097" s="46" t="str">
        <f>IF(LayTable[[#This Row],[Sport]]="","",LayTable[[#This Row],[BookieInnsats]]+LayTable[[#This Row],[LayLiability]])</f>
        <v/>
      </c>
      <c r="R10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7" s="47" t="str">
        <f>IF(LayTable[[#This Row],[Utfall bookie]]="","",LayTable[[#This Row],[WBABack]]+LayTable[[#This Row],[WBALay]]-LayTable[[#This Row],[Total inns]])</f>
        <v/>
      </c>
      <c r="U10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7" s="48" t="str">
        <f>IFERROR(IF(LayTable[[#This Row],[Total inns]]="","",LayTable[[#This Row],[Rback]]/LayTable[[#This Row],[Total inns]]),"")</f>
        <v/>
      </c>
      <c r="X1097" s="48" t="str">
        <f>IFERROR(IF(LayTable[[#This Row],[Total inns]]="","",LayTable[[#This Row],[Rlay]]/LayTable[[#This Row],[Total inns]]),"")</f>
        <v/>
      </c>
      <c r="Y1097" s="48" t="str">
        <f>IFERROR(LayTable[[#This Row],[Faktisk res]]/LayTable[[#This Row],[Total inns]],"")</f>
        <v/>
      </c>
      <c r="Z1097" s="47">
        <f>(LayTable[[#This Row],[BookieInnsats]]*LayTable[[#This Row],[BookieOdds]]-LayTable[[#This Row],[BookieInnsats]])*(1-LayTable[[#This Row],[C% Bookie]])</f>
        <v>0</v>
      </c>
      <c r="AA1097" s="43">
        <f>LayTable[[#This Row],[LayInnsats]]*(1-LayTable[[#This Row],[C% Lay]])</f>
        <v>0</v>
      </c>
      <c r="AB1097" s="43" t="str">
        <f>IFERROR(IF(LayTable[[#This Row],[Sport]]="",AB1096,LayTable[[#This Row],[Faktisk res]]+AB1096),"")</f>
        <v/>
      </c>
      <c r="AC1097" s="43">
        <f>(LayTable[[#This Row],[BackWin-Commission]]+LayTable[[#This Row],[BookieInnsats]])</f>
        <v>0</v>
      </c>
      <c r="AD1097" s="43" t="e">
        <f>(LayTable[[#This Row],[LayWin-Commission]])+LayTable[[#This Row],[LayLiability]]</f>
        <v>#VALUE!</v>
      </c>
      <c r="AE1097" s="43"/>
      <c r="AF1097" s="181"/>
    </row>
    <row r="1098" spans="1:32">
      <c r="A1098" s="84"/>
      <c r="B1098" s="39"/>
      <c r="C1098" s="40"/>
      <c r="D1098" s="41"/>
      <c r="E1098" s="40"/>
      <c r="F1098" s="41"/>
      <c r="G1098" s="101"/>
      <c r="H1098" s="38"/>
      <c r="I1098" s="42"/>
      <c r="J1098" s="42"/>
      <c r="K1098" s="43"/>
      <c r="L1098" s="43"/>
      <c r="M1098" s="44" t="str">
        <f>IF(LayTable[[#This Row],[Sport]]="","",LayTable[[#This Row],[LayInnsats]]*(LayTable[[#This Row],[LayOdds]]-1))</f>
        <v/>
      </c>
      <c r="N1098" s="45" t="str">
        <f>IF(LayTable[[#This Row],[Sport]]="","",1/((1/LayTable[[#This Row],[BookieOdds]])+(1/((1/((1+((LayTable[[#This Row],[LayOdds]]-1)*(1+LayTable[[#This Row],[C% Lay]])))-1))+1)))-1)</f>
        <v/>
      </c>
      <c r="Q1098" s="46" t="str">
        <f>IF(LayTable[[#This Row],[Sport]]="","",LayTable[[#This Row],[BookieInnsats]]+LayTable[[#This Row],[LayLiability]])</f>
        <v/>
      </c>
      <c r="R10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8" s="47" t="str">
        <f>IF(LayTable[[#This Row],[Utfall bookie]]="","",LayTable[[#This Row],[WBABack]]+LayTable[[#This Row],[WBALay]]-LayTable[[#This Row],[Total inns]])</f>
        <v/>
      </c>
      <c r="U10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8" s="48" t="str">
        <f>IFERROR(IF(LayTable[[#This Row],[Total inns]]="","",LayTable[[#This Row],[Rback]]/LayTable[[#This Row],[Total inns]]),"")</f>
        <v/>
      </c>
      <c r="X1098" s="48" t="str">
        <f>IFERROR(IF(LayTable[[#This Row],[Total inns]]="","",LayTable[[#This Row],[Rlay]]/LayTable[[#This Row],[Total inns]]),"")</f>
        <v/>
      </c>
      <c r="Y1098" s="48" t="str">
        <f>IFERROR(LayTable[[#This Row],[Faktisk res]]/LayTable[[#This Row],[Total inns]],"")</f>
        <v/>
      </c>
      <c r="Z1098" s="47">
        <f>(LayTable[[#This Row],[BookieInnsats]]*LayTable[[#This Row],[BookieOdds]]-LayTable[[#This Row],[BookieInnsats]])*(1-LayTable[[#This Row],[C% Bookie]])</f>
        <v>0</v>
      </c>
      <c r="AA1098" s="43">
        <f>LayTable[[#This Row],[LayInnsats]]*(1-LayTable[[#This Row],[C% Lay]])</f>
        <v>0</v>
      </c>
      <c r="AB1098" s="43" t="str">
        <f>IFERROR(IF(LayTable[[#This Row],[Sport]]="",AB1097,LayTable[[#This Row],[Faktisk res]]+AB1097),"")</f>
        <v/>
      </c>
      <c r="AC1098" s="43">
        <f>(LayTable[[#This Row],[BackWin-Commission]]+LayTable[[#This Row],[BookieInnsats]])</f>
        <v>0</v>
      </c>
      <c r="AD1098" s="43" t="e">
        <f>(LayTable[[#This Row],[LayWin-Commission]])+LayTable[[#This Row],[LayLiability]]</f>
        <v>#VALUE!</v>
      </c>
      <c r="AE1098" s="43"/>
      <c r="AF1098" s="181"/>
    </row>
    <row r="1099" spans="1:32">
      <c r="A1099" s="84"/>
      <c r="B1099" s="39"/>
      <c r="C1099" s="40"/>
      <c r="D1099" s="41"/>
      <c r="E1099" s="40"/>
      <c r="F1099" s="41"/>
      <c r="G1099" s="101"/>
      <c r="H1099" s="38"/>
      <c r="I1099" s="42"/>
      <c r="J1099" s="42"/>
      <c r="K1099" s="43"/>
      <c r="L1099" s="43"/>
      <c r="M1099" s="44" t="str">
        <f>IF(LayTable[[#This Row],[Sport]]="","",LayTable[[#This Row],[LayInnsats]]*(LayTable[[#This Row],[LayOdds]]-1))</f>
        <v/>
      </c>
      <c r="N1099" s="45" t="str">
        <f>IF(LayTable[[#This Row],[Sport]]="","",1/((1/LayTable[[#This Row],[BookieOdds]])+(1/((1/((1+((LayTable[[#This Row],[LayOdds]]-1)*(1+LayTable[[#This Row],[C% Lay]])))-1))+1)))-1)</f>
        <v/>
      </c>
      <c r="Q1099" s="46" t="str">
        <f>IF(LayTable[[#This Row],[Sport]]="","",LayTable[[#This Row],[BookieInnsats]]+LayTable[[#This Row],[LayLiability]])</f>
        <v/>
      </c>
      <c r="R10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0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099" s="47" t="str">
        <f>IF(LayTable[[#This Row],[Utfall bookie]]="","",LayTable[[#This Row],[WBABack]]+LayTable[[#This Row],[WBALay]]-LayTable[[#This Row],[Total inns]])</f>
        <v/>
      </c>
      <c r="U10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0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099" s="48" t="str">
        <f>IFERROR(IF(LayTable[[#This Row],[Total inns]]="","",LayTable[[#This Row],[Rback]]/LayTable[[#This Row],[Total inns]]),"")</f>
        <v/>
      </c>
      <c r="X1099" s="48" t="str">
        <f>IFERROR(IF(LayTable[[#This Row],[Total inns]]="","",LayTable[[#This Row],[Rlay]]/LayTable[[#This Row],[Total inns]]),"")</f>
        <v/>
      </c>
      <c r="Y1099" s="48" t="str">
        <f>IFERROR(LayTable[[#This Row],[Faktisk res]]/LayTable[[#This Row],[Total inns]],"")</f>
        <v/>
      </c>
      <c r="Z1099" s="47">
        <f>(LayTable[[#This Row],[BookieInnsats]]*LayTable[[#This Row],[BookieOdds]]-LayTable[[#This Row],[BookieInnsats]])*(1-LayTable[[#This Row],[C% Bookie]])</f>
        <v>0</v>
      </c>
      <c r="AA1099" s="43">
        <f>LayTable[[#This Row],[LayInnsats]]*(1-LayTable[[#This Row],[C% Lay]])</f>
        <v>0</v>
      </c>
      <c r="AB1099" s="43" t="str">
        <f>IFERROR(IF(LayTable[[#This Row],[Sport]]="",AB1098,LayTable[[#This Row],[Faktisk res]]+AB1098),"")</f>
        <v/>
      </c>
      <c r="AC1099" s="43">
        <f>(LayTable[[#This Row],[BackWin-Commission]]+LayTable[[#This Row],[BookieInnsats]])</f>
        <v>0</v>
      </c>
      <c r="AD1099" s="43" t="e">
        <f>(LayTable[[#This Row],[LayWin-Commission]])+LayTable[[#This Row],[LayLiability]]</f>
        <v>#VALUE!</v>
      </c>
      <c r="AE1099" s="43"/>
      <c r="AF1099" s="181"/>
    </row>
    <row r="1100" spans="1:32">
      <c r="A1100" s="84"/>
      <c r="B1100" s="39"/>
      <c r="C1100" s="40"/>
      <c r="D1100" s="41"/>
      <c r="E1100" s="40"/>
      <c r="F1100" s="41"/>
      <c r="G1100" s="101"/>
      <c r="H1100" s="38"/>
      <c r="I1100" s="42"/>
      <c r="J1100" s="42"/>
      <c r="K1100" s="43"/>
      <c r="L1100" s="43"/>
      <c r="M1100" s="44" t="str">
        <f>IF(LayTable[[#This Row],[Sport]]="","",LayTable[[#This Row],[LayInnsats]]*(LayTable[[#This Row],[LayOdds]]-1))</f>
        <v/>
      </c>
      <c r="N1100" s="45" t="str">
        <f>IF(LayTable[[#This Row],[Sport]]="","",1/((1/LayTable[[#This Row],[BookieOdds]])+(1/((1/((1+((LayTable[[#This Row],[LayOdds]]-1)*(1+LayTable[[#This Row],[C% Lay]])))-1))+1)))-1)</f>
        <v/>
      </c>
      <c r="Q1100" s="46" t="str">
        <f>IF(LayTable[[#This Row],[Sport]]="","",LayTable[[#This Row],[BookieInnsats]]+LayTable[[#This Row],[LayLiability]])</f>
        <v/>
      </c>
      <c r="R11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0" s="47" t="str">
        <f>IF(LayTable[[#This Row],[Utfall bookie]]="","",LayTable[[#This Row],[WBABack]]+LayTable[[#This Row],[WBALay]]-LayTable[[#This Row],[Total inns]])</f>
        <v/>
      </c>
      <c r="U11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0" s="48" t="str">
        <f>IFERROR(IF(LayTable[[#This Row],[Total inns]]="","",LayTable[[#This Row],[Rback]]/LayTable[[#This Row],[Total inns]]),"")</f>
        <v/>
      </c>
      <c r="X1100" s="48" t="str">
        <f>IFERROR(IF(LayTable[[#This Row],[Total inns]]="","",LayTable[[#This Row],[Rlay]]/LayTable[[#This Row],[Total inns]]),"")</f>
        <v/>
      </c>
      <c r="Y1100" s="48" t="str">
        <f>IFERROR(LayTable[[#This Row],[Faktisk res]]/LayTable[[#This Row],[Total inns]],"")</f>
        <v/>
      </c>
      <c r="Z1100" s="47">
        <f>(LayTable[[#This Row],[BookieInnsats]]*LayTable[[#This Row],[BookieOdds]]-LayTable[[#This Row],[BookieInnsats]])*(1-LayTable[[#This Row],[C% Bookie]])</f>
        <v>0</v>
      </c>
      <c r="AA1100" s="43">
        <f>LayTable[[#This Row],[LayInnsats]]*(1-LayTable[[#This Row],[C% Lay]])</f>
        <v>0</v>
      </c>
      <c r="AB1100" s="43" t="str">
        <f>IFERROR(IF(LayTable[[#This Row],[Sport]]="",AB1099,LayTable[[#This Row],[Faktisk res]]+AB1099),"")</f>
        <v/>
      </c>
      <c r="AC1100" s="43">
        <f>(LayTable[[#This Row],[BackWin-Commission]]+LayTable[[#This Row],[BookieInnsats]])</f>
        <v>0</v>
      </c>
      <c r="AD1100" s="43" t="e">
        <f>(LayTable[[#This Row],[LayWin-Commission]])+LayTable[[#This Row],[LayLiability]]</f>
        <v>#VALUE!</v>
      </c>
      <c r="AE1100" s="43"/>
      <c r="AF1100" s="181"/>
    </row>
    <row r="1101" spans="1:32">
      <c r="A1101" s="84"/>
      <c r="B1101" s="39"/>
      <c r="C1101" s="40"/>
      <c r="D1101" s="41"/>
      <c r="E1101" s="40"/>
      <c r="F1101" s="41"/>
      <c r="G1101" s="101"/>
      <c r="H1101" s="38"/>
      <c r="I1101" s="42"/>
      <c r="J1101" s="42"/>
      <c r="K1101" s="43"/>
      <c r="L1101" s="43"/>
      <c r="M1101" s="44" t="str">
        <f>IF(LayTable[[#This Row],[Sport]]="","",LayTable[[#This Row],[LayInnsats]]*(LayTable[[#This Row],[LayOdds]]-1))</f>
        <v/>
      </c>
      <c r="N1101" s="45" t="str">
        <f>IF(LayTable[[#This Row],[Sport]]="","",1/((1/LayTable[[#This Row],[BookieOdds]])+(1/((1/((1+((LayTable[[#This Row],[LayOdds]]-1)*(1+LayTable[[#This Row],[C% Lay]])))-1))+1)))-1)</f>
        <v/>
      </c>
      <c r="Q1101" s="46" t="str">
        <f>IF(LayTable[[#This Row],[Sport]]="","",LayTable[[#This Row],[BookieInnsats]]+LayTable[[#This Row],[LayLiability]])</f>
        <v/>
      </c>
      <c r="R11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1" s="47" t="str">
        <f>IF(LayTable[[#This Row],[Utfall bookie]]="","",LayTable[[#This Row],[WBABack]]+LayTable[[#This Row],[WBALay]]-LayTable[[#This Row],[Total inns]])</f>
        <v/>
      </c>
      <c r="U11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1" s="48" t="str">
        <f>IFERROR(IF(LayTable[[#This Row],[Total inns]]="","",LayTable[[#This Row],[Rback]]/LayTable[[#This Row],[Total inns]]),"")</f>
        <v/>
      </c>
      <c r="X1101" s="48" t="str">
        <f>IFERROR(IF(LayTable[[#This Row],[Total inns]]="","",LayTable[[#This Row],[Rlay]]/LayTable[[#This Row],[Total inns]]),"")</f>
        <v/>
      </c>
      <c r="Y1101" s="48" t="str">
        <f>IFERROR(LayTable[[#This Row],[Faktisk res]]/LayTable[[#This Row],[Total inns]],"")</f>
        <v/>
      </c>
      <c r="Z1101" s="47">
        <f>(LayTable[[#This Row],[BookieInnsats]]*LayTable[[#This Row],[BookieOdds]]-LayTable[[#This Row],[BookieInnsats]])*(1-LayTable[[#This Row],[C% Bookie]])</f>
        <v>0</v>
      </c>
      <c r="AA1101" s="43">
        <f>LayTable[[#This Row],[LayInnsats]]*(1-LayTable[[#This Row],[C% Lay]])</f>
        <v>0</v>
      </c>
      <c r="AB1101" s="43" t="str">
        <f>IFERROR(IF(LayTable[[#This Row],[Sport]]="",AB1100,LayTable[[#This Row],[Faktisk res]]+AB1100),"")</f>
        <v/>
      </c>
      <c r="AC1101" s="43">
        <f>(LayTable[[#This Row],[BackWin-Commission]]+LayTable[[#This Row],[BookieInnsats]])</f>
        <v>0</v>
      </c>
      <c r="AD1101" s="43" t="e">
        <f>(LayTable[[#This Row],[LayWin-Commission]])+LayTable[[#This Row],[LayLiability]]</f>
        <v>#VALUE!</v>
      </c>
      <c r="AE1101" s="43"/>
      <c r="AF1101" s="181"/>
    </row>
    <row r="1102" spans="1:32">
      <c r="A1102" s="84"/>
      <c r="B1102" s="39"/>
      <c r="C1102" s="40"/>
      <c r="D1102" s="41"/>
      <c r="E1102" s="40"/>
      <c r="F1102" s="41"/>
      <c r="G1102" s="101"/>
      <c r="H1102" s="38"/>
      <c r="I1102" s="42"/>
      <c r="J1102" s="42"/>
      <c r="K1102" s="43"/>
      <c r="L1102" s="43"/>
      <c r="M1102" s="44" t="str">
        <f>IF(LayTable[[#This Row],[Sport]]="","",LayTable[[#This Row],[LayInnsats]]*(LayTable[[#This Row],[LayOdds]]-1))</f>
        <v/>
      </c>
      <c r="N1102" s="45" t="str">
        <f>IF(LayTable[[#This Row],[Sport]]="","",1/((1/LayTable[[#This Row],[BookieOdds]])+(1/((1/((1+((LayTable[[#This Row],[LayOdds]]-1)*(1+LayTable[[#This Row],[C% Lay]])))-1))+1)))-1)</f>
        <v/>
      </c>
      <c r="Q1102" s="46" t="str">
        <f>IF(LayTable[[#This Row],[Sport]]="","",LayTable[[#This Row],[BookieInnsats]]+LayTable[[#This Row],[LayLiability]])</f>
        <v/>
      </c>
      <c r="R11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2" s="47" t="str">
        <f>IF(LayTable[[#This Row],[Utfall bookie]]="","",LayTable[[#This Row],[WBABack]]+LayTable[[#This Row],[WBALay]]-LayTable[[#This Row],[Total inns]])</f>
        <v/>
      </c>
      <c r="U11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2" s="48" t="str">
        <f>IFERROR(IF(LayTable[[#This Row],[Total inns]]="","",LayTable[[#This Row],[Rback]]/LayTable[[#This Row],[Total inns]]),"")</f>
        <v/>
      </c>
      <c r="X1102" s="48" t="str">
        <f>IFERROR(IF(LayTable[[#This Row],[Total inns]]="","",LayTable[[#This Row],[Rlay]]/LayTable[[#This Row],[Total inns]]),"")</f>
        <v/>
      </c>
      <c r="Y1102" s="48" t="str">
        <f>IFERROR(LayTable[[#This Row],[Faktisk res]]/LayTable[[#This Row],[Total inns]],"")</f>
        <v/>
      </c>
      <c r="Z1102" s="47">
        <f>(LayTable[[#This Row],[BookieInnsats]]*LayTable[[#This Row],[BookieOdds]]-LayTable[[#This Row],[BookieInnsats]])*(1-LayTable[[#This Row],[C% Bookie]])</f>
        <v>0</v>
      </c>
      <c r="AA1102" s="43">
        <f>LayTable[[#This Row],[LayInnsats]]*(1-LayTable[[#This Row],[C% Lay]])</f>
        <v>0</v>
      </c>
      <c r="AB1102" s="43" t="str">
        <f>IFERROR(IF(LayTable[[#This Row],[Sport]]="",AB1101,LayTable[[#This Row],[Faktisk res]]+AB1101),"")</f>
        <v/>
      </c>
      <c r="AC1102" s="43">
        <f>(LayTable[[#This Row],[BackWin-Commission]]+LayTable[[#This Row],[BookieInnsats]])</f>
        <v>0</v>
      </c>
      <c r="AD1102" s="43" t="e">
        <f>(LayTable[[#This Row],[LayWin-Commission]])+LayTable[[#This Row],[LayLiability]]</f>
        <v>#VALUE!</v>
      </c>
      <c r="AE1102" s="43"/>
      <c r="AF1102" s="181"/>
    </row>
    <row r="1103" spans="1:32">
      <c r="A1103" s="84"/>
      <c r="B1103" s="39"/>
      <c r="C1103" s="40"/>
      <c r="D1103" s="41"/>
      <c r="E1103" s="40"/>
      <c r="F1103" s="41"/>
      <c r="G1103" s="101"/>
      <c r="H1103" s="38"/>
      <c r="I1103" s="42"/>
      <c r="J1103" s="42"/>
      <c r="K1103" s="43"/>
      <c r="L1103" s="43"/>
      <c r="M1103" s="44" t="str">
        <f>IF(LayTable[[#This Row],[Sport]]="","",LayTable[[#This Row],[LayInnsats]]*(LayTable[[#This Row],[LayOdds]]-1))</f>
        <v/>
      </c>
      <c r="N1103" s="45" t="str">
        <f>IF(LayTable[[#This Row],[Sport]]="","",1/((1/LayTable[[#This Row],[BookieOdds]])+(1/((1/((1+((LayTable[[#This Row],[LayOdds]]-1)*(1+LayTable[[#This Row],[C% Lay]])))-1))+1)))-1)</f>
        <v/>
      </c>
      <c r="Q1103" s="46" t="str">
        <f>IF(LayTable[[#This Row],[Sport]]="","",LayTable[[#This Row],[BookieInnsats]]+LayTable[[#This Row],[LayLiability]])</f>
        <v/>
      </c>
      <c r="R11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3" s="47" t="str">
        <f>IF(LayTable[[#This Row],[Utfall bookie]]="","",LayTable[[#This Row],[WBABack]]+LayTable[[#This Row],[WBALay]]-LayTable[[#This Row],[Total inns]])</f>
        <v/>
      </c>
      <c r="U11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3" s="48" t="str">
        <f>IFERROR(IF(LayTable[[#This Row],[Total inns]]="","",LayTable[[#This Row],[Rback]]/LayTable[[#This Row],[Total inns]]),"")</f>
        <v/>
      </c>
      <c r="X1103" s="48" t="str">
        <f>IFERROR(IF(LayTable[[#This Row],[Total inns]]="","",LayTable[[#This Row],[Rlay]]/LayTable[[#This Row],[Total inns]]),"")</f>
        <v/>
      </c>
      <c r="Y1103" s="48" t="str">
        <f>IFERROR(LayTable[[#This Row],[Faktisk res]]/LayTable[[#This Row],[Total inns]],"")</f>
        <v/>
      </c>
      <c r="Z1103" s="47">
        <f>(LayTable[[#This Row],[BookieInnsats]]*LayTable[[#This Row],[BookieOdds]]-LayTable[[#This Row],[BookieInnsats]])*(1-LayTable[[#This Row],[C% Bookie]])</f>
        <v>0</v>
      </c>
      <c r="AA1103" s="43">
        <f>LayTable[[#This Row],[LayInnsats]]*(1-LayTable[[#This Row],[C% Lay]])</f>
        <v>0</v>
      </c>
      <c r="AB1103" s="43" t="str">
        <f>IFERROR(IF(LayTable[[#This Row],[Sport]]="",AB1102,LayTable[[#This Row],[Faktisk res]]+AB1102),"")</f>
        <v/>
      </c>
      <c r="AC1103" s="43">
        <f>(LayTable[[#This Row],[BackWin-Commission]]+LayTable[[#This Row],[BookieInnsats]])</f>
        <v>0</v>
      </c>
      <c r="AD1103" s="43" t="e">
        <f>(LayTable[[#This Row],[LayWin-Commission]])+LayTable[[#This Row],[LayLiability]]</f>
        <v>#VALUE!</v>
      </c>
      <c r="AE1103" s="43"/>
      <c r="AF1103" s="181"/>
    </row>
    <row r="1104" spans="1:32">
      <c r="A1104" s="84"/>
      <c r="B1104" s="39"/>
      <c r="C1104" s="40"/>
      <c r="D1104" s="41"/>
      <c r="E1104" s="40"/>
      <c r="F1104" s="41"/>
      <c r="G1104" s="101"/>
      <c r="H1104" s="38"/>
      <c r="I1104" s="42"/>
      <c r="J1104" s="42"/>
      <c r="K1104" s="43"/>
      <c r="L1104" s="43"/>
      <c r="M1104" s="44" t="str">
        <f>IF(LayTable[[#This Row],[Sport]]="","",LayTable[[#This Row],[LayInnsats]]*(LayTable[[#This Row],[LayOdds]]-1))</f>
        <v/>
      </c>
      <c r="N1104" s="45" t="str">
        <f>IF(LayTable[[#This Row],[Sport]]="","",1/((1/LayTable[[#This Row],[BookieOdds]])+(1/((1/((1+((LayTable[[#This Row],[LayOdds]]-1)*(1+LayTable[[#This Row],[C% Lay]])))-1))+1)))-1)</f>
        <v/>
      </c>
      <c r="Q1104" s="46" t="str">
        <f>IF(LayTable[[#This Row],[Sport]]="","",LayTable[[#This Row],[BookieInnsats]]+LayTable[[#This Row],[LayLiability]])</f>
        <v/>
      </c>
      <c r="R11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4" s="47" t="str">
        <f>IF(LayTable[[#This Row],[Utfall bookie]]="","",LayTable[[#This Row],[WBABack]]+LayTable[[#This Row],[WBALay]]-LayTable[[#This Row],[Total inns]])</f>
        <v/>
      </c>
      <c r="U11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4" s="48" t="str">
        <f>IFERROR(IF(LayTable[[#This Row],[Total inns]]="","",LayTable[[#This Row],[Rback]]/LayTable[[#This Row],[Total inns]]),"")</f>
        <v/>
      </c>
      <c r="X1104" s="48" t="str">
        <f>IFERROR(IF(LayTable[[#This Row],[Total inns]]="","",LayTable[[#This Row],[Rlay]]/LayTable[[#This Row],[Total inns]]),"")</f>
        <v/>
      </c>
      <c r="Y1104" s="48" t="str">
        <f>IFERROR(LayTable[[#This Row],[Faktisk res]]/LayTable[[#This Row],[Total inns]],"")</f>
        <v/>
      </c>
      <c r="Z1104" s="47">
        <f>(LayTable[[#This Row],[BookieInnsats]]*LayTable[[#This Row],[BookieOdds]]-LayTable[[#This Row],[BookieInnsats]])*(1-LayTable[[#This Row],[C% Bookie]])</f>
        <v>0</v>
      </c>
      <c r="AA1104" s="43">
        <f>LayTable[[#This Row],[LayInnsats]]*(1-LayTable[[#This Row],[C% Lay]])</f>
        <v>0</v>
      </c>
      <c r="AB1104" s="43" t="str">
        <f>IFERROR(IF(LayTable[[#This Row],[Sport]]="",AB1103,LayTable[[#This Row],[Faktisk res]]+AB1103),"")</f>
        <v/>
      </c>
      <c r="AC1104" s="43">
        <f>(LayTable[[#This Row],[BackWin-Commission]]+LayTable[[#This Row],[BookieInnsats]])</f>
        <v>0</v>
      </c>
      <c r="AD1104" s="43" t="e">
        <f>(LayTable[[#This Row],[LayWin-Commission]])+LayTable[[#This Row],[LayLiability]]</f>
        <v>#VALUE!</v>
      </c>
      <c r="AE1104" s="43"/>
      <c r="AF1104" s="181"/>
    </row>
    <row r="1105" spans="1:32">
      <c r="A1105" s="84"/>
      <c r="B1105" s="39"/>
      <c r="C1105" s="40"/>
      <c r="D1105" s="41"/>
      <c r="E1105" s="40"/>
      <c r="F1105" s="41"/>
      <c r="G1105" s="101"/>
      <c r="H1105" s="38"/>
      <c r="I1105" s="42"/>
      <c r="J1105" s="42"/>
      <c r="K1105" s="43"/>
      <c r="L1105" s="43"/>
      <c r="M1105" s="44" t="str">
        <f>IF(LayTable[[#This Row],[Sport]]="","",LayTable[[#This Row],[LayInnsats]]*(LayTable[[#This Row],[LayOdds]]-1))</f>
        <v/>
      </c>
      <c r="N1105" s="45" t="str">
        <f>IF(LayTable[[#This Row],[Sport]]="","",1/((1/LayTable[[#This Row],[BookieOdds]])+(1/((1/((1+((LayTable[[#This Row],[LayOdds]]-1)*(1+LayTable[[#This Row],[C% Lay]])))-1))+1)))-1)</f>
        <v/>
      </c>
      <c r="Q1105" s="46" t="str">
        <f>IF(LayTable[[#This Row],[Sport]]="","",LayTable[[#This Row],[BookieInnsats]]+LayTable[[#This Row],[LayLiability]])</f>
        <v/>
      </c>
      <c r="R11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5" s="47" t="str">
        <f>IF(LayTable[[#This Row],[Utfall bookie]]="","",LayTable[[#This Row],[WBABack]]+LayTable[[#This Row],[WBALay]]-LayTable[[#This Row],[Total inns]])</f>
        <v/>
      </c>
      <c r="U11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5" s="48" t="str">
        <f>IFERROR(IF(LayTable[[#This Row],[Total inns]]="","",LayTable[[#This Row],[Rback]]/LayTable[[#This Row],[Total inns]]),"")</f>
        <v/>
      </c>
      <c r="X1105" s="48" t="str">
        <f>IFERROR(IF(LayTable[[#This Row],[Total inns]]="","",LayTable[[#This Row],[Rlay]]/LayTable[[#This Row],[Total inns]]),"")</f>
        <v/>
      </c>
      <c r="Y1105" s="48" t="str">
        <f>IFERROR(LayTable[[#This Row],[Faktisk res]]/LayTable[[#This Row],[Total inns]],"")</f>
        <v/>
      </c>
      <c r="Z1105" s="47">
        <f>(LayTable[[#This Row],[BookieInnsats]]*LayTable[[#This Row],[BookieOdds]]-LayTable[[#This Row],[BookieInnsats]])*(1-LayTable[[#This Row],[C% Bookie]])</f>
        <v>0</v>
      </c>
      <c r="AA1105" s="43">
        <f>LayTable[[#This Row],[LayInnsats]]*(1-LayTable[[#This Row],[C% Lay]])</f>
        <v>0</v>
      </c>
      <c r="AB1105" s="43" t="str">
        <f>IFERROR(IF(LayTable[[#This Row],[Sport]]="",AB1104,LayTable[[#This Row],[Faktisk res]]+AB1104),"")</f>
        <v/>
      </c>
      <c r="AC1105" s="43">
        <f>(LayTable[[#This Row],[BackWin-Commission]]+LayTable[[#This Row],[BookieInnsats]])</f>
        <v>0</v>
      </c>
      <c r="AD1105" s="43" t="e">
        <f>(LayTable[[#This Row],[LayWin-Commission]])+LayTable[[#This Row],[LayLiability]]</f>
        <v>#VALUE!</v>
      </c>
      <c r="AE1105" s="43"/>
      <c r="AF1105" s="181"/>
    </row>
    <row r="1106" spans="1:32">
      <c r="A1106" s="84"/>
      <c r="B1106" s="39"/>
      <c r="C1106" s="40"/>
      <c r="D1106" s="41"/>
      <c r="E1106" s="40"/>
      <c r="F1106" s="41"/>
      <c r="G1106" s="101"/>
      <c r="H1106" s="38"/>
      <c r="I1106" s="42"/>
      <c r="J1106" s="42"/>
      <c r="K1106" s="43"/>
      <c r="L1106" s="43"/>
      <c r="M1106" s="44" t="str">
        <f>IF(LayTable[[#This Row],[Sport]]="","",LayTable[[#This Row],[LayInnsats]]*(LayTable[[#This Row],[LayOdds]]-1))</f>
        <v/>
      </c>
      <c r="N1106" s="45" t="str">
        <f>IF(LayTable[[#This Row],[Sport]]="","",1/((1/LayTable[[#This Row],[BookieOdds]])+(1/((1/((1+((LayTable[[#This Row],[LayOdds]]-1)*(1+LayTable[[#This Row],[C% Lay]])))-1))+1)))-1)</f>
        <v/>
      </c>
      <c r="Q1106" s="46" t="str">
        <f>IF(LayTable[[#This Row],[Sport]]="","",LayTable[[#This Row],[BookieInnsats]]+LayTable[[#This Row],[LayLiability]])</f>
        <v/>
      </c>
      <c r="R11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6" s="47" t="str">
        <f>IF(LayTable[[#This Row],[Utfall bookie]]="","",LayTable[[#This Row],[WBABack]]+LayTable[[#This Row],[WBALay]]-LayTable[[#This Row],[Total inns]])</f>
        <v/>
      </c>
      <c r="U11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6" s="48" t="str">
        <f>IFERROR(IF(LayTable[[#This Row],[Total inns]]="","",LayTable[[#This Row],[Rback]]/LayTable[[#This Row],[Total inns]]),"")</f>
        <v/>
      </c>
      <c r="X1106" s="48" t="str">
        <f>IFERROR(IF(LayTable[[#This Row],[Total inns]]="","",LayTable[[#This Row],[Rlay]]/LayTable[[#This Row],[Total inns]]),"")</f>
        <v/>
      </c>
      <c r="Y1106" s="48" t="str">
        <f>IFERROR(LayTable[[#This Row],[Faktisk res]]/LayTable[[#This Row],[Total inns]],"")</f>
        <v/>
      </c>
      <c r="Z1106" s="47">
        <f>(LayTable[[#This Row],[BookieInnsats]]*LayTable[[#This Row],[BookieOdds]]-LayTable[[#This Row],[BookieInnsats]])*(1-LayTable[[#This Row],[C% Bookie]])</f>
        <v>0</v>
      </c>
      <c r="AA1106" s="43">
        <f>LayTable[[#This Row],[LayInnsats]]*(1-LayTable[[#This Row],[C% Lay]])</f>
        <v>0</v>
      </c>
      <c r="AB1106" s="43" t="str">
        <f>IFERROR(IF(LayTable[[#This Row],[Sport]]="",AB1105,LayTable[[#This Row],[Faktisk res]]+AB1105),"")</f>
        <v/>
      </c>
      <c r="AC1106" s="43">
        <f>(LayTable[[#This Row],[BackWin-Commission]]+LayTable[[#This Row],[BookieInnsats]])</f>
        <v>0</v>
      </c>
      <c r="AD1106" s="43" t="e">
        <f>(LayTable[[#This Row],[LayWin-Commission]])+LayTable[[#This Row],[LayLiability]]</f>
        <v>#VALUE!</v>
      </c>
      <c r="AE1106" s="43"/>
      <c r="AF1106" s="181"/>
    </row>
    <row r="1107" spans="1:32">
      <c r="A1107" s="84"/>
      <c r="B1107" s="39"/>
      <c r="C1107" s="40"/>
      <c r="D1107" s="41"/>
      <c r="E1107" s="40"/>
      <c r="F1107" s="41"/>
      <c r="G1107" s="101"/>
      <c r="H1107" s="38"/>
      <c r="I1107" s="42"/>
      <c r="J1107" s="42"/>
      <c r="K1107" s="43"/>
      <c r="L1107" s="43"/>
      <c r="M1107" s="44" t="str">
        <f>IF(LayTable[[#This Row],[Sport]]="","",LayTable[[#This Row],[LayInnsats]]*(LayTable[[#This Row],[LayOdds]]-1))</f>
        <v/>
      </c>
      <c r="N1107" s="45" t="str">
        <f>IF(LayTable[[#This Row],[Sport]]="","",1/((1/LayTable[[#This Row],[BookieOdds]])+(1/((1/((1+((LayTable[[#This Row],[LayOdds]]-1)*(1+LayTable[[#This Row],[C% Lay]])))-1))+1)))-1)</f>
        <v/>
      </c>
      <c r="Q1107" s="46" t="str">
        <f>IF(LayTable[[#This Row],[Sport]]="","",LayTable[[#This Row],[BookieInnsats]]+LayTable[[#This Row],[LayLiability]])</f>
        <v/>
      </c>
      <c r="R11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7" s="47" t="str">
        <f>IF(LayTable[[#This Row],[Utfall bookie]]="","",LayTable[[#This Row],[WBABack]]+LayTable[[#This Row],[WBALay]]-LayTable[[#This Row],[Total inns]])</f>
        <v/>
      </c>
      <c r="U11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7" s="48" t="str">
        <f>IFERROR(IF(LayTable[[#This Row],[Total inns]]="","",LayTable[[#This Row],[Rback]]/LayTable[[#This Row],[Total inns]]),"")</f>
        <v/>
      </c>
      <c r="X1107" s="48" t="str">
        <f>IFERROR(IF(LayTable[[#This Row],[Total inns]]="","",LayTable[[#This Row],[Rlay]]/LayTable[[#This Row],[Total inns]]),"")</f>
        <v/>
      </c>
      <c r="Y1107" s="48" t="str">
        <f>IFERROR(LayTable[[#This Row],[Faktisk res]]/LayTable[[#This Row],[Total inns]],"")</f>
        <v/>
      </c>
      <c r="Z1107" s="47">
        <f>(LayTable[[#This Row],[BookieInnsats]]*LayTable[[#This Row],[BookieOdds]]-LayTable[[#This Row],[BookieInnsats]])*(1-LayTable[[#This Row],[C% Bookie]])</f>
        <v>0</v>
      </c>
      <c r="AA1107" s="43">
        <f>LayTable[[#This Row],[LayInnsats]]*(1-LayTable[[#This Row],[C% Lay]])</f>
        <v>0</v>
      </c>
      <c r="AB1107" s="43" t="str">
        <f>IFERROR(IF(LayTable[[#This Row],[Sport]]="",AB1106,LayTable[[#This Row],[Faktisk res]]+AB1106),"")</f>
        <v/>
      </c>
      <c r="AC1107" s="43">
        <f>(LayTable[[#This Row],[BackWin-Commission]]+LayTable[[#This Row],[BookieInnsats]])</f>
        <v>0</v>
      </c>
      <c r="AD1107" s="43" t="e">
        <f>(LayTable[[#This Row],[LayWin-Commission]])+LayTable[[#This Row],[LayLiability]]</f>
        <v>#VALUE!</v>
      </c>
      <c r="AE1107" s="43"/>
      <c r="AF1107" s="181"/>
    </row>
    <row r="1108" spans="1:32">
      <c r="A1108" s="84"/>
      <c r="B1108" s="39"/>
      <c r="C1108" s="40"/>
      <c r="D1108" s="41"/>
      <c r="E1108" s="40"/>
      <c r="F1108" s="41"/>
      <c r="G1108" s="101"/>
      <c r="H1108" s="38"/>
      <c r="I1108" s="42"/>
      <c r="J1108" s="42"/>
      <c r="K1108" s="43"/>
      <c r="L1108" s="43"/>
      <c r="M1108" s="44" t="str">
        <f>IF(LayTable[[#This Row],[Sport]]="","",LayTable[[#This Row],[LayInnsats]]*(LayTable[[#This Row],[LayOdds]]-1))</f>
        <v/>
      </c>
      <c r="N1108" s="45" t="str">
        <f>IF(LayTable[[#This Row],[Sport]]="","",1/((1/LayTable[[#This Row],[BookieOdds]])+(1/((1/((1+((LayTable[[#This Row],[LayOdds]]-1)*(1+LayTable[[#This Row],[C% Lay]])))-1))+1)))-1)</f>
        <v/>
      </c>
      <c r="Q1108" s="46" t="str">
        <f>IF(LayTable[[#This Row],[Sport]]="","",LayTable[[#This Row],[BookieInnsats]]+LayTable[[#This Row],[LayLiability]])</f>
        <v/>
      </c>
      <c r="R11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8" s="47" t="str">
        <f>IF(LayTable[[#This Row],[Utfall bookie]]="","",LayTable[[#This Row],[WBABack]]+LayTable[[#This Row],[WBALay]]-LayTable[[#This Row],[Total inns]])</f>
        <v/>
      </c>
      <c r="U11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8" s="48" t="str">
        <f>IFERROR(IF(LayTable[[#This Row],[Total inns]]="","",LayTable[[#This Row],[Rback]]/LayTable[[#This Row],[Total inns]]),"")</f>
        <v/>
      </c>
      <c r="X1108" s="48" t="str">
        <f>IFERROR(IF(LayTable[[#This Row],[Total inns]]="","",LayTable[[#This Row],[Rlay]]/LayTable[[#This Row],[Total inns]]),"")</f>
        <v/>
      </c>
      <c r="Y1108" s="48" t="str">
        <f>IFERROR(LayTable[[#This Row],[Faktisk res]]/LayTable[[#This Row],[Total inns]],"")</f>
        <v/>
      </c>
      <c r="Z1108" s="47">
        <f>(LayTable[[#This Row],[BookieInnsats]]*LayTable[[#This Row],[BookieOdds]]-LayTable[[#This Row],[BookieInnsats]])*(1-LayTable[[#This Row],[C% Bookie]])</f>
        <v>0</v>
      </c>
      <c r="AA1108" s="43">
        <f>LayTable[[#This Row],[LayInnsats]]*(1-LayTable[[#This Row],[C% Lay]])</f>
        <v>0</v>
      </c>
      <c r="AB1108" s="43" t="str">
        <f>IFERROR(IF(LayTable[[#This Row],[Sport]]="",AB1107,LayTable[[#This Row],[Faktisk res]]+AB1107),"")</f>
        <v/>
      </c>
      <c r="AC1108" s="43">
        <f>(LayTable[[#This Row],[BackWin-Commission]]+LayTable[[#This Row],[BookieInnsats]])</f>
        <v>0</v>
      </c>
      <c r="AD1108" s="43" t="e">
        <f>(LayTable[[#This Row],[LayWin-Commission]])+LayTable[[#This Row],[LayLiability]]</f>
        <v>#VALUE!</v>
      </c>
      <c r="AE1108" s="43"/>
      <c r="AF1108" s="181"/>
    </row>
    <row r="1109" spans="1:32">
      <c r="A1109" s="84"/>
      <c r="B1109" s="39"/>
      <c r="C1109" s="40"/>
      <c r="D1109" s="41"/>
      <c r="E1109" s="40"/>
      <c r="F1109" s="41"/>
      <c r="G1109" s="101"/>
      <c r="H1109" s="38"/>
      <c r="I1109" s="42"/>
      <c r="J1109" s="42"/>
      <c r="K1109" s="43"/>
      <c r="L1109" s="43"/>
      <c r="M1109" s="44" t="str">
        <f>IF(LayTable[[#This Row],[Sport]]="","",LayTable[[#This Row],[LayInnsats]]*(LayTable[[#This Row],[LayOdds]]-1))</f>
        <v/>
      </c>
      <c r="N1109" s="45" t="str">
        <f>IF(LayTable[[#This Row],[Sport]]="","",1/((1/LayTable[[#This Row],[BookieOdds]])+(1/((1/((1+((LayTable[[#This Row],[LayOdds]]-1)*(1+LayTable[[#This Row],[C% Lay]])))-1))+1)))-1)</f>
        <v/>
      </c>
      <c r="Q1109" s="46" t="str">
        <f>IF(LayTable[[#This Row],[Sport]]="","",LayTable[[#This Row],[BookieInnsats]]+LayTable[[#This Row],[LayLiability]])</f>
        <v/>
      </c>
      <c r="R11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09" s="47" t="str">
        <f>IF(LayTable[[#This Row],[Utfall bookie]]="","",LayTable[[#This Row],[WBABack]]+LayTable[[#This Row],[WBALay]]-LayTable[[#This Row],[Total inns]])</f>
        <v/>
      </c>
      <c r="U11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09" s="48" t="str">
        <f>IFERROR(IF(LayTable[[#This Row],[Total inns]]="","",LayTable[[#This Row],[Rback]]/LayTable[[#This Row],[Total inns]]),"")</f>
        <v/>
      </c>
      <c r="X1109" s="48" t="str">
        <f>IFERROR(IF(LayTable[[#This Row],[Total inns]]="","",LayTable[[#This Row],[Rlay]]/LayTable[[#This Row],[Total inns]]),"")</f>
        <v/>
      </c>
      <c r="Y1109" s="48" t="str">
        <f>IFERROR(LayTable[[#This Row],[Faktisk res]]/LayTable[[#This Row],[Total inns]],"")</f>
        <v/>
      </c>
      <c r="Z1109" s="47">
        <f>(LayTable[[#This Row],[BookieInnsats]]*LayTable[[#This Row],[BookieOdds]]-LayTable[[#This Row],[BookieInnsats]])*(1-LayTable[[#This Row],[C% Bookie]])</f>
        <v>0</v>
      </c>
      <c r="AA1109" s="43">
        <f>LayTable[[#This Row],[LayInnsats]]*(1-LayTable[[#This Row],[C% Lay]])</f>
        <v>0</v>
      </c>
      <c r="AB1109" s="43" t="str">
        <f>IFERROR(IF(LayTable[[#This Row],[Sport]]="",AB1108,LayTable[[#This Row],[Faktisk res]]+AB1108),"")</f>
        <v/>
      </c>
      <c r="AC1109" s="43">
        <f>(LayTable[[#This Row],[BackWin-Commission]]+LayTable[[#This Row],[BookieInnsats]])</f>
        <v>0</v>
      </c>
      <c r="AD1109" s="43" t="e">
        <f>(LayTable[[#This Row],[LayWin-Commission]])+LayTable[[#This Row],[LayLiability]]</f>
        <v>#VALUE!</v>
      </c>
      <c r="AE1109" s="43"/>
      <c r="AF1109" s="181"/>
    </row>
    <row r="1110" spans="1:32">
      <c r="A1110" s="84"/>
      <c r="B1110" s="39"/>
      <c r="C1110" s="40"/>
      <c r="D1110" s="41"/>
      <c r="E1110" s="40"/>
      <c r="F1110" s="41"/>
      <c r="G1110" s="101"/>
      <c r="H1110" s="38"/>
      <c r="I1110" s="42"/>
      <c r="J1110" s="42"/>
      <c r="K1110" s="43"/>
      <c r="L1110" s="43"/>
      <c r="M1110" s="44" t="str">
        <f>IF(LayTable[[#This Row],[Sport]]="","",LayTable[[#This Row],[LayInnsats]]*(LayTable[[#This Row],[LayOdds]]-1))</f>
        <v/>
      </c>
      <c r="N1110" s="45" t="str">
        <f>IF(LayTable[[#This Row],[Sport]]="","",1/((1/LayTable[[#This Row],[BookieOdds]])+(1/((1/((1+((LayTable[[#This Row],[LayOdds]]-1)*(1+LayTable[[#This Row],[C% Lay]])))-1))+1)))-1)</f>
        <v/>
      </c>
      <c r="Q1110" s="46" t="str">
        <f>IF(LayTable[[#This Row],[Sport]]="","",LayTable[[#This Row],[BookieInnsats]]+LayTable[[#This Row],[LayLiability]])</f>
        <v/>
      </c>
      <c r="R11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0" s="47" t="str">
        <f>IF(LayTable[[#This Row],[Utfall bookie]]="","",LayTable[[#This Row],[WBABack]]+LayTable[[#This Row],[WBALay]]-LayTable[[#This Row],[Total inns]])</f>
        <v/>
      </c>
      <c r="U11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0" s="48" t="str">
        <f>IFERROR(IF(LayTable[[#This Row],[Total inns]]="","",LayTable[[#This Row],[Rback]]/LayTable[[#This Row],[Total inns]]),"")</f>
        <v/>
      </c>
      <c r="X1110" s="48" t="str">
        <f>IFERROR(IF(LayTable[[#This Row],[Total inns]]="","",LayTable[[#This Row],[Rlay]]/LayTable[[#This Row],[Total inns]]),"")</f>
        <v/>
      </c>
      <c r="Y1110" s="48" t="str">
        <f>IFERROR(LayTable[[#This Row],[Faktisk res]]/LayTable[[#This Row],[Total inns]],"")</f>
        <v/>
      </c>
      <c r="Z1110" s="47">
        <f>(LayTable[[#This Row],[BookieInnsats]]*LayTable[[#This Row],[BookieOdds]]-LayTable[[#This Row],[BookieInnsats]])*(1-LayTable[[#This Row],[C% Bookie]])</f>
        <v>0</v>
      </c>
      <c r="AA1110" s="43">
        <f>LayTable[[#This Row],[LayInnsats]]*(1-LayTable[[#This Row],[C% Lay]])</f>
        <v>0</v>
      </c>
      <c r="AB1110" s="43" t="str">
        <f>IFERROR(IF(LayTable[[#This Row],[Sport]]="",AB1109,LayTable[[#This Row],[Faktisk res]]+AB1109),"")</f>
        <v/>
      </c>
      <c r="AC1110" s="43">
        <f>(LayTable[[#This Row],[BackWin-Commission]]+LayTable[[#This Row],[BookieInnsats]])</f>
        <v>0</v>
      </c>
      <c r="AD1110" s="43" t="e">
        <f>(LayTable[[#This Row],[LayWin-Commission]])+LayTable[[#This Row],[LayLiability]]</f>
        <v>#VALUE!</v>
      </c>
      <c r="AE1110" s="43"/>
      <c r="AF1110" s="181"/>
    </row>
    <row r="1111" spans="1:32">
      <c r="A1111" s="84"/>
      <c r="B1111" s="39"/>
      <c r="C1111" s="40"/>
      <c r="D1111" s="41"/>
      <c r="E1111" s="40"/>
      <c r="F1111" s="41"/>
      <c r="G1111" s="101"/>
      <c r="H1111" s="38"/>
      <c r="I1111" s="42"/>
      <c r="J1111" s="42"/>
      <c r="K1111" s="43"/>
      <c r="L1111" s="43"/>
      <c r="M1111" s="44" t="str">
        <f>IF(LayTable[[#This Row],[Sport]]="","",LayTable[[#This Row],[LayInnsats]]*(LayTable[[#This Row],[LayOdds]]-1))</f>
        <v/>
      </c>
      <c r="N1111" s="45" t="str">
        <f>IF(LayTable[[#This Row],[Sport]]="","",1/((1/LayTable[[#This Row],[BookieOdds]])+(1/((1/((1+((LayTable[[#This Row],[LayOdds]]-1)*(1+LayTable[[#This Row],[C% Lay]])))-1))+1)))-1)</f>
        <v/>
      </c>
      <c r="Q1111" s="46" t="str">
        <f>IF(LayTable[[#This Row],[Sport]]="","",LayTable[[#This Row],[BookieInnsats]]+LayTable[[#This Row],[LayLiability]])</f>
        <v/>
      </c>
      <c r="R11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1" s="47" t="str">
        <f>IF(LayTable[[#This Row],[Utfall bookie]]="","",LayTable[[#This Row],[WBABack]]+LayTable[[#This Row],[WBALay]]-LayTable[[#This Row],[Total inns]])</f>
        <v/>
      </c>
      <c r="U11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1" s="48" t="str">
        <f>IFERROR(IF(LayTable[[#This Row],[Total inns]]="","",LayTable[[#This Row],[Rback]]/LayTable[[#This Row],[Total inns]]),"")</f>
        <v/>
      </c>
      <c r="X1111" s="48" t="str">
        <f>IFERROR(IF(LayTable[[#This Row],[Total inns]]="","",LayTable[[#This Row],[Rlay]]/LayTable[[#This Row],[Total inns]]),"")</f>
        <v/>
      </c>
      <c r="Y1111" s="48" t="str">
        <f>IFERROR(LayTable[[#This Row],[Faktisk res]]/LayTable[[#This Row],[Total inns]],"")</f>
        <v/>
      </c>
      <c r="Z1111" s="47">
        <f>(LayTable[[#This Row],[BookieInnsats]]*LayTable[[#This Row],[BookieOdds]]-LayTable[[#This Row],[BookieInnsats]])*(1-LayTable[[#This Row],[C% Bookie]])</f>
        <v>0</v>
      </c>
      <c r="AA1111" s="43">
        <f>LayTable[[#This Row],[LayInnsats]]*(1-LayTable[[#This Row],[C% Lay]])</f>
        <v>0</v>
      </c>
      <c r="AB1111" s="43" t="str">
        <f>IFERROR(IF(LayTable[[#This Row],[Sport]]="",AB1110,LayTable[[#This Row],[Faktisk res]]+AB1110),"")</f>
        <v/>
      </c>
      <c r="AC1111" s="43">
        <f>(LayTable[[#This Row],[BackWin-Commission]]+LayTable[[#This Row],[BookieInnsats]])</f>
        <v>0</v>
      </c>
      <c r="AD1111" s="43" t="e">
        <f>(LayTable[[#This Row],[LayWin-Commission]])+LayTable[[#This Row],[LayLiability]]</f>
        <v>#VALUE!</v>
      </c>
      <c r="AE1111" s="43"/>
      <c r="AF1111" s="181"/>
    </row>
    <row r="1112" spans="1:32">
      <c r="A1112" s="84"/>
      <c r="B1112" s="39"/>
      <c r="C1112" s="40"/>
      <c r="D1112" s="41"/>
      <c r="E1112" s="40"/>
      <c r="F1112" s="41"/>
      <c r="G1112" s="101"/>
      <c r="H1112" s="38"/>
      <c r="I1112" s="42"/>
      <c r="J1112" s="42"/>
      <c r="K1112" s="43"/>
      <c r="L1112" s="43"/>
      <c r="M1112" s="44" t="str">
        <f>IF(LayTable[[#This Row],[Sport]]="","",LayTable[[#This Row],[LayInnsats]]*(LayTable[[#This Row],[LayOdds]]-1))</f>
        <v/>
      </c>
      <c r="N1112" s="45" t="str">
        <f>IF(LayTable[[#This Row],[Sport]]="","",1/((1/LayTable[[#This Row],[BookieOdds]])+(1/((1/((1+((LayTable[[#This Row],[LayOdds]]-1)*(1+LayTable[[#This Row],[C% Lay]])))-1))+1)))-1)</f>
        <v/>
      </c>
      <c r="Q1112" s="46" t="str">
        <f>IF(LayTable[[#This Row],[Sport]]="","",LayTable[[#This Row],[BookieInnsats]]+LayTable[[#This Row],[LayLiability]])</f>
        <v/>
      </c>
      <c r="R11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2" s="47" t="str">
        <f>IF(LayTable[[#This Row],[Utfall bookie]]="","",LayTable[[#This Row],[WBABack]]+LayTable[[#This Row],[WBALay]]-LayTable[[#This Row],[Total inns]])</f>
        <v/>
      </c>
      <c r="U11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2" s="48" t="str">
        <f>IFERROR(IF(LayTable[[#This Row],[Total inns]]="","",LayTable[[#This Row],[Rback]]/LayTable[[#This Row],[Total inns]]),"")</f>
        <v/>
      </c>
      <c r="X1112" s="48" t="str">
        <f>IFERROR(IF(LayTable[[#This Row],[Total inns]]="","",LayTable[[#This Row],[Rlay]]/LayTable[[#This Row],[Total inns]]),"")</f>
        <v/>
      </c>
      <c r="Y1112" s="48" t="str">
        <f>IFERROR(LayTable[[#This Row],[Faktisk res]]/LayTable[[#This Row],[Total inns]],"")</f>
        <v/>
      </c>
      <c r="Z1112" s="47">
        <f>(LayTable[[#This Row],[BookieInnsats]]*LayTable[[#This Row],[BookieOdds]]-LayTable[[#This Row],[BookieInnsats]])*(1-LayTable[[#This Row],[C% Bookie]])</f>
        <v>0</v>
      </c>
      <c r="AA1112" s="43">
        <f>LayTable[[#This Row],[LayInnsats]]*(1-LayTable[[#This Row],[C% Lay]])</f>
        <v>0</v>
      </c>
      <c r="AB1112" s="43" t="str">
        <f>IFERROR(IF(LayTable[[#This Row],[Sport]]="",AB1111,LayTable[[#This Row],[Faktisk res]]+AB1111),"")</f>
        <v/>
      </c>
      <c r="AC1112" s="43">
        <f>(LayTable[[#This Row],[BackWin-Commission]]+LayTable[[#This Row],[BookieInnsats]])</f>
        <v>0</v>
      </c>
      <c r="AD1112" s="43" t="e">
        <f>(LayTable[[#This Row],[LayWin-Commission]])+LayTable[[#This Row],[LayLiability]]</f>
        <v>#VALUE!</v>
      </c>
      <c r="AE1112" s="43"/>
      <c r="AF1112" s="181"/>
    </row>
    <row r="1113" spans="1:32">
      <c r="A1113" s="84"/>
      <c r="B1113" s="39"/>
      <c r="C1113" s="40"/>
      <c r="D1113" s="41"/>
      <c r="E1113" s="40"/>
      <c r="F1113" s="41"/>
      <c r="G1113" s="101"/>
      <c r="H1113" s="38"/>
      <c r="I1113" s="42"/>
      <c r="J1113" s="42"/>
      <c r="K1113" s="43"/>
      <c r="L1113" s="43"/>
      <c r="M1113" s="44" t="str">
        <f>IF(LayTable[[#This Row],[Sport]]="","",LayTable[[#This Row],[LayInnsats]]*(LayTable[[#This Row],[LayOdds]]-1))</f>
        <v/>
      </c>
      <c r="N1113" s="45" t="str">
        <f>IF(LayTable[[#This Row],[Sport]]="","",1/((1/LayTable[[#This Row],[BookieOdds]])+(1/((1/((1+((LayTable[[#This Row],[LayOdds]]-1)*(1+LayTable[[#This Row],[C% Lay]])))-1))+1)))-1)</f>
        <v/>
      </c>
      <c r="Q1113" s="46" t="str">
        <f>IF(LayTable[[#This Row],[Sport]]="","",LayTable[[#This Row],[BookieInnsats]]+LayTable[[#This Row],[LayLiability]])</f>
        <v/>
      </c>
      <c r="R11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3" s="47" t="str">
        <f>IF(LayTable[[#This Row],[Utfall bookie]]="","",LayTable[[#This Row],[WBABack]]+LayTable[[#This Row],[WBALay]]-LayTable[[#This Row],[Total inns]])</f>
        <v/>
      </c>
      <c r="U11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3" s="48" t="str">
        <f>IFERROR(IF(LayTable[[#This Row],[Total inns]]="","",LayTable[[#This Row],[Rback]]/LayTable[[#This Row],[Total inns]]),"")</f>
        <v/>
      </c>
      <c r="X1113" s="48" t="str">
        <f>IFERROR(IF(LayTable[[#This Row],[Total inns]]="","",LayTable[[#This Row],[Rlay]]/LayTable[[#This Row],[Total inns]]),"")</f>
        <v/>
      </c>
      <c r="Y1113" s="48" t="str">
        <f>IFERROR(LayTable[[#This Row],[Faktisk res]]/LayTable[[#This Row],[Total inns]],"")</f>
        <v/>
      </c>
      <c r="Z1113" s="47">
        <f>(LayTable[[#This Row],[BookieInnsats]]*LayTable[[#This Row],[BookieOdds]]-LayTable[[#This Row],[BookieInnsats]])*(1-LayTable[[#This Row],[C% Bookie]])</f>
        <v>0</v>
      </c>
      <c r="AA1113" s="43">
        <f>LayTable[[#This Row],[LayInnsats]]*(1-LayTable[[#This Row],[C% Lay]])</f>
        <v>0</v>
      </c>
      <c r="AB1113" s="43" t="str">
        <f>IFERROR(IF(LayTable[[#This Row],[Sport]]="",AB1112,LayTable[[#This Row],[Faktisk res]]+AB1112),"")</f>
        <v/>
      </c>
      <c r="AC1113" s="43">
        <f>(LayTable[[#This Row],[BackWin-Commission]]+LayTable[[#This Row],[BookieInnsats]])</f>
        <v>0</v>
      </c>
      <c r="AD1113" s="43" t="e">
        <f>(LayTable[[#This Row],[LayWin-Commission]])+LayTable[[#This Row],[LayLiability]]</f>
        <v>#VALUE!</v>
      </c>
      <c r="AE1113" s="43"/>
      <c r="AF1113" s="181"/>
    </row>
    <row r="1114" spans="1:32">
      <c r="A1114" s="84"/>
      <c r="B1114" s="39"/>
      <c r="C1114" s="40"/>
      <c r="D1114" s="41"/>
      <c r="E1114" s="40"/>
      <c r="F1114" s="41"/>
      <c r="G1114" s="101"/>
      <c r="H1114" s="38"/>
      <c r="I1114" s="42"/>
      <c r="J1114" s="42"/>
      <c r="K1114" s="43"/>
      <c r="L1114" s="43"/>
      <c r="M1114" s="44" t="str">
        <f>IF(LayTable[[#This Row],[Sport]]="","",LayTable[[#This Row],[LayInnsats]]*(LayTable[[#This Row],[LayOdds]]-1))</f>
        <v/>
      </c>
      <c r="N1114" s="45" t="str">
        <f>IF(LayTable[[#This Row],[Sport]]="","",1/((1/LayTable[[#This Row],[BookieOdds]])+(1/((1/((1+((LayTable[[#This Row],[LayOdds]]-1)*(1+LayTable[[#This Row],[C% Lay]])))-1))+1)))-1)</f>
        <v/>
      </c>
      <c r="Q1114" s="46" t="str">
        <f>IF(LayTable[[#This Row],[Sport]]="","",LayTable[[#This Row],[BookieInnsats]]+LayTable[[#This Row],[LayLiability]])</f>
        <v/>
      </c>
      <c r="R11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4" s="47" t="str">
        <f>IF(LayTable[[#This Row],[Utfall bookie]]="","",LayTable[[#This Row],[WBABack]]+LayTable[[#This Row],[WBALay]]-LayTable[[#This Row],[Total inns]])</f>
        <v/>
      </c>
      <c r="U11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4" s="48" t="str">
        <f>IFERROR(IF(LayTable[[#This Row],[Total inns]]="","",LayTable[[#This Row],[Rback]]/LayTable[[#This Row],[Total inns]]),"")</f>
        <v/>
      </c>
      <c r="X1114" s="48" t="str">
        <f>IFERROR(IF(LayTable[[#This Row],[Total inns]]="","",LayTable[[#This Row],[Rlay]]/LayTable[[#This Row],[Total inns]]),"")</f>
        <v/>
      </c>
      <c r="Y1114" s="48" t="str">
        <f>IFERROR(LayTable[[#This Row],[Faktisk res]]/LayTable[[#This Row],[Total inns]],"")</f>
        <v/>
      </c>
      <c r="Z1114" s="47">
        <f>(LayTable[[#This Row],[BookieInnsats]]*LayTable[[#This Row],[BookieOdds]]-LayTable[[#This Row],[BookieInnsats]])*(1-LayTable[[#This Row],[C% Bookie]])</f>
        <v>0</v>
      </c>
      <c r="AA1114" s="43">
        <f>LayTable[[#This Row],[LayInnsats]]*(1-LayTable[[#This Row],[C% Lay]])</f>
        <v>0</v>
      </c>
      <c r="AB1114" s="43" t="str">
        <f>IFERROR(IF(LayTable[[#This Row],[Sport]]="",AB1113,LayTable[[#This Row],[Faktisk res]]+AB1113),"")</f>
        <v/>
      </c>
      <c r="AC1114" s="43">
        <f>(LayTable[[#This Row],[BackWin-Commission]]+LayTable[[#This Row],[BookieInnsats]])</f>
        <v>0</v>
      </c>
      <c r="AD1114" s="43" t="e">
        <f>(LayTable[[#This Row],[LayWin-Commission]])+LayTable[[#This Row],[LayLiability]]</f>
        <v>#VALUE!</v>
      </c>
      <c r="AE1114" s="43"/>
      <c r="AF1114" s="181"/>
    </row>
    <row r="1115" spans="1:32">
      <c r="A1115" s="84"/>
      <c r="B1115" s="39"/>
      <c r="C1115" s="40"/>
      <c r="D1115" s="41"/>
      <c r="E1115" s="40"/>
      <c r="F1115" s="41"/>
      <c r="G1115" s="101"/>
      <c r="H1115" s="38"/>
      <c r="I1115" s="42"/>
      <c r="J1115" s="42"/>
      <c r="K1115" s="43"/>
      <c r="L1115" s="43"/>
      <c r="M1115" s="44" t="str">
        <f>IF(LayTable[[#This Row],[Sport]]="","",LayTable[[#This Row],[LayInnsats]]*(LayTable[[#This Row],[LayOdds]]-1))</f>
        <v/>
      </c>
      <c r="N1115" s="45" t="str">
        <f>IF(LayTable[[#This Row],[Sport]]="","",1/((1/LayTable[[#This Row],[BookieOdds]])+(1/((1/((1+((LayTable[[#This Row],[LayOdds]]-1)*(1+LayTable[[#This Row],[C% Lay]])))-1))+1)))-1)</f>
        <v/>
      </c>
      <c r="Q1115" s="46" t="str">
        <f>IF(LayTable[[#This Row],[Sport]]="","",LayTable[[#This Row],[BookieInnsats]]+LayTable[[#This Row],[LayLiability]])</f>
        <v/>
      </c>
      <c r="R11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5" s="47" t="str">
        <f>IF(LayTable[[#This Row],[Utfall bookie]]="","",LayTable[[#This Row],[WBABack]]+LayTable[[#This Row],[WBALay]]-LayTable[[#This Row],[Total inns]])</f>
        <v/>
      </c>
      <c r="U11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5" s="48" t="str">
        <f>IFERROR(IF(LayTable[[#This Row],[Total inns]]="","",LayTable[[#This Row],[Rback]]/LayTable[[#This Row],[Total inns]]),"")</f>
        <v/>
      </c>
      <c r="X1115" s="48" t="str">
        <f>IFERROR(IF(LayTable[[#This Row],[Total inns]]="","",LayTable[[#This Row],[Rlay]]/LayTable[[#This Row],[Total inns]]),"")</f>
        <v/>
      </c>
      <c r="Y1115" s="48" t="str">
        <f>IFERROR(LayTable[[#This Row],[Faktisk res]]/LayTable[[#This Row],[Total inns]],"")</f>
        <v/>
      </c>
      <c r="Z1115" s="47">
        <f>(LayTable[[#This Row],[BookieInnsats]]*LayTable[[#This Row],[BookieOdds]]-LayTable[[#This Row],[BookieInnsats]])*(1-LayTable[[#This Row],[C% Bookie]])</f>
        <v>0</v>
      </c>
      <c r="AA1115" s="43">
        <f>LayTable[[#This Row],[LayInnsats]]*(1-LayTable[[#This Row],[C% Lay]])</f>
        <v>0</v>
      </c>
      <c r="AB1115" s="43" t="str">
        <f>IFERROR(IF(LayTable[[#This Row],[Sport]]="",AB1114,LayTable[[#This Row],[Faktisk res]]+AB1114),"")</f>
        <v/>
      </c>
      <c r="AC1115" s="43">
        <f>(LayTable[[#This Row],[BackWin-Commission]]+LayTable[[#This Row],[BookieInnsats]])</f>
        <v>0</v>
      </c>
      <c r="AD1115" s="43" t="e">
        <f>(LayTable[[#This Row],[LayWin-Commission]])+LayTable[[#This Row],[LayLiability]]</f>
        <v>#VALUE!</v>
      </c>
      <c r="AE1115" s="43"/>
      <c r="AF1115" s="181"/>
    </row>
    <row r="1116" spans="1:32">
      <c r="A1116" s="84"/>
      <c r="B1116" s="39"/>
      <c r="C1116" s="40"/>
      <c r="D1116" s="41"/>
      <c r="E1116" s="40"/>
      <c r="F1116" s="41"/>
      <c r="G1116" s="101"/>
      <c r="H1116" s="38"/>
      <c r="I1116" s="42"/>
      <c r="J1116" s="42"/>
      <c r="K1116" s="43"/>
      <c r="L1116" s="43"/>
      <c r="M1116" s="44" t="str">
        <f>IF(LayTable[[#This Row],[Sport]]="","",LayTable[[#This Row],[LayInnsats]]*(LayTable[[#This Row],[LayOdds]]-1))</f>
        <v/>
      </c>
      <c r="N1116" s="45" t="str">
        <f>IF(LayTable[[#This Row],[Sport]]="","",1/((1/LayTable[[#This Row],[BookieOdds]])+(1/((1/((1+((LayTable[[#This Row],[LayOdds]]-1)*(1+LayTable[[#This Row],[C% Lay]])))-1))+1)))-1)</f>
        <v/>
      </c>
      <c r="Q1116" s="46" t="str">
        <f>IF(LayTable[[#This Row],[Sport]]="","",LayTable[[#This Row],[BookieInnsats]]+LayTable[[#This Row],[LayLiability]])</f>
        <v/>
      </c>
      <c r="R11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6" s="47" t="str">
        <f>IF(LayTable[[#This Row],[Utfall bookie]]="","",LayTable[[#This Row],[WBABack]]+LayTable[[#This Row],[WBALay]]-LayTable[[#This Row],[Total inns]])</f>
        <v/>
      </c>
      <c r="U11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6" s="48" t="str">
        <f>IFERROR(IF(LayTable[[#This Row],[Total inns]]="","",LayTable[[#This Row],[Rback]]/LayTable[[#This Row],[Total inns]]),"")</f>
        <v/>
      </c>
      <c r="X1116" s="48" t="str">
        <f>IFERROR(IF(LayTable[[#This Row],[Total inns]]="","",LayTable[[#This Row],[Rlay]]/LayTable[[#This Row],[Total inns]]),"")</f>
        <v/>
      </c>
      <c r="Y1116" s="48" t="str">
        <f>IFERROR(LayTable[[#This Row],[Faktisk res]]/LayTable[[#This Row],[Total inns]],"")</f>
        <v/>
      </c>
      <c r="Z1116" s="47">
        <f>(LayTable[[#This Row],[BookieInnsats]]*LayTable[[#This Row],[BookieOdds]]-LayTable[[#This Row],[BookieInnsats]])*(1-LayTable[[#This Row],[C% Bookie]])</f>
        <v>0</v>
      </c>
      <c r="AA1116" s="43">
        <f>LayTable[[#This Row],[LayInnsats]]*(1-LayTable[[#This Row],[C% Lay]])</f>
        <v>0</v>
      </c>
      <c r="AB1116" s="43" t="str">
        <f>IFERROR(IF(LayTable[[#This Row],[Sport]]="",AB1115,LayTable[[#This Row],[Faktisk res]]+AB1115),"")</f>
        <v/>
      </c>
      <c r="AC1116" s="43">
        <f>(LayTable[[#This Row],[BackWin-Commission]]+LayTable[[#This Row],[BookieInnsats]])</f>
        <v>0</v>
      </c>
      <c r="AD1116" s="43" t="e">
        <f>(LayTable[[#This Row],[LayWin-Commission]])+LayTable[[#This Row],[LayLiability]]</f>
        <v>#VALUE!</v>
      </c>
      <c r="AE1116" s="43"/>
      <c r="AF1116" s="181"/>
    </row>
    <row r="1117" spans="1:32">
      <c r="A1117" s="84"/>
      <c r="B1117" s="39"/>
      <c r="C1117" s="40"/>
      <c r="D1117" s="41"/>
      <c r="E1117" s="40"/>
      <c r="F1117" s="41"/>
      <c r="G1117" s="101"/>
      <c r="H1117" s="38"/>
      <c r="I1117" s="42"/>
      <c r="J1117" s="42"/>
      <c r="K1117" s="43"/>
      <c r="L1117" s="43"/>
      <c r="M1117" s="44" t="str">
        <f>IF(LayTable[[#This Row],[Sport]]="","",LayTable[[#This Row],[LayInnsats]]*(LayTable[[#This Row],[LayOdds]]-1))</f>
        <v/>
      </c>
      <c r="N1117" s="45" t="str">
        <f>IF(LayTable[[#This Row],[Sport]]="","",1/((1/LayTable[[#This Row],[BookieOdds]])+(1/((1/((1+((LayTable[[#This Row],[LayOdds]]-1)*(1+LayTable[[#This Row],[C% Lay]])))-1))+1)))-1)</f>
        <v/>
      </c>
      <c r="Q1117" s="46" t="str">
        <f>IF(LayTable[[#This Row],[Sport]]="","",LayTable[[#This Row],[BookieInnsats]]+LayTable[[#This Row],[LayLiability]])</f>
        <v/>
      </c>
      <c r="R11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7" s="47" t="str">
        <f>IF(LayTable[[#This Row],[Utfall bookie]]="","",LayTable[[#This Row],[WBABack]]+LayTable[[#This Row],[WBALay]]-LayTable[[#This Row],[Total inns]])</f>
        <v/>
      </c>
      <c r="U11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7" s="48" t="str">
        <f>IFERROR(IF(LayTable[[#This Row],[Total inns]]="","",LayTable[[#This Row],[Rback]]/LayTable[[#This Row],[Total inns]]),"")</f>
        <v/>
      </c>
      <c r="X1117" s="48" t="str">
        <f>IFERROR(IF(LayTable[[#This Row],[Total inns]]="","",LayTable[[#This Row],[Rlay]]/LayTable[[#This Row],[Total inns]]),"")</f>
        <v/>
      </c>
      <c r="Y1117" s="48" t="str">
        <f>IFERROR(LayTable[[#This Row],[Faktisk res]]/LayTable[[#This Row],[Total inns]],"")</f>
        <v/>
      </c>
      <c r="Z1117" s="47">
        <f>(LayTable[[#This Row],[BookieInnsats]]*LayTable[[#This Row],[BookieOdds]]-LayTable[[#This Row],[BookieInnsats]])*(1-LayTable[[#This Row],[C% Bookie]])</f>
        <v>0</v>
      </c>
      <c r="AA1117" s="43">
        <f>LayTable[[#This Row],[LayInnsats]]*(1-LayTable[[#This Row],[C% Lay]])</f>
        <v>0</v>
      </c>
      <c r="AB1117" s="43" t="str">
        <f>IFERROR(IF(LayTable[[#This Row],[Sport]]="",AB1116,LayTable[[#This Row],[Faktisk res]]+AB1116),"")</f>
        <v/>
      </c>
      <c r="AC1117" s="43">
        <f>(LayTable[[#This Row],[BackWin-Commission]]+LayTable[[#This Row],[BookieInnsats]])</f>
        <v>0</v>
      </c>
      <c r="AD1117" s="43" t="e">
        <f>(LayTable[[#This Row],[LayWin-Commission]])+LayTable[[#This Row],[LayLiability]]</f>
        <v>#VALUE!</v>
      </c>
      <c r="AE1117" s="43"/>
      <c r="AF1117" s="181"/>
    </row>
    <row r="1118" spans="1:32">
      <c r="A1118" s="84"/>
      <c r="B1118" s="39"/>
      <c r="C1118" s="40"/>
      <c r="D1118" s="41"/>
      <c r="E1118" s="40"/>
      <c r="F1118" s="41"/>
      <c r="G1118" s="101"/>
      <c r="H1118" s="38"/>
      <c r="I1118" s="42"/>
      <c r="J1118" s="42"/>
      <c r="K1118" s="43"/>
      <c r="L1118" s="43"/>
      <c r="M1118" s="44" t="str">
        <f>IF(LayTable[[#This Row],[Sport]]="","",LayTable[[#This Row],[LayInnsats]]*(LayTable[[#This Row],[LayOdds]]-1))</f>
        <v/>
      </c>
      <c r="N1118" s="45" t="str">
        <f>IF(LayTable[[#This Row],[Sport]]="","",1/((1/LayTable[[#This Row],[BookieOdds]])+(1/((1/((1+((LayTable[[#This Row],[LayOdds]]-1)*(1+LayTable[[#This Row],[C% Lay]])))-1))+1)))-1)</f>
        <v/>
      </c>
      <c r="Q1118" s="46" t="str">
        <f>IF(LayTable[[#This Row],[Sport]]="","",LayTable[[#This Row],[BookieInnsats]]+LayTable[[#This Row],[LayLiability]])</f>
        <v/>
      </c>
      <c r="R11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8" s="47" t="str">
        <f>IF(LayTable[[#This Row],[Utfall bookie]]="","",LayTable[[#This Row],[WBABack]]+LayTable[[#This Row],[WBALay]]-LayTable[[#This Row],[Total inns]])</f>
        <v/>
      </c>
      <c r="U11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8" s="48" t="str">
        <f>IFERROR(IF(LayTable[[#This Row],[Total inns]]="","",LayTable[[#This Row],[Rback]]/LayTable[[#This Row],[Total inns]]),"")</f>
        <v/>
      </c>
      <c r="X1118" s="48" t="str">
        <f>IFERROR(IF(LayTable[[#This Row],[Total inns]]="","",LayTable[[#This Row],[Rlay]]/LayTable[[#This Row],[Total inns]]),"")</f>
        <v/>
      </c>
      <c r="Y1118" s="48" t="str">
        <f>IFERROR(LayTable[[#This Row],[Faktisk res]]/LayTable[[#This Row],[Total inns]],"")</f>
        <v/>
      </c>
      <c r="Z1118" s="47">
        <f>(LayTable[[#This Row],[BookieInnsats]]*LayTable[[#This Row],[BookieOdds]]-LayTable[[#This Row],[BookieInnsats]])*(1-LayTable[[#This Row],[C% Bookie]])</f>
        <v>0</v>
      </c>
      <c r="AA1118" s="43">
        <f>LayTable[[#This Row],[LayInnsats]]*(1-LayTable[[#This Row],[C% Lay]])</f>
        <v>0</v>
      </c>
      <c r="AB1118" s="43" t="str">
        <f>IFERROR(IF(LayTable[[#This Row],[Sport]]="",AB1117,LayTable[[#This Row],[Faktisk res]]+AB1117),"")</f>
        <v/>
      </c>
      <c r="AC1118" s="43">
        <f>(LayTable[[#This Row],[BackWin-Commission]]+LayTable[[#This Row],[BookieInnsats]])</f>
        <v>0</v>
      </c>
      <c r="AD1118" s="43" t="e">
        <f>(LayTable[[#This Row],[LayWin-Commission]])+LayTable[[#This Row],[LayLiability]]</f>
        <v>#VALUE!</v>
      </c>
      <c r="AE1118" s="43"/>
      <c r="AF1118" s="181"/>
    </row>
    <row r="1119" spans="1:32">
      <c r="A1119" s="84"/>
      <c r="B1119" s="39"/>
      <c r="C1119" s="40"/>
      <c r="D1119" s="41"/>
      <c r="E1119" s="40"/>
      <c r="F1119" s="41"/>
      <c r="G1119" s="101"/>
      <c r="H1119" s="38"/>
      <c r="I1119" s="42"/>
      <c r="J1119" s="42"/>
      <c r="K1119" s="43"/>
      <c r="L1119" s="43"/>
      <c r="M1119" s="44" t="str">
        <f>IF(LayTable[[#This Row],[Sport]]="","",LayTable[[#This Row],[LayInnsats]]*(LayTable[[#This Row],[LayOdds]]-1))</f>
        <v/>
      </c>
      <c r="N1119" s="45" t="str">
        <f>IF(LayTable[[#This Row],[Sport]]="","",1/((1/LayTable[[#This Row],[BookieOdds]])+(1/((1/((1+((LayTable[[#This Row],[LayOdds]]-1)*(1+LayTable[[#This Row],[C% Lay]])))-1))+1)))-1)</f>
        <v/>
      </c>
      <c r="Q1119" s="46" t="str">
        <f>IF(LayTable[[#This Row],[Sport]]="","",LayTable[[#This Row],[BookieInnsats]]+LayTable[[#This Row],[LayLiability]])</f>
        <v/>
      </c>
      <c r="R11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19" s="47" t="str">
        <f>IF(LayTable[[#This Row],[Utfall bookie]]="","",LayTable[[#This Row],[WBABack]]+LayTable[[#This Row],[WBALay]]-LayTable[[#This Row],[Total inns]])</f>
        <v/>
      </c>
      <c r="U11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19" s="48" t="str">
        <f>IFERROR(IF(LayTable[[#This Row],[Total inns]]="","",LayTable[[#This Row],[Rback]]/LayTable[[#This Row],[Total inns]]),"")</f>
        <v/>
      </c>
      <c r="X1119" s="48" t="str">
        <f>IFERROR(IF(LayTable[[#This Row],[Total inns]]="","",LayTable[[#This Row],[Rlay]]/LayTable[[#This Row],[Total inns]]),"")</f>
        <v/>
      </c>
      <c r="Y1119" s="48" t="str">
        <f>IFERROR(LayTable[[#This Row],[Faktisk res]]/LayTable[[#This Row],[Total inns]],"")</f>
        <v/>
      </c>
      <c r="Z1119" s="47">
        <f>(LayTable[[#This Row],[BookieInnsats]]*LayTable[[#This Row],[BookieOdds]]-LayTable[[#This Row],[BookieInnsats]])*(1-LayTable[[#This Row],[C% Bookie]])</f>
        <v>0</v>
      </c>
      <c r="AA1119" s="43">
        <f>LayTable[[#This Row],[LayInnsats]]*(1-LayTable[[#This Row],[C% Lay]])</f>
        <v>0</v>
      </c>
      <c r="AB1119" s="43" t="str">
        <f>IFERROR(IF(LayTable[[#This Row],[Sport]]="",AB1118,LayTable[[#This Row],[Faktisk res]]+AB1118),"")</f>
        <v/>
      </c>
      <c r="AC1119" s="43">
        <f>(LayTable[[#This Row],[BackWin-Commission]]+LayTable[[#This Row],[BookieInnsats]])</f>
        <v>0</v>
      </c>
      <c r="AD1119" s="43" t="e">
        <f>(LayTable[[#This Row],[LayWin-Commission]])+LayTable[[#This Row],[LayLiability]]</f>
        <v>#VALUE!</v>
      </c>
      <c r="AE1119" s="43"/>
      <c r="AF1119" s="181"/>
    </row>
    <row r="1120" spans="1:32">
      <c r="A1120" s="84"/>
      <c r="B1120" s="39"/>
      <c r="C1120" s="40"/>
      <c r="D1120" s="41"/>
      <c r="E1120" s="40"/>
      <c r="F1120" s="41"/>
      <c r="G1120" s="101"/>
      <c r="H1120" s="38"/>
      <c r="I1120" s="42"/>
      <c r="J1120" s="42"/>
      <c r="K1120" s="43"/>
      <c r="L1120" s="43"/>
      <c r="M1120" s="44" t="str">
        <f>IF(LayTable[[#This Row],[Sport]]="","",LayTable[[#This Row],[LayInnsats]]*(LayTable[[#This Row],[LayOdds]]-1))</f>
        <v/>
      </c>
      <c r="N1120" s="45" t="str">
        <f>IF(LayTable[[#This Row],[Sport]]="","",1/((1/LayTable[[#This Row],[BookieOdds]])+(1/((1/((1+((LayTable[[#This Row],[LayOdds]]-1)*(1+LayTable[[#This Row],[C% Lay]])))-1))+1)))-1)</f>
        <v/>
      </c>
      <c r="Q1120" s="46" t="str">
        <f>IF(LayTable[[#This Row],[Sport]]="","",LayTable[[#This Row],[BookieInnsats]]+LayTable[[#This Row],[LayLiability]])</f>
        <v/>
      </c>
      <c r="R11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0" s="47" t="str">
        <f>IF(LayTable[[#This Row],[Utfall bookie]]="","",LayTable[[#This Row],[WBABack]]+LayTable[[#This Row],[WBALay]]-LayTable[[#This Row],[Total inns]])</f>
        <v/>
      </c>
      <c r="U11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0" s="48" t="str">
        <f>IFERROR(IF(LayTable[[#This Row],[Total inns]]="","",LayTable[[#This Row],[Rback]]/LayTable[[#This Row],[Total inns]]),"")</f>
        <v/>
      </c>
      <c r="X1120" s="48" t="str">
        <f>IFERROR(IF(LayTable[[#This Row],[Total inns]]="","",LayTable[[#This Row],[Rlay]]/LayTable[[#This Row],[Total inns]]),"")</f>
        <v/>
      </c>
      <c r="Y1120" s="48" t="str">
        <f>IFERROR(LayTable[[#This Row],[Faktisk res]]/LayTable[[#This Row],[Total inns]],"")</f>
        <v/>
      </c>
      <c r="Z1120" s="47">
        <f>(LayTable[[#This Row],[BookieInnsats]]*LayTable[[#This Row],[BookieOdds]]-LayTable[[#This Row],[BookieInnsats]])*(1-LayTable[[#This Row],[C% Bookie]])</f>
        <v>0</v>
      </c>
      <c r="AA1120" s="43">
        <f>LayTable[[#This Row],[LayInnsats]]*(1-LayTable[[#This Row],[C% Lay]])</f>
        <v>0</v>
      </c>
      <c r="AB1120" s="43" t="str">
        <f>IFERROR(IF(LayTable[[#This Row],[Sport]]="",AB1119,LayTable[[#This Row],[Faktisk res]]+AB1119),"")</f>
        <v/>
      </c>
      <c r="AC1120" s="43">
        <f>(LayTable[[#This Row],[BackWin-Commission]]+LayTable[[#This Row],[BookieInnsats]])</f>
        <v>0</v>
      </c>
      <c r="AD1120" s="43" t="e">
        <f>(LayTable[[#This Row],[LayWin-Commission]])+LayTable[[#This Row],[LayLiability]]</f>
        <v>#VALUE!</v>
      </c>
      <c r="AE1120" s="43"/>
      <c r="AF1120" s="181"/>
    </row>
    <row r="1121" spans="1:32">
      <c r="A1121" s="84"/>
      <c r="B1121" s="39"/>
      <c r="C1121" s="40"/>
      <c r="D1121" s="41"/>
      <c r="E1121" s="40"/>
      <c r="F1121" s="41"/>
      <c r="G1121" s="101"/>
      <c r="H1121" s="38"/>
      <c r="I1121" s="42"/>
      <c r="J1121" s="42"/>
      <c r="K1121" s="43"/>
      <c r="L1121" s="43"/>
      <c r="M1121" s="44" t="str">
        <f>IF(LayTable[[#This Row],[Sport]]="","",LayTable[[#This Row],[LayInnsats]]*(LayTable[[#This Row],[LayOdds]]-1))</f>
        <v/>
      </c>
      <c r="N1121" s="45" t="str">
        <f>IF(LayTable[[#This Row],[Sport]]="","",1/((1/LayTable[[#This Row],[BookieOdds]])+(1/((1/((1+((LayTable[[#This Row],[LayOdds]]-1)*(1+LayTable[[#This Row],[C% Lay]])))-1))+1)))-1)</f>
        <v/>
      </c>
      <c r="Q1121" s="46" t="str">
        <f>IF(LayTable[[#This Row],[Sport]]="","",LayTable[[#This Row],[BookieInnsats]]+LayTable[[#This Row],[LayLiability]])</f>
        <v/>
      </c>
      <c r="R11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1" s="47" t="str">
        <f>IF(LayTable[[#This Row],[Utfall bookie]]="","",LayTable[[#This Row],[WBABack]]+LayTable[[#This Row],[WBALay]]-LayTable[[#This Row],[Total inns]])</f>
        <v/>
      </c>
      <c r="U11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1" s="48" t="str">
        <f>IFERROR(IF(LayTable[[#This Row],[Total inns]]="","",LayTable[[#This Row],[Rback]]/LayTable[[#This Row],[Total inns]]),"")</f>
        <v/>
      </c>
      <c r="X1121" s="48" t="str">
        <f>IFERROR(IF(LayTable[[#This Row],[Total inns]]="","",LayTable[[#This Row],[Rlay]]/LayTable[[#This Row],[Total inns]]),"")</f>
        <v/>
      </c>
      <c r="Y1121" s="48" t="str">
        <f>IFERROR(LayTable[[#This Row],[Faktisk res]]/LayTable[[#This Row],[Total inns]],"")</f>
        <v/>
      </c>
      <c r="Z1121" s="47">
        <f>(LayTable[[#This Row],[BookieInnsats]]*LayTable[[#This Row],[BookieOdds]]-LayTable[[#This Row],[BookieInnsats]])*(1-LayTable[[#This Row],[C% Bookie]])</f>
        <v>0</v>
      </c>
      <c r="AA1121" s="43">
        <f>LayTable[[#This Row],[LayInnsats]]*(1-LayTable[[#This Row],[C% Lay]])</f>
        <v>0</v>
      </c>
      <c r="AB1121" s="43" t="str">
        <f>IFERROR(IF(LayTable[[#This Row],[Sport]]="",AB1120,LayTable[[#This Row],[Faktisk res]]+AB1120),"")</f>
        <v/>
      </c>
      <c r="AC1121" s="43">
        <f>(LayTable[[#This Row],[BackWin-Commission]]+LayTable[[#This Row],[BookieInnsats]])</f>
        <v>0</v>
      </c>
      <c r="AD1121" s="43" t="e">
        <f>(LayTable[[#This Row],[LayWin-Commission]])+LayTable[[#This Row],[LayLiability]]</f>
        <v>#VALUE!</v>
      </c>
      <c r="AE1121" s="43"/>
      <c r="AF1121" s="181"/>
    </row>
    <row r="1122" spans="1:32">
      <c r="A1122" s="84"/>
      <c r="B1122" s="39"/>
      <c r="C1122" s="40"/>
      <c r="D1122" s="41"/>
      <c r="E1122" s="40"/>
      <c r="F1122" s="41"/>
      <c r="G1122" s="101"/>
      <c r="H1122" s="38"/>
      <c r="I1122" s="42"/>
      <c r="J1122" s="42"/>
      <c r="K1122" s="43"/>
      <c r="L1122" s="43"/>
      <c r="M1122" s="44" t="str">
        <f>IF(LayTable[[#This Row],[Sport]]="","",LayTable[[#This Row],[LayInnsats]]*(LayTable[[#This Row],[LayOdds]]-1))</f>
        <v/>
      </c>
      <c r="N1122" s="45" t="str">
        <f>IF(LayTable[[#This Row],[Sport]]="","",1/((1/LayTable[[#This Row],[BookieOdds]])+(1/((1/((1+((LayTable[[#This Row],[LayOdds]]-1)*(1+LayTable[[#This Row],[C% Lay]])))-1))+1)))-1)</f>
        <v/>
      </c>
      <c r="Q1122" s="46" t="str">
        <f>IF(LayTable[[#This Row],[Sport]]="","",LayTable[[#This Row],[BookieInnsats]]+LayTable[[#This Row],[LayLiability]])</f>
        <v/>
      </c>
      <c r="R11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2" s="47" t="str">
        <f>IF(LayTable[[#This Row],[Utfall bookie]]="","",LayTable[[#This Row],[WBABack]]+LayTable[[#This Row],[WBALay]]-LayTable[[#This Row],[Total inns]])</f>
        <v/>
      </c>
      <c r="U11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2" s="48" t="str">
        <f>IFERROR(IF(LayTable[[#This Row],[Total inns]]="","",LayTable[[#This Row],[Rback]]/LayTable[[#This Row],[Total inns]]),"")</f>
        <v/>
      </c>
      <c r="X1122" s="48" t="str">
        <f>IFERROR(IF(LayTable[[#This Row],[Total inns]]="","",LayTable[[#This Row],[Rlay]]/LayTable[[#This Row],[Total inns]]),"")</f>
        <v/>
      </c>
      <c r="Y1122" s="48" t="str">
        <f>IFERROR(LayTable[[#This Row],[Faktisk res]]/LayTable[[#This Row],[Total inns]],"")</f>
        <v/>
      </c>
      <c r="Z1122" s="47">
        <f>(LayTable[[#This Row],[BookieInnsats]]*LayTable[[#This Row],[BookieOdds]]-LayTable[[#This Row],[BookieInnsats]])*(1-LayTable[[#This Row],[C% Bookie]])</f>
        <v>0</v>
      </c>
      <c r="AA1122" s="43">
        <f>LayTable[[#This Row],[LayInnsats]]*(1-LayTable[[#This Row],[C% Lay]])</f>
        <v>0</v>
      </c>
      <c r="AB1122" s="43" t="str">
        <f>IFERROR(IF(LayTable[[#This Row],[Sport]]="",AB1121,LayTable[[#This Row],[Faktisk res]]+AB1121),"")</f>
        <v/>
      </c>
      <c r="AC1122" s="43">
        <f>(LayTable[[#This Row],[BackWin-Commission]]+LayTable[[#This Row],[BookieInnsats]])</f>
        <v>0</v>
      </c>
      <c r="AD1122" s="43" t="e">
        <f>(LayTable[[#This Row],[LayWin-Commission]])+LayTable[[#This Row],[LayLiability]]</f>
        <v>#VALUE!</v>
      </c>
      <c r="AE1122" s="43"/>
      <c r="AF1122" s="181"/>
    </row>
    <row r="1123" spans="1:32">
      <c r="A1123" s="84"/>
      <c r="B1123" s="39"/>
      <c r="C1123" s="40"/>
      <c r="D1123" s="41"/>
      <c r="E1123" s="40"/>
      <c r="F1123" s="41"/>
      <c r="G1123" s="101"/>
      <c r="H1123" s="38"/>
      <c r="I1123" s="42"/>
      <c r="J1123" s="42"/>
      <c r="K1123" s="43"/>
      <c r="L1123" s="43"/>
      <c r="M1123" s="44" t="str">
        <f>IF(LayTable[[#This Row],[Sport]]="","",LayTable[[#This Row],[LayInnsats]]*(LayTable[[#This Row],[LayOdds]]-1))</f>
        <v/>
      </c>
      <c r="N1123" s="45" t="str">
        <f>IF(LayTable[[#This Row],[Sport]]="","",1/((1/LayTable[[#This Row],[BookieOdds]])+(1/((1/((1+((LayTable[[#This Row],[LayOdds]]-1)*(1+LayTable[[#This Row],[C% Lay]])))-1))+1)))-1)</f>
        <v/>
      </c>
      <c r="Q1123" s="46" t="str">
        <f>IF(LayTable[[#This Row],[Sport]]="","",LayTable[[#This Row],[BookieInnsats]]+LayTable[[#This Row],[LayLiability]])</f>
        <v/>
      </c>
      <c r="R11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3" s="47" t="str">
        <f>IF(LayTable[[#This Row],[Utfall bookie]]="","",LayTable[[#This Row],[WBABack]]+LayTable[[#This Row],[WBALay]]-LayTable[[#This Row],[Total inns]])</f>
        <v/>
      </c>
      <c r="U11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3" s="48" t="str">
        <f>IFERROR(IF(LayTable[[#This Row],[Total inns]]="","",LayTable[[#This Row],[Rback]]/LayTable[[#This Row],[Total inns]]),"")</f>
        <v/>
      </c>
      <c r="X1123" s="48" t="str">
        <f>IFERROR(IF(LayTable[[#This Row],[Total inns]]="","",LayTable[[#This Row],[Rlay]]/LayTable[[#This Row],[Total inns]]),"")</f>
        <v/>
      </c>
      <c r="Y1123" s="48" t="str">
        <f>IFERROR(LayTable[[#This Row],[Faktisk res]]/LayTable[[#This Row],[Total inns]],"")</f>
        <v/>
      </c>
      <c r="Z1123" s="47">
        <f>(LayTable[[#This Row],[BookieInnsats]]*LayTable[[#This Row],[BookieOdds]]-LayTable[[#This Row],[BookieInnsats]])*(1-LayTable[[#This Row],[C% Bookie]])</f>
        <v>0</v>
      </c>
      <c r="AA1123" s="43">
        <f>LayTable[[#This Row],[LayInnsats]]*(1-LayTable[[#This Row],[C% Lay]])</f>
        <v>0</v>
      </c>
      <c r="AB1123" s="43" t="str">
        <f>IFERROR(IF(LayTable[[#This Row],[Sport]]="",AB1122,LayTable[[#This Row],[Faktisk res]]+AB1122),"")</f>
        <v/>
      </c>
      <c r="AC1123" s="43">
        <f>(LayTable[[#This Row],[BackWin-Commission]]+LayTable[[#This Row],[BookieInnsats]])</f>
        <v>0</v>
      </c>
      <c r="AD1123" s="43" t="e">
        <f>(LayTable[[#This Row],[LayWin-Commission]])+LayTable[[#This Row],[LayLiability]]</f>
        <v>#VALUE!</v>
      </c>
      <c r="AE1123" s="43"/>
      <c r="AF1123" s="181"/>
    </row>
    <row r="1124" spans="1:32">
      <c r="A1124" s="84"/>
      <c r="B1124" s="39"/>
      <c r="C1124" s="40"/>
      <c r="D1124" s="41"/>
      <c r="E1124" s="40"/>
      <c r="F1124" s="41"/>
      <c r="G1124" s="101"/>
      <c r="H1124" s="38"/>
      <c r="I1124" s="42"/>
      <c r="J1124" s="42"/>
      <c r="K1124" s="43"/>
      <c r="L1124" s="43"/>
      <c r="M1124" s="44" t="str">
        <f>IF(LayTable[[#This Row],[Sport]]="","",LayTable[[#This Row],[LayInnsats]]*(LayTable[[#This Row],[LayOdds]]-1))</f>
        <v/>
      </c>
      <c r="N1124" s="45" t="str">
        <f>IF(LayTable[[#This Row],[Sport]]="","",1/((1/LayTable[[#This Row],[BookieOdds]])+(1/((1/((1+((LayTable[[#This Row],[LayOdds]]-1)*(1+LayTable[[#This Row],[C% Lay]])))-1))+1)))-1)</f>
        <v/>
      </c>
      <c r="Q1124" s="46" t="str">
        <f>IF(LayTable[[#This Row],[Sport]]="","",LayTable[[#This Row],[BookieInnsats]]+LayTable[[#This Row],[LayLiability]])</f>
        <v/>
      </c>
      <c r="R11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4" s="47" t="str">
        <f>IF(LayTable[[#This Row],[Utfall bookie]]="","",LayTable[[#This Row],[WBABack]]+LayTable[[#This Row],[WBALay]]-LayTable[[#This Row],[Total inns]])</f>
        <v/>
      </c>
      <c r="U11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4" s="48" t="str">
        <f>IFERROR(IF(LayTable[[#This Row],[Total inns]]="","",LayTable[[#This Row],[Rback]]/LayTable[[#This Row],[Total inns]]),"")</f>
        <v/>
      </c>
      <c r="X1124" s="48" t="str">
        <f>IFERROR(IF(LayTable[[#This Row],[Total inns]]="","",LayTable[[#This Row],[Rlay]]/LayTable[[#This Row],[Total inns]]),"")</f>
        <v/>
      </c>
      <c r="Y1124" s="48" t="str">
        <f>IFERROR(LayTable[[#This Row],[Faktisk res]]/LayTable[[#This Row],[Total inns]],"")</f>
        <v/>
      </c>
      <c r="Z1124" s="47">
        <f>(LayTable[[#This Row],[BookieInnsats]]*LayTable[[#This Row],[BookieOdds]]-LayTable[[#This Row],[BookieInnsats]])*(1-LayTable[[#This Row],[C% Bookie]])</f>
        <v>0</v>
      </c>
      <c r="AA1124" s="43">
        <f>LayTable[[#This Row],[LayInnsats]]*(1-LayTable[[#This Row],[C% Lay]])</f>
        <v>0</v>
      </c>
      <c r="AB1124" s="43" t="str">
        <f>IFERROR(IF(LayTable[[#This Row],[Sport]]="",AB1123,LayTable[[#This Row],[Faktisk res]]+AB1123),"")</f>
        <v/>
      </c>
      <c r="AC1124" s="43">
        <f>(LayTable[[#This Row],[BackWin-Commission]]+LayTable[[#This Row],[BookieInnsats]])</f>
        <v>0</v>
      </c>
      <c r="AD1124" s="43" t="e">
        <f>(LayTable[[#This Row],[LayWin-Commission]])+LayTable[[#This Row],[LayLiability]]</f>
        <v>#VALUE!</v>
      </c>
      <c r="AE1124" s="43"/>
      <c r="AF1124" s="181"/>
    </row>
    <row r="1125" spans="1:32">
      <c r="A1125" s="84"/>
      <c r="B1125" s="39"/>
      <c r="C1125" s="40"/>
      <c r="D1125" s="41"/>
      <c r="E1125" s="40"/>
      <c r="F1125" s="41"/>
      <c r="G1125" s="101"/>
      <c r="H1125" s="38"/>
      <c r="I1125" s="42"/>
      <c r="J1125" s="42"/>
      <c r="K1125" s="43"/>
      <c r="L1125" s="43"/>
      <c r="M1125" s="44" t="str">
        <f>IF(LayTable[[#This Row],[Sport]]="","",LayTable[[#This Row],[LayInnsats]]*(LayTable[[#This Row],[LayOdds]]-1))</f>
        <v/>
      </c>
      <c r="N1125" s="45" t="str">
        <f>IF(LayTable[[#This Row],[Sport]]="","",1/((1/LayTable[[#This Row],[BookieOdds]])+(1/((1/((1+((LayTable[[#This Row],[LayOdds]]-1)*(1+LayTable[[#This Row],[C% Lay]])))-1))+1)))-1)</f>
        <v/>
      </c>
      <c r="Q1125" s="46" t="str">
        <f>IF(LayTable[[#This Row],[Sport]]="","",LayTable[[#This Row],[BookieInnsats]]+LayTable[[#This Row],[LayLiability]])</f>
        <v/>
      </c>
      <c r="R11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5" s="47" t="str">
        <f>IF(LayTable[[#This Row],[Utfall bookie]]="","",LayTable[[#This Row],[WBABack]]+LayTable[[#This Row],[WBALay]]-LayTable[[#This Row],[Total inns]])</f>
        <v/>
      </c>
      <c r="U11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5" s="48" t="str">
        <f>IFERROR(IF(LayTable[[#This Row],[Total inns]]="","",LayTable[[#This Row],[Rback]]/LayTable[[#This Row],[Total inns]]),"")</f>
        <v/>
      </c>
      <c r="X1125" s="48" t="str">
        <f>IFERROR(IF(LayTable[[#This Row],[Total inns]]="","",LayTable[[#This Row],[Rlay]]/LayTable[[#This Row],[Total inns]]),"")</f>
        <v/>
      </c>
      <c r="Y1125" s="48" t="str">
        <f>IFERROR(LayTable[[#This Row],[Faktisk res]]/LayTable[[#This Row],[Total inns]],"")</f>
        <v/>
      </c>
      <c r="Z1125" s="47">
        <f>(LayTable[[#This Row],[BookieInnsats]]*LayTable[[#This Row],[BookieOdds]]-LayTable[[#This Row],[BookieInnsats]])*(1-LayTable[[#This Row],[C% Bookie]])</f>
        <v>0</v>
      </c>
      <c r="AA1125" s="43">
        <f>LayTable[[#This Row],[LayInnsats]]*(1-LayTable[[#This Row],[C% Lay]])</f>
        <v>0</v>
      </c>
      <c r="AB1125" s="43" t="str">
        <f>IFERROR(IF(LayTable[[#This Row],[Sport]]="",AB1124,LayTable[[#This Row],[Faktisk res]]+AB1124),"")</f>
        <v/>
      </c>
      <c r="AC1125" s="43">
        <f>(LayTable[[#This Row],[BackWin-Commission]]+LayTable[[#This Row],[BookieInnsats]])</f>
        <v>0</v>
      </c>
      <c r="AD1125" s="43" t="e">
        <f>(LayTable[[#This Row],[LayWin-Commission]])+LayTable[[#This Row],[LayLiability]]</f>
        <v>#VALUE!</v>
      </c>
      <c r="AE1125" s="43"/>
      <c r="AF1125" s="181"/>
    </row>
    <row r="1126" spans="1:32">
      <c r="A1126" s="84"/>
      <c r="B1126" s="39"/>
      <c r="C1126" s="40"/>
      <c r="D1126" s="41"/>
      <c r="E1126" s="40"/>
      <c r="F1126" s="41"/>
      <c r="G1126" s="101"/>
      <c r="H1126" s="38"/>
      <c r="I1126" s="42"/>
      <c r="J1126" s="42"/>
      <c r="K1126" s="43"/>
      <c r="L1126" s="43"/>
      <c r="M1126" s="44" t="str">
        <f>IF(LayTable[[#This Row],[Sport]]="","",LayTable[[#This Row],[LayInnsats]]*(LayTable[[#This Row],[LayOdds]]-1))</f>
        <v/>
      </c>
      <c r="N1126" s="45" t="str">
        <f>IF(LayTable[[#This Row],[Sport]]="","",1/((1/LayTable[[#This Row],[BookieOdds]])+(1/((1/((1+((LayTable[[#This Row],[LayOdds]]-1)*(1+LayTable[[#This Row],[C% Lay]])))-1))+1)))-1)</f>
        <v/>
      </c>
      <c r="Q1126" s="46" t="str">
        <f>IF(LayTable[[#This Row],[Sport]]="","",LayTable[[#This Row],[BookieInnsats]]+LayTable[[#This Row],[LayLiability]])</f>
        <v/>
      </c>
      <c r="R11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6" s="47" t="str">
        <f>IF(LayTable[[#This Row],[Utfall bookie]]="","",LayTable[[#This Row],[WBABack]]+LayTable[[#This Row],[WBALay]]-LayTable[[#This Row],[Total inns]])</f>
        <v/>
      </c>
      <c r="U11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6" s="48" t="str">
        <f>IFERROR(IF(LayTable[[#This Row],[Total inns]]="","",LayTable[[#This Row],[Rback]]/LayTable[[#This Row],[Total inns]]),"")</f>
        <v/>
      </c>
      <c r="X1126" s="48" t="str">
        <f>IFERROR(IF(LayTable[[#This Row],[Total inns]]="","",LayTable[[#This Row],[Rlay]]/LayTable[[#This Row],[Total inns]]),"")</f>
        <v/>
      </c>
      <c r="Y1126" s="48" t="str">
        <f>IFERROR(LayTable[[#This Row],[Faktisk res]]/LayTable[[#This Row],[Total inns]],"")</f>
        <v/>
      </c>
      <c r="Z1126" s="47">
        <f>(LayTable[[#This Row],[BookieInnsats]]*LayTable[[#This Row],[BookieOdds]]-LayTable[[#This Row],[BookieInnsats]])*(1-LayTable[[#This Row],[C% Bookie]])</f>
        <v>0</v>
      </c>
      <c r="AA1126" s="43">
        <f>LayTable[[#This Row],[LayInnsats]]*(1-LayTable[[#This Row],[C% Lay]])</f>
        <v>0</v>
      </c>
      <c r="AB1126" s="43" t="str">
        <f>IFERROR(IF(LayTable[[#This Row],[Sport]]="",AB1125,LayTable[[#This Row],[Faktisk res]]+AB1125),"")</f>
        <v/>
      </c>
      <c r="AC1126" s="43">
        <f>(LayTable[[#This Row],[BackWin-Commission]]+LayTable[[#This Row],[BookieInnsats]])</f>
        <v>0</v>
      </c>
      <c r="AD1126" s="43" t="e">
        <f>(LayTable[[#This Row],[LayWin-Commission]])+LayTable[[#This Row],[LayLiability]]</f>
        <v>#VALUE!</v>
      </c>
      <c r="AE1126" s="43"/>
      <c r="AF1126" s="181"/>
    </row>
    <row r="1127" spans="1:32">
      <c r="A1127" s="84"/>
      <c r="B1127" s="39"/>
      <c r="C1127" s="40"/>
      <c r="D1127" s="41"/>
      <c r="E1127" s="40"/>
      <c r="F1127" s="41"/>
      <c r="G1127" s="101"/>
      <c r="H1127" s="38"/>
      <c r="I1127" s="42"/>
      <c r="J1127" s="42"/>
      <c r="K1127" s="43"/>
      <c r="L1127" s="43"/>
      <c r="M1127" s="44" t="str">
        <f>IF(LayTable[[#This Row],[Sport]]="","",LayTable[[#This Row],[LayInnsats]]*(LayTable[[#This Row],[LayOdds]]-1))</f>
        <v/>
      </c>
      <c r="N1127" s="45" t="str">
        <f>IF(LayTable[[#This Row],[Sport]]="","",1/((1/LayTable[[#This Row],[BookieOdds]])+(1/((1/((1+((LayTable[[#This Row],[LayOdds]]-1)*(1+LayTable[[#This Row],[C% Lay]])))-1))+1)))-1)</f>
        <v/>
      </c>
      <c r="Q1127" s="46" t="str">
        <f>IF(LayTable[[#This Row],[Sport]]="","",LayTable[[#This Row],[BookieInnsats]]+LayTable[[#This Row],[LayLiability]])</f>
        <v/>
      </c>
      <c r="R11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7" s="47" t="str">
        <f>IF(LayTable[[#This Row],[Utfall bookie]]="","",LayTable[[#This Row],[WBABack]]+LayTable[[#This Row],[WBALay]]-LayTable[[#This Row],[Total inns]])</f>
        <v/>
      </c>
      <c r="U11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7" s="48" t="str">
        <f>IFERROR(IF(LayTable[[#This Row],[Total inns]]="","",LayTable[[#This Row],[Rback]]/LayTable[[#This Row],[Total inns]]),"")</f>
        <v/>
      </c>
      <c r="X1127" s="48" t="str">
        <f>IFERROR(IF(LayTable[[#This Row],[Total inns]]="","",LayTable[[#This Row],[Rlay]]/LayTable[[#This Row],[Total inns]]),"")</f>
        <v/>
      </c>
      <c r="Y1127" s="48" t="str">
        <f>IFERROR(LayTable[[#This Row],[Faktisk res]]/LayTable[[#This Row],[Total inns]],"")</f>
        <v/>
      </c>
      <c r="Z1127" s="47">
        <f>(LayTable[[#This Row],[BookieInnsats]]*LayTable[[#This Row],[BookieOdds]]-LayTable[[#This Row],[BookieInnsats]])*(1-LayTable[[#This Row],[C% Bookie]])</f>
        <v>0</v>
      </c>
      <c r="AA1127" s="43">
        <f>LayTable[[#This Row],[LayInnsats]]*(1-LayTable[[#This Row],[C% Lay]])</f>
        <v>0</v>
      </c>
      <c r="AB1127" s="43" t="str">
        <f>IFERROR(IF(LayTable[[#This Row],[Sport]]="",AB1126,LayTable[[#This Row],[Faktisk res]]+AB1126),"")</f>
        <v/>
      </c>
      <c r="AC1127" s="43">
        <f>(LayTable[[#This Row],[BackWin-Commission]]+LayTable[[#This Row],[BookieInnsats]])</f>
        <v>0</v>
      </c>
      <c r="AD1127" s="43" t="e">
        <f>(LayTable[[#This Row],[LayWin-Commission]])+LayTable[[#This Row],[LayLiability]]</f>
        <v>#VALUE!</v>
      </c>
      <c r="AE1127" s="43"/>
      <c r="AF1127" s="181"/>
    </row>
    <row r="1128" spans="1:32">
      <c r="A1128" s="84"/>
      <c r="B1128" s="39"/>
      <c r="C1128" s="40"/>
      <c r="D1128" s="41"/>
      <c r="E1128" s="40"/>
      <c r="F1128" s="41"/>
      <c r="G1128" s="101"/>
      <c r="H1128" s="38"/>
      <c r="I1128" s="42"/>
      <c r="J1128" s="42"/>
      <c r="K1128" s="43"/>
      <c r="L1128" s="43"/>
      <c r="M1128" s="44" t="str">
        <f>IF(LayTable[[#This Row],[Sport]]="","",LayTable[[#This Row],[LayInnsats]]*(LayTable[[#This Row],[LayOdds]]-1))</f>
        <v/>
      </c>
      <c r="N1128" s="45" t="str">
        <f>IF(LayTable[[#This Row],[Sport]]="","",1/((1/LayTable[[#This Row],[BookieOdds]])+(1/((1/((1+((LayTable[[#This Row],[LayOdds]]-1)*(1+LayTable[[#This Row],[C% Lay]])))-1))+1)))-1)</f>
        <v/>
      </c>
      <c r="Q1128" s="46" t="str">
        <f>IF(LayTable[[#This Row],[Sport]]="","",LayTable[[#This Row],[BookieInnsats]]+LayTable[[#This Row],[LayLiability]])</f>
        <v/>
      </c>
      <c r="R11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8" s="47" t="str">
        <f>IF(LayTable[[#This Row],[Utfall bookie]]="","",LayTable[[#This Row],[WBABack]]+LayTable[[#This Row],[WBALay]]-LayTable[[#This Row],[Total inns]])</f>
        <v/>
      </c>
      <c r="U11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8" s="48" t="str">
        <f>IFERROR(IF(LayTable[[#This Row],[Total inns]]="","",LayTable[[#This Row],[Rback]]/LayTable[[#This Row],[Total inns]]),"")</f>
        <v/>
      </c>
      <c r="X1128" s="48" t="str">
        <f>IFERROR(IF(LayTable[[#This Row],[Total inns]]="","",LayTable[[#This Row],[Rlay]]/LayTable[[#This Row],[Total inns]]),"")</f>
        <v/>
      </c>
      <c r="Y1128" s="48" t="str">
        <f>IFERROR(LayTable[[#This Row],[Faktisk res]]/LayTable[[#This Row],[Total inns]],"")</f>
        <v/>
      </c>
      <c r="Z1128" s="47">
        <f>(LayTable[[#This Row],[BookieInnsats]]*LayTable[[#This Row],[BookieOdds]]-LayTable[[#This Row],[BookieInnsats]])*(1-LayTable[[#This Row],[C% Bookie]])</f>
        <v>0</v>
      </c>
      <c r="AA1128" s="43">
        <f>LayTable[[#This Row],[LayInnsats]]*(1-LayTable[[#This Row],[C% Lay]])</f>
        <v>0</v>
      </c>
      <c r="AB1128" s="43" t="str">
        <f>IFERROR(IF(LayTable[[#This Row],[Sport]]="",AB1127,LayTable[[#This Row],[Faktisk res]]+AB1127),"")</f>
        <v/>
      </c>
      <c r="AC1128" s="43">
        <f>(LayTable[[#This Row],[BackWin-Commission]]+LayTable[[#This Row],[BookieInnsats]])</f>
        <v>0</v>
      </c>
      <c r="AD1128" s="43" t="e">
        <f>(LayTable[[#This Row],[LayWin-Commission]])+LayTable[[#This Row],[LayLiability]]</f>
        <v>#VALUE!</v>
      </c>
      <c r="AE1128" s="43"/>
      <c r="AF1128" s="181"/>
    </row>
    <row r="1129" spans="1:32">
      <c r="A1129" s="84"/>
      <c r="B1129" s="39"/>
      <c r="C1129" s="40"/>
      <c r="D1129" s="41"/>
      <c r="E1129" s="40"/>
      <c r="F1129" s="41"/>
      <c r="G1129" s="101"/>
      <c r="H1129" s="38"/>
      <c r="I1129" s="42"/>
      <c r="J1129" s="42"/>
      <c r="K1129" s="43"/>
      <c r="L1129" s="43"/>
      <c r="M1129" s="44" t="str">
        <f>IF(LayTable[[#This Row],[Sport]]="","",LayTable[[#This Row],[LayInnsats]]*(LayTable[[#This Row],[LayOdds]]-1))</f>
        <v/>
      </c>
      <c r="N1129" s="45" t="str">
        <f>IF(LayTable[[#This Row],[Sport]]="","",1/((1/LayTable[[#This Row],[BookieOdds]])+(1/((1/((1+((LayTable[[#This Row],[LayOdds]]-1)*(1+LayTable[[#This Row],[C% Lay]])))-1))+1)))-1)</f>
        <v/>
      </c>
      <c r="Q1129" s="46" t="str">
        <f>IF(LayTable[[#This Row],[Sport]]="","",LayTable[[#This Row],[BookieInnsats]]+LayTable[[#This Row],[LayLiability]])</f>
        <v/>
      </c>
      <c r="R11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29" s="47" t="str">
        <f>IF(LayTable[[#This Row],[Utfall bookie]]="","",LayTable[[#This Row],[WBABack]]+LayTable[[#This Row],[WBALay]]-LayTable[[#This Row],[Total inns]])</f>
        <v/>
      </c>
      <c r="U11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29" s="48" t="str">
        <f>IFERROR(IF(LayTable[[#This Row],[Total inns]]="","",LayTable[[#This Row],[Rback]]/LayTable[[#This Row],[Total inns]]),"")</f>
        <v/>
      </c>
      <c r="X1129" s="48" t="str">
        <f>IFERROR(IF(LayTable[[#This Row],[Total inns]]="","",LayTable[[#This Row],[Rlay]]/LayTable[[#This Row],[Total inns]]),"")</f>
        <v/>
      </c>
      <c r="Y1129" s="48" t="str">
        <f>IFERROR(LayTable[[#This Row],[Faktisk res]]/LayTable[[#This Row],[Total inns]],"")</f>
        <v/>
      </c>
      <c r="Z1129" s="47">
        <f>(LayTable[[#This Row],[BookieInnsats]]*LayTable[[#This Row],[BookieOdds]]-LayTable[[#This Row],[BookieInnsats]])*(1-LayTable[[#This Row],[C% Bookie]])</f>
        <v>0</v>
      </c>
      <c r="AA1129" s="43">
        <f>LayTable[[#This Row],[LayInnsats]]*(1-LayTable[[#This Row],[C% Lay]])</f>
        <v>0</v>
      </c>
      <c r="AB1129" s="43" t="str">
        <f>IFERROR(IF(LayTable[[#This Row],[Sport]]="",AB1128,LayTable[[#This Row],[Faktisk res]]+AB1128),"")</f>
        <v/>
      </c>
      <c r="AC1129" s="43">
        <f>(LayTable[[#This Row],[BackWin-Commission]]+LayTable[[#This Row],[BookieInnsats]])</f>
        <v>0</v>
      </c>
      <c r="AD1129" s="43" t="e">
        <f>(LayTable[[#This Row],[LayWin-Commission]])+LayTable[[#This Row],[LayLiability]]</f>
        <v>#VALUE!</v>
      </c>
      <c r="AE1129" s="43"/>
      <c r="AF1129" s="181"/>
    </row>
    <row r="1130" spans="1:32">
      <c r="A1130" s="84"/>
      <c r="B1130" s="39"/>
      <c r="C1130" s="40"/>
      <c r="D1130" s="41"/>
      <c r="E1130" s="40"/>
      <c r="F1130" s="41"/>
      <c r="G1130" s="101"/>
      <c r="H1130" s="38"/>
      <c r="I1130" s="42"/>
      <c r="J1130" s="42"/>
      <c r="K1130" s="43"/>
      <c r="L1130" s="43"/>
      <c r="M1130" s="44" t="str">
        <f>IF(LayTable[[#This Row],[Sport]]="","",LayTable[[#This Row],[LayInnsats]]*(LayTable[[#This Row],[LayOdds]]-1))</f>
        <v/>
      </c>
      <c r="N1130" s="45" t="str">
        <f>IF(LayTable[[#This Row],[Sport]]="","",1/((1/LayTable[[#This Row],[BookieOdds]])+(1/((1/((1+((LayTable[[#This Row],[LayOdds]]-1)*(1+LayTable[[#This Row],[C% Lay]])))-1))+1)))-1)</f>
        <v/>
      </c>
      <c r="Q1130" s="46" t="str">
        <f>IF(LayTable[[#This Row],[Sport]]="","",LayTable[[#This Row],[BookieInnsats]]+LayTable[[#This Row],[LayLiability]])</f>
        <v/>
      </c>
      <c r="R11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0" s="47" t="str">
        <f>IF(LayTable[[#This Row],[Utfall bookie]]="","",LayTable[[#This Row],[WBABack]]+LayTable[[#This Row],[WBALay]]-LayTable[[#This Row],[Total inns]])</f>
        <v/>
      </c>
      <c r="U11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0" s="48" t="str">
        <f>IFERROR(IF(LayTable[[#This Row],[Total inns]]="","",LayTable[[#This Row],[Rback]]/LayTable[[#This Row],[Total inns]]),"")</f>
        <v/>
      </c>
      <c r="X1130" s="48" t="str">
        <f>IFERROR(IF(LayTable[[#This Row],[Total inns]]="","",LayTable[[#This Row],[Rlay]]/LayTable[[#This Row],[Total inns]]),"")</f>
        <v/>
      </c>
      <c r="Y1130" s="48" t="str">
        <f>IFERROR(LayTable[[#This Row],[Faktisk res]]/LayTable[[#This Row],[Total inns]],"")</f>
        <v/>
      </c>
      <c r="Z1130" s="47">
        <f>(LayTable[[#This Row],[BookieInnsats]]*LayTable[[#This Row],[BookieOdds]]-LayTable[[#This Row],[BookieInnsats]])*(1-LayTable[[#This Row],[C% Bookie]])</f>
        <v>0</v>
      </c>
      <c r="AA1130" s="43">
        <f>LayTable[[#This Row],[LayInnsats]]*(1-LayTable[[#This Row],[C% Lay]])</f>
        <v>0</v>
      </c>
      <c r="AB1130" s="43" t="str">
        <f>IFERROR(IF(LayTable[[#This Row],[Sport]]="",AB1129,LayTable[[#This Row],[Faktisk res]]+AB1129),"")</f>
        <v/>
      </c>
      <c r="AC1130" s="43">
        <f>(LayTable[[#This Row],[BackWin-Commission]]+LayTable[[#This Row],[BookieInnsats]])</f>
        <v>0</v>
      </c>
      <c r="AD1130" s="43" t="e">
        <f>(LayTable[[#This Row],[LayWin-Commission]])+LayTable[[#This Row],[LayLiability]]</f>
        <v>#VALUE!</v>
      </c>
      <c r="AE1130" s="43"/>
      <c r="AF1130" s="181"/>
    </row>
    <row r="1131" spans="1:32">
      <c r="A1131" s="84"/>
      <c r="B1131" s="39"/>
      <c r="C1131" s="40"/>
      <c r="D1131" s="41"/>
      <c r="E1131" s="40"/>
      <c r="F1131" s="41"/>
      <c r="G1131" s="101"/>
      <c r="H1131" s="38"/>
      <c r="I1131" s="42"/>
      <c r="J1131" s="42"/>
      <c r="K1131" s="43"/>
      <c r="L1131" s="43"/>
      <c r="M1131" s="44" t="str">
        <f>IF(LayTable[[#This Row],[Sport]]="","",LayTable[[#This Row],[LayInnsats]]*(LayTable[[#This Row],[LayOdds]]-1))</f>
        <v/>
      </c>
      <c r="N1131" s="45" t="str">
        <f>IF(LayTable[[#This Row],[Sport]]="","",1/((1/LayTable[[#This Row],[BookieOdds]])+(1/((1/((1+((LayTable[[#This Row],[LayOdds]]-1)*(1+LayTable[[#This Row],[C% Lay]])))-1))+1)))-1)</f>
        <v/>
      </c>
      <c r="Q1131" s="46" t="str">
        <f>IF(LayTable[[#This Row],[Sport]]="","",LayTable[[#This Row],[BookieInnsats]]+LayTable[[#This Row],[LayLiability]])</f>
        <v/>
      </c>
      <c r="R11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1" s="47" t="str">
        <f>IF(LayTable[[#This Row],[Utfall bookie]]="","",LayTable[[#This Row],[WBABack]]+LayTable[[#This Row],[WBALay]]-LayTable[[#This Row],[Total inns]])</f>
        <v/>
      </c>
      <c r="U11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1" s="48" t="str">
        <f>IFERROR(IF(LayTable[[#This Row],[Total inns]]="","",LayTable[[#This Row],[Rback]]/LayTable[[#This Row],[Total inns]]),"")</f>
        <v/>
      </c>
      <c r="X1131" s="48" t="str">
        <f>IFERROR(IF(LayTable[[#This Row],[Total inns]]="","",LayTable[[#This Row],[Rlay]]/LayTable[[#This Row],[Total inns]]),"")</f>
        <v/>
      </c>
      <c r="Y1131" s="48" t="str">
        <f>IFERROR(LayTable[[#This Row],[Faktisk res]]/LayTable[[#This Row],[Total inns]],"")</f>
        <v/>
      </c>
      <c r="Z1131" s="47">
        <f>(LayTable[[#This Row],[BookieInnsats]]*LayTable[[#This Row],[BookieOdds]]-LayTable[[#This Row],[BookieInnsats]])*(1-LayTable[[#This Row],[C% Bookie]])</f>
        <v>0</v>
      </c>
      <c r="AA1131" s="43">
        <f>LayTable[[#This Row],[LayInnsats]]*(1-LayTable[[#This Row],[C% Lay]])</f>
        <v>0</v>
      </c>
      <c r="AB1131" s="43" t="str">
        <f>IFERROR(IF(LayTable[[#This Row],[Sport]]="",AB1130,LayTable[[#This Row],[Faktisk res]]+AB1130),"")</f>
        <v/>
      </c>
      <c r="AC1131" s="43">
        <f>(LayTable[[#This Row],[BackWin-Commission]]+LayTable[[#This Row],[BookieInnsats]])</f>
        <v>0</v>
      </c>
      <c r="AD1131" s="43" t="e">
        <f>(LayTable[[#This Row],[LayWin-Commission]])+LayTable[[#This Row],[LayLiability]]</f>
        <v>#VALUE!</v>
      </c>
      <c r="AE1131" s="43"/>
      <c r="AF1131" s="181"/>
    </row>
    <row r="1132" spans="1:32">
      <c r="A1132" s="84"/>
      <c r="B1132" s="39"/>
      <c r="C1132" s="40"/>
      <c r="D1132" s="41"/>
      <c r="E1132" s="40"/>
      <c r="F1132" s="41"/>
      <c r="G1132" s="101"/>
      <c r="H1132" s="38"/>
      <c r="I1132" s="42"/>
      <c r="J1132" s="42"/>
      <c r="K1132" s="43"/>
      <c r="L1132" s="43"/>
      <c r="M1132" s="44" t="str">
        <f>IF(LayTable[[#This Row],[Sport]]="","",LayTable[[#This Row],[LayInnsats]]*(LayTable[[#This Row],[LayOdds]]-1))</f>
        <v/>
      </c>
      <c r="N1132" s="45" t="str">
        <f>IF(LayTable[[#This Row],[Sport]]="","",1/((1/LayTable[[#This Row],[BookieOdds]])+(1/((1/((1+((LayTable[[#This Row],[LayOdds]]-1)*(1+LayTable[[#This Row],[C% Lay]])))-1))+1)))-1)</f>
        <v/>
      </c>
      <c r="Q1132" s="46" t="str">
        <f>IF(LayTable[[#This Row],[Sport]]="","",LayTable[[#This Row],[BookieInnsats]]+LayTable[[#This Row],[LayLiability]])</f>
        <v/>
      </c>
      <c r="R11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2" s="47" t="str">
        <f>IF(LayTable[[#This Row],[Utfall bookie]]="","",LayTable[[#This Row],[WBABack]]+LayTable[[#This Row],[WBALay]]-LayTable[[#This Row],[Total inns]])</f>
        <v/>
      </c>
      <c r="U11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2" s="48" t="str">
        <f>IFERROR(IF(LayTable[[#This Row],[Total inns]]="","",LayTable[[#This Row],[Rback]]/LayTable[[#This Row],[Total inns]]),"")</f>
        <v/>
      </c>
      <c r="X1132" s="48" t="str">
        <f>IFERROR(IF(LayTable[[#This Row],[Total inns]]="","",LayTable[[#This Row],[Rlay]]/LayTable[[#This Row],[Total inns]]),"")</f>
        <v/>
      </c>
      <c r="Y1132" s="48" t="str">
        <f>IFERROR(LayTable[[#This Row],[Faktisk res]]/LayTable[[#This Row],[Total inns]],"")</f>
        <v/>
      </c>
      <c r="Z1132" s="47">
        <f>(LayTable[[#This Row],[BookieInnsats]]*LayTable[[#This Row],[BookieOdds]]-LayTable[[#This Row],[BookieInnsats]])*(1-LayTable[[#This Row],[C% Bookie]])</f>
        <v>0</v>
      </c>
      <c r="AA1132" s="43">
        <f>LayTable[[#This Row],[LayInnsats]]*(1-LayTable[[#This Row],[C% Lay]])</f>
        <v>0</v>
      </c>
      <c r="AB1132" s="43" t="str">
        <f>IFERROR(IF(LayTable[[#This Row],[Sport]]="",AB1131,LayTable[[#This Row],[Faktisk res]]+AB1131),"")</f>
        <v/>
      </c>
      <c r="AC1132" s="43">
        <f>(LayTable[[#This Row],[BackWin-Commission]]+LayTable[[#This Row],[BookieInnsats]])</f>
        <v>0</v>
      </c>
      <c r="AD1132" s="43" t="e">
        <f>(LayTable[[#This Row],[LayWin-Commission]])+LayTable[[#This Row],[LayLiability]]</f>
        <v>#VALUE!</v>
      </c>
      <c r="AE1132" s="43"/>
      <c r="AF1132" s="181"/>
    </row>
    <row r="1133" spans="1:32">
      <c r="A1133" s="84"/>
      <c r="B1133" s="39"/>
      <c r="C1133" s="40"/>
      <c r="D1133" s="41"/>
      <c r="E1133" s="40"/>
      <c r="F1133" s="41"/>
      <c r="G1133" s="101"/>
      <c r="H1133" s="38"/>
      <c r="I1133" s="42"/>
      <c r="J1133" s="42"/>
      <c r="K1133" s="43"/>
      <c r="L1133" s="43"/>
      <c r="M1133" s="44" t="str">
        <f>IF(LayTable[[#This Row],[Sport]]="","",LayTable[[#This Row],[LayInnsats]]*(LayTable[[#This Row],[LayOdds]]-1))</f>
        <v/>
      </c>
      <c r="N1133" s="45" t="str">
        <f>IF(LayTable[[#This Row],[Sport]]="","",1/((1/LayTable[[#This Row],[BookieOdds]])+(1/((1/((1+((LayTable[[#This Row],[LayOdds]]-1)*(1+LayTable[[#This Row],[C% Lay]])))-1))+1)))-1)</f>
        <v/>
      </c>
      <c r="Q1133" s="46" t="str">
        <f>IF(LayTable[[#This Row],[Sport]]="","",LayTable[[#This Row],[BookieInnsats]]+LayTable[[#This Row],[LayLiability]])</f>
        <v/>
      </c>
      <c r="R11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3" s="47" t="str">
        <f>IF(LayTable[[#This Row],[Utfall bookie]]="","",LayTable[[#This Row],[WBABack]]+LayTable[[#This Row],[WBALay]]-LayTable[[#This Row],[Total inns]])</f>
        <v/>
      </c>
      <c r="U11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3" s="48" t="str">
        <f>IFERROR(IF(LayTable[[#This Row],[Total inns]]="","",LayTable[[#This Row],[Rback]]/LayTable[[#This Row],[Total inns]]),"")</f>
        <v/>
      </c>
      <c r="X1133" s="48" t="str">
        <f>IFERROR(IF(LayTable[[#This Row],[Total inns]]="","",LayTable[[#This Row],[Rlay]]/LayTable[[#This Row],[Total inns]]),"")</f>
        <v/>
      </c>
      <c r="Y1133" s="48" t="str">
        <f>IFERROR(LayTable[[#This Row],[Faktisk res]]/LayTable[[#This Row],[Total inns]],"")</f>
        <v/>
      </c>
      <c r="Z1133" s="47">
        <f>(LayTable[[#This Row],[BookieInnsats]]*LayTable[[#This Row],[BookieOdds]]-LayTable[[#This Row],[BookieInnsats]])*(1-LayTable[[#This Row],[C% Bookie]])</f>
        <v>0</v>
      </c>
      <c r="AA1133" s="43">
        <f>LayTable[[#This Row],[LayInnsats]]*(1-LayTable[[#This Row],[C% Lay]])</f>
        <v>0</v>
      </c>
      <c r="AB1133" s="43" t="str">
        <f>IFERROR(IF(LayTable[[#This Row],[Sport]]="",AB1132,LayTable[[#This Row],[Faktisk res]]+AB1132),"")</f>
        <v/>
      </c>
      <c r="AC1133" s="43">
        <f>(LayTable[[#This Row],[BackWin-Commission]]+LayTable[[#This Row],[BookieInnsats]])</f>
        <v>0</v>
      </c>
      <c r="AD1133" s="43" t="e">
        <f>(LayTable[[#This Row],[LayWin-Commission]])+LayTable[[#This Row],[LayLiability]]</f>
        <v>#VALUE!</v>
      </c>
      <c r="AE1133" s="43"/>
      <c r="AF1133" s="181"/>
    </row>
    <row r="1134" spans="1:32">
      <c r="A1134" s="84"/>
      <c r="B1134" s="39"/>
      <c r="C1134" s="40"/>
      <c r="D1134" s="41"/>
      <c r="E1134" s="40"/>
      <c r="F1134" s="41"/>
      <c r="G1134" s="101"/>
      <c r="H1134" s="38"/>
      <c r="I1134" s="42"/>
      <c r="J1134" s="42"/>
      <c r="K1134" s="43"/>
      <c r="L1134" s="43"/>
      <c r="M1134" s="44" t="str">
        <f>IF(LayTable[[#This Row],[Sport]]="","",LayTable[[#This Row],[LayInnsats]]*(LayTable[[#This Row],[LayOdds]]-1))</f>
        <v/>
      </c>
      <c r="N1134" s="45" t="str">
        <f>IF(LayTable[[#This Row],[Sport]]="","",1/((1/LayTable[[#This Row],[BookieOdds]])+(1/((1/((1+((LayTable[[#This Row],[LayOdds]]-1)*(1+LayTable[[#This Row],[C% Lay]])))-1))+1)))-1)</f>
        <v/>
      </c>
      <c r="Q1134" s="46" t="str">
        <f>IF(LayTable[[#This Row],[Sport]]="","",LayTable[[#This Row],[BookieInnsats]]+LayTable[[#This Row],[LayLiability]])</f>
        <v/>
      </c>
      <c r="R11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4" s="47" t="str">
        <f>IF(LayTable[[#This Row],[Utfall bookie]]="","",LayTable[[#This Row],[WBABack]]+LayTable[[#This Row],[WBALay]]-LayTable[[#This Row],[Total inns]])</f>
        <v/>
      </c>
      <c r="U11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4" s="48" t="str">
        <f>IFERROR(IF(LayTable[[#This Row],[Total inns]]="","",LayTable[[#This Row],[Rback]]/LayTable[[#This Row],[Total inns]]),"")</f>
        <v/>
      </c>
      <c r="X1134" s="48" t="str">
        <f>IFERROR(IF(LayTable[[#This Row],[Total inns]]="","",LayTable[[#This Row],[Rlay]]/LayTable[[#This Row],[Total inns]]),"")</f>
        <v/>
      </c>
      <c r="Y1134" s="48" t="str">
        <f>IFERROR(LayTable[[#This Row],[Faktisk res]]/LayTable[[#This Row],[Total inns]],"")</f>
        <v/>
      </c>
      <c r="Z1134" s="47">
        <f>(LayTable[[#This Row],[BookieInnsats]]*LayTable[[#This Row],[BookieOdds]]-LayTable[[#This Row],[BookieInnsats]])*(1-LayTable[[#This Row],[C% Bookie]])</f>
        <v>0</v>
      </c>
      <c r="AA1134" s="43">
        <f>LayTable[[#This Row],[LayInnsats]]*(1-LayTable[[#This Row],[C% Lay]])</f>
        <v>0</v>
      </c>
      <c r="AB1134" s="43" t="str">
        <f>IFERROR(IF(LayTable[[#This Row],[Sport]]="",AB1133,LayTable[[#This Row],[Faktisk res]]+AB1133),"")</f>
        <v/>
      </c>
      <c r="AC1134" s="43">
        <f>(LayTable[[#This Row],[BackWin-Commission]]+LayTable[[#This Row],[BookieInnsats]])</f>
        <v>0</v>
      </c>
      <c r="AD1134" s="43" t="e">
        <f>(LayTable[[#This Row],[LayWin-Commission]])+LayTable[[#This Row],[LayLiability]]</f>
        <v>#VALUE!</v>
      </c>
      <c r="AE1134" s="43"/>
      <c r="AF1134" s="181"/>
    </row>
    <row r="1135" spans="1:32">
      <c r="A1135" s="84"/>
      <c r="B1135" s="39"/>
      <c r="C1135" s="40"/>
      <c r="D1135" s="41"/>
      <c r="E1135" s="40"/>
      <c r="F1135" s="41"/>
      <c r="G1135" s="101"/>
      <c r="H1135" s="38"/>
      <c r="I1135" s="42"/>
      <c r="J1135" s="42"/>
      <c r="K1135" s="43"/>
      <c r="L1135" s="43"/>
      <c r="M1135" s="44" t="str">
        <f>IF(LayTable[[#This Row],[Sport]]="","",LayTable[[#This Row],[LayInnsats]]*(LayTable[[#This Row],[LayOdds]]-1))</f>
        <v/>
      </c>
      <c r="N1135" s="45" t="str">
        <f>IF(LayTable[[#This Row],[Sport]]="","",1/((1/LayTable[[#This Row],[BookieOdds]])+(1/((1/((1+((LayTable[[#This Row],[LayOdds]]-1)*(1+LayTable[[#This Row],[C% Lay]])))-1))+1)))-1)</f>
        <v/>
      </c>
      <c r="Q1135" s="46" t="str">
        <f>IF(LayTable[[#This Row],[Sport]]="","",LayTable[[#This Row],[BookieInnsats]]+LayTable[[#This Row],[LayLiability]])</f>
        <v/>
      </c>
      <c r="R11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5" s="47" t="str">
        <f>IF(LayTable[[#This Row],[Utfall bookie]]="","",LayTable[[#This Row],[WBABack]]+LayTable[[#This Row],[WBALay]]-LayTable[[#This Row],[Total inns]])</f>
        <v/>
      </c>
      <c r="U11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5" s="48" t="str">
        <f>IFERROR(IF(LayTable[[#This Row],[Total inns]]="","",LayTable[[#This Row],[Rback]]/LayTable[[#This Row],[Total inns]]),"")</f>
        <v/>
      </c>
      <c r="X1135" s="48" t="str">
        <f>IFERROR(IF(LayTable[[#This Row],[Total inns]]="","",LayTable[[#This Row],[Rlay]]/LayTable[[#This Row],[Total inns]]),"")</f>
        <v/>
      </c>
      <c r="Y1135" s="48" t="str">
        <f>IFERROR(LayTable[[#This Row],[Faktisk res]]/LayTable[[#This Row],[Total inns]],"")</f>
        <v/>
      </c>
      <c r="Z1135" s="47">
        <f>(LayTable[[#This Row],[BookieInnsats]]*LayTable[[#This Row],[BookieOdds]]-LayTable[[#This Row],[BookieInnsats]])*(1-LayTable[[#This Row],[C% Bookie]])</f>
        <v>0</v>
      </c>
      <c r="AA1135" s="43">
        <f>LayTable[[#This Row],[LayInnsats]]*(1-LayTable[[#This Row],[C% Lay]])</f>
        <v>0</v>
      </c>
      <c r="AB1135" s="43" t="str">
        <f>IFERROR(IF(LayTable[[#This Row],[Sport]]="",AB1134,LayTable[[#This Row],[Faktisk res]]+AB1134),"")</f>
        <v/>
      </c>
      <c r="AC1135" s="43">
        <f>(LayTable[[#This Row],[BackWin-Commission]]+LayTable[[#This Row],[BookieInnsats]])</f>
        <v>0</v>
      </c>
      <c r="AD1135" s="43" t="e">
        <f>(LayTable[[#This Row],[LayWin-Commission]])+LayTable[[#This Row],[LayLiability]]</f>
        <v>#VALUE!</v>
      </c>
      <c r="AE1135" s="43"/>
      <c r="AF1135" s="181"/>
    </row>
    <row r="1136" spans="1:32">
      <c r="A1136" s="84"/>
      <c r="B1136" s="39"/>
      <c r="C1136" s="40"/>
      <c r="D1136" s="41"/>
      <c r="E1136" s="40"/>
      <c r="F1136" s="41"/>
      <c r="G1136" s="101"/>
      <c r="H1136" s="38"/>
      <c r="I1136" s="42"/>
      <c r="J1136" s="42"/>
      <c r="K1136" s="43"/>
      <c r="L1136" s="43"/>
      <c r="M1136" s="44" t="str">
        <f>IF(LayTable[[#This Row],[Sport]]="","",LayTable[[#This Row],[LayInnsats]]*(LayTable[[#This Row],[LayOdds]]-1))</f>
        <v/>
      </c>
      <c r="N1136" s="45" t="str">
        <f>IF(LayTable[[#This Row],[Sport]]="","",1/((1/LayTable[[#This Row],[BookieOdds]])+(1/((1/((1+((LayTable[[#This Row],[LayOdds]]-1)*(1+LayTable[[#This Row],[C% Lay]])))-1))+1)))-1)</f>
        <v/>
      </c>
      <c r="Q1136" s="46" t="str">
        <f>IF(LayTable[[#This Row],[Sport]]="","",LayTable[[#This Row],[BookieInnsats]]+LayTable[[#This Row],[LayLiability]])</f>
        <v/>
      </c>
      <c r="R11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6" s="47" t="str">
        <f>IF(LayTable[[#This Row],[Utfall bookie]]="","",LayTable[[#This Row],[WBABack]]+LayTable[[#This Row],[WBALay]]-LayTable[[#This Row],[Total inns]])</f>
        <v/>
      </c>
      <c r="U11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6" s="48" t="str">
        <f>IFERROR(IF(LayTable[[#This Row],[Total inns]]="","",LayTable[[#This Row],[Rback]]/LayTable[[#This Row],[Total inns]]),"")</f>
        <v/>
      </c>
      <c r="X1136" s="48" t="str">
        <f>IFERROR(IF(LayTable[[#This Row],[Total inns]]="","",LayTable[[#This Row],[Rlay]]/LayTable[[#This Row],[Total inns]]),"")</f>
        <v/>
      </c>
      <c r="Y1136" s="48" t="str">
        <f>IFERROR(LayTable[[#This Row],[Faktisk res]]/LayTable[[#This Row],[Total inns]],"")</f>
        <v/>
      </c>
      <c r="Z1136" s="47">
        <f>(LayTable[[#This Row],[BookieInnsats]]*LayTable[[#This Row],[BookieOdds]]-LayTable[[#This Row],[BookieInnsats]])*(1-LayTable[[#This Row],[C% Bookie]])</f>
        <v>0</v>
      </c>
      <c r="AA1136" s="43">
        <f>LayTable[[#This Row],[LayInnsats]]*(1-LayTable[[#This Row],[C% Lay]])</f>
        <v>0</v>
      </c>
      <c r="AB1136" s="43" t="str">
        <f>IFERROR(IF(LayTable[[#This Row],[Sport]]="",AB1135,LayTable[[#This Row],[Faktisk res]]+AB1135),"")</f>
        <v/>
      </c>
      <c r="AC1136" s="43">
        <f>(LayTable[[#This Row],[BackWin-Commission]]+LayTable[[#This Row],[BookieInnsats]])</f>
        <v>0</v>
      </c>
      <c r="AD1136" s="43" t="e">
        <f>(LayTable[[#This Row],[LayWin-Commission]])+LayTable[[#This Row],[LayLiability]]</f>
        <v>#VALUE!</v>
      </c>
      <c r="AE1136" s="43"/>
      <c r="AF1136" s="181"/>
    </row>
    <row r="1137" spans="1:32">
      <c r="A1137" s="84"/>
      <c r="B1137" s="39"/>
      <c r="C1137" s="40"/>
      <c r="D1137" s="41"/>
      <c r="E1137" s="40"/>
      <c r="F1137" s="41"/>
      <c r="G1137" s="101"/>
      <c r="H1137" s="38"/>
      <c r="I1137" s="42"/>
      <c r="J1137" s="42"/>
      <c r="K1137" s="43"/>
      <c r="L1137" s="43"/>
      <c r="M1137" s="44" t="str">
        <f>IF(LayTable[[#This Row],[Sport]]="","",LayTable[[#This Row],[LayInnsats]]*(LayTable[[#This Row],[LayOdds]]-1))</f>
        <v/>
      </c>
      <c r="N1137" s="45" t="str">
        <f>IF(LayTable[[#This Row],[Sport]]="","",1/((1/LayTable[[#This Row],[BookieOdds]])+(1/((1/((1+((LayTable[[#This Row],[LayOdds]]-1)*(1+LayTable[[#This Row],[C% Lay]])))-1))+1)))-1)</f>
        <v/>
      </c>
      <c r="Q1137" s="46" t="str">
        <f>IF(LayTable[[#This Row],[Sport]]="","",LayTable[[#This Row],[BookieInnsats]]+LayTable[[#This Row],[LayLiability]])</f>
        <v/>
      </c>
      <c r="R11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7" s="47" t="str">
        <f>IF(LayTable[[#This Row],[Utfall bookie]]="","",LayTable[[#This Row],[WBABack]]+LayTable[[#This Row],[WBALay]]-LayTable[[#This Row],[Total inns]])</f>
        <v/>
      </c>
      <c r="U11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7" s="48" t="str">
        <f>IFERROR(IF(LayTable[[#This Row],[Total inns]]="","",LayTable[[#This Row],[Rback]]/LayTable[[#This Row],[Total inns]]),"")</f>
        <v/>
      </c>
      <c r="X1137" s="48" t="str">
        <f>IFERROR(IF(LayTable[[#This Row],[Total inns]]="","",LayTable[[#This Row],[Rlay]]/LayTable[[#This Row],[Total inns]]),"")</f>
        <v/>
      </c>
      <c r="Y1137" s="48" t="str">
        <f>IFERROR(LayTable[[#This Row],[Faktisk res]]/LayTable[[#This Row],[Total inns]],"")</f>
        <v/>
      </c>
      <c r="Z1137" s="47">
        <f>(LayTable[[#This Row],[BookieInnsats]]*LayTable[[#This Row],[BookieOdds]]-LayTable[[#This Row],[BookieInnsats]])*(1-LayTable[[#This Row],[C% Bookie]])</f>
        <v>0</v>
      </c>
      <c r="AA1137" s="43">
        <f>LayTable[[#This Row],[LayInnsats]]*(1-LayTable[[#This Row],[C% Lay]])</f>
        <v>0</v>
      </c>
      <c r="AB1137" s="43" t="str">
        <f>IFERROR(IF(LayTable[[#This Row],[Sport]]="",AB1136,LayTable[[#This Row],[Faktisk res]]+AB1136),"")</f>
        <v/>
      </c>
      <c r="AC1137" s="43">
        <f>(LayTable[[#This Row],[BackWin-Commission]]+LayTable[[#This Row],[BookieInnsats]])</f>
        <v>0</v>
      </c>
      <c r="AD1137" s="43" t="e">
        <f>(LayTable[[#This Row],[LayWin-Commission]])+LayTable[[#This Row],[LayLiability]]</f>
        <v>#VALUE!</v>
      </c>
      <c r="AE1137" s="43"/>
      <c r="AF1137" s="181"/>
    </row>
    <row r="1138" spans="1:32">
      <c r="A1138" s="84"/>
      <c r="B1138" s="39"/>
      <c r="C1138" s="40"/>
      <c r="D1138" s="41"/>
      <c r="E1138" s="40"/>
      <c r="F1138" s="41"/>
      <c r="G1138" s="101"/>
      <c r="H1138" s="38"/>
      <c r="I1138" s="42"/>
      <c r="J1138" s="42"/>
      <c r="K1138" s="43"/>
      <c r="L1138" s="43"/>
      <c r="M1138" s="44" t="str">
        <f>IF(LayTable[[#This Row],[Sport]]="","",LayTable[[#This Row],[LayInnsats]]*(LayTable[[#This Row],[LayOdds]]-1))</f>
        <v/>
      </c>
      <c r="N1138" s="45" t="str">
        <f>IF(LayTable[[#This Row],[Sport]]="","",1/((1/LayTable[[#This Row],[BookieOdds]])+(1/((1/((1+((LayTable[[#This Row],[LayOdds]]-1)*(1+LayTable[[#This Row],[C% Lay]])))-1))+1)))-1)</f>
        <v/>
      </c>
      <c r="Q1138" s="46" t="str">
        <f>IF(LayTable[[#This Row],[Sport]]="","",LayTable[[#This Row],[BookieInnsats]]+LayTable[[#This Row],[LayLiability]])</f>
        <v/>
      </c>
      <c r="R11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8" s="47" t="str">
        <f>IF(LayTable[[#This Row],[Utfall bookie]]="","",LayTable[[#This Row],[WBABack]]+LayTable[[#This Row],[WBALay]]-LayTable[[#This Row],[Total inns]])</f>
        <v/>
      </c>
      <c r="U11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8" s="48" t="str">
        <f>IFERROR(IF(LayTable[[#This Row],[Total inns]]="","",LayTable[[#This Row],[Rback]]/LayTable[[#This Row],[Total inns]]),"")</f>
        <v/>
      </c>
      <c r="X1138" s="48" t="str">
        <f>IFERROR(IF(LayTable[[#This Row],[Total inns]]="","",LayTable[[#This Row],[Rlay]]/LayTable[[#This Row],[Total inns]]),"")</f>
        <v/>
      </c>
      <c r="Y1138" s="48" t="str">
        <f>IFERROR(LayTable[[#This Row],[Faktisk res]]/LayTable[[#This Row],[Total inns]],"")</f>
        <v/>
      </c>
      <c r="Z1138" s="47">
        <f>(LayTable[[#This Row],[BookieInnsats]]*LayTable[[#This Row],[BookieOdds]]-LayTable[[#This Row],[BookieInnsats]])*(1-LayTable[[#This Row],[C% Bookie]])</f>
        <v>0</v>
      </c>
      <c r="AA1138" s="43">
        <f>LayTable[[#This Row],[LayInnsats]]*(1-LayTable[[#This Row],[C% Lay]])</f>
        <v>0</v>
      </c>
      <c r="AB1138" s="43" t="str">
        <f>IFERROR(IF(LayTable[[#This Row],[Sport]]="",AB1137,LayTable[[#This Row],[Faktisk res]]+AB1137),"")</f>
        <v/>
      </c>
      <c r="AC1138" s="43">
        <f>(LayTable[[#This Row],[BackWin-Commission]]+LayTable[[#This Row],[BookieInnsats]])</f>
        <v>0</v>
      </c>
      <c r="AD1138" s="43" t="e">
        <f>(LayTable[[#This Row],[LayWin-Commission]])+LayTable[[#This Row],[LayLiability]]</f>
        <v>#VALUE!</v>
      </c>
      <c r="AE1138" s="43"/>
      <c r="AF1138" s="181"/>
    </row>
    <row r="1139" spans="1:32">
      <c r="A1139" s="84"/>
      <c r="B1139" s="39"/>
      <c r="C1139" s="40"/>
      <c r="D1139" s="41"/>
      <c r="E1139" s="40"/>
      <c r="F1139" s="41"/>
      <c r="G1139" s="101"/>
      <c r="H1139" s="38"/>
      <c r="I1139" s="42"/>
      <c r="J1139" s="42"/>
      <c r="K1139" s="43"/>
      <c r="L1139" s="43"/>
      <c r="M1139" s="44" t="str">
        <f>IF(LayTable[[#This Row],[Sport]]="","",LayTable[[#This Row],[LayInnsats]]*(LayTable[[#This Row],[LayOdds]]-1))</f>
        <v/>
      </c>
      <c r="N1139" s="45" t="str">
        <f>IF(LayTable[[#This Row],[Sport]]="","",1/((1/LayTable[[#This Row],[BookieOdds]])+(1/((1/((1+((LayTable[[#This Row],[LayOdds]]-1)*(1+LayTable[[#This Row],[C% Lay]])))-1))+1)))-1)</f>
        <v/>
      </c>
      <c r="Q1139" s="46" t="str">
        <f>IF(LayTable[[#This Row],[Sport]]="","",LayTable[[#This Row],[BookieInnsats]]+LayTable[[#This Row],[LayLiability]])</f>
        <v/>
      </c>
      <c r="R11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39" s="47" t="str">
        <f>IF(LayTable[[#This Row],[Utfall bookie]]="","",LayTable[[#This Row],[WBABack]]+LayTable[[#This Row],[WBALay]]-LayTable[[#This Row],[Total inns]])</f>
        <v/>
      </c>
      <c r="U11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39" s="48" t="str">
        <f>IFERROR(IF(LayTable[[#This Row],[Total inns]]="","",LayTable[[#This Row],[Rback]]/LayTable[[#This Row],[Total inns]]),"")</f>
        <v/>
      </c>
      <c r="X1139" s="48" t="str">
        <f>IFERROR(IF(LayTable[[#This Row],[Total inns]]="","",LayTable[[#This Row],[Rlay]]/LayTable[[#This Row],[Total inns]]),"")</f>
        <v/>
      </c>
      <c r="Y1139" s="48" t="str">
        <f>IFERROR(LayTable[[#This Row],[Faktisk res]]/LayTable[[#This Row],[Total inns]],"")</f>
        <v/>
      </c>
      <c r="Z1139" s="47">
        <f>(LayTable[[#This Row],[BookieInnsats]]*LayTable[[#This Row],[BookieOdds]]-LayTable[[#This Row],[BookieInnsats]])*(1-LayTable[[#This Row],[C% Bookie]])</f>
        <v>0</v>
      </c>
      <c r="AA1139" s="43">
        <f>LayTable[[#This Row],[LayInnsats]]*(1-LayTable[[#This Row],[C% Lay]])</f>
        <v>0</v>
      </c>
      <c r="AB1139" s="43" t="str">
        <f>IFERROR(IF(LayTable[[#This Row],[Sport]]="",AB1138,LayTable[[#This Row],[Faktisk res]]+AB1138),"")</f>
        <v/>
      </c>
      <c r="AC1139" s="43">
        <f>(LayTable[[#This Row],[BackWin-Commission]]+LayTable[[#This Row],[BookieInnsats]])</f>
        <v>0</v>
      </c>
      <c r="AD1139" s="43" t="e">
        <f>(LayTable[[#This Row],[LayWin-Commission]])+LayTable[[#This Row],[LayLiability]]</f>
        <v>#VALUE!</v>
      </c>
      <c r="AE1139" s="43"/>
      <c r="AF1139" s="181"/>
    </row>
    <row r="1140" spans="1:32">
      <c r="A1140" s="84"/>
      <c r="B1140" s="39"/>
      <c r="C1140" s="40"/>
      <c r="D1140" s="41"/>
      <c r="E1140" s="40"/>
      <c r="F1140" s="41"/>
      <c r="G1140" s="101"/>
      <c r="H1140" s="38"/>
      <c r="I1140" s="42"/>
      <c r="J1140" s="42"/>
      <c r="K1140" s="43"/>
      <c r="L1140" s="43"/>
      <c r="M1140" s="44" t="str">
        <f>IF(LayTable[[#This Row],[Sport]]="","",LayTable[[#This Row],[LayInnsats]]*(LayTable[[#This Row],[LayOdds]]-1))</f>
        <v/>
      </c>
      <c r="N1140" s="45" t="str">
        <f>IF(LayTable[[#This Row],[Sport]]="","",1/((1/LayTable[[#This Row],[BookieOdds]])+(1/((1/((1+((LayTable[[#This Row],[LayOdds]]-1)*(1+LayTable[[#This Row],[C% Lay]])))-1))+1)))-1)</f>
        <v/>
      </c>
      <c r="Q1140" s="46" t="str">
        <f>IF(LayTable[[#This Row],[Sport]]="","",LayTable[[#This Row],[BookieInnsats]]+LayTable[[#This Row],[LayLiability]])</f>
        <v/>
      </c>
      <c r="R11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0" s="47" t="str">
        <f>IF(LayTable[[#This Row],[Utfall bookie]]="","",LayTable[[#This Row],[WBABack]]+LayTable[[#This Row],[WBALay]]-LayTable[[#This Row],[Total inns]])</f>
        <v/>
      </c>
      <c r="U11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0" s="48" t="str">
        <f>IFERROR(IF(LayTable[[#This Row],[Total inns]]="","",LayTable[[#This Row],[Rback]]/LayTable[[#This Row],[Total inns]]),"")</f>
        <v/>
      </c>
      <c r="X1140" s="48" t="str">
        <f>IFERROR(IF(LayTable[[#This Row],[Total inns]]="","",LayTable[[#This Row],[Rlay]]/LayTable[[#This Row],[Total inns]]),"")</f>
        <v/>
      </c>
      <c r="Y1140" s="48" t="str">
        <f>IFERROR(LayTable[[#This Row],[Faktisk res]]/LayTable[[#This Row],[Total inns]],"")</f>
        <v/>
      </c>
      <c r="Z1140" s="47">
        <f>(LayTable[[#This Row],[BookieInnsats]]*LayTable[[#This Row],[BookieOdds]]-LayTable[[#This Row],[BookieInnsats]])*(1-LayTable[[#This Row],[C% Bookie]])</f>
        <v>0</v>
      </c>
      <c r="AA1140" s="43">
        <f>LayTable[[#This Row],[LayInnsats]]*(1-LayTable[[#This Row],[C% Lay]])</f>
        <v>0</v>
      </c>
      <c r="AB1140" s="43" t="str">
        <f>IFERROR(IF(LayTable[[#This Row],[Sport]]="",AB1139,LayTable[[#This Row],[Faktisk res]]+AB1139),"")</f>
        <v/>
      </c>
      <c r="AC1140" s="43">
        <f>(LayTable[[#This Row],[BackWin-Commission]]+LayTable[[#This Row],[BookieInnsats]])</f>
        <v>0</v>
      </c>
      <c r="AD1140" s="43" t="e">
        <f>(LayTable[[#This Row],[LayWin-Commission]])+LayTable[[#This Row],[LayLiability]]</f>
        <v>#VALUE!</v>
      </c>
      <c r="AE1140" s="43"/>
      <c r="AF1140" s="181"/>
    </row>
    <row r="1141" spans="1:32">
      <c r="A1141" s="84"/>
      <c r="B1141" s="39"/>
      <c r="C1141" s="40"/>
      <c r="D1141" s="41"/>
      <c r="E1141" s="40"/>
      <c r="F1141" s="41"/>
      <c r="G1141" s="101"/>
      <c r="H1141" s="38"/>
      <c r="I1141" s="42"/>
      <c r="J1141" s="42"/>
      <c r="K1141" s="43"/>
      <c r="L1141" s="43"/>
      <c r="M1141" s="44" t="str">
        <f>IF(LayTable[[#This Row],[Sport]]="","",LayTable[[#This Row],[LayInnsats]]*(LayTable[[#This Row],[LayOdds]]-1))</f>
        <v/>
      </c>
      <c r="N1141" s="45" t="str">
        <f>IF(LayTable[[#This Row],[Sport]]="","",1/((1/LayTable[[#This Row],[BookieOdds]])+(1/((1/((1+((LayTable[[#This Row],[LayOdds]]-1)*(1+LayTable[[#This Row],[C% Lay]])))-1))+1)))-1)</f>
        <v/>
      </c>
      <c r="Q1141" s="46" t="str">
        <f>IF(LayTable[[#This Row],[Sport]]="","",LayTable[[#This Row],[BookieInnsats]]+LayTable[[#This Row],[LayLiability]])</f>
        <v/>
      </c>
      <c r="R11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1" s="47" t="str">
        <f>IF(LayTable[[#This Row],[Utfall bookie]]="","",LayTable[[#This Row],[WBABack]]+LayTable[[#This Row],[WBALay]]-LayTable[[#This Row],[Total inns]])</f>
        <v/>
      </c>
      <c r="U11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1" s="48" t="str">
        <f>IFERROR(IF(LayTable[[#This Row],[Total inns]]="","",LayTable[[#This Row],[Rback]]/LayTable[[#This Row],[Total inns]]),"")</f>
        <v/>
      </c>
      <c r="X1141" s="48" t="str">
        <f>IFERROR(IF(LayTable[[#This Row],[Total inns]]="","",LayTable[[#This Row],[Rlay]]/LayTable[[#This Row],[Total inns]]),"")</f>
        <v/>
      </c>
      <c r="Y1141" s="48" t="str">
        <f>IFERROR(LayTable[[#This Row],[Faktisk res]]/LayTable[[#This Row],[Total inns]],"")</f>
        <v/>
      </c>
      <c r="Z1141" s="47">
        <f>(LayTable[[#This Row],[BookieInnsats]]*LayTable[[#This Row],[BookieOdds]]-LayTable[[#This Row],[BookieInnsats]])*(1-LayTable[[#This Row],[C% Bookie]])</f>
        <v>0</v>
      </c>
      <c r="AA1141" s="43">
        <f>LayTable[[#This Row],[LayInnsats]]*(1-LayTable[[#This Row],[C% Lay]])</f>
        <v>0</v>
      </c>
      <c r="AB1141" s="43" t="str">
        <f>IFERROR(IF(LayTable[[#This Row],[Sport]]="",AB1140,LayTable[[#This Row],[Faktisk res]]+AB1140),"")</f>
        <v/>
      </c>
      <c r="AC1141" s="43">
        <f>(LayTable[[#This Row],[BackWin-Commission]]+LayTable[[#This Row],[BookieInnsats]])</f>
        <v>0</v>
      </c>
      <c r="AD1141" s="43" t="e">
        <f>(LayTable[[#This Row],[LayWin-Commission]])+LayTable[[#This Row],[LayLiability]]</f>
        <v>#VALUE!</v>
      </c>
      <c r="AE1141" s="43"/>
      <c r="AF1141" s="181"/>
    </row>
    <row r="1142" spans="1:32">
      <c r="A1142" s="84"/>
      <c r="B1142" s="39"/>
      <c r="C1142" s="40"/>
      <c r="D1142" s="41"/>
      <c r="E1142" s="40"/>
      <c r="F1142" s="41"/>
      <c r="G1142" s="101"/>
      <c r="H1142" s="38"/>
      <c r="I1142" s="42"/>
      <c r="J1142" s="42"/>
      <c r="K1142" s="43"/>
      <c r="L1142" s="43"/>
      <c r="M1142" s="44" t="str">
        <f>IF(LayTable[[#This Row],[Sport]]="","",LayTable[[#This Row],[LayInnsats]]*(LayTable[[#This Row],[LayOdds]]-1))</f>
        <v/>
      </c>
      <c r="N1142" s="45" t="str">
        <f>IF(LayTable[[#This Row],[Sport]]="","",1/((1/LayTable[[#This Row],[BookieOdds]])+(1/((1/((1+((LayTable[[#This Row],[LayOdds]]-1)*(1+LayTable[[#This Row],[C% Lay]])))-1))+1)))-1)</f>
        <v/>
      </c>
      <c r="Q1142" s="46" t="str">
        <f>IF(LayTable[[#This Row],[Sport]]="","",LayTable[[#This Row],[BookieInnsats]]+LayTable[[#This Row],[LayLiability]])</f>
        <v/>
      </c>
      <c r="R11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2" s="47" t="str">
        <f>IF(LayTable[[#This Row],[Utfall bookie]]="","",LayTable[[#This Row],[WBABack]]+LayTable[[#This Row],[WBALay]]-LayTable[[#This Row],[Total inns]])</f>
        <v/>
      </c>
      <c r="U11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2" s="48" t="str">
        <f>IFERROR(IF(LayTable[[#This Row],[Total inns]]="","",LayTable[[#This Row],[Rback]]/LayTable[[#This Row],[Total inns]]),"")</f>
        <v/>
      </c>
      <c r="X1142" s="48" t="str">
        <f>IFERROR(IF(LayTable[[#This Row],[Total inns]]="","",LayTable[[#This Row],[Rlay]]/LayTable[[#This Row],[Total inns]]),"")</f>
        <v/>
      </c>
      <c r="Y1142" s="48" t="str">
        <f>IFERROR(LayTable[[#This Row],[Faktisk res]]/LayTable[[#This Row],[Total inns]],"")</f>
        <v/>
      </c>
      <c r="Z1142" s="47">
        <f>(LayTable[[#This Row],[BookieInnsats]]*LayTable[[#This Row],[BookieOdds]]-LayTable[[#This Row],[BookieInnsats]])*(1-LayTable[[#This Row],[C% Bookie]])</f>
        <v>0</v>
      </c>
      <c r="AA1142" s="43">
        <f>LayTable[[#This Row],[LayInnsats]]*(1-LayTable[[#This Row],[C% Lay]])</f>
        <v>0</v>
      </c>
      <c r="AB1142" s="43" t="str">
        <f>IFERROR(IF(LayTable[[#This Row],[Sport]]="",AB1141,LayTable[[#This Row],[Faktisk res]]+AB1141),"")</f>
        <v/>
      </c>
      <c r="AC1142" s="43">
        <f>(LayTable[[#This Row],[BackWin-Commission]]+LayTable[[#This Row],[BookieInnsats]])</f>
        <v>0</v>
      </c>
      <c r="AD1142" s="43" t="e">
        <f>(LayTable[[#This Row],[LayWin-Commission]])+LayTable[[#This Row],[LayLiability]]</f>
        <v>#VALUE!</v>
      </c>
      <c r="AE1142" s="43"/>
      <c r="AF1142" s="181"/>
    </row>
    <row r="1143" spans="1:32">
      <c r="A1143" s="84"/>
      <c r="B1143" s="39"/>
      <c r="C1143" s="40"/>
      <c r="D1143" s="41"/>
      <c r="E1143" s="40"/>
      <c r="F1143" s="41"/>
      <c r="G1143" s="101"/>
      <c r="H1143" s="38"/>
      <c r="I1143" s="42"/>
      <c r="J1143" s="42"/>
      <c r="K1143" s="43"/>
      <c r="L1143" s="43"/>
      <c r="M1143" s="44" t="str">
        <f>IF(LayTable[[#This Row],[Sport]]="","",LayTable[[#This Row],[LayInnsats]]*(LayTable[[#This Row],[LayOdds]]-1))</f>
        <v/>
      </c>
      <c r="N1143" s="45" t="str">
        <f>IF(LayTable[[#This Row],[Sport]]="","",1/((1/LayTable[[#This Row],[BookieOdds]])+(1/((1/((1+((LayTable[[#This Row],[LayOdds]]-1)*(1+LayTable[[#This Row],[C% Lay]])))-1))+1)))-1)</f>
        <v/>
      </c>
      <c r="Q1143" s="46" t="str">
        <f>IF(LayTable[[#This Row],[Sport]]="","",LayTable[[#This Row],[BookieInnsats]]+LayTable[[#This Row],[LayLiability]])</f>
        <v/>
      </c>
      <c r="R11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3" s="47" t="str">
        <f>IF(LayTable[[#This Row],[Utfall bookie]]="","",LayTable[[#This Row],[WBABack]]+LayTable[[#This Row],[WBALay]]-LayTable[[#This Row],[Total inns]])</f>
        <v/>
      </c>
      <c r="U11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3" s="48" t="str">
        <f>IFERROR(IF(LayTable[[#This Row],[Total inns]]="","",LayTable[[#This Row],[Rback]]/LayTable[[#This Row],[Total inns]]),"")</f>
        <v/>
      </c>
      <c r="X1143" s="48" t="str">
        <f>IFERROR(IF(LayTable[[#This Row],[Total inns]]="","",LayTable[[#This Row],[Rlay]]/LayTable[[#This Row],[Total inns]]),"")</f>
        <v/>
      </c>
      <c r="Y1143" s="48" t="str">
        <f>IFERROR(LayTable[[#This Row],[Faktisk res]]/LayTable[[#This Row],[Total inns]],"")</f>
        <v/>
      </c>
      <c r="Z1143" s="47">
        <f>(LayTable[[#This Row],[BookieInnsats]]*LayTable[[#This Row],[BookieOdds]]-LayTable[[#This Row],[BookieInnsats]])*(1-LayTable[[#This Row],[C% Bookie]])</f>
        <v>0</v>
      </c>
      <c r="AA1143" s="43">
        <f>LayTable[[#This Row],[LayInnsats]]*(1-LayTable[[#This Row],[C% Lay]])</f>
        <v>0</v>
      </c>
      <c r="AB1143" s="43" t="str">
        <f>IFERROR(IF(LayTable[[#This Row],[Sport]]="",AB1142,LayTable[[#This Row],[Faktisk res]]+AB1142),"")</f>
        <v/>
      </c>
      <c r="AC1143" s="43">
        <f>(LayTable[[#This Row],[BackWin-Commission]]+LayTable[[#This Row],[BookieInnsats]])</f>
        <v>0</v>
      </c>
      <c r="AD1143" s="43" t="e">
        <f>(LayTable[[#This Row],[LayWin-Commission]])+LayTable[[#This Row],[LayLiability]]</f>
        <v>#VALUE!</v>
      </c>
      <c r="AE1143" s="43"/>
      <c r="AF1143" s="181"/>
    </row>
    <row r="1144" spans="1:32">
      <c r="A1144" s="84"/>
      <c r="B1144" s="39"/>
      <c r="C1144" s="40"/>
      <c r="D1144" s="41"/>
      <c r="E1144" s="40"/>
      <c r="F1144" s="41"/>
      <c r="G1144" s="101"/>
      <c r="H1144" s="38"/>
      <c r="I1144" s="42"/>
      <c r="J1144" s="42"/>
      <c r="K1144" s="43"/>
      <c r="L1144" s="43"/>
      <c r="M1144" s="44" t="str">
        <f>IF(LayTable[[#This Row],[Sport]]="","",LayTable[[#This Row],[LayInnsats]]*(LayTable[[#This Row],[LayOdds]]-1))</f>
        <v/>
      </c>
      <c r="N1144" s="45" t="str">
        <f>IF(LayTable[[#This Row],[Sport]]="","",1/((1/LayTable[[#This Row],[BookieOdds]])+(1/((1/((1+((LayTable[[#This Row],[LayOdds]]-1)*(1+LayTable[[#This Row],[C% Lay]])))-1))+1)))-1)</f>
        <v/>
      </c>
      <c r="Q1144" s="46" t="str">
        <f>IF(LayTable[[#This Row],[Sport]]="","",LayTable[[#This Row],[BookieInnsats]]+LayTable[[#This Row],[LayLiability]])</f>
        <v/>
      </c>
      <c r="R11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4" s="47" t="str">
        <f>IF(LayTable[[#This Row],[Utfall bookie]]="","",LayTable[[#This Row],[WBABack]]+LayTable[[#This Row],[WBALay]]-LayTable[[#This Row],[Total inns]])</f>
        <v/>
      </c>
      <c r="U11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4" s="48" t="str">
        <f>IFERROR(IF(LayTable[[#This Row],[Total inns]]="","",LayTable[[#This Row],[Rback]]/LayTable[[#This Row],[Total inns]]),"")</f>
        <v/>
      </c>
      <c r="X1144" s="48" t="str">
        <f>IFERROR(IF(LayTable[[#This Row],[Total inns]]="","",LayTable[[#This Row],[Rlay]]/LayTable[[#This Row],[Total inns]]),"")</f>
        <v/>
      </c>
      <c r="Y1144" s="48" t="str">
        <f>IFERROR(LayTable[[#This Row],[Faktisk res]]/LayTable[[#This Row],[Total inns]],"")</f>
        <v/>
      </c>
      <c r="Z1144" s="47">
        <f>(LayTable[[#This Row],[BookieInnsats]]*LayTable[[#This Row],[BookieOdds]]-LayTable[[#This Row],[BookieInnsats]])*(1-LayTable[[#This Row],[C% Bookie]])</f>
        <v>0</v>
      </c>
      <c r="AA1144" s="43">
        <f>LayTable[[#This Row],[LayInnsats]]*(1-LayTable[[#This Row],[C% Lay]])</f>
        <v>0</v>
      </c>
      <c r="AB1144" s="43" t="str">
        <f>IFERROR(IF(LayTable[[#This Row],[Sport]]="",AB1143,LayTable[[#This Row],[Faktisk res]]+AB1143),"")</f>
        <v/>
      </c>
      <c r="AC1144" s="43">
        <f>(LayTable[[#This Row],[BackWin-Commission]]+LayTable[[#This Row],[BookieInnsats]])</f>
        <v>0</v>
      </c>
      <c r="AD1144" s="43" t="e">
        <f>(LayTable[[#This Row],[LayWin-Commission]])+LayTable[[#This Row],[LayLiability]]</f>
        <v>#VALUE!</v>
      </c>
      <c r="AE1144" s="43"/>
      <c r="AF1144" s="181"/>
    </row>
    <row r="1145" spans="1:32">
      <c r="A1145" s="84"/>
      <c r="B1145" s="39"/>
      <c r="C1145" s="40"/>
      <c r="D1145" s="41"/>
      <c r="E1145" s="40"/>
      <c r="F1145" s="41"/>
      <c r="G1145" s="101"/>
      <c r="H1145" s="38"/>
      <c r="I1145" s="42"/>
      <c r="J1145" s="42"/>
      <c r="K1145" s="43"/>
      <c r="L1145" s="43"/>
      <c r="M1145" s="44" t="str">
        <f>IF(LayTable[[#This Row],[Sport]]="","",LayTable[[#This Row],[LayInnsats]]*(LayTable[[#This Row],[LayOdds]]-1))</f>
        <v/>
      </c>
      <c r="N1145" s="45" t="str">
        <f>IF(LayTable[[#This Row],[Sport]]="","",1/((1/LayTable[[#This Row],[BookieOdds]])+(1/((1/((1+((LayTable[[#This Row],[LayOdds]]-1)*(1+LayTable[[#This Row],[C% Lay]])))-1))+1)))-1)</f>
        <v/>
      </c>
      <c r="Q1145" s="46" t="str">
        <f>IF(LayTable[[#This Row],[Sport]]="","",LayTable[[#This Row],[BookieInnsats]]+LayTable[[#This Row],[LayLiability]])</f>
        <v/>
      </c>
      <c r="R11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5" s="47" t="str">
        <f>IF(LayTable[[#This Row],[Utfall bookie]]="","",LayTable[[#This Row],[WBABack]]+LayTable[[#This Row],[WBALay]]-LayTable[[#This Row],[Total inns]])</f>
        <v/>
      </c>
      <c r="U11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5" s="48" t="str">
        <f>IFERROR(IF(LayTable[[#This Row],[Total inns]]="","",LayTable[[#This Row],[Rback]]/LayTable[[#This Row],[Total inns]]),"")</f>
        <v/>
      </c>
      <c r="X1145" s="48" t="str">
        <f>IFERROR(IF(LayTable[[#This Row],[Total inns]]="","",LayTable[[#This Row],[Rlay]]/LayTable[[#This Row],[Total inns]]),"")</f>
        <v/>
      </c>
      <c r="Y1145" s="48" t="str">
        <f>IFERROR(LayTable[[#This Row],[Faktisk res]]/LayTable[[#This Row],[Total inns]],"")</f>
        <v/>
      </c>
      <c r="Z1145" s="47">
        <f>(LayTable[[#This Row],[BookieInnsats]]*LayTable[[#This Row],[BookieOdds]]-LayTable[[#This Row],[BookieInnsats]])*(1-LayTable[[#This Row],[C% Bookie]])</f>
        <v>0</v>
      </c>
      <c r="AA1145" s="43">
        <f>LayTable[[#This Row],[LayInnsats]]*(1-LayTable[[#This Row],[C% Lay]])</f>
        <v>0</v>
      </c>
      <c r="AB1145" s="43" t="str">
        <f>IFERROR(IF(LayTable[[#This Row],[Sport]]="",AB1144,LayTable[[#This Row],[Faktisk res]]+AB1144),"")</f>
        <v/>
      </c>
      <c r="AC1145" s="43">
        <f>(LayTable[[#This Row],[BackWin-Commission]]+LayTable[[#This Row],[BookieInnsats]])</f>
        <v>0</v>
      </c>
      <c r="AD1145" s="43" t="e">
        <f>(LayTable[[#This Row],[LayWin-Commission]])+LayTable[[#This Row],[LayLiability]]</f>
        <v>#VALUE!</v>
      </c>
      <c r="AE1145" s="43"/>
      <c r="AF1145" s="181"/>
    </row>
    <row r="1146" spans="1:32">
      <c r="A1146" s="84"/>
      <c r="B1146" s="39"/>
      <c r="C1146" s="40"/>
      <c r="D1146" s="41"/>
      <c r="E1146" s="40"/>
      <c r="F1146" s="41"/>
      <c r="G1146" s="101"/>
      <c r="H1146" s="38"/>
      <c r="I1146" s="42"/>
      <c r="J1146" s="42"/>
      <c r="K1146" s="43"/>
      <c r="L1146" s="43"/>
      <c r="M1146" s="44" t="str">
        <f>IF(LayTable[[#This Row],[Sport]]="","",LayTable[[#This Row],[LayInnsats]]*(LayTable[[#This Row],[LayOdds]]-1))</f>
        <v/>
      </c>
      <c r="N1146" s="45" t="str">
        <f>IF(LayTable[[#This Row],[Sport]]="","",1/((1/LayTable[[#This Row],[BookieOdds]])+(1/((1/((1+((LayTable[[#This Row],[LayOdds]]-1)*(1+LayTable[[#This Row],[C% Lay]])))-1))+1)))-1)</f>
        <v/>
      </c>
      <c r="Q1146" s="46" t="str">
        <f>IF(LayTable[[#This Row],[Sport]]="","",LayTable[[#This Row],[BookieInnsats]]+LayTable[[#This Row],[LayLiability]])</f>
        <v/>
      </c>
      <c r="R11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6" s="47" t="str">
        <f>IF(LayTable[[#This Row],[Utfall bookie]]="","",LayTable[[#This Row],[WBABack]]+LayTable[[#This Row],[WBALay]]-LayTable[[#This Row],[Total inns]])</f>
        <v/>
      </c>
      <c r="U11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6" s="48" t="str">
        <f>IFERROR(IF(LayTable[[#This Row],[Total inns]]="","",LayTable[[#This Row],[Rback]]/LayTable[[#This Row],[Total inns]]),"")</f>
        <v/>
      </c>
      <c r="X1146" s="48" t="str">
        <f>IFERROR(IF(LayTable[[#This Row],[Total inns]]="","",LayTable[[#This Row],[Rlay]]/LayTable[[#This Row],[Total inns]]),"")</f>
        <v/>
      </c>
      <c r="Y1146" s="48" t="str">
        <f>IFERROR(LayTable[[#This Row],[Faktisk res]]/LayTable[[#This Row],[Total inns]],"")</f>
        <v/>
      </c>
      <c r="Z1146" s="47">
        <f>(LayTable[[#This Row],[BookieInnsats]]*LayTable[[#This Row],[BookieOdds]]-LayTable[[#This Row],[BookieInnsats]])*(1-LayTable[[#This Row],[C% Bookie]])</f>
        <v>0</v>
      </c>
      <c r="AA1146" s="43">
        <f>LayTable[[#This Row],[LayInnsats]]*(1-LayTable[[#This Row],[C% Lay]])</f>
        <v>0</v>
      </c>
      <c r="AB1146" s="43" t="str">
        <f>IFERROR(IF(LayTable[[#This Row],[Sport]]="",AB1145,LayTable[[#This Row],[Faktisk res]]+AB1145),"")</f>
        <v/>
      </c>
      <c r="AC1146" s="43">
        <f>(LayTable[[#This Row],[BackWin-Commission]]+LayTable[[#This Row],[BookieInnsats]])</f>
        <v>0</v>
      </c>
      <c r="AD1146" s="43" t="e">
        <f>(LayTable[[#This Row],[LayWin-Commission]])+LayTable[[#This Row],[LayLiability]]</f>
        <v>#VALUE!</v>
      </c>
      <c r="AE1146" s="43"/>
      <c r="AF1146" s="181"/>
    </row>
    <row r="1147" spans="1:32">
      <c r="A1147" s="84"/>
      <c r="B1147" s="39"/>
      <c r="C1147" s="40"/>
      <c r="D1147" s="41"/>
      <c r="E1147" s="40"/>
      <c r="F1147" s="41"/>
      <c r="G1147" s="101"/>
      <c r="H1147" s="38"/>
      <c r="I1147" s="42"/>
      <c r="J1147" s="42"/>
      <c r="K1147" s="43"/>
      <c r="L1147" s="43"/>
      <c r="M1147" s="44" t="str">
        <f>IF(LayTable[[#This Row],[Sport]]="","",LayTable[[#This Row],[LayInnsats]]*(LayTable[[#This Row],[LayOdds]]-1))</f>
        <v/>
      </c>
      <c r="N1147" s="45" t="str">
        <f>IF(LayTable[[#This Row],[Sport]]="","",1/((1/LayTable[[#This Row],[BookieOdds]])+(1/((1/((1+((LayTable[[#This Row],[LayOdds]]-1)*(1+LayTable[[#This Row],[C% Lay]])))-1))+1)))-1)</f>
        <v/>
      </c>
      <c r="Q1147" s="46" t="str">
        <f>IF(LayTable[[#This Row],[Sport]]="","",LayTable[[#This Row],[BookieInnsats]]+LayTable[[#This Row],[LayLiability]])</f>
        <v/>
      </c>
      <c r="R11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7" s="47" t="str">
        <f>IF(LayTable[[#This Row],[Utfall bookie]]="","",LayTable[[#This Row],[WBABack]]+LayTable[[#This Row],[WBALay]]-LayTable[[#This Row],[Total inns]])</f>
        <v/>
      </c>
      <c r="U11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7" s="48" t="str">
        <f>IFERROR(IF(LayTable[[#This Row],[Total inns]]="","",LayTable[[#This Row],[Rback]]/LayTable[[#This Row],[Total inns]]),"")</f>
        <v/>
      </c>
      <c r="X1147" s="48" t="str">
        <f>IFERROR(IF(LayTable[[#This Row],[Total inns]]="","",LayTable[[#This Row],[Rlay]]/LayTable[[#This Row],[Total inns]]),"")</f>
        <v/>
      </c>
      <c r="Y1147" s="48" t="str">
        <f>IFERROR(LayTable[[#This Row],[Faktisk res]]/LayTable[[#This Row],[Total inns]],"")</f>
        <v/>
      </c>
      <c r="Z1147" s="47">
        <f>(LayTable[[#This Row],[BookieInnsats]]*LayTable[[#This Row],[BookieOdds]]-LayTable[[#This Row],[BookieInnsats]])*(1-LayTable[[#This Row],[C% Bookie]])</f>
        <v>0</v>
      </c>
      <c r="AA1147" s="43">
        <f>LayTable[[#This Row],[LayInnsats]]*(1-LayTable[[#This Row],[C% Lay]])</f>
        <v>0</v>
      </c>
      <c r="AB1147" s="43" t="str">
        <f>IFERROR(IF(LayTable[[#This Row],[Sport]]="",AB1146,LayTable[[#This Row],[Faktisk res]]+AB1146),"")</f>
        <v/>
      </c>
      <c r="AC1147" s="43">
        <f>(LayTable[[#This Row],[BackWin-Commission]]+LayTable[[#This Row],[BookieInnsats]])</f>
        <v>0</v>
      </c>
      <c r="AD1147" s="43" t="e">
        <f>(LayTable[[#This Row],[LayWin-Commission]])+LayTable[[#This Row],[LayLiability]]</f>
        <v>#VALUE!</v>
      </c>
      <c r="AE1147" s="43"/>
      <c r="AF1147" s="181"/>
    </row>
    <row r="1148" spans="1:32">
      <c r="A1148" s="84"/>
      <c r="B1148" s="39"/>
      <c r="C1148" s="40"/>
      <c r="D1148" s="41"/>
      <c r="E1148" s="40"/>
      <c r="F1148" s="41"/>
      <c r="G1148" s="101"/>
      <c r="H1148" s="38"/>
      <c r="I1148" s="42"/>
      <c r="J1148" s="42"/>
      <c r="K1148" s="43"/>
      <c r="L1148" s="43"/>
      <c r="M1148" s="44" t="str">
        <f>IF(LayTable[[#This Row],[Sport]]="","",LayTable[[#This Row],[LayInnsats]]*(LayTable[[#This Row],[LayOdds]]-1))</f>
        <v/>
      </c>
      <c r="N1148" s="45" t="str">
        <f>IF(LayTable[[#This Row],[Sport]]="","",1/((1/LayTable[[#This Row],[BookieOdds]])+(1/((1/((1+((LayTable[[#This Row],[LayOdds]]-1)*(1+LayTable[[#This Row],[C% Lay]])))-1))+1)))-1)</f>
        <v/>
      </c>
      <c r="Q1148" s="46" t="str">
        <f>IF(LayTable[[#This Row],[Sport]]="","",LayTable[[#This Row],[BookieInnsats]]+LayTable[[#This Row],[LayLiability]])</f>
        <v/>
      </c>
      <c r="R11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8" s="47" t="str">
        <f>IF(LayTable[[#This Row],[Utfall bookie]]="","",LayTable[[#This Row],[WBABack]]+LayTable[[#This Row],[WBALay]]-LayTable[[#This Row],[Total inns]])</f>
        <v/>
      </c>
      <c r="U11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8" s="48" t="str">
        <f>IFERROR(IF(LayTable[[#This Row],[Total inns]]="","",LayTable[[#This Row],[Rback]]/LayTable[[#This Row],[Total inns]]),"")</f>
        <v/>
      </c>
      <c r="X1148" s="48" t="str">
        <f>IFERROR(IF(LayTable[[#This Row],[Total inns]]="","",LayTable[[#This Row],[Rlay]]/LayTable[[#This Row],[Total inns]]),"")</f>
        <v/>
      </c>
      <c r="Y1148" s="48" t="str">
        <f>IFERROR(LayTable[[#This Row],[Faktisk res]]/LayTable[[#This Row],[Total inns]],"")</f>
        <v/>
      </c>
      <c r="Z1148" s="47">
        <f>(LayTable[[#This Row],[BookieInnsats]]*LayTable[[#This Row],[BookieOdds]]-LayTable[[#This Row],[BookieInnsats]])*(1-LayTable[[#This Row],[C% Bookie]])</f>
        <v>0</v>
      </c>
      <c r="AA1148" s="43">
        <f>LayTable[[#This Row],[LayInnsats]]*(1-LayTable[[#This Row],[C% Lay]])</f>
        <v>0</v>
      </c>
      <c r="AB1148" s="43" t="str">
        <f>IFERROR(IF(LayTable[[#This Row],[Sport]]="",AB1147,LayTable[[#This Row],[Faktisk res]]+AB1147),"")</f>
        <v/>
      </c>
      <c r="AC1148" s="43">
        <f>(LayTable[[#This Row],[BackWin-Commission]]+LayTable[[#This Row],[BookieInnsats]])</f>
        <v>0</v>
      </c>
      <c r="AD1148" s="43" t="e">
        <f>(LayTable[[#This Row],[LayWin-Commission]])+LayTable[[#This Row],[LayLiability]]</f>
        <v>#VALUE!</v>
      </c>
      <c r="AE1148" s="43"/>
      <c r="AF1148" s="181"/>
    </row>
    <row r="1149" spans="1:32">
      <c r="A1149" s="84"/>
      <c r="B1149" s="39"/>
      <c r="C1149" s="40"/>
      <c r="D1149" s="41"/>
      <c r="E1149" s="40"/>
      <c r="F1149" s="41"/>
      <c r="G1149" s="101"/>
      <c r="H1149" s="38"/>
      <c r="I1149" s="42"/>
      <c r="J1149" s="42"/>
      <c r="K1149" s="43"/>
      <c r="L1149" s="43"/>
      <c r="M1149" s="44" t="str">
        <f>IF(LayTable[[#This Row],[Sport]]="","",LayTable[[#This Row],[LayInnsats]]*(LayTable[[#This Row],[LayOdds]]-1))</f>
        <v/>
      </c>
      <c r="N1149" s="45" t="str">
        <f>IF(LayTable[[#This Row],[Sport]]="","",1/((1/LayTable[[#This Row],[BookieOdds]])+(1/((1/((1+((LayTable[[#This Row],[LayOdds]]-1)*(1+LayTable[[#This Row],[C% Lay]])))-1))+1)))-1)</f>
        <v/>
      </c>
      <c r="Q1149" s="46" t="str">
        <f>IF(LayTable[[#This Row],[Sport]]="","",LayTable[[#This Row],[BookieInnsats]]+LayTable[[#This Row],[LayLiability]])</f>
        <v/>
      </c>
      <c r="R11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49" s="47" t="str">
        <f>IF(LayTable[[#This Row],[Utfall bookie]]="","",LayTable[[#This Row],[WBABack]]+LayTable[[#This Row],[WBALay]]-LayTable[[#This Row],[Total inns]])</f>
        <v/>
      </c>
      <c r="U11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49" s="48" t="str">
        <f>IFERROR(IF(LayTable[[#This Row],[Total inns]]="","",LayTable[[#This Row],[Rback]]/LayTable[[#This Row],[Total inns]]),"")</f>
        <v/>
      </c>
      <c r="X1149" s="48" t="str">
        <f>IFERROR(IF(LayTable[[#This Row],[Total inns]]="","",LayTable[[#This Row],[Rlay]]/LayTable[[#This Row],[Total inns]]),"")</f>
        <v/>
      </c>
      <c r="Y1149" s="48" t="str">
        <f>IFERROR(LayTable[[#This Row],[Faktisk res]]/LayTable[[#This Row],[Total inns]],"")</f>
        <v/>
      </c>
      <c r="Z1149" s="47">
        <f>(LayTable[[#This Row],[BookieInnsats]]*LayTable[[#This Row],[BookieOdds]]-LayTable[[#This Row],[BookieInnsats]])*(1-LayTable[[#This Row],[C% Bookie]])</f>
        <v>0</v>
      </c>
      <c r="AA1149" s="43">
        <f>LayTable[[#This Row],[LayInnsats]]*(1-LayTable[[#This Row],[C% Lay]])</f>
        <v>0</v>
      </c>
      <c r="AB1149" s="43" t="str">
        <f>IFERROR(IF(LayTable[[#This Row],[Sport]]="",AB1148,LayTable[[#This Row],[Faktisk res]]+AB1148),"")</f>
        <v/>
      </c>
      <c r="AC1149" s="43">
        <f>(LayTable[[#This Row],[BackWin-Commission]]+LayTable[[#This Row],[BookieInnsats]])</f>
        <v>0</v>
      </c>
      <c r="AD1149" s="43" t="e">
        <f>(LayTable[[#This Row],[LayWin-Commission]])+LayTable[[#This Row],[LayLiability]]</f>
        <v>#VALUE!</v>
      </c>
      <c r="AE1149" s="43"/>
      <c r="AF1149" s="181"/>
    </row>
    <row r="1150" spans="1:32">
      <c r="A1150" s="84"/>
      <c r="B1150" s="39"/>
      <c r="C1150" s="40"/>
      <c r="D1150" s="41"/>
      <c r="E1150" s="40"/>
      <c r="F1150" s="41"/>
      <c r="G1150" s="101"/>
      <c r="H1150" s="38"/>
      <c r="I1150" s="42"/>
      <c r="J1150" s="42"/>
      <c r="K1150" s="43"/>
      <c r="L1150" s="43"/>
      <c r="M1150" s="44" t="str">
        <f>IF(LayTable[[#This Row],[Sport]]="","",LayTable[[#This Row],[LayInnsats]]*(LayTable[[#This Row],[LayOdds]]-1))</f>
        <v/>
      </c>
      <c r="N1150" s="45" t="str">
        <f>IF(LayTable[[#This Row],[Sport]]="","",1/((1/LayTable[[#This Row],[BookieOdds]])+(1/((1/((1+((LayTable[[#This Row],[LayOdds]]-1)*(1+LayTable[[#This Row],[C% Lay]])))-1))+1)))-1)</f>
        <v/>
      </c>
      <c r="Q1150" s="46" t="str">
        <f>IF(LayTable[[#This Row],[Sport]]="","",LayTable[[#This Row],[BookieInnsats]]+LayTable[[#This Row],[LayLiability]])</f>
        <v/>
      </c>
      <c r="R11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0" s="47" t="str">
        <f>IF(LayTable[[#This Row],[Utfall bookie]]="","",LayTable[[#This Row],[WBABack]]+LayTable[[#This Row],[WBALay]]-LayTable[[#This Row],[Total inns]])</f>
        <v/>
      </c>
      <c r="U11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0" s="48" t="str">
        <f>IFERROR(IF(LayTable[[#This Row],[Total inns]]="","",LayTable[[#This Row],[Rback]]/LayTable[[#This Row],[Total inns]]),"")</f>
        <v/>
      </c>
      <c r="X1150" s="48" t="str">
        <f>IFERROR(IF(LayTable[[#This Row],[Total inns]]="","",LayTable[[#This Row],[Rlay]]/LayTable[[#This Row],[Total inns]]),"")</f>
        <v/>
      </c>
      <c r="Y1150" s="48" t="str">
        <f>IFERROR(LayTable[[#This Row],[Faktisk res]]/LayTable[[#This Row],[Total inns]],"")</f>
        <v/>
      </c>
      <c r="Z1150" s="47">
        <f>(LayTable[[#This Row],[BookieInnsats]]*LayTable[[#This Row],[BookieOdds]]-LayTable[[#This Row],[BookieInnsats]])*(1-LayTable[[#This Row],[C% Bookie]])</f>
        <v>0</v>
      </c>
      <c r="AA1150" s="43">
        <f>LayTable[[#This Row],[LayInnsats]]*(1-LayTable[[#This Row],[C% Lay]])</f>
        <v>0</v>
      </c>
      <c r="AB1150" s="43" t="str">
        <f>IFERROR(IF(LayTable[[#This Row],[Sport]]="",AB1149,LayTable[[#This Row],[Faktisk res]]+AB1149),"")</f>
        <v/>
      </c>
      <c r="AC1150" s="43">
        <f>(LayTable[[#This Row],[BackWin-Commission]]+LayTable[[#This Row],[BookieInnsats]])</f>
        <v>0</v>
      </c>
      <c r="AD1150" s="43" t="e">
        <f>(LayTable[[#This Row],[LayWin-Commission]])+LayTable[[#This Row],[LayLiability]]</f>
        <v>#VALUE!</v>
      </c>
      <c r="AE1150" s="43"/>
      <c r="AF1150" s="181"/>
    </row>
    <row r="1151" spans="1:32">
      <c r="A1151" s="84"/>
      <c r="B1151" s="39"/>
      <c r="C1151" s="40"/>
      <c r="D1151" s="41"/>
      <c r="E1151" s="40"/>
      <c r="F1151" s="41"/>
      <c r="G1151" s="101"/>
      <c r="H1151" s="38"/>
      <c r="I1151" s="42"/>
      <c r="J1151" s="42"/>
      <c r="K1151" s="43"/>
      <c r="L1151" s="43"/>
      <c r="M1151" s="44" t="str">
        <f>IF(LayTable[[#This Row],[Sport]]="","",LayTable[[#This Row],[LayInnsats]]*(LayTable[[#This Row],[LayOdds]]-1))</f>
        <v/>
      </c>
      <c r="N1151" s="45" t="str">
        <f>IF(LayTable[[#This Row],[Sport]]="","",1/((1/LayTable[[#This Row],[BookieOdds]])+(1/((1/((1+((LayTable[[#This Row],[LayOdds]]-1)*(1+LayTable[[#This Row],[C% Lay]])))-1))+1)))-1)</f>
        <v/>
      </c>
      <c r="Q1151" s="46" t="str">
        <f>IF(LayTable[[#This Row],[Sport]]="","",LayTable[[#This Row],[BookieInnsats]]+LayTable[[#This Row],[LayLiability]])</f>
        <v/>
      </c>
      <c r="R11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1" s="47" t="str">
        <f>IF(LayTable[[#This Row],[Utfall bookie]]="","",LayTable[[#This Row],[WBABack]]+LayTable[[#This Row],[WBALay]]-LayTable[[#This Row],[Total inns]])</f>
        <v/>
      </c>
      <c r="U11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1" s="48" t="str">
        <f>IFERROR(IF(LayTable[[#This Row],[Total inns]]="","",LayTable[[#This Row],[Rback]]/LayTable[[#This Row],[Total inns]]),"")</f>
        <v/>
      </c>
      <c r="X1151" s="48" t="str">
        <f>IFERROR(IF(LayTable[[#This Row],[Total inns]]="","",LayTable[[#This Row],[Rlay]]/LayTable[[#This Row],[Total inns]]),"")</f>
        <v/>
      </c>
      <c r="Y1151" s="48" t="str">
        <f>IFERROR(LayTable[[#This Row],[Faktisk res]]/LayTable[[#This Row],[Total inns]],"")</f>
        <v/>
      </c>
      <c r="Z1151" s="47">
        <f>(LayTable[[#This Row],[BookieInnsats]]*LayTable[[#This Row],[BookieOdds]]-LayTable[[#This Row],[BookieInnsats]])*(1-LayTable[[#This Row],[C% Bookie]])</f>
        <v>0</v>
      </c>
      <c r="AA1151" s="43">
        <f>LayTable[[#This Row],[LayInnsats]]*(1-LayTable[[#This Row],[C% Lay]])</f>
        <v>0</v>
      </c>
      <c r="AB1151" s="43" t="str">
        <f>IFERROR(IF(LayTable[[#This Row],[Sport]]="",AB1150,LayTable[[#This Row],[Faktisk res]]+AB1150),"")</f>
        <v/>
      </c>
      <c r="AC1151" s="43">
        <f>(LayTable[[#This Row],[BackWin-Commission]]+LayTable[[#This Row],[BookieInnsats]])</f>
        <v>0</v>
      </c>
      <c r="AD1151" s="43" t="e">
        <f>(LayTable[[#This Row],[LayWin-Commission]])+LayTable[[#This Row],[LayLiability]]</f>
        <v>#VALUE!</v>
      </c>
      <c r="AE1151" s="43"/>
      <c r="AF1151" s="181"/>
    </row>
    <row r="1152" spans="1:32">
      <c r="A1152" s="84"/>
      <c r="B1152" s="39"/>
      <c r="C1152" s="40"/>
      <c r="D1152" s="41"/>
      <c r="E1152" s="40"/>
      <c r="F1152" s="41"/>
      <c r="G1152" s="101"/>
      <c r="H1152" s="38"/>
      <c r="I1152" s="42"/>
      <c r="J1152" s="42"/>
      <c r="K1152" s="43"/>
      <c r="L1152" s="43"/>
      <c r="M1152" s="44" t="str">
        <f>IF(LayTable[[#This Row],[Sport]]="","",LayTable[[#This Row],[LayInnsats]]*(LayTable[[#This Row],[LayOdds]]-1))</f>
        <v/>
      </c>
      <c r="N1152" s="45" t="str">
        <f>IF(LayTable[[#This Row],[Sport]]="","",1/((1/LayTable[[#This Row],[BookieOdds]])+(1/((1/((1+((LayTable[[#This Row],[LayOdds]]-1)*(1+LayTable[[#This Row],[C% Lay]])))-1))+1)))-1)</f>
        <v/>
      </c>
      <c r="Q1152" s="46" t="str">
        <f>IF(LayTable[[#This Row],[Sport]]="","",LayTable[[#This Row],[BookieInnsats]]+LayTable[[#This Row],[LayLiability]])</f>
        <v/>
      </c>
      <c r="R11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2" s="47" t="str">
        <f>IF(LayTable[[#This Row],[Utfall bookie]]="","",LayTable[[#This Row],[WBABack]]+LayTable[[#This Row],[WBALay]]-LayTable[[#This Row],[Total inns]])</f>
        <v/>
      </c>
      <c r="U11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2" s="48" t="str">
        <f>IFERROR(IF(LayTable[[#This Row],[Total inns]]="","",LayTable[[#This Row],[Rback]]/LayTable[[#This Row],[Total inns]]),"")</f>
        <v/>
      </c>
      <c r="X1152" s="48" t="str">
        <f>IFERROR(IF(LayTable[[#This Row],[Total inns]]="","",LayTable[[#This Row],[Rlay]]/LayTable[[#This Row],[Total inns]]),"")</f>
        <v/>
      </c>
      <c r="Y1152" s="48" t="str">
        <f>IFERROR(LayTable[[#This Row],[Faktisk res]]/LayTable[[#This Row],[Total inns]],"")</f>
        <v/>
      </c>
      <c r="Z1152" s="47">
        <f>(LayTable[[#This Row],[BookieInnsats]]*LayTable[[#This Row],[BookieOdds]]-LayTable[[#This Row],[BookieInnsats]])*(1-LayTable[[#This Row],[C% Bookie]])</f>
        <v>0</v>
      </c>
      <c r="AA1152" s="43">
        <f>LayTable[[#This Row],[LayInnsats]]*(1-LayTable[[#This Row],[C% Lay]])</f>
        <v>0</v>
      </c>
      <c r="AB1152" s="43" t="str">
        <f>IFERROR(IF(LayTable[[#This Row],[Sport]]="",AB1151,LayTable[[#This Row],[Faktisk res]]+AB1151),"")</f>
        <v/>
      </c>
      <c r="AC1152" s="43">
        <f>(LayTable[[#This Row],[BackWin-Commission]]+LayTable[[#This Row],[BookieInnsats]])</f>
        <v>0</v>
      </c>
      <c r="AD1152" s="43" t="e">
        <f>(LayTable[[#This Row],[LayWin-Commission]])+LayTable[[#This Row],[LayLiability]]</f>
        <v>#VALUE!</v>
      </c>
      <c r="AE1152" s="43"/>
      <c r="AF1152" s="181"/>
    </row>
    <row r="1153" spans="1:32">
      <c r="A1153" s="84"/>
      <c r="B1153" s="39"/>
      <c r="C1153" s="40"/>
      <c r="D1153" s="41"/>
      <c r="E1153" s="40"/>
      <c r="F1153" s="41"/>
      <c r="G1153" s="101"/>
      <c r="H1153" s="38"/>
      <c r="I1153" s="42"/>
      <c r="J1153" s="42"/>
      <c r="K1153" s="43"/>
      <c r="L1153" s="43"/>
      <c r="M1153" s="44" t="str">
        <f>IF(LayTable[[#This Row],[Sport]]="","",LayTable[[#This Row],[LayInnsats]]*(LayTable[[#This Row],[LayOdds]]-1))</f>
        <v/>
      </c>
      <c r="N1153" s="45" t="str">
        <f>IF(LayTable[[#This Row],[Sport]]="","",1/((1/LayTable[[#This Row],[BookieOdds]])+(1/((1/((1+((LayTable[[#This Row],[LayOdds]]-1)*(1+LayTable[[#This Row],[C% Lay]])))-1))+1)))-1)</f>
        <v/>
      </c>
      <c r="Q1153" s="46" t="str">
        <f>IF(LayTable[[#This Row],[Sport]]="","",LayTable[[#This Row],[BookieInnsats]]+LayTable[[#This Row],[LayLiability]])</f>
        <v/>
      </c>
      <c r="R11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3" s="47" t="str">
        <f>IF(LayTable[[#This Row],[Utfall bookie]]="","",LayTable[[#This Row],[WBABack]]+LayTable[[#This Row],[WBALay]]-LayTable[[#This Row],[Total inns]])</f>
        <v/>
      </c>
      <c r="U11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3" s="48" t="str">
        <f>IFERROR(IF(LayTable[[#This Row],[Total inns]]="","",LayTable[[#This Row],[Rback]]/LayTable[[#This Row],[Total inns]]),"")</f>
        <v/>
      </c>
      <c r="X1153" s="48" t="str">
        <f>IFERROR(IF(LayTable[[#This Row],[Total inns]]="","",LayTable[[#This Row],[Rlay]]/LayTable[[#This Row],[Total inns]]),"")</f>
        <v/>
      </c>
      <c r="Y1153" s="48" t="str">
        <f>IFERROR(LayTable[[#This Row],[Faktisk res]]/LayTable[[#This Row],[Total inns]],"")</f>
        <v/>
      </c>
      <c r="Z1153" s="47">
        <f>(LayTable[[#This Row],[BookieInnsats]]*LayTable[[#This Row],[BookieOdds]]-LayTable[[#This Row],[BookieInnsats]])*(1-LayTable[[#This Row],[C% Bookie]])</f>
        <v>0</v>
      </c>
      <c r="AA1153" s="43">
        <f>LayTable[[#This Row],[LayInnsats]]*(1-LayTable[[#This Row],[C% Lay]])</f>
        <v>0</v>
      </c>
      <c r="AB1153" s="43" t="str">
        <f>IFERROR(IF(LayTable[[#This Row],[Sport]]="",AB1152,LayTable[[#This Row],[Faktisk res]]+AB1152),"")</f>
        <v/>
      </c>
      <c r="AC1153" s="43">
        <f>(LayTable[[#This Row],[BackWin-Commission]]+LayTable[[#This Row],[BookieInnsats]])</f>
        <v>0</v>
      </c>
      <c r="AD1153" s="43" t="e">
        <f>(LayTable[[#This Row],[LayWin-Commission]])+LayTable[[#This Row],[LayLiability]]</f>
        <v>#VALUE!</v>
      </c>
      <c r="AE1153" s="43"/>
      <c r="AF1153" s="181"/>
    </row>
    <row r="1154" spans="1:32">
      <c r="A1154" s="84"/>
      <c r="B1154" s="39"/>
      <c r="C1154" s="40"/>
      <c r="D1154" s="41"/>
      <c r="E1154" s="40"/>
      <c r="F1154" s="41"/>
      <c r="G1154" s="101"/>
      <c r="H1154" s="38"/>
      <c r="I1154" s="42"/>
      <c r="J1154" s="42"/>
      <c r="K1154" s="43"/>
      <c r="L1154" s="43"/>
      <c r="M1154" s="44" t="str">
        <f>IF(LayTable[[#This Row],[Sport]]="","",LayTable[[#This Row],[LayInnsats]]*(LayTable[[#This Row],[LayOdds]]-1))</f>
        <v/>
      </c>
      <c r="N1154" s="45" t="str">
        <f>IF(LayTable[[#This Row],[Sport]]="","",1/((1/LayTable[[#This Row],[BookieOdds]])+(1/((1/((1+((LayTable[[#This Row],[LayOdds]]-1)*(1+LayTable[[#This Row],[C% Lay]])))-1))+1)))-1)</f>
        <v/>
      </c>
      <c r="Q1154" s="46" t="str">
        <f>IF(LayTable[[#This Row],[Sport]]="","",LayTable[[#This Row],[BookieInnsats]]+LayTable[[#This Row],[LayLiability]])</f>
        <v/>
      </c>
      <c r="R11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4" s="47" t="str">
        <f>IF(LayTable[[#This Row],[Utfall bookie]]="","",LayTable[[#This Row],[WBABack]]+LayTable[[#This Row],[WBALay]]-LayTable[[#This Row],[Total inns]])</f>
        <v/>
      </c>
      <c r="U11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4" s="48" t="str">
        <f>IFERROR(IF(LayTable[[#This Row],[Total inns]]="","",LayTable[[#This Row],[Rback]]/LayTable[[#This Row],[Total inns]]),"")</f>
        <v/>
      </c>
      <c r="X1154" s="48" t="str">
        <f>IFERROR(IF(LayTable[[#This Row],[Total inns]]="","",LayTable[[#This Row],[Rlay]]/LayTable[[#This Row],[Total inns]]),"")</f>
        <v/>
      </c>
      <c r="Y1154" s="48" t="str">
        <f>IFERROR(LayTable[[#This Row],[Faktisk res]]/LayTable[[#This Row],[Total inns]],"")</f>
        <v/>
      </c>
      <c r="Z1154" s="47">
        <f>(LayTable[[#This Row],[BookieInnsats]]*LayTable[[#This Row],[BookieOdds]]-LayTable[[#This Row],[BookieInnsats]])*(1-LayTable[[#This Row],[C% Bookie]])</f>
        <v>0</v>
      </c>
      <c r="AA1154" s="43">
        <f>LayTable[[#This Row],[LayInnsats]]*(1-LayTable[[#This Row],[C% Lay]])</f>
        <v>0</v>
      </c>
      <c r="AB1154" s="43" t="str">
        <f>IFERROR(IF(LayTable[[#This Row],[Sport]]="",AB1153,LayTable[[#This Row],[Faktisk res]]+AB1153),"")</f>
        <v/>
      </c>
      <c r="AC1154" s="43">
        <f>(LayTable[[#This Row],[BackWin-Commission]]+LayTable[[#This Row],[BookieInnsats]])</f>
        <v>0</v>
      </c>
      <c r="AD1154" s="43" t="e">
        <f>(LayTable[[#This Row],[LayWin-Commission]])+LayTable[[#This Row],[LayLiability]]</f>
        <v>#VALUE!</v>
      </c>
      <c r="AE1154" s="43"/>
      <c r="AF1154" s="181"/>
    </row>
    <row r="1155" spans="1:32">
      <c r="A1155" s="84"/>
      <c r="B1155" s="39"/>
      <c r="C1155" s="40"/>
      <c r="D1155" s="41"/>
      <c r="E1155" s="40"/>
      <c r="F1155" s="41"/>
      <c r="G1155" s="101"/>
      <c r="H1155" s="38"/>
      <c r="I1155" s="42"/>
      <c r="J1155" s="42"/>
      <c r="K1155" s="43"/>
      <c r="L1155" s="43"/>
      <c r="M1155" s="44" t="str">
        <f>IF(LayTable[[#This Row],[Sport]]="","",LayTable[[#This Row],[LayInnsats]]*(LayTable[[#This Row],[LayOdds]]-1))</f>
        <v/>
      </c>
      <c r="N1155" s="45" t="str">
        <f>IF(LayTable[[#This Row],[Sport]]="","",1/((1/LayTable[[#This Row],[BookieOdds]])+(1/((1/((1+((LayTable[[#This Row],[LayOdds]]-1)*(1+LayTable[[#This Row],[C% Lay]])))-1))+1)))-1)</f>
        <v/>
      </c>
      <c r="Q1155" s="46" t="str">
        <f>IF(LayTable[[#This Row],[Sport]]="","",LayTable[[#This Row],[BookieInnsats]]+LayTable[[#This Row],[LayLiability]])</f>
        <v/>
      </c>
      <c r="R11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5" s="47" t="str">
        <f>IF(LayTable[[#This Row],[Utfall bookie]]="","",LayTable[[#This Row],[WBABack]]+LayTable[[#This Row],[WBALay]]-LayTable[[#This Row],[Total inns]])</f>
        <v/>
      </c>
      <c r="U11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5" s="48" t="str">
        <f>IFERROR(IF(LayTable[[#This Row],[Total inns]]="","",LayTable[[#This Row],[Rback]]/LayTable[[#This Row],[Total inns]]),"")</f>
        <v/>
      </c>
      <c r="X1155" s="48" t="str">
        <f>IFERROR(IF(LayTable[[#This Row],[Total inns]]="","",LayTable[[#This Row],[Rlay]]/LayTable[[#This Row],[Total inns]]),"")</f>
        <v/>
      </c>
      <c r="Y1155" s="48" t="str">
        <f>IFERROR(LayTable[[#This Row],[Faktisk res]]/LayTable[[#This Row],[Total inns]],"")</f>
        <v/>
      </c>
      <c r="Z1155" s="47">
        <f>(LayTable[[#This Row],[BookieInnsats]]*LayTable[[#This Row],[BookieOdds]]-LayTable[[#This Row],[BookieInnsats]])*(1-LayTable[[#This Row],[C% Bookie]])</f>
        <v>0</v>
      </c>
      <c r="AA1155" s="43">
        <f>LayTable[[#This Row],[LayInnsats]]*(1-LayTable[[#This Row],[C% Lay]])</f>
        <v>0</v>
      </c>
      <c r="AB1155" s="43" t="str">
        <f>IFERROR(IF(LayTable[[#This Row],[Sport]]="",AB1154,LayTable[[#This Row],[Faktisk res]]+AB1154),"")</f>
        <v/>
      </c>
      <c r="AC1155" s="43">
        <f>(LayTable[[#This Row],[BackWin-Commission]]+LayTable[[#This Row],[BookieInnsats]])</f>
        <v>0</v>
      </c>
      <c r="AD1155" s="43" t="e">
        <f>(LayTable[[#This Row],[LayWin-Commission]])+LayTable[[#This Row],[LayLiability]]</f>
        <v>#VALUE!</v>
      </c>
      <c r="AE1155" s="43"/>
      <c r="AF1155" s="181"/>
    </row>
    <row r="1156" spans="1:32">
      <c r="A1156" s="84"/>
      <c r="B1156" s="39"/>
      <c r="C1156" s="40"/>
      <c r="D1156" s="41"/>
      <c r="E1156" s="40"/>
      <c r="F1156" s="41"/>
      <c r="G1156" s="101"/>
      <c r="H1156" s="38"/>
      <c r="I1156" s="42"/>
      <c r="J1156" s="42"/>
      <c r="K1156" s="43"/>
      <c r="L1156" s="43"/>
      <c r="M1156" s="44" t="str">
        <f>IF(LayTable[[#This Row],[Sport]]="","",LayTable[[#This Row],[LayInnsats]]*(LayTable[[#This Row],[LayOdds]]-1))</f>
        <v/>
      </c>
      <c r="N1156" s="45" t="str">
        <f>IF(LayTable[[#This Row],[Sport]]="","",1/((1/LayTable[[#This Row],[BookieOdds]])+(1/((1/((1+((LayTable[[#This Row],[LayOdds]]-1)*(1+LayTable[[#This Row],[C% Lay]])))-1))+1)))-1)</f>
        <v/>
      </c>
      <c r="Q1156" s="46" t="str">
        <f>IF(LayTable[[#This Row],[Sport]]="","",LayTable[[#This Row],[BookieInnsats]]+LayTable[[#This Row],[LayLiability]])</f>
        <v/>
      </c>
      <c r="R11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6" s="47" t="str">
        <f>IF(LayTable[[#This Row],[Utfall bookie]]="","",LayTable[[#This Row],[WBABack]]+LayTable[[#This Row],[WBALay]]-LayTable[[#This Row],[Total inns]])</f>
        <v/>
      </c>
      <c r="U11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6" s="48" t="str">
        <f>IFERROR(IF(LayTable[[#This Row],[Total inns]]="","",LayTable[[#This Row],[Rback]]/LayTable[[#This Row],[Total inns]]),"")</f>
        <v/>
      </c>
      <c r="X1156" s="48" t="str">
        <f>IFERROR(IF(LayTable[[#This Row],[Total inns]]="","",LayTable[[#This Row],[Rlay]]/LayTable[[#This Row],[Total inns]]),"")</f>
        <v/>
      </c>
      <c r="Y1156" s="48" t="str">
        <f>IFERROR(LayTable[[#This Row],[Faktisk res]]/LayTable[[#This Row],[Total inns]],"")</f>
        <v/>
      </c>
      <c r="Z1156" s="47">
        <f>(LayTable[[#This Row],[BookieInnsats]]*LayTable[[#This Row],[BookieOdds]]-LayTable[[#This Row],[BookieInnsats]])*(1-LayTable[[#This Row],[C% Bookie]])</f>
        <v>0</v>
      </c>
      <c r="AA1156" s="43">
        <f>LayTable[[#This Row],[LayInnsats]]*(1-LayTable[[#This Row],[C% Lay]])</f>
        <v>0</v>
      </c>
      <c r="AB1156" s="43" t="str">
        <f>IFERROR(IF(LayTable[[#This Row],[Sport]]="",AB1155,LayTable[[#This Row],[Faktisk res]]+AB1155),"")</f>
        <v/>
      </c>
      <c r="AC1156" s="43">
        <f>(LayTable[[#This Row],[BackWin-Commission]]+LayTable[[#This Row],[BookieInnsats]])</f>
        <v>0</v>
      </c>
      <c r="AD1156" s="43" t="e">
        <f>(LayTable[[#This Row],[LayWin-Commission]])+LayTable[[#This Row],[LayLiability]]</f>
        <v>#VALUE!</v>
      </c>
      <c r="AE1156" s="43"/>
      <c r="AF1156" s="181"/>
    </row>
    <row r="1157" spans="1:32">
      <c r="A1157" s="84"/>
      <c r="B1157" s="39"/>
      <c r="C1157" s="40"/>
      <c r="D1157" s="41"/>
      <c r="E1157" s="40"/>
      <c r="F1157" s="41"/>
      <c r="G1157" s="101"/>
      <c r="H1157" s="38"/>
      <c r="I1157" s="42"/>
      <c r="J1157" s="42"/>
      <c r="K1157" s="43"/>
      <c r="L1157" s="43"/>
      <c r="M1157" s="44" t="str">
        <f>IF(LayTable[[#This Row],[Sport]]="","",LayTable[[#This Row],[LayInnsats]]*(LayTable[[#This Row],[LayOdds]]-1))</f>
        <v/>
      </c>
      <c r="N1157" s="45" t="str">
        <f>IF(LayTable[[#This Row],[Sport]]="","",1/((1/LayTable[[#This Row],[BookieOdds]])+(1/((1/((1+((LayTable[[#This Row],[LayOdds]]-1)*(1+LayTable[[#This Row],[C% Lay]])))-1))+1)))-1)</f>
        <v/>
      </c>
      <c r="Q1157" s="46" t="str">
        <f>IF(LayTable[[#This Row],[Sport]]="","",LayTable[[#This Row],[BookieInnsats]]+LayTable[[#This Row],[LayLiability]])</f>
        <v/>
      </c>
      <c r="R11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7" s="47" t="str">
        <f>IF(LayTable[[#This Row],[Utfall bookie]]="","",LayTable[[#This Row],[WBABack]]+LayTable[[#This Row],[WBALay]]-LayTable[[#This Row],[Total inns]])</f>
        <v/>
      </c>
      <c r="U11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7" s="48" t="str">
        <f>IFERROR(IF(LayTable[[#This Row],[Total inns]]="","",LayTable[[#This Row],[Rback]]/LayTable[[#This Row],[Total inns]]),"")</f>
        <v/>
      </c>
      <c r="X1157" s="48" t="str">
        <f>IFERROR(IF(LayTable[[#This Row],[Total inns]]="","",LayTable[[#This Row],[Rlay]]/LayTable[[#This Row],[Total inns]]),"")</f>
        <v/>
      </c>
      <c r="Y1157" s="48" t="str">
        <f>IFERROR(LayTable[[#This Row],[Faktisk res]]/LayTable[[#This Row],[Total inns]],"")</f>
        <v/>
      </c>
      <c r="Z1157" s="47">
        <f>(LayTable[[#This Row],[BookieInnsats]]*LayTable[[#This Row],[BookieOdds]]-LayTable[[#This Row],[BookieInnsats]])*(1-LayTable[[#This Row],[C% Bookie]])</f>
        <v>0</v>
      </c>
      <c r="AA1157" s="43">
        <f>LayTable[[#This Row],[LayInnsats]]*(1-LayTable[[#This Row],[C% Lay]])</f>
        <v>0</v>
      </c>
      <c r="AB1157" s="43" t="str">
        <f>IFERROR(IF(LayTable[[#This Row],[Sport]]="",AB1156,LayTable[[#This Row],[Faktisk res]]+AB1156),"")</f>
        <v/>
      </c>
      <c r="AC1157" s="43">
        <f>(LayTable[[#This Row],[BackWin-Commission]]+LayTable[[#This Row],[BookieInnsats]])</f>
        <v>0</v>
      </c>
      <c r="AD1157" s="43" t="e">
        <f>(LayTable[[#This Row],[LayWin-Commission]])+LayTable[[#This Row],[LayLiability]]</f>
        <v>#VALUE!</v>
      </c>
      <c r="AE1157" s="43"/>
      <c r="AF1157" s="181"/>
    </row>
    <row r="1158" spans="1:32">
      <c r="A1158" s="84"/>
      <c r="B1158" s="39"/>
      <c r="C1158" s="40"/>
      <c r="D1158" s="41"/>
      <c r="E1158" s="40"/>
      <c r="F1158" s="41"/>
      <c r="G1158" s="101"/>
      <c r="H1158" s="38"/>
      <c r="I1158" s="42"/>
      <c r="J1158" s="42"/>
      <c r="K1158" s="43"/>
      <c r="L1158" s="43"/>
      <c r="M1158" s="44" t="str">
        <f>IF(LayTable[[#This Row],[Sport]]="","",LayTable[[#This Row],[LayInnsats]]*(LayTable[[#This Row],[LayOdds]]-1))</f>
        <v/>
      </c>
      <c r="N1158" s="45" t="str">
        <f>IF(LayTable[[#This Row],[Sport]]="","",1/((1/LayTable[[#This Row],[BookieOdds]])+(1/((1/((1+((LayTable[[#This Row],[LayOdds]]-1)*(1+LayTable[[#This Row],[C% Lay]])))-1))+1)))-1)</f>
        <v/>
      </c>
      <c r="Q1158" s="46" t="str">
        <f>IF(LayTable[[#This Row],[Sport]]="","",LayTable[[#This Row],[BookieInnsats]]+LayTable[[#This Row],[LayLiability]])</f>
        <v/>
      </c>
      <c r="R11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8" s="47" t="str">
        <f>IF(LayTable[[#This Row],[Utfall bookie]]="","",LayTable[[#This Row],[WBABack]]+LayTable[[#This Row],[WBALay]]-LayTable[[#This Row],[Total inns]])</f>
        <v/>
      </c>
      <c r="U11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8" s="48" t="str">
        <f>IFERROR(IF(LayTable[[#This Row],[Total inns]]="","",LayTable[[#This Row],[Rback]]/LayTable[[#This Row],[Total inns]]),"")</f>
        <v/>
      </c>
      <c r="X1158" s="48" t="str">
        <f>IFERROR(IF(LayTable[[#This Row],[Total inns]]="","",LayTable[[#This Row],[Rlay]]/LayTable[[#This Row],[Total inns]]),"")</f>
        <v/>
      </c>
      <c r="Y1158" s="48" t="str">
        <f>IFERROR(LayTable[[#This Row],[Faktisk res]]/LayTable[[#This Row],[Total inns]],"")</f>
        <v/>
      </c>
      <c r="Z1158" s="47">
        <f>(LayTable[[#This Row],[BookieInnsats]]*LayTable[[#This Row],[BookieOdds]]-LayTable[[#This Row],[BookieInnsats]])*(1-LayTable[[#This Row],[C% Bookie]])</f>
        <v>0</v>
      </c>
      <c r="AA1158" s="43">
        <f>LayTable[[#This Row],[LayInnsats]]*(1-LayTable[[#This Row],[C% Lay]])</f>
        <v>0</v>
      </c>
      <c r="AB1158" s="43" t="str">
        <f>IFERROR(IF(LayTable[[#This Row],[Sport]]="",AB1157,LayTable[[#This Row],[Faktisk res]]+AB1157),"")</f>
        <v/>
      </c>
      <c r="AC1158" s="43">
        <f>(LayTable[[#This Row],[BackWin-Commission]]+LayTable[[#This Row],[BookieInnsats]])</f>
        <v>0</v>
      </c>
      <c r="AD1158" s="43" t="e">
        <f>(LayTable[[#This Row],[LayWin-Commission]])+LayTable[[#This Row],[LayLiability]]</f>
        <v>#VALUE!</v>
      </c>
      <c r="AE1158" s="43"/>
      <c r="AF1158" s="181"/>
    </row>
    <row r="1159" spans="1:32">
      <c r="A1159" s="84"/>
      <c r="B1159" s="39"/>
      <c r="C1159" s="40"/>
      <c r="D1159" s="41"/>
      <c r="E1159" s="40"/>
      <c r="F1159" s="41"/>
      <c r="G1159" s="101"/>
      <c r="H1159" s="38"/>
      <c r="I1159" s="42"/>
      <c r="J1159" s="42"/>
      <c r="K1159" s="43"/>
      <c r="L1159" s="43"/>
      <c r="M1159" s="44" t="str">
        <f>IF(LayTable[[#This Row],[Sport]]="","",LayTable[[#This Row],[LayInnsats]]*(LayTable[[#This Row],[LayOdds]]-1))</f>
        <v/>
      </c>
      <c r="N1159" s="45" t="str">
        <f>IF(LayTable[[#This Row],[Sport]]="","",1/((1/LayTable[[#This Row],[BookieOdds]])+(1/((1/((1+((LayTable[[#This Row],[LayOdds]]-1)*(1+LayTable[[#This Row],[C% Lay]])))-1))+1)))-1)</f>
        <v/>
      </c>
      <c r="Q1159" s="46" t="str">
        <f>IF(LayTable[[#This Row],[Sport]]="","",LayTable[[#This Row],[BookieInnsats]]+LayTable[[#This Row],[LayLiability]])</f>
        <v/>
      </c>
      <c r="R11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59" s="47" t="str">
        <f>IF(LayTable[[#This Row],[Utfall bookie]]="","",LayTable[[#This Row],[WBABack]]+LayTable[[#This Row],[WBALay]]-LayTable[[#This Row],[Total inns]])</f>
        <v/>
      </c>
      <c r="U11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59" s="48" t="str">
        <f>IFERROR(IF(LayTable[[#This Row],[Total inns]]="","",LayTable[[#This Row],[Rback]]/LayTable[[#This Row],[Total inns]]),"")</f>
        <v/>
      </c>
      <c r="X1159" s="48" t="str">
        <f>IFERROR(IF(LayTable[[#This Row],[Total inns]]="","",LayTable[[#This Row],[Rlay]]/LayTable[[#This Row],[Total inns]]),"")</f>
        <v/>
      </c>
      <c r="Y1159" s="48" t="str">
        <f>IFERROR(LayTable[[#This Row],[Faktisk res]]/LayTable[[#This Row],[Total inns]],"")</f>
        <v/>
      </c>
      <c r="Z1159" s="47">
        <f>(LayTable[[#This Row],[BookieInnsats]]*LayTable[[#This Row],[BookieOdds]]-LayTable[[#This Row],[BookieInnsats]])*(1-LayTable[[#This Row],[C% Bookie]])</f>
        <v>0</v>
      </c>
      <c r="AA1159" s="43">
        <f>LayTable[[#This Row],[LayInnsats]]*(1-LayTable[[#This Row],[C% Lay]])</f>
        <v>0</v>
      </c>
      <c r="AB1159" s="43" t="str">
        <f>IFERROR(IF(LayTable[[#This Row],[Sport]]="",AB1158,LayTable[[#This Row],[Faktisk res]]+AB1158),"")</f>
        <v/>
      </c>
      <c r="AC1159" s="43">
        <f>(LayTable[[#This Row],[BackWin-Commission]]+LayTable[[#This Row],[BookieInnsats]])</f>
        <v>0</v>
      </c>
      <c r="AD1159" s="43" t="e">
        <f>(LayTable[[#This Row],[LayWin-Commission]])+LayTable[[#This Row],[LayLiability]]</f>
        <v>#VALUE!</v>
      </c>
      <c r="AE1159" s="43"/>
      <c r="AF1159" s="181"/>
    </row>
    <row r="1160" spans="1:32">
      <c r="A1160" s="84"/>
      <c r="B1160" s="39"/>
      <c r="C1160" s="40"/>
      <c r="D1160" s="41"/>
      <c r="E1160" s="40"/>
      <c r="F1160" s="41"/>
      <c r="G1160" s="101"/>
      <c r="H1160" s="38"/>
      <c r="I1160" s="42"/>
      <c r="J1160" s="42"/>
      <c r="K1160" s="43"/>
      <c r="L1160" s="43"/>
      <c r="M1160" s="44" t="str">
        <f>IF(LayTable[[#This Row],[Sport]]="","",LayTable[[#This Row],[LayInnsats]]*(LayTable[[#This Row],[LayOdds]]-1))</f>
        <v/>
      </c>
      <c r="N1160" s="45" t="str">
        <f>IF(LayTable[[#This Row],[Sport]]="","",1/((1/LayTable[[#This Row],[BookieOdds]])+(1/((1/((1+((LayTable[[#This Row],[LayOdds]]-1)*(1+LayTable[[#This Row],[C% Lay]])))-1))+1)))-1)</f>
        <v/>
      </c>
      <c r="Q1160" s="46" t="str">
        <f>IF(LayTable[[#This Row],[Sport]]="","",LayTable[[#This Row],[BookieInnsats]]+LayTable[[#This Row],[LayLiability]])</f>
        <v/>
      </c>
      <c r="R11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0" s="47" t="str">
        <f>IF(LayTable[[#This Row],[Utfall bookie]]="","",LayTable[[#This Row],[WBABack]]+LayTable[[#This Row],[WBALay]]-LayTable[[#This Row],[Total inns]])</f>
        <v/>
      </c>
      <c r="U11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0" s="48" t="str">
        <f>IFERROR(IF(LayTable[[#This Row],[Total inns]]="","",LayTable[[#This Row],[Rback]]/LayTable[[#This Row],[Total inns]]),"")</f>
        <v/>
      </c>
      <c r="X1160" s="48" t="str">
        <f>IFERROR(IF(LayTable[[#This Row],[Total inns]]="","",LayTable[[#This Row],[Rlay]]/LayTable[[#This Row],[Total inns]]),"")</f>
        <v/>
      </c>
      <c r="Y1160" s="48" t="str">
        <f>IFERROR(LayTable[[#This Row],[Faktisk res]]/LayTable[[#This Row],[Total inns]],"")</f>
        <v/>
      </c>
      <c r="Z1160" s="47">
        <f>(LayTable[[#This Row],[BookieInnsats]]*LayTable[[#This Row],[BookieOdds]]-LayTable[[#This Row],[BookieInnsats]])*(1-LayTable[[#This Row],[C% Bookie]])</f>
        <v>0</v>
      </c>
      <c r="AA1160" s="43">
        <f>LayTable[[#This Row],[LayInnsats]]*(1-LayTable[[#This Row],[C% Lay]])</f>
        <v>0</v>
      </c>
      <c r="AB1160" s="43" t="str">
        <f>IFERROR(IF(LayTable[[#This Row],[Sport]]="",AB1159,LayTable[[#This Row],[Faktisk res]]+AB1159),"")</f>
        <v/>
      </c>
      <c r="AC1160" s="43">
        <f>(LayTable[[#This Row],[BackWin-Commission]]+LayTable[[#This Row],[BookieInnsats]])</f>
        <v>0</v>
      </c>
      <c r="AD1160" s="43" t="e">
        <f>(LayTable[[#This Row],[LayWin-Commission]])+LayTable[[#This Row],[LayLiability]]</f>
        <v>#VALUE!</v>
      </c>
      <c r="AE1160" s="43"/>
      <c r="AF1160" s="181"/>
    </row>
    <row r="1161" spans="1:32">
      <c r="A1161" s="84"/>
      <c r="B1161" s="39"/>
      <c r="C1161" s="40"/>
      <c r="D1161" s="41"/>
      <c r="E1161" s="40"/>
      <c r="F1161" s="41"/>
      <c r="G1161" s="101"/>
      <c r="H1161" s="38"/>
      <c r="I1161" s="42"/>
      <c r="J1161" s="42"/>
      <c r="K1161" s="43"/>
      <c r="L1161" s="43"/>
      <c r="M1161" s="44" t="str">
        <f>IF(LayTable[[#This Row],[Sport]]="","",LayTable[[#This Row],[LayInnsats]]*(LayTable[[#This Row],[LayOdds]]-1))</f>
        <v/>
      </c>
      <c r="N1161" s="45" t="str">
        <f>IF(LayTable[[#This Row],[Sport]]="","",1/((1/LayTable[[#This Row],[BookieOdds]])+(1/((1/((1+((LayTable[[#This Row],[LayOdds]]-1)*(1+LayTable[[#This Row],[C% Lay]])))-1))+1)))-1)</f>
        <v/>
      </c>
      <c r="Q1161" s="46" t="str">
        <f>IF(LayTable[[#This Row],[Sport]]="","",LayTable[[#This Row],[BookieInnsats]]+LayTable[[#This Row],[LayLiability]])</f>
        <v/>
      </c>
      <c r="R11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1" s="47" t="str">
        <f>IF(LayTable[[#This Row],[Utfall bookie]]="","",LayTable[[#This Row],[WBABack]]+LayTable[[#This Row],[WBALay]]-LayTable[[#This Row],[Total inns]])</f>
        <v/>
      </c>
      <c r="U11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1" s="48" t="str">
        <f>IFERROR(IF(LayTable[[#This Row],[Total inns]]="","",LayTable[[#This Row],[Rback]]/LayTable[[#This Row],[Total inns]]),"")</f>
        <v/>
      </c>
      <c r="X1161" s="48" t="str">
        <f>IFERROR(IF(LayTable[[#This Row],[Total inns]]="","",LayTable[[#This Row],[Rlay]]/LayTable[[#This Row],[Total inns]]),"")</f>
        <v/>
      </c>
      <c r="Y1161" s="48" t="str">
        <f>IFERROR(LayTable[[#This Row],[Faktisk res]]/LayTable[[#This Row],[Total inns]],"")</f>
        <v/>
      </c>
      <c r="Z1161" s="47">
        <f>(LayTable[[#This Row],[BookieInnsats]]*LayTable[[#This Row],[BookieOdds]]-LayTable[[#This Row],[BookieInnsats]])*(1-LayTable[[#This Row],[C% Bookie]])</f>
        <v>0</v>
      </c>
      <c r="AA1161" s="43">
        <f>LayTable[[#This Row],[LayInnsats]]*(1-LayTable[[#This Row],[C% Lay]])</f>
        <v>0</v>
      </c>
      <c r="AB1161" s="43" t="str">
        <f>IFERROR(IF(LayTable[[#This Row],[Sport]]="",AB1160,LayTable[[#This Row],[Faktisk res]]+AB1160),"")</f>
        <v/>
      </c>
      <c r="AC1161" s="43">
        <f>(LayTable[[#This Row],[BackWin-Commission]]+LayTable[[#This Row],[BookieInnsats]])</f>
        <v>0</v>
      </c>
      <c r="AD1161" s="43" t="e">
        <f>(LayTable[[#This Row],[LayWin-Commission]])+LayTable[[#This Row],[LayLiability]]</f>
        <v>#VALUE!</v>
      </c>
      <c r="AE1161" s="43"/>
      <c r="AF1161" s="181"/>
    </row>
    <row r="1162" spans="1:32">
      <c r="A1162" s="84"/>
      <c r="B1162" s="39"/>
      <c r="C1162" s="40"/>
      <c r="D1162" s="41"/>
      <c r="E1162" s="40"/>
      <c r="F1162" s="41"/>
      <c r="G1162" s="101"/>
      <c r="H1162" s="38"/>
      <c r="I1162" s="42"/>
      <c r="J1162" s="42"/>
      <c r="K1162" s="43"/>
      <c r="L1162" s="43"/>
      <c r="M1162" s="44" t="str">
        <f>IF(LayTable[[#This Row],[Sport]]="","",LayTable[[#This Row],[LayInnsats]]*(LayTable[[#This Row],[LayOdds]]-1))</f>
        <v/>
      </c>
      <c r="N1162" s="45" t="str">
        <f>IF(LayTable[[#This Row],[Sport]]="","",1/((1/LayTable[[#This Row],[BookieOdds]])+(1/((1/((1+((LayTable[[#This Row],[LayOdds]]-1)*(1+LayTable[[#This Row],[C% Lay]])))-1))+1)))-1)</f>
        <v/>
      </c>
      <c r="Q1162" s="46" t="str">
        <f>IF(LayTable[[#This Row],[Sport]]="","",LayTable[[#This Row],[BookieInnsats]]+LayTable[[#This Row],[LayLiability]])</f>
        <v/>
      </c>
      <c r="R11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2" s="47" t="str">
        <f>IF(LayTable[[#This Row],[Utfall bookie]]="","",LayTable[[#This Row],[WBABack]]+LayTable[[#This Row],[WBALay]]-LayTable[[#This Row],[Total inns]])</f>
        <v/>
      </c>
      <c r="U11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2" s="48" t="str">
        <f>IFERROR(IF(LayTable[[#This Row],[Total inns]]="","",LayTable[[#This Row],[Rback]]/LayTable[[#This Row],[Total inns]]),"")</f>
        <v/>
      </c>
      <c r="X1162" s="48" t="str">
        <f>IFERROR(IF(LayTable[[#This Row],[Total inns]]="","",LayTable[[#This Row],[Rlay]]/LayTable[[#This Row],[Total inns]]),"")</f>
        <v/>
      </c>
      <c r="Y1162" s="48" t="str">
        <f>IFERROR(LayTable[[#This Row],[Faktisk res]]/LayTable[[#This Row],[Total inns]],"")</f>
        <v/>
      </c>
      <c r="Z1162" s="47">
        <f>(LayTable[[#This Row],[BookieInnsats]]*LayTable[[#This Row],[BookieOdds]]-LayTable[[#This Row],[BookieInnsats]])*(1-LayTable[[#This Row],[C% Bookie]])</f>
        <v>0</v>
      </c>
      <c r="AA1162" s="43">
        <f>LayTable[[#This Row],[LayInnsats]]*(1-LayTable[[#This Row],[C% Lay]])</f>
        <v>0</v>
      </c>
      <c r="AB1162" s="43" t="str">
        <f>IFERROR(IF(LayTable[[#This Row],[Sport]]="",AB1161,LayTable[[#This Row],[Faktisk res]]+AB1161),"")</f>
        <v/>
      </c>
      <c r="AC1162" s="43">
        <f>(LayTable[[#This Row],[BackWin-Commission]]+LayTable[[#This Row],[BookieInnsats]])</f>
        <v>0</v>
      </c>
      <c r="AD1162" s="43" t="e">
        <f>(LayTable[[#This Row],[LayWin-Commission]])+LayTable[[#This Row],[LayLiability]]</f>
        <v>#VALUE!</v>
      </c>
      <c r="AE1162" s="43"/>
      <c r="AF1162" s="181"/>
    </row>
    <row r="1163" spans="1:32">
      <c r="A1163" s="84"/>
      <c r="B1163" s="39"/>
      <c r="C1163" s="40"/>
      <c r="D1163" s="41"/>
      <c r="E1163" s="40"/>
      <c r="F1163" s="41"/>
      <c r="G1163" s="101"/>
      <c r="H1163" s="38"/>
      <c r="I1163" s="42"/>
      <c r="J1163" s="42"/>
      <c r="K1163" s="43"/>
      <c r="L1163" s="43"/>
      <c r="M1163" s="44" t="str">
        <f>IF(LayTable[[#This Row],[Sport]]="","",LayTable[[#This Row],[LayInnsats]]*(LayTable[[#This Row],[LayOdds]]-1))</f>
        <v/>
      </c>
      <c r="N1163" s="45" t="str">
        <f>IF(LayTable[[#This Row],[Sport]]="","",1/((1/LayTable[[#This Row],[BookieOdds]])+(1/((1/((1+((LayTable[[#This Row],[LayOdds]]-1)*(1+LayTable[[#This Row],[C% Lay]])))-1))+1)))-1)</f>
        <v/>
      </c>
      <c r="Q1163" s="46" t="str">
        <f>IF(LayTable[[#This Row],[Sport]]="","",LayTable[[#This Row],[BookieInnsats]]+LayTable[[#This Row],[LayLiability]])</f>
        <v/>
      </c>
      <c r="R11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3" s="47" t="str">
        <f>IF(LayTable[[#This Row],[Utfall bookie]]="","",LayTable[[#This Row],[WBABack]]+LayTable[[#This Row],[WBALay]]-LayTable[[#This Row],[Total inns]])</f>
        <v/>
      </c>
      <c r="U11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3" s="48" t="str">
        <f>IFERROR(IF(LayTable[[#This Row],[Total inns]]="","",LayTable[[#This Row],[Rback]]/LayTable[[#This Row],[Total inns]]),"")</f>
        <v/>
      </c>
      <c r="X1163" s="48" t="str">
        <f>IFERROR(IF(LayTable[[#This Row],[Total inns]]="","",LayTable[[#This Row],[Rlay]]/LayTable[[#This Row],[Total inns]]),"")</f>
        <v/>
      </c>
      <c r="Y1163" s="48" t="str">
        <f>IFERROR(LayTable[[#This Row],[Faktisk res]]/LayTable[[#This Row],[Total inns]],"")</f>
        <v/>
      </c>
      <c r="Z1163" s="47">
        <f>(LayTable[[#This Row],[BookieInnsats]]*LayTable[[#This Row],[BookieOdds]]-LayTable[[#This Row],[BookieInnsats]])*(1-LayTable[[#This Row],[C% Bookie]])</f>
        <v>0</v>
      </c>
      <c r="AA1163" s="43">
        <f>LayTable[[#This Row],[LayInnsats]]*(1-LayTable[[#This Row],[C% Lay]])</f>
        <v>0</v>
      </c>
      <c r="AB1163" s="43" t="str">
        <f>IFERROR(IF(LayTable[[#This Row],[Sport]]="",AB1162,LayTable[[#This Row],[Faktisk res]]+AB1162),"")</f>
        <v/>
      </c>
      <c r="AC1163" s="43">
        <f>(LayTable[[#This Row],[BackWin-Commission]]+LayTable[[#This Row],[BookieInnsats]])</f>
        <v>0</v>
      </c>
      <c r="AD1163" s="43" t="e">
        <f>(LayTable[[#This Row],[LayWin-Commission]])+LayTable[[#This Row],[LayLiability]]</f>
        <v>#VALUE!</v>
      </c>
      <c r="AE1163" s="43"/>
      <c r="AF1163" s="181"/>
    </row>
    <row r="1164" spans="1:32">
      <c r="A1164" s="84"/>
      <c r="B1164" s="39"/>
      <c r="C1164" s="40"/>
      <c r="D1164" s="41"/>
      <c r="E1164" s="40"/>
      <c r="F1164" s="41"/>
      <c r="G1164" s="101"/>
      <c r="H1164" s="38"/>
      <c r="I1164" s="42"/>
      <c r="J1164" s="42"/>
      <c r="K1164" s="43"/>
      <c r="L1164" s="43"/>
      <c r="M1164" s="44" t="str">
        <f>IF(LayTable[[#This Row],[Sport]]="","",LayTable[[#This Row],[LayInnsats]]*(LayTable[[#This Row],[LayOdds]]-1))</f>
        <v/>
      </c>
      <c r="N1164" s="45" t="str">
        <f>IF(LayTable[[#This Row],[Sport]]="","",1/((1/LayTable[[#This Row],[BookieOdds]])+(1/((1/((1+((LayTable[[#This Row],[LayOdds]]-1)*(1+LayTable[[#This Row],[C% Lay]])))-1))+1)))-1)</f>
        <v/>
      </c>
      <c r="Q1164" s="46" t="str">
        <f>IF(LayTable[[#This Row],[Sport]]="","",LayTable[[#This Row],[BookieInnsats]]+LayTable[[#This Row],[LayLiability]])</f>
        <v/>
      </c>
      <c r="R11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4" s="47" t="str">
        <f>IF(LayTable[[#This Row],[Utfall bookie]]="","",LayTable[[#This Row],[WBABack]]+LayTable[[#This Row],[WBALay]]-LayTable[[#This Row],[Total inns]])</f>
        <v/>
      </c>
      <c r="U11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4" s="48" t="str">
        <f>IFERROR(IF(LayTable[[#This Row],[Total inns]]="","",LayTable[[#This Row],[Rback]]/LayTable[[#This Row],[Total inns]]),"")</f>
        <v/>
      </c>
      <c r="X1164" s="48" t="str">
        <f>IFERROR(IF(LayTable[[#This Row],[Total inns]]="","",LayTable[[#This Row],[Rlay]]/LayTable[[#This Row],[Total inns]]),"")</f>
        <v/>
      </c>
      <c r="Y1164" s="48" t="str">
        <f>IFERROR(LayTable[[#This Row],[Faktisk res]]/LayTable[[#This Row],[Total inns]],"")</f>
        <v/>
      </c>
      <c r="Z1164" s="47">
        <f>(LayTable[[#This Row],[BookieInnsats]]*LayTable[[#This Row],[BookieOdds]]-LayTable[[#This Row],[BookieInnsats]])*(1-LayTable[[#This Row],[C% Bookie]])</f>
        <v>0</v>
      </c>
      <c r="AA1164" s="43">
        <f>LayTable[[#This Row],[LayInnsats]]*(1-LayTable[[#This Row],[C% Lay]])</f>
        <v>0</v>
      </c>
      <c r="AB1164" s="43" t="str">
        <f>IFERROR(IF(LayTable[[#This Row],[Sport]]="",AB1163,LayTable[[#This Row],[Faktisk res]]+AB1163),"")</f>
        <v/>
      </c>
      <c r="AC1164" s="43">
        <f>(LayTable[[#This Row],[BackWin-Commission]]+LayTable[[#This Row],[BookieInnsats]])</f>
        <v>0</v>
      </c>
      <c r="AD1164" s="43" t="e">
        <f>(LayTable[[#This Row],[LayWin-Commission]])+LayTable[[#This Row],[LayLiability]]</f>
        <v>#VALUE!</v>
      </c>
      <c r="AE1164" s="43"/>
      <c r="AF1164" s="181"/>
    </row>
    <row r="1165" spans="1:32">
      <c r="A1165" s="84"/>
      <c r="B1165" s="39"/>
      <c r="C1165" s="40"/>
      <c r="D1165" s="41"/>
      <c r="E1165" s="40"/>
      <c r="F1165" s="41"/>
      <c r="G1165" s="101"/>
      <c r="H1165" s="38"/>
      <c r="I1165" s="42"/>
      <c r="J1165" s="42"/>
      <c r="K1165" s="43"/>
      <c r="L1165" s="43"/>
      <c r="M1165" s="44" t="str">
        <f>IF(LayTable[[#This Row],[Sport]]="","",LayTable[[#This Row],[LayInnsats]]*(LayTable[[#This Row],[LayOdds]]-1))</f>
        <v/>
      </c>
      <c r="N1165" s="45" t="str">
        <f>IF(LayTable[[#This Row],[Sport]]="","",1/((1/LayTable[[#This Row],[BookieOdds]])+(1/((1/((1+((LayTable[[#This Row],[LayOdds]]-1)*(1+LayTable[[#This Row],[C% Lay]])))-1))+1)))-1)</f>
        <v/>
      </c>
      <c r="Q1165" s="46" t="str">
        <f>IF(LayTable[[#This Row],[Sport]]="","",LayTable[[#This Row],[BookieInnsats]]+LayTable[[#This Row],[LayLiability]])</f>
        <v/>
      </c>
      <c r="R11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5" s="47" t="str">
        <f>IF(LayTable[[#This Row],[Utfall bookie]]="","",LayTable[[#This Row],[WBABack]]+LayTable[[#This Row],[WBALay]]-LayTable[[#This Row],[Total inns]])</f>
        <v/>
      </c>
      <c r="U11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5" s="48" t="str">
        <f>IFERROR(IF(LayTable[[#This Row],[Total inns]]="","",LayTable[[#This Row],[Rback]]/LayTable[[#This Row],[Total inns]]),"")</f>
        <v/>
      </c>
      <c r="X1165" s="48" t="str">
        <f>IFERROR(IF(LayTable[[#This Row],[Total inns]]="","",LayTable[[#This Row],[Rlay]]/LayTable[[#This Row],[Total inns]]),"")</f>
        <v/>
      </c>
      <c r="Y1165" s="48" t="str">
        <f>IFERROR(LayTable[[#This Row],[Faktisk res]]/LayTable[[#This Row],[Total inns]],"")</f>
        <v/>
      </c>
      <c r="Z1165" s="47">
        <f>(LayTable[[#This Row],[BookieInnsats]]*LayTable[[#This Row],[BookieOdds]]-LayTable[[#This Row],[BookieInnsats]])*(1-LayTable[[#This Row],[C% Bookie]])</f>
        <v>0</v>
      </c>
      <c r="AA1165" s="43">
        <f>LayTable[[#This Row],[LayInnsats]]*(1-LayTable[[#This Row],[C% Lay]])</f>
        <v>0</v>
      </c>
      <c r="AB1165" s="43" t="str">
        <f>IFERROR(IF(LayTable[[#This Row],[Sport]]="",AB1164,LayTable[[#This Row],[Faktisk res]]+AB1164),"")</f>
        <v/>
      </c>
      <c r="AC1165" s="43">
        <f>(LayTable[[#This Row],[BackWin-Commission]]+LayTable[[#This Row],[BookieInnsats]])</f>
        <v>0</v>
      </c>
      <c r="AD1165" s="43" t="e">
        <f>(LayTable[[#This Row],[LayWin-Commission]])+LayTable[[#This Row],[LayLiability]]</f>
        <v>#VALUE!</v>
      </c>
      <c r="AE1165" s="43"/>
      <c r="AF1165" s="181"/>
    </row>
    <row r="1166" spans="1:32">
      <c r="A1166" s="84"/>
      <c r="B1166" s="39"/>
      <c r="C1166" s="40"/>
      <c r="D1166" s="41"/>
      <c r="E1166" s="40"/>
      <c r="F1166" s="41"/>
      <c r="G1166" s="101"/>
      <c r="H1166" s="38"/>
      <c r="I1166" s="42"/>
      <c r="J1166" s="42"/>
      <c r="K1166" s="43"/>
      <c r="L1166" s="43"/>
      <c r="M1166" s="44" t="str">
        <f>IF(LayTable[[#This Row],[Sport]]="","",LayTable[[#This Row],[LayInnsats]]*(LayTable[[#This Row],[LayOdds]]-1))</f>
        <v/>
      </c>
      <c r="N1166" s="45" t="str">
        <f>IF(LayTable[[#This Row],[Sport]]="","",1/((1/LayTable[[#This Row],[BookieOdds]])+(1/((1/((1+((LayTable[[#This Row],[LayOdds]]-1)*(1+LayTable[[#This Row],[C% Lay]])))-1))+1)))-1)</f>
        <v/>
      </c>
      <c r="Q1166" s="46" t="str">
        <f>IF(LayTable[[#This Row],[Sport]]="","",LayTable[[#This Row],[BookieInnsats]]+LayTable[[#This Row],[LayLiability]])</f>
        <v/>
      </c>
      <c r="R11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6" s="47" t="str">
        <f>IF(LayTable[[#This Row],[Utfall bookie]]="","",LayTable[[#This Row],[WBABack]]+LayTable[[#This Row],[WBALay]]-LayTable[[#This Row],[Total inns]])</f>
        <v/>
      </c>
      <c r="U11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6" s="48" t="str">
        <f>IFERROR(IF(LayTable[[#This Row],[Total inns]]="","",LayTable[[#This Row],[Rback]]/LayTable[[#This Row],[Total inns]]),"")</f>
        <v/>
      </c>
      <c r="X1166" s="48" t="str">
        <f>IFERROR(IF(LayTable[[#This Row],[Total inns]]="","",LayTable[[#This Row],[Rlay]]/LayTable[[#This Row],[Total inns]]),"")</f>
        <v/>
      </c>
      <c r="Y1166" s="48" t="str">
        <f>IFERROR(LayTable[[#This Row],[Faktisk res]]/LayTable[[#This Row],[Total inns]],"")</f>
        <v/>
      </c>
      <c r="Z1166" s="47">
        <f>(LayTable[[#This Row],[BookieInnsats]]*LayTable[[#This Row],[BookieOdds]]-LayTable[[#This Row],[BookieInnsats]])*(1-LayTable[[#This Row],[C% Bookie]])</f>
        <v>0</v>
      </c>
      <c r="AA1166" s="43">
        <f>LayTable[[#This Row],[LayInnsats]]*(1-LayTable[[#This Row],[C% Lay]])</f>
        <v>0</v>
      </c>
      <c r="AB1166" s="43" t="str">
        <f>IFERROR(IF(LayTable[[#This Row],[Sport]]="",AB1165,LayTable[[#This Row],[Faktisk res]]+AB1165),"")</f>
        <v/>
      </c>
      <c r="AC1166" s="43">
        <f>(LayTable[[#This Row],[BackWin-Commission]]+LayTable[[#This Row],[BookieInnsats]])</f>
        <v>0</v>
      </c>
      <c r="AD1166" s="43" t="e">
        <f>(LayTable[[#This Row],[LayWin-Commission]])+LayTable[[#This Row],[LayLiability]]</f>
        <v>#VALUE!</v>
      </c>
      <c r="AE1166" s="43"/>
      <c r="AF1166" s="181"/>
    </row>
    <row r="1167" spans="1:32">
      <c r="A1167" s="84"/>
      <c r="B1167" s="39"/>
      <c r="C1167" s="40"/>
      <c r="D1167" s="41"/>
      <c r="E1167" s="40"/>
      <c r="F1167" s="41"/>
      <c r="G1167" s="101"/>
      <c r="H1167" s="38"/>
      <c r="I1167" s="42"/>
      <c r="J1167" s="42"/>
      <c r="K1167" s="43"/>
      <c r="L1167" s="43"/>
      <c r="M1167" s="44" t="str">
        <f>IF(LayTable[[#This Row],[Sport]]="","",LayTable[[#This Row],[LayInnsats]]*(LayTable[[#This Row],[LayOdds]]-1))</f>
        <v/>
      </c>
      <c r="N1167" s="45" t="str">
        <f>IF(LayTable[[#This Row],[Sport]]="","",1/((1/LayTable[[#This Row],[BookieOdds]])+(1/((1/((1+((LayTable[[#This Row],[LayOdds]]-1)*(1+LayTable[[#This Row],[C% Lay]])))-1))+1)))-1)</f>
        <v/>
      </c>
      <c r="Q1167" s="46" t="str">
        <f>IF(LayTable[[#This Row],[Sport]]="","",LayTable[[#This Row],[BookieInnsats]]+LayTable[[#This Row],[LayLiability]])</f>
        <v/>
      </c>
      <c r="R11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7" s="47" t="str">
        <f>IF(LayTable[[#This Row],[Utfall bookie]]="","",LayTable[[#This Row],[WBABack]]+LayTable[[#This Row],[WBALay]]-LayTable[[#This Row],[Total inns]])</f>
        <v/>
      </c>
      <c r="U11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7" s="48" t="str">
        <f>IFERROR(IF(LayTable[[#This Row],[Total inns]]="","",LayTable[[#This Row],[Rback]]/LayTable[[#This Row],[Total inns]]),"")</f>
        <v/>
      </c>
      <c r="X1167" s="48" t="str">
        <f>IFERROR(IF(LayTable[[#This Row],[Total inns]]="","",LayTable[[#This Row],[Rlay]]/LayTable[[#This Row],[Total inns]]),"")</f>
        <v/>
      </c>
      <c r="Y1167" s="48" t="str">
        <f>IFERROR(LayTable[[#This Row],[Faktisk res]]/LayTable[[#This Row],[Total inns]],"")</f>
        <v/>
      </c>
      <c r="Z1167" s="47">
        <f>(LayTable[[#This Row],[BookieInnsats]]*LayTable[[#This Row],[BookieOdds]]-LayTable[[#This Row],[BookieInnsats]])*(1-LayTable[[#This Row],[C% Bookie]])</f>
        <v>0</v>
      </c>
      <c r="AA1167" s="43">
        <f>LayTable[[#This Row],[LayInnsats]]*(1-LayTable[[#This Row],[C% Lay]])</f>
        <v>0</v>
      </c>
      <c r="AB1167" s="43" t="str">
        <f>IFERROR(IF(LayTable[[#This Row],[Sport]]="",AB1166,LayTable[[#This Row],[Faktisk res]]+AB1166),"")</f>
        <v/>
      </c>
      <c r="AC1167" s="43">
        <f>(LayTable[[#This Row],[BackWin-Commission]]+LayTable[[#This Row],[BookieInnsats]])</f>
        <v>0</v>
      </c>
      <c r="AD1167" s="43" t="e">
        <f>(LayTable[[#This Row],[LayWin-Commission]])+LayTable[[#This Row],[LayLiability]]</f>
        <v>#VALUE!</v>
      </c>
      <c r="AE1167" s="43"/>
      <c r="AF1167" s="181"/>
    </row>
    <row r="1168" spans="1:32">
      <c r="A1168" s="84"/>
      <c r="B1168" s="39"/>
      <c r="C1168" s="40"/>
      <c r="D1168" s="41"/>
      <c r="E1168" s="40"/>
      <c r="F1168" s="41"/>
      <c r="G1168" s="101"/>
      <c r="H1168" s="38"/>
      <c r="I1168" s="42"/>
      <c r="J1168" s="42"/>
      <c r="K1168" s="43"/>
      <c r="L1168" s="43"/>
      <c r="M1168" s="44" t="str">
        <f>IF(LayTable[[#This Row],[Sport]]="","",LayTable[[#This Row],[LayInnsats]]*(LayTable[[#This Row],[LayOdds]]-1))</f>
        <v/>
      </c>
      <c r="N1168" s="45" t="str">
        <f>IF(LayTable[[#This Row],[Sport]]="","",1/((1/LayTable[[#This Row],[BookieOdds]])+(1/((1/((1+((LayTable[[#This Row],[LayOdds]]-1)*(1+LayTable[[#This Row],[C% Lay]])))-1))+1)))-1)</f>
        <v/>
      </c>
      <c r="Q1168" s="46" t="str">
        <f>IF(LayTable[[#This Row],[Sport]]="","",LayTable[[#This Row],[BookieInnsats]]+LayTable[[#This Row],[LayLiability]])</f>
        <v/>
      </c>
      <c r="R11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8" s="47" t="str">
        <f>IF(LayTable[[#This Row],[Utfall bookie]]="","",LayTable[[#This Row],[WBABack]]+LayTable[[#This Row],[WBALay]]-LayTable[[#This Row],[Total inns]])</f>
        <v/>
      </c>
      <c r="U11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8" s="48" t="str">
        <f>IFERROR(IF(LayTable[[#This Row],[Total inns]]="","",LayTable[[#This Row],[Rback]]/LayTable[[#This Row],[Total inns]]),"")</f>
        <v/>
      </c>
      <c r="X1168" s="48" t="str">
        <f>IFERROR(IF(LayTable[[#This Row],[Total inns]]="","",LayTable[[#This Row],[Rlay]]/LayTable[[#This Row],[Total inns]]),"")</f>
        <v/>
      </c>
      <c r="Y1168" s="48" t="str">
        <f>IFERROR(LayTable[[#This Row],[Faktisk res]]/LayTable[[#This Row],[Total inns]],"")</f>
        <v/>
      </c>
      <c r="Z1168" s="47">
        <f>(LayTable[[#This Row],[BookieInnsats]]*LayTable[[#This Row],[BookieOdds]]-LayTable[[#This Row],[BookieInnsats]])*(1-LayTable[[#This Row],[C% Bookie]])</f>
        <v>0</v>
      </c>
      <c r="AA1168" s="43">
        <f>LayTable[[#This Row],[LayInnsats]]*(1-LayTable[[#This Row],[C% Lay]])</f>
        <v>0</v>
      </c>
      <c r="AB1168" s="43" t="str">
        <f>IFERROR(IF(LayTable[[#This Row],[Sport]]="",AB1167,LayTable[[#This Row],[Faktisk res]]+AB1167),"")</f>
        <v/>
      </c>
      <c r="AC1168" s="43">
        <f>(LayTable[[#This Row],[BackWin-Commission]]+LayTable[[#This Row],[BookieInnsats]])</f>
        <v>0</v>
      </c>
      <c r="AD1168" s="43" t="e">
        <f>(LayTable[[#This Row],[LayWin-Commission]])+LayTable[[#This Row],[LayLiability]]</f>
        <v>#VALUE!</v>
      </c>
      <c r="AE1168" s="43"/>
      <c r="AF1168" s="181"/>
    </row>
    <row r="1169" spans="1:32">
      <c r="A1169" s="84"/>
      <c r="B1169" s="39"/>
      <c r="C1169" s="40"/>
      <c r="D1169" s="41"/>
      <c r="E1169" s="40"/>
      <c r="F1169" s="41"/>
      <c r="G1169" s="101"/>
      <c r="H1169" s="38"/>
      <c r="I1169" s="42"/>
      <c r="J1169" s="42"/>
      <c r="K1169" s="43"/>
      <c r="L1169" s="43"/>
      <c r="M1169" s="44" t="str">
        <f>IF(LayTable[[#This Row],[Sport]]="","",LayTable[[#This Row],[LayInnsats]]*(LayTable[[#This Row],[LayOdds]]-1))</f>
        <v/>
      </c>
      <c r="N1169" s="45" t="str">
        <f>IF(LayTable[[#This Row],[Sport]]="","",1/((1/LayTable[[#This Row],[BookieOdds]])+(1/((1/((1+((LayTable[[#This Row],[LayOdds]]-1)*(1+LayTable[[#This Row],[C% Lay]])))-1))+1)))-1)</f>
        <v/>
      </c>
      <c r="Q1169" s="46" t="str">
        <f>IF(LayTable[[#This Row],[Sport]]="","",LayTable[[#This Row],[BookieInnsats]]+LayTable[[#This Row],[LayLiability]])</f>
        <v/>
      </c>
      <c r="R11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69" s="47" t="str">
        <f>IF(LayTable[[#This Row],[Utfall bookie]]="","",LayTable[[#This Row],[WBABack]]+LayTable[[#This Row],[WBALay]]-LayTable[[#This Row],[Total inns]])</f>
        <v/>
      </c>
      <c r="U11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69" s="48" t="str">
        <f>IFERROR(IF(LayTable[[#This Row],[Total inns]]="","",LayTable[[#This Row],[Rback]]/LayTable[[#This Row],[Total inns]]),"")</f>
        <v/>
      </c>
      <c r="X1169" s="48" t="str">
        <f>IFERROR(IF(LayTable[[#This Row],[Total inns]]="","",LayTable[[#This Row],[Rlay]]/LayTable[[#This Row],[Total inns]]),"")</f>
        <v/>
      </c>
      <c r="Y1169" s="48" t="str">
        <f>IFERROR(LayTable[[#This Row],[Faktisk res]]/LayTable[[#This Row],[Total inns]],"")</f>
        <v/>
      </c>
      <c r="Z1169" s="47">
        <f>(LayTable[[#This Row],[BookieInnsats]]*LayTable[[#This Row],[BookieOdds]]-LayTable[[#This Row],[BookieInnsats]])*(1-LayTable[[#This Row],[C% Bookie]])</f>
        <v>0</v>
      </c>
      <c r="AA1169" s="43">
        <f>LayTable[[#This Row],[LayInnsats]]*(1-LayTable[[#This Row],[C% Lay]])</f>
        <v>0</v>
      </c>
      <c r="AB1169" s="43" t="str">
        <f>IFERROR(IF(LayTable[[#This Row],[Sport]]="",AB1168,LayTable[[#This Row],[Faktisk res]]+AB1168),"")</f>
        <v/>
      </c>
      <c r="AC1169" s="43">
        <f>(LayTable[[#This Row],[BackWin-Commission]]+LayTable[[#This Row],[BookieInnsats]])</f>
        <v>0</v>
      </c>
      <c r="AD1169" s="43" t="e">
        <f>(LayTable[[#This Row],[LayWin-Commission]])+LayTable[[#This Row],[LayLiability]]</f>
        <v>#VALUE!</v>
      </c>
      <c r="AE1169" s="43"/>
      <c r="AF1169" s="181"/>
    </row>
    <row r="1170" spans="1:32">
      <c r="A1170" s="84"/>
      <c r="B1170" s="39"/>
      <c r="C1170" s="40"/>
      <c r="D1170" s="41"/>
      <c r="E1170" s="40"/>
      <c r="F1170" s="41"/>
      <c r="G1170" s="101"/>
      <c r="H1170" s="38"/>
      <c r="I1170" s="42"/>
      <c r="J1170" s="42"/>
      <c r="K1170" s="43"/>
      <c r="L1170" s="43"/>
      <c r="M1170" s="44" t="str">
        <f>IF(LayTable[[#This Row],[Sport]]="","",LayTable[[#This Row],[LayInnsats]]*(LayTable[[#This Row],[LayOdds]]-1))</f>
        <v/>
      </c>
      <c r="N1170" s="45" t="str">
        <f>IF(LayTable[[#This Row],[Sport]]="","",1/((1/LayTable[[#This Row],[BookieOdds]])+(1/((1/((1+((LayTable[[#This Row],[LayOdds]]-1)*(1+LayTable[[#This Row],[C% Lay]])))-1))+1)))-1)</f>
        <v/>
      </c>
      <c r="Q1170" s="46" t="str">
        <f>IF(LayTable[[#This Row],[Sport]]="","",LayTable[[#This Row],[BookieInnsats]]+LayTable[[#This Row],[LayLiability]])</f>
        <v/>
      </c>
      <c r="R11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0" s="47" t="str">
        <f>IF(LayTable[[#This Row],[Utfall bookie]]="","",LayTable[[#This Row],[WBABack]]+LayTable[[#This Row],[WBALay]]-LayTable[[#This Row],[Total inns]])</f>
        <v/>
      </c>
      <c r="U11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0" s="48" t="str">
        <f>IFERROR(IF(LayTable[[#This Row],[Total inns]]="","",LayTable[[#This Row],[Rback]]/LayTable[[#This Row],[Total inns]]),"")</f>
        <v/>
      </c>
      <c r="X1170" s="48" t="str">
        <f>IFERROR(IF(LayTable[[#This Row],[Total inns]]="","",LayTable[[#This Row],[Rlay]]/LayTable[[#This Row],[Total inns]]),"")</f>
        <v/>
      </c>
      <c r="Y1170" s="48" t="str">
        <f>IFERROR(LayTable[[#This Row],[Faktisk res]]/LayTable[[#This Row],[Total inns]],"")</f>
        <v/>
      </c>
      <c r="Z1170" s="47">
        <f>(LayTable[[#This Row],[BookieInnsats]]*LayTable[[#This Row],[BookieOdds]]-LayTable[[#This Row],[BookieInnsats]])*(1-LayTable[[#This Row],[C% Bookie]])</f>
        <v>0</v>
      </c>
      <c r="AA1170" s="43">
        <f>LayTable[[#This Row],[LayInnsats]]*(1-LayTable[[#This Row],[C% Lay]])</f>
        <v>0</v>
      </c>
      <c r="AB1170" s="43" t="str">
        <f>IFERROR(IF(LayTable[[#This Row],[Sport]]="",AB1169,LayTable[[#This Row],[Faktisk res]]+AB1169),"")</f>
        <v/>
      </c>
      <c r="AC1170" s="43">
        <f>(LayTable[[#This Row],[BackWin-Commission]]+LayTable[[#This Row],[BookieInnsats]])</f>
        <v>0</v>
      </c>
      <c r="AD1170" s="43" t="e">
        <f>(LayTable[[#This Row],[LayWin-Commission]])+LayTable[[#This Row],[LayLiability]]</f>
        <v>#VALUE!</v>
      </c>
      <c r="AE1170" s="43"/>
      <c r="AF1170" s="181"/>
    </row>
    <row r="1171" spans="1:32">
      <c r="A1171" s="84"/>
      <c r="B1171" s="39"/>
      <c r="C1171" s="40"/>
      <c r="D1171" s="41"/>
      <c r="E1171" s="40"/>
      <c r="F1171" s="41"/>
      <c r="G1171" s="101"/>
      <c r="H1171" s="38"/>
      <c r="I1171" s="42"/>
      <c r="J1171" s="42"/>
      <c r="K1171" s="43"/>
      <c r="L1171" s="43"/>
      <c r="M1171" s="44" t="str">
        <f>IF(LayTable[[#This Row],[Sport]]="","",LayTable[[#This Row],[LayInnsats]]*(LayTable[[#This Row],[LayOdds]]-1))</f>
        <v/>
      </c>
      <c r="N1171" s="45" t="str">
        <f>IF(LayTable[[#This Row],[Sport]]="","",1/((1/LayTable[[#This Row],[BookieOdds]])+(1/((1/((1+((LayTable[[#This Row],[LayOdds]]-1)*(1+LayTable[[#This Row],[C% Lay]])))-1))+1)))-1)</f>
        <v/>
      </c>
      <c r="Q1171" s="46" t="str">
        <f>IF(LayTable[[#This Row],[Sport]]="","",LayTable[[#This Row],[BookieInnsats]]+LayTable[[#This Row],[LayLiability]])</f>
        <v/>
      </c>
      <c r="R11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1" s="47" t="str">
        <f>IF(LayTable[[#This Row],[Utfall bookie]]="","",LayTable[[#This Row],[WBABack]]+LayTable[[#This Row],[WBALay]]-LayTable[[#This Row],[Total inns]])</f>
        <v/>
      </c>
      <c r="U11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1" s="48" t="str">
        <f>IFERROR(IF(LayTable[[#This Row],[Total inns]]="","",LayTable[[#This Row],[Rback]]/LayTable[[#This Row],[Total inns]]),"")</f>
        <v/>
      </c>
      <c r="X1171" s="48" t="str">
        <f>IFERROR(IF(LayTable[[#This Row],[Total inns]]="","",LayTable[[#This Row],[Rlay]]/LayTable[[#This Row],[Total inns]]),"")</f>
        <v/>
      </c>
      <c r="Y1171" s="48" t="str">
        <f>IFERROR(LayTable[[#This Row],[Faktisk res]]/LayTable[[#This Row],[Total inns]],"")</f>
        <v/>
      </c>
      <c r="Z1171" s="47">
        <f>(LayTable[[#This Row],[BookieInnsats]]*LayTable[[#This Row],[BookieOdds]]-LayTable[[#This Row],[BookieInnsats]])*(1-LayTable[[#This Row],[C% Bookie]])</f>
        <v>0</v>
      </c>
      <c r="AA1171" s="43">
        <f>LayTable[[#This Row],[LayInnsats]]*(1-LayTable[[#This Row],[C% Lay]])</f>
        <v>0</v>
      </c>
      <c r="AB1171" s="43" t="str">
        <f>IFERROR(IF(LayTable[[#This Row],[Sport]]="",AB1170,LayTable[[#This Row],[Faktisk res]]+AB1170),"")</f>
        <v/>
      </c>
      <c r="AC1171" s="43">
        <f>(LayTable[[#This Row],[BackWin-Commission]]+LayTable[[#This Row],[BookieInnsats]])</f>
        <v>0</v>
      </c>
      <c r="AD1171" s="43" t="e">
        <f>(LayTable[[#This Row],[LayWin-Commission]])+LayTable[[#This Row],[LayLiability]]</f>
        <v>#VALUE!</v>
      </c>
      <c r="AE1171" s="43"/>
      <c r="AF1171" s="181"/>
    </row>
    <row r="1172" spans="1:32">
      <c r="A1172" s="84"/>
      <c r="B1172" s="39"/>
      <c r="C1172" s="40"/>
      <c r="D1172" s="41"/>
      <c r="E1172" s="40"/>
      <c r="F1172" s="41"/>
      <c r="G1172" s="101"/>
      <c r="H1172" s="38"/>
      <c r="I1172" s="42"/>
      <c r="J1172" s="42"/>
      <c r="K1172" s="43"/>
      <c r="L1172" s="43"/>
      <c r="M1172" s="44" t="str">
        <f>IF(LayTable[[#This Row],[Sport]]="","",LayTable[[#This Row],[LayInnsats]]*(LayTable[[#This Row],[LayOdds]]-1))</f>
        <v/>
      </c>
      <c r="N1172" s="45" t="str">
        <f>IF(LayTable[[#This Row],[Sport]]="","",1/((1/LayTable[[#This Row],[BookieOdds]])+(1/((1/((1+((LayTable[[#This Row],[LayOdds]]-1)*(1+LayTable[[#This Row],[C% Lay]])))-1))+1)))-1)</f>
        <v/>
      </c>
      <c r="Q1172" s="46" t="str">
        <f>IF(LayTable[[#This Row],[Sport]]="","",LayTable[[#This Row],[BookieInnsats]]+LayTable[[#This Row],[LayLiability]])</f>
        <v/>
      </c>
      <c r="R11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2" s="47" t="str">
        <f>IF(LayTable[[#This Row],[Utfall bookie]]="","",LayTable[[#This Row],[WBABack]]+LayTable[[#This Row],[WBALay]]-LayTable[[#This Row],[Total inns]])</f>
        <v/>
      </c>
      <c r="U11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2" s="48" t="str">
        <f>IFERROR(IF(LayTable[[#This Row],[Total inns]]="","",LayTable[[#This Row],[Rback]]/LayTable[[#This Row],[Total inns]]),"")</f>
        <v/>
      </c>
      <c r="X1172" s="48" t="str">
        <f>IFERROR(IF(LayTable[[#This Row],[Total inns]]="","",LayTable[[#This Row],[Rlay]]/LayTable[[#This Row],[Total inns]]),"")</f>
        <v/>
      </c>
      <c r="Y1172" s="48" t="str">
        <f>IFERROR(LayTable[[#This Row],[Faktisk res]]/LayTable[[#This Row],[Total inns]],"")</f>
        <v/>
      </c>
      <c r="Z1172" s="47">
        <f>(LayTable[[#This Row],[BookieInnsats]]*LayTable[[#This Row],[BookieOdds]]-LayTable[[#This Row],[BookieInnsats]])*(1-LayTable[[#This Row],[C% Bookie]])</f>
        <v>0</v>
      </c>
      <c r="AA1172" s="43">
        <f>LayTable[[#This Row],[LayInnsats]]*(1-LayTable[[#This Row],[C% Lay]])</f>
        <v>0</v>
      </c>
      <c r="AB1172" s="43" t="str">
        <f>IFERROR(IF(LayTable[[#This Row],[Sport]]="",AB1171,LayTable[[#This Row],[Faktisk res]]+AB1171),"")</f>
        <v/>
      </c>
      <c r="AC1172" s="43">
        <f>(LayTable[[#This Row],[BackWin-Commission]]+LayTable[[#This Row],[BookieInnsats]])</f>
        <v>0</v>
      </c>
      <c r="AD1172" s="43" t="e">
        <f>(LayTable[[#This Row],[LayWin-Commission]])+LayTable[[#This Row],[LayLiability]]</f>
        <v>#VALUE!</v>
      </c>
      <c r="AE1172" s="43"/>
      <c r="AF1172" s="181"/>
    </row>
    <row r="1173" spans="1:32">
      <c r="A1173" s="84"/>
      <c r="B1173" s="39"/>
      <c r="C1173" s="40"/>
      <c r="D1173" s="41"/>
      <c r="E1173" s="40"/>
      <c r="F1173" s="41"/>
      <c r="G1173" s="101"/>
      <c r="H1173" s="38"/>
      <c r="I1173" s="42"/>
      <c r="J1173" s="42"/>
      <c r="K1173" s="43"/>
      <c r="L1173" s="43"/>
      <c r="M1173" s="44" t="str">
        <f>IF(LayTable[[#This Row],[Sport]]="","",LayTable[[#This Row],[LayInnsats]]*(LayTable[[#This Row],[LayOdds]]-1))</f>
        <v/>
      </c>
      <c r="N1173" s="45" t="str">
        <f>IF(LayTable[[#This Row],[Sport]]="","",1/((1/LayTable[[#This Row],[BookieOdds]])+(1/((1/((1+((LayTable[[#This Row],[LayOdds]]-1)*(1+LayTable[[#This Row],[C% Lay]])))-1))+1)))-1)</f>
        <v/>
      </c>
      <c r="Q1173" s="46" t="str">
        <f>IF(LayTable[[#This Row],[Sport]]="","",LayTable[[#This Row],[BookieInnsats]]+LayTable[[#This Row],[LayLiability]])</f>
        <v/>
      </c>
      <c r="R11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3" s="47" t="str">
        <f>IF(LayTable[[#This Row],[Utfall bookie]]="","",LayTable[[#This Row],[WBABack]]+LayTable[[#This Row],[WBALay]]-LayTable[[#This Row],[Total inns]])</f>
        <v/>
      </c>
      <c r="U11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3" s="48" t="str">
        <f>IFERROR(IF(LayTable[[#This Row],[Total inns]]="","",LayTable[[#This Row],[Rback]]/LayTable[[#This Row],[Total inns]]),"")</f>
        <v/>
      </c>
      <c r="X1173" s="48" t="str">
        <f>IFERROR(IF(LayTable[[#This Row],[Total inns]]="","",LayTable[[#This Row],[Rlay]]/LayTable[[#This Row],[Total inns]]),"")</f>
        <v/>
      </c>
      <c r="Y1173" s="48" t="str">
        <f>IFERROR(LayTable[[#This Row],[Faktisk res]]/LayTable[[#This Row],[Total inns]],"")</f>
        <v/>
      </c>
      <c r="Z1173" s="47">
        <f>(LayTable[[#This Row],[BookieInnsats]]*LayTable[[#This Row],[BookieOdds]]-LayTable[[#This Row],[BookieInnsats]])*(1-LayTable[[#This Row],[C% Bookie]])</f>
        <v>0</v>
      </c>
      <c r="AA1173" s="43">
        <f>LayTable[[#This Row],[LayInnsats]]*(1-LayTable[[#This Row],[C% Lay]])</f>
        <v>0</v>
      </c>
      <c r="AB1173" s="43" t="str">
        <f>IFERROR(IF(LayTable[[#This Row],[Sport]]="",AB1172,LayTable[[#This Row],[Faktisk res]]+AB1172),"")</f>
        <v/>
      </c>
      <c r="AC1173" s="43">
        <f>(LayTable[[#This Row],[BackWin-Commission]]+LayTable[[#This Row],[BookieInnsats]])</f>
        <v>0</v>
      </c>
      <c r="AD1173" s="43" t="e">
        <f>(LayTable[[#This Row],[LayWin-Commission]])+LayTable[[#This Row],[LayLiability]]</f>
        <v>#VALUE!</v>
      </c>
      <c r="AE1173" s="43"/>
      <c r="AF1173" s="181"/>
    </row>
    <row r="1174" spans="1:32">
      <c r="A1174" s="84"/>
      <c r="B1174" s="39"/>
      <c r="C1174" s="40"/>
      <c r="D1174" s="41"/>
      <c r="E1174" s="40"/>
      <c r="F1174" s="41"/>
      <c r="G1174" s="101"/>
      <c r="H1174" s="38"/>
      <c r="I1174" s="42"/>
      <c r="J1174" s="42"/>
      <c r="K1174" s="43"/>
      <c r="L1174" s="43"/>
      <c r="M1174" s="44" t="str">
        <f>IF(LayTable[[#This Row],[Sport]]="","",LayTable[[#This Row],[LayInnsats]]*(LayTable[[#This Row],[LayOdds]]-1))</f>
        <v/>
      </c>
      <c r="N1174" s="45" t="str">
        <f>IF(LayTable[[#This Row],[Sport]]="","",1/((1/LayTable[[#This Row],[BookieOdds]])+(1/((1/((1+((LayTable[[#This Row],[LayOdds]]-1)*(1+LayTable[[#This Row],[C% Lay]])))-1))+1)))-1)</f>
        <v/>
      </c>
      <c r="Q1174" s="46" t="str">
        <f>IF(LayTable[[#This Row],[Sport]]="","",LayTable[[#This Row],[BookieInnsats]]+LayTable[[#This Row],[LayLiability]])</f>
        <v/>
      </c>
      <c r="R11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4" s="47" t="str">
        <f>IF(LayTable[[#This Row],[Utfall bookie]]="","",LayTable[[#This Row],[WBABack]]+LayTable[[#This Row],[WBALay]]-LayTable[[#This Row],[Total inns]])</f>
        <v/>
      </c>
      <c r="U11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4" s="48" t="str">
        <f>IFERROR(IF(LayTable[[#This Row],[Total inns]]="","",LayTable[[#This Row],[Rback]]/LayTable[[#This Row],[Total inns]]),"")</f>
        <v/>
      </c>
      <c r="X1174" s="48" t="str">
        <f>IFERROR(IF(LayTable[[#This Row],[Total inns]]="","",LayTable[[#This Row],[Rlay]]/LayTable[[#This Row],[Total inns]]),"")</f>
        <v/>
      </c>
      <c r="Y1174" s="48" t="str">
        <f>IFERROR(LayTable[[#This Row],[Faktisk res]]/LayTable[[#This Row],[Total inns]],"")</f>
        <v/>
      </c>
      <c r="Z1174" s="47">
        <f>(LayTable[[#This Row],[BookieInnsats]]*LayTable[[#This Row],[BookieOdds]]-LayTable[[#This Row],[BookieInnsats]])*(1-LayTable[[#This Row],[C% Bookie]])</f>
        <v>0</v>
      </c>
      <c r="AA1174" s="43">
        <f>LayTable[[#This Row],[LayInnsats]]*(1-LayTable[[#This Row],[C% Lay]])</f>
        <v>0</v>
      </c>
      <c r="AB1174" s="43" t="str">
        <f>IFERROR(IF(LayTable[[#This Row],[Sport]]="",AB1173,LayTable[[#This Row],[Faktisk res]]+AB1173),"")</f>
        <v/>
      </c>
      <c r="AC1174" s="43">
        <f>(LayTable[[#This Row],[BackWin-Commission]]+LayTable[[#This Row],[BookieInnsats]])</f>
        <v>0</v>
      </c>
      <c r="AD1174" s="43" t="e">
        <f>(LayTable[[#This Row],[LayWin-Commission]])+LayTable[[#This Row],[LayLiability]]</f>
        <v>#VALUE!</v>
      </c>
      <c r="AE1174" s="43"/>
      <c r="AF1174" s="181"/>
    </row>
    <row r="1175" spans="1:32">
      <c r="A1175" s="84"/>
      <c r="B1175" s="39"/>
      <c r="C1175" s="40"/>
      <c r="D1175" s="41"/>
      <c r="E1175" s="40"/>
      <c r="F1175" s="41"/>
      <c r="G1175" s="101"/>
      <c r="H1175" s="38"/>
      <c r="I1175" s="42"/>
      <c r="J1175" s="42"/>
      <c r="K1175" s="43"/>
      <c r="L1175" s="43"/>
      <c r="M1175" s="44" t="str">
        <f>IF(LayTable[[#This Row],[Sport]]="","",LayTable[[#This Row],[LayInnsats]]*(LayTable[[#This Row],[LayOdds]]-1))</f>
        <v/>
      </c>
      <c r="N1175" s="45" t="str">
        <f>IF(LayTable[[#This Row],[Sport]]="","",1/((1/LayTable[[#This Row],[BookieOdds]])+(1/((1/((1+((LayTable[[#This Row],[LayOdds]]-1)*(1+LayTable[[#This Row],[C% Lay]])))-1))+1)))-1)</f>
        <v/>
      </c>
      <c r="Q1175" s="46" t="str">
        <f>IF(LayTable[[#This Row],[Sport]]="","",LayTable[[#This Row],[BookieInnsats]]+LayTable[[#This Row],[LayLiability]])</f>
        <v/>
      </c>
      <c r="R11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5" s="47" t="str">
        <f>IF(LayTable[[#This Row],[Utfall bookie]]="","",LayTable[[#This Row],[WBABack]]+LayTable[[#This Row],[WBALay]]-LayTable[[#This Row],[Total inns]])</f>
        <v/>
      </c>
      <c r="U11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5" s="48" t="str">
        <f>IFERROR(IF(LayTable[[#This Row],[Total inns]]="","",LayTable[[#This Row],[Rback]]/LayTable[[#This Row],[Total inns]]),"")</f>
        <v/>
      </c>
      <c r="X1175" s="48" t="str">
        <f>IFERROR(IF(LayTable[[#This Row],[Total inns]]="","",LayTable[[#This Row],[Rlay]]/LayTable[[#This Row],[Total inns]]),"")</f>
        <v/>
      </c>
      <c r="Y1175" s="48" t="str">
        <f>IFERROR(LayTable[[#This Row],[Faktisk res]]/LayTable[[#This Row],[Total inns]],"")</f>
        <v/>
      </c>
      <c r="Z1175" s="47">
        <f>(LayTable[[#This Row],[BookieInnsats]]*LayTable[[#This Row],[BookieOdds]]-LayTable[[#This Row],[BookieInnsats]])*(1-LayTable[[#This Row],[C% Bookie]])</f>
        <v>0</v>
      </c>
      <c r="AA1175" s="43">
        <f>LayTable[[#This Row],[LayInnsats]]*(1-LayTable[[#This Row],[C% Lay]])</f>
        <v>0</v>
      </c>
      <c r="AB1175" s="43" t="str">
        <f>IFERROR(IF(LayTable[[#This Row],[Sport]]="",AB1174,LayTable[[#This Row],[Faktisk res]]+AB1174),"")</f>
        <v/>
      </c>
      <c r="AC1175" s="43">
        <f>(LayTable[[#This Row],[BackWin-Commission]]+LayTable[[#This Row],[BookieInnsats]])</f>
        <v>0</v>
      </c>
      <c r="AD1175" s="43" t="e">
        <f>(LayTable[[#This Row],[LayWin-Commission]])+LayTable[[#This Row],[LayLiability]]</f>
        <v>#VALUE!</v>
      </c>
      <c r="AE1175" s="43"/>
      <c r="AF1175" s="181"/>
    </row>
    <row r="1176" spans="1:32">
      <c r="A1176" s="84"/>
      <c r="B1176" s="39"/>
      <c r="C1176" s="40"/>
      <c r="D1176" s="41"/>
      <c r="E1176" s="40"/>
      <c r="F1176" s="41"/>
      <c r="G1176" s="101"/>
      <c r="H1176" s="38"/>
      <c r="I1176" s="42"/>
      <c r="J1176" s="42"/>
      <c r="K1176" s="43"/>
      <c r="L1176" s="43"/>
      <c r="M1176" s="44" t="str">
        <f>IF(LayTable[[#This Row],[Sport]]="","",LayTable[[#This Row],[LayInnsats]]*(LayTable[[#This Row],[LayOdds]]-1))</f>
        <v/>
      </c>
      <c r="N1176" s="45" t="str">
        <f>IF(LayTable[[#This Row],[Sport]]="","",1/((1/LayTable[[#This Row],[BookieOdds]])+(1/((1/((1+((LayTable[[#This Row],[LayOdds]]-1)*(1+LayTable[[#This Row],[C% Lay]])))-1))+1)))-1)</f>
        <v/>
      </c>
      <c r="Q1176" s="46" t="str">
        <f>IF(LayTable[[#This Row],[Sport]]="","",LayTable[[#This Row],[BookieInnsats]]+LayTable[[#This Row],[LayLiability]])</f>
        <v/>
      </c>
      <c r="R11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6" s="47" t="str">
        <f>IF(LayTable[[#This Row],[Utfall bookie]]="","",LayTable[[#This Row],[WBABack]]+LayTable[[#This Row],[WBALay]]-LayTable[[#This Row],[Total inns]])</f>
        <v/>
      </c>
      <c r="U11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6" s="48" t="str">
        <f>IFERROR(IF(LayTable[[#This Row],[Total inns]]="","",LayTable[[#This Row],[Rback]]/LayTable[[#This Row],[Total inns]]),"")</f>
        <v/>
      </c>
      <c r="X1176" s="48" t="str">
        <f>IFERROR(IF(LayTable[[#This Row],[Total inns]]="","",LayTable[[#This Row],[Rlay]]/LayTable[[#This Row],[Total inns]]),"")</f>
        <v/>
      </c>
      <c r="Y1176" s="48" t="str">
        <f>IFERROR(LayTable[[#This Row],[Faktisk res]]/LayTable[[#This Row],[Total inns]],"")</f>
        <v/>
      </c>
      <c r="Z1176" s="47">
        <f>(LayTable[[#This Row],[BookieInnsats]]*LayTable[[#This Row],[BookieOdds]]-LayTable[[#This Row],[BookieInnsats]])*(1-LayTable[[#This Row],[C% Bookie]])</f>
        <v>0</v>
      </c>
      <c r="AA1176" s="43">
        <f>LayTable[[#This Row],[LayInnsats]]*(1-LayTable[[#This Row],[C% Lay]])</f>
        <v>0</v>
      </c>
      <c r="AB1176" s="43" t="str">
        <f>IFERROR(IF(LayTable[[#This Row],[Sport]]="",AB1175,LayTable[[#This Row],[Faktisk res]]+AB1175),"")</f>
        <v/>
      </c>
      <c r="AC1176" s="43">
        <f>(LayTable[[#This Row],[BackWin-Commission]]+LayTable[[#This Row],[BookieInnsats]])</f>
        <v>0</v>
      </c>
      <c r="AD1176" s="43" t="e">
        <f>(LayTable[[#This Row],[LayWin-Commission]])+LayTable[[#This Row],[LayLiability]]</f>
        <v>#VALUE!</v>
      </c>
      <c r="AE1176" s="43"/>
      <c r="AF1176" s="181"/>
    </row>
    <row r="1177" spans="1:32">
      <c r="A1177" s="84"/>
      <c r="B1177" s="39"/>
      <c r="C1177" s="40"/>
      <c r="D1177" s="41"/>
      <c r="E1177" s="40"/>
      <c r="F1177" s="41"/>
      <c r="G1177" s="101"/>
      <c r="H1177" s="38"/>
      <c r="I1177" s="42"/>
      <c r="J1177" s="42"/>
      <c r="K1177" s="43"/>
      <c r="L1177" s="43"/>
      <c r="M1177" s="44" t="str">
        <f>IF(LayTable[[#This Row],[Sport]]="","",LayTable[[#This Row],[LayInnsats]]*(LayTable[[#This Row],[LayOdds]]-1))</f>
        <v/>
      </c>
      <c r="N1177" s="45" t="str">
        <f>IF(LayTable[[#This Row],[Sport]]="","",1/((1/LayTable[[#This Row],[BookieOdds]])+(1/((1/((1+((LayTable[[#This Row],[LayOdds]]-1)*(1+LayTable[[#This Row],[C% Lay]])))-1))+1)))-1)</f>
        <v/>
      </c>
      <c r="Q1177" s="46" t="str">
        <f>IF(LayTable[[#This Row],[Sport]]="","",LayTable[[#This Row],[BookieInnsats]]+LayTable[[#This Row],[LayLiability]])</f>
        <v/>
      </c>
      <c r="R11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7" s="47" t="str">
        <f>IF(LayTable[[#This Row],[Utfall bookie]]="","",LayTable[[#This Row],[WBABack]]+LayTable[[#This Row],[WBALay]]-LayTable[[#This Row],[Total inns]])</f>
        <v/>
      </c>
      <c r="U11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7" s="48" t="str">
        <f>IFERROR(IF(LayTable[[#This Row],[Total inns]]="","",LayTable[[#This Row],[Rback]]/LayTable[[#This Row],[Total inns]]),"")</f>
        <v/>
      </c>
      <c r="X1177" s="48" t="str">
        <f>IFERROR(IF(LayTable[[#This Row],[Total inns]]="","",LayTable[[#This Row],[Rlay]]/LayTable[[#This Row],[Total inns]]),"")</f>
        <v/>
      </c>
      <c r="Y1177" s="48" t="str">
        <f>IFERROR(LayTable[[#This Row],[Faktisk res]]/LayTable[[#This Row],[Total inns]],"")</f>
        <v/>
      </c>
      <c r="Z1177" s="47">
        <f>(LayTable[[#This Row],[BookieInnsats]]*LayTable[[#This Row],[BookieOdds]]-LayTable[[#This Row],[BookieInnsats]])*(1-LayTable[[#This Row],[C% Bookie]])</f>
        <v>0</v>
      </c>
      <c r="AA1177" s="43">
        <f>LayTable[[#This Row],[LayInnsats]]*(1-LayTable[[#This Row],[C% Lay]])</f>
        <v>0</v>
      </c>
      <c r="AB1177" s="43" t="str">
        <f>IFERROR(IF(LayTable[[#This Row],[Sport]]="",AB1176,LayTable[[#This Row],[Faktisk res]]+AB1176),"")</f>
        <v/>
      </c>
      <c r="AC1177" s="43">
        <f>(LayTable[[#This Row],[BackWin-Commission]]+LayTable[[#This Row],[BookieInnsats]])</f>
        <v>0</v>
      </c>
      <c r="AD1177" s="43" t="e">
        <f>(LayTable[[#This Row],[LayWin-Commission]])+LayTable[[#This Row],[LayLiability]]</f>
        <v>#VALUE!</v>
      </c>
      <c r="AE1177" s="43"/>
      <c r="AF1177" s="181"/>
    </row>
    <row r="1178" spans="1:32">
      <c r="A1178" s="84"/>
      <c r="B1178" s="39"/>
      <c r="C1178" s="40"/>
      <c r="D1178" s="41"/>
      <c r="E1178" s="40"/>
      <c r="F1178" s="41"/>
      <c r="G1178" s="101"/>
      <c r="H1178" s="38"/>
      <c r="I1178" s="42"/>
      <c r="J1178" s="42"/>
      <c r="K1178" s="43"/>
      <c r="L1178" s="43"/>
      <c r="M1178" s="44" t="str">
        <f>IF(LayTable[[#This Row],[Sport]]="","",LayTable[[#This Row],[LayInnsats]]*(LayTable[[#This Row],[LayOdds]]-1))</f>
        <v/>
      </c>
      <c r="N1178" s="45" t="str">
        <f>IF(LayTable[[#This Row],[Sport]]="","",1/((1/LayTable[[#This Row],[BookieOdds]])+(1/((1/((1+((LayTable[[#This Row],[LayOdds]]-1)*(1+LayTable[[#This Row],[C% Lay]])))-1))+1)))-1)</f>
        <v/>
      </c>
      <c r="Q1178" s="46" t="str">
        <f>IF(LayTable[[#This Row],[Sport]]="","",LayTable[[#This Row],[BookieInnsats]]+LayTable[[#This Row],[LayLiability]])</f>
        <v/>
      </c>
      <c r="R11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8" s="47" t="str">
        <f>IF(LayTable[[#This Row],[Utfall bookie]]="","",LayTable[[#This Row],[WBABack]]+LayTable[[#This Row],[WBALay]]-LayTable[[#This Row],[Total inns]])</f>
        <v/>
      </c>
      <c r="U11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8" s="48" t="str">
        <f>IFERROR(IF(LayTable[[#This Row],[Total inns]]="","",LayTable[[#This Row],[Rback]]/LayTable[[#This Row],[Total inns]]),"")</f>
        <v/>
      </c>
      <c r="X1178" s="48" t="str">
        <f>IFERROR(IF(LayTable[[#This Row],[Total inns]]="","",LayTable[[#This Row],[Rlay]]/LayTable[[#This Row],[Total inns]]),"")</f>
        <v/>
      </c>
      <c r="Y1178" s="48" t="str">
        <f>IFERROR(LayTable[[#This Row],[Faktisk res]]/LayTable[[#This Row],[Total inns]],"")</f>
        <v/>
      </c>
      <c r="Z1178" s="47">
        <f>(LayTable[[#This Row],[BookieInnsats]]*LayTable[[#This Row],[BookieOdds]]-LayTable[[#This Row],[BookieInnsats]])*(1-LayTable[[#This Row],[C% Bookie]])</f>
        <v>0</v>
      </c>
      <c r="AA1178" s="43">
        <f>LayTable[[#This Row],[LayInnsats]]*(1-LayTable[[#This Row],[C% Lay]])</f>
        <v>0</v>
      </c>
      <c r="AB1178" s="43" t="str">
        <f>IFERROR(IF(LayTable[[#This Row],[Sport]]="",AB1177,LayTable[[#This Row],[Faktisk res]]+AB1177),"")</f>
        <v/>
      </c>
      <c r="AC1178" s="43">
        <f>(LayTable[[#This Row],[BackWin-Commission]]+LayTable[[#This Row],[BookieInnsats]])</f>
        <v>0</v>
      </c>
      <c r="AD1178" s="43" t="e">
        <f>(LayTable[[#This Row],[LayWin-Commission]])+LayTable[[#This Row],[LayLiability]]</f>
        <v>#VALUE!</v>
      </c>
      <c r="AE1178" s="43"/>
      <c r="AF1178" s="181"/>
    </row>
    <row r="1179" spans="1:32">
      <c r="A1179" s="84"/>
      <c r="B1179" s="39"/>
      <c r="C1179" s="40"/>
      <c r="D1179" s="41"/>
      <c r="E1179" s="40"/>
      <c r="F1179" s="41"/>
      <c r="G1179" s="101"/>
      <c r="H1179" s="38"/>
      <c r="I1179" s="42"/>
      <c r="J1179" s="42"/>
      <c r="K1179" s="43"/>
      <c r="L1179" s="43"/>
      <c r="M1179" s="44" t="str">
        <f>IF(LayTable[[#This Row],[Sport]]="","",LayTable[[#This Row],[LayInnsats]]*(LayTable[[#This Row],[LayOdds]]-1))</f>
        <v/>
      </c>
      <c r="N1179" s="45" t="str">
        <f>IF(LayTable[[#This Row],[Sport]]="","",1/((1/LayTable[[#This Row],[BookieOdds]])+(1/((1/((1+((LayTable[[#This Row],[LayOdds]]-1)*(1+LayTable[[#This Row],[C% Lay]])))-1))+1)))-1)</f>
        <v/>
      </c>
      <c r="Q1179" s="46" t="str">
        <f>IF(LayTable[[#This Row],[Sport]]="","",LayTable[[#This Row],[BookieInnsats]]+LayTable[[#This Row],[LayLiability]])</f>
        <v/>
      </c>
      <c r="R11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79" s="47" t="str">
        <f>IF(LayTable[[#This Row],[Utfall bookie]]="","",LayTable[[#This Row],[WBABack]]+LayTable[[#This Row],[WBALay]]-LayTable[[#This Row],[Total inns]])</f>
        <v/>
      </c>
      <c r="U11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79" s="48" t="str">
        <f>IFERROR(IF(LayTable[[#This Row],[Total inns]]="","",LayTable[[#This Row],[Rback]]/LayTable[[#This Row],[Total inns]]),"")</f>
        <v/>
      </c>
      <c r="X1179" s="48" t="str">
        <f>IFERROR(IF(LayTable[[#This Row],[Total inns]]="","",LayTable[[#This Row],[Rlay]]/LayTable[[#This Row],[Total inns]]),"")</f>
        <v/>
      </c>
      <c r="Y1179" s="48" t="str">
        <f>IFERROR(LayTable[[#This Row],[Faktisk res]]/LayTable[[#This Row],[Total inns]],"")</f>
        <v/>
      </c>
      <c r="Z1179" s="47">
        <f>(LayTable[[#This Row],[BookieInnsats]]*LayTable[[#This Row],[BookieOdds]]-LayTable[[#This Row],[BookieInnsats]])*(1-LayTable[[#This Row],[C% Bookie]])</f>
        <v>0</v>
      </c>
      <c r="AA1179" s="43">
        <f>LayTable[[#This Row],[LayInnsats]]*(1-LayTable[[#This Row],[C% Lay]])</f>
        <v>0</v>
      </c>
      <c r="AB1179" s="43" t="str">
        <f>IFERROR(IF(LayTable[[#This Row],[Sport]]="",AB1178,LayTable[[#This Row],[Faktisk res]]+AB1178),"")</f>
        <v/>
      </c>
      <c r="AC1179" s="43">
        <f>(LayTable[[#This Row],[BackWin-Commission]]+LayTable[[#This Row],[BookieInnsats]])</f>
        <v>0</v>
      </c>
      <c r="AD1179" s="43" t="e">
        <f>(LayTable[[#This Row],[LayWin-Commission]])+LayTable[[#This Row],[LayLiability]]</f>
        <v>#VALUE!</v>
      </c>
      <c r="AE1179" s="43"/>
      <c r="AF1179" s="181"/>
    </row>
    <row r="1180" spans="1:32">
      <c r="A1180" s="84"/>
      <c r="B1180" s="39"/>
      <c r="C1180" s="40"/>
      <c r="D1180" s="41"/>
      <c r="E1180" s="40"/>
      <c r="F1180" s="41"/>
      <c r="G1180" s="101"/>
      <c r="H1180" s="38"/>
      <c r="I1180" s="42"/>
      <c r="J1180" s="42"/>
      <c r="K1180" s="43"/>
      <c r="L1180" s="43"/>
      <c r="M1180" s="44" t="str">
        <f>IF(LayTable[[#This Row],[Sport]]="","",LayTable[[#This Row],[LayInnsats]]*(LayTable[[#This Row],[LayOdds]]-1))</f>
        <v/>
      </c>
      <c r="N1180" s="45" t="str">
        <f>IF(LayTable[[#This Row],[Sport]]="","",1/((1/LayTable[[#This Row],[BookieOdds]])+(1/((1/((1+((LayTable[[#This Row],[LayOdds]]-1)*(1+LayTable[[#This Row],[C% Lay]])))-1))+1)))-1)</f>
        <v/>
      </c>
      <c r="Q1180" s="46" t="str">
        <f>IF(LayTable[[#This Row],[Sport]]="","",LayTable[[#This Row],[BookieInnsats]]+LayTable[[#This Row],[LayLiability]])</f>
        <v/>
      </c>
      <c r="R11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0" s="47" t="str">
        <f>IF(LayTable[[#This Row],[Utfall bookie]]="","",LayTable[[#This Row],[WBABack]]+LayTable[[#This Row],[WBALay]]-LayTable[[#This Row],[Total inns]])</f>
        <v/>
      </c>
      <c r="U11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0" s="48" t="str">
        <f>IFERROR(IF(LayTable[[#This Row],[Total inns]]="","",LayTable[[#This Row],[Rback]]/LayTable[[#This Row],[Total inns]]),"")</f>
        <v/>
      </c>
      <c r="X1180" s="48" t="str">
        <f>IFERROR(IF(LayTable[[#This Row],[Total inns]]="","",LayTable[[#This Row],[Rlay]]/LayTable[[#This Row],[Total inns]]),"")</f>
        <v/>
      </c>
      <c r="Y1180" s="48" t="str">
        <f>IFERROR(LayTable[[#This Row],[Faktisk res]]/LayTable[[#This Row],[Total inns]],"")</f>
        <v/>
      </c>
      <c r="Z1180" s="47">
        <f>(LayTable[[#This Row],[BookieInnsats]]*LayTable[[#This Row],[BookieOdds]]-LayTable[[#This Row],[BookieInnsats]])*(1-LayTable[[#This Row],[C% Bookie]])</f>
        <v>0</v>
      </c>
      <c r="AA1180" s="43">
        <f>LayTable[[#This Row],[LayInnsats]]*(1-LayTable[[#This Row],[C% Lay]])</f>
        <v>0</v>
      </c>
      <c r="AB1180" s="43" t="str">
        <f>IFERROR(IF(LayTable[[#This Row],[Sport]]="",AB1179,LayTable[[#This Row],[Faktisk res]]+AB1179),"")</f>
        <v/>
      </c>
      <c r="AC1180" s="43">
        <f>(LayTable[[#This Row],[BackWin-Commission]]+LayTable[[#This Row],[BookieInnsats]])</f>
        <v>0</v>
      </c>
      <c r="AD1180" s="43" t="e">
        <f>(LayTable[[#This Row],[LayWin-Commission]])+LayTable[[#This Row],[LayLiability]]</f>
        <v>#VALUE!</v>
      </c>
      <c r="AE1180" s="43"/>
      <c r="AF1180" s="181"/>
    </row>
    <row r="1181" spans="1:32">
      <c r="A1181" s="84"/>
      <c r="B1181" s="39"/>
      <c r="C1181" s="40"/>
      <c r="D1181" s="41"/>
      <c r="E1181" s="40"/>
      <c r="F1181" s="41"/>
      <c r="G1181" s="101"/>
      <c r="H1181" s="38"/>
      <c r="I1181" s="42"/>
      <c r="J1181" s="42"/>
      <c r="K1181" s="43"/>
      <c r="L1181" s="43"/>
      <c r="M1181" s="44" t="str">
        <f>IF(LayTable[[#This Row],[Sport]]="","",LayTable[[#This Row],[LayInnsats]]*(LayTable[[#This Row],[LayOdds]]-1))</f>
        <v/>
      </c>
      <c r="N1181" s="45" t="str">
        <f>IF(LayTable[[#This Row],[Sport]]="","",1/((1/LayTable[[#This Row],[BookieOdds]])+(1/((1/((1+((LayTable[[#This Row],[LayOdds]]-1)*(1+LayTable[[#This Row],[C% Lay]])))-1))+1)))-1)</f>
        <v/>
      </c>
      <c r="Q1181" s="46" t="str">
        <f>IF(LayTable[[#This Row],[Sport]]="","",LayTable[[#This Row],[BookieInnsats]]+LayTable[[#This Row],[LayLiability]])</f>
        <v/>
      </c>
      <c r="R11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1" s="47" t="str">
        <f>IF(LayTable[[#This Row],[Utfall bookie]]="","",LayTable[[#This Row],[WBABack]]+LayTable[[#This Row],[WBALay]]-LayTable[[#This Row],[Total inns]])</f>
        <v/>
      </c>
      <c r="U11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1" s="48" t="str">
        <f>IFERROR(IF(LayTable[[#This Row],[Total inns]]="","",LayTable[[#This Row],[Rback]]/LayTable[[#This Row],[Total inns]]),"")</f>
        <v/>
      </c>
      <c r="X1181" s="48" t="str">
        <f>IFERROR(IF(LayTable[[#This Row],[Total inns]]="","",LayTable[[#This Row],[Rlay]]/LayTable[[#This Row],[Total inns]]),"")</f>
        <v/>
      </c>
      <c r="Y1181" s="48" t="str">
        <f>IFERROR(LayTable[[#This Row],[Faktisk res]]/LayTable[[#This Row],[Total inns]],"")</f>
        <v/>
      </c>
      <c r="Z1181" s="47">
        <f>(LayTable[[#This Row],[BookieInnsats]]*LayTable[[#This Row],[BookieOdds]]-LayTable[[#This Row],[BookieInnsats]])*(1-LayTable[[#This Row],[C% Bookie]])</f>
        <v>0</v>
      </c>
      <c r="AA1181" s="43">
        <f>LayTable[[#This Row],[LayInnsats]]*(1-LayTable[[#This Row],[C% Lay]])</f>
        <v>0</v>
      </c>
      <c r="AB1181" s="43" t="str">
        <f>IFERROR(IF(LayTable[[#This Row],[Sport]]="",AB1180,LayTable[[#This Row],[Faktisk res]]+AB1180),"")</f>
        <v/>
      </c>
      <c r="AC1181" s="43">
        <f>(LayTable[[#This Row],[BackWin-Commission]]+LayTable[[#This Row],[BookieInnsats]])</f>
        <v>0</v>
      </c>
      <c r="AD1181" s="43" t="e">
        <f>(LayTable[[#This Row],[LayWin-Commission]])+LayTable[[#This Row],[LayLiability]]</f>
        <v>#VALUE!</v>
      </c>
      <c r="AE1181" s="43"/>
      <c r="AF1181" s="181"/>
    </row>
    <row r="1182" spans="1:32">
      <c r="A1182" s="84"/>
      <c r="B1182" s="39"/>
      <c r="C1182" s="40"/>
      <c r="D1182" s="41"/>
      <c r="E1182" s="40"/>
      <c r="F1182" s="41"/>
      <c r="G1182" s="101"/>
      <c r="H1182" s="38"/>
      <c r="I1182" s="42"/>
      <c r="J1182" s="42"/>
      <c r="K1182" s="43"/>
      <c r="L1182" s="43"/>
      <c r="M1182" s="44" t="str">
        <f>IF(LayTable[[#This Row],[Sport]]="","",LayTable[[#This Row],[LayInnsats]]*(LayTable[[#This Row],[LayOdds]]-1))</f>
        <v/>
      </c>
      <c r="N1182" s="45" t="str">
        <f>IF(LayTable[[#This Row],[Sport]]="","",1/((1/LayTable[[#This Row],[BookieOdds]])+(1/((1/((1+((LayTable[[#This Row],[LayOdds]]-1)*(1+LayTable[[#This Row],[C% Lay]])))-1))+1)))-1)</f>
        <v/>
      </c>
      <c r="Q1182" s="46" t="str">
        <f>IF(LayTable[[#This Row],[Sport]]="","",LayTable[[#This Row],[BookieInnsats]]+LayTable[[#This Row],[LayLiability]])</f>
        <v/>
      </c>
      <c r="R11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2" s="47" t="str">
        <f>IF(LayTable[[#This Row],[Utfall bookie]]="","",LayTable[[#This Row],[WBABack]]+LayTable[[#This Row],[WBALay]]-LayTable[[#This Row],[Total inns]])</f>
        <v/>
      </c>
      <c r="U11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2" s="48" t="str">
        <f>IFERROR(IF(LayTable[[#This Row],[Total inns]]="","",LayTable[[#This Row],[Rback]]/LayTable[[#This Row],[Total inns]]),"")</f>
        <v/>
      </c>
      <c r="X1182" s="48" t="str">
        <f>IFERROR(IF(LayTable[[#This Row],[Total inns]]="","",LayTable[[#This Row],[Rlay]]/LayTable[[#This Row],[Total inns]]),"")</f>
        <v/>
      </c>
      <c r="Y1182" s="48" t="str">
        <f>IFERROR(LayTable[[#This Row],[Faktisk res]]/LayTable[[#This Row],[Total inns]],"")</f>
        <v/>
      </c>
      <c r="Z1182" s="47">
        <f>(LayTable[[#This Row],[BookieInnsats]]*LayTable[[#This Row],[BookieOdds]]-LayTable[[#This Row],[BookieInnsats]])*(1-LayTable[[#This Row],[C% Bookie]])</f>
        <v>0</v>
      </c>
      <c r="AA1182" s="43">
        <f>LayTable[[#This Row],[LayInnsats]]*(1-LayTable[[#This Row],[C% Lay]])</f>
        <v>0</v>
      </c>
      <c r="AB1182" s="43" t="str">
        <f>IFERROR(IF(LayTable[[#This Row],[Sport]]="",AB1181,LayTable[[#This Row],[Faktisk res]]+AB1181),"")</f>
        <v/>
      </c>
      <c r="AC1182" s="43">
        <f>(LayTable[[#This Row],[BackWin-Commission]]+LayTable[[#This Row],[BookieInnsats]])</f>
        <v>0</v>
      </c>
      <c r="AD1182" s="43" t="e">
        <f>(LayTable[[#This Row],[LayWin-Commission]])+LayTable[[#This Row],[LayLiability]]</f>
        <v>#VALUE!</v>
      </c>
      <c r="AE1182" s="43"/>
      <c r="AF1182" s="181"/>
    </row>
    <row r="1183" spans="1:32">
      <c r="A1183" s="84"/>
      <c r="B1183" s="39"/>
      <c r="C1183" s="40"/>
      <c r="D1183" s="41"/>
      <c r="E1183" s="40"/>
      <c r="F1183" s="41"/>
      <c r="G1183" s="101"/>
      <c r="H1183" s="38"/>
      <c r="I1183" s="42"/>
      <c r="J1183" s="42"/>
      <c r="K1183" s="43"/>
      <c r="L1183" s="43"/>
      <c r="M1183" s="44" t="str">
        <f>IF(LayTable[[#This Row],[Sport]]="","",LayTable[[#This Row],[LayInnsats]]*(LayTable[[#This Row],[LayOdds]]-1))</f>
        <v/>
      </c>
      <c r="N1183" s="45" t="str">
        <f>IF(LayTable[[#This Row],[Sport]]="","",1/((1/LayTable[[#This Row],[BookieOdds]])+(1/((1/((1+((LayTable[[#This Row],[LayOdds]]-1)*(1+LayTable[[#This Row],[C% Lay]])))-1))+1)))-1)</f>
        <v/>
      </c>
      <c r="Q1183" s="46" t="str">
        <f>IF(LayTable[[#This Row],[Sport]]="","",LayTable[[#This Row],[BookieInnsats]]+LayTable[[#This Row],[LayLiability]])</f>
        <v/>
      </c>
      <c r="R11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3" s="47" t="str">
        <f>IF(LayTable[[#This Row],[Utfall bookie]]="","",LayTable[[#This Row],[WBABack]]+LayTable[[#This Row],[WBALay]]-LayTable[[#This Row],[Total inns]])</f>
        <v/>
      </c>
      <c r="U11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3" s="48" t="str">
        <f>IFERROR(IF(LayTable[[#This Row],[Total inns]]="","",LayTable[[#This Row],[Rback]]/LayTable[[#This Row],[Total inns]]),"")</f>
        <v/>
      </c>
      <c r="X1183" s="48" t="str">
        <f>IFERROR(IF(LayTable[[#This Row],[Total inns]]="","",LayTable[[#This Row],[Rlay]]/LayTable[[#This Row],[Total inns]]),"")</f>
        <v/>
      </c>
      <c r="Y1183" s="48" t="str">
        <f>IFERROR(LayTable[[#This Row],[Faktisk res]]/LayTable[[#This Row],[Total inns]],"")</f>
        <v/>
      </c>
      <c r="Z1183" s="47">
        <f>(LayTable[[#This Row],[BookieInnsats]]*LayTable[[#This Row],[BookieOdds]]-LayTable[[#This Row],[BookieInnsats]])*(1-LayTable[[#This Row],[C% Bookie]])</f>
        <v>0</v>
      </c>
      <c r="AA1183" s="43">
        <f>LayTable[[#This Row],[LayInnsats]]*(1-LayTable[[#This Row],[C% Lay]])</f>
        <v>0</v>
      </c>
      <c r="AB1183" s="43" t="str">
        <f>IFERROR(IF(LayTable[[#This Row],[Sport]]="",AB1182,LayTable[[#This Row],[Faktisk res]]+AB1182),"")</f>
        <v/>
      </c>
      <c r="AC1183" s="43">
        <f>(LayTable[[#This Row],[BackWin-Commission]]+LayTable[[#This Row],[BookieInnsats]])</f>
        <v>0</v>
      </c>
      <c r="AD1183" s="43" t="e">
        <f>(LayTable[[#This Row],[LayWin-Commission]])+LayTable[[#This Row],[LayLiability]]</f>
        <v>#VALUE!</v>
      </c>
      <c r="AE1183" s="43"/>
      <c r="AF1183" s="181"/>
    </row>
    <row r="1184" spans="1:32">
      <c r="A1184" s="84"/>
      <c r="B1184" s="39"/>
      <c r="C1184" s="40"/>
      <c r="D1184" s="41"/>
      <c r="E1184" s="40"/>
      <c r="F1184" s="41"/>
      <c r="G1184" s="101"/>
      <c r="H1184" s="38"/>
      <c r="I1184" s="42"/>
      <c r="J1184" s="42"/>
      <c r="K1184" s="43"/>
      <c r="L1184" s="43"/>
      <c r="M1184" s="44" t="str">
        <f>IF(LayTable[[#This Row],[Sport]]="","",LayTable[[#This Row],[LayInnsats]]*(LayTable[[#This Row],[LayOdds]]-1))</f>
        <v/>
      </c>
      <c r="N1184" s="45" t="str">
        <f>IF(LayTable[[#This Row],[Sport]]="","",1/((1/LayTable[[#This Row],[BookieOdds]])+(1/((1/((1+((LayTable[[#This Row],[LayOdds]]-1)*(1+LayTable[[#This Row],[C% Lay]])))-1))+1)))-1)</f>
        <v/>
      </c>
      <c r="Q1184" s="46" t="str">
        <f>IF(LayTable[[#This Row],[Sport]]="","",LayTable[[#This Row],[BookieInnsats]]+LayTable[[#This Row],[LayLiability]])</f>
        <v/>
      </c>
      <c r="R11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4" s="47" t="str">
        <f>IF(LayTable[[#This Row],[Utfall bookie]]="","",LayTable[[#This Row],[WBABack]]+LayTable[[#This Row],[WBALay]]-LayTable[[#This Row],[Total inns]])</f>
        <v/>
      </c>
      <c r="U11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4" s="48" t="str">
        <f>IFERROR(IF(LayTable[[#This Row],[Total inns]]="","",LayTable[[#This Row],[Rback]]/LayTable[[#This Row],[Total inns]]),"")</f>
        <v/>
      </c>
      <c r="X1184" s="48" t="str">
        <f>IFERROR(IF(LayTable[[#This Row],[Total inns]]="","",LayTable[[#This Row],[Rlay]]/LayTable[[#This Row],[Total inns]]),"")</f>
        <v/>
      </c>
      <c r="Y1184" s="48" t="str">
        <f>IFERROR(LayTable[[#This Row],[Faktisk res]]/LayTable[[#This Row],[Total inns]],"")</f>
        <v/>
      </c>
      <c r="Z1184" s="47">
        <f>(LayTable[[#This Row],[BookieInnsats]]*LayTable[[#This Row],[BookieOdds]]-LayTable[[#This Row],[BookieInnsats]])*(1-LayTable[[#This Row],[C% Bookie]])</f>
        <v>0</v>
      </c>
      <c r="AA1184" s="43">
        <f>LayTable[[#This Row],[LayInnsats]]*(1-LayTable[[#This Row],[C% Lay]])</f>
        <v>0</v>
      </c>
      <c r="AB1184" s="43" t="str">
        <f>IFERROR(IF(LayTable[[#This Row],[Sport]]="",AB1183,LayTable[[#This Row],[Faktisk res]]+AB1183),"")</f>
        <v/>
      </c>
      <c r="AC1184" s="43">
        <f>(LayTable[[#This Row],[BackWin-Commission]]+LayTable[[#This Row],[BookieInnsats]])</f>
        <v>0</v>
      </c>
      <c r="AD1184" s="43" t="e">
        <f>(LayTable[[#This Row],[LayWin-Commission]])+LayTable[[#This Row],[LayLiability]]</f>
        <v>#VALUE!</v>
      </c>
      <c r="AE1184" s="43"/>
      <c r="AF1184" s="181"/>
    </row>
    <row r="1185" spans="1:32">
      <c r="A1185" s="84"/>
      <c r="B1185" s="39"/>
      <c r="C1185" s="40"/>
      <c r="D1185" s="41"/>
      <c r="E1185" s="40"/>
      <c r="F1185" s="41"/>
      <c r="G1185" s="101"/>
      <c r="H1185" s="38"/>
      <c r="I1185" s="42"/>
      <c r="J1185" s="42"/>
      <c r="K1185" s="43"/>
      <c r="L1185" s="43"/>
      <c r="M1185" s="44" t="str">
        <f>IF(LayTable[[#This Row],[Sport]]="","",LayTable[[#This Row],[LayInnsats]]*(LayTable[[#This Row],[LayOdds]]-1))</f>
        <v/>
      </c>
      <c r="N1185" s="45" t="str">
        <f>IF(LayTable[[#This Row],[Sport]]="","",1/((1/LayTable[[#This Row],[BookieOdds]])+(1/((1/((1+((LayTable[[#This Row],[LayOdds]]-1)*(1+LayTable[[#This Row],[C% Lay]])))-1))+1)))-1)</f>
        <v/>
      </c>
      <c r="Q1185" s="46" t="str">
        <f>IF(LayTable[[#This Row],[Sport]]="","",LayTable[[#This Row],[BookieInnsats]]+LayTable[[#This Row],[LayLiability]])</f>
        <v/>
      </c>
      <c r="R11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5" s="47" t="str">
        <f>IF(LayTable[[#This Row],[Utfall bookie]]="","",LayTable[[#This Row],[WBABack]]+LayTable[[#This Row],[WBALay]]-LayTable[[#This Row],[Total inns]])</f>
        <v/>
      </c>
      <c r="U11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5" s="48" t="str">
        <f>IFERROR(IF(LayTable[[#This Row],[Total inns]]="","",LayTable[[#This Row],[Rback]]/LayTable[[#This Row],[Total inns]]),"")</f>
        <v/>
      </c>
      <c r="X1185" s="48" t="str">
        <f>IFERROR(IF(LayTable[[#This Row],[Total inns]]="","",LayTable[[#This Row],[Rlay]]/LayTable[[#This Row],[Total inns]]),"")</f>
        <v/>
      </c>
      <c r="Y1185" s="48" t="str">
        <f>IFERROR(LayTable[[#This Row],[Faktisk res]]/LayTable[[#This Row],[Total inns]],"")</f>
        <v/>
      </c>
      <c r="Z1185" s="47">
        <f>(LayTable[[#This Row],[BookieInnsats]]*LayTable[[#This Row],[BookieOdds]]-LayTable[[#This Row],[BookieInnsats]])*(1-LayTable[[#This Row],[C% Bookie]])</f>
        <v>0</v>
      </c>
      <c r="AA1185" s="43">
        <f>LayTable[[#This Row],[LayInnsats]]*(1-LayTable[[#This Row],[C% Lay]])</f>
        <v>0</v>
      </c>
      <c r="AB1185" s="43" t="str">
        <f>IFERROR(IF(LayTable[[#This Row],[Sport]]="",AB1184,LayTable[[#This Row],[Faktisk res]]+AB1184),"")</f>
        <v/>
      </c>
      <c r="AC1185" s="43">
        <f>(LayTable[[#This Row],[BackWin-Commission]]+LayTable[[#This Row],[BookieInnsats]])</f>
        <v>0</v>
      </c>
      <c r="AD1185" s="43" t="e">
        <f>(LayTable[[#This Row],[LayWin-Commission]])+LayTable[[#This Row],[LayLiability]]</f>
        <v>#VALUE!</v>
      </c>
      <c r="AE1185" s="43"/>
      <c r="AF1185" s="181"/>
    </row>
    <row r="1186" spans="1:32">
      <c r="A1186" s="84"/>
      <c r="B1186" s="39"/>
      <c r="C1186" s="40"/>
      <c r="D1186" s="41"/>
      <c r="E1186" s="40"/>
      <c r="F1186" s="41"/>
      <c r="G1186" s="101"/>
      <c r="H1186" s="38"/>
      <c r="I1186" s="42"/>
      <c r="J1186" s="42"/>
      <c r="K1186" s="43"/>
      <c r="L1186" s="43"/>
      <c r="M1186" s="44" t="str">
        <f>IF(LayTable[[#This Row],[Sport]]="","",LayTable[[#This Row],[LayInnsats]]*(LayTable[[#This Row],[LayOdds]]-1))</f>
        <v/>
      </c>
      <c r="N1186" s="45" t="str">
        <f>IF(LayTable[[#This Row],[Sport]]="","",1/((1/LayTable[[#This Row],[BookieOdds]])+(1/((1/((1+((LayTable[[#This Row],[LayOdds]]-1)*(1+LayTable[[#This Row],[C% Lay]])))-1))+1)))-1)</f>
        <v/>
      </c>
      <c r="Q1186" s="46" t="str">
        <f>IF(LayTable[[#This Row],[Sport]]="","",LayTable[[#This Row],[BookieInnsats]]+LayTable[[#This Row],[LayLiability]])</f>
        <v/>
      </c>
      <c r="R11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6" s="47" t="str">
        <f>IF(LayTable[[#This Row],[Utfall bookie]]="","",LayTable[[#This Row],[WBABack]]+LayTable[[#This Row],[WBALay]]-LayTable[[#This Row],[Total inns]])</f>
        <v/>
      </c>
      <c r="U11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6" s="48" t="str">
        <f>IFERROR(IF(LayTable[[#This Row],[Total inns]]="","",LayTable[[#This Row],[Rback]]/LayTable[[#This Row],[Total inns]]),"")</f>
        <v/>
      </c>
      <c r="X1186" s="48" t="str">
        <f>IFERROR(IF(LayTable[[#This Row],[Total inns]]="","",LayTable[[#This Row],[Rlay]]/LayTable[[#This Row],[Total inns]]),"")</f>
        <v/>
      </c>
      <c r="Y1186" s="48" t="str">
        <f>IFERROR(LayTable[[#This Row],[Faktisk res]]/LayTable[[#This Row],[Total inns]],"")</f>
        <v/>
      </c>
      <c r="Z1186" s="47">
        <f>(LayTable[[#This Row],[BookieInnsats]]*LayTable[[#This Row],[BookieOdds]]-LayTable[[#This Row],[BookieInnsats]])*(1-LayTable[[#This Row],[C% Bookie]])</f>
        <v>0</v>
      </c>
      <c r="AA1186" s="43">
        <f>LayTable[[#This Row],[LayInnsats]]*(1-LayTable[[#This Row],[C% Lay]])</f>
        <v>0</v>
      </c>
      <c r="AB1186" s="43" t="str">
        <f>IFERROR(IF(LayTable[[#This Row],[Sport]]="",AB1185,LayTable[[#This Row],[Faktisk res]]+AB1185),"")</f>
        <v/>
      </c>
      <c r="AC1186" s="43">
        <f>(LayTable[[#This Row],[BackWin-Commission]]+LayTable[[#This Row],[BookieInnsats]])</f>
        <v>0</v>
      </c>
      <c r="AD1186" s="43" t="e">
        <f>(LayTable[[#This Row],[LayWin-Commission]])+LayTable[[#This Row],[LayLiability]]</f>
        <v>#VALUE!</v>
      </c>
      <c r="AE1186" s="43"/>
      <c r="AF1186" s="181"/>
    </row>
    <row r="1187" spans="1:32">
      <c r="A1187" s="84"/>
      <c r="B1187" s="39"/>
      <c r="C1187" s="40"/>
      <c r="D1187" s="41"/>
      <c r="E1187" s="40"/>
      <c r="F1187" s="41"/>
      <c r="G1187" s="101"/>
      <c r="H1187" s="38"/>
      <c r="I1187" s="42"/>
      <c r="J1187" s="42"/>
      <c r="K1187" s="43"/>
      <c r="L1187" s="43"/>
      <c r="M1187" s="44" t="str">
        <f>IF(LayTable[[#This Row],[Sport]]="","",LayTable[[#This Row],[LayInnsats]]*(LayTable[[#This Row],[LayOdds]]-1))</f>
        <v/>
      </c>
      <c r="N1187" s="45" t="str">
        <f>IF(LayTable[[#This Row],[Sport]]="","",1/((1/LayTable[[#This Row],[BookieOdds]])+(1/((1/((1+((LayTable[[#This Row],[LayOdds]]-1)*(1+LayTable[[#This Row],[C% Lay]])))-1))+1)))-1)</f>
        <v/>
      </c>
      <c r="Q1187" s="46" t="str">
        <f>IF(LayTable[[#This Row],[Sport]]="","",LayTable[[#This Row],[BookieInnsats]]+LayTable[[#This Row],[LayLiability]])</f>
        <v/>
      </c>
      <c r="R11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7" s="47" t="str">
        <f>IF(LayTable[[#This Row],[Utfall bookie]]="","",LayTable[[#This Row],[WBABack]]+LayTable[[#This Row],[WBALay]]-LayTable[[#This Row],[Total inns]])</f>
        <v/>
      </c>
      <c r="U11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7" s="48" t="str">
        <f>IFERROR(IF(LayTable[[#This Row],[Total inns]]="","",LayTable[[#This Row],[Rback]]/LayTable[[#This Row],[Total inns]]),"")</f>
        <v/>
      </c>
      <c r="X1187" s="48" t="str">
        <f>IFERROR(IF(LayTable[[#This Row],[Total inns]]="","",LayTable[[#This Row],[Rlay]]/LayTable[[#This Row],[Total inns]]),"")</f>
        <v/>
      </c>
      <c r="Y1187" s="48" t="str">
        <f>IFERROR(LayTable[[#This Row],[Faktisk res]]/LayTable[[#This Row],[Total inns]],"")</f>
        <v/>
      </c>
      <c r="Z1187" s="47">
        <f>(LayTable[[#This Row],[BookieInnsats]]*LayTable[[#This Row],[BookieOdds]]-LayTable[[#This Row],[BookieInnsats]])*(1-LayTable[[#This Row],[C% Bookie]])</f>
        <v>0</v>
      </c>
      <c r="AA1187" s="43">
        <f>LayTable[[#This Row],[LayInnsats]]*(1-LayTable[[#This Row],[C% Lay]])</f>
        <v>0</v>
      </c>
      <c r="AB1187" s="43" t="str">
        <f>IFERROR(IF(LayTable[[#This Row],[Sport]]="",AB1186,LayTable[[#This Row],[Faktisk res]]+AB1186),"")</f>
        <v/>
      </c>
      <c r="AC1187" s="43">
        <f>(LayTable[[#This Row],[BackWin-Commission]]+LayTable[[#This Row],[BookieInnsats]])</f>
        <v>0</v>
      </c>
      <c r="AD1187" s="43" t="e">
        <f>(LayTable[[#This Row],[LayWin-Commission]])+LayTable[[#This Row],[LayLiability]]</f>
        <v>#VALUE!</v>
      </c>
      <c r="AE1187" s="43"/>
      <c r="AF1187" s="181"/>
    </row>
    <row r="1188" spans="1:32">
      <c r="A1188" s="84"/>
      <c r="B1188" s="39"/>
      <c r="C1188" s="40"/>
      <c r="D1188" s="41"/>
      <c r="E1188" s="40"/>
      <c r="F1188" s="41"/>
      <c r="G1188" s="101"/>
      <c r="H1188" s="38"/>
      <c r="I1188" s="42"/>
      <c r="J1188" s="42"/>
      <c r="K1188" s="43"/>
      <c r="L1188" s="43"/>
      <c r="M1188" s="44" t="str">
        <f>IF(LayTable[[#This Row],[Sport]]="","",LayTable[[#This Row],[LayInnsats]]*(LayTable[[#This Row],[LayOdds]]-1))</f>
        <v/>
      </c>
      <c r="N1188" s="45" t="str">
        <f>IF(LayTable[[#This Row],[Sport]]="","",1/((1/LayTable[[#This Row],[BookieOdds]])+(1/((1/((1+((LayTable[[#This Row],[LayOdds]]-1)*(1+LayTable[[#This Row],[C% Lay]])))-1))+1)))-1)</f>
        <v/>
      </c>
      <c r="Q1188" s="46" t="str">
        <f>IF(LayTable[[#This Row],[Sport]]="","",LayTable[[#This Row],[BookieInnsats]]+LayTable[[#This Row],[LayLiability]])</f>
        <v/>
      </c>
      <c r="R11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8" s="47" t="str">
        <f>IF(LayTable[[#This Row],[Utfall bookie]]="","",LayTable[[#This Row],[WBABack]]+LayTable[[#This Row],[WBALay]]-LayTable[[#This Row],[Total inns]])</f>
        <v/>
      </c>
      <c r="U11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8" s="48" t="str">
        <f>IFERROR(IF(LayTable[[#This Row],[Total inns]]="","",LayTable[[#This Row],[Rback]]/LayTable[[#This Row],[Total inns]]),"")</f>
        <v/>
      </c>
      <c r="X1188" s="48" t="str">
        <f>IFERROR(IF(LayTable[[#This Row],[Total inns]]="","",LayTable[[#This Row],[Rlay]]/LayTable[[#This Row],[Total inns]]),"")</f>
        <v/>
      </c>
      <c r="Y1188" s="48" t="str">
        <f>IFERROR(LayTable[[#This Row],[Faktisk res]]/LayTable[[#This Row],[Total inns]],"")</f>
        <v/>
      </c>
      <c r="Z1188" s="47">
        <f>(LayTable[[#This Row],[BookieInnsats]]*LayTable[[#This Row],[BookieOdds]]-LayTable[[#This Row],[BookieInnsats]])*(1-LayTable[[#This Row],[C% Bookie]])</f>
        <v>0</v>
      </c>
      <c r="AA1188" s="43">
        <f>LayTable[[#This Row],[LayInnsats]]*(1-LayTable[[#This Row],[C% Lay]])</f>
        <v>0</v>
      </c>
      <c r="AB1188" s="43" t="str">
        <f>IFERROR(IF(LayTable[[#This Row],[Sport]]="",AB1187,LayTable[[#This Row],[Faktisk res]]+AB1187),"")</f>
        <v/>
      </c>
      <c r="AC1188" s="43">
        <f>(LayTable[[#This Row],[BackWin-Commission]]+LayTable[[#This Row],[BookieInnsats]])</f>
        <v>0</v>
      </c>
      <c r="AD1188" s="43" t="e">
        <f>(LayTable[[#This Row],[LayWin-Commission]])+LayTable[[#This Row],[LayLiability]]</f>
        <v>#VALUE!</v>
      </c>
      <c r="AE1188" s="43"/>
      <c r="AF1188" s="181"/>
    </row>
    <row r="1189" spans="1:32">
      <c r="A1189" s="84"/>
      <c r="B1189" s="39"/>
      <c r="C1189" s="40"/>
      <c r="D1189" s="41"/>
      <c r="E1189" s="40"/>
      <c r="F1189" s="41"/>
      <c r="G1189" s="101"/>
      <c r="H1189" s="38"/>
      <c r="I1189" s="42"/>
      <c r="J1189" s="42"/>
      <c r="K1189" s="43"/>
      <c r="L1189" s="43"/>
      <c r="M1189" s="44" t="str">
        <f>IF(LayTable[[#This Row],[Sport]]="","",LayTable[[#This Row],[LayInnsats]]*(LayTable[[#This Row],[LayOdds]]-1))</f>
        <v/>
      </c>
      <c r="N1189" s="45" t="str">
        <f>IF(LayTable[[#This Row],[Sport]]="","",1/((1/LayTable[[#This Row],[BookieOdds]])+(1/((1/((1+((LayTable[[#This Row],[LayOdds]]-1)*(1+LayTable[[#This Row],[C% Lay]])))-1))+1)))-1)</f>
        <v/>
      </c>
      <c r="Q1189" s="46" t="str">
        <f>IF(LayTable[[#This Row],[Sport]]="","",LayTable[[#This Row],[BookieInnsats]]+LayTable[[#This Row],[LayLiability]])</f>
        <v/>
      </c>
      <c r="R11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89" s="47" t="str">
        <f>IF(LayTable[[#This Row],[Utfall bookie]]="","",LayTable[[#This Row],[WBABack]]+LayTable[[#This Row],[WBALay]]-LayTable[[#This Row],[Total inns]])</f>
        <v/>
      </c>
      <c r="U11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89" s="48" t="str">
        <f>IFERROR(IF(LayTable[[#This Row],[Total inns]]="","",LayTable[[#This Row],[Rback]]/LayTable[[#This Row],[Total inns]]),"")</f>
        <v/>
      </c>
      <c r="X1189" s="48" t="str">
        <f>IFERROR(IF(LayTable[[#This Row],[Total inns]]="","",LayTable[[#This Row],[Rlay]]/LayTable[[#This Row],[Total inns]]),"")</f>
        <v/>
      </c>
      <c r="Y1189" s="48" t="str">
        <f>IFERROR(LayTable[[#This Row],[Faktisk res]]/LayTable[[#This Row],[Total inns]],"")</f>
        <v/>
      </c>
      <c r="Z1189" s="47">
        <f>(LayTable[[#This Row],[BookieInnsats]]*LayTable[[#This Row],[BookieOdds]]-LayTable[[#This Row],[BookieInnsats]])*(1-LayTable[[#This Row],[C% Bookie]])</f>
        <v>0</v>
      </c>
      <c r="AA1189" s="43">
        <f>LayTable[[#This Row],[LayInnsats]]*(1-LayTable[[#This Row],[C% Lay]])</f>
        <v>0</v>
      </c>
      <c r="AB1189" s="43" t="str">
        <f>IFERROR(IF(LayTable[[#This Row],[Sport]]="",AB1188,LayTable[[#This Row],[Faktisk res]]+AB1188),"")</f>
        <v/>
      </c>
      <c r="AC1189" s="43">
        <f>(LayTable[[#This Row],[BackWin-Commission]]+LayTable[[#This Row],[BookieInnsats]])</f>
        <v>0</v>
      </c>
      <c r="AD1189" s="43" t="e">
        <f>(LayTable[[#This Row],[LayWin-Commission]])+LayTable[[#This Row],[LayLiability]]</f>
        <v>#VALUE!</v>
      </c>
      <c r="AE1189" s="43"/>
      <c r="AF1189" s="181"/>
    </row>
    <row r="1190" spans="1:32">
      <c r="A1190" s="84"/>
      <c r="B1190" s="39"/>
      <c r="C1190" s="40"/>
      <c r="D1190" s="41"/>
      <c r="E1190" s="40"/>
      <c r="F1190" s="41"/>
      <c r="G1190" s="101"/>
      <c r="H1190" s="38"/>
      <c r="I1190" s="42"/>
      <c r="J1190" s="42"/>
      <c r="K1190" s="43"/>
      <c r="L1190" s="43"/>
      <c r="M1190" s="44" t="str">
        <f>IF(LayTable[[#This Row],[Sport]]="","",LayTable[[#This Row],[LayInnsats]]*(LayTable[[#This Row],[LayOdds]]-1))</f>
        <v/>
      </c>
      <c r="N1190" s="45" t="str">
        <f>IF(LayTable[[#This Row],[Sport]]="","",1/((1/LayTable[[#This Row],[BookieOdds]])+(1/((1/((1+((LayTable[[#This Row],[LayOdds]]-1)*(1+LayTable[[#This Row],[C% Lay]])))-1))+1)))-1)</f>
        <v/>
      </c>
      <c r="Q1190" s="46" t="str">
        <f>IF(LayTable[[#This Row],[Sport]]="","",LayTable[[#This Row],[BookieInnsats]]+LayTable[[#This Row],[LayLiability]])</f>
        <v/>
      </c>
      <c r="R11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0" s="47" t="str">
        <f>IF(LayTable[[#This Row],[Utfall bookie]]="","",LayTable[[#This Row],[WBABack]]+LayTable[[#This Row],[WBALay]]-LayTable[[#This Row],[Total inns]])</f>
        <v/>
      </c>
      <c r="U11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0" s="48" t="str">
        <f>IFERROR(IF(LayTable[[#This Row],[Total inns]]="","",LayTable[[#This Row],[Rback]]/LayTable[[#This Row],[Total inns]]),"")</f>
        <v/>
      </c>
      <c r="X1190" s="48" t="str">
        <f>IFERROR(IF(LayTable[[#This Row],[Total inns]]="","",LayTable[[#This Row],[Rlay]]/LayTable[[#This Row],[Total inns]]),"")</f>
        <v/>
      </c>
      <c r="Y1190" s="48" t="str">
        <f>IFERROR(LayTable[[#This Row],[Faktisk res]]/LayTable[[#This Row],[Total inns]],"")</f>
        <v/>
      </c>
      <c r="Z1190" s="47">
        <f>(LayTable[[#This Row],[BookieInnsats]]*LayTable[[#This Row],[BookieOdds]]-LayTable[[#This Row],[BookieInnsats]])*(1-LayTable[[#This Row],[C% Bookie]])</f>
        <v>0</v>
      </c>
      <c r="AA1190" s="43">
        <f>LayTable[[#This Row],[LayInnsats]]*(1-LayTable[[#This Row],[C% Lay]])</f>
        <v>0</v>
      </c>
      <c r="AB1190" s="43" t="str">
        <f>IFERROR(IF(LayTable[[#This Row],[Sport]]="",AB1189,LayTable[[#This Row],[Faktisk res]]+AB1189),"")</f>
        <v/>
      </c>
      <c r="AC1190" s="43">
        <f>(LayTable[[#This Row],[BackWin-Commission]]+LayTable[[#This Row],[BookieInnsats]])</f>
        <v>0</v>
      </c>
      <c r="AD1190" s="43" t="e">
        <f>(LayTable[[#This Row],[LayWin-Commission]])+LayTable[[#This Row],[LayLiability]]</f>
        <v>#VALUE!</v>
      </c>
      <c r="AE1190" s="43"/>
      <c r="AF1190" s="181"/>
    </row>
    <row r="1191" spans="1:32">
      <c r="A1191" s="84"/>
      <c r="B1191" s="39"/>
      <c r="C1191" s="40"/>
      <c r="D1191" s="41"/>
      <c r="E1191" s="40"/>
      <c r="F1191" s="41"/>
      <c r="G1191" s="101"/>
      <c r="H1191" s="38"/>
      <c r="I1191" s="42"/>
      <c r="J1191" s="42"/>
      <c r="K1191" s="43"/>
      <c r="L1191" s="43"/>
      <c r="M1191" s="44" t="str">
        <f>IF(LayTable[[#This Row],[Sport]]="","",LayTable[[#This Row],[LayInnsats]]*(LayTable[[#This Row],[LayOdds]]-1))</f>
        <v/>
      </c>
      <c r="N1191" s="45" t="str">
        <f>IF(LayTable[[#This Row],[Sport]]="","",1/((1/LayTable[[#This Row],[BookieOdds]])+(1/((1/((1+((LayTable[[#This Row],[LayOdds]]-1)*(1+LayTable[[#This Row],[C% Lay]])))-1))+1)))-1)</f>
        <v/>
      </c>
      <c r="Q1191" s="46" t="str">
        <f>IF(LayTable[[#This Row],[Sport]]="","",LayTable[[#This Row],[BookieInnsats]]+LayTable[[#This Row],[LayLiability]])</f>
        <v/>
      </c>
      <c r="R11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1" s="47" t="str">
        <f>IF(LayTable[[#This Row],[Utfall bookie]]="","",LayTable[[#This Row],[WBABack]]+LayTable[[#This Row],[WBALay]]-LayTable[[#This Row],[Total inns]])</f>
        <v/>
      </c>
      <c r="U11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1" s="48" t="str">
        <f>IFERROR(IF(LayTable[[#This Row],[Total inns]]="","",LayTable[[#This Row],[Rback]]/LayTable[[#This Row],[Total inns]]),"")</f>
        <v/>
      </c>
      <c r="X1191" s="48" t="str">
        <f>IFERROR(IF(LayTable[[#This Row],[Total inns]]="","",LayTable[[#This Row],[Rlay]]/LayTable[[#This Row],[Total inns]]),"")</f>
        <v/>
      </c>
      <c r="Y1191" s="48" t="str">
        <f>IFERROR(LayTable[[#This Row],[Faktisk res]]/LayTable[[#This Row],[Total inns]],"")</f>
        <v/>
      </c>
      <c r="Z1191" s="47">
        <f>(LayTable[[#This Row],[BookieInnsats]]*LayTable[[#This Row],[BookieOdds]]-LayTable[[#This Row],[BookieInnsats]])*(1-LayTable[[#This Row],[C% Bookie]])</f>
        <v>0</v>
      </c>
      <c r="AA1191" s="43">
        <f>LayTable[[#This Row],[LayInnsats]]*(1-LayTable[[#This Row],[C% Lay]])</f>
        <v>0</v>
      </c>
      <c r="AB1191" s="43" t="str">
        <f>IFERROR(IF(LayTable[[#This Row],[Sport]]="",AB1190,LayTable[[#This Row],[Faktisk res]]+AB1190),"")</f>
        <v/>
      </c>
      <c r="AC1191" s="43">
        <f>(LayTable[[#This Row],[BackWin-Commission]]+LayTable[[#This Row],[BookieInnsats]])</f>
        <v>0</v>
      </c>
      <c r="AD1191" s="43" t="e">
        <f>(LayTable[[#This Row],[LayWin-Commission]])+LayTable[[#This Row],[LayLiability]]</f>
        <v>#VALUE!</v>
      </c>
      <c r="AE1191" s="43"/>
      <c r="AF1191" s="181"/>
    </row>
    <row r="1192" spans="1:32">
      <c r="A1192" s="84"/>
      <c r="B1192" s="39"/>
      <c r="C1192" s="40"/>
      <c r="D1192" s="41"/>
      <c r="E1192" s="40"/>
      <c r="F1192" s="41"/>
      <c r="G1192" s="101"/>
      <c r="H1192" s="38"/>
      <c r="I1192" s="42"/>
      <c r="J1192" s="42"/>
      <c r="K1192" s="43"/>
      <c r="L1192" s="43"/>
      <c r="M1192" s="44" t="str">
        <f>IF(LayTable[[#This Row],[Sport]]="","",LayTable[[#This Row],[LayInnsats]]*(LayTable[[#This Row],[LayOdds]]-1))</f>
        <v/>
      </c>
      <c r="N1192" s="45" t="str">
        <f>IF(LayTable[[#This Row],[Sport]]="","",1/((1/LayTable[[#This Row],[BookieOdds]])+(1/((1/((1+((LayTable[[#This Row],[LayOdds]]-1)*(1+LayTable[[#This Row],[C% Lay]])))-1))+1)))-1)</f>
        <v/>
      </c>
      <c r="Q1192" s="46" t="str">
        <f>IF(LayTable[[#This Row],[Sport]]="","",LayTable[[#This Row],[BookieInnsats]]+LayTable[[#This Row],[LayLiability]])</f>
        <v/>
      </c>
      <c r="R11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2" s="47" t="str">
        <f>IF(LayTable[[#This Row],[Utfall bookie]]="","",LayTable[[#This Row],[WBABack]]+LayTable[[#This Row],[WBALay]]-LayTable[[#This Row],[Total inns]])</f>
        <v/>
      </c>
      <c r="U11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2" s="48" t="str">
        <f>IFERROR(IF(LayTable[[#This Row],[Total inns]]="","",LayTable[[#This Row],[Rback]]/LayTable[[#This Row],[Total inns]]),"")</f>
        <v/>
      </c>
      <c r="X1192" s="48" t="str">
        <f>IFERROR(IF(LayTable[[#This Row],[Total inns]]="","",LayTable[[#This Row],[Rlay]]/LayTable[[#This Row],[Total inns]]),"")</f>
        <v/>
      </c>
      <c r="Y1192" s="48" t="str">
        <f>IFERROR(LayTable[[#This Row],[Faktisk res]]/LayTable[[#This Row],[Total inns]],"")</f>
        <v/>
      </c>
      <c r="Z1192" s="47">
        <f>(LayTable[[#This Row],[BookieInnsats]]*LayTable[[#This Row],[BookieOdds]]-LayTable[[#This Row],[BookieInnsats]])*(1-LayTable[[#This Row],[C% Bookie]])</f>
        <v>0</v>
      </c>
      <c r="AA1192" s="43">
        <f>LayTable[[#This Row],[LayInnsats]]*(1-LayTable[[#This Row],[C% Lay]])</f>
        <v>0</v>
      </c>
      <c r="AB1192" s="43" t="str">
        <f>IFERROR(IF(LayTable[[#This Row],[Sport]]="",AB1191,LayTable[[#This Row],[Faktisk res]]+AB1191),"")</f>
        <v/>
      </c>
      <c r="AC1192" s="43">
        <f>(LayTable[[#This Row],[BackWin-Commission]]+LayTable[[#This Row],[BookieInnsats]])</f>
        <v>0</v>
      </c>
      <c r="AD1192" s="43" t="e">
        <f>(LayTable[[#This Row],[LayWin-Commission]])+LayTable[[#This Row],[LayLiability]]</f>
        <v>#VALUE!</v>
      </c>
      <c r="AE1192" s="43"/>
      <c r="AF1192" s="181"/>
    </row>
    <row r="1193" spans="1:32">
      <c r="A1193" s="84"/>
      <c r="B1193" s="39"/>
      <c r="C1193" s="40"/>
      <c r="D1193" s="41"/>
      <c r="E1193" s="40"/>
      <c r="F1193" s="41"/>
      <c r="G1193" s="101"/>
      <c r="H1193" s="38"/>
      <c r="I1193" s="42"/>
      <c r="J1193" s="42"/>
      <c r="K1193" s="43"/>
      <c r="L1193" s="43"/>
      <c r="M1193" s="44" t="str">
        <f>IF(LayTable[[#This Row],[Sport]]="","",LayTable[[#This Row],[LayInnsats]]*(LayTable[[#This Row],[LayOdds]]-1))</f>
        <v/>
      </c>
      <c r="N1193" s="45" t="str">
        <f>IF(LayTable[[#This Row],[Sport]]="","",1/((1/LayTable[[#This Row],[BookieOdds]])+(1/((1/((1+((LayTable[[#This Row],[LayOdds]]-1)*(1+LayTable[[#This Row],[C% Lay]])))-1))+1)))-1)</f>
        <v/>
      </c>
      <c r="Q1193" s="46" t="str">
        <f>IF(LayTable[[#This Row],[Sport]]="","",LayTable[[#This Row],[BookieInnsats]]+LayTable[[#This Row],[LayLiability]])</f>
        <v/>
      </c>
      <c r="R11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3" s="47" t="str">
        <f>IF(LayTable[[#This Row],[Utfall bookie]]="","",LayTable[[#This Row],[WBABack]]+LayTable[[#This Row],[WBALay]]-LayTable[[#This Row],[Total inns]])</f>
        <v/>
      </c>
      <c r="U11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3" s="48" t="str">
        <f>IFERROR(IF(LayTable[[#This Row],[Total inns]]="","",LayTable[[#This Row],[Rback]]/LayTable[[#This Row],[Total inns]]),"")</f>
        <v/>
      </c>
      <c r="X1193" s="48" t="str">
        <f>IFERROR(IF(LayTable[[#This Row],[Total inns]]="","",LayTable[[#This Row],[Rlay]]/LayTable[[#This Row],[Total inns]]),"")</f>
        <v/>
      </c>
      <c r="Y1193" s="48" t="str">
        <f>IFERROR(LayTable[[#This Row],[Faktisk res]]/LayTable[[#This Row],[Total inns]],"")</f>
        <v/>
      </c>
      <c r="Z1193" s="47">
        <f>(LayTable[[#This Row],[BookieInnsats]]*LayTable[[#This Row],[BookieOdds]]-LayTable[[#This Row],[BookieInnsats]])*(1-LayTable[[#This Row],[C% Bookie]])</f>
        <v>0</v>
      </c>
      <c r="AA1193" s="43">
        <f>LayTable[[#This Row],[LayInnsats]]*(1-LayTable[[#This Row],[C% Lay]])</f>
        <v>0</v>
      </c>
      <c r="AB1193" s="43" t="str">
        <f>IFERROR(IF(LayTable[[#This Row],[Sport]]="",AB1192,LayTable[[#This Row],[Faktisk res]]+AB1192),"")</f>
        <v/>
      </c>
      <c r="AC1193" s="43">
        <f>(LayTable[[#This Row],[BackWin-Commission]]+LayTable[[#This Row],[BookieInnsats]])</f>
        <v>0</v>
      </c>
      <c r="AD1193" s="43" t="e">
        <f>(LayTable[[#This Row],[LayWin-Commission]])+LayTable[[#This Row],[LayLiability]]</f>
        <v>#VALUE!</v>
      </c>
      <c r="AE1193" s="43"/>
      <c r="AF1193" s="181"/>
    </row>
    <row r="1194" spans="1:32">
      <c r="A1194" s="84"/>
      <c r="B1194" s="39"/>
      <c r="C1194" s="40"/>
      <c r="D1194" s="41"/>
      <c r="E1194" s="40"/>
      <c r="F1194" s="41"/>
      <c r="G1194" s="101"/>
      <c r="H1194" s="38"/>
      <c r="I1194" s="42"/>
      <c r="J1194" s="42"/>
      <c r="K1194" s="43"/>
      <c r="L1194" s="43"/>
      <c r="M1194" s="44" t="str">
        <f>IF(LayTable[[#This Row],[Sport]]="","",LayTable[[#This Row],[LayInnsats]]*(LayTable[[#This Row],[LayOdds]]-1))</f>
        <v/>
      </c>
      <c r="N1194" s="45" t="str">
        <f>IF(LayTable[[#This Row],[Sport]]="","",1/((1/LayTable[[#This Row],[BookieOdds]])+(1/((1/((1+((LayTable[[#This Row],[LayOdds]]-1)*(1+LayTable[[#This Row],[C% Lay]])))-1))+1)))-1)</f>
        <v/>
      </c>
      <c r="Q1194" s="46" t="str">
        <f>IF(LayTable[[#This Row],[Sport]]="","",LayTable[[#This Row],[BookieInnsats]]+LayTable[[#This Row],[LayLiability]])</f>
        <v/>
      </c>
      <c r="R11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4" s="47" t="str">
        <f>IF(LayTable[[#This Row],[Utfall bookie]]="","",LayTable[[#This Row],[WBABack]]+LayTable[[#This Row],[WBALay]]-LayTable[[#This Row],[Total inns]])</f>
        <v/>
      </c>
      <c r="U11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4" s="48" t="str">
        <f>IFERROR(IF(LayTable[[#This Row],[Total inns]]="","",LayTable[[#This Row],[Rback]]/LayTable[[#This Row],[Total inns]]),"")</f>
        <v/>
      </c>
      <c r="X1194" s="48" t="str">
        <f>IFERROR(IF(LayTable[[#This Row],[Total inns]]="","",LayTable[[#This Row],[Rlay]]/LayTable[[#This Row],[Total inns]]),"")</f>
        <v/>
      </c>
      <c r="Y1194" s="48" t="str">
        <f>IFERROR(LayTable[[#This Row],[Faktisk res]]/LayTable[[#This Row],[Total inns]],"")</f>
        <v/>
      </c>
      <c r="Z1194" s="47">
        <f>(LayTable[[#This Row],[BookieInnsats]]*LayTable[[#This Row],[BookieOdds]]-LayTable[[#This Row],[BookieInnsats]])*(1-LayTable[[#This Row],[C% Bookie]])</f>
        <v>0</v>
      </c>
      <c r="AA1194" s="43">
        <f>LayTable[[#This Row],[LayInnsats]]*(1-LayTable[[#This Row],[C% Lay]])</f>
        <v>0</v>
      </c>
      <c r="AB1194" s="43" t="str">
        <f>IFERROR(IF(LayTable[[#This Row],[Sport]]="",AB1193,LayTable[[#This Row],[Faktisk res]]+AB1193),"")</f>
        <v/>
      </c>
      <c r="AC1194" s="43">
        <f>(LayTable[[#This Row],[BackWin-Commission]]+LayTable[[#This Row],[BookieInnsats]])</f>
        <v>0</v>
      </c>
      <c r="AD1194" s="43" t="e">
        <f>(LayTable[[#This Row],[LayWin-Commission]])+LayTable[[#This Row],[LayLiability]]</f>
        <v>#VALUE!</v>
      </c>
      <c r="AE1194" s="43"/>
      <c r="AF1194" s="181"/>
    </row>
    <row r="1195" spans="1:32">
      <c r="A1195" s="84"/>
      <c r="B1195" s="39"/>
      <c r="C1195" s="40"/>
      <c r="D1195" s="41"/>
      <c r="E1195" s="40"/>
      <c r="F1195" s="41"/>
      <c r="G1195" s="101"/>
      <c r="H1195" s="38"/>
      <c r="I1195" s="42"/>
      <c r="J1195" s="42"/>
      <c r="K1195" s="43"/>
      <c r="L1195" s="43"/>
      <c r="M1195" s="44" t="str">
        <f>IF(LayTable[[#This Row],[Sport]]="","",LayTable[[#This Row],[LayInnsats]]*(LayTable[[#This Row],[LayOdds]]-1))</f>
        <v/>
      </c>
      <c r="N1195" s="45" t="str">
        <f>IF(LayTable[[#This Row],[Sport]]="","",1/((1/LayTable[[#This Row],[BookieOdds]])+(1/((1/((1+((LayTable[[#This Row],[LayOdds]]-1)*(1+LayTable[[#This Row],[C% Lay]])))-1))+1)))-1)</f>
        <v/>
      </c>
      <c r="Q1195" s="46" t="str">
        <f>IF(LayTable[[#This Row],[Sport]]="","",LayTable[[#This Row],[BookieInnsats]]+LayTable[[#This Row],[LayLiability]])</f>
        <v/>
      </c>
      <c r="R11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5" s="47" t="str">
        <f>IF(LayTable[[#This Row],[Utfall bookie]]="","",LayTable[[#This Row],[WBABack]]+LayTable[[#This Row],[WBALay]]-LayTable[[#This Row],[Total inns]])</f>
        <v/>
      </c>
      <c r="U11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5" s="48" t="str">
        <f>IFERROR(IF(LayTable[[#This Row],[Total inns]]="","",LayTable[[#This Row],[Rback]]/LayTable[[#This Row],[Total inns]]),"")</f>
        <v/>
      </c>
      <c r="X1195" s="48" t="str">
        <f>IFERROR(IF(LayTable[[#This Row],[Total inns]]="","",LayTable[[#This Row],[Rlay]]/LayTable[[#This Row],[Total inns]]),"")</f>
        <v/>
      </c>
      <c r="Y1195" s="48" t="str">
        <f>IFERROR(LayTable[[#This Row],[Faktisk res]]/LayTable[[#This Row],[Total inns]],"")</f>
        <v/>
      </c>
      <c r="Z1195" s="47">
        <f>(LayTable[[#This Row],[BookieInnsats]]*LayTable[[#This Row],[BookieOdds]]-LayTable[[#This Row],[BookieInnsats]])*(1-LayTable[[#This Row],[C% Bookie]])</f>
        <v>0</v>
      </c>
      <c r="AA1195" s="43">
        <f>LayTable[[#This Row],[LayInnsats]]*(1-LayTable[[#This Row],[C% Lay]])</f>
        <v>0</v>
      </c>
      <c r="AB1195" s="43" t="str">
        <f>IFERROR(IF(LayTable[[#This Row],[Sport]]="",AB1194,LayTable[[#This Row],[Faktisk res]]+AB1194),"")</f>
        <v/>
      </c>
      <c r="AC1195" s="43">
        <f>(LayTable[[#This Row],[BackWin-Commission]]+LayTable[[#This Row],[BookieInnsats]])</f>
        <v>0</v>
      </c>
      <c r="AD1195" s="43" t="e">
        <f>(LayTable[[#This Row],[LayWin-Commission]])+LayTable[[#This Row],[LayLiability]]</f>
        <v>#VALUE!</v>
      </c>
      <c r="AE1195" s="43"/>
      <c r="AF1195" s="181"/>
    </row>
    <row r="1196" spans="1:32">
      <c r="A1196" s="84"/>
      <c r="B1196" s="39"/>
      <c r="C1196" s="40"/>
      <c r="D1196" s="41"/>
      <c r="E1196" s="40"/>
      <c r="F1196" s="41"/>
      <c r="G1196" s="101"/>
      <c r="H1196" s="38"/>
      <c r="I1196" s="42"/>
      <c r="J1196" s="42"/>
      <c r="K1196" s="43"/>
      <c r="L1196" s="43"/>
      <c r="M1196" s="44" t="str">
        <f>IF(LayTable[[#This Row],[Sport]]="","",LayTable[[#This Row],[LayInnsats]]*(LayTable[[#This Row],[LayOdds]]-1))</f>
        <v/>
      </c>
      <c r="N1196" s="45" t="str">
        <f>IF(LayTable[[#This Row],[Sport]]="","",1/((1/LayTable[[#This Row],[BookieOdds]])+(1/((1/((1+((LayTable[[#This Row],[LayOdds]]-1)*(1+LayTable[[#This Row],[C% Lay]])))-1))+1)))-1)</f>
        <v/>
      </c>
      <c r="Q1196" s="46" t="str">
        <f>IF(LayTable[[#This Row],[Sport]]="","",LayTable[[#This Row],[BookieInnsats]]+LayTable[[#This Row],[LayLiability]])</f>
        <v/>
      </c>
      <c r="R11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6" s="47" t="str">
        <f>IF(LayTable[[#This Row],[Utfall bookie]]="","",LayTable[[#This Row],[WBABack]]+LayTable[[#This Row],[WBALay]]-LayTable[[#This Row],[Total inns]])</f>
        <v/>
      </c>
      <c r="U11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6" s="48" t="str">
        <f>IFERROR(IF(LayTable[[#This Row],[Total inns]]="","",LayTable[[#This Row],[Rback]]/LayTable[[#This Row],[Total inns]]),"")</f>
        <v/>
      </c>
      <c r="X1196" s="48" t="str">
        <f>IFERROR(IF(LayTable[[#This Row],[Total inns]]="","",LayTable[[#This Row],[Rlay]]/LayTable[[#This Row],[Total inns]]),"")</f>
        <v/>
      </c>
      <c r="Y1196" s="48" t="str">
        <f>IFERROR(LayTable[[#This Row],[Faktisk res]]/LayTable[[#This Row],[Total inns]],"")</f>
        <v/>
      </c>
      <c r="Z1196" s="47">
        <f>(LayTable[[#This Row],[BookieInnsats]]*LayTable[[#This Row],[BookieOdds]]-LayTable[[#This Row],[BookieInnsats]])*(1-LayTable[[#This Row],[C% Bookie]])</f>
        <v>0</v>
      </c>
      <c r="AA1196" s="43">
        <f>LayTable[[#This Row],[LayInnsats]]*(1-LayTable[[#This Row],[C% Lay]])</f>
        <v>0</v>
      </c>
      <c r="AB1196" s="43" t="str">
        <f>IFERROR(IF(LayTable[[#This Row],[Sport]]="",AB1195,LayTable[[#This Row],[Faktisk res]]+AB1195),"")</f>
        <v/>
      </c>
      <c r="AC1196" s="43">
        <f>(LayTable[[#This Row],[BackWin-Commission]]+LayTable[[#This Row],[BookieInnsats]])</f>
        <v>0</v>
      </c>
      <c r="AD1196" s="43" t="e">
        <f>(LayTable[[#This Row],[LayWin-Commission]])+LayTable[[#This Row],[LayLiability]]</f>
        <v>#VALUE!</v>
      </c>
      <c r="AE1196" s="43"/>
      <c r="AF1196" s="181"/>
    </row>
    <row r="1197" spans="1:32">
      <c r="A1197" s="84"/>
      <c r="B1197" s="39"/>
      <c r="C1197" s="40"/>
      <c r="D1197" s="41"/>
      <c r="E1197" s="40"/>
      <c r="F1197" s="41"/>
      <c r="G1197" s="101"/>
      <c r="H1197" s="38"/>
      <c r="I1197" s="42"/>
      <c r="J1197" s="42"/>
      <c r="K1197" s="43"/>
      <c r="L1197" s="43"/>
      <c r="M1197" s="44" t="str">
        <f>IF(LayTable[[#This Row],[Sport]]="","",LayTable[[#This Row],[LayInnsats]]*(LayTable[[#This Row],[LayOdds]]-1))</f>
        <v/>
      </c>
      <c r="N1197" s="45" t="str">
        <f>IF(LayTable[[#This Row],[Sport]]="","",1/((1/LayTable[[#This Row],[BookieOdds]])+(1/((1/((1+((LayTable[[#This Row],[LayOdds]]-1)*(1+LayTable[[#This Row],[C% Lay]])))-1))+1)))-1)</f>
        <v/>
      </c>
      <c r="Q1197" s="46" t="str">
        <f>IF(LayTable[[#This Row],[Sport]]="","",LayTable[[#This Row],[BookieInnsats]]+LayTable[[#This Row],[LayLiability]])</f>
        <v/>
      </c>
      <c r="R11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7" s="47" t="str">
        <f>IF(LayTable[[#This Row],[Utfall bookie]]="","",LayTable[[#This Row],[WBABack]]+LayTable[[#This Row],[WBALay]]-LayTable[[#This Row],[Total inns]])</f>
        <v/>
      </c>
      <c r="U11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7" s="48" t="str">
        <f>IFERROR(IF(LayTable[[#This Row],[Total inns]]="","",LayTable[[#This Row],[Rback]]/LayTable[[#This Row],[Total inns]]),"")</f>
        <v/>
      </c>
      <c r="X1197" s="48" t="str">
        <f>IFERROR(IF(LayTable[[#This Row],[Total inns]]="","",LayTable[[#This Row],[Rlay]]/LayTable[[#This Row],[Total inns]]),"")</f>
        <v/>
      </c>
      <c r="Y1197" s="48" t="str">
        <f>IFERROR(LayTable[[#This Row],[Faktisk res]]/LayTable[[#This Row],[Total inns]],"")</f>
        <v/>
      </c>
      <c r="Z1197" s="47">
        <f>(LayTable[[#This Row],[BookieInnsats]]*LayTable[[#This Row],[BookieOdds]]-LayTable[[#This Row],[BookieInnsats]])*(1-LayTable[[#This Row],[C% Bookie]])</f>
        <v>0</v>
      </c>
      <c r="AA1197" s="43">
        <f>LayTable[[#This Row],[LayInnsats]]*(1-LayTable[[#This Row],[C% Lay]])</f>
        <v>0</v>
      </c>
      <c r="AB1197" s="43" t="str">
        <f>IFERROR(IF(LayTable[[#This Row],[Sport]]="",AB1196,LayTable[[#This Row],[Faktisk res]]+AB1196),"")</f>
        <v/>
      </c>
      <c r="AC1197" s="43">
        <f>(LayTable[[#This Row],[BackWin-Commission]]+LayTable[[#This Row],[BookieInnsats]])</f>
        <v>0</v>
      </c>
      <c r="AD1197" s="43" t="e">
        <f>(LayTable[[#This Row],[LayWin-Commission]])+LayTable[[#This Row],[LayLiability]]</f>
        <v>#VALUE!</v>
      </c>
      <c r="AE1197" s="43"/>
      <c r="AF1197" s="181"/>
    </row>
    <row r="1198" spans="1:32">
      <c r="A1198" s="84"/>
      <c r="B1198" s="39"/>
      <c r="C1198" s="40"/>
      <c r="D1198" s="41"/>
      <c r="E1198" s="40"/>
      <c r="F1198" s="41"/>
      <c r="G1198" s="101"/>
      <c r="H1198" s="38"/>
      <c r="I1198" s="42"/>
      <c r="J1198" s="42"/>
      <c r="K1198" s="43"/>
      <c r="L1198" s="43"/>
      <c r="M1198" s="44" t="str">
        <f>IF(LayTable[[#This Row],[Sport]]="","",LayTable[[#This Row],[LayInnsats]]*(LayTable[[#This Row],[LayOdds]]-1))</f>
        <v/>
      </c>
      <c r="N1198" s="45" t="str">
        <f>IF(LayTable[[#This Row],[Sport]]="","",1/((1/LayTable[[#This Row],[BookieOdds]])+(1/((1/((1+((LayTable[[#This Row],[LayOdds]]-1)*(1+LayTable[[#This Row],[C% Lay]])))-1))+1)))-1)</f>
        <v/>
      </c>
      <c r="Q1198" s="46" t="str">
        <f>IF(LayTable[[#This Row],[Sport]]="","",LayTable[[#This Row],[BookieInnsats]]+LayTable[[#This Row],[LayLiability]])</f>
        <v/>
      </c>
      <c r="R11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8" s="47" t="str">
        <f>IF(LayTable[[#This Row],[Utfall bookie]]="","",LayTable[[#This Row],[WBABack]]+LayTable[[#This Row],[WBALay]]-LayTable[[#This Row],[Total inns]])</f>
        <v/>
      </c>
      <c r="U11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8" s="48" t="str">
        <f>IFERROR(IF(LayTable[[#This Row],[Total inns]]="","",LayTable[[#This Row],[Rback]]/LayTable[[#This Row],[Total inns]]),"")</f>
        <v/>
      </c>
      <c r="X1198" s="48" t="str">
        <f>IFERROR(IF(LayTable[[#This Row],[Total inns]]="","",LayTable[[#This Row],[Rlay]]/LayTable[[#This Row],[Total inns]]),"")</f>
        <v/>
      </c>
      <c r="Y1198" s="48" t="str">
        <f>IFERROR(LayTable[[#This Row],[Faktisk res]]/LayTable[[#This Row],[Total inns]],"")</f>
        <v/>
      </c>
      <c r="Z1198" s="47">
        <f>(LayTable[[#This Row],[BookieInnsats]]*LayTable[[#This Row],[BookieOdds]]-LayTable[[#This Row],[BookieInnsats]])*(1-LayTable[[#This Row],[C% Bookie]])</f>
        <v>0</v>
      </c>
      <c r="AA1198" s="43">
        <f>LayTable[[#This Row],[LayInnsats]]*(1-LayTable[[#This Row],[C% Lay]])</f>
        <v>0</v>
      </c>
      <c r="AB1198" s="43" t="str">
        <f>IFERROR(IF(LayTable[[#This Row],[Sport]]="",AB1197,LayTable[[#This Row],[Faktisk res]]+AB1197),"")</f>
        <v/>
      </c>
      <c r="AC1198" s="43">
        <f>(LayTable[[#This Row],[BackWin-Commission]]+LayTable[[#This Row],[BookieInnsats]])</f>
        <v>0</v>
      </c>
      <c r="AD1198" s="43" t="e">
        <f>(LayTable[[#This Row],[LayWin-Commission]])+LayTable[[#This Row],[LayLiability]]</f>
        <v>#VALUE!</v>
      </c>
      <c r="AE1198" s="43"/>
      <c r="AF1198" s="181"/>
    </row>
    <row r="1199" spans="1:32">
      <c r="A1199" s="84"/>
      <c r="B1199" s="39"/>
      <c r="C1199" s="40"/>
      <c r="D1199" s="41"/>
      <c r="E1199" s="40"/>
      <c r="F1199" s="41"/>
      <c r="G1199" s="101"/>
      <c r="H1199" s="38"/>
      <c r="I1199" s="42"/>
      <c r="J1199" s="42"/>
      <c r="K1199" s="43"/>
      <c r="L1199" s="43"/>
      <c r="M1199" s="44" t="str">
        <f>IF(LayTable[[#This Row],[Sport]]="","",LayTable[[#This Row],[LayInnsats]]*(LayTable[[#This Row],[LayOdds]]-1))</f>
        <v/>
      </c>
      <c r="N1199" s="45" t="str">
        <f>IF(LayTable[[#This Row],[Sport]]="","",1/((1/LayTable[[#This Row],[BookieOdds]])+(1/((1/((1+((LayTable[[#This Row],[LayOdds]]-1)*(1+LayTable[[#This Row],[C% Lay]])))-1))+1)))-1)</f>
        <v/>
      </c>
      <c r="Q1199" s="46" t="str">
        <f>IF(LayTable[[#This Row],[Sport]]="","",LayTable[[#This Row],[BookieInnsats]]+LayTable[[#This Row],[LayLiability]])</f>
        <v/>
      </c>
      <c r="R11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1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199" s="47" t="str">
        <f>IF(LayTable[[#This Row],[Utfall bookie]]="","",LayTable[[#This Row],[WBABack]]+LayTable[[#This Row],[WBALay]]-LayTable[[#This Row],[Total inns]])</f>
        <v/>
      </c>
      <c r="U11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1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199" s="48" t="str">
        <f>IFERROR(IF(LayTable[[#This Row],[Total inns]]="","",LayTable[[#This Row],[Rback]]/LayTable[[#This Row],[Total inns]]),"")</f>
        <v/>
      </c>
      <c r="X1199" s="48" t="str">
        <f>IFERROR(IF(LayTable[[#This Row],[Total inns]]="","",LayTable[[#This Row],[Rlay]]/LayTable[[#This Row],[Total inns]]),"")</f>
        <v/>
      </c>
      <c r="Y1199" s="48" t="str">
        <f>IFERROR(LayTable[[#This Row],[Faktisk res]]/LayTable[[#This Row],[Total inns]],"")</f>
        <v/>
      </c>
      <c r="Z1199" s="47">
        <f>(LayTable[[#This Row],[BookieInnsats]]*LayTable[[#This Row],[BookieOdds]]-LayTable[[#This Row],[BookieInnsats]])*(1-LayTable[[#This Row],[C% Bookie]])</f>
        <v>0</v>
      </c>
      <c r="AA1199" s="43">
        <f>LayTable[[#This Row],[LayInnsats]]*(1-LayTable[[#This Row],[C% Lay]])</f>
        <v>0</v>
      </c>
      <c r="AB1199" s="43" t="str">
        <f>IFERROR(IF(LayTable[[#This Row],[Sport]]="",AB1198,LayTable[[#This Row],[Faktisk res]]+AB1198),"")</f>
        <v/>
      </c>
      <c r="AC1199" s="43">
        <f>(LayTable[[#This Row],[BackWin-Commission]]+LayTable[[#This Row],[BookieInnsats]])</f>
        <v>0</v>
      </c>
      <c r="AD1199" s="43" t="e">
        <f>(LayTable[[#This Row],[LayWin-Commission]])+LayTable[[#This Row],[LayLiability]]</f>
        <v>#VALUE!</v>
      </c>
      <c r="AE1199" s="43"/>
      <c r="AF1199" s="181"/>
    </row>
    <row r="1200" spans="1:32">
      <c r="A1200" s="84"/>
      <c r="B1200" s="39"/>
      <c r="C1200" s="40"/>
      <c r="D1200" s="41"/>
      <c r="E1200" s="40"/>
      <c r="F1200" s="41"/>
      <c r="G1200" s="101"/>
      <c r="H1200" s="38"/>
      <c r="I1200" s="42"/>
      <c r="J1200" s="42"/>
      <c r="K1200" s="43"/>
      <c r="L1200" s="43"/>
      <c r="M1200" s="44" t="str">
        <f>IF(LayTable[[#This Row],[Sport]]="","",LayTable[[#This Row],[LayInnsats]]*(LayTable[[#This Row],[LayOdds]]-1))</f>
        <v/>
      </c>
      <c r="N1200" s="45" t="str">
        <f>IF(LayTable[[#This Row],[Sport]]="","",1/((1/LayTable[[#This Row],[BookieOdds]])+(1/((1/((1+((LayTable[[#This Row],[LayOdds]]-1)*(1+LayTable[[#This Row],[C% Lay]])))-1))+1)))-1)</f>
        <v/>
      </c>
      <c r="Q1200" s="46" t="str">
        <f>IF(LayTable[[#This Row],[Sport]]="","",LayTable[[#This Row],[BookieInnsats]]+LayTable[[#This Row],[LayLiability]])</f>
        <v/>
      </c>
      <c r="R12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0" s="47" t="str">
        <f>IF(LayTable[[#This Row],[Utfall bookie]]="","",LayTable[[#This Row],[WBABack]]+LayTable[[#This Row],[WBALay]]-LayTable[[#This Row],[Total inns]])</f>
        <v/>
      </c>
      <c r="U12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0" s="48" t="str">
        <f>IFERROR(IF(LayTable[[#This Row],[Total inns]]="","",LayTable[[#This Row],[Rback]]/LayTable[[#This Row],[Total inns]]),"")</f>
        <v/>
      </c>
      <c r="X1200" s="48" t="str">
        <f>IFERROR(IF(LayTable[[#This Row],[Total inns]]="","",LayTable[[#This Row],[Rlay]]/LayTable[[#This Row],[Total inns]]),"")</f>
        <v/>
      </c>
      <c r="Y1200" s="48" t="str">
        <f>IFERROR(LayTable[[#This Row],[Faktisk res]]/LayTable[[#This Row],[Total inns]],"")</f>
        <v/>
      </c>
      <c r="Z1200" s="47">
        <f>(LayTable[[#This Row],[BookieInnsats]]*LayTable[[#This Row],[BookieOdds]]-LayTable[[#This Row],[BookieInnsats]])*(1-LayTable[[#This Row],[C% Bookie]])</f>
        <v>0</v>
      </c>
      <c r="AA1200" s="43">
        <f>LayTable[[#This Row],[LayInnsats]]*(1-LayTable[[#This Row],[C% Lay]])</f>
        <v>0</v>
      </c>
      <c r="AB1200" s="43" t="str">
        <f>IFERROR(IF(LayTable[[#This Row],[Sport]]="",AB1199,LayTable[[#This Row],[Faktisk res]]+AB1199),"")</f>
        <v/>
      </c>
      <c r="AC1200" s="43">
        <f>(LayTable[[#This Row],[BackWin-Commission]]+LayTable[[#This Row],[BookieInnsats]])</f>
        <v>0</v>
      </c>
      <c r="AD1200" s="43" t="e">
        <f>(LayTable[[#This Row],[LayWin-Commission]])+LayTable[[#This Row],[LayLiability]]</f>
        <v>#VALUE!</v>
      </c>
      <c r="AE1200" s="43"/>
      <c r="AF1200" s="181"/>
    </row>
    <row r="1201" spans="1:32">
      <c r="A1201" s="84"/>
      <c r="B1201" s="39"/>
      <c r="C1201" s="40"/>
      <c r="D1201" s="41"/>
      <c r="E1201" s="40"/>
      <c r="F1201" s="41"/>
      <c r="G1201" s="101"/>
      <c r="H1201" s="38"/>
      <c r="I1201" s="42"/>
      <c r="J1201" s="42"/>
      <c r="K1201" s="43"/>
      <c r="L1201" s="43"/>
      <c r="M1201" s="44" t="str">
        <f>IF(LayTable[[#This Row],[Sport]]="","",LayTable[[#This Row],[LayInnsats]]*(LayTable[[#This Row],[LayOdds]]-1))</f>
        <v/>
      </c>
      <c r="N1201" s="45" t="str">
        <f>IF(LayTable[[#This Row],[Sport]]="","",1/((1/LayTable[[#This Row],[BookieOdds]])+(1/((1/((1+((LayTable[[#This Row],[LayOdds]]-1)*(1+LayTable[[#This Row],[C% Lay]])))-1))+1)))-1)</f>
        <v/>
      </c>
      <c r="Q1201" s="46" t="str">
        <f>IF(LayTable[[#This Row],[Sport]]="","",LayTable[[#This Row],[BookieInnsats]]+LayTable[[#This Row],[LayLiability]])</f>
        <v/>
      </c>
      <c r="R12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1" s="47" t="str">
        <f>IF(LayTable[[#This Row],[Utfall bookie]]="","",LayTable[[#This Row],[WBABack]]+LayTable[[#This Row],[WBALay]]-LayTable[[#This Row],[Total inns]])</f>
        <v/>
      </c>
      <c r="U12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1" s="48" t="str">
        <f>IFERROR(IF(LayTable[[#This Row],[Total inns]]="","",LayTable[[#This Row],[Rback]]/LayTable[[#This Row],[Total inns]]),"")</f>
        <v/>
      </c>
      <c r="X1201" s="48" t="str">
        <f>IFERROR(IF(LayTable[[#This Row],[Total inns]]="","",LayTable[[#This Row],[Rlay]]/LayTable[[#This Row],[Total inns]]),"")</f>
        <v/>
      </c>
      <c r="Y1201" s="48" t="str">
        <f>IFERROR(LayTable[[#This Row],[Faktisk res]]/LayTable[[#This Row],[Total inns]],"")</f>
        <v/>
      </c>
      <c r="Z1201" s="47">
        <f>(LayTable[[#This Row],[BookieInnsats]]*LayTable[[#This Row],[BookieOdds]]-LayTable[[#This Row],[BookieInnsats]])*(1-LayTable[[#This Row],[C% Bookie]])</f>
        <v>0</v>
      </c>
      <c r="AA1201" s="43">
        <f>LayTable[[#This Row],[LayInnsats]]*(1-LayTable[[#This Row],[C% Lay]])</f>
        <v>0</v>
      </c>
      <c r="AB1201" s="43" t="str">
        <f>IFERROR(IF(LayTable[[#This Row],[Sport]]="",AB1200,LayTable[[#This Row],[Faktisk res]]+AB1200),"")</f>
        <v/>
      </c>
      <c r="AC1201" s="43">
        <f>(LayTable[[#This Row],[BackWin-Commission]]+LayTable[[#This Row],[BookieInnsats]])</f>
        <v>0</v>
      </c>
      <c r="AD1201" s="43" t="e">
        <f>(LayTable[[#This Row],[LayWin-Commission]])+LayTable[[#This Row],[LayLiability]]</f>
        <v>#VALUE!</v>
      </c>
      <c r="AE1201" s="43"/>
      <c r="AF1201" s="181"/>
    </row>
    <row r="1202" spans="1:32">
      <c r="A1202" s="84"/>
      <c r="B1202" s="39"/>
      <c r="C1202" s="40"/>
      <c r="D1202" s="41"/>
      <c r="E1202" s="40"/>
      <c r="F1202" s="41"/>
      <c r="G1202" s="101"/>
      <c r="H1202" s="38"/>
      <c r="I1202" s="42"/>
      <c r="J1202" s="42"/>
      <c r="K1202" s="43"/>
      <c r="L1202" s="43"/>
      <c r="M1202" s="44" t="str">
        <f>IF(LayTable[[#This Row],[Sport]]="","",LayTable[[#This Row],[LayInnsats]]*(LayTable[[#This Row],[LayOdds]]-1))</f>
        <v/>
      </c>
      <c r="N1202" s="45" t="str">
        <f>IF(LayTable[[#This Row],[Sport]]="","",1/((1/LayTable[[#This Row],[BookieOdds]])+(1/((1/((1+((LayTable[[#This Row],[LayOdds]]-1)*(1+LayTable[[#This Row],[C% Lay]])))-1))+1)))-1)</f>
        <v/>
      </c>
      <c r="Q1202" s="46" t="str">
        <f>IF(LayTable[[#This Row],[Sport]]="","",LayTable[[#This Row],[BookieInnsats]]+LayTable[[#This Row],[LayLiability]])</f>
        <v/>
      </c>
      <c r="R12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2" s="47" t="str">
        <f>IF(LayTable[[#This Row],[Utfall bookie]]="","",LayTable[[#This Row],[WBABack]]+LayTable[[#This Row],[WBALay]]-LayTable[[#This Row],[Total inns]])</f>
        <v/>
      </c>
      <c r="U12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2" s="48" t="str">
        <f>IFERROR(IF(LayTable[[#This Row],[Total inns]]="","",LayTable[[#This Row],[Rback]]/LayTable[[#This Row],[Total inns]]),"")</f>
        <v/>
      </c>
      <c r="X1202" s="48" t="str">
        <f>IFERROR(IF(LayTable[[#This Row],[Total inns]]="","",LayTable[[#This Row],[Rlay]]/LayTable[[#This Row],[Total inns]]),"")</f>
        <v/>
      </c>
      <c r="Y1202" s="48" t="str">
        <f>IFERROR(LayTable[[#This Row],[Faktisk res]]/LayTable[[#This Row],[Total inns]],"")</f>
        <v/>
      </c>
      <c r="Z1202" s="47">
        <f>(LayTable[[#This Row],[BookieInnsats]]*LayTable[[#This Row],[BookieOdds]]-LayTable[[#This Row],[BookieInnsats]])*(1-LayTable[[#This Row],[C% Bookie]])</f>
        <v>0</v>
      </c>
      <c r="AA1202" s="43">
        <f>LayTable[[#This Row],[LayInnsats]]*(1-LayTable[[#This Row],[C% Lay]])</f>
        <v>0</v>
      </c>
      <c r="AB1202" s="43" t="str">
        <f>IFERROR(IF(LayTable[[#This Row],[Sport]]="",AB1201,LayTable[[#This Row],[Faktisk res]]+AB1201),"")</f>
        <v/>
      </c>
      <c r="AC1202" s="43">
        <f>(LayTable[[#This Row],[BackWin-Commission]]+LayTable[[#This Row],[BookieInnsats]])</f>
        <v>0</v>
      </c>
      <c r="AD1202" s="43" t="e">
        <f>(LayTable[[#This Row],[LayWin-Commission]])+LayTable[[#This Row],[LayLiability]]</f>
        <v>#VALUE!</v>
      </c>
      <c r="AE1202" s="43"/>
      <c r="AF1202" s="181"/>
    </row>
    <row r="1203" spans="1:32">
      <c r="A1203" s="84"/>
      <c r="B1203" s="39"/>
      <c r="C1203" s="40"/>
      <c r="D1203" s="41"/>
      <c r="E1203" s="40"/>
      <c r="F1203" s="41"/>
      <c r="G1203" s="101"/>
      <c r="H1203" s="38"/>
      <c r="I1203" s="42"/>
      <c r="J1203" s="42"/>
      <c r="K1203" s="43"/>
      <c r="L1203" s="43"/>
      <c r="M1203" s="44" t="str">
        <f>IF(LayTable[[#This Row],[Sport]]="","",LayTable[[#This Row],[LayInnsats]]*(LayTable[[#This Row],[LayOdds]]-1))</f>
        <v/>
      </c>
      <c r="N1203" s="45" t="str">
        <f>IF(LayTable[[#This Row],[Sport]]="","",1/((1/LayTable[[#This Row],[BookieOdds]])+(1/((1/((1+((LayTable[[#This Row],[LayOdds]]-1)*(1+LayTable[[#This Row],[C% Lay]])))-1))+1)))-1)</f>
        <v/>
      </c>
      <c r="Q1203" s="46" t="str">
        <f>IF(LayTable[[#This Row],[Sport]]="","",LayTable[[#This Row],[BookieInnsats]]+LayTable[[#This Row],[LayLiability]])</f>
        <v/>
      </c>
      <c r="R12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3" s="47" t="str">
        <f>IF(LayTable[[#This Row],[Utfall bookie]]="","",LayTable[[#This Row],[WBABack]]+LayTable[[#This Row],[WBALay]]-LayTable[[#This Row],[Total inns]])</f>
        <v/>
      </c>
      <c r="U12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3" s="48" t="str">
        <f>IFERROR(IF(LayTable[[#This Row],[Total inns]]="","",LayTable[[#This Row],[Rback]]/LayTable[[#This Row],[Total inns]]),"")</f>
        <v/>
      </c>
      <c r="X1203" s="48" t="str">
        <f>IFERROR(IF(LayTable[[#This Row],[Total inns]]="","",LayTable[[#This Row],[Rlay]]/LayTable[[#This Row],[Total inns]]),"")</f>
        <v/>
      </c>
      <c r="Y1203" s="48" t="str">
        <f>IFERROR(LayTable[[#This Row],[Faktisk res]]/LayTable[[#This Row],[Total inns]],"")</f>
        <v/>
      </c>
      <c r="Z1203" s="47">
        <f>(LayTable[[#This Row],[BookieInnsats]]*LayTable[[#This Row],[BookieOdds]]-LayTable[[#This Row],[BookieInnsats]])*(1-LayTable[[#This Row],[C% Bookie]])</f>
        <v>0</v>
      </c>
      <c r="AA1203" s="43">
        <f>LayTable[[#This Row],[LayInnsats]]*(1-LayTable[[#This Row],[C% Lay]])</f>
        <v>0</v>
      </c>
      <c r="AB1203" s="43" t="str">
        <f>IFERROR(IF(LayTable[[#This Row],[Sport]]="",AB1202,LayTable[[#This Row],[Faktisk res]]+AB1202),"")</f>
        <v/>
      </c>
      <c r="AC1203" s="43">
        <f>(LayTable[[#This Row],[BackWin-Commission]]+LayTable[[#This Row],[BookieInnsats]])</f>
        <v>0</v>
      </c>
      <c r="AD1203" s="43" t="e">
        <f>(LayTable[[#This Row],[LayWin-Commission]])+LayTable[[#This Row],[LayLiability]]</f>
        <v>#VALUE!</v>
      </c>
      <c r="AE1203" s="43"/>
      <c r="AF1203" s="181"/>
    </row>
    <row r="1204" spans="1:32">
      <c r="A1204" s="84"/>
      <c r="B1204" s="39"/>
      <c r="C1204" s="40"/>
      <c r="D1204" s="41"/>
      <c r="E1204" s="40"/>
      <c r="F1204" s="41"/>
      <c r="G1204" s="101"/>
      <c r="H1204" s="38"/>
      <c r="I1204" s="42"/>
      <c r="J1204" s="42"/>
      <c r="K1204" s="43"/>
      <c r="L1204" s="43"/>
      <c r="M1204" s="44" t="str">
        <f>IF(LayTable[[#This Row],[Sport]]="","",LayTable[[#This Row],[LayInnsats]]*(LayTable[[#This Row],[LayOdds]]-1))</f>
        <v/>
      </c>
      <c r="N1204" s="45" t="str">
        <f>IF(LayTable[[#This Row],[Sport]]="","",1/((1/LayTable[[#This Row],[BookieOdds]])+(1/((1/((1+((LayTable[[#This Row],[LayOdds]]-1)*(1+LayTable[[#This Row],[C% Lay]])))-1))+1)))-1)</f>
        <v/>
      </c>
      <c r="Q1204" s="46" t="str">
        <f>IF(LayTable[[#This Row],[Sport]]="","",LayTable[[#This Row],[BookieInnsats]]+LayTable[[#This Row],[LayLiability]])</f>
        <v/>
      </c>
      <c r="R12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4" s="47" t="str">
        <f>IF(LayTable[[#This Row],[Utfall bookie]]="","",LayTable[[#This Row],[WBABack]]+LayTable[[#This Row],[WBALay]]-LayTable[[#This Row],[Total inns]])</f>
        <v/>
      </c>
      <c r="U12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4" s="48" t="str">
        <f>IFERROR(IF(LayTable[[#This Row],[Total inns]]="","",LayTable[[#This Row],[Rback]]/LayTable[[#This Row],[Total inns]]),"")</f>
        <v/>
      </c>
      <c r="X1204" s="48" t="str">
        <f>IFERROR(IF(LayTable[[#This Row],[Total inns]]="","",LayTable[[#This Row],[Rlay]]/LayTable[[#This Row],[Total inns]]),"")</f>
        <v/>
      </c>
      <c r="Y1204" s="48" t="str">
        <f>IFERROR(LayTable[[#This Row],[Faktisk res]]/LayTable[[#This Row],[Total inns]],"")</f>
        <v/>
      </c>
      <c r="Z1204" s="47">
        <f>(LayTable[[#This Row],[BookieInnsats]]*LayTable[[#This Row],[BookieOdds]]-LayTable[[#This Row],[BookieInnsats]])*(1-LayTable[[#This Row],[C% Bookie]])</f>
        <v>0</v>
      </c>
      <c r="AA1204" s="43">
        <f>LayTable[[#This Row],[LayInnsats]]*(1-LayTable[[#This Row],[C% Lay]])</f>
        <v>0</v>
      </c>
      <c r="AB1204" s="43" t="str">
        <f>IFERROR(IF(LayTable[[#This Row],[Sport]]="",AB1203,LayTable[[#This Row],[Faktisk res]]+AB1203),"")</f>
        <v/>
      </c>
      <c r="AC1204" s="43">
        <f>(LayTable[[#This Row],[BackWin-Commission]]+LayTable[[#This Row],[BookieInnsats]])</f>
        <v>0</v>
      </c>
      <c r="AD1204" s="43" t="e">
        <f>(LayTable[[#This Row],[LayWin-Commission]])+LayTable[[#This Row],[LayLiability]]</f>
        <v>#VALUE!</v>
      </c>
      <c r="AE1204" s="43"/>
      <c r="AF1204" s="181"/>
    </row>
    <row r="1205" spans="1:32">
      <c r="A1205" s="84"/>
      <c r="B1205" s="39"/>
      <c r="C1205" s="40"/>
      <c r="D1205" s="41"/>
      <c r="E1205" s="40"/>
      <c r="F1205" s="41"/>
      <c r="G1205" s="101"/>
      <c r="H1205" s="38"/>
      <c r="I1205" s="42"/>
      <c r="J1205" s="42"/>
      <c r="K1205" s="43"/>
      <c r="L1205" s="43"/>
      <c r="M1205" s="44" t="str">
        <f>IF(LayTable[[#This Row],[Sport]]="","",LayTable[[#This Row],[LayInnsats]]*(LayTable[[#This Row],[LayOdds]]-1))</f>
        <v/>
      </c>
      <c r="N1205" s="45" t="str">
        <f>IF(LayTable[[#This Row],[Sport]]="","",1/((1/LayTable[[#This Row],[BookieOdds]])+(1/((1/((1+((LayTable[[#This Row],[LayOdds]]-1)*(1+LayTable[[#This Row],[C% Lay]])))-1))+1)))-1)</f>
        <v/>
      </c>
      <c r="Q1205" s="46" t="str">
        <f>IF(LayTable[[#This Row],[Sport]]="","",LayTable[[#This Row],[BookieInnsats]]+LayTable[[#This Row],[LayLiability]])</f>
        <v/>
      </c>
      <c r="R12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5" s="47" t="str">
        <f>IF(LayTable[[#This Row],[Utfall bookie]]="","",LayTable[[#This Row],[WBABack]]+LayTable[[#This Row],[WBALay]]-LayTable[[#This Row],[Total inns]])</f>
        <v/>
      </c>
      <c r="U12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5" s="48" t="str">
        <f>IFERROR(IF(LayTable[[#This Row],[Total inns]]="","",LayTable[[#This Row],[Rback]]/LayTable[[#This Row],[Total inns]]),"")</f>
        <v/>
      </c>
      <c r="X1205" s="48" t="str">
        <f>IFERROR(IF(LayTable[[#This Row],[Total inns]]="","",LayTable[[#This Row],[Rlay]]/LayTable[[#This Row],[Total inns]]),"")</f>
        <v/>
      </c>
      <c r="Y1205" s="48" t="str">
        <f>IFERROR(LayTable[[#This Row],[Faktisk res]]/LayTable[[#This Row],[Total inns]],"")</f>
        <v/>
      </c>
      <c r="Z1205" s="47">
        <f>(LayTable[[#This Row],[BookieInnsats]]*LayTable[[#This Row],[BookieOdds]]-LayTable[[#This Row],[BookieInnsats]])*(1-LayTable[[#This Row],[C% Bookie]])</f>
        <v>0</v>
      </c>
      <c r="AA1205" s="43">
        <f>LayTable[[#This Row],[LayInnsats]]*(1-LayTable[[#This Row],[C% Lay]])</f>
        <v>0</v>
      </c>
      <c r="AB1205" s="43" t="str">
        <f>IFERROR(IF(LayTable[[#This Row],[Sport]]="",AB1204,LayTable[[#This Row],[Faktisk res]]+AB1204),"")</f>
        <v/>
      </c>
      <c r="AC1205" s="43">
        <f>(LayTable[[#This Row],[BackWin-Commission]]+LayTable[[#This Row],[BookieInnsats]])</f>
        <v>0</v>
      </c>
      <c r="AD1205" s="43" t="e">
        <f>(LayTable[[#This Row],[LayWin-Commission]])+LayTable[[#This Row],[LayLiability]]</f>
        <v>#VALUE!</v>
      </c>
      <c r="AE1205" s="43"/>
      <c r="AF1205" s="181"/>
    </row>
    <row r="1206" spans="1:32">
      <c r="A1206" s="84"/>
      <c r="B1206" s="39"/>
      <c r="C1206" s="40"/>
      <c r="D1206" s="41"/>
      <c r="E1206" s="40"/>
      <c r="F1206" s="41"/>
      <c r="G1206" s="101"/>
      <c r="H1206" s="38"/>
      <c r="I1206" s="42"/>
      <c r="J1206" s="42"/>
      <c r="K1206" s="43"/>
      <c r="L1206" s="43"/>
      <c r="M1206" s="44" t="str">
        <f>IF(LayTable[[#This Row],[Sport]]="","",LayTable[[#This Row],[LayInnsats]]*(LayTable[[#This Row],[LayOdds]]-1))</f>
        <v/>
      </c>
      <c r="N1206" s="45" t="str">
        <f>IF(LayTable[[#This Row],[Sport]]="","",1/((1/LayTable[[#This Row],[BookieOdds]])+(1/((1/((1+((LayTable[[#This Row],[LayOdds]]-1)*(1+LayTable[[#This Row],[C% Lay]])))-1))+1)))-1)</f>
        <v/>
      </c>
      <c r="Q1206" s="46" t="str">
        <f>IF(LayTable[[#This Row],[Sport]]="","",LayTable[[#This Row],[BookieInnsats]]+LayTable[[#This Row],[LayLiability]])</f>
        <v/>
      </c>
      <c r="R12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6" s="47" t="str">
        <f>IF(LayTable[[#This Row],[Utfall bookie]]="","",LayTable[[#This Row],[WBABack]]+LayTable[[#This Row],[WBALay]]-LayTable[[#This Row],[Total inns]])</f>
        <v/>
      </c>
      <c r="U12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6" s="48" t="str">
        <f>IFERROR(IF(LayTable[[#This Row],[Total inns]]="","",LayTable[[#This Row],[Rback]]/LayTable[[#This Row],[Total inns]]),"")</f>
        <v/>
      </c>
      <c r="X1206" s="48" t="str">
        <f>IFERROR(IF(LayTable[[#This Row],[Total inns]]="","",LayTable[[#This Row],[Rlay]]/LayTable[[#This Row],[Total inns]]),"")</f>
        <v/>
      </c>
      <c r="Y1206" s="48" t="str">
        <f>IFERROR(LayTable[[#This Row],[Faktisk res]]/LayTable[[#This Row],[Total inns]],"")</f>
        <v/>
      </c>
      <c r="Z1206" s="47">
        <f>(LayTable[[#This Row],[BookieInnsats]]*LayTable[[#This Row],[BookieOdds]]-LayTable[[#This Row],[BookieInnsats]])*(1-LayTable[[#This Row],[C% Bookie]])</f>
        <v>0</v>
      </c>
      <c r="AA1206" s="43">
        <f>LayTable[[#This Row],[LayInnsats]]*(1-LayTable[[#This Row],[C% Lay]])</f>
        <v>0</v>
      </c>
      <c r="AB1206" s="43" t="str">
        <f>IFERROR(IF(LayTable[[#This Row],[Sport]]="",AB1205,LayTable[[#This Row],[Faktisk res]]+AB1205),"")</f>
        <v/>
      </c>
      <c r="AC1206" s="43">
        <f>(LayTable[[#This Row],[BackWin-Commission]]+LayTable[[#This Row],[BookieInnsats]])</f>
        <v>0</v>
      </c>
      <c r="AD1206" s="43" t="e">
        <f>(LayTable[[#This Row],[LayWin-Commission]])+LayTable[[#This Row],[LayLiability]]</f>
        <v>#VALUE!</v>
      </c>
      <c r="AE1206" s="43"/>
      <c r="AF1206" s="181"/>
    </row>
    <row r="1207" spans="1:32">
      <c r="A1207" s="84"/>
      <c r="B1207" s="39"/>
      <c r="C1207" s="40"/>
      <c r="D1207" s="41"/>
      <c r="E1207" s="40"/>
      <c r="F1207" s="41"/>
      <c r="G1207" s="101"/>
      <c r="H1207" s="38"/>
      <c r="I1207" s="42"/>
      <c r="J1207" s="42"/>
      <c r="K1207" s="43"/>
      <c r="L1207" s="43"/>
      <c r="M1207" s="44" t="str">
        <f>IF(LayTable[[#This Row],[Sport]]="","",LayTable[[#This Row],[LayInnsats]]*(LayTable[[#This Row],[LayOdds]]-1))</f>
        <v/>
      </c>
      <c r="N1207" s="45" t="str">
        <f>IF(LayTable[[#This Row],[Sport]]="","",1/((1/LayTable[[#This Row],[BookieOdds]])+(1/((1/((1+((LayTable[[#This Row],[LayOdds]]-1)*(1+LayTable[[#This Row],[C% Lay]])))-1))+1)))-1)</f>
        <v/>
      </c>
      <c r="Q1207" s="46" t="str">
        <f>IF(LayTable[[#This Row],[Sport]]="","",LayTable[[#This Row],[BookieInnsats]]+LayTable[[#This Row],[LayLiability]])</f>
        <v/>
      </c>
      <c r="R12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7" s="47" t="str">
        <f>IF(LayTable[[#This Row],[Utfall bookie]]="","",LayTable[[#This Row],[WBABack]]+LayTable[[#This Row],[WBALay]]-LayTable[[#This Row],[Total inns]])</f>
        <v/>
      </c>
      <c r="U12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7" s="48" t="str">
        <f>IFERROR(IF(LayTable[[#This Row],[Total inns]]="","",LayTable[[#This Row],[Rback]]/LayTable[[#This Row],[Total inns]]),"")</f>
        <v/>
      </c>
      <c r="X1207" s="48" t="str">
        <f>IFERROR(IF(LayTable[[#This Row],[Total inns]]="","",LayTable[[#This Row],[Rlay]]/LayTable[[#This Row],[Total inns]]),"")</f>
        <v/>
      </c>
      <c r="Y1207" s="48" t="str">
        <f>IFERROR(LayTable[[#This Row],[Faktisk res]]/LayTable[[#This Row],[Total inns]],"")</f>
        <v/>
      </c>
      <c r="Z1207" s="47">
        <f>(LayTable[[#This Row],[BookieInnsats]]*LayTable[[#This Row],[BookieOdds]]-LayTable[[#This Row],[BookieInnsats]])*(1-LayTable[[#This Row],[C% Bookie]])</f>
        <v>0</v>
      </c>
      <c r="AA1207" s="43">
        <f>LayTable[[#This Row],[LayInnsats]]*(1-LayTable[[#This Row],[C% Lay]])</f>
        <v>0</v>
      </c>
      <c r="AB1207" s="43" t="str">
        <f>IFERROR(IF(LayTable[[#This Row],[Sport]]="",AB1206,LayTable[[#This Row],[Faktisk res]]+AB1206),"")</f>
        <v/>
      </c>
      <c r="AC1207" s="43">
        <f>(LayTable[[#This Row],[BackWin-Commission]]+LayTable[[#This Row],[BookieInnsats]])</f>
        <v>0</v>
      </c>
      <c r="AD1207" s="43" t="e">
        <f>(LayTable[[#This Row],[LayWin-Commission]])+LayTable[[#This Row],[LayLiability]]</f>
        <v>#VALUE!</v>
      </c>
      <c r="AE1207" s="43"/>
      <c r="AF1207" s="181"/>
    </row>
    <row r="1208" spans="1:32">
      <c r="A1208" s="84"/>
      <c r="B1208" s="39"/>
      <c r="C1208" s="40"/>
      <c r="D1208" s="41"/>
      <c r="E1208" s="40"/>
      <c r="F1208" s="41"/>
      <c r="G1208" s="101"/>
      <c r="H1208" s="38"/>
      <c r="I1208" s="42"/>
      <c r="J1208" s="42"/>
      <c r="K1208" s="43"/>
      <c r="L1208" s="43"/>
      <c r="M1208" s="44" t="str">
        <f>IF(LayTable[[#This Row],[Sport]]="","",LayTable[[#This Row],[LayInnsats]]*(LayTable[[#This Row],[LayOdds]]-1))</f>
        <v/>
      </c>
      <c r="N1208" s="45" t="str">
        <f>IF(LayTable[[#This Row],[Sport]]="","",1/((1/LayTable[[#This Row],[BookieOdds]])+(1/((1/((1+((LayTable[[#This Row],[LayOdds]]-1)*(1+LayTable[[#This Row],[C% Lay]])))-1))+1)))-1)</f>
        <v/>
      </c>
      <c r="Q1208" s="46" t="str">
        <f>IF(LayTable[[#This Row],[Sport]]="","",LayTable[[#This Row],[BookieInnsats]]+LayTable[[#This Row],[LayLiability]])</f>
        <v/>
      </c>
      <c r="R12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8" s="47" t="str">
        <f>IF(LayTable[[#This Row],[Utfall bookie]]="","",LayTable[[#This Row],[WBABack]]+LayTable[[#This Row],[WBALay]]-LayTable[[#This Row],[Total inns]])</f>
        <v/>
      </c>
      <c r="U12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8" s="48" t="str">
        <f>IFERROR(IF(LayTable[[#This Row],[Total inns]]="","",LayTable[[#This Row],[Rback]]/LayTable[[#This Row],[Total inns]]),"")</f>
        <v/>
      </c>
      <c r="X1208" s="48" t="str">
        <f>IFERROR(IF(LayTable[[#This Row],[Total inns]]="","",LayTable[[#This Row],[Rlay]]/LayTable[[#This Row],[Total inns]]),"")</f>
        <v/>
      </c>
      <c r="Y1208" s="48" t="str">
        <f>IFERROR(LayTable[[#This Row],[Faktisk res]]/LayTable[[#This Row],[Total inns]],"")</f>
        <v/>
      </c>
      <c r="Z1208" s="47">
        <f>(LayTable[[#This Row],[BookieInnsats]]*LayTable[[#This Row],[BookieOdds]]-LayTable[[#This Row],[BookieInnsats]])*(1-LayTable[[#This Row],[C% Bookie]])</f>
        <v>0</v>
      </c>
      <c r="AA1208" s="43">
        <f>LayTable[[#This Row],[LayInnsats]]*(1-LayTable[[#This Row],[C% Lay]])</f>
        <v>0</v>
      </c>
      <c r="AB1208" s="43" t="str">
        <f>IFERROR(IF(LayTable[[#This Row],[Sport]]="",AB1207,LayTable[[#This Row],[Faktisk res]]+AB1207),"")</f>
        <v/>
      </c>
      <c r="AC1208" s="43">
        <f>(LayTable[[#This Row],[BackWin-Commission]]+LayTable[[#This Row],[BookieInnsats]])</f>
        <v>0</v>
      </c>
      <c r="AD1208" s="43" t="e">
        <f>(LayTable[[#This Row],[LayWin-Commission]])+LayTable[[#This Row],[LayLiability]]</f>
        <v>#VALUE!</v>
      </c>
      <c r="AE1208" s="43"/>
      <c r="AF1208" s="181"/>
    </row>
    <row r="1209" spans="1:32">
      <c r="A1209" s="84"/>
      <c r="B1209" s="39"/>
      <c r="C1209" s="40"/>
      <c r="D1209" s="41"/>
      <c r="E1209" s="40"/>
      <c r="F1209" s="41"/>
      <c r="G1209" s="101"/>
      <c r="H1209" s="38"/>
      <c r="I1209" s="42"/>
      <c r="J1209" s="42"/>
      <c r="K1209" s="43"/>
      <c r="L1209" s="43"/>
      <c r="M1209" s="44" t="str">
        <f>IF(LayTable[[#This Row],[Sport]]="","",LayTable[[#This Row],[LayInnsats]]*(LayTable[[#This Row],[LayOdds]]-1))</f>
        <v/>
      </c>
      <c r="N1209" s="45" t="str">
        <f>IF(LayTable[[#This Row],[Sport]]="","",1/((1/LayTable[[#This Row],[BookieOdds]])+(1/((1/((1+((LayTable[[#This Row],[LayOdds]]-1)*(1+LayTable[[#This Row],[C% Lay]])))-1))+1)))-1)</f>
        <v/>
      </c>
      <c r="Q1209" s="46" t="str">
        <f>IF(LayTable[[#This Row],[Sport]]="","",LayTable[[#This Row],[BookieInnsats]]+LayTable[[#This Row],[LayLiability]])</f>
        <v/>
      </c>
      <c r="R12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09" s="47" t="str">
        <f>IF(LayTable[[#This Row],[Utfall bookie]]="","",LayTable[[#This Row],[WBABack]]+LayTable[[#This Row],[WBALay]]-LayTable[[#This Row],[Total inns]])</f>
        <v/>
      </c>
      <c r="U12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09" s="48" t="str">
        <f>IFERROR(IF(LayTable[[#This Row],[Total inns]]="","",LayTable[[#This Row],[Rback]]/LayTable[[#This Row],[Total inns]]),"")</f>
        <v/>
      </c>
      <c r="X1209" s="48" t="str">
        <f>IFERROR(IF(LayTable[[#This Row],[Total inns]]="","",LayTable[[#This Row],[Rlay]]/LayTable[[#This Row],[Total inns]]),"")</f>
        <v/>
      </c>
      <c r="Y1209" s="48" t="str">
        <f>IFERROR(LayTable[[#This Row],[Faktisk res]]/LayTable[[#This Row],[Total inns]],"")</f>
        <v/>
      </c>
      <c r="Z1209" s="47">
        <f>(LayTable[[#This Row],[BookieInnsats]]*LayTable[[#This Row],[BookieOdds]]-LayTable[[#This Row],[BookieInnsats]])*(1-LayTable[[#This Row],[C% Bookie]])</f>
        <v>0</v>
      </c>
      <c r="AA1209" s="43">
        <f>LayTable[[#This Row],[LayInnsats]]*(1-LayTable[[#This Row],[C% Lay]])</f>
        <v>0</v>
      </c>
      <c r="AB1209" s="43" t="str">
        <f>IFERROR(IF(LayTable[[#This Row],[Sport]]="",AB1208,LayTable[[#This Row],[Faktisk res]]+AB1208),"")</f>
        <v/>
      </c>
      <c r="AC1209" s="43">
        <f>(LayTable[[#This Row],[BackWin-Commission]]+LayTable[[#This Row],[BookieInnsats]])</f>
        <v>0</v>
      </c>
      <c r="AD1209" s="43" t="e">
        <f>(LayTable[[#This Row],[LayWin-Commission]])+LayTable[[#This Row],[LayLiability]]</f>
        <v>#VALUE!</v>
      </c>
      <c r="AE1209" s="43"/>
      <c r="AF1209" s="181"/>
    </row>
    <row r="1210" spans="1:32">
      <c r="A1210" s="84"/>
      <c r="B1210" s="39"/>
      <c r="C1210" s="40"/>
      <c r="D1210" s="41"/>
      <c r="E1210" s="40"/>
      <c r="F1210" s="41"/>
      <c r="G1210" s="101"/>
      <c r="H1210" s="38"/>
      <c r="I1210" s="42"/>
      <c r="J1210" s="42"/>
      <c r="K1210" s="43"/>
      <c r="L1210" s="43"/>
      <c r="M1210" s="44" t="str">
        <f>IF(LayTable[[#This Row],[Sport]]="","",LayTable[[#This Row],[LayInnsats]]*(LayTable[[#This Row],[LayOdds]]-1))</f>
        <v/>
      </c>
      <c r="N1210" s="45" t="str">
        <f>IF(LayTable[[#This Row],[Sport]]="","",1/((1/LayTable[[#This Row],[BookieOdds]])+(1/((1/((1+((LayTable[[#This Row],[LayOdds]]-1)*(1+LayTable[[#This Row],[C% Lay]])))-1))+1)))-1)</f>
        <v/>
      </c>
      <c r="Q1210" s="46" t="str">
        <f>IF(LayTable[[#This Row],[Sport]]="","",LayTable[[#This Row],[BookieInnsats]]+LayTable[[#This Row],[LayLiability]])</f>
        <v/>
      </c>
      <c r="R12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0" s="47" t="str">
        <f>IF(LayTable[[#This Row],[Utfall bookie]]="","",LayTable[[#This Row],[WBABack]]+LayTable[[#This Row],[WBALay]]-LayTable[[#This Row],[Total inns]])</f>
        <v/>
      </c>
      <c r="U12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0" s="48" t="str">
        <f>IFERROR(IF(LayTable[[#This Row],[Total inns]]="","",LayTable[[#This Row],[Rback]]/LayTable[[#This Row],[Total inns]]),"")</f>
        <v/>
      </c>
      <c r="X1210" s="48" t="str">
        <f>IFERROR(IF(LayTable[[#This Row],[Total inns]]="","",LayTable[[#This Row],[Rlay]]/LayTable[[#This Row],[Total inns]]),"")</f>
        <v/>
      </c>
      <c r="Y1210" s="48" t="str">
        <f>IFERROR(LayTable[[#This Row],[Faktisk res]]/LayTable[[#This Row],[Total inns]],"")</f>
        <v/>
      </c>
      <c r="Z1210" s="47">
        <f>(LayTable[[#This Row],[BookieInnsats]]*LayTable[[#This Row],[BookieOdds]]-LayTable[[#This Row],[BookieInnsats]])*(1-LayTable[[#This Row],[C% Bookie]])</f>
        <v>0</v>
      </c>
      <c r="AA1210" s="43">
        <f>LayTable[[#This Row],[LayInnsats]]*(1-LayTable[[#This Row],[C% Lay]])</f>
        <v>0</v>
      </c>
      <c r="AB1210" s="43" t="str">
        <f>IFERROR(IF(LayTable[[#This Row],[Sport]]="",AB1209,LayTable[[#This Row],[Faktisk res]]+AB1209),"")</f>
        <v/>
      </c>
      <c r="AC1210" s="43">
        <f>(LayTable[[#This Row],[BackWin-Commission]]+LayTable[[#This Row],[BookieInnsats]])</f>
        <v>0</v>
      </c>
      <c r="AD1210" s="43" t="e">
        <f>(LayTable[[#This Row],[LayWin-Commission]])+LayTable[[#This Row],[LayLiability]]</f>
        <v>#VALUE!</v>
      </c>
      <c r="AE1210" s="43"/>
      <c r="AF1210" s="181"/>
    </row>
    <row r="1211" spans="1:32">
      <c r="A1211" s="84"/>
      <c r="B1211" s="39"/>
      <c r="C1211" s="40"/>
      <c r="D1211" s="41"/>
      <c r="E1211" s="40"/>
      <c r="F1211" s="41"/>
      <c r="G1211" s="101"/>
      <c r="H1211" s="38"/>
      <c r="I1211" s="42"/>
      <c r="J1211" s="42"/>
      <c r="K1211" s="43"/>
      <c r="L1211" s="43"/>
      <c r="M1211" s="44" t="str">
        <f>IF(LayTable[[#This Row],[Sport]]="","",LayTable[[#This Row],[LayInnsats]]*(LayTable[[#This Row],[LayOdds]]-1))</f>
        <v/>
      </c>
      <c r="N1211" s="45" t="str">
        <f>IF(LayTable[[#This Row],[Sport]]="","",1/((1/LayTable[[#This Row],[BookieOdds]])+(1/((1/((1+((LayTable[[#This Row],[LayOdds]]-1)*(1+LayTable[[#This Row],[C% Lay]])))-1))+1)))-1)</f>
        <v/>
      </c>
      <c r="Q1211" s="46" t="str">
        <f>IF(LayTable[[#This Row],[Sport]]="","",LayTable[[#This Row],[BookieInnsats]]+LayTable[[#This Row],[LayLiability]])</f>
        <v/>
      </c>
      <c r="R12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1" s="47" t="str">
        <f>IF(LayTable[[#This Row],[Utfall bookie]]="","",LayTable[[#This Row],[WBABack]]+LayTable[[#This Row],[WBALay]]-LayTable[[#This Row],[Total inns]])</f>
        <v/>
      </c>
      <c r="U12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1" s="48" t="str">
        <f>IFERROR(IF(LayTable[[#This Row],[Total inns]]="","",LayTable[[#This Row],[Rback]]/LayTable[[#This Row],[Total inns]]),"")</f>
        <v/>
      </c>
      <c r="X1211" s="48" t="str">
        <f>IFERROR(IF(LayTable[[#This Row],[Total inns]]="","",LayTable[[#This Row],[Rlay]]/LayTable[[#This Row],[Total inns]]),"")</f>
        <v/>
      </c>
      <c r="Y1211" s="48" t="str">
        <f>IFERROR(LayTable[[#This Row],[Faktisk res]]/LayTable[[#This Row],[Total inns]],"")</f>
        <v/>
      </c>
      <c r="Z1211" s="47">
        <f>(LayTable[[#This Row],[BookieInnsats]]*LayTable[[#This Row],[BookieOdds]]-LayTable[[#This Row],[BookieInnsats]])*(1-LayTable[[#This Row],[C% Bookie]])</f>
        <v>0</v>
      </c>
      <c r="AA1211" s="43">
        <f>LayTable[[#This Row],[LayInnsats]]*(1-LayTable[[#This Row],[C% Lay]])</f>
        <v>0</v>
      </c>
      <c r="AB1211" s="43" t="str">
        <f>IFERROR(IF(LayTable[[#This Row],[Sport]]="",AB1210,LayTable[[#This Row],[Faktisk res]]+AB1210),"")</f>
        <v/>
      </c>
      <c r="AC1211" s="43">
        <f>(LayTable[[#This Row],[BackWin-Commission]]+LayTable[[#This Row],[BookieInnsats]])</f>
        <v>0</v>
      </c>
      <c r="AD1211" s="43" t="e">
        <f>(LayTable[[#This Row],[LayWin-Commission]])+LayTable[[#This Row],[LayLiability]]</f>
        <v>#VALUE!</v>
      </c>
      <c r="AE1211" s="43"/>
      <c r="AF1211" s="181"/>
    </row>
    <row r="1212" spans="1:32">
      <c r="A1212" s="84"/>
      <c r="B1212" s="39"/>
      <c r="C1212" s="40"/>
      <c r="D1212" s="41"/>
      <c r="E1212" s="40"/>
      <c r="F1212" s="41"/>
      <c r="G1212" s="101"/>
      <c r="H1212" s="38"/>
      <c r="I1212" s="42"/>
      <c r="J1212" s="42"/>
      <c r="K1212" s="43"/>
      <c r="L1212" s="43"/>
      <c r="M1212" s="44" t="str">
        <f>IF(LayTable[[#This Row],[Sport]]="","",LayTable[[#This Row],[LayInnsats]]*(LayTable[[#This Row],[LayOdds]]-1))</f>
        <v/>
      </c>
      <c r="N1212" s="45" t="str">
        <f>IF(LayTable[[#This Row],[Sport]]="","",1/((1/LayTable[[#This Row],[BookieOdds]])+(1/((1/((1+((LayTable[[#This Row],[LayOdds]]-1)*(1+LayTable[[#This Row],[C% Lay]])))-1))+1)))-1)</f>
        <v/>
      </c>
      <c r="Q1212" s="46" t="str">
        <f>IF(LayTable[[#This Row],[Sport]]="","",LayTable[[#This Row],[BookieInnsats]]+LayTable[[#This Row],[LayLiability]])</f>
        <v/>
      </c>
      <c r="R12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2" s="47" t="str">
        <f>IF(LayTable[[#This Row],[Utfall bookie]]="","",LayTable[[#This Row],[WBABack]]+LayTable[[#This Row],[WBALay]]-LayTable[[#This Row],[Total inns]])</f>
        <v/>
      </c>
      <c r="U12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2" s="48" t="str">
        <f>IFERROR(IF(LayTable[[#This Row],[Total inns]]="","",LayTable[[#This Row],[Rback]]/LayTable[[#This Row],[Total inns]]),"")</f>
        <v/>
      </c>
      <c r="X1212" s="48" t="str">
        <f>IFERROR(IF(LayTable[[#This Row],[Total inns]]="","",LayTable[[#This Row],[Rlay]]/LayTable[[#This Row],[Total inns]]),"")</f>
        <v/>
      </c>
      <c r="Y1212" s="48" t="str">
        <f>IFERROR(LayTable[[#This Row],[Faktisk res]]/LayTable[[#This Row],[Total inns]],"")</f>
        <v/>
      </c>
      <c r="Z1212" s="47">
        <f>(LayTable[[#This Row],[BookieInnsats]]*LayTable[[#This Row],[BookieOdds]]-LayTable[[#This Row],[BookieInnsats]])*(1-LayTable[[#This Row],[C% Bookie]])</f>
        <v>0</v>
      </c>
      <c r="AA1212" s="43">
        <f>LayTable[[#This Row],[LayInnsats]]*(1-LayTable[[#This Row],[C% Lay]])</f>
        <v>0</v>
      </c>
      <c r="AB1212" s="43" t="str">
        <f>IFERROR(IF(LayTable[[#This Row],[Sport]]="",AB1211,LayTable[[#This Row],[Faktisk res]]+AB1211),"")</f>
        <v/>
      </c>
      <c r="AC1212" s="43">
        <f>(LayTable[[#This Row],[BackWin-Commission]]+LayTable[[#This Row],[BookieInnsats]])</f>
        <v>0</v>
      </c>
      <c r="AD1212" s="43" t="e">
        <f>(LayTable[[#This Row],[LayWin-Commission]])+LayTable[[#This Row],[LayLiability]]</f>
        <v>#VALUE!</v>
      </c>
      <c r="AE1212" s="43"/>
      <c r="AF1212" s="181"/>
    </row>
    <row r="1213" spans="1:32">
      <c r="A1213" s="84"/>
      <c r="B1213" s="39"/>
      <c r="C1213" s="40"/>
      <c r="D1213" s="41"/>
      <c r="E1213" s="40"/>
      <c r="F1213" s="41"/>
      <c r="G1213" s="101"/>
      <c r="H1213" s="38"/>
      <c r="I1213" s="42"/>
      <c r="J1213" s="42"/>
      <c r="K1213" s="43"/>
      <c r="L1213" s="43"/>
      <c r="M1213" s="44" t="str">
        <f>IF(LayTable[[#This Row],[Sport]]="","",LayTable[[#This Row],[LayInnsats]]*(LayTable[[#This Row],[LayOdds]]-1))</f>
        <v/>
      </c>
      <c r="N1213" s="45" t="str">
        <f>IF(LayTable[[#This Row],[Sport]]="","",1/((1/LayTable[[#This Row],[BookieOdds]])+(1/((1/((1+((LayTable[[#This Row],[LayOdds]]-1)*(1+LayTable[[#This Row],[C% Lay]])))-1))+1)))-1)</f>
        <v/>
      </c>
      <c r="Q1213" s="46" t="str">
        <f>IF(LayTable[[#This Row],[Sport]]="","",LayTable[[#This Row],[BookieInnsats]]+LayTable[[#This Row],[LayLiability]])</f>
        <v/>
      </c>
      <c r="R12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3" s="47" t="str">
        <f>IF(LayTable[[#This Row],[Utfall bookie]]="","",LayTable[[#This Row],[WBABack]]+LayTable[[#This Row],[WBALay]]-LayTable[[#This Row],[Total inns]])</f>
        <v/>
      </c>
      <c r="U12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3" s="48" t="str">
        <f>IFERROR(IF(LayTable[[#This Row],[Total inns]]="","",LayTable[[#This Row],[Rback]]/LayTable[[#This Row],[Total inns]]),"")</f>
        <v/>
      </c>
      <c r="X1213" s="48" t="str">
        <f>IFERROR(IF(LayTable[[#This Row],[Total inns]]="","",LayTable[[#This Row],[Rlay]]/LayTable[[#This Row],[Total inns]]),"")</f>
        <v/>
      </c>
      <c r="Y1213" s="48" t="str">
        <f>IFERROR(LayTable[[#This Row],[Faktisk res]]/LayTable[[#This Row],[Total inns]],"")</f>
        <v/>
      </c>
      <c r="Z1213" s="47">
        <f>(LayTable[[#This Row],[BookieInnsats]]*LayTable[[#This Row],[BookieOdds]]-LayTable[[#This Row],[BookieInnsats]])*(1-LayTable[[#This Row],[C% Bookie]])</f>
        <v>0</v>
      </c>
      <c r="AA1213" s="43">
        <f>LayTable[[#This Row],[LayInnsats]]*(1-LayTable[[#This Row],[C% Lay]])</f>
        <v>0</v>
      </c>
      <c r="AB1213" s="43" t="str">
        <f>IFERROR(IF(LayTable[[#This Row],[Sport]]="",AB1212,LayTable[[#This Row],[Faktisk res]]+AB1212),"")</f>
        <v/>
      </c>
      <c r="AC1213" s="43">
        <f>(LayTable[[#This Row],[BackWin-Commission]]+LayTable[[#This Row],[BookieInnsats]])</f>
        <v>0</v>
      </c>
      <c r="AD1213" s="43" t="e">
        <f>(LayTable[[#This Row],[LayWin-Commission]])+LayTable[[#This Row],[LayLiability]]</f>
        <v>#VALUE!</v>
      </c>
      <c r="AE1213" s="43"/>
      <c r="AF1213" s="181"/>
    </row>
    <row r="1214" spans="1:32">
      <c r="A1214" s="84"/>
      <c r="B1214" s="39"/>
      <c r="C1214" s="40"/>
      <c r="D1214" s="41"/>
      <c r="E1214" s="40"/>
      <c r="F1214" s="41"/>
      <c r="G1214" s="101"/>
      <c r="H1214" s="38"/>
      <c r="I1214" s="42"/>
      <c r="J1214" s="42"/>
      <c r="K1214" s="43"/>
      <c r="L1214" s="43"/>
      <c r="M1214" s="44" t="str">
        <f>IF(LayTable[[#This Row],[Sport]]="","",LayTable[[#This Row],[LayInnsats]]*(LayTable[[#This Row],[LayOdds]]-1))</f>
        <v/>
      </c>
      <c r="N1214" s="45" t="str">
        <f>IF(LayTable[[#This Row],[Sport]]="","",1/((1/LayTable[[#This Row],[BookieOdds]])+(1/((1/((1+((LayTable[[#This Row],[LayOdds]]-1)*(1+LayTable[[#This Row],[C% Lay]])))-1))+1)))-1)</f>
        <v/>
      </c>
      <c r="Q1214" s="46" t="str">
        <f>IF(LayTable[[#This Row],[Sport]]="","",LayTable[[#This Row],[BookieInnsats]]+LayTable[[#This Row],[LayLiability]])</f>
        <v/>
      </c>
      <c r="R12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4" s="47" t="str">
        <f>IF(LayTable[[#This Row],[Utfall bookie]]="","",LayTable[[#This Row],[WBABack]]+LayTable[[#This Row],[WBALay]]-LayTable[[#This Row],[Total inns]])</f>
        <v/>
      </c>
      <c r="U12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4" s="48" t="str">
        <f>IFERROR(IF(LayTable[[#This Row],[Total inns]]="","",LayTable[[#This Row],[Rback]]/LayTable[[#This Row],[Total inns]]),"")</f>
        <v/>
      </c>
      <c r="X1214" s="48" t="str">
        <f>IFERROR(IF(LayTable[[#This Row],[Total inns]]="","",LayTable[[#This Row],[Rlay]]/LayTable[[#This Row],[Total inns]]),"")</f>
        <v/>
      </c>
      <c r="Y1214" s="48" t="str">
        <f>IFERROR(LayTable[[#This Row],[Faktisk res]]/LayTable[[#This Row],[Total inns]],"")</f>
        <v/>
      </c>
      <c r="Z1214" s="47">
        <f>(LayTable[[#This Row],[BookieInnsats]]*LayTable[[#This Row],[BookieOdds]]-LayTable[[#This Row],[BookieInnsats]])*(1-LayTable[[#This Row],[C% Bookie]])</f>
        <v>0</v>
      </c>
      <c r="AA1214" s="43">
        <f>LayTable[[#This Row],[LayInnsats]]*(1-LayTable[[#This Row],[C% Lay]])</f>
        <v>0</v>
      </c>
      <c r="AB1214" s="43" t="str">
        <f>IFERROR(IF(LayTable[[#This Row],[Sport]]="",AB1213,LayTable[[#This Row],[Faktisk res]]+AB1213),"")</f>
        <v/>
      </c>
      <c r="AC1214" s="43">
        <f>(LayTable[[#This Row],[BackWin-Commission]]+LayTable[[#This Row],[BookieInnsats]])</f>
        <v>0</v>
      </c>
      <c r="AD1214" s="43" t="e">
        <f>(LayTable[[#This Row],[LayWin-Commission]])+LayTable[[#This Row],[LayLiability]]</f>
        <v>#VALUE!</v>
      </c>
      <c r="AE1214" s="43"/>
      <c r="AF1214" s="181"/>
    </row>
    <row r="1215" spans="1:32">
      <c r="A1215" s="84"/>
      <c r="B1215" s="39"/>
      <c r="C1215" s="40"/>
      <c r="D1215" s="41"/>
      <c r="E1215" s="40"/>
      <c r="F1215" s="41"/>
      <c r="G1215" s="101"/>
      <c r="H1215" s="38"/>
      <c r="I1215" s="42"/>
      <c r="J1215" s="42"/>
      <c r="K1215" s="43"/>
      <c r="L1215" s="43"/>
      <c r="M1215" s="44" t="str">
        <f>IF(LayTable[[#This Row],[Sport]]="","",LayTable[[#This Row],[LayInnsats]]*(LayTable[[#This Row],[LayOdds]]-1))</f>
        <v/>
      </c>
      <c r="N1215" s="45" t="str">
        <f>IF(LayTable[[#This Row],[Sport]]="","",1/((1/LayTable[[#This Row],[BookieOdds]])+(1/((1/((1+((LayTable[[#This Row],[LayOdds]]-1)*(1+LayTable[[#This Row],[C% Lay]])))-1))+1)))-1)</f>
        <v/>
      </c>
      <c r="Q1215" s="46" t="str">
        <f>IF(LayTable[[#This Row],[Sport]]="","",LayTable[[#This Row],[BookieInnsats]]+LayTable[[#This Row],[LayLiability]])</f>
        <v/>
      </c>
      <c r="R12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5" s="47" t="str">
        <f>IF(LayTable[[#This Row],[Utfall bookie]]="","",LayTable[[#This Row],[WBABack]]+LayTable[[#This Row],[WBALay]]-LayTable[[#This Row],[Total inns]])</f>
        <v/>
      </c>
      <c r="U12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5" s="48" t="str">
        <f>IFERROR(IF(LayTable[[#This Row],[Total inns]]="","",LayTable[[#This Row],[Rback]]/LayTable[[#This Row],[Total inns]]),"")</f>
        <v/>
      </c>
      <c r="X1215" s="48" t="str">
        <f>IFERROR(IF(LayTable[[#This Row],[Total inns]]="","",LayTable[[#This Row],[Rlay]]/LayTable[[#This Row],[Total inns]]),"")</f>
        <v/>
      </c>
      <c r="Y1215" s="48" t="str">
        <f>IFERROR(LayTable[[#This Row],[Faktisk res]]/LayTable[[#This Row],[Total inns]],"")</f>
        <v/>
      </c>
      <c r="Z1215" s="47">
        <f>(LayTable[[#This Row],[BookieInnsats]]*LayTable[[#This Row],[BookieOdds]]-LayTable[[#This Row],[BookieInnsats]])*(1-LayTable[[#This Row],[C% Bookie]])</f>
        <v>0</v>
      </c>
      <c r="AA1215" s="43">
        <f>LayTable[[#This Row],[LayInnsats]]*(1-LayTable[[#This Row],[C% Lay]])</f>
        <v>0</v>
      </c>
      <c r="AB1215" s="43" t="str">
        <f>IFERROR(IF(LayTable[[#This Row],[Sport]]="",AB1214,LayTable[[#This Row],[Faktisk res]]+AB1214),"")</f>
        <v/>
      </c>
      <c r="AC1215" s="43">
        <f>(LayTable[[#This Row],[BackWin-Commission]]+LayTable[[#This Row],[BookieInnsats]])</f>
        <v>0</v>
      </c>
      <c r="AD1215" s="43" t="e">
        <f>(LayTable[[#This Row],[LayWin-Commission]])+LayTable[[#This Row],[LayLiability]]</f>
        <v>#VALUE!</v>
      </c>
      <c r="AE1215" s="43"/>
      <c r="AF1215" s="181"/>
    </row>
    <row r="1216" spans="1:32">
      <c r="A1216" s="84"/>
      <c r="B1216" s="39"/>
      <c r="C1216" s="40"/>
      <c r="D1216" s="41"/>
      <c r="E1216" s="40"/>
      <c r="F1216" s="41"/>
      <c r="G1216" s="101"/>
      <c r="H1216" s="38"/>
      <c r="I1216" s="42"/>
      <c r="J1216" s="42"/>
      <c r="K1216" s="43"/>
      <c r="L1216" s="43"/>
      <c r="M1216" s="44" t="str">
        <f>IF(LayTable[[#This Row],[Sport]]="","",LayTable[[#This Row],[LayInnsats]]*(LayTable[[#This Row],[LayOdds]]-1))</f>
        <v/>
      </c>
      <c r="N1216" s="45" t="str">
        <f>IF(LayTable[[#This Row],[Sport]]="","",1/((1/LayTable[[#This Row],[BookieOdds]])+(1/((1/((1+((LayTable[[#This Row],[LayOdds]]-1)*(1+LayTable[[#This Row],[C% Lay]])))-1))+1)))-1)</f>
        <v/>
      </c>
      <c r="Q1216" s="46" t="str">
        <f>IF(LayTable[[#This Row],[Sport]]="","",LayTable[[#This Row],[BookieInnsats]]+LayTable[[#This Row],[LayLiability]])</f>
        <v/>
      </c>
      <c r="R12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6" s="47" t="str">
        <f>IF(LayTable[[#This Row],[Utfall bookie]]="","",LayTable[[#This Row],[WBABack]]+LayTable[[#This Row],[WBALay]]-LayTable[[#This Row],[Total inns]])</f>
        <v/>
      </c>
      <c r="U12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6" s="48" t="str">
        <f>IFERROR(IF(LayTable[[#This Row],[Total inns]]="","",LayTable[[#This Row],[Rback]]/LayTable[[#This Row],[Total inns]]),"")</f>
        <v/>
      </c>
      <c r="X1216" s="48" t="str">
        <f>IFERROR(IF(LayTable[[#This Row],[Total inns]]="","",LayTable[[#This Row],[Rlay]]/LayTable[[#This Row],[Total inns]]),"")</f>
        <v/>
      </c>
      <c r="Y1216" s="48" t="str">
        <f>IFERROR(LayTable[[#This Row],[Faktisk res]]/LayTable[[#This Row],[Total inns]],"")</f>
        <v/>
      </c>
      <c r="Z1216" s="47">
        <f>(LayTable[[#This Row],[BookieInnsats]]*LayTable[[#This Row],[BookieOdds]]-LayTable[[#This Row],[BookieInnsats]])*(1-LayTable[[#This Row],[C% Bookie]])</f>
        <v>0</v>
      </c>
      <c r="AA1216" s="43">
        <f>LayTable[[#This Row],[LayInnsats]]*(1-LayTable[[#This Row],[C% Lay]])</f>
        <v>0</v>
      </c>
      <c r="AB1216" s="43" t="str">
        <f>IFERROR(IF(LayTable[[#This Row],[Sport]]="",AB1215,LayTable[[#This Row],[Faktisk res]]+AB1215),"")</f>
        <v/>
      </c>
      <c r="AC1216" s="43">
        <f>(LayTable[[#This Row],[BackWin-Commission]]+LayTable[[#This Row],[BookieInnsats]])</f>
        <v>0</v>
      </c>
      <c r="AD1216" s="43" t="e">
        <f>(LayTable[[#This Row],[LayWin-Commission]])+LayTable[[#This Row],[LayLiability]]</f>
        <v>#VALUE!</v>
      </c>
      <c r="AE1216" s="43"/>
      <c r="AF1216" s="181"/>
    </row>
    <row r="1217" spans="1:32">
      <c r="A1217" s="84"/>
      <c r="B1217" s="39"/>
      <c r="C1217" s="40"/>
      <c r="D1217" s="41"/>
      <c r="E1217" s="40"/>
      <c r="F1217" s="41"/>
      <c r="G1217" s="101"/>
      <c r="H1217" s="38"/>
      <c r="I1217" s="42"/>
      <c r="J1217" s="42"/>
      <c r="K1217" s="43"/>
      <c r="L1217" s="43"/>
      <c r="M1217" s="44" t="str">
        <f>IF(LayTable[[#This Row],[Sport]]="","",LayTable[[#This Row],[LayInnsats]]*(LayTable[[#This Row],[LayOdds]]-1))</f>
        <v/>
      </c>
      <c r="N1217" s="45" t="str">
        <f>IF(LayTable[[#This Row],[Sport]]="","",1/((1/LayTable[[#This Row],[BookieOdds]])+(1/((1/((1+((LayTable[[#This Row],[LayOdds]]-1)*(1+LayTable[[#This Row],[C% Lay]])))-1))+1)))-1)</f>
        <v/>
      </c>
      <c r="Q1217" s="46" t="str">
        <f>IF(LayTable[[#This Row],[Sport]]="","",LayTable[[#This Row],[BookieInnsats]]+LayTable[[#This Row],[LayLiability]])</f>
        <v/>
      </c>
      <c r="R12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7" s="47" t="str">
        <f>IF(LayTable[[#This Row],[Utfall bookie]]="","",LayTable[[#This Row],[WBABack]]+LayTable[[#This Row],[WBALay]]-LayTable[[#This Row],[Total inns]])</f>
        <v/>
      </c>
      <c r="U12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7" s="48" t="str">
        <f>IFERROR(IF(LayTable[[#This Row],[Total inns]]="","",LayTable[[#This Row],[Rback]]/LayTable[[#This Row],[Total inns]]),"")</f>
        <v/>
      </c>
      <c r="X1217" s="48" t="str">
        <f>IFERROR(IF(LayTable[[#This Row],[Total inns]]="","",LayTable[[#This Row],[Rlay]]/LayTable[[#This Row],[Total inns]]),"")</f>
        <v/>
      </c>
      <c r="Y1217" s="48" t="str">
        <f>IFERROR(LayTable[[#This Row],[Faktisk res]]/LayTable[[#This Row],[Total inns]],"")</f>
        <v/>
      </c>
      <c r="Z1217" s="47">
        <f>(LayTable[[#This Row],[BookieInnsats]]*LayTable[[#This Row],[BookieOdds]]-LayTable[[#This Row],[BookieInnsats]])*(1-LayTable[[#This Row],[C% Bookie]])</f>
        <v>0</v>
      </c>
      <c r="AA1217" s="43">
        <f>LayTable[[#This Row],[LayInnsats]]*(1-LayTable[[#This Row],[C% Lay]])</f>
        <v>0</v>
      </c>
      <c r="AB1217" s="43" t="str">
        <f>IFERROR(IF(LayTable[[#This Row],[Sport]]="",AB1216,LayTable[[#This Row],[Faktisk res]]+AB1216),"")</f>
        <v/>
      </c>
      <c r="AC1217" s="43">
        <f>(LayTable[[#This Row],[BackWin-Commission]]+LayTable[[#This Row],[BookieInnsats]])</f>
        <v>0</v>
      </c>
      <c r="AD1217" s="43" t="e">
        <f>(LayTable[[#This Row],[LayWin-Commission]])+LayTable[[#This Row],[LayLiability]]</f>
        <v>#VALUE!</v>
      </c>
      <c r="AE1217" s="43"/>
      <c r="AF1217" s="181"/>
    </row>
    <row r="1218" spans="1:32">
      <c r="A1218" s="84"/>
      <c r="B1218" s="39"/>
      <c r="C1218" s="40"/>
      <c r="D1218" s="41"/>
      <c r="E1218" s="40"/>
      <c r="F1218" s="41"/>
      <c r="G1218" s="101"/>
      <c r="H1218" s="38"/>
      <c r="I1218" s="42"/>
      <c r="J1218" s="42"/>
      <c r="K1218" s="43"/>
      <c r="L1218" s="43"/>
      <c r="M1218" s="44" t="str">
        <f>IF(LayTable[[#This Row],[Sport]]="","",LayTable[[#This Row],[LayInnsats]]*(LayTable[[#This Row],[LayOdds]]-1))</f>
        <v/>
      </c>
      <c r="N1218" s="45" t="str">
        <f>IF(LayTable[[#This Row],[Sport]]="","",1/((1/LayTable[[#This Row],[BookieOdds]])+(1/((1/((1+((LayTable[[#This Row],[LayOdds]]-1)*(1+LayTable[[#This Row],[C% Lay]])))-1))+1)))-1)</f>
        <v/>
      </c>
      <c r="Q1218" s="46" t="str">
        <f>IF(LayTable[[#This Row],[Sport]]="","",LayTable[[#This Row],[BookieInnsats]]+LayTable[[#This Row],[LayLiability]])</f>
        <v/>
      </c>
      <c r="R12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8" s="47" t="str">
        <f>IF(LayTable[[#This Row],[Utfall bookie]]="","",LayTable[[#This Row],[WBABack]]+LayTable[[#This Row],[WBALay]]-LayTable[[#This Row],[Total inns]])</f>
        <v/>
      </c>
      <c r="U12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8" s="48" t="str">
        <f>IFERROR(IF(LayTable[[#This Row],[Total inns]]="","",LayTable[[#This Row],[Rback]]/LayTable[[#This Row],[Total inns]]),"")</f>
        <v/>
      </c>
      <c r="X1218" s="48" t="str">
        <f>IFERROR(IF(LayTable[[#This Row],[Total inns]]="","",LayTable[[#This Row],[Rlay]]/LayTable[[#This Row],[Total inns]]),"")</f>
        <v/>
      </c>
      <c r="Y1218" s="48" t="str">
        <f>IFERROR(LayTable[[#This Row],[Faktisk res]]/LayTable[[#This Row],[Total inns]],"")</f>
        <v/>
      </c>
      <c r="Z1218" s="47">
        <f>(LayTable[[#This Row],[BookieInnsats]]*LayTable[[#This Row],[BookieOdds]]-LayTable[[#This Row],[BookieInnsats]])*(1-LayTable[[#This Row],[C% Bookie]])</f>
        <v>0</v>
      </c>
      <c r="AA1218" s="43">
        <f>LayTable[[#This Row],[LayInnsats]]*(1-LayTable[[#This Row],[C% Lay]])</f>
        <v>0</v>
      </c>
      <c r="AB1218" s="43" t="str">
        <f>IFERROR(IF(LayTable[[#This Row],[Sport]]="",AB1217,LayTable[[#This Row],[Faktisk res]]+AB1217),"")</f>
        <v/>
      </c>
      <c r="AC1218" s="43">
        <f>(LayTable[[#This Row],[BackWin-Commission]]+LayTable[[#This Row],[BookieInnsats]])</f>
        <v>0</v>
      </c>
      <c r="AD1218" s="43" t="e">
        <f>(LayTable[[#This Row],[LayWin-Commission]])+LayTable[[#This Row],[LayLiability]]</f>
        <v>#VALUE!</v>
      </c>
      <c r="AE1218" s="43"/>
      <c r="AF1218" s="181"/>
    </row>
    <row r="1219" spans="1:32">
      <c r="A1219" s="84"/>
      <c r="B1219" s="39"/>
      <c r="C1219" s="40"/>
      <c r="D1219" s="41"/>
      <c r="E1219" s="40"/>
      <c r="F1219" s="41"/>
      <c r="G1219" s="101"/>
      <c r="H1219" s="38"/>
      <c r="I1219" s="42"/>
      <c r="J1219" s="42"/>
      <c r="K1219" s="43"/>
      <c r="L1219" s="43"/>
      <c r="M1219" s="44" t="str">
        <f>IF(LayTable[[#This Row],[Sport]]="","",LayTable[[#This Row],[LayInnsats]]*(LayTable[[#This Row],[LayOdds]]-1))</f>
        <v/>
      </c>
      <c r="N1219" s="45" t="str">
        <f>IF(LayTable[[#This Row],[Sport]]="","",1/((1/LayTable[[#This Row],[BookieOdds]])+(1/((1/((1+((LayTable[[#This Row],[LayOdds]]-1)*(1+LayTable[[#This Row],[C% Lay]])))-1))+1)))-1)</f>
        <v/>
      </c>
      <c r="Q1219" s="46" t="str">
        <f>IF(LayTable[[#This Row],[Sport]]="","",LayTable[[#This Row],[BookieInnsats]]+LayTable[[#This Row],[LayLiability]])</f>
        <v/>
      </c>
      <c r="R12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19" s="47" t="str">
        <f>IF(LayTable[[#This Row],[Utfall bookie]]="","",LayTable[[#This Row],[WBABack]]+LayTable[[#This Row],[WBALay]]-LayTable[[#This Row],[Total inns]])</f>
        <v/>
      </c>
      <c r="U12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19" s="48" t="str">
        <f>IFERROR(IF(LayTable[[#This Row],[Total inns]]="","",LayTable[[#This Row],[Rback]]/LayTable[[#This Row],[Total inns]]),"")</f>
        <v/>
      </c>
      <c r="X1219" s="48" t="str">
        <f>IFERROR(IF(LayTable[[#This Row],[Total inns]]="","",LayTable[[#This Row],[Rlay]]/LayTable[[#This Row],[Total inns]]),"")</f>
        <v/>
      </c>
      <c r="Y1219" s="48" t="str">
        <f>IFERROR(LayTable[[#This Row],[Faktisk res]]/LayTable[[#This Row],[Total inns]],"")</f>
        <v/>
      </c>
      <c r="Z1219" s="47">
        <f>(LayTable[[#This Row],[BookieInnsats]]*LayTable[[#This Row],[BookieOdds]]-LayTable[[#This Row],[BookieInnsats]])*(1-LayTable[[#This Row],[C% Bookie]])</f>
        <v>0</v>
      </c>
      <c r="AA1219" s="43">
        <f>LayTable[[#This Row],[LayInnsats]]*(1-LayTable[[#This Row],[C% Lay]])</f>
        <v>0</v>
      </c>
      <c r="AB1219" s="43" t="str">
        <f>IFERROR(IF(LayTable[[#This Row],[Sport]]="",AB1218,LayTable[[#This Row],[Faktisk res]]+AB1218),"")</f>
        <v/>
      </c>
      <c r="AC1219" s="43">
        <f>(LayTable[[#This Row],[BackWin-Commission]]+LayTable[[#This Row],[BookieInnsats]])</f>
        <v>0</v>
      </c>
      <c r="AD1219" s="43" t="e">
        <f>(LayTable[[#This Row],[LayWin-Commission]])+LayTable[[#This Row],[LayLiability]]</f>
        <v>#VALUE!</v>
      </c>
      <c r="AE1219" s="43"/>
      <c r="AF1219" s="181"/>
    </row>
    <row r="1220" spans="1:32">
      <c r="A1220" s="84"/>
      <c r="B1220" s="39"/>
      <c r="C1220" s="40"/>
      <c r="D1220" s="41"/>
      <c r="E1220" s="40"/>
      <c r="F1220" s="41"/>
      <c r="G1220" s="101"/>
      <c r="H1220" s="38"/>
      <c r="I1220" s="42"/>
      <c r="J1220" s="42"/>
      <c r="K1220" s="43"/>
      <c r="L1220" s="43"/>
      <c r="M1220" s="44" t="str">
        <f>IF(LayTable[[#This Row],[Sport]]="","",LayTable[[#This Row],[LayInnsats]]*(LayTable[[#This Row],[LayOdds]]-1))</f>
        <v/>
      </c>
      <c r="N1220" s="45" t="str">
        <f>IF(LayTable[[#This Row],[Sport]]="","",1/((1/LayTable[[#This Row],[BookieOdds]])+(1/((1/((1+((LayTable[[#This Row],[LayOdds]]-1)*(1+LayTable[[#This Row],[C% Lay]])))-1))+1)))-1)</f>
        <v/>
      </c>
      <c r="Q1220" s="46" t="str">
        <f>IF(LayTable[[#This Row],[Sport]]="","",LayTable[[#This Row],[BookieInnsats]]+LayTable[[#This Row],[LayLiability]])</f>
        <v/>
      </c>
      <c r="R12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0" s="47" t="str">
        <f>IF(LayTable[[#This Row],[Utfall bookie]]="","",LayTable[[#This Row],[WBABack]]+LayTable[[#This Row],[WBALay]]-LayTable[[#This Row],[Total inns]])</f>
        <v/>
      </c>
      <c r="U12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0" s="48" t="str">
        <f>IFERROR(IF(LayTable[[#This Row],[Total inns]]="","",LayTable[[#This Row],[Rback]]/LayTable[[#This Row],[Total inns]]),"")</f>
        <v/>
      </c>
      <c r="X1220" s="48" t="str">
        <f>IFERROR(IF(LayTable[[#This Row],[Total inns]]="","",LayTable[[#This Row],[Rlay]]/LayTable[[#This Row],[Total inns]]),"")</f>
        <v/>
      </c>
      <c r="Y1220" s="48" t="str">
        <f>IFERROR(LayTable[[#This Row],[Faktisk res]]/LayTable[[#This Row],[Total inns]],"")</f>
        <v/>
      </c>
      <c r="Z1220" s="47">
        <f>(LayTable[[#This Row],[BookieInnsats]]*LayTable[[#This Row],[BookieOdds]]-LayTable[[#This Row],[BookieInnsats]])*(1-LayTable[[#This Row],[C% Bookie]])</f>
        <v>0</v>
      </c>
      <c r="AA1220" s="43">
        <f>LayTable[[#This Row],[LayInnsats]]*(1-LayTable[[#This Row],[C% Lay]])</f>
        <v>0</v>
      </c>
      <c r="AB1220" s="43" t="str">
        <f>IFERROR(IF(LayTable[[#This Row],[Sport]]="",AB1219,LayTable[[#This Row],[Faktisk res]]+AB1219),"")</f>
        <v/>
      </c>
      <c r="AC1220" s="43">
        <f>(LayTable[[#This Row],[BackWin-Commission]]+LayTable[[#This Row],[BookieInnsats]])</f>
        <v>0</v>
      </c>
      <c r="AD1220" s="43" t="e">
        <f>(LayTable[[#This Row],[LayWin-Commission]])+LayTable[[#This Row],[LayLiability]]</f>
        <v>#VALUE!</v>
      </c>
      <c r="AE1220" s="43"/>
      <c r="AF1220" s="181"/>
    </row>
    <row r="1221" spans="1:32">
      <c r="A1221" s="84"/>
      <c r="B1221" s="39"/>
      <c r="C1221" s="40"/>
      <c r="D1221" s="41"/>
      <c r="E1221" s="40"/>
      <c r="F1221" s="41"/>
      <c r="G1221" s="101"/>
      <c r="H1221" s="38"/>
      <c r="I1221" s="42"/>
      <c r="J1221" s="42"/>
      <c r="K1221" s="43"/>
      <c r="L1221" s="43"/>
      <c r="M1221" s="44" t="str">
        <f>IF(LayTable[[#This Row],[Sport]]="","",LayTable[[#This Row],[LayInnsats]]*(LayTable[[#This Row],[LayOdds]]-1))</f>
        <v/>
      </c>
      <c r="N1221" s="45" t="str">
        <f>IF(LayTable[[#This Row],[Sport]]="","",1/((1/LayTable[[#This Row],[BookieOdds]])+(1/((1/((1+((LayTable[[#This Row],[LayOdds]]-1)*(1+LayTable[[#This Row],[C% Lay]])))-1))+1)))-1)</f>
        <v/>
      </c>
      <c r="Q1221" s="46" t="str">
        <f>IF(LayTable[[#This Row],[Sport]]="","",LayTable[[#This Row],[BookieInnsats]]+LayTable[[#This Row],[LayLiability]])</f>
        <v/>
      </c>
      <c r="R12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1" s="47" t="str">
        <f>IF(LayTable[[#This Row],[Utfall bookie]]="","",LayTable[[#This Row],[WBABack]]+LayTable[[#This Row],[WBALay]]-LayTable[[#This Row],[Total inns]])</f>
        <v/>
      </c>
      <c r="U12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1" s="48" t="str">
        <f>IFERROR(IF(LayTable[[#This Row],[Total inns]]="","",LayTable[[#This Row],[Rback]]/LayTable[[#This Row],[Total inns]]),"")</f>
        <v/>
      </c>
      <c r="X1221" s="48" t="str">
        <f>IFERROR(IF(LayTable[[#This Row],[Total inns]]="","",LayTable[[#This Row],[Rlay]]/LayTable[[#This Row],[Total inns]]),"")</f>
        <v/>
      </c>
      <c r="Y1221" s="48" t="str">
        <f>IFERROR(LayTable[[#This Row],[Faktisk res]]/LayTable[[#This Row],[Total inns]],"")</f>
        <v/>
      </c>
      <c r="Z1221" s="47">
        <f>(LayTable[[#This Row],[BookieInnsats]]*LayTable[[#This Row],[BookieOdds]]-LayTable[[#This Row],[BookieInnsats]])*(1-LayTable[[#This Row],[C% Bookie]])</f>
        <v>0</v>
      </c>
      <c r="AA1221" s="43">
        <f>LayTable[[#This Row],[LayInnsats]]*(1-LayTable[[#This Row],[C% Lay]])</f>
        <v>0</v>
      </c>
      <c r="AB1221" s="43" t="str">
        <f>IFERROR(IF(LayTable[[#This Row],[Sport]]="",AB1220,LayTable[[#This Row],[Faktisk res]]+AB1220),"")</f>
        <v/>
      </c>
      <c r="AC1221" s="43">
        <f>(LayTable[[#This Row],[BackWin-Commission]]+LayTable[[#This Row],[BookieInnsats]])</f>
        <v>0</v>
      </c>
      <c r="AD1221" s="43" t="e">
        <f>(LayTable[[#This Row],[LayWin-Commission]])+LayTable[[#This Row],[LayLiability]]</f>
        <v>#VALUE!</v>
      </c>
      <c r="AE1221" s="43"/>
      <c r="AF1221" s="181"/>
    </row>
    <row r="1222" spans="1:32">
      <c r="A1222" s="84"/>
      <c r="B1222" s="39"/>
      <c r="C1222" s="40"/>
      <c r="D1222" s="41"/>
      <c r="E1222" s="40"/>
      <c r="F1222" s="41"/>
      <c r="G1222" s="101"/>
      <c r="H1222" s="38"/>
      <c r="I1222" s="42"/>
      <c r="J1222" s="42"/>
      <c r="K1222" s="43"/>
      <c r="L1222" s="43"/>
      <c r="M1222" s="44" t="str">
        <f>IF(LayTable[[#This Row],[Sport]]="","",LayTable[[#This Row],[LayInnsats]]*(LayTable[[#This Row],[LayOdds]]-1))</f>
        <v/>
      </c>
      <c r="N1222" s="45" t="str">
        <f>IF(LayTable[[#This Row],[Sport]]="","",1/((1/LayTable[[#This Row],[BookieOdds]])+(1/((1/((1+((LayTable[[#This Row],[LayOdds]]-1)*(1+LayTable[[#This Row],[C% Lay]])))-1))+1)))-1)</f>
        <v/>
      </c>
      <c r="Q1222" s="46" t="str">
        <f>IF(LayTable[[#This Row],[Sport]]="","",LayTable[[#This Row],[BookieInnsats]]+LayTable[[#This Row],[LayLiability]])</f>
        <v/>
      </c>
      <c r="R12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2" s="47" t="str">
        <f>IF(LayTable[[#This Row],[Utfall bookie]]="","",LayTable[[#This Row],[WBABack]]+LayTable[[#This Row],[WBALay]]-LayTable[[#This Row],[Total inns]])</f>
        <v/>
      </c>
      <c r="U12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2" s="48" t="str">
        <f>IFERROR(IF(LayTable[[#This Row],[Total inns]]="","",LayTable[[#This Row],[Rback]]/LayTable[[#This Row],[Total inns]]),"")</f>
        <v/>
      </c>
      <c r="X1222" s="48" t="str">
        <f>IFERROR(IF(LayTable[[#This Row],[Total inns]]="","",LayTable[[#This Row],[Rlay]]/LayTable[[#This Row],[Total inns]]),"")</f>
        <v/>
      </c>
      <c r="Y1222" s="48" t="str">
        <f>IFERROR(LayTable[[#This Row],[Faktisk res]]/LayTable[[#This Row],[Total inns]],"")</f>
        <v/>
      </c>
      <c r="Z1222" s="47">
        <f>(LayTable[[#This Row],[BookieInnsats]]*LayTable[[#This Row],[BookieOdds]]-LayTable[[#This Row],[BookieInnsats]])*(1-LayTable[[#This Row],[C% Bookie]])</f>
        <v>0</v>
      </c>
      <c r="AA1222" s="43">
        <f>LayTable[[#This Row],[LayInnsats]]*(1-LayTable[[#This Row],[C% Lay]])</f>
        <v>0</v>
      </c>
      <c r="AB1222" s="43" t="str">
        <f>IFERROR(IF(LayTable[[#This Row],[Sport]]="",AB1221,LayTable[[#This Row],[Faktisk res]]+AB1221),"")</f>
        <v/>
      </c>
      <c r="AC1222" s="43">
        <f>(LayTable[[#This Row],[BackWin-Commission]]+LayTable[[#This Row],[BookieInnsats]])</f>
        <v>0</v>
      </c>
      <c r="AD1222" s="43" t="e">
        <f>(LayTable[[#This Row],[LayWin-Commission]])+LayTable[[#This Row],[LayLiability]]</f>
        <v>#VALUE!</v>
      </c>
      <c r="AE1222" s="43"/>
      <c r="AF1222" s="181"/>
    </row>
    <row r="1223" spans="1:32">
      <c r="A1223" s="84"/>
      <c r="B1223" s="39"/>
      <c r="C1223" s="40"/>
      <c r="D1223" s="41"/>
      <c r="E1223" s="40"/>
      <c r="F1223" s="41"/>
      <c r="G1223" s="101"/>
      <c r="H1223" s="38"/>
      <c r="I1223" s="42"/>
      <c r="J1223" s="42"/>
      <c r="K1223" s="43"/>
      <c r="L1223" s="43"/>
      <c r="M1223" s="44" t="str">
        <f>IF(LayTable[[#This Row],[Sport]]="","",LayTable[[#This Row],[LayInnsats]]*(LayTable[[#This Row],[LayOdds]]-1))</f>
        <v/>
      </c>
      <c r="N1223" s="45" t="str">
        <f>IF(LayTable[[#This Row],[Sport]]="","",1/((1/LayTable[[#This Row],[BookieOdds]])+(1/((1/((1+((LayTable[[#This Row],[LayOdds]]-1)*(1+LayTable[[#This Row],[C% Lay]])))-1))+1)))-1)</f>
        <v/>
      </c>
      <c r="Q1223" s="46" t="str">
        <f>IF(LayTable[[#This Row],[Sport]]="","",LayTable[[#This Row],[BookieInnsats]]+LayTable[[#This Row],[LayLiability]])</f>
        <v/>
      </c>
      <c r="R12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3" s="47" t="str">
        <f>IF(LayTable[[#This Row],[Utfall bookie]]="","",LayTable[[#This Row],[WBABack]]+LayTable[[#This Row],[WBALay]]-LayTable[[#This Row],[Total inns]])</f>
        <v/>
      </c>
      <c r="U12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3" s="48" t="str">
        <f>IFERROR(IF(LayTable[[#This Row],[Total inns]]="","",LayTable[[#This Row],[Rback]]/LayTable[[#This Row],[Total inns]]),"")</f>
        <v/>
      </c>
      <c r="X1223" s="48" t="str">
        <f>IFERROR(IF(LayTable[[#This Row],[Total inns]]="","",LayTable[[#This Row],[Rlay]]/LayTable[[#This Row],[Total inns]]),"")</f>
        <v/>
      </c>
      <c r="Y1223" s="48" t="str">
        <f>IFERROR(LayTable[[#This Row],[Faktisk res]]/LayTable[[#This Row],[Total inns]],"")</f>
        <v/>
      </c>
      <c r="Z1223" s="47">
        <f>(LayTable[[#This Row],[BookieInnsats]]*LayTable[[#This Row],[BookieOdds]]-LayTable[[#This Row],[BookieInnsats]])*(1-LayTable[[#This Row],[C% Bookie]])</f>
        <v>0</v>
      </c>
      <c r="AA1223" s="43">
        <f>LayTable[[#This Row],[LayInnsats]]*(1-LayTable[[#This Row],[C% Lay]])</f>
        <v>0</v>
      </c>
      <c r="AB1223" s="43" t="str">
        <f>IFERROR(IF(LayTable[[#This Row],[Sport]]="",AB1222,LayTable[[#This Row],[Faktisk res]]+AB1222),"")</f>
        <v/>
      </c>
      <c r="AC1223" s="43">
        <f>(LayTable[[#This Row],[BackWin-Commission]]+LayTable[[#This Row],[BookieInnsats]])</f>
        <v>0</v>
      </c>
      <c r="AD1223" s="43" t="e">
        <f>(LayTable[[#This Row],[LayWin-Commission]])+LayTable[[#This Row],[LayLiability]]</f>
        <v>#VALUE!</v>
      </c>
      <c r="AE1223" s="43"/>
      <c r="AF1223" s="181"/>
    </row>
    <row r="1224" spans="1:32">
      <c r="A1224" s="84"/>
      <c r="B1224" s="39"/>
      <c r="C1224" s="40"/>
      <c r="D1224" s="41"/>
      <c r="E1224" s="40"/>
      <c r="F1224" s="41"/>
      <c r="G1224" s="101"/>
      <c r="H1224" s="38"/>
      <c r="I1224" s="42"/>
      <c r="J1224" s="42"/>
      <c r="K1224" s="43"/>
      <c r="L1224" s="43"/>
      <c r="M1224" s="44" t="str">
        <f>IF(LayTable[[#This Row],[Sport]]="","",LayTable[[#This Row],[LayInnsats]]*(LayTable[[#This Row],[LayOdds]]-1))</f>
        <v/>
      </c>
      <c r="N1224" s="45" t="str">
        <f>IF(LayTable[[#This Row],[Sport]]="","",1/((1/LayTable[[#This Row],[BookieOdds]])+(1/((1/((1+((LayTable[[#This Row],[LayOdds]]-1)*(1+LayTable[[#This Row],[C% Lay]])))-1))+1)))-1)</f>
        <v/>
      </c>
      <c r="Q1224" s="46" t="str">
        <f>IF(LayTable[[#This Row],[Sport]]="","",LayTable[[#This Row],[BookieInnsats]]+LayTable[[#This Row],[LayLiability]])</f>
        <v/>
      </c>
      <c r="R12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4" s="47" t="str">
        <f>IF(LayTable[[#This Row],[Utfall bookie]]="","",LayTable[[#This Row],[WBABack]]+LayTable[[#This Row],[WBALay]]-LayTable[[#This Row],[Total inns]])</f>
        <v/>
      </c>
      <c r="U12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4" s="48" t="str">
        <f>IFERROR(IF(LayTable[[#This Row],[Total inns]]="","",LayTable[[#This Row],[Rback]]/LayTable[[#This Row],[Total inns]]),"")</f>
        <v/>
      </c>
      <c r="X1224" s="48" t="str">
        <f>IFERROR(IF(LayTable[[#This Row],[Total inns]]="","",LayTable[[#This Row],[Rlay]]/LayTable[[#This Row],[Total inns]]),"")</f>
        <v/>
      </c>
      <c r="Y1224" s="48" t="str">
        <f>IFERROR(LayTable[[#This Row],[Faktisk res]]/LayTable[[#This Row],[Total inns]],"")</f>
        <v/>
      </c>
      <c r="Z1224" s="47">
        <f>(LayTable[[#This Row],[BookieInnsats]]*LayTable[[#This Row],[BookieOdds]]-LayTable[[#This Row],[BookieInnsats]])*(1-LayTable[[#This Row],[C% Bookie]])</f>
        <v>0</v>
      </c>
      <c r="AA1224" s="43">
        <f>LayTable[[#This Row],[LayInnsats]]*(1-LayTable[[#This Row],[C% Lay]])</f>
        <v>0</v>
      </c>
      <c r="AB1224" s="43" t="str">
        <f>IFERROR(IF(LayTable[[#This Row],[Sport]]="",AB1223,LayTable[[#This Row],[Faktisk res]]+AB1223),"")</f>
        <v/>
      </c>
      <c r="AC1224" s="43">
        <f>(LayTable[[#This Row],[BackWin-Commission]]+LayTable[[#This Row],[BookieInnsats]])</f>
        <v>0</v>
      </c>
      <c r="AD1224" s="43" t="e">
        <f>(LayTable[[#This Row],[LayWin-Commission]])+LayTable[[#This Row],[LayLiability]]</f>
        <v>#VALUE!</v>
      </c>
      <c r="AE1224" s="43"/>
      <c r="AF1224" s="181"/>
    </row>
    <row r="1225" spans="1:32">
      <c r="A1225" s="84"/>
      <c r="B1225" s="39"/>
      <c r="C1225" s="40"/>
      <c r="D1225" s="41"/>
      <c r="E1225" s="40"/>
      <c r="F1225" s="41"/>
      <c r="G1225" s="101"/>
      <c r="H1225" s="38"/>
      <c r="I1225" s="42"/>
      <c r="J1225" s="42"/>
      <c r="K1225" s="43"/>
      <c r="L1225" s="43"/>
      <c r="M1225" s="44" t="str">
        <f>IF(LayTable[[#This Row],[Sport]]="","",LayTable[[#This Row],[LayInnsats]]*(LayTable[[#This Row],[LayOdds]]-1))</f>
        <v/>
      </c>
      <c r="N1225" s="45" t="str">
        <f>IF(LayTable[[#This Row],[Sport]]="","",1/((1/LayTable[[#This Row],[BookieOdds]])+(1/((1/((1+((LayTable[[#This Row],[LayOdds]]-1)*(1+LayTable[[#This Row],[C% Lay]])))-1))+1)))-1)</f>
        <v/>
      </c>
      <c r="Q1225" s="46" t="str">
        <f>IF(LayTable[[#This Row],[Sport]]="","",LayTable[[#This Row],[BookieInnsats]]+LayTable[[#This Row],[LayLiability]])</f>
        <v/>
      </c>
      <c r="R12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5" s="47" t="str">
        <f>IF(LayTable[[#This Row],[Utfall bookie]]="","",LayTable[[#This Row],[WBABack]]+LayTable[[#This Row],[WBALay]]-LayTable[[#This Row],[Total inns]])</f>
        <v/>
      </c>
      <c r="U12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5" s="48" t="str">
        <f>IFERROR(IF(LayTable[[#This Row],[Total inns]]="","",LayTable[[#This Row],[Rback]]/LayTable[[#This Row],[Total inns]]),"")</f>
        <v/>
      </c>
      <c r="X1225" s="48" t="str">
        <f>IFERROR(IF(LayTable[[#This Row],[Total inns]]="","",LayTable[[#This Row],[Rlay]]/LayTable[[#This Row],[Total inns]]),"")</f>
        <v/>
      </c>
      <c r="Y1225" s="48" t="str">
        <f>IFERROR(LayTable[[#This Row],[Faktisk res]]/LayTable[[#This Row],[Total inns]],"")</f>
        <v/>
      </c>
      <c r="Z1225" s="47">
        <f>(LayTable[[#This Row],[BookieInnsats]]*LayTable[[#This Row],[BookieOdds]]-LayTable[[#This Row],[BookieInnsats]])*(1-LayTable[[#This Row],[C% Bookie]])</f>
        <v>0</v>
      </c>
      <c r="AA1225" s="43">
        <f>LayTable[[#This Row],[LayInnsats]]*(1-LayTable[[#This Row],[C% Lay]])</f>
        <v>0</v>
      </c>
      <c r="AB1225" s="43" t="str">
        <f>IFERROR(IF(LayTable[[#This Row],[Sport]]="",AB1224,LayTable[[#This Row],[Faktisk res]]+AB1224),"")</f>
        <v/>
      </c>
      <c r="AC1225" s="43">
        <f>(LayTable[[#This Row],[BackWin-Commission]]+LayTable[[#This Row],[BookieInnsats]])</f>
        <v>0</v>
      </c>
      <c r="AD1225" s="43" t="e">
        <f>(LayTable[[#This Row],[LayWin-Commission]])+LayTable[[#This Row],[LayLiability]]</f>
        <v>#VALUE!</v>
      </c>
      <c r="AE1225" s="43"/>
      <c r="AF1225" s="181"/>
    </row>
    <row r="1226" spans="1:32">
      <c r="A1226" s="84"/>
      <c r="B1226" s="39"/>
      <c r="C1226" s="40"/>
      <c r="D1226" s="41"/>
      <c r="E1226" s="40"/>
      <c r="F1226" s="41"/>
      <c r="G1226" s="101"/>
      <c r="H1226" s="38"/>
      <c r="I1226" s="42"/>
      <c r="J1226" s="42"/>
      <c r="K1226" s="43"/>
      <c r="L1226" s="43"/>
      <c r="M1226" s="44" t="str">
        <f>IF(LayTable[[#This Row],[Sport]]="","",LayTable[[#This Row],[LayInnsats]]*(LayTable[[#This Row],[LayOdds]]-1))</f>
        <v/>
      </c>
      <c r="N1226" s="45" t="str">
        <f>IF(LayTable[[#This Row],[Sport]]="","",1/((1/LayTable[[#This Row],[BookieOdds]])+(1/((1/((1+((LayTable[[#This Row],[LayOdds]]-1)*(1+LayTable[[#This Row],[C% Lay]])))-1))+1)))-1)</f>
        <v/>
      </c>
      <c r="Q1226" s="46" t="str">
        <f>IF(LayTable[[#This Row],[Sport]]="","",LayTable[[#This Row],[BookieInnsats]]+LayTable[[#This Row],[LayLiability]])</f>
        <v/>
      </c>
      <c r="R12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6" s="47" t="str">
        <f>IF(LayTable[[#This Row],[Utfall bookie]]="","",LayTable[[#This Row],[WBABack]]+LayTable[[#This Row],[WBALay]]-LayTable[[#This Row],[Total inns]])</f>
        <v/>
      </c>
      <c r="U12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6" s="48" t="str">
        <f>IFERROR(IF(LayTable[[#This Row],[Total inns]]="","",LayTable[[#This Row],[Rback]]/LayTable[[#This Row],[Total inns]]),"")</f>
        <v/>
      </c>
      <c r="X1226" s="48" t="str">
        <f>IFERROR(IF(LayTable[[#This Row],[Total inns]]="","",LayTable[[#This Row],[Rlay]]/LayTable[[#This Row],[Total inns]]),"")</f>
        <v/>
      </c>
      <c r="Y1226" s="48" t="str">
        <f>IFERROR(LayTable[[#This Row],[Faktisk res]]/LayTable[[#This Row],[Total inns]],"")</f>
        <v/>
      </c>
      <c r="Z1226" s="47">
        <f>(LayTable[[#This Row],[BookieInnsats]]*LayTable[[#This Row],[BookieOdds]]-LayTable[[#This Row],[BookieInnsats]])*(1-LayTable[[#This Row],[C% Bookie]])</f>
        <v>0</v>
      </c>
      <c r="AA1226" s="43">
        <f>LayTable[[#This Row],[LayInnsats]]*(1-LayTable[[#This Row],[C% Lay]])</f>
        <v>0</v>
      </c>
      <c r="AB1226" s="43" t="str">
        <f>IFERROR(IF(LayTable[[#This Row],[Sport]]="",AB1225,LayTable[[#This Row],[Faktisk res]]+AB1225),"")</f>
        <v/>
      </c>
      <c r="AC1226" s="43">
        <f>(LayTable[[#This Row],[BackWin-Commission]]+LayTable[[#This Row],[BookieInnsats]])</f>
        <v>0</v>
      </c>
      <c r="AD1226" s="43" t="e">
        <f>(LayTable[[#This Row],[LayWin-Commission]])+LayTable[[#This Row],[LayLiability]]</f>
        <v>#VALUE!</v>
      </c>
      <c r="AE1226" s="43"/>
      <c r="AF1226" s="181"/>
    </row>
    <row r="1227" spans="1:32">
      <c r="A1227" s="84"/>
      <c r="B1227" s="39"/>
      <c r="C1227" s="40"/>
      <c r="D1227" s="41"/>
      <c r="E1227" s="40"/>
      <c r="F1227" s="41"/>
      <c r="G1227" s="101"/>
      <c r="H1227" s="38"/>
      <c r="I1227" s="42"/>
      <c r="J1227" s="42"/>
      <c r="K1227" s="43"/>
      <c r="L1227" s="43"/>
      <c r="M1227" s="44" t="str">
        <f>IF(LayTable[[#This Row],[Sport]]="","",LayTable[[#This Row],[LayInnsats]]*(LayTable[[#This Row],[LayOdds]]-1))</f>
        <v/>
      </c>
      <c r="N1227" s="45" t="str">
        <f>IF(LayTable[[#This Row],[Sport]]="","",1/((1/LayTable[[#This Row],[BookieOdds]])+(1/((1/((1+((LayTable[[#This Row],[LayOdds]]-1)*(1+LayTable[[#This Row],[C% Lay]])))-1))+1)))-1)</f>
        <v/>
      </c>
      <c r="Q1227" s="46" t="str">
        <f>IF(LayTable[[#This Row],[Sport]]="","",LayTable[[#This Row],[BookieInnsats]]+LayTable[[#This Row],[LayLiability]])</f>
        <v/>
      </c>
      <c r="R12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7" s="47" t="str">
        <f>IF(LayTable[[#This Row],[Utfall bookie]]="","",LayTable[[#This Row],[WBABack]]+LayTable[[#This Row],[WBALay]]-LayTable[[#This Row],[Total inns]])</f>
        <v/>
      </c>
      <c r="U12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7" s="48" t="str">
        <f>IFERROR(IF(LayTable[[#This Row],[Total inns]]="","",LayTable[[#This Row],[Rback]]/LayTable[[#This Row],[Total inns]]),"")</f>
        <v/>
      </c>
      <c r="X1227" s="48" t="str">
        <f>IFERROR(IF(LayTable[[#This Row],[Total inns]]="","",LayTable[[#This Row],[Rlay]]/LayTable[[#This Row],[Total inns]]),"")</f>
        <v/>
      </c>
      <c r="Y1227" s="48" t="str">
        <f>IFERROR(LayTable[[#This Row],[Faktisk res]]/LayTable[[#This Row],[Total inns]],"")</f>
        <v/>
      </c>
      <c r="Z1227" s="47">
        <f>(LayTable[[#This Row],[BookieInnsats]]*LayTable[[#This Row],[BookieOdds]]-LayTable[[#This Row],[BookieInnsats]])*(1-LayTable[[#This Row],[C% Bookie]])</f>
        <v>0</v>
      </c>
      <c r="AA1227" s="43">
        <f>LayTable[[#This Row],[LayInnsats]]*(1-LayTable[[#This Row],[C% Lay]])</f>
        <v>0</v>
      </c>
      <c r="AB1227" s="43" t="str">
        <f>IFERROR(IF(LayTable[[#This Row],[Sport]]="",AB1226,LayTable[[#This Row],[Faktisk res]]+AB1226),"")</f>
        <v/>
      </c>
      <c r="AC1227" s="43">
        <f>(LayTable[[#This Row],[BackWin-Commission]]+LayTable[[#This Row],[BookieInnsats]])</f>
        <v>0</v>
      </c>
      <c r="AD1227" s="43" t="e">
        <f>(LayTable[[#This Row],[LayWin-Commission]])+LayTable[[#This Row],[LayLiability]]</f>
        <v>#VALUE!</v>
      </c>
      <c r="AE1227" s="43"/>
      <c r="AF1227" s="181"/>
    </row>
    <row r="1228" spans="1:32">
      <c r="A1228" s="84"/>
      <c r="B1228" s="39"/>
      <c r="C1228" s="40"/>
      <c r="D1228" s="41"/>
      <c r="E1228" s="40"/>
      <c r="F1228" s="41"/>
      <c r="G1228" s="101"/>
      <c r="H1228" s="38"/>
      <c r="I1228" s="42"/>
      <c r="J1228" s="42"/>
      <c r="K1228" s="43"/>
      <c r="L1228" s="43"/>
      <c r="M1228" s="44" t="str">
        <f>IF(LayTable[[#This Row],[Sport]]="","",LayTable[[#This Row],[LayInnsats]]*(LayTable[[#This Row],[LayOdds]]-1))</f>
        <v/>
      </c>
      <c r="N1228" s="45" t="str">
        <f>IF(LayTable[[#This Row],[Sport]]="","",1/((1/LayTable[[#This Row],[BookieOdds]])+(1/((1/((1+((LayTable[[#This Row],[LayOdds]]-1)*(1+LayTable[[#This Row],[C% Lay]])))-1))+1)))-1)</f>
        <v/>
      </c>
      <c r="Q1228" s="46" t="str">
        <f>IF(LayTable[[#This Row],[Sport]]="","",LayTable[[#This Row],[BookieInnsats]]+LayTable[[#This Row],[LayLiability]])</f>
        <v/>
      </c>
      <c r="R12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8" s="47" t="str">
        <f>IF(LayTable[[#This Row],[Utfall bookie]]="","",LayTable[[#This Row],[WBABack]]+LayTable[[#This Row],[WBALay]]-LayTable[[#This Row],[Total inns]])</f>
        <v/>
      </c>
      <c r="U12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8" s="48" t="str">
        <f>IFERROR(IF(LayTable[[#This Row],[Total inns]]="","",LayTable[[#This Row],[Rback]]/LayTable[[#This Row],[Total inns]]),"")</f>
        <v/>
      </c>
      <c r="X1228" s="48" t="str">
        <f>IFERROR(IF(LayTable[[#This Row],[Total inns]]="","",LayTable[[#This Row],[Rlay]]/LayTable[[#This Row],[Total inns]]),"")</f>
        <v/>
      </c>
      <c r="Y1228" s="48" t="str">
        <f>IFERROR(LayTable[[#This Row],[Faktisk res]]/LayTable[[#This Row],[Total inns]],"")</f>
        <v/>
      </c>
      <c r="Z1228" s="47">
        <f>(LayTable[[#This Row],[BookieInnsats]]*LayTable[[#This Row],[BookieOdds]]-LayTable[[#This Row],[BookieInnsats]])*(1-LayTable[[#This Row],[C% Bookie]])</f>
        <v>0</v>
      </c>
      <c r="AA1228" s="43">
        <f>LayTable[[#This Row],[LayInnsats]]*(1-LayTable[[#This Row],[C% Lay]])</f>
        <v>0</v>
      </c>
      <c r="AB1228" s="43" t="str">
        <f>IFERROR(IF(LayTable[[#This Row],[Sport]]="",AB1227,LayTable[[#This Row],[Faktisk res]]+AB1227),"")</f>
        <v/>
      </c>
      <c r="AC1228" s="43">
        <f>(LayTable[[#This Row],[BackWin-Commission]]+LayTable[[#This Row],[BookieInnsats]])</f>
        <v>0</v>
      </c>
      <c r="AD1228" s="43" t="e">
        <f>(LayTable[[#This Row],[LayWin-Commission]])+LayTable[[#This Row],[LayLiability]]</f>
        <v>#VALUE!</v>
      </c>
      <c r="AE1228" s="43"/>
      <c r="AF1228" s="181"/>
    </row>
    <row r="1229" spans="1:32">
      <c r="A1229" s="84"/>
      <c r="B1229" s="39"/>
      <c r="C1229" s="40"/>
      <c r="D1229" s="41"/>
      <c r="E1229" s="40"/>
      <c r="F1229" s="41"/>
      <c r="G1229" s="101"/>
      <c r="H1229" s="38"/>
      <c r="I1229" s="42"/>
      <c r="J1229" s="42"/>
      <c r="K1229" s="43"/>
      <c r="L1229" s="43"/>
      <c r="M1229" s="44" t="str">
        <f>IF(LayTable[[#This Row],[Sport]]="","",LayTable[[#This Row],[LayInnsats]]*(LayTable[[#This Row],[LayOdds]]-1))</f>
        <v/>
      </c>
      <c r="N1229" s="45" t="str">
        <f>IF(LayTable[[#This Row],[Sport]]="","",1/((1/LayTable[[#This Row],[BookieOdds]])+(1/((1/((1+((LayTable[[#This Row],[LayOdds]]-1)*(1+LayTable[[#This Row],[C% Lay]])))-1))+1)))-1)</f>
        <v/>
      </c>
      <c r="Q1229" s="46" t="str">
        <f>IF(LayTable[[#This Row],[Sport]]="","",LayTable[[#This Row],[BookieInnsats]]+LayTable[[#This Row],[LayLiability]])</f>
        <v/>
      </c>
      <c r="R12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29" s="47" t="str">
        <f>IF(LayTable[[#This Row],[Utfall bookie]]="","",LayTable[[#This Row],[WBABack]]+LayTable[[#This Row],[WBALay]]-LayTable[[#This Row],[Total inns]])</f>
        <v/>
      </c>
      <c r="U12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29" s="48" t="str">
        <f>IFERROR(IF(LayTable[[#This Row],[Total inns]]="","",LayTable[[#This Row],[Rback]]/LayTable[[#This Row],[Total inns]]),"")</f>
        <v/>
      </c>
      <c r="X1229" s="48" t="str">
        <f>IFERROR(IF(LayTable[[#This Row],[Total inns]]="","",LayTable[[#This Row],[Rlay]]/LayTable[[#This Row],[Total inns]]),"")</f>
        <v/>
      </c>
      <c r="Y1229" s="48" t="str">
        <f>IFERROR(LayTable[[#This Row],[Faktisk res]]/LayTable[[#This Row],[Total inns]],"")</f>
        <v/>
      </c>
      <c r="Z1229" s="47">
        <f>(LayTable[[#This Row],[BookieInnsats]]*LayTable[[#This Row],[BookieOdds]]-LayTable[[#This Row],[BookieInnsats]])*(1-LayTable[[#This Row],[C% Bookie]])</f>
        <v>0</v>
      </c>
      <c r="AA1229" s="43">
        <f>LayTable[[#This Row],[LayInnsats]]*(1-LayTable[[#This Row],[C% Lay]])</f>
        <v>0</v>
      </c>
      <c r="AB1229" s="43" t="str">
        <f>IFERROR(IF(LayTable[[#This Row],[Sport]]="",AB1228,LayTable[[#This Row],[Faktisk res]]+AB1228),"")</f>
        <v/>
      </c>
      <c r="AC1229" s="43">
        <f>(LayTable[[#This Row],[BackWin-Commission]]+LayTable[[#This Row],[BookieInnsats]])</f>
        <v>0</v>
      </c>
      <c r="AD1229" s="43" t="e">
        <f>(LayTable[[#This Row],[LayWin-Commission]])+LayTable[[#This Row],[LayLiability]]</f>
        <v>#VALUE!</v>
      </c>
      <c r="AE1229" s="43"/>
      <c r="AF1229" s="181"/>
    </row>
    <row r="1230" spans="1:32">
      <c r="A1230" s="84"/>
      <c r="B1230" s="39"/>
      <c r="C1230" s="40"/>
      <c r="D1230" s="41"/>
      <c r="E1230" s="40"/>
      <c r="F1230" s="41"/>
      <c r="G1230" s="101"/>
      <c r="H1230" s="38"/>
      <c r="I1230" s="42"/>
      <c r="J1230" s="42"/>
      <c r="K1230" s="43"/>
      <c r="L1230" s="43"/>
      <c r="M1230" s="44" t="str">
        <f>IF(LayTable[[#This Row],[Sport]]="","",LayTable[[#This Row],[LayInnsats]]*(LayTable[[#This Row],[LayOdds]]-1))</f>
        <v/>
      </c>
      <c r="N1230" s="45" t="str">
        <f>IF(LayTable[[#This Row],[Sport]]="","",1/((1/LayTable[[#This Row],[BookieOdds]])+(1/((1/((1+((LayTable[[#This Row],[LayOdds]]-1)*(1+LayTable[[#This Row],[C% Lay]])))-1))+1)))-1)</f>
        <v/>
      </c>
      <c r="Q1230" s="46" t="str">
        <f>IF(LayTable[[#This Row],[Sport]]="","",LayTable[[#This Row],[BookieInnsats]]+LayTable[[#This Row],[LayLiability]])</f>
        <v/>
      </c>
      <c r="R12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0" s="47" t="str">
        <f>IF(LayTable[[#This Row],[Utfall bookie]]="","",LayTable[[#This Row],[WBABack]]+LayTable[[#This Row],[WBALay]]-LayTable[[#This Row],[Total inns]])</f>
        <v/>
      </c>
      <c r="U12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0" s="48" t="str">
        <f>IFERROR(IF(LayTable[[#This Row],[Total inns]]="","",LayTable[[#This Row],[Rback]]/LayTable[[#This Row],[Total inns]]),"")</f>
        <v/>
      </c>
      <c r="X1230" s="48" t="str">
        <f>IFERROR(IF(LayTable[[#This Row],[Total inns]]="","",LayTable[[#This Row],[Rlay]]/LayTable[[#This Row],[Total inns]]),"")</f>
        <v/>
      </c>
      <c r="Y1230" s="48" t="str">
        <f>IFERROR(LayTable[[#This Row],[Faktisk res]]/LayTable[[#This Row],[Total inns]],"")</f>
        <v/>
      </c>
      <c r="Z1230" s="47">
        <f>(LayTable[[#This Row],[BookieInnsats]]*LayTable[[#This Row],[BookieOdds]]-LayTable[[#This Row],[BookieInnsats]])*(1-LayTable[[#This Row],[C% Bookie]])</f>
        <v>0</v>
      </c>
      <c r="AA1230" s="43">
        <f>LayTable[[#This Row],[LayInnsats]]*(1-LayTable[[#This Row],[C% Lay]])</f>
        <v>0</v>
      </c>
      <c r="AB1230" s="43" t="str">
        <f>IFERROR(IF(LayTable[[#This Row],[Sport]]="",AB1229,LayTable[[#This Row],[Faktisk res]]+AB1229),"")</f>
        <v/>
      </c>
      <c r="AC1230" s="43">
        <f>(LayTable[[#This Row],[BackWin-Commission]]+LayTable[[#This Row],[BookieInnsats]])</f>
        <v>0</v>
      </c>
      <c r="AD1230" s="43" t="e">
        <f>(LayTable[[#This Row],[LayWin-Commission]])+LayTable[[#This Row],[LayLiability]]</f>
        <v>#VALUE!</v>
      </c>
      <c r="AE1230" s="43"/>
      <c r="AF1230" s="181"/>
    </row>
    <row r="1231" spans="1:32">
      <c r="A1231" s="84"/>
      <c r="B1231" s="39"/>
      <c r="C1231" s="40"/>
      <c r="D1231" s="41"/>
      <c r="E1231" s="40"/>
      <c r="F1231" s="41"/>
      <c r="G1231" s="101"/>
      <c r="H1231" s="38"/>
      <c r="I1231" s="42"/>
      <c r="J1231" s="42"/>
      <c r="K1231" s="43"/>
      <c r="L1231" s="43"/>
      <c r="M1231" s="44" t="str">
        <f>IF(LayTable[[#This Row],[Sport]]="","",LayTable[[#This Row],[LayInnsats]]*(LayTable[[#This Row],[LayOdds]]-1))</f>
        <v/>
      </c>
      <c r="N1231" s="45" t="str">
        <f>IF(LayTable[[#This Row],[Sport]]="","",1/((1/LayTable[[#This Row],[BookieOdds]])+(1/((1/((1+((LayTable[[#This Row],[LayOdds]]-1)*(1+LayTable[[#This Row],[C% Lay]])))-1))+1)))-1)</f>
        <v/>
      </c>
      <c r="Q1231" s="46" t="str">
        <f>IF(LayTable[[#This Row],[Sport]]="","",LayTable[[#This Row],[BookieInnsats]]+LayTable[[#This Row],[LayLiability]])</f>
        <v/>
      </c>
      <c r="R12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1" s="47" t="str">
        <f>IF(LayTable[[#This Row],[Utfall bookie]]="","",LayTable[[#This Row],[WBABack]]+LayTable[[#This Row],[WBALay]]-LayTable[[#This Row],[Total inns]])</f>
        <v/>
      </c>
      <c r="U12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1" s="48" t="str">
        <f>IFERROR(IF(LayTable[[#This Row],[Total inns]]="","",LayTable[[#This Row],[Rback]]/LayTable[[#This Row],[Total inns]]),"")</f>
        <v/>
      </c>
      <c r="X1231" s="48" t="str">
        <f>IFERROR(IF(LayTable[[#This Row],[Total inns]]="","",LayTable[[#This Row],[Rlay]]/LayTable[[#This Row],[Total inns]]),"")</f>
        <v/>
      </c>
      <c r="Y1231" s="48" t="str">
        <f>IFERROR(LayTable[[#This Row],[Faktisk res]]/LayTable[[#This Row],[Total inns]],"")</f>
        <v/>
      </c>
      <c r="Z1231" s="47">
        <f>(LayTable[[#This Row],[BookieInnsats]]*LayTable[[#This Row],[BookieOdds]]-LayTable[[#This Row],[BookieInnsats]])*(1-LayTable[[#This Row],[C% Bookie]])</f>
        <v>0</v>
      </c>
      <c r="AA1231" s="43">
        <f>LayTable[[#This Row],[LayInnsats]]*(1-LayTable[[#This Row],[C% Lay]])</f>
        <v>0</v>
      </c>
      <c r="AB1231" s="43" t="str">
        <f>IFERROR(IF(LayTable[[#This Row],[Sport]]="",AB1230,LayTable[[#This Row],[Faktisk res]]+AB1230),"")</f>
        <v/>
      </c>
      <c r="AC1231" s="43">
        <f>(LayTable[[#This Row],[BackWin-Commission]]+LayTable[[#This Row],[BookieInnsats]])</f>
        <v>0</v>
      </c>
      <c r="AD1231" s="43" t="e">
        <f>(LayTable[[#This Row],[LayWin-Commission]])+LayTable[[#This Row],[LayLiability]]</f>
        <v>#VALUE!</v>
      </c>
      <c r="AE1231" s="43"/>
      <c r="AF1231" s="181"/>
    </row>
    <row r="1232" spans="1:32">
      <c r="A1232" s="84"/>
      <c r="B1232" s="39"/>
      <c r="C1232" s="40"/>
      <c r="D1232" s="41"/>
      <c r="E1232" s="40"/>
      <c r="F1232" s="41"/>
      <c r="G1232" s="101"/>
      <c r="H1232" s="38"/>
      <c r="I1232" s="42"/>
      <c r="J1232" s="42"/>
      <c r="K1232" s="43"/>
      <c r="L1232" s="43"/>
      <c r="M1232" s="44" t="str">
        <f>IF(LayTable[[#This Row],[Sport]]="","",LayTable[[#This Row],[LayInnsats]]*(LayTable[[#This Row],[LayOdds]]-1))</f>
        <v/>
      </c>
      <c r="N1232" s="45" t="str">
        <f>IF(LayTable[[#This Row],[Sport]]="","",1/((1/LayTable[[#This Row],[BookieOdds]])+(1/((1/((1+((LayTable[[#This Row],[LayOdds]]-1)*(1+LayTable[[#This Row],[C% Lay]])))-1))+1)))-1)</f>
        <v/>
      </c>
      <c r="Q1232" s="46" t="str">
        <f>IF(LayTable[[#This Row],[Sport]]="","",LayTable[[#This Row],[BookieInnsats]]+LayTable[[#This Row],[LayLiability]])</f>
        <v/>
      </c>
      <c r="R12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2" s="47" t="str">
        <f>IF(LayTable[[#This Row],[Utfall bookie]]="","",LayTable[[#This Row],[WBABack]]+LayTable[[#This Row],[WBALay]]-LayTable[[#This Row],[Total inns]])</f>
        <v/>
      </c>
      <c r="U12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2" s="48" t="str">
        <f>IFERROR(IF(LayTable[[#This Row],[Total inns]]="","",LayTable[[#This Row],[Rback]]/LayTable[[#This Row],[Total inns]]),"")</f>
        <v/>
      </c>
      <c r="X1232" s="48" t="str">
        <f>IFERROR(IF(LayTable[[#This Row],[Total inns]]="","",LayTable[[#This Row],[Rlay]]/LayTable[[#This Row],[Total inns]]),"")</f>
        <v/>
      </c>
      <c r="Y1232" s="48" t="str">
        <f>IFERROR(LayTable[[#This Row],[Faktisk res]]/LayTable[[#This Row],[Total inns]],"")</f>
        <v/>
      </c>
      <c r="Z1232" s="47">
        <f>(LayTable[[#This Row],[BookieInnsats]]*LayTable[[#This Row],[BookieOdds]]-LayTable[[#This Row],[BookieInnsats]])*(1-LayTable[[#This Row],[C% Bookie]])</f>
        <v>0</v>
      </c>
      <c r="AA1232" s="43">
        <f>LayTable[[#This Row],[LayInnsats]]*(1-LayTable[[#This Row],[C% Lay]])</f>
        <v>0</v>
      </c>
      <c r="AB1232" s="43" t="str">
        <f>IFERROR(IF(LayTable[[#This Row],[Sport]]="",AB1231,LayTable[[#This Row],[Faktisk res]]+AB1231),"")</f>
        <v/>
      </c>
      <c r="AC1232" s="43">
        <f>(LayTable[[#This Row],[BackWin-Commission]]+LayTable[[#This Row],[BookieInnsats]])</f>
        <v>0</v>
      </c>
      <c r="AD1232" s="43" t="e">
        <f>(LayTable[[#This Row],[LayWin-Commission]])+LayTable[[#This Row],[LayLiability]]</f>
        <v>#VALUE!</v>
      </c>
      <c r="AE1232" s="43"/>
      <c r="AF1232" s="181"/>
    </row>
    <row r="1233" spans="1:32">
      <c r="A1233" s="84"/>
      <c r="B1233" s="39"/>
      <c r="C1233" s="40"/>
      <c r="D1233" s="41"/>
      <c r="E1233" s="40"/>
      <c r="F1233" s="41"/>
      <c r="G1233" s="101"/>
      <c r="H1233" s="38"/>
      <c r="I1233" s="42"/>
      <c r="J1233" s="42"/>
      <c r="K1233" s="43"/>
      <c r="L1233" s="43"/>
      <c r="M1233" s="44" t="str">
        <f>IF(LayTable[[#This Row],[Sport]]="","",LayTable[[#This Row],[LayInnsats]]*(LayTable[[#This Row],[LayOdds]]-1))</f>
        <v/>
      </c>
      <c r="N1233" s="45" t="str">
        <f>IF(LayTable[[#This Row],[Sport]]="","",1/((1/LayTable[[#This Row],[BookieOdds]])+(1/((1/((1+((LayTable[[#This Row],[LayOdds]]-1)*(1+LayTable[[#This Row],[C% Lay]])))-1))+1)))-1)</f>
        <v/>
      </c>
      <c r="Q1233" s="46" t="str">
        <f>IF(LayTable[[#This Row],[Sport]]="","",LayTable[[#This Row],[BookieInnsats]]+LayTable[[#This Row],[LayLiability]])</f>
        <v/>
      </c>
      <c r="R12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3" s="47" t="str">
        <f>IF(LayTable[[#This Row],[Utfall bookie]]="","",LayTable[[#This Row],[WBABack]]+LayTable[[#This Row],[WBALay]]-LayTable[[#This Row],[Total inns]])</f>
        <v/>
      </c>
      <c r="U12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3" s="48" t="str">
        <f>IFERROR(IF(LayTable[[#This Row],[Total inns]]="","",LayTable[[#This Row],[Rback]]/LayTable[[#This Row],[Total inns]]),"")</f>
        <v/>
      </c>
      <c r="X1233" s="48" t="str">
        <f>IFERROR(IF(LayTable[[#This Row],[Total inns]]="","",LayTable[[#This Row],[Rlay]]/LayTable[[#This Row],[Total inns]]),"")</f>
        <v/>
      </c>
      <c r="Y1233" s="48" t="str">
        <f>IFERROR(LayTable[[#This Row],[Faktisk res]]/LayTable[[#This Row],[Total inns]],"")</f>
        <v/>
      </c>
      <c r="Z1233" s="47">
        <f>(LayTable[[#This Row],[BookieInnsats]]*LayTable[[#This Row],[BookieOdds]]-LayTable[[#This Row],[BookieInnsats]])*(1-LayTable[[#This Row],[C% Bookie]])</f>
        <v>0</v>
      </c>
      <c r="AA1233" s="43">
        <f>LayTable[[#This Row],[LayInnsats]]*(1-LayTable[[#This Row],[C% Lay]])</f>
        <v>0</v>
      </c>
      <c r="AB1233" s="43" t="str">
        <f>IFERROR(IF(LayTable[[#This Row],[Sport]]="",AB1232,LayTable[[#This Row],[Faktisk res]]+AB1232),"")</f>
        <v/>
      </c>
      <c r="AC1233" s="43">
        <f>(LayTable[[#This Row],[BackWin-Commission]]+LayTable[[#This Row],[BookieInnsats]])</f>
        <v>0</v>
      </c>
      <c r="AD1233" s="43" t="e">
        <f>(LayTable[[#This Row],[LayWin-Commission]])+LayTable[[#This Row],[LayLiability]]</f>
        <v>#VALUE!</v>
      </c>
      <c r="AE1233" s="43"/>
      <c r="AF1233" s="181"/>
    </row>
    <row r="1234" spans="1:32">
      <c r="A1234" s="84"/>
      <c r="B1234" s="39"/>
      <c r="C1234" s="40"/>
      <c r="D1234" s="41"/>
      <c r="E1234" s="40"/>
      <c r="F1234" s="41"/>
      <c r="G1234" s="101"/>
      <c r="H1234" s="38"/>
      <c r="I1234" s="42"/>
      <c r="J1234" s="42"/>
      <c r="K1234" s="43"/>
      <c r="L1234" s="43"/>
      <c r="M1234" s="44" t="str">
        <f>IF(LayTable[[#This Row],[Sport]]="","",LayTable[[#This Row],[LayInnsats]]*(LayTable[[#This Row],[LayOdds]]-1))</f>
        <v/>
      </c>
      <c r="N1234" s="45" t="str">
        <f>IF(LayTable[[#This Row],[Sport]]="","",1/((1/LayTable[[#This Row],[BookieOdds]])+(1/((1/((1+((LayTable[[#This Row],[LayOdds]]-1)*(1+LayTable[[#This Row],[C% Lay]])))-1))+1)))-1)</f>
        <v/>
      </c>
      <c r="Q1234" s="46" t="str">
        <f>IF(LayTable[[#This Row],[Sport]]="","",LayTable[[#This Row],[BookieInnsats]]+LayTable[[#This Row],[LayLiability]])</f>
        <v/>
      </c>
      <c r="R12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4" s="47" t="str">
        <f>IF(LayTable[[#This Row],[Utfall bookie]]="","",LayTable[[#This Row],[WBABack]]+LayTable[[#This Row],[WBALay]]-LayTable[[#This Row],[Total inns]])</f>
        <v/>
      </c>
      <c r="U12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4" s="48" t="str">
        <f>IFERROR(IF(LayTable[[#This Row],[Total inns]]="","",LayTable[[#This Row],[Rback]]/LayTable[[#This Row],[Total inns]]),"")</f>
        <v/>
      </c>
      <c r="X1234" s="48" t="str">
        <f>IFERROR(IF(LayTable[[#This Row],[Total inns]]="","",LayTable[[#This Row],[Rlay]]/LayTable[[#This Row],[Total inns]]),"")</f>
        <v/>
      </c>
      <c r="Y1234" s="48" t="str">
        <f>IFERROR(LayTable[[#This Row],[Faktisk res]]/LayTable[[#This Row],[Total inns]],"")</f>
        <v/>
      </c>
      <c r="Z1234" s="47">
        <f>(LayTable[[#This Row],[BookieInnsats]]*LayTable[[#This Row],[BookieOdds]]-LayTable[[#This Row],[BookieInnsats]])*(1-LayTable[[#This Row],[C% Bookie]])</f>
        <v>0</v>
      </c>
      <c r="AA1234" s="43">
        <f>LayTable[[#This Row],[LayInnsats]]*(1-LayTable[[#This Row],[C% Lay]])</f>
        <v>0</v>
      </c>
      <c r="AB1234" s="43" t="str">
        <f>IFERROR(IF(LayTable[[#This Row],[Sport]]="",AB1233,LayTable[[#This Row],[Faktisk res]]+AB1233),"")</f>
        <v/>
      </c>
      <c r="AC1234" s="43">
        <f>(LayTable[[#This Row],[BackWin-Commission]]+LayTable[[#This Row],[BookieInnsats]])</f>
        <v>0</v>
      </c>
      <c r="AD1234" s="43" t="e">
        <f>(LayTable[[#This Row],[LayWin-Commission]])+LayTable[[#This Row],[LayLiability]]</f>
        <v>#VALUE!</v>
      </c>
      <c r="AE1234" s="43"/>
      <c r="AF1234" s="181"/>
    </row>
    <row r="1235" spans="1:32">
      <c r="A1235" s="84"/>
      <c r="B1235" s="39"/>
      <c r="C1235" s="40"/>
      <c r="D1235" s="41"/>
      <c r="E1235" s="40"/>
      <c r="F1235" s="41"/>
      <c r="G1235" s="101"/>
      <c r="H1235" s="38"/>
      <c r="I1235" s="42"/>
      <c r="J1235" s="42"/>
      <c r="K1235" s="43"/>
      <c r="L1235" s="43"/>
      <c r="M1235" s="44" t="str">
        <f>IF(LayTable[[#This Row],[Sport]]="","",LayTable[[#This Row],[LayInnsats]]*(LayTable[[#This Row],[LayOdds]]-1))</f>
        <v/>
      </c>
      <c r="N1235" s="45" t="str">
        <f>IF(LayTable[[#This Row],[Sport]]="","",1/((1/LayTable[[#This Row],[BookieOdds]])+(1/((1/((1+((LayTable[[#This Row],[LayOdds]]-1)*(1+LayTable[[#This Row],[C% Lay]])))-1))+1)))-1)</f>
        <v/>
      </c>
      <c r="Q1235" s="46" t="str">
        <f>IF(LayTable[[#This Row],[Sport]]="","",LayTable[[#This Row],[BookieInnsats]]+LayTable[[#This Row],[LayLiability]])</f>
        <v/>
      </c>
      <c r="R12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5" s="47" t="str">
        <f>IF(LayTable[[#This Row],[Utfall bookie]]="","",LayTable[[#This Row],[WBABack]]+LayTable[[#This Row],[WBALay]]-LayTable[[#This Row],[Total inns]])</f>
        <v/>
      </c>
      <c r="U12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5" s="48" t="str">
        <f>IFERROR(IF(LayTable[[#This Row],[Total inns]]="","",LayTable[[#This Row],[Rback]]/LayTable[[#This Row],[Total inns]]),"")</f>
        <v/>
      </c>
      <c r="X1235" s="48" t="str">
        <f>IFERROR(IF(LayTable[[#This Row],[Total inns]]="","",LayTable[[#This Row],[Rlay]]/LayTable[[#This Row],[Total inns]]),"")</f>
        <v/>
      </c>
      <c r="Y1235" s="48" t="str">
        <f>IFERROR(LayTable[[#This Row],[Faktisk res]]/LayTable[[#This Row],[Total inns]],"")</f>
        <v/>
      </c>
      <c r="Z1235" s="47">
        <f>(LayTable[[#This Row],[BookieInnsats]]*LayTable[[#This Row],[BookieOdds]]-LayTable[[#This Row],[BookieInnsats]])*(1-LayTable[[#This Row],[C% Bookie]])</f>
        <v>0</v>
      </c>
      <c r="AA1235" s="43">
        <f>LayTable[[#This Row],[LayInnsats]]*(1-LayTable[[#This Row],[C% Lay]])</f>
        <v>0</v>
      </c>
      <c r="AB1235" s="43" t="str">
        <f>IFERROR(IF(LayTable[[#This Row],[Sport]]="",AB1234,LayTable[[#This Row],[Faktisk res]]+AB1234),"")</f>
        <v/>
      </c>
      <c r="AC1235" s="43">
        <f>(LayTable[[#This Row],[BackWin-Commission]]+LayTable[[#This Row],[BookieInnsats]])</f>
        <v>0</v>
      </c>
      <c r="AD1235" s="43" t="e">
        <f>(LayTable[[#This Row],[LayWin-Commission]])+LayTable[[#This Row],[LayLiability]]</f>
        <v>#VALUE!</v>
      </c>
      <c r="AE1235" s="43"/>
      <c r="AF1235" s="181"/>
    </row>
    <row r="1236" spans="1:32">
      <c r="A1236" s="84"/>
      <c r="B1236" s="39"/>
      <c r="C1236" s="40"/>
      <c r="D1236" s="41"/>
      <c r="E1236" s="40"/>
      <c r="F1236" s="41"/>
      <c r="G1236" s="101"/>
      <c r="H1236" s="38"/>
      <c r="I1236" s="42"/>
      <c r="J1236" s="42"/>
      <c r="K1236" s="43"/>
      <c r="L1236" s="43"/>
      <c r="M1236" s="44" t="str">
        <f>IF(LayTable[[#This Row],[Sport]]="","",LayTable[[#This Row],[LayInnsats]]*(LayTable[[#This Row],[LayOdds]]-1))</f>
        <v/>
      </c>
      <c r="N1236" s="45" t="str">
        <f>IF(LayTable[[#This Row],[Sport]]="","",1/((1/LayTable[[#This Row],[BookieOdds]])+(1/((1/((1+((LayTable[[#This Row],[LayOdds]]-1)*(1+LayTable[[#This Row],[C% Lay]])))-1))+1)))-1)</f>
        <v/>
      </c>
      <c r="Q1236" s="46" t="str">
        <f>IF(LayTable[[#This Row],[Sport]]="","",LayTable[[#This Row],[BookieInnsats]]+LayTable[[#This Row],[LayLiability]])</f>
        <v/>
      </c>
      <c r="R12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6" s="47" t="str">
        <f>IF(LayTable[[#This Row],[Utfall bookie]]="","",LayTable[[#This Row],[WBABack]]+LayTable[[#This Row],[WBALay]]-LayTable[[#This Row],[Total inns]])</f>
        <v/>
      </c>
      <c r="U12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6" s="48" t="str">
        <f>IFERROR(IF(LayTable[[#This Row],[Total inns]]="","",LayTable[[#This Row],[Rback]]/LayTable[[#This Row],[Total inns]]),"")</f>
        <v/>
      </c>
      <c r="X1236" s="48" t="str">
        <f>IFERROR(IF(LayTable[[#This Row],[Total inns]]="","",LayTable[[#This Row],[Rlay]]/LayTable[[#This Row],[Total inns]]),"")</f>
        <v/>
      </c>
      <c r="Y1236" s="48" t="str">
        <f>IFERROR(LayTable[[#This Row],[Faktisk res]]/LayTable[[#This Row],[Total inns]],"")</f>
        <v/>
      </c>
      <c r="Z1236" s="47">
        <f>(LayTable[[#This Row],[BookieInnsats]]*LayTable[[#This Row],[BookieOdds]]-LayTable[[#This Row],[BookieInnsats]])*(1-LayTable[[#This Row],[C% Bookie]])</f>
        <v>0</v>
      </c>
      <c r="AA1236" s="43">
        <f>LayTable[[#This Row],[LayInnsats]]*(1-LayTable[[#This Row],[C% Lay]])</f>
        <v>0</v>
      </c>
      <c r="AB1236" s="43" t="str">
        <f>IFERROR(IF(LayTable[[#This Row],[Sport]]="",AB1235,LayTable[[#This Row],[Faktisk res]]+AB1235),"")</f>
        <v/>
      </c>
      <c r="AC1236" s="43">
        <f>(LayTable[[#This Row],[BackWin-Commission]]+LayTable[[#This Row],[BookieInnsats]])</f>
        <v>0</v>
      </c>
      <c r="AD1236" s="43" t="e">
        <f>(LayTable[[#This Row],[LayWin-Commission]])+LayTable[[#This Row],[LayLiability]]</f>
        <v>#VALUE!</v>
      </c>
      <c r="AE1236" s="43"/>
      <c r="AF1236" s="181"/>
    </row>
    <row r="1237" spans="1:32">
      <c r="A1237" s="84"/>
      <c r="B1237" s="39"/>
      <c r="C1237" s="40"/>
      <c r="D1237" s="41"/>
      <c r="E1237" s="40"/>
      <c r="F1237" s="41"/>
      <c r="G1237" s="101"/>
      <c r="H1237" s="38"/>
      <c r="I1237" s="42"/>
      <c r="J1237" s="42"/>
      <c r="K1237" s="43"/>
      <c r="L1237" s="43"/>
      <c r="M1237" s="44" t="str">
        <f>IF(LayTable[[#This Row],[Sport]]="","",LayTable[[#This Row],[LayInnsats]]*(LayTable[[#This Row],[LayOdds]]-1))</f>
        <v/>
      </c>
      <c r="N1237" s="45" t="str">
        <f>IF(LayTable[[#This Row],[Sport]]="","",1/((1/LayTable[[#This Row],[BookieOdds]])+(1/((1/((1+((LayTable[[#This Row],[LayOdds]]-1)*(1+LayTable[[#This Row],[C% Lay]])))-1))+1)))-1)</f>
        <v/>
      </c>
      <c r="Q1237" s="46" t="str">
        <f>IF(LayTable[[#This Row],[Sport]]="","",LayTable[[#This Row],[BookieInnsats]]+LayTable[[#This Row],[LayLiability]])</f>
        <v/>
      </c>
      <c r="R12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7" s="47" t="str">
        <f>IF(LayTable[[#This Row],[Utfall bookie]]="","",LayTable[[#This Row],[WBABack]]+LayTable[[#This Row],[WBALay]]-LayTable[[#This Row],[Total inns]])</f>
        <v/>
      </c>
      <c r="U12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7" s="48" t="str">
        <f>IFERROR(IF(LayTable[[#This Row],[Total inns]]="","",LayTable[[#This Row],[Rback]]/LayTable[[#This Row],[Total inns]]),"")</f>
        <v/>
      </c>
      <c r="X1237" s="48" t="str">
        <f>IFERROR(IF(LayTable[[#This Row],[Total inns]]="","",LayTable[[#This Row],[Rlay]]/LayTable[[#This Row],[Total inns]]),"")</f>
        <v/>
      </c>
      <c r="Y1237" s="48" t="str">
        <f>IFERROR(LayTable[[#This Row],[Faktisk res]]/LayTable[[#This Row],[Total inns]],"")</f>
        <v/>
      </c>
      <c r="Z1237" s="47">
        <f>(LayTable[[#This Row],[BookieInnsats]]*LayTable[[#This Row],[BookieOdds]]-LayTable[[#This Row],[BookieInnsats]])*(1-LayTable[[#This Row],[C% Bookie]])</f>
        <v>0</v>
      </c>
      <c r="AA1237" s="43">
        <f>LayTable[[#This Row],[LayInnsats]]*(1-LayTable[[#This Row],[C% Lay]])</f>
        <v>0</v>
      </c>
      <c r="AB1237" s="43" t="str">
        <f>IFERROR(IF(LayTable[[#This Row],[Sport]]="",AB1236,LayTable[[#This Row],[Faktisk res]]+AB1236),"")</f>
        <v/>
      </c>
      <c r="AC1237" s="43">
        <f>(LayTable[[#This Row],[BackWin-Commission]]+LayTable[[#This Row],[BookieInnsats]])</f>
        <v>0</v>
      </c>
      <c r="AD1237" s="43" t="e">
        <f>(LayTable[[#This Row],[LayWin-Commission]])+LayTable[[#This Row],[LayLiability]]</f>
        <v>#VALUE!</v>
      </c>
      <c r="AE1237" s="43"/>
      <c r="AF1237" s="181"/>
    </row>
    <row r="1238" spans="1:32">
      <c r="A1238" s="84"/>
      <c r="B1238" s="39"/>
      <c r="C1238" s="40"/>
      <c r="D1238" s="41"/>
      <c r="E1238" s="40"/>
      <c r="F1238" s="41"/>
      <c r="G1238" s="101"/>
      <c r="H1238" s="38"/>
      <c r="I1238" s="42"/>
      <c r="J1238" s="42"/>
      <c r="K1238" s="43"/>
      <c r="L1238" s="43"/>
      <c r="M1238" s="44" t="str">
        <f>IF(LayTable[[#This Row],[Sport]]="","",LayTable[[#This Row],[LayInnsats]]*(LayTable[[#This Row],[LayOdds]]-1))</f>
        <v/>
      </c>
      <c r="N1238" s="45" t="str">
        <f>IF(LayTable[[#This Row],[Sport]]="","",1/((1/LayTable[[#This Row],[BookieOdds]])+(1/((1/((1+((LayTable[[#This Row],[LayOdds]]-1)*(1+LayTable[[#This Row],[C% Lay]])))-1))+1)))-1)</f>
        <v/>
      </c>
      <c r="Q1238" s="46" t="str">
        <f>IF(LayTable[[#This Row],[Sport]]="","",LayTable[[#This Row],[BookieInnsats]]+LayTable[[#This Row],[LayLiability]])</f>
        <v/>
      </c>
      <c r="R12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8" s="47" t="str">
        <f>IF(LayTable[[#This Row],[Utfall bookie]]="","",LayTable[[#This Row],[WBABack]]+LayTable[[#This Row],[WBALay]]-LayTable[[#This Row],[Total inns]])</f>
        <v/>
      </c>
      <c r="U12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8" s="48" t="str">
        <f>IFERROR(IF(LayTable[[#This Row],[Total inns]]="","",LayTable[[#This Row],[Rback]]/LayTable[[#This Row],[Total inns]]),"")</f>
        <v/>
      </c>
      <c r="X1238" s="48" t="str">
        <f>IFERROR(IF(LayTable[[#This Row],[Total inns]]="","",LayTable[[#This Row],[Rlay]]/LayTable[[#This Row],[Total inns]]),"")</f>
        <v/>
      </c>
      <c r="Y1238" s="48" t="str">
        <f>IFERROR(LayTable[[#This Row],[Faktisk res]]/LayTable[[#This Row],[Total inns]],"")</f>
        <v/>
      </c>
      <c r="Z1238" s="47">
        <f>(LayTable[[#This Row],[BookieInnsats]]*LayTable[[#This Row],[BookieOdds]]-LayTable[[#This Row],[BookieInnsats]])*(1-LayTable[[#This Row],[C% Bookie]])</f>
        <v>0</v>
      </c>
      <c r="AA1238" s="43">
        <f>LayTable[[#This Row],[LayInnsats]]*(1-LayTable[[#This Row],[C% Lay]])</f>
        <v>0</v>
      </c>
      <c r="AB1238" s="43" t="str">
        <f>IFERROR(IF(LayTable[[#This Row],[Sport]]="",AB1237,LayTable[[#This Row],[Faktisk res]]+AB1237),"")</f>
        <v/>
      </c>
      <c r="AC1238" s="43">
        <f>(LayTable[[#This Row],[BackWin-Commission]]+LayTable[[#This Row],[BookieInnsats]])</f>
        <v>0</v>
      </c>
      <c r="AD1238" s="43" t="e">
        <f>(LayTable[[#This Row],[LayWin-Commission]])+LayTable[[#This Row],[LayLiability]]</f>
        <v>#VALUE!</v>
      </c>
      <c r="AE1238" s="43"/>
      <c r="AF1238" s="181"/>
    </row>
    <row r="1239" spans="1:32">
      <c r="A1239" s="84"/>
      <c r="B1239" s="39"/>
      <c r="C1239" s="40"/>
      <c r="D1239" s="41"/>
      <c r="E1239" s="40"/>
      <c r="F1239" s="41"/>
      <c r="G1239" s="101"/>
      <c r="H1239" s="38"/>
      <c r="I1239" s="42"/>
      <c r="J1239" s="42"/>
      <c r="K1239" s="43"/>
      <c r="L1239" s="43"/>
      <c r="M1239" s="44" t="str">
        <f>IF(LayTable[[#This Row],[Sport]]="","",LayTable[[#This Row],[LayInnsats]]*(LayTable[[#This Row],[LayOdds]]-1))</f>
        <v/>
      </c>
      <c r="N1239" s="45" t="str">
        <f>IF(LayTable[[#This Row],[Sport]]="","",1/((1/LayTable[[#This Row],[BookieOdds]])+(1/((1/((1+((LayTable[[#This Row],[LayOdds]]-1)*(1+LayTable[[#This Row],[C% Lay]])))-1))+1)))-1)</f>
        <v/>
      </c>
      <c r="Q1239" s="46" t="str">
        <f>IF(LayTable[[#This Row],[Sport]]="","",LayTable[[#This Row],[BookieInnsats]]+LayTable[[#This Row],[LayLiability]])</f>
        <v/>
      </c>
      <c r="R12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39" s="47" t="str">
        <f>IF(LayTable[[#This Row],[Utfall bookie]]="","",LayTable[[#This Row],[WBABack]]+LayTable[[#This Row],[WBALay]]-LayTable[[#This Row],[Total inns]])</f>
        <v/>
      </c>
      <c r="U12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39" s="48" t="str">
        <f>IFERROR(IF(LayTable[[#This Row],[Total inns]]="","",LayTable[[#This Row],[Rback]]/LayTable[[#This Row],[Total inns]]),"")</f>
        <v/>
      </c>
      <c r="X1239" s="48" t="str">
        <f>IFERROR(IF(LayTable[[#This Row],[Total inns]]="","",LayTable[[#This Row],[Rlay]]/LayTable[[#This Row],[Total inns]]),"")</f>
        <v/>
      </c>
      <c r="Y1239" s="48" t="str">
        <f>IFERROR(LayTable[[#This Row],[Faktisk res]]/LayTable[[#This Row],[Total inns]],"")</f>
        <v/>
      </c>
      <c r="Z1239" s="47">
        <f>(LayTable[[#This Row],[BookieInnsats]]*LayTable[[#This Row],[BookieOdds]]-LayTable[[#This Row],[BookieInnsats]])*(1-LayTable[[#This Row],[C% Bookie]])</f>
        <v>0</v>
      </c>
      <c r="AA1239" s="43">
        <f>LayTable[[#This Row],[LayInnsats]]*(1-LayTable[[#This Row],[C% Lay]])</f>
        <v>0</v>
      </c>
      <c r="AB1239" s="43" t="str">
        <f>IFERROR(IF(LayTable[[#This Row],[Sport]]="",AB1238,LayTable[[#This Row],[Faktisk res]]+AB1238),"")</f>
        <v/>
      </c>
      <c r="AC1239" s="43">
        <f>(LayTable[[#This Row],[BackWin-Commission]]+LayTable[[#This Row],[BookieInnsats]])</f>
        <v>0</v>
      </c>
      <c r="AD1239" s="43" t="e">
        <f>(LayTable[[#This Row],[LayWin-Commission]])+LayTable[[#This Row],[LayLiability]]</f>
        <v>#VALUE!</v>
      </c>
      <c r="AE1239" s="43"/>
      <c r="AF1239" s="181"/>
    </row>
    <row r="1240" spans="1:32">
      <c r="A1240" s="84"/>
      <c r="B1240" s="39"/>
      <c r="C1240" s="40"/>
      <c r="D1240" s="41"/>
      <c r="E1240" s="40"/>
      <c r="F1240" s="41"/>
      <c r="G1240" s="101"/>
      <c r="H1240" s="38"/>
      <c r="I1240" s="42"/>
      <c r="J1240" s="42"/>
      <c r="K1240" s="43"/>
      <c r="L1240" s="43"/>
      <c r="M1240" s="44" t="str">
        <f>IF(LayTable[[#This Row],[Sport]]="","",LayTable[[#This Row],[LayInnsats]]*(LayTable[[#This Row],[LayOdds]]-1))</f>
        <v/>
      </c>
      <c r="N1240" s="45" t="str">
        <f>IF(LayTable[[#This Row],[Sport]]="","",1/((1/LayTable[[#This Row],[BookieOdds]])+(1/((1/((1+((LayTable[[#This Row],[LayOdds]]-1)*(1+LayTable[[#This Row],[C% Lay]])))-1))+1)))-1)</f>
        <v/>
      </c>
      <c r="Q1240" s="46" t="str">
        <f>IF(LayTable[[#This Row],[Sport]]="","",LayTable[[#This Row],[BookieInnsats]]+LayTable[[#This Row],[LayLiability]])</f>
        <v/>
      </c>
      <c r="R12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0" s="47" t="str">
        <f>IF(LayTable[[#This Row],[Utfall bookie]]="","",LayTable[[#This Row],[WBABack]]+LayTable[[#This Row],[WBALay]]-LayTable[[#This Row],[Total inns]])</f>
        <v/>
      </c>
      <c r="U12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0" s="48" t="str">
        <f>IFERROR(IF(LayTable[[#This Row],[Total inns]]="","",LayTable[[#This Row],[Rback]]/LayTable[[#This Row],[Total inns]]),"")</f>
        <v/>
      </c>
      <c r="X1240" s="48" t="str">
        <f>IFERROR(IF(LayTable[[#This Row],[Total inns]]="","",LayTable[[#This Row],[Rlay]]/LayTable[[#This Row],[Total inns]]),"")</f>
        <v/>
      </c>
      <c r="Y1240" s="48" t="str">
        <f>IFERROR(LayTable[[#This Row],[Faktisk res]]/LayTable[[#This Row],[Total inns]],"")</f>
        <v/>
      </c>
      <c r="Z1240" s="47">
        <f>(LayTable[[#This Row],[BookieInnsats]]*LayTable[[#This Row],[BookieOdds]]-LayTable[[#This Row],[BookieInnsats]])*(1-LayTable[[#This Row],[C% Bookie]])</f>
        <v>0</v>
      </c>
      <c r="AA1240" s="43">
        <f>LayTable[[#This Row],[LayInnsats]]*(1-LayTable[[#This Row],[C% Lay]])</f>
        <v>0</v>
      </c>
      <c r="AB1240" s="43" t="str">
        <f>IFERROR(IF(LayTable[[#This Row],[Sport]]="",AB1239,LayTable[[#This Row],[Faktisk res]]+AB1239),"")</f>
        <v/>
      </c>
      <c r="AC1240" s="43">
        <f>(LayTable[[#This Row],[BackWin-Commission]]+LayTable[[#This Row],[BookieInnsats]])</f>
        <v>0</v>
      </c>
      <c r="AD1240" s="43" t="e">
        <f>(LayTable[[#This Row],[LayWin-Commission]])+LayTable[[#This Row],[LayLiability]]</f>
        <v>#VALUE!</v>
      </c>
      <c r="AE1240" s="43"/>
      <c r="AF1240" s="181"/>
    </row>
    <row r="1241" spans="1:32">
      <c r="A1241" s="84"/>
      <c r="B1241" s="39"/>
      <c r="C1241" s="40"/>
      <c r="D1241" s="41"/>
      <c r="E1241" s="40"/>
      <c r="F1241" s="41"/>
      <c r="G1241" s="101"/>
      <c r="H1241" s="38"/>
      <c r="I1241" s="42"/>
      <c r="J1241" s="42"/>
      <c r="K1241" s="43"/>
      <c r="L1241" s="43"/>
      <c r="M1241" s="44" t="str">
        <f>IF(LayTable[[#This Row],[Sport]]="","",LayTable[[#This Row],[LayInnsats]]*(LayTable[[#This Row],[LayOdds]]-1))</f>
        <v/>
      </c>
      <c r="N1241" s="45" t="str">
        <f>IF(LayTable[[#This Row],[Sport]]="","",1/((1/LayTable[[#This Row],[BookieOdds]])+(1/((1/((1+((LayTable[[#This Row],[LayOdds]]-1)*(1+LayTable[[#This Row],[C% Lay]])))-1))+1)))-1)</f>
        <v/>
      </c>
      <c r="Q1241" s="46" t="str">
        <f>IF(LayTable[[#This Row],[Sport]]="","",LayTable[[#This Row],[BookieInnsats]]+LayTable[[#This Row],[LayLiability]])</f>
        <v/>
      </c>
      <c r="R12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1" s="47" t="str">
        <f>IF(LayTable[[#This Row],[Utfall bookie]]="","",LayTable[[#This Row],[WBABack]]+LayTable[[#This Row],[WBALay]]-LayTable[[#This Row],[Total inns]])</f>
        <v/>
      </c>
      <c r="U12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1" s="48" t="str">
        <f>IFERROR(IF(LayTable[[#This Row],[Total inns]]="","",LayTable[[#This Row],[Rback]]/LayTable[[#This Row],[Total inns]]),"")</f>
        <v/>
      </c>
      <c r="X1241" s="48" t="str">
        <f>IFERROR(IF(LayTable[[#This Row],[Total inns]]="","",LayTable[[#This Row],[Rlay]]/LayTable[[#This Row],[Total inns]]),"")</f>
        <v/>
      </c>
      <c r="Y1241" s="48" t="str">
        <f>IFERROR(LayTable[[#This Row],[Faktisk res]]/LayTable[[#This Row],[Total inns]],"")</f>
        <v/>
      </c>
      <c r="Z1241" s="47">
        <f>(LayTable[[#This Row],[BookieInnsats]]*LayTable[[#This Row],[BookieOdds]]-LayTable[[#This Row],[BookieInnsats]])*(1-LayTable[[#This Row],[C% Bookie]])</f>
        <v>0</v>
      </c>
      <c r="AA1241" s="43">
        <f>LayTable[[#This Row],[LayInnsats]]*(1-LayTable[[#This Row],[C% Lay]])</f>
        <v>0</v>
      </c>
      <c r="AB1241" s="43" t="str">
        <f>IFERROR(IF(LayTable[[#This Row],[Sport]]="",AB1240,LayTable[[#This Row],[Faktisk res]]+AB1240),"")</f>
        <v/>
      </c>
      <c r="AC1241" s="43">
        <f>(LayTable[[#This Row],[BackWin-Commission]]+LayTable[[#This Row],[BookieInnsats]])</f>
        <v>0</v>
      </c>
      <c r="AD1241" s="43" t="e">
        <f>(LayTable[[#This Row],[LayWin-Commission]])+LayTable[[#This Row],[LayLiability]]</f>
        <v>#VALUE!</v>
      </c>
      <c r="AE1241" s="43"/>
      <c r="AF1241" s="181"/>
    </row>
    <row r="1242" spans="1:32">
      <c r="A1242" s="84"/>
      <c r="B1242" s="39"/>
      <c r="C1242" s="40"/>
      <c r="D1242" s="41"/>
      <c r="E1242" s="40"/>
      <c r="F1242" s="41"/>
      <c r="G1242" s="101"/>
      <c r="H1242" s="38"/>
      <c r="I1242" s="42"/>
      <c r="J1242" s="42"/>
      <c r="K1242" s="43"/>
      <c r="L1242" s="43"/>
      <c r="M1242" s="44" t="str">
        <f>IF(LayTable[[#This Row],[Sport]]="","",LayTable[[#This Row],[LayInnsats]]*(LayTable[[#This Row],[LayOdds]]-1))</f>
        <v/>
      </c>
      <c r="N1242" s="45" t="str">
        <f>IF(LayTable[[#This Row],[Sport]]="","",1/((1/LayTable[[#This Row],[BookieOdds]])+(1/((1/((1+((LayTable[[#This Row],[LayOdds]]-1)*(1+LayTable[[#This Row],[C% Lay]])))-1))+1)))-1)</f>
        <v/>
      </c>
      <c r="Q1242" s="46" t="str">
        <f>IF(LayTable[[#This Row],[Sport]]="","",LayTable[[#This Row],[BookieInnsats]]+LayTable[[#This Row],[LayLiability]])</f>
        <v/>
      </c>
      <c r="R12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2" s="47" t="str">
        <f>IF(LayTable[[#This Row],[Utfall bookie]]="","",LayTable[[#This Row],[WBABack]]+LayTable[[#This Row],[WBALay]]-LayTable[[#This Row],[Total inns]])</f>
        <v/>
      </c>
      <c r="U12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2" s="48" t="str">
        <f>IFERROR(IF(LayTable[[#This Row],[Total inns]]="","",LayTable[[#This Row],[Rback]]/LayTable[[#This Row],[Total inns]]),"")</f>
        <v/>
      </c>
      <c r="X1242" s="48" t="str">
        <f>IFERROR(IF(LayTable[[#This Row],[Total inns]]="","",LayTable[[#This Row],[Rlay]]/LayTable[[#This Row],[Total inns]]),"")</f>
        <v/>
      </c>
      <c r="Y1242" s="48" t="str">
        <f>IFERROR(LayTable[[#This Row],[Faktisk res]]/LayTable[[#This Row],[Total inns]],"")</f>
        <v/>
      </c>
      <c r="Z1242" s="47">
        <f>(LayTable[[#This Row],[BookieInnsats]]*LayTable[[#This Row],[BookieOdds]]-LayTable[[#This Row],[BookieInnsats]])*(1-LayTable[[#This Row],[C% Bookie]])</f>
        <v>0</v>
      </c>
      <c r="AA1242" s="43">
        <f>LayTable[[#This Row],[LayInnsats]]*(1-LayTable[[#This Row],[C% Lay]])</f>
        <v>0</v>
      </c>
      <c r="AB1242" s="43" t="str">
        <f>IFERROR(IF(LayTable[[#This Row],[Sport]]="",AB1241,LayTable[[#This Row],[Faktisk res]]+AB1241),"")</f>
        <v/>
      </c>
      <c r="AC1242" s="43">
        <f>(LayTable[[#This Row],[BackWin-Commission]]+LayTable[[#This Row],[BookieInnsats]])</f>
        <v>0</v>
      </c>
      <c r="AD1242" s="43" t="e">
        <f>(LayTable[[#This Row],[LayWin-Commission]])+LayTable[[#This Row],[LayLiability]]</f>
        <v>#VALUE!</v>
      </c>
      <c r="AE1242" s="43"/>
      <c r="AF1242" s="181"/>
    </row>
    <row r="1243" spans="1:32">
      <c r="A1243" s="84"/>
      <c r="B1243" s="39"/>
      <c r="C1243" s="40"/>
      <c r="D1243" s="41"/>
      <c r="E1243" s="40"/>
      <c r="F1243" s="41"/>
      <c r="G1243" s="101"/>
      <c r="H1243" s="38"/>
      <c r="I1243" s="42"/>
      <c r="J1243" s="42"/>
      <c r="K1243" s="43"/>
      <c r="L1243" s="43"/>
      <c r="M1243" s="44" t="str">
        <f>IF(LayTable[[#This Row],[Sport]]="","",LayTable[[#This Row],[LayInnsats]]*(LayTable[[#This Row],[LayOdds]]-1))</f>
        <v/>
      </c>
      <c r="N1243" s="45" t="str">
        <f>IF(LayTable[[#This Row],[Sport]]="","",1/((1/LayTable[[#This Row],[BookieOdds]])+(1/((1/((1+((LayTable[[#This Row],[LayOdds]]-1)*(1+LayTable[[#This Row],[C% Lay]])))-1))+1)))-1)</f>
        <v/>
      </c>
      <c r="Q1243" s="46" t="str">
        <f>IF(LayTable[[#This Row],[Sport]]="","",LayTable[[#This Row],[BookieInnsats]]+LayTable[[#This Row],[LayLiability]])</f>
        <v/>
      </c>
      <c r="R12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3" s="47" t="str">
        <f>IF(LayTable[[#This Row],[Utfall bookie]]="","",LayTable[[#This Row],[WBABack]]+LayTable[[#This Row],[WBALay]]-LayTable[[#This Row],[Total inns]])</f>
        <v/>
      </c>
      <c r="U12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3" s="48" t="str">
        <f>IFERROR(IF(LayTable[[#This Row],[Total inns]]="","",LayTable[[#This Row],[Rback]]/LayTable[[#This Row],[Total inns]]),"")</f>
        <v/>
      </c>
      <c r="X1243" s="48" t="str">
        <f>IFERROR(IF(LayTable[[#This Row],[Total inns]]="","",LayTable[[#This Row],[Rlay]]/LayTable[[#This Row],[Total inns]]),"")</f>
        <v/>
      </c>
      <c r="Y1243" s="48" t="str">
        <f>IFERROR(LayTable[[#This Row],[Faktisk res]]/LayTable[[#This Row],[Total inns]],"")</f>
        <v/>
      </c>
      <c r="Z1243" s="47">
        <f>(LayTable[[#This Row],[BookieInnsats]]*LayTable[[#This Row],[BookieOdds]]-LayTable[[#This Row],[BookieInnsats]])*(1-LayTable[[#This Row],[C% Bookie]])</f>
        <v>0</v>
      </c>
      <c r="AA1243" s="43">
        <f>LayTable[[#This Row],[LayInnsats]]*(1-LayTable[[#This Row],[C% Lay]])</f>
        <v>0</v>
      </c>
      <c r="AB1243" s="43" t="str">
        <f>IFERROR(IF(LayTable[[#This Row],[Sport]]="",AB1242,LayTable[[#This Row],[Faktisk res]]+AB1242),"")</f>
        <v/>
      </c>
      <c r="AC1243" s="43">
        <f>(LayTable[[#This Row],[BackWin-Commission]]+LayTable[[#This Row],[BookieInnsats]])</f>
        <v>0</v>
      </c>
      <c r="AD1243" s="43" t="e">
        <f>(LayTable[[#This Row],[LayWin-Commission]])+LayTable[[#This Row],[LayLiability]]</f>
        <v>#VALUE!</v>
      </c>
      <c r="AE1243" s="43"/>
      <c r="AF1243" s="181"/>
    </row>
    <row r="1244" spans="1:32">
      <c r="A1244" s="84"/>
      <c r="B1244" s="39"/>
      <c r="C1244" s="40"/>
      <c r="D1244" s="41"/>
      <c r="E1244" s="40"/>
      <c r="F1244" s="41"/>
      <c r="G1244" s="101"/>
      <c r="H1244" s="38"/>
      <c r="I1244" s="42"/>
      <c r="J1244" s="42"/>
      <c r="K1244" s="43"/>
      <c r="L1244" s="43"/>
      <c r="M1244" s="44" t="str">
        <f>IF(LayTable[[#This Row],[Sport]]="","",LayTable[[#This Row],[LayInnsats]]*(LayTable[[#This Row],[LayOdds]]-1))</f>
        <v/>
      </c>
      <c r="N1244" s="45" t="str">
        <f>IF(LayTable[[#This Row],[Sport]]="","",1/((1/LayTable[[#This Row],[BookieOdds]])+(1/((1/((1+((LayTable[[#This Row],[LayOdds]]-1)*(1+LayTable[[#This Row],[C% Lay]])))-1))+1)))-1)</f>
        <v/>
      </c>
      <c r="Q1244" s="46" t="str">
        <f>IF(LayTable[[#This Row],[Sport]]="","",LayTable[[#This Row],[BookieInnsats]]+LayTable[[#This Row],[LayLiability]])</f>
        <v/>
      </c>
      <c r="R12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4" s="47" t="str">
        <f>IF(LayTable[[#This Row],[Utfall bookie]]="","",LayTable[[#This Row],[WBABack]]+LayTable[[#This Row],[WBALay]]-LayTable[[#This Row],[Total inns]])</f>
        <v/>
      </c>
      <c r="U12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4" s="48" t="str">
        <f>IFERROR(IF(LayTable[[#This Row],[Total inns]]="","",LayTable[[#This Row],[Rback]]/LayTable[[#This Row],[Total inns]]),"")</f>
        <v/>
      </c>
      <c r="X1244" s="48" t="str">
        <f>IFERROR(IF(LayTable[[#This Row],[Total inns]]="","",LayTable[[#This Row],[Rlay]]/LayTable[[#This Row],[Total inns]]),"")</f>
        <v/>
      </c>
      <c r="Y1244" s="48" t="str">
        <f>IFERROR(LayTable[[#This Row],[Faktisk res]]/LayTable[[#This Row],[Total inns]],"")</f>
        <v/>
      </c>
      <c r="Z1244" s="47">
        <f>(LayTable[[#This Row],[BookieInnsats]]*LayTable[[#This Row],[BookieOdds]]-LayTable[[#This Row],[BookieInnsats]])*(1-LayTable[[#This Row],[C% Bookie]])</f>
        <v>0</v>
      </c>
      <c r="AA1244" s="43">
        <f>LayTable[[#This Row],[LayInnsats]]*(1-LayTable[[#This Row],[C% Lay]])</f>
        <v>0</v>
      </c>
      <c r="AB1244" s="43" t="str">
        <f>IFERROR(IF(LayTable[[#This Row],[Sport]]="",AB1243,LayTable[[#This Row],[Faktisk res]]+AB1243),"")</f>
        <v/>
      </c>
      <c r="AC1244" s="43">
        <f>(LayTable[[#This Row],[BackWin-Commission]]+LayTable[[#This Row],[BookieInnsats]])</f>
        <v>0</v>
      </c>
      <c r="AD1244" s="43" t="e">
        <f>(LayTable[[#This Row],[LayWin-Commission]])+LayTable[[#This Row],[LayLiability]]</f>
        <v>#VALUE!</v>
      </c>
      <c r="AE1244" s="43"/>
      <c r="AF1244" s="181"/>
    </row>
    <row r="1245" spans="1:32">
      <c r="A1245" s="84"/>
      <c r="B1245" s="39"/>
      <c r="C1245" s="40"/>
      <c r="D1245" s="41"/>
      <c r="E1245" s="40"/>
      <c r="F1245" s="41"/>
      <c r="G1245" s="101"/>
      <c r="H1245" s="38"/>
      <c r="I1245" s="42"/>
      <c r="J1245" s="42"/>
      <c r="K1245" s="43"/>
      <c r="L1245" s="43"/>
      <c r="M1245" s="44" t="str">
        <f>IF(LayTable[[#This Row],[Sport]]="","",LayTable[[#This Row],[LayInnsats]]*(LayTable[[#This Row],[LayOdds]]-1))</f>
        <v/>
      </c>
      <c r="N1245" s="45" t="str">
        <f>IF(LayTable[[#This Row],[Sport]]="","",1/((1/LayTable[[#This Row],[BookieOdds]])+(1/((1/((1+((LayTable[[#This Row],[LayOdds]]-1)*(1+LayTable[[#This Row],[C% Lay]])))-1))+1)))-1)</f>
        <v/>
      </c>
      <c r="Q1245" s="46" t="str">
        <f>IF(LayTable[[#This Row],[Sport]]="","",LayTable[[#This Row],[BookieInnsats]]+LayTable[[#This Row],[LayLiability]])</f>
        <v/>
      </c>
      <c r="R12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5" s="47" t="str">
        <f>IF(LayTable[[#This Row],[Utfall bookie]]="","",LayTable[[#This Row],[WBABack]]+LayTable[[#This Row],[WBALay]]-LayTable[[#This Row],[Total inns]])</f>
        <v/>
      </c>
      <c r="U12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5" s="48" t="str">
        <f>IFERROR(IF(LayTable[[#This Row],[Total inns]]="","",LayTable[[#This Row],[Rback]]/LayTable[[#This Row],[Total inns]]),"")</f>
        <v/>
      </c>
      <c r="X1245" s="48" t="str">
        <f>IFERROR(IF(LayTable[[#This Row],[Total inns]]="","",LayTable[[#This Row],[Rlay]]/LayTable[[#This Row],[Total inns]]),"")</f>
        <v/>
      </c>
      <c r="Y1245" s="48" t="str">
        <f>IFERROR(LayTable[[#This Row],[Faktisk res]]/LayTable[[#This Row],[Total inns]],"")</f>
        <v/>
      </c>
      <c r="Z1245" s="47">
        <f>(LayTable[[#This Row],[BookieInnsats]]*LayTable[[#This Row],[BookieOdds]]-LayTable[[#This Row],[BookieInnsats]])*(1-LayTable[[#This Row],[C% Bookie]])</f>
        <v>0</v>
      </c>
      <c r="AA1245" s="43">
        <f>LayTable[[#This Row],[LayInnsats]]*(1-LayTable[[#This Row],[C% Lay]])</f>
        <v>0</v>
      </c>
      <c r="AB1245" s="43" t="str">
        <f>IFERROR(IF(LayTable[[#This Row],[Sport]]="",AB1244,LayTable[[#This Row],[Faktisk res]]+AB1244),"")</f>
        <v/>
      </c>
      <c r="AC1245" s="43">
        <f>(LayTable[[#This Row],[BackWin-Commission]]+LayTable[[#This Row],[BookieInnsats]])</f>
        <v>0</v>
      </c>
      <c r="AD1245" s="43" t="e">
        <f>(LayTable[[#This Row],[LayWin-Commission]])+LayTable[[#This Row],[LayLiability]]</f>
        <v>#VALUE!</v>
      </c>
      <c r="AE1245" s="43"/>
      <c r="AF1245" s="181"/>
    </row>
    <row r="1246" spans="1:32">
      <c r="A1246" s="84"/>
      <c r="B1246" s="39"/>
      <c r="C1246" s="40"/>
      <c r="D1246" s="41"/>
      <c r="E1246" s="40"/>
      <c r="F1246" s="41"/>
      <c r="G1246" s="101"/>
      <c r="H1246" s="38"/>
      <c r="I1246" s="42"/>
      <c r="J1246" s="42"/>
      <c r="K1246" s="43"/>
      <c r="L1246" s="43"/>
      <c r="M1246" s="44" t="str">
        <f>IF(LayTable[[#This Row],[Sport]]="","",LayTable[[#This Row],[LayInnsats]]*(LayTable[[#This Row],[LayOdds]]-1))</f>
        <v/>
      </c>
      <c r="N1246" s="45" t="str">
        <f>IF(LayTable[[#This Row],[Sport]]="","",1/((1/LayTable[[#This Row],[BookieOdds]])+(1/((1/((1+((LayTable[[#This Row],[LayOdds]]-1)*(1+LayTable[[#This Row],[C% Lay]])))-1))+1)))-1)</f>
        <v/>
      </c>
      <c r="Q1246" s="46" t="str">
        <f>IF(LayTable[[#This Row],[Sport]]="","",LayTable[[#This Row],[BookieInnsats]]+LayTable[[#This Row],[LayLiability]])</f>
        <v/>
      </c>
      <c r="R12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6" s="47" t="str">
        <f>IF(LayTable[[#This Row],[Utfall bookie]]="","",LayTable[[#This Row],[WBABack]]+LayTable[[#This Row],[WBALay]]-LayTable[[#This Row],[Total inns]])</f>
        <v/>
      </c>
      <c r="U12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6" s="48" t="str">
        <f>IFERROR(IF(LayTable[[#This Row],[Total inns]]="","",LayTable[[#This Row],[Rback]]/LayTable[[#This Row],[Total inns]]),"")</f>
        <v/>
      </c>
      <c r="X1246" s="48" t="str">
        <f>IFERROR(IF(LayTable[[#This Row],[Total inns]]="","",LayTable[[#This Row],[Rlay]]/LayTable[[#This Row],[Total inns]]),"")</f>
        <v/>
      </c>
      <c r="Y1246" s="48" t="str">
        <f>IFERROR(LayTable[[#This Row],[Faktisk res]]/LayTable[[#This Row],[Total inns]],"")</f>
        <v/>
      </c>
      <c r="Z1246" s="47">
        <f>(LayTable[[#This Row],[BookieInnsats]]*LayTable[[#This Row],[BookieOdds]]-LayTable[[#This Row],[BookieInnsats]])*(1-LayTable[[#This Row],[C% Bookie]])</f>
        <v>0</v>
      </c>
      <c r="AA1246" s="43">
        <f>LayTable[[#This Row],[LayInnsats]]*(1-LayTable[[#This Row],[C% Lay]])</f>
        <v>0</v>
      </c>
      <c r="AB1246" s="43" t="str">
        <f>IFERROR(IF(LayTable[[#This Row],[Sport]]="",AB1245,LayTable[[#This Row],[Faktisk res]]+AB1245),"")</f>
        <v/>
      </c>
      <c r="AC1246" s="43">
        <f>(LayTable[[#This Row],[BackWin-Commission]]+LayTable[[#This Row],[BookieInnsats]])</f>
        <v>0</v>
      </c>
      <c r="AD1246" s="43" t="e">
        <f>(LayTable[[#This Row],[LayWin-Commission]])+LayTable[[#This Row],[LayLiability]]</f>
        <v>#VALUE!</v>
      </c>
      <c r="AE1246" s="43"/>
      <c r="AF1246" s="181"/>
    </row>
    <row r="1247" spans="1:32">
      <c r="A1247" s="84"/>
      <c r="B1247" s="39"/>
      <c r="C1247" s="40"/>
      <c r="D1247" s="41"/>
      <c r="E1247" s="40"/>
      <c r="F1247" s="41"/>
      <c r="G1247" s="101"/>
      <c r="H1247" s="38"/>
      <c r="I1247" s="42"/>
      <c r="J1247" s="42"/>
      <c r="K1247" s="43"/>
      <c r="L1247" s="43"/>
      <c r="M1247" s="44" t="str">
        <f>IF(LayTable[[#This Row],[Sport]]="","",LayTable[[#This Row],[LayInnsats]]*(LayTable[[#This Row],[LayOdds]]-1))</f>
        <v/>
      </c>
      <c r="N1247" s="45" t="str">
        <f>IF(LayTable[[#This Row],[Sport]]="","",1/((1/LayTable[[#This Row],[BookieOdds]])+(1/((1/((1+((LayTable[[#This Row],[LayOdds]]-1)*(1+LayTable[[#This Row],[C% Lay]])))-1))+1)))-1)</f>
        <v/>
      </c>
      <c r="Q1247" s="46" t="str">
        <f>IF(LayTable[[#This Row],[Sport]]="","",LayTable[[#This Row],[BookieInnsats]]+LayTable[[#This Row],[LayLiability]])</f>
        <v/>
      </c>
      <c r="R12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7" s="47" t="str">
        <f>IF(LayTable[[#This Row],[Utfall bookie]]="","",LayTable[[#This Row],[WBABack]]+LayTable[[#This Row],[WBALay]]-LayTable[[#This Row],[Total inns]])</f>
        <v/>
      </c>
      <c r="U12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7" s="48" t="str">
        <f>IFERROR(IF(LayTable[[#This Row],[Total inns]]="","",LayTable[[#This Row],[Rback]]/LayTable[[#This Row],[Total inns]]),"")</f>
        <v/>
      </c>
      <c r="X1247" s="48" t="str">
        <f>IFERROR(IF(LayTable[[#This Row],[Total inns]]="","",LayTable[[#This Row],[Rlay]]/LayTable[[#This Row],[Total inns]]),"")</f>
        <v/>
      </c>
      <c r="Y1247" s="48" t="str">
        <f>IFERROR(LayTable[[#This Row],[Faktisk res]]/LayTable[[#This Row],[Total inns]],"")</f>
        <v/>
      </c>
      <c r="Z1247" s="47">
        <f>(LayTable[[#This Row],[BookieInnsats]]*LayTable[[#This Row],[BookieOdds]]-LayTable[[#This Row],[BookieInnsats]])*(1-LayTable[[#This Row],[C% Bookie]])</f>
        <v>0</v>
      </c>
      <c r="AA1247" s="43">
        <f>LayTable[[#This Row],[LayInnsats]]*(1-LayTable[[#This Row],[C% Lay]])</f>
        <v>0</v>
      </c>
      <c r="AB1247" s="43" t="str">
        <f>IFERROR(IF(LayTable[[#This Row],[Sport]]="",AB1246,LayTable[[#This Row],[Faktisk res]]+AB1246),"")</f>
        <v/>
      </c>
      <c r="AC1247" s="43">
        <f>(LayTable[[#This Row],[BackWin-Commission]]+LayTable[[#This Row],[BookieInnsats]])</f>
        <v>0</v>
      </c>
      <c r="AD1247" s="43" t="e">
        <f>(LayTable[[#This Row],[LayWin-Commission]])+LayTable[[#This Row],[LayLiability]]</f>
        <v>#VALUE!</v>
      </c>
      <c r="AE1247" s="43"/>
      <c r="AF1247" s="181"/>
    </row>
    <row r="1248" spans="1:32">
      <c r="A1248" s="84"/>
      <c r="B1248" s="39"/>
      <c r="C1248" s="40"/>
      <c r="D1248" s="41"/>
      <c r="E1248" s="40"/>
      <c r="F1248" s="41"/>
      <c r="G1248" s="101"/>
      <c r="H1248" s="38"/>
      <c r="I1248" s="42"/>
      <c r="J1248" s="42"/>
      <c r="K1248" s="43"/>
      <c r="L1248" s="43"/>
      <c r="M1248" s="44" t="str">
        <f>IF(LayTable[[#This Row],[Sport]]="","",LayTable[[#This Row],[LayInnsats]]*(LayTable[[#This Row],[LayOdds]]-1))</f>
        <v/>
      </c>
      <c r="N1248" s="45" t="str">
        <f>IF(LayTable[[#This Row],[Sport]]="","",1/((1/LayTable[[#This Row],[BookieOdds]])+(1/((1/((1+((LayTable[[#This Row],[LayOdds]]-1)*(1+LayTable[[#This Row],[C% Lay]])))-1))+1)))-1)</f>
        <v/>
      </c>
      <c r="Q1248" s="46" t="str">
        <f>IF(LayTable[[#This Row],[Sport]]="","",LayTable[[#This Row],[BookieInnsats]]+LayTable[[#This Row],[LayLiability]])</f>
        <v/>
      </c>
      <c r="R12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8" s="47" t="str">
        <f>IF(LayTable[[#This Row],[Utfall bookie]]="","",LayTable[[#This Row],[WBABack]]+LayTable[[#This Row],[WBALay]]-LayTable[[#This Row],[Total inns]])</f>
        <v/>
      </c>
      <c r="U12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8" s="48" t="str">
        <f>IFERROR(IF(LayTable[[#This Row],[Total inns]]="","",LayTable[[#This Row],[Rback]]/LayTable[[#This Row],[Total inns]]),"")</f>
        <v/>
      </c>
      <c r="X1248" s="48" t="str">
        <f>IFERROR(IF(LayTable[[#This Row],[Total inns]]="","",LayTable[[#This Row],[Rlay]]/LayTable[[#This Row],[Total inns]]),"")</f>
        <v/>
      </c>
      <c r="Y1248" s="48" t="str">
        <f>IFERROR(LayTable[[#This Row],[Faktisk res]]/LayTable[[#This Row],[Total inns]],"")</f>
        <v/>
      </c>
      <c r="Z1248" s="47">
        <f>(LayTable[[#This Row],[BookieInnsats]]*LayTable[[#This Row],[BookieOdds]]-LayTable[[#This Row],[BookieInnsats]])*(1-LayTable[[#This Row],[C% Bookie]])</f>
        <v>0</v>
      </c>
      <c r="AA1248" s="43">
        <f>LayTable[[#This Row],[LayInnsats]]*(1-LayTable[[#This Row],[C% Lay]])</f>
        <v>0</v>
      </c>
      <c r="AB1248" s="43" t="str">
        <f>IFERROR(IF(LayTable[[#This Row],[Sport]]="",AB1247,LayTable[[#This Row],[Faktisk res]]+AB1247),"")</f>
        <v/>
      </c>
      <c r="AC1248" s="43">
        <f>(LayTable[[#This Row],[BackWin-Commission]]+LayTable[[#This Row],[BookieInnsats]])</f>
        <v>0</v>
      </c>
      <c r="AD1248" s="43" t="e">
        <f>(LayTable[[#This Row],[LayWin-Commission]])+LayTable[[#This Row],[LayLiability]]</f>
        <v>#VALUE!</v>
      </c>
      <c r="AE1248" s="43"/>
      <c r="AF1248" s="181"/>
    </row>
    <row r="1249" spans="1:32">
      <c r="A1249" s="84"/>
      <c r="B1249" s="39"/>
      <c r="C1249" s="40"/>
      <c r="D1249" s="41"/>
      <c r="E1249" s="40"/>
      <c r="F1249" s="41"/>
      <c r="G1249" s="101"/>
      <c r="H1249" s="38"/>
      <c r="I1249" s="42"/>
      <c r="J1249" s="42"/>
      <c r="K1249" s="43"/>
      <c r="L1249" s="43"/>
      <c r="M1249" s="44" t="str">
        <f>IF(LayTable[[#This Row],[Sport]]="","",LayTable[[#This Row],[LayInnsats]]*(LayTable[[#This Row],[LayOdds]]-1))</f>
        <v/>
      </c>
      <c r="N1249" s="45" t="str">
        <f>IF(LayTable[[#This Row],[Sport]]="","",1/((1/LayTable[[#This Row],[BookieOdds]])+(1/((1/((1+((LayTable[[#This Row],[LayOdds]]-1)*(1+LayTable[[#This Row],[C% Lay]])))-1))+1)))-1)</f>
        <v/>
      </c>
      <c r="Q1249" s="46" t="str">
        <f>IF(LayTable[[#This Row],[Sport]]="","",LayTable[[#This Row],[BookieInnsats]]+LayTable[[#This Row],[LayLiability]])</f>
        <v/>
      </c>
      <c r="R12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49" s="47" t="str">
        <f>IF(LayTable[[#This Row],[Utfall bookie]]="","",LayTable[[#This Row],[WBABack]]+LayTable[[#This Row],[WBALay]]-LayTable[[#This Row],[Total inns]])</f>
        <v/>
      </c>
      <c r="U12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49" s="48" t="str">
        <f>IFERROR(IF(LayTable[[#This Row],[Total inns]]="","",LayTable[[#This Row],[Rback]]/LayTable[[#This Row],[Total inns]]),"")</f>
        <v/>
      </c>
      <c r="X1249" s="48" t="str">
        <f>IFERROR(IF(LayTable[[#This Row],[Total inns]]="","",LayTable[[#This Row],[Rlay]]/LayTable[[#This Row],[Total inns]]),"")</f>
        <v/>
      </c>
      <c r="Y1249" s="48" t="str">
        <f>IFERROR(LayTable[[#This Row],[Faktisk res]]/LayTable[[#This Row],[Total inns]],"")</f>
        <v/>
      </c>
      <c r="Z1249" s="47">
        <f>(LayTable[[#This Row],[BookieInnsats]]*LayTable[[#This Row],[BookieOdds]]-LayTable[[#This Row],[BookieInnsats]])*(1-LayTable[[#This Row],[C% Bookie]])</f>
        <v>0</v>
      </c>
      <c r="AA1249" s="43">
        <f>LayTable[[#This Row],[LayInnsats]]*(1-LayTable[[#This Row],[C% Lay]])</f>
        <v>0</v>
      </c>
      <c r="AB1249" s="43" t="str">
        <f>IFERROR(IF(LayTable[[#This Row],[Sport]]="",AB1248,LayTable[[#This Row],[Faktisk res]]+AB1248),"")</f>
        <v/>
      </c>
      <c r="AC1249" s="43">
        <f>(LayTable[[#This Row],[BackWin-Commission]]+LayTable[[#This Row],[BookieInnsats]])</f>
        <v>0</v>
      </c>
      <c r="AD1249" s="43" t="e">
        <f>(LayTable[[#This Row],[LayWin-Commission]])+LayTable[[#This Row],[LayLiability]]</f>
        <v>#VALUE!</v>
      </c>
      <c r="AE1249" s="43"/>
      <c r="AF1249" s="181"/>
    </row>
    <row r="1250" spans="1:32">
      <c r="A1250" s="84"/>
      <c r="B1250" s="39"/>
      <c r="C1250" s="40"/>
      <c r="D1250" s="41"/>
      <c r="E1250" s="40"/>
      <c r="F1250" s="41"/>
      <c r="G1250" s="101"/>
      <c r="H1250" s="38"/>
      <c r="I1250" s="42"/>
      <c r="J1250" s="42"/>
      <c r="K1250" s="43"/>
      <c r="L1250" s="43"/>
      <c r="M1250" s="44" t="str">
        <f>IF(LayTable[[#This Row],[Sport]]="","",LayTable[[#This Row],[LayInnsats]]*(LayTable[[#This Row],[LayOdds]]-1))</f>
        <v/>
      </c>
      <c r="N1250" s="45" t="str">
        <f>IF(LayTable[[#This Row],[Sport]]="","",1/((1/LayTable[[#This Row],[BookieOdds]])+(1/((1/((1+((LayTable[[#This Row],[LayOdds]]-1)*(1+LayTable[[#This Row],[C% Lay]])))-1))+1)))-1)</f>
        <v/>
      </c>
      <c r="Q1250" s="46" t="str">
        <f>IF(LayTable[[#This Row],[Sport]]="","",LayTable[[#This Row],[BookieInnsats]]+LayTable[[#This Row],[LayLiability]])</f>
        <v/>
      </c>
      <c r="R12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0" s="47" t="str">
        <f>IF(LayTable[[#This Row],[Utfall bookie]]="","",LayTable[[#This Row],[WBABack]]+LayTable[[#This Row],[WBALay]]-LayTable[[#This Row],[Total inns]])</f>
        <v/>
      </c>
      <c r="U12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0" s="48" t="str">
        <f>IFERROR(IF(LayTable[[#This Row],[Total inns]]="","",LayTable[[#This Row],[Rback]]/LayTable[[#This Row],[Total inns]]),"")</f>
        <v/>
      </c>
      <c r="X1250" s="48" t="str">
        <f>IFERROR(IF(LayTable[[#This Row],[Total inns]]="","",LayTable[[#This Row],[Rlay]]/LayTable[[#This Row],[Total inns]]),"")</f>
        <v/>
      </c>
      <c r="Y1250" s="48" t="str">
        <f>IFERROR(LayTable[[#This Row],[Faktisk res]]/LayTable[[#This Row],[Total inns]],"")</f>
        <v/>
      </c>
      <c r="Z1250" s="47">
        <f>(LayTable[[#This Row],[BookieInnsats]]*LayTable[[#This Row],[BookieOdds]]-LayTable[[#This Row],[BookieInnsats]])*(1-LayTable[[#This Row],[C% Bookie]])</f>
        <v>0</v>
      </c>
      <c r="AA1250" s="43">
        <f>LayTable[[#This Row],[LayInnsats]]*(1-LayTable[[#This Row],[C% Lay]])</f>
        <v>0</v>
      </c>
      <c r="AB1250" s="43" t="str">
        <f>IFERROR(IF(LayTable[[#This Row],[Sport]]="",AB1249,LayTable[[#This Row],[Faktisk res]]+AB1249),"")</f>
        <v/>
      </c>
      <c r="AC1250" s="43">
        <f>(LayTable[[#This Row],[BackWin-Commission]]+LayTable[[#This Row],[BookieInnsats]])</f>
        <v>0</v>
      </c>
      <c r="AD1250" s="43" t="e">
        <f>(LayTable[[#This Row],[LayWin-Commission]])+LayTable[[#This Row],[LayLiability]]</f>
        <v>#VALUE!</v>
      </c>
      <c r="AE1250" s="43"/>
      <c r="AF1250" s="181"/>
    </row>
    <row r="1251" spans="1:32">
      <c r="A1251" s="84"/>
      <c r="B1251" s="39"/>
      <c r="C1251" s="40"/>
      <c r="D1251" s="41"/>
      <c r="E1251" s="40"/>
      <c r="F1251" s="41"/>
      <c r="G1251" s="101"/>
      <c r="H1251" s="38"/>
      <c r="I1251" s="42"/>
      <c r="J1251" s="42"/>
      <c r="K1251" s="43"/>
      <c r="L1251" s="43"/>
      <c r="M1251" s="44" t="str">
        <f>IF(LayTable[[#This Row],[Sport]]="","",LayTable[[#This Row],[LayInnsats]]*(LayTable[[#This Row],[LayOdds]]-1))</f>
        <v/>
      </c>
      <c r="N1251" s="45" t="str">
        <f>IF(LayTable[[#This Row],[Sport]]="","",1/((1/LayTable[[#This Row],[BookieOdds]])+(1/((1/((1+((LayTable[[#This Row],[LayOdds]]-1)*(1+LayTable[[#This Row],[C% Lay]])))-1))+1)))-1)</f>
        <v/>
      </c>
      <c r="Q1251" s="46" t="str">
        <f>IF(LayTable[[#This Row],[Sport]]="","",LayTable[[#This Row],[BookieInnsats]]+LayTable[[#This Row],[LayLiability]])</f>
        <v/>
      </c>
      <c r="R12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1" s="47" t="str">
        <f>IF(LayTable[[#This Row],[Utfall bookie]]="","",LayTable[[#This Row],[WBABack]]+LayTable[[#This Row],[WBALay]]-LayTable[[#This Row],[Total inns]])</f>
        <v/>
      </c>
      <c r="U12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1" s="48" t="str">
        <f>IFERROR(IF(LayTable[[#This Row],[Total inns]]="","",LayTable[[#This Row],[Rback]]/LayTable[[#This Row],[Total inns]]),"")</f>
        <v/>
      </c>
      <c r="X1251" s="48" t="str">
        <f>IFERROR(IF(LayTable[[#This Row],[Total inns]]="","",LayTable[[#This Row],[Rlay]]/LayTable[[#This Row],[Total inns]]),"")</f>
        <v/>
      </c>
      <c r="Y1251" s="48" t="str">
        <f>IFERROR(LayTable[[#This Row],[Faktisk res]]/LayTable[[#This Row],[Total inns]],"")</f>
        <v/>
      </c>
      <c r="Z1251" s="47">
        <f>(LayTable[[#This Row],[BookieInnsats]]*LayTable[[#This Row],[BookieOdds]]-LayTable[[#This Row],[BookieInnsats]])*(1-LayTable[[#This Row],[C% Bookie]])</f>
        <v>0</v>
      </c>
      <c r="AA1251" s="43">
        <f>LayTable[[#This Row],[LayInnsats]]*(1-LayTable[[#This Row],[C% Lay]])</f>
        <v>0</v>
      </c>
      <c r="AB1251" s="43" t="str">
        <f>IFERROR(IF(LayTable[[#This Row],[Sport]]="",AB1250,LayTable[[#This Row],[Faktisk res]]+AB1250),"")</f>
        <v/>
      </c>
      <c r="AC1251" s="43">
        <f>(LayTable[[#This Row],[BackWin-Commission]]+LayTable[[#This Row],[BookieInnsats]])</f>
        <v>0</v>
      </c>
      <c r="AD1251" s="43" t="e">
        <f>(LayTable[[#This Row],[LayWin-Commission]])+LayTable[[#This Row],[LayLiability]]</f>
        <v>#VALUE!</v>
      </c>
      <c r="AE1251" s="43"/>
      <c r="AF1251" s="181"/>
    </row>
    <row r="1252" spans="1:32">
      <c r="A1252" s="84"/>
      <c r="B1252" s="39"/>
      <c r="C1252" s="40"/>
      <c r="D1252" s="41"/>
      <c r="E1252" s="40"/>
      <c r="F1252" s="41"/>
      <c r="G1252" s="101"/>
      <c r="H1252" s="38"/>
      <c r="I1252" s="42"/>
      <c r="J1252" s="42"/>
      <c r="K1252" s="43"/>
      <c r="L1252" s="43"/>
      <c r="M1252" s="44" t="str">
        <f>IF(LayTable[[#This Row],[Sport]]="","",LayTable[[#This Row],[LayInnsats]]*(LayTable[[#This Row],[LayOdds]]-1))</f>
        <v/>
      </c>
      <c r="N1252" s="45" t="str">
        <f>IF(LayTable[[#This Row],[Sport]]="","",1/((1/LayTable[[#This Row],[BookieOdds]])+(1/((1/((1+((LayTable[[#This Row],[LayOdds]]-1)*(1+LayTable[[#This Row],[C% Lay]])))-1))+1)))-1)</f>
        <v/>
      </c>
      <c r="Q1252" s="46" t="str">
        <f>IF(LayTable[[#This Row],[Sport]]="","",LayTable[[#This Row],[BookieInnsats]]+LayTable[[#This Row],[LayLiability]])</f>
        <v/>
      </c>
      <c r="R12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2" s="47" t="str">
        <f>IF(LayTable[[#This Row],[Utfall bookie]]="","",LayTable[[#This Row],[WBABack]]+LayTable[[#This Row],[WBALay]]-LayTable[[#This Row],[Total inns]])</f>
        <v/>
      </c>
      <c r="U12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2" s="48" t="str">
        <f>IFERROR(IF(LayTable[[#This Row],[Total inns]]="","",LayTable[[#This Row],[Rback]]/LayTable[[#This Row],[Total inns]]),"")</f>
        <v/>
      </c>
      <c r="X1252" s="48" t="str">
        <f>IFERROR(IF(LayTable[[#This Row],[Total inns]]="","",LayTable[[#This Row],[Rlay]]/LayTable[[#This Row],[Total inns]]),"")</f>
        <v/>
      </c>
      <c r="Y1252" s="48" t="str">
        <f>IFERROR(LayTable[[#This Row],[Faktisk res]]/LayTable[[#This Row],[Total inns]],"")</f>
        <v/>
      </c>
      <c r="Z1252" s="47">
        <f>(LayTable[[#This Row],[BookieInnsats]]*LayTable[[#This Row],[BookieOdds]]-LayTable[[#This Row],[BookieInnsats]])*(1-LayTable[[#This Row],[C% Bookie]])</f>
        <v>0</v>
      </c>
      <c r="AA1252" s="43">
        <f>LayTable[[#This Row],[LayInnsats]]*(1-LayTable[[#This Row],[C% Lay]])</f>
        <v>0</v>
      </c>
      <c r="AB1252" s="43" t="str">
        <f>IFERROR(IF(LayTable[[#This Row],[Sport]]="",AB1251,LayTable[[#This Row],[Faktisk res]]+AB1251),"")</f>
        <v/>
      </c>
      <c r="AC1252" s="43">
        <f>(LayTable[[#This Row],[BackWin-Commission]]+LayTable[[#This Row],[BookieInnsats]])</f>
        <v>0</v>
      </c>
      <c r="AD1252" s="43" t="e">
        <f>(LayTable[[#This Row],[LayWin-Commission]])+LayTable[[#This Row],[LayLiability]]</f>
        <v>#VALUE!</v>
      </c>
      <c r="AE1252" s="43"/>
      <c r="AF1252" s="181"/>
    </row>
    <row r="1253" spans="1:32">
      <c r="A1253" s="84"/>
      <c r="B1253" s="39"/>
      <c r="C1253" s="40"/>
      <c r="D1253" s="41"/>
      <c r="E1253" s="40"/>
      <c r="F1253" s="41"/>
      <c r="G1253" s="101"/>
      <c r="H1253" s="38"/>
      <c r="I1253" s="42"/>
      <c r="J1253" s="42"/>
      <c r="K1253" s="43"/>
      <c r="L1253" s="43"/>
      <c r="M1253" s="44" t="str">
        <f>IF(LayTable[[#This Row],[Sport]]="","",LayTable[[#This Row],[LayInnsats]]*(LayTable[[#This Row],[LayOdds]]-1))</f>
        <v/>
      </c>
      <c r="N1253" s="45" t="str">
        <f>IF(LayTable[[#This Row],[Sport]]="","",1/((1/LayTable[[#This Row],[BookieOdds]])+(1/((1/((1+((LayTable[[#This Row],[LayOdds]]-1)*(1+LayTable[[#This Row],[C% Lay]])))-1))+1)))-1)</f>
        <v/>
      </c>
      <c r="Q1253" s="46" t="str">
        <f>IF(LayTable[[#This Row],[Sport]]="","",LayTable[[#This Row],[BookieInnsats]]+LayTable[[#This Row],[LayLiability]])</f>
        <v/>
      </c>
      <c r="R12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3" s="47" t="str">
        <f>IF(LayTable[[#This Row],[Utfall bookie]]="","",LayTable[[#This Row],[WBABack]]+LayTable[[#This Row],[WBALay]]-LayTable[[#This Row],[Total inns]])</f>
        <v/>
      </c>
      <c r="U12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3" s="48" t="str">
        <f>IFERROR(IF(LayTable[[#This Row],[Total inns]]="","",LayTable[[#This Row],[Rback]]/LayTable[[#This Row],[Total inns]]),"")</f>
        <v/>
      </c>
      <c r="X1253" s="48" t="str">
        <f>IFERROR(IF(LayTable[[#This Row],[Total inns]]="","",LayTable[[#This Row],[Rlay]]/LayTable[[#This Row],[Total inns]]),"")</f>
        <v/>
      </c>
      <c r="Y1253" s="48" t="str">
        <f>IFERROR(LayTable[[#This Row],[Faktisk res]]/LayTable[[#This Row],[Total inns]],"")</f>
        <v/>
      </c>
      <c r="Z1253" s="47">
        <f>(LayTable[[#This Row],[BookieInnsats]]*LayTable[[#This Row],[BookieOdds]]-LayTable[[#This Row],[BookieInnsats]])*(1-LayTable[[#This Row],[C% Bookie]])</f>
        <v>0</v>
      </c>
      <c r="AA1253" s="43">
        <f>LayTable[[#This Row],[LayInnsats]]*(1-LayTable[[#This Row],[C% Lay]])</f>
        <v>0</v>
      </c>
      <c r="AB1253" s="43" t="str">
        <f>IFERROR(IF(LayTable[[#This Row],[Sport]]="",AB1252,LayTable[[#This Row],[Faktisk res]]+AB1252),"")</f>
        <v/>
      </c>
      <c r="AC1253" s="43">
        <f>(LayTable[[#This Row],[BackWin-Commission]]+LayTable[[#This Row],[BookieInnsats]])</f>
        <v>0</v>
      </c>
      <c r="AD1253" s="43" t="e">
        <f>(LayTable[[#This Row],[LayWin-Commission]])+LayTable[[#This Row],[LayLiability]]</f>
        <v>#VALUE!</v>
      </c>
      <c r="AE1253" s="43"/>
      <c r="AF1253" s="181"/>
    </row>
    <row r="1254" spans="1:32">
      <c r="A1254" s="84"/>
      <c r="B1254" s="39"/>
      <c r="C1254" s="40"/>
      <c r="D1254" s="41"/>
      <c r="E1254" s="40"/>
      <c r="F1254" s="41"/>
      <c r="G1254" s="101"/>
      <c r="H1254" s="38"/>
      <c r="I1254" s="42"/>
      <c r="J1254" s="42"/>
      <c r="K1254" s="43"/>
      <c r="L1254" s="43"/>
      <c r="M1254" s="44" t="str">
        <f>IF(LayTable[[#This Row],[Sport]]="","",LayTable[[#This Row],[LayInnsats]]*(LayTable[[#This Row],[LayOdds]]-1))</f>
        <v/>
      </c>
      <c r="N1254" s="45" t="str">
        <f>IF(LayTable[[#This Row],[Sport]]="","",1/((1/LayTable[[#This Row],[BookieOdds]])+(1/((1/((1+((LayTable[[#This Row],[LayOdds]]-1)*(1+LayTable[[#This Row],[C% Lay]])))-1))+1)))-1)</f>
        <v/>
      </c>
      <c r="Q1254" s="46" t="str">
        <f>IF(LayTable[[#This Row],[Sport]]="","",LayTable[[#This Row],[BookieInnsats]]+LayTable[[#This Row],[LayLiability]])</f>
        <v/>
      </c>
      <c r="R12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4" s="47" t="str">
        <f>IF(LayTable[[#This Row],[Utfall bookie]]="","",LayTable[[#This Row],[WBABack]]+LayTable[[#This Row],[WBALay]]-LayTable[[#This Row],[Total inns]])</f>
        <v/>
      </c>
      <c r="U12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4" s="48" t="str">
        <f>IFERROR(IF(LayTable[[#This Row],[Total inns]]="","",LayTable[[#This Row],[Rback]]/LayTable[[#This Row],[Total inns]]),"")</f>
        <v/>
      </c>
      <c r="X1254" s="48" t="str">
        <f>IFERROR(IF(LayTable[[#This Row],[Total inns]]="","",LayTable[[#This Row],[Rlay]]/LayTable[[#This Row],[Total inns]]),"")</f>
        <v/>
      </c>
      <c r="Y1254" s="48" t="str">
        <f>IFERROR(LayTable[[#This Row],[Faktisk res]]/LayTable[[#This Row],[Total inns]],"")</f>
        <v/>
      </c>
      <c r="Z1254" s="47">
        <f>(LayTable[[#This Row],[BookieInnsats]]*LayTable[[#This Row],[BookieOdds]]-LayTable[[#This Row],[BookieInnsats]])*(1-LayTable[[#This Row],[C% Bookie]])</f>
        <v>0</v>
      </c>
      <c r="AA1254" s="43">
        <f>LayTable[[#This Row],[LayInnsats]]*(1-LayTable[[#This Row],[C% Lay]])</f>
        <v>0</v>
      </c>
      <c r="AB1254" s="43" t="str">
        <f>IFERROR(IF(LayTable[[#This Row],[Sport]]="",AB1253,LayTable[[#This Row],[Faktisk res]]+AB1253),"")</f>
        <v/>
      </c>
      <c r="AC1254" s="43">
        <f>(LayTable[[#This Row],[BackWin-Commission]]+LayTable[[#This Row],[BookieInnsats]])</f>
        <v>0</v>
      </c>
      <c r="AD1254" s="43" t="e">
        <f>(LayTable[[#This Row],[LayWin-Commission]])+LayTable[[#This Row],[LayLiability]]</f>
        <v>#VALUE!</v>
      </c>
      <c r="AE1254" s="43"/>
      <c r="AF1254" s="181"/>
    </row>
    <row r="1255" spans="1:32">
      <c r="A1255" s="84"/>
      <c r="B1255" s="39"/>
      <c r="C1255" s="40"/>
      <c r="D1255" s="41"/>
      <c r="E1255" s="40"/>
      <c r="F1255" s="41"/>
      <c r="G1255" s="101"/>
      <c r="H1255" s="38"/>
      <c r="I1255" s="42"/>
      <c r="J1255" s="42"/>
      <c r="K1255" s="43"/>
      <c r="L1255" s="43"/>
      <c r="M1255" s="44" t="str">
        <f>IF(LayTable[[#This Row],[Sport]]="","",LayTable[[#This Row],[LayInnsats]]*(LayTable[[#This Row],[LayOdds]]-1))</f>
        <v/>
      </c>
      <c r="N1255" s="45" t="str">
        <f>IF(LayTable[[#This Row],[Sport]]="","",1/((1/LayTable[[#This Row],[BookieOdds]])+(1/((1/((1+((LayTable[[#This Row],[LayOdds]]-1)*(1+LayTable[[#This Row],[C% Lay]])))-1))+1)))-1)</f>
        <v/>
      </c>
      <c r="Q1255" s="46" t="str">
        <f>IF(LayTable[[#This Row],[Sport]]="","",LayTable[[#This Row],[BookieInnsats]]+LayTable[[#This Row],[LayLiability]])</f>
        <v/>
      </c>
      <c r="R12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5" s="47" t="str">
        <f>IF(LayTable[[#This Row],[Utfall bookie]]="","",LayTable[[#This Row],[WBABack]]+LayTable[[#This Row],[WBALay]]-LayTable[[#This Row],[Total inns]])</f>
        <v/>
      </c>
      <c r="U12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5" s="48" t="str">
        <f>IFERROR(IF(LayTable[[#This Row],[Total inns]]="","",LayTable[[#This Row],[Rback]]/LayTable[[#This Row],[Total inns]]),"")</f>
        <v/>
      </c>
      <c r="X1255" s="48" t="str">
        <f>IFERROR(IF(LayTable[[#This Row],[Total inns]]="","",LayTable[[#This Row],[Rlay]]/LayTable[[#This Row],[Total inns]]),"")</f>
        <v/>
      </c>
      <c r="Y1255" s="48" t="str">
        <f>IFERROR(LayTable[[#This Row],[Faktisk res]]/LayTable[[#This Row],[Total inns]],"")</f>
        <v/>
      </c>
      <c r="Z1255" s="47">
        <f>(LayTable[[#This Row],[BookieInnsats]]*LayTable[[#This Row],[BookieOdds]]-LayTable[[#This Row],[BookieInnsats]])*(1-LayTable[[#This Row],[C% Bookie]])</f>
        <v>0</v>
      </c>
      <c r="AA1255" s="43">
        <f>LayTable[[#This Row],[LayInnsats]]*(1-LayTable[[#This Row],[C% Lay]])</f>
        <v>0</v>
      </c>
      <c r="AB1255" s="43" t="str">
        <f>IFERROR(IF(LayTable[[#This Row],[Sport]]="",AB1254,LayTable[[#This Row],[Faktisk res]]+AB1254),"")</f>
        <v/>
      </c>
      <c r="AC1255" s="43">
        <f>(LayTable[[#This Row],[BackWin-Commission]]+LayTable[[#This Row],[BookieInnsats]])</f>
        <v>0</v>
      </c>
      <c r="AD1255" s="43" t="e">
        <f>(LayTable[[#This Row],[LayWin-Commission]])+LayTable[[#This Row],[LayLiability]]</f>
        <v>#VALUE!</v>
      </c>
      <c r="AE1255" s="43"/>
      <c r="AF1255" s="181"/>
    </row>
    <row r="1256" spans="1:32">
      <c r="A1256" s="84"/>
      <c r="B1256" s="39"/>
      <c r="C1256" s="40"/>
      <c r="D1256" s="41"/>
      <c r="E1256" s="40"/>
      <c r="F1256" s="41"/>
      <c r="G1256" s="101"/>
      <c r="H1256" s="38"/>
      <c r="I1256" s="42"/>
      <c r="J1256" s="42"/>
      <c r="K1256" s="43"/>
      <c r="L1256" s="43"/>
      <c r="M1256" s="44" t="str">
        <f>IF(LayTable[[#This Row],[Sport]]="","",LayTable[[#This Row],[LayInnsats]]*(LayTable[[#This Row],[LayOdds]]-1))</f>
        <v/>
      </c>
      <c r="N1256" s="45" t="str">
        <f>IF(LayTable[[#This Row],[Sport]]="","",1/((1/LayTable[[#This Row],[BookieOdds]])+(1/((1/((1+((LayTable[[#This Row],[LayOdds]]-1)*(1+LayTable[[#This Row],[C% Lay]])))-1))+1)))-1)</f>
        <v/>
      </c>
      <c r="Q1256" s="46" t="str">
        <f>IF(LayTable[[#This Row],[Sport]]="","",LayTable[[#This Row],[BookieInnsats]]+LayTable[[#This Row],[LayLiability]])</f>
        <v/>
      </c>
      <c r="R12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6" s="47" t="str">
        <f>IF(LayTable[[#This Row],[Utfall bookie]]="","",LayTable[[#This Row],[WBABack]]+LayTable[[#This Row],[WBALay]]-LayTable[[#This Row],[Total inns]])</f>
        <v/>
      </c>
      <c r="U12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6" s="48" t="str">
        <f>IFERROR(IF(LayTable[[#This Row],[Total inns]]="","",LayTable[[#This Row],[Rback]]/LayTable[[#This Row],[Total inns]]),"")</f>
        <v/>
      </c>
      <c r="X1256" s="48" t="str">
        <f>IFERROR(IF(LayTable[[#This Row],[Total inns]]="","",LayTable[[#This Row],[Rlay]]/LayTable[[#This Row],[Total inns]]),"")</f>
        <v/>
      </c>
      <c r="Y1256" s="48" t="str">
        <f>IFERROR(LayTable[[#This Row],[Faktisk res]]/LayTable[[#This Row],[Total inns]],"")</f>
        <v/>
      </c>
      <c r="Z1256" s="47">
        <f>(LayTable[[#This Row],[BookieInnsats]]*LayTable[[#This Row],[BookieOdds]]-LayTable[[#This Row],[BookieInnsats]])*(1-LayTable[[#This Row],[C% Bookie]])</f>
        <v>0</v>
      </c>
      <c r="AA1256" s="43">
        <f>LayTable[[#This Row],[LayInnsats]]*(1-LayTable[[#This Row],[C% Lay]])</f>
        <v>0</v>
      </c>
      <c r="AB1256" s="43" t="str">
        <f>IFERROR(IF(LayTable[[#This Row],[Sport]]="",AB1255,LayTable[[#This Row],[Faktisk res]]+AB1255),"")</f>
        <v/>
      </c>
      <c r="AC1256" s="43">
        <f>(LayTable[[#This Row],[BackWin-Commission]]+LayTable[[#This Row],[BookieInnsats]])</f>
        <v>0</v>
      </c>
      <c r="AD1256" s="43" t="e">
        <f>(LayTable[[#This Row],[LayWin-Commission]])+LayTable[[#This Row],[LayLiability]]</f>
        <v>#VALUE!</v>
      </c>
      <c r="AE1256" s="43"/>
      <c r="AF1256" s="181"/>
    </row>
    <row r="1257" spans="1:32">
      <c r="A1257" s="84"/>
      <c r="B1257" s="39"/>
      <c r="C1257" s="40"/>
      <c r="D1257" s="41"/>
      <c r="E1257" s="40"/>
      <c r="F1257" s="41"/>
      <c r="G1257" s="101"/>
      <c r="H1257" s="38"/>
      <c r="I1257" s="42"/>
      <c r="J1257" s="42"/>
      <c r="K1257" s="43"/>
      <c r="L1257" s="43"/>
      <c r="M1257" s="44" t="str">
        <f>IF(LayTable[[#This Row],[Sport]]="","",LayTable[[#This Row],[LayInnsats]]*(LayTable[[#This Row],[LayOdds]]-1))</f>
        <v/>
      </c>
      <c r="N1257" s="45" t="str">
        <f>IF(LayTable[[#This Row],[Sport]]="","",1/((1/LayTable[[#This Row],[BookieOdds]])+(1/((1/((1+((LayTable[[#This Row],[LayOdds]]-1)*(1+LayTable[[#This Row],[C% Lay]])))-1))+1)))-1)</f>
        <v/>
      </c>
      <c r="Q1257" s="46" t="str">
        <f>IF(LayTable[[#This Row],[Sport]]="","",LayTable[[#This Row],[BookieInnsats]]+LayTable[[#This Row],[LayLiability]])</f>
        <v/>
      </c>
      <c r="R12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7" s="47" t="str">
        <f>IF(LayTable[[#This Row],[Utfall bookie]]="","",LayTable[[#This Row],[WBABack]]+LayTable[[#This Row],[WBALay]]-LayTable[[#This Row],[Total inns]])</f>
        <v/>
      </c>
      <c r="U12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7" s="48" t="str">
        <f>IFERROR(IF(LayTable[[#This Row],[Total inns]]="","",LayTable[[#This Row],[Rback]]/LayTable[[#This Row],[Total inns]]),"")</f>
        <v/>
      </c>
      <c r="X1257" s="48" t="str">
        <f>IFERROR(IF(LayTable[[#This Row],[Total inns]]="","",LayTable[[#This Row],[Rlay]]/LayTable[[#This Row],[Total inns]]),"")</f>
        <v/>
      </c>
      <c r="Y1257" s="48" t="str">
        <f>IFERROR(LayTable[[#This Row],[Faktisk res]]/LayTable[[#This Row],[Total inns]],"")</f>
        <v/>
      </c>
      <c r="Z1257" s="47">
        <f>(LayTable[[#This Row],[BookieInnsats]]*LayTable[[#This Row],[BookieOdds]]-LayTable[[#This Row],[BookieInnsats]])*(1-LayTable[[#This Row],[C% Bookie]])</f>
        <v>0</v>
      </c>
      <c r="AA1257" s="43">
        <f>LayTable[[#This Row],[LayInnsats]]*(1-LayTable[[#This Row],[C% Lay]])</f>
        <v>0</v>
      </c>
      <c r="AB1257" s="43" t="str">
        <f>IFERROR(IF(LayTable[[#This Row],[Sport]]="",AB1256,LayTable[[#This Row],[Faktisk res]]+AB1256),"")</f>
        <v/>
      </c>
      <c r="AC1257" s="43">
        <f>(LayTable[[#This Row],[BackWin-Commission]]+LayTable[[#This Row],[BookieInnsats]])</f>
        <v>0</v>
      </c>
      <c r="AD1257" s="43" t="e">
        <f>(LayTable[[#This Row],[LayWin-Commission]])+LayTable[[#This Row],[LayLiability]]</f>
        <v>#VALUE!</v>
      </c>
      <c r="AE1257" s="43"/>
      <c r="AF1257" s="181"/>
    </row>
    <row r="1258" spans="1:32">
      <c r="A1258" s="84"/>
      <c r="B1258" s="39"/>
      <c r="C1258" s="40"/>
      <c r="D1258" s="41"/>
      <c r="E1258" s="40"/>
      <c r="F1258" s="41"/>
      <c r="G1258" s="101"/>
      <c r="H1258" s="38"/>
      <c r="I1258" s="42"/>
      <c r="J1258" s="42"/>
      <c r="K1258" s="43"/>
      <c r="L1258" s="43"/>
      <c r="M1258" s="44" t="str">
        <f>IF(LayTable[[#This Row],[Sport]]="","",LayTable[[#This Row],[LayInnsats]]*(LayTable[[#This Row],[LayOdds]]-1))</f>
        <v/>
      </c>
      <c r="N1258" s="45" t="str">
        <f>IF(LayTable[[#This Row],[Sport]]="","",1/((1/LayTable[[#This Row],[BookieOdds]])+(1/((1/((1+((LayTable[[#This Row],[LayOdds]]-1)*(1+LayTable[[#This Row],[C% Lay]])))-1))+1)))-1)</f>
        <v/>
      </c>
      <c r="Q1258" s="46" t="str">
        <f>IF(LayTable[[#This Row],[Sport]]="","",LayTable[[#This Row],[BookieInnsats]]+LayTable[[#This Row],[LayLiability]])</f>
        <v/>
      </c>
      <c r="R12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8" s="47" t="str">
        <f>IF(LayTable[[#This Row],[Utfall bookie]]="","",LayTable[[#This Row],[WBABack]]+LayTable[[#This Row],[WBALay]]-LayTable[[#This Row],[Total inns]])</f>
        <v/>
      </c>
      <c r="U12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8" s="48" t="str">
        <f>IFERROR(IF(LayTable[[#This Row],[Total inns]]="","",LayTable[[#This Row],[Rback]]/LayTable[[#This Row],[Total inns]]),"")</f>
        <v/>
      </c>
      <c r="X1258" s="48" t="str">
        <f>IFERROR(IF(LayTable[[#This Row],[Total inns]]="","",LayTable[[#This Row],[Rlay]]/LayTable[[#This Row],[Total inns]]),"")</f>
        <v/>
      </c>
      <c r="Y1258" s="48" t="str">
        <f>IFERROR(LayTable[[#This Row],[Faktisk res]]/LayTable[[#This Row],[Total inns]],"")</f>
        <v/>
      </c>
      <c r="Z1258" s="47">
        <f>(LayTable[[#This Row],[BookieInnsats]]*LayTable[[#This Row],[BookieOdds]]-LayTable[[#This Row],[BookieInnsats]])*(1-LayTable[[#This Row],[C% Bookie]])</f>
        <v>0</v>
      </c>
      <c r="AA1258" s="43">
        <f>LayTable[[#This Row],[LayInnsats]]*(1-LayTable[[#This Row],[C% Lay]])</f>
        <v>0</v>
      </c>
      <c r="AB1258" s="43" t="str">
        <f>IFERROR(IF(LayTable[[#This Row],[Sport]]="",AB1257,LayTable[[#This Row],[Faktisk res]]+AB1257),"")</f>
        <v/>
      </c>
      <c r="AC1258" s="43">
        <f>(LayTable[[#This Row],[BackWin-Commission]]+LayTable[[#This Row],[BookieInnsats]])</f>
        <v>0</v>
      </c>
      <c r="AD1258" s="43" t="e">
        <f>(LayTable[[#This Row],[LayWin-Commission]])+LayTable[[#This Row],[LayLiability]]</f>
        <v>#VALUE!</v>
      </c>
      <c r="AE1258" s="43"/>
      <c r="AF1258" s="181"/>
    </row>
    <row r="1259" spans="1:32">
      <c r="A1259" s="84"/>
      <c r="B1259" s="39"/>
      <c r="C1259" s="40"/>
      <c r="D1259" s="41"/>
      <c r="E1259" s="40"/>
      <c r="F1259" s="41"/>
      <c r="G1259" s="101"/>
      <c r="H1259" s="38"/>
      <c r="I1259" s="42"/>
      <c r="J1259" s="42"/>
      <c r="K1259" s="43"/>
      <c r="L1259" s="43"/>
      <c r="M1259" s="44" t="str">
        <f>IF(LayTable[[#This Row],[Sport]]="","",LayTable[[#This Row],[LayInnsats]]*(LayTable[[#This Row],[LayOdds]]-1))</f>
        <v/>
      </c>
      <c r="N1259" s="45" t="str">
        <f>IF(LayTable[[#This Row],[Sport]]="","",1/((1/LayTable[[#This Row],[BookieOdds]])+(1/((1/((1+((LayTable[[#This Row],[LayOdds]]-1)*(1+LayTable[[#This Row],[C% Lay]])))-1))+1)))-1)</f>
        <v/>
      </c>
      <c r="Q1259" s="46" t="str">
        <f>IF(LayTable[[#This Row],[Sport]]="","",LayTable[[#This Row],[BookieInnsats]]+LayTable[[#This Row],[LayLiability]])</f>
        <v/>
      </c>
      <c r="R12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59" s="47" t="str">
        <f>IF(LayTable[[#This Row],[Utfall bookie]]="","",LayTable[[#This Row],[WBABack]]+LayTable[[#This Row],[WBALay]]-LayTable[[#This Row],[Total inns]])</f>
        <v/>
      </c>
      <c r="U12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59" s="48" t="str">
        <f>IFERROR(IF(LayTable[[#This Row],[Total inns]]="","",LayTable[[#This Row],[Rback]]/LayTable[[#This Row],[Total inns]]),"")</f>
        <v/>
      </c>
      <c r="X1259" s="48" t="str">
        <f>IFERROR(IF(LayTable[[#This Row],[Total inns]]="","",LayTable[[#This Row],[Rlay]]/LayTable[[#This Row],[Total inns]]),"")</f>
        <v/>
      </c>
      <c r="Y1259" s="48" t="str">
        <f>IFERROR(LayTable[[#This Row],[Faktisk res]]/LayTable[[#This Row],[Total inns]],"")</f>
        <v/>
      </c>
      <c r="Z1259" s="47">
        <f>(LayTable[[#This Row],[BookieInnsats]]*LayTable[[#This Row],[BookieOdds]]-LayTable[[#This Row],[BookieInnsats]])*(1-LayTable[[#This Row],[C% Bookie]])</f>
        <v>0</v>
      </c>
      <c r="AA1259" s="43">
        <f>LayTable[[#This Row],[LayInnsats]]*(1-LayTable[[#This Row],[C% Lay]])</f>
        <v>0</v>
      </c>
      <c r="AB1259" s="43" t="str">
        <f>IFERROR(IF(LayTable[[#This Row],[Sport]]="",AB1258,LayTable[[#This Row],[Faktisk res]]+AB1258),"")</f>
        <v/>
      </c>
      <c r="AC1259" s="43">
        <f>(LayTable[[#This Row],[BackWin-Commission]]+LayTable[[#This Row],[BookieInnsats]])</f>
        <v>0</v>
      </c>
      <c r="AD1259" s="43" t="e">
        <f>(LayTable[[#This Row],[LayWin-Commission]])+LayTable[[#This Row],[LayLiability]]</f>
        <v>#VALUE!</v>
      </c>
      <c r="AE1259" s="43"/>
      <c r="AF1259" s="181"/>
    </row>
    <row r="1260" spans="1:32">
      <c r="A1260" s="84"/>
      <c r="B1260" s="39"/>
      <c r="C1260" s="40"/>
      <c r="D1260" s="41"/>
      <c r="E1260" s="40"/>
      <c r="F1260" s="41"/>
      <c r="G1260" s="101"/>
      <c r="H1260" s="38"/>
      <c r="I1260" s="42"/>
      <c r="J1260" s="42"/>
      <c r="K1260" s="43"/>
      <c r="L1260" s="43"/>
      <c r="M1260" s="44" t="str">
        <f>IF(LayTable[[#This Row],[Sport]]="","",LayTable[[#This Row],[LayInnsats]]*(LayTable[[#This Row],[LayOdds]]-1))</f>
        <v/>
      </c>
      <c r="N1260" s="45" t="str">
        <f>IF(LayTable[[#This Row],[Sport]]="","",1/((1/LayTable[[#This Row],[BookieOdds]])+(1/((1/((1+((LayTable[[#This Row],[LayOdds]]-1)*(1+LayTable[[#This Row],[C% Lay]])))-1))+1)))-1)</f>
        <v/>
      </c>
      <c r="Q1260" s="46" t="str">
        <f>IF(LayTable[[#This Row],[Sport]]="","",LayTable[[#This Row],[BookieInnsats]]+LayTable[[#This Row],[LayLiability]])</f>
        <v/>
      </c>
      <c r="R12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0" s="47" t="str">
        <f>IF(LayTable[[#This Row],[Utfall bookie]]="","",LayTable[[#This Row],[WBABack]]+LayTable[[#This Row],[WBALay]]-LayTable[[#This Row],[Total inns]])</f>
        <v/>
      </c>
      <c r="U12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0" s="48" t="str">
        <f>IFERROR(IF(LayTable[[#This Row],[Total inns]]="","",LayTable[[#This Row],[Rback]]/LayTable[[#This Row],[Total inns]]),"")</f>
        <v/>
      </c>
      <c r="X1260" s="48" t="str">
        <f>IFERROR(IF(LayTable[[#This Row],[Total inns]]="","",LayTable[[#This Row],[Rlay]]/LayTable[[#This Row],[Total inns]]),"")</f>
        <v/>
      </c>
      <c r="Y1260" s="48" t="str">
        <f>IFERROR(LayTable[[#This Row],[Faktisk res]]/LayTable[[#This Row],[Total inns]],"")</f>
        <v/>
      </c>
      <c r="Z1260" s="47">
        <f>(LayTable[[#This Row],[BookieInnsats]]*LayTable[[#This Row],[BookieOdds]]-LayTable[[#This Row],[BookieInnsats]])*(1-LayTable[[#This Row],[C% Bookie]])</f>
        <v>0</v>
      </c>
      <c r="AA1260" s="43">
        <f>LayTable[[#This Row],[LayInnsats]]*(1-LayTable[[#This Row],[C% Lay]])</f>
        <v>0</v>
      </c>
      <c r="AB1260" s="43" t="str">
        <f>IFERROR(IF(LayTable[[#This Row],[Sport]]="",AB1259,LayTable[[#This Row],[Faktisk res]]+AB1259),"")</f>
        <v/>
      </c>
      <c r="AC1260" s="43">
        <f>(LayTable[[#This Row],[BackWin-Commission]]+LayTable[[#This Row],[BookieInnsats]])</f>
        <v>0</v>
      </c>
      <c r="AD1260" s="43" t="e">
        <f>(LayTable[[#This Row],[LayWin-Commission]])+LayTable[[#This Row],[LayLiability]]</f>
        <v>#VALUE!</v>
      </c>
      <c r="AE1260" s="43"/>
      <c r="AF1260" s="181"/>
    </row>
    <row r="1261" spans="1:32">
      <c r="A1261" s="84"/>
      <c r="B1261" s="39"/>
      <c r="C1261" s="40"/>
      <c r="D1261" s="41"/>
      <c r="E1261" s="40"/>
      <c r="F1261" s="41"/>
      <c r="G1261" s="101"/>
      <c r="H1261" s="38"/>
      <c r="I1261" s="42"/>
      <c r="J1261" s="42"/>
      <c r="K1261" s="43"/>
      <c r="L1261" s="43"/>
      <c r="M1261" s="44" t="str">
        <f>IF(LayTable[[#This Row],[Sport]]="","",LayTable[[#This Row],[LayInnsats]]*(LayTable[[#This Row],[LayOdds]]-1))</f>
        <v/>
      </c>
      <c r="N1261" s="45" t="str">
        <f>IF(LayTable[[#This Row],[Sport]]="","",1/((1/LayTable[[#This Row],[BookieOdds]])+(1/((1/((1+((LayTable[[#This Row],[LayOdds]]-1)*(1+LayTable[[#This Row],[C% Lay]])))-1))+1)))-1)</f>
        <v/>
      </c>
      <c r="Q1261" s="46" t="str">
        <f>IF(LayTable[[#This Row],[Sport]]="","",LayTable[[#This Row],[BookieInnsats]]+LayTable[[#This Row],[LayLiability]])</f>
        <v/>
      </c>
      <c r="R12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1" s="47" t="str">
        <f>IF(LayTable[[#This Row],[Utfall bookie]]="","",LayTable[[#This Row],[WBABack]]+LayTable[[#This Row],[WBALay]]-LayTable[[#This Row],[Total inns]])</f>
        <v/>
      </c>
      <c r="U12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1" s="48" t="str">
        <f>IFERROR(IF(LayTable[[#This Row],[Total inns]]="","",LayTable[[#This Row],[Rback]]/LayTable[[#This Row],[Total inns]]),"")</f>
        <v/>
      </c>
      <c r="X1261" s="48" t="str">
        <f>IFERROR(IF(LayTable[[#This Row],[Total inns]]="","",LayTable[[#This Row],[Rlay]]/LayTable[[#This Row],[Total inns]]),"")</f>
        <v/>
      </c>
      <c r="Y1261" s="48" t="str">
        <f>IFERROR(LayTable[[#This Row],[Faktisk res]]/LayTable[[#This Row],[Total inns]],"")</f>
        <v/>
      </c>
      <c r="Z1261" s="47">
        <f>(LayTable[[#This Row],[BookieInnsats]]*LayTable[[#This Row],[BookieOdds]]-LayTable[[#This Row],[BookieInnsats]])*(1-LayTable[[#This Row],[C% Bookie]])</f>
        <v>0</v>
      </c>
      <c r="AA1261" s="43">
        <f>LayTable[[#This Row],[LayInnsats]]*(1-LayTable[[#This Row],[C% Lay]])</f>
        <v>0</v>
      </c>
      <c r="AB1261" s="43" t="str">
        <f>IFERROR(IF(LayTable[[#This Row],[Sport]]="",AB1260,LayTable[[#This Row],[Faktisk res]]+AB1260),"")</f>
        <v/>
      </c>
      <c r="AC1261" s="43">
        <f>(LayTable[[#This Row],[BackWin-Commission]]+LayTable[[#This Row],[BookieInnsats]])</f>
        <v>0</v>
      </c>
      <c r="AD1261" s="43" t="e">
        <f>(LayTable[[#This Row],[LayWin-Commission]])+LayTable[[#This Row],[LayLiability]]</f>
        <v>#VALUE!</v>
      </c>
      <c r="AE1261" s="43"/>
      <c r="AF1261" s="181"/>
    </row>
    <row r="1262" spans="1:32">
      <c r="A1262" s="84"/>
      <c r="B1262" s="39"/>
      <c r="C1262" s="40"/>
      <c r="D1262" s="41"/>
      <c r="E1262" s="40"/>
      <c r="F1262" s="41"/>
      <c r="G1262" s="101"/>
      <c r="H1262" s="38"/>
      <c r="I1262" s="42"/>
      <c r="J1262" s="42"/>
      <c r="K1262" s="43"/>
      <c r="L1262" s="43"/>
      <c r="M1262" s="44" t="str">
        <f>IF(LayTable[[#This Row],[Sport]]="","",LayTable[[#This Row],[LayInnsats]]*(LayTable[[#This Row],[LayOdds]]-1))</f>
        <v/>
      </c>
      <c r="N1262" s="45" t="str">
        <f>IF(LayTable[[#This Row],[Sport]]="","",1/((1/LayTable[[#This Row],[BookieOdds]])+(1/((1/((1+((LayTable[[#This Row],[LayOdds]]-1)*(1+LayTable[[#This Row],[C% Lay]])))-1))+1)))-1)</f>
        <v/>
      </c>
      <c r="Q1262" s="46" t="str">
        <f>IF(LayTable[[#This Row],[Sport]]="","",LayTable[[#This Row],[BookieInnsats]]+LayTable[[#This Row],[LayLiability]])</f>
        <v/>
      </c>
      <c r="R12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2" s="47" t="str">
        <f>IF(LayTable[[#This Row],[Utfall bookie]]="","",LayTable[[#This Row],[WBABack]]+LayTable[[#This Row],[WBALay]]-LayTable[[#This Row],[Total inns]])</f>
        <v/>
      </c>
      <c r="U12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2" s="48" t="str">
        <f>IFERROR(IF(LayTable[[#This Row],[Total inns]]="","",LayTable[[#This Row],[Rback]]/LayTable[[#This Row],[Total inns]]),"")</f>
        <v/>
      </c>
      <c r="X1262" s="48" t="str">
        <f>IFERROR(IF(LayTable[[#This Row],[Total inns]]="","",LayTable[[#This Row],[Rlay]]/LayTable[[#This Row],[Total inns]]),"")</f>
        <v/>
      </c>
      <c r="Y1262" s="48" t="str">
        <f>IFERROR(LayTable[[#This Row],[Faktisk res]]/LayTable[[#This Row],[Total inns]],"")</f>
        <v/>
      </c>
      <c r="Z1262" s="47">
        <f>(LayTable[[#This Row],[BookieInnsats]]*LayTable[[#This Row],[BookieOdds]]-LayTable[[#This Row],[BookieInnsats]])*(1-LayTable[[#This Row],[C% Bookie]])</f>
        <v>0</v>
      </c>
      <c r="AA1262" s="43">
        <f>LayTable[[#This Row],[LayInnsats]]*(1-LayTable[[#This Row],[C% Lay]])</f>
        <v>0</v>
      </c>
      <c r="AB1262" s="43" t="str">
        <f>IFERROR(IF(LayTable[[#This Row],[Sport]]="",AB1261,LayTable[[#This Row],[Faktisk res]]+AB1261),"")</f>
        <v/>
      </c>
      <c r="AC1262" s="43">
        <f>(LayTable[[#This Row],[BackWin-Commission]]+LayTable[[#This Row],[BookieInnsats]])</f>
        <v>0</v>
      </c>
      <c r="AD1262" s="43" t="e">
        <f>(LayTable[[#This Row],[LayWin-Commission]])+LayTable[[#This Row],[LayLiability]]</f>
        <v>#VALUE!</v>
      </c>
      <c r="AE1262" s="43"/>
      <c r="AF1262" s="181"/>
    </row>
    <row r="1263" spans="1:32">
      <c r="A1263" s="84"/>
      <c r="B1263" s="39"/>
      <c r="C1263" s="40"/>
      <c r="D1263" s="41"/>
      <c r="E1263" s="40"/>
      <c r="F1263" s="41"/>
      <c r="G1263" s="101"/>
      <c r="H1263" s="38"/>
      <c r="I1263" s="42"/>
      <c r="J1263" s="42"/>
      <c r="K1263" s="43"/>
      <c r="L1263" s="43"/>
      <c r="M1263" s="44" t="str">
        <f>IF(LayTable[[#This Row],[Sport]]="","",LayTable[[#This Row],[LayInnsats]]*(LayTable[[#This Row],[LayOdds]]-1))</f>
        <v/>
      </c>
      <c r="N1263" s="45" t="str">
        <f>IF(LayTable[[#This Row],[Sport]]="","",1/((1/LayTable[[#This Row],[BookieOdds]])+(1/((1/((1+((LayTable[[#This Row],[LayOdds]]-1)*(1+LayTable[[#This Row],[C% Lay]])))-1))+1)))-1)</f>
        <v/>
      </c>
      <c r="Q1263" s="46" t="str">
        <f>IF(LayTable[[#This Row],[Sport]]="","",LayTable[[#This Row],[BookieInnsats]]+LayTable[[#This Row],[LayLiability]])</f>
        <v/>
      </c>
      <c r="R12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3" s="47" t="str">
        <f>IF(LayTable[[#This Row],[Utfall bookie]]="","",LayTable[[#This Row],[WBABack]]+LayTable[[#This Row],[WBALay]]-LayTable[[#This Row],[Total inns]])</f>
        <v/>
      </c>
      <c r="U12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3" s="48" t="str">
        <f>IFERROR(IF(LayTable[[#This Row],[Total inns]]="","",LayTable[[#This Row],[Rback]]/LayTable[[#This Row],[Total inns]]),"")</f>
        <v/>
      </c>
      <c r="X1263" s="48" t="str">
        <f>IFERROR(IF(LayTable[[#This Row],[Total inns]]="","",LayTable[[#This Row],[Rlay]]/LayTable[[#This Row],[Total inns]]),"")</f>
        <v/>
      </c>
      <c r="Y1263" s="48" t="str">
        <f>IFERROR(LayTable[[#This Row],[Faktisk res]]/LayTable[[#This Row],[Total inns]],"")</f>
        <v/>
      </c>
      <c r="Z1263" s="47">
        <f>(LayTable[[#This Row],[BookieInnsats]]*LayTable[[#This Row],[BookieOdds]]-LayTable[[#This Row],[BookieInnsats]])*(1-LayTable[[#This Row],[C% Bookie]])</f>
        <v>0</v>
      </c>
      <c r="AA1263" s="43">
        <f>LayTable[[#This Row],[LayInnsats]]*(1-LayTable[[#This Row],[C% Lay]])</f>
        <v>0</v>
      </c>
      <c r="AB1263" s="43" t="str">
        <f>IFERROR(IF(LayTable[[#This Row],[Sport]]="",AB1262,LayTable[[#This Row],[Faktisk res]]+AB1262),"")</f>
        <v/>
      </c>
      <c r="AC1263" s="43">
        <f>(LayTable[[#This Row],[BackWin-Commission]]+LayTable[[#This Row],[BookieInnsats]])</f>
        <v>0</v>
      </c>
      <c r="AD1263" s="43" t="e">
        <f>(LayTable[[#This Row],[LayWin-Commission]])+LayTable[[#This Row],[LayLiability]]</f>
        <v>#VALUE!</v>
      </c>
      <c r="AE1263" s="43"/>
      <c r="AF1263" s="181"/>
    </row>
    <row r="1264" spans="1:32">
      <c r="A1264" s="84"/>
      <c r="B1264" s="39"/>
      <c r="C1264" s="40"/>
      <c r="D1264" s="41"/>
      <c r="E1264" s="40"/>
      <c r="F1264" s="41"/>
      <c r="G1264" s="101"/>
      <c r="H1264" s="38"/>
      <c r="I1264" s="42"/>
      <c r="J1264" s="42"/>
      <c r="K1264" s="43"/>
      <c r="L1264" s="43"/>
      <c r="M1264" s="44" t="str">
        <f>IF(LayTable[[#This Row],[Sport]]="","",LayTable[[#This Row],[LayInnsats]]*(LayTable[[#This Row],[LayOdds]]-1))</f>
        <v/>
      </c>
      <c r="N1264" s="45" t="str">
        <f>IF(LayTable[[#This Row],[Sport]]="","",1/((1/LayTable[[#This Row],[BookieOdds]])+(1/((1/((1+((LayTable[[#This Row],[LayOdds]]-1)*(1+LayTable[[#This Row],[C% Lay]])))-1))+1)))-1)</f>
        <v/>
      </c>
      <c r="Q1264" s="46" t="str">
        <f>IF(LayTable[[#This Row],[Sport]]="","",LayTable[[#This Row],[BookieInnsats]]+LayTable[[#This Row],[LayLiability]])</f>
        <v/>
      </c>
      <c r="R12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4" s="47" t="str">
        <f>IF(LayTable[[#This Row],[Utfall bookie]]="","",LayTable[[#This Row],[WBABack]]+LayTable[[#This Row],[WBALay]]-LayTable[[#This Row],[Total inns]])</f>
        <v/>
      </c>
      <c r="U12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4" s="48" t="str">
        <f>IFERROR(IF(LayTable[[#This Row],[Total inns]]="","",LayTable[[#This Row],[Rback]]/LayTable[[#This Row],[Total inns]]),"")</f>
        <v/>
      </c>
      <c r="X1264" s="48" t="str">
        <f>IFERROR(IF(LayTable[[#This Row],[Total inns]]="","",LayTable[[#This Row],[Rlay]]/LayTable[[#This Row],[Total inns]]),"")</f>
        <v/>
      </c>
      <c r="Y1264" s="48" t="str">
        <f>IFERROR(LayTable[[#This Row],[Faktisk res]]/LayTable[[#This Row],[Total inns]],"")</f>
        <v/>
      </c>
      <c r="Z1264" s="47">
        <f>(LayTable[[#This Row],[BookieInnsats]]*LayTable[[#This Row],[BookieOdds]]-LayTable[[#This Row],[BookieInnsats]])*(1-LayTable[[#This Row],[C% Bookie]])</f>
        <v>0</v>
      </c>
      <c r="AA1264" s="43">
        <f>LayTable[[#This Row],[LayInnsats]]*(1-LayTable[[#This Row],[C% Lay]])</f>
        <v>0</v>
      </c>
      <c r="AB1264" s="43" t="str">
        <f>IFERROR(IF(LayTable[[#This Row],[Sport]]="",AB1263,LayTable[[#This Row],[Faktisk res]]+AB1263),"")</f>
        <v/>
      </c>
      <c r="AC1264" s="43">
        <f>(LayTable[[#This Row],[BackWin-Commission]]+LayTable[[#This Row],[BookieInnsats]])</f>
        <v>0</v>
      </c>
      <c r="AD1264" s="43" t="e">
        <f>(LayTable[[#This Row],[LayWin-Commission]])+LayTable[[#This Row],[LayLiability]]</f>
        <v>#VALUE!</v>
      </c>
      <c r="AE1264" s="43"/>
      <c r="AF1264" s="181"/>
    </row>
    <row r="1265" spans="1:32">
      <c r="A1265" s="84"/>
      <c r="B1265" s="39"/>
      <c r="C1265" s="40"/>
      <c r="D1265" s="41"/>
      <c r="E1265" s="40"/>
      <c r="F1265" s="41"/>
      <c r="G1265" s="101"/>
      <c r="H1265" s="38"/>
      <c r="I1265" s="42"/>
      <c r="J1265" s="42"/>
      <c r="K1265" s="43"/>
      <c r="L1265" s="43"/>
      <c r="M1265" s="44" t="str">
        <f>IF(LayTable[[#This Row],[Sport]]="","",LayTable[[#This Row],[LayInnsats]]*(LayTable[[#This Row],[LayOdds]]-1))</f>
        <v/>
      </c>
      <c r="N1265" s="45" t="str">
        <f>IF(LayTable[[#This Row],[Sport]]="","",1/((1/LayTable[[#This Row],[BookieOdds]])+(1/((1/((1+((LayTable[[#This Row],[LayOdds]]-1)*(1+LayTable[[#This Row],[C% Lay]])))-1))+1)))-1)</f>
        <v/>
      </c>
      <c r="Q1265" s="46" t="str">
        <f>IF(LayTable[[#This Row],[Sport]]="","",LayTable[[#This Row],[BookieInnsats]]+LayTable[[#This Row],[LayLiability]])</f>
        <v/>
      </c>
      <c r="R12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5" s="47" t="str">
        <f>IF(LayTable[[#This Row],[Utfall bookie]]="","",LayTable[[#This Row],[WBABack]]+LayTable[[#This Row],[WBALay]]-LayTable[[#This Row],[Total inns]])</f>
        <v/>
      </c>
      <c r="U12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5" s="48" t="str">
        <f>IFERROR(IF(LayTable[[#This Row],[Total inns]]="","",LayTable[[#This Row],[Rback]]/LayTable[[#This Row],[Total inns]]),"")</f>
        <v/>
      </c>
      <c r="X1265" s="48" t="str">
        <f>IFERROR(IF(LayTable[[#This Row],[Total inns]]="","",LayTable[[#This Row],[Rlay]]/LayTable[[#This Row],[Total inns]]),"")</f>
        <v/>
      </c>
      <c r="Y1265" s="48" t="str">
        <f>IFERROR(LayTable[[#This Row],[Faktisk res]]/LayTable[[#This Row],[Total inns]],"")</f>
        <v/>
      </c>
      <c r="Z1265" s="47">
        <f>(LayTable[[#This Row],[BookieInnsats]]*LayTable[[#This Row],[BookieOdds]]-LayTable[[#This Row],[BookieInnsats]])*(1-LayTable[[#This Row],[C% Bookie]])</f>
        <v>0</v>
      </c>
      <c r="AA1265" s="43">
        <f>LayTable[[#This Row],[LayInnsats]]*(1-LayTable[[#This Row],[C% Lay]])</f>
        <v>0</v>
      </c>
      <c r="AB1265" s="43" t="str">
        <f>IFERROR(IF(LayTable[[#This Row],[Sport]]="",AB1264,LayTable[[#This Row],[Faktisk res]]+AB1264),"")</f>
        <v/>
      </c>
      <c r="AC1265" s="43">
        <f>(LayTable[[#This Row],[BackWin-Commission]]+LayTable[[#This Row],[BookieInnsats]])</f>
        <v>0</v>
      </c>
      <c r="AD1265" s="43" t="e">
        <f>(LayTable[[#This Row],[LayWin-Commission]])+LayTable[[#This Row],[LayLiability]]</f>
        <v>#VALUE!</v>
      </c>
      <c r="AE1265" s="43"/>
      <c r="AF1265" s="181"/>
    </row>
    <row r="1266" spans="1:32">
      <c r="A1266" s="84"/>
      <c r="B1266" s="39"/>
      <c r="C1266" s="40"/>
      <c r="D1266" s="41"/>
      <c r="E1266" s="40"/>
      <c r="F1266" s="41"/>
      <c r="G1266" s="101"/>
      <c r="H1266" s="38"/>
      <c r="I1266" s="42"/>
      <c r="J1266" s="42"/>
      <c r="K1266" s="43"/>
      <c r="L1266" s="43"/>
      <c r="M1266" s="44" t="str">
        <f>IF(LayTable[[#This Row],[Sport]]="","",LayTable[[#This Row],[LayInnsats]]*(LayTable[[#This Row],[LayOdds]]-1))</f>
        <v/>
      </c>
      <c r="N1266" s="45" t="str">
        <f>IF(LayTable[[#This Row],[Sport]]="","",1/((1/LayTable[[#This Row],[BookieOdds]])+(1/((1/((1+((LayTable[[#This Row],[LayOdds]]-1)*(1+LayTable[[#This Row],[C% Lay]])))-1))+1)))-1)</f>
        <v/>
      </c>
      <c r="Q1266" s="46" t="str">
        <f>IF(LayTable[[#This Row],[Sport]]="","",LayTable[[#This Row],[BookieInnsats]]+LayTable[[#This Row],[LayLiability]])</f>
        <v/>
      </c>
      <c r="R12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6" s="47" t="str">
        <f>IF(LayTable[[#This Row],[Utfall bookie]]="","",LayTable[[#This Row],[WBABack]]+LayTable[[#This Row],[WBALay]]-LayTable[[#This Row],[Total inns]])</f>
        <v/>
      </c>
      <c r="U12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6" s="48" t="str">
        <f>IFERROR(IF(LayTable[[#This Row],[Total inns]]="","",LayTable[[#This Row],[Rback]]/LayTable[[#This Row],[Total inns]]),"")</f>
        <v/>
      </c>
      <c r="X1266" s="48" t="str">
        <f>IFERROR(IF(LayTable[[#This Row],[Total inns]]="","",LayTable[[#This Row],[Rlay]]/LayTable[[#This Row],[Total inns]]),"")</f>
        <v/>
      </c>
      <c r="Y1266" s="48" t="str">
        <f>IFERROR(LayTable[[#This Row],[Faktisk res]]/LayTable[[#This Row],[Total inns]],"")</f>
        <v/>
      </c>
      <c r="Z1266" s="47">
        <f>(LayTable[[#This Row],[BookieInnsats]]*LayTable[[#This Row],[BookieOdds]]-LayTable[[#This Row],[BookieInnsats]])*(1-LayTable[[#This Row],[C% Bookie]])</f>
        <v>0</v>
      </c>
      <c r="AA1266" s="43">
        <f>LayTable[[#This Row],[LayInnsats]]*(1-LayTable[[#This Row],[C% Lay]])</f>
        <v>0</v>
      </c>
      <c r="AB1266" s="43" t="str">
        <f>IFERROR(IF(LayTable[[#This Row],[Sport]]="",AB1265,LayTable[[#This Row],[Faktisk res]]+AB1265),"")</f>
        <v/>
      </c>
      <c r="AC1266" s="43">
        <f>(LayTable[[#This Row],[BackWin-Commission]]+LayTable[[#This Row],[BookieInnsats]])</f>
        <v>0</v>
      </c>
      <c r="AD1266" s="43" t="e">
        <f>(LayTable[[#This Row],[LayWin-Commission]])+LayTable[[#This Row],[LayLiability]]</f>
        <v>#VALUE!</v>
      </c>
      <c r="AE1266" s="43"/>
      <c r="AF1266" s="181"/>
    </row>
    <row r="1267" spans="1:32">
      <c r="A1267" s="84"/>
      <c r="B1267" s="39"/>
      <c r="C1267" s="40"/>
      <c r="D1267" s="41"/>
      <c r="E1267" s="40"/>
      <c r="F1267" s="41"/>
      <c r="G1267" s="101"/>
      <c r="H1267" s="38"/>
      <c r="I1267" s="42"/>
      <c r="J1267" s="42"/>
      <c r="K1267" s="43"/>
      <c r="L1267" s="43"/>
      <c r="M1267" s="44" t="str">
        <f>IF(LayTable[[#This Row],[Sport]]="","",LayTable[[#This Row],[LayInnsats]]*(LayTable[[#This Row],[LayOdds]]-1))</f>
        <v/>
      </c>
      <c r="N1267" s="45" t="str">
        <f>IF(LayTable[[#This Row],[Sport]]="","",1/((1/LayTable[[#This Row],[BookieOdds]])+(1/((1/((1+((LayTable[[#This Row],[LayOdds]]-1)*(1+LayTable[[#This Row],[C% Lay]])))-1))+1)))-1)</f>
        <v/>
      </c>
      <c r="Q1267" s="46" t="str">
        <f>IF(LayTable[[#This Row],[Sport]]="","",LayTable[[#This Row],[BookieInnsats]]+LayTable[[#This Row],[LayLiability]])</f>
        <v/>
      </c>
      <c r="R12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7" s="47" t="str">
        <f>IF(LayTable[[#This Row],[Utfall bookie]]="","",LayTable[[#This Row],[WBABack]]+LayTable[[#This Row],[WBALay]]-LayTable[[#This Row],[Total inns]])</f>
        <v/>
      </c>
      <c r="U12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7" s="48" t="str">
        <f>IFERROR(IF(LayTable[[#This Row],[Total inns]]="","",LayTable[[#This Row],[Rback]]/LayTable[[#This Row],[Total inns]]),"")</f>
        <v/>
      </c>
      <c r="X1267" s="48" t="str">
        <f>IFERROR(IF(LayTable[[#This Row],[Total inns]]="","",LayTable[[#This Row],[Rlay]]/LayTable[[#This Row],[Total inns]]),"")</f>
        <v/>
      </c>
      <c r="Y1267" s="48" t="str">
        <f>IFERROR(LayTable[[#This Row],[Faktisk res]]/LayTable[[#This Row],[Total inns]],"")</f>
        <v/>
      </c>
      <c r="Z1267" s="47">
        <f>(LayTable[[#This Row],[BookieInnsats]]*LayTable[[#This Row],[BookieOdds]]-LayTable[[#This Row],[BookieInnsats]])*(1-LayTable[[#This Row],[C% Bookie]])</f>
        <v>0</v>
      </c>
      <c r="AA1267" s="43">
        <f>LayTable[[#This Row],[LayInnsats]]*(1-LayTable[[#This Row],[C% Lay]])</f>
        <v>0</v>
      </c>
      <c r="AB1267" s="43" t="str">
        <f>IFERROR(IF(LayTable[[#This Row],[Sport]]="",AB1266,LayTable[[#This Row],[Faktisk res]]+AB1266),"")</f>
        <v/>
      </c>
      <c r="AC1267" s="43">
        <f>(LayTable[[#This Row],[BackWin-Commission]]+LayTable[[#This Row],[BookieInnsats]])</f>
        <v>0</v>
      </c>
      <c r="AD1267" s="43" t="e">
        <f>(LayTable[[#This Row],[LayWin-Commission]])+LayTable[[#This Row],[LayLiability]]</f>
        <v>#VALUE!</v>
      </c>
      <c r="AE1267" s="43"/>
      <c r="AF1267" s="181"/>
    </row>
    <row r="1268" spans="1:32">
      <c r="A1268" s="84"/>
      <c r="B1268" s="39"/>
      <c r="C1268" s="40"/>
      <c r="D1268" s="41"/>
      <c r="E1268" s="40"/>
      <c r="F1268" s="41"/>
      <c r="G1268" s="101"/>
      <c r="H1268" s="38"/>
      <c r="I1268" s="42"/>
      <c r="J1268" s="42"/>
      <c r="K1268" s="43"/>
      <c r="L1268" s="43"/>
      <c r="M1268" s="44" t="str">
        <f>IF(LayTable[[#This Row],[Sport]]="","",LayTable[[#This Row],[LayInnsats]]*(LayTable[[#This Row],[LayOdds]]-1))</f>
        <v/>
      </c>
      <c r="N1268" s="45" t="str">
        <f>IF(LayTable[[#This Row],[Sport]]="","",1/((1/LayTable[[#This Row],[BookieOdds]])+(1/((1/((1+((LayTable[[#This Row],[LayOdds]]-1)*(1+LayTable[[#This Row],[C% Lay]])))-1))+1)))-1)</f>
        <v/>
      </c>
      <c r="Q1268" s="46" t="str">
        <f>IF(LayTable[[#This Row],[Sport]]="","",LayTable[[#This Row],[BookieInnsats]]+LayTable[[#This Row],[LayLiability]])</f>
        <v/>
      </c>
      <c r="R12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8" s="47" t="str">
        <f>IF(LayTable[[#This Row],[Utfall bookie]]="","",LayTable[[#This Row],[WBABack]]+LayTable[[#This Row],[WBALay]]-LayTable[[#This Row],[Total inns]])</f>
        <v/>
      </c>
      <c r="U12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8" s="48" t="str">
        <f>IFERROR(IF(LayTable[[#This Row],[Total inns]]="","",LayTable[[#This Row],[Rback]]/LayTable[[#This Row],[Total inns]]),"")</f>
        <v/>
      </c>
      <c r="X1268" s="48" t="str">
        <f>IFERROR(IF(LayTable[[#This Row],[Total inns]]="","",LayTable[[#This Row],[Rlay]]/LayTable[[#This Row],[Total inns]]),"")</f>
        <v/>
      </c>
      <c r="Y1268" s="48" t="str">
        <f>IFERROR(LayTable[[#This Row],[Faktisk res]]/LayTable[[#This Row],[Total inns]],"")</f>
        <v/>
      </c>
      <c r="Z1268" s="47">
        <f>(LayTable[[#This Row],[BookieInnsats]]*LayTable[[#This Row],[BookieOdds]]-LayTable[[#This Row],[BookieInnsats]])*(1-LayTable[[#This Row],[C% Bookie]])</f>
        <v>0</v>
      </c>
      <c r="AA1268" s="43">
        <f>LayTable[[#This Row],[LayInnsats]]*(1-LayTable[[#This Row],[C% Lay]])</f>
        <v>0</v>
      </c>
      <c r="AB1268" s="43" t="str">
        <f>IFERROR(IF(LayTable[[#This Row],[Sport]]="",AB1267,LayTable[[#This Row],[Faktisk res]]+AB1267),"")</f>
        <v/>
      </c>
      <c r="AC1268" s="43">
        <f>(LayTable[[#This Row],[BackWin-Commission]]+LayTable[[#This Row],[BookieInnsats]])</f>
        <v>0</v>
      </c>
      <c r="AD1268" s="43" t="e">
        <f>(LayTable[[#This Row],[LayWin-Commission]])+LayTable[[#This Row],[LayLiability]]</f>
        <v>#VALUE!</v>
      </c>
      <c r="AE1268" s="43"/>
      <c r="AF1268" s="181"/>
    </row>
    <row r="1269" spans="1:32">
      <c r="A1269" s="84"/>
      <c r="B1269" s="39"/>
      <c r="C1269" s="40"/>
      <c r="D1269" s="41"/>
      <c r="E1269" s="40"/>
      <c r="F1269" s="41"/>
      <c r="G1269" s="101"/>
      <c r="H1269" s="38"/>
      <c r="I1269" s="42"/>
      <c r="J1269" s="42"/>
      <c r="K1269" s="43"/>
      <c r="L1269" s="43"/>
      <c r="M1269" s="44" t="str">
        <f>IF(LayTable[[#This Row],[Sport]]="","",LayTable[[#This Row],[LayInnsats]]*(LayTable[[#This Row],[LayOdds]]-1))</f>
        <v/>
      </c>
      <c r="N1269" s="45" t="str">
        <f>IF(LayTable[[#This Row],[Sport]]="","",1/((1/LayTable[[#This Row],[BookieOdds]])+(1/((1/((1+((LayTable[[#This Row],[LayOdds]]-1)*(1+LayTable[[#This Row],[C% Lay]])))-1))+1)))-1)</f>
        <v/>
      </c>
      <c r="Q1269" s="46" t="str">
        <f>IF(LayTable[[#This Row],[Sport]]="","",LayTable[[#This Row],[BookieInnsats]]+LayTable[[#This Row],[LayLiability]])</f>
        <v/>
      </c>
      <c r="R12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69" s="47" t="str">
        <f>IF(LayTable[[#This Row],[Utfall bookie]]="","",LayTable[[#This Row],[WBABack]]+LayTable[[#This Row],[WBALay]]-LayTable[[#This Row],[Total inns]])</f>
        <v/>
      </c>
      <c r="U12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69" s="48" t="str">
        <f>IFERROR(IF(LayTable[[#This Row],[Total inns]]="","",LayTable[[#This Row],[Rback]]/LayTable[[#This Row],[Total inns]]),"")</f>
        <v/>
      </c>
      <c r="X1269" s="48" t="str">
        <f>IFERROR(IF(LayTable[[#This Row],[Total inns]]="","",LayTable[[#This Row],[Rlay]]/LayTable[[#This Row],[Total inns]]),"")</f>
        <v/>
      </c>
      <c r="Y1269" s="48" t="str">
        <f>IFERROR(LayTable[[#This Row],[Faktisk res]]/LayTable[[#This Row],[Total inns]],"")</f>
        <v/>
      </c>
      <c r="Z1269" s="47">
        <f>(LayTable[[#This Row],[BookieInnsats]]*LayTable[[#This Row],[BookieOdds]]-LayTable[[#This Row],[BookieInnsats]])*(1-LayTable[[#This Row],[C% Bookie]])</f>
        <v>0</v>
      </c>
      <c r="AA1269" s="43">
        <f>LayTable[[#This Row],[LayInnsats]]*(1-LayTable[[#This Row],[C% Lay]])</f>
        <v>0</v>
      </c>
      <c r="AB1269" s="43" t="str">
        <f>IFERROR(IF(LayTable[[#This Row],[Sport]]="",AB1268,LayTable[[#This Row],[Faktisk res]]+AB1268),"")</f>
        <v/>
      </c>
      <c r="AC1269" s="43">
        <f>(LayTable[[#This Row],[BackWin-Commission]]+LayTable[[#This Row],[BookieInnsats]])</f>
        <v>0</v>
      </c>
      <c r="AD1269" s="43" t="e">
        <f>(LayTable[[#This Row],[LayWin-Commission]])+LayTable[[#This Row],[LayLiability]]</f>
        <v>#VALUE!</v>
      </c>
      <c r="AE1269" s="43"/>
      <c r="AF1269" s="181"/>
    </row>
    <row r="1270" spans="1:32">
      <c r="A1270" s="84"/>
      <c r="B1270" s="39"/>
      <c r="C1270" s="40"/>
      <c r="D1270" s="41"/>
      <c r="E1270" s="40"/>
      <c r="F1270" s="41"/>
      <c r="G1270" s="101"/>
      <c r="H1270" s="38"/>
      <c r="I1270" s="42"/>
      <c r="J1270" s="42"/>
      <c r="K1270" s="43"/>
      <c r="L1270" s="43"/>
      <c r="M1270" s="44" t="str">
        <f>IF(LayTable[[#This Row],[Sport]]="","",LayTable[[#This Row],[LayInnsats]]*(LayTable[[#This Row],[LayOdds]]-1))</f>
        <v/>
      </c>
      <c r="N1270" s="45" t="str">
        <f>IF(LayTable[[#This Row],[Sport]]="","",1/((1/LayTable[[#This Row],[BookieOdds]])+(1/((1/((1+((LayTable[[#This Row],[LayOdds]]-1)*(1+LayTable[[#This Row],[C% Lay]])))-1))+1)))-1)</f>
        <v/>
      </c>
      <c r="Q1270" s="46" t="str">
        <f>IF(LayTable[[#This Row],[Sport]]="","",LayTable[[#This Row],[BookieInnsats]]+LayTable[[#This Row],[LayLiability]])</f>
        <v/>
      </c>
      <c r="R12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0" s="47" t="str">
        <f>IF(LayTable[[#This Row],[Utfall bookie]]="","",LayTable[[#This Row],[WBABack]]+LayTable[[#This Row],[WBALay]]-LayTable[[#This Row],[Total inns]])</f>
        <v/>
      </c>
      <c r="U12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0" s="48" t="str">
        <f>IFERROR(IF(LayTable[[#This Row],[Total inns]]="","",LayTable[[#This Row],[Rback]]/LayTable[[#This Row],[Total inns]]),"")</f>
        <v/>
      </c>
      <c r="X1270" s="48" t="str">
        <f>IFERROR(IF(LayTable[[#This Row],[Total inns]]="","",LayTable[[#This Row],[Rlay]]/LayTable[[#This Row],[Total inns]]),"")</f>
        <v/>
      </c>
      <c r="Y1270" s="48" t="str">
        <f>IFERROR(LayTable[[#This Row],[Faktisk res]]/LayTable[[#This Row],[Total inns]],"")</f>
        <v/>
      </c>
      <c r="Z1270" s="47">
        <f>(LayTable[[#This Row],[BookieInnsats]]*LayTable[[#This Row],[BookieOdds]]-LayTable[[#This Row],[BookieInnsats]])*(1-LayTable[[#This Row],[C% Bookie]])</f>
        <v>0</v>
      </c>
      <c r="AA1270" s="43">
        <f>LayTable[[#This Row],[LayInnsats]]*(1-LayTable[[#This Row],[C% Lay]])</f>
        <v>0</v>
      </c>
      <c r="AB1270" s="43" t="str">
        <f>IFERROR(IF(LayTable[[#This Row],[Sport]]="",AB1269,LayTable[[#This Row],[Faktisk res]]+AB1269),"")</f>
        <v/>
      </c>
      <c r="AC1270" s="43">
        <f>(LayTable[[#This Row],[BackWin-Commission]]+LayTable[[#This Row],[BookieInnsats]])</f>
        <v>0</v>
      </c>
      <c r="AD1270" s="43" t="e">
        <f>(LayTable[[#This Row],[LayWin-Commission]])+LayTable[[#This Row],[LayLiability]]</f>
        <v>#VALUE!</v>
      </c>
      <c r="AE1270" s="43"/>
      <c r="AF1270" s="181"/>
    </row>
    <row r="1271" spans="1:32">
      <c r="A1271" s="84"/>
      <c r="B1271" s="39"/>
      <c r="C1271" s="40"/>
      <c r="D1271" s="41"/>
      <c r="E1271" s="40"/>
      <c r="F1271" s="41"/>
      <c r="G1271" s="101"/>
      <c r="H1271" s="38"/>
      <c r="I1271" s="42"/>
      <c r="J1271" s="42"/>
      <c r="K1271" s="43"/>
      <c r="L1271" s="43"/>
      <c r="M1271" s="44" t="str">
        <f>IF(LayTable[[#This Row],[Sport]]="","",LayTable[[#This Row],[LayInnsats]]*(LayTable[[#This Row],[LayOdds]]-1))</f>
        <v/>
      </c>
      <c r="N1271" s="45" t="str">
        <f>IF(LayTable[[#This Row],[Sport]]="","",1/((1/LayTable[[#This Row],[BookieOdds]])+(1/((1/((1+((LayTable[[#This Row],[LayOdds]]-1)*(1+LayTable[[#This Row],[C% Lay]])))-1))+1)))-1)</f>
        <v/>
      </c>
      <c r="Q1271" s="46" t="str">
        <f>IF(LayTable[[#This Row],[Sport]]="","",LayTable[[#This Row],[BookieInnsats]]+LayTable[[#This Row],[LayLiability]])</f>
        <v/>
      </c>
      <c r="R12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1" s="47" t="str">
        <f>IF(LayTable[[#This Row],[Utfall bookie]]="","",LayTable[[#This Row],[WBABack]]+LayTable[[#This Row],[WBALay]]-LayTable[[#This Row],[Total inns]])</f>
        <v/>
      </c>
      <c r="U12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1" s="48" t="str">
        <f>IFERROR(IF(LayTable[[#This Row],[Total inns]]="","",LayTable[[#This Row],[Rback]]/LayTable[[#This Row],[Total inns]]),"")</f>
        <v/>
      </c>
      <c r="X1271" s="48" t="str">
        <f>IFERROR(IF(LayTable[[#This Row],[Total inns]]="","",LayTable[[#This Row],[Rlay]]/LayTable[[#This Row],[Total inns]]),"")</f>
        <v/>
      </c>
      <c r="Y1271" s="48" t="str">
        <f>IFERROR(LayTable[[#This Row],[Faktisk res]]/LayTable[[#This Row],[Total inns]],"")</f>
        <v/>
      </c>
      <c r="Z1271" s="47">
        <f>(LayTable[[#This Row],[BookieInnsats]]*LayTable[[#This Row],[BookieOdds]]-LayTable[[#This Row],[BookieInnsats]])*(1-LayTable[[#This Row],[C% Bookie]])</f>
        <v>0</v>
      </c>
      <c r="AA1271" s="43">
        <f>LayTable[[#This Row],[LayInnsats]]*(1-LayTable[[#This Row],[C% Lay]])</f>
        <v>0</v>
      </c>
      <c r="AB1271" s="43" t="str">
        <f>IFERROR(IF(LayTable[[#This Row],[Sport]]="",AB1270,LayTable[[#This Row],[Faktisk res]]+AB1270),"")</f>
        <v/>
      </c>
      <c r="AC1271" s="43">
        <f>(LayTable[[#This Row],[BackWin-Commission]]+LayTable[[#This Row],[BookieInnsats]])</f>
        <v>0</v>
      </c>
      <c r="AD1271" s="43" t="e">
        <f>(LayTable[[#This Row],[LayWin-Commission]])+LayTable[[#This Row],[LayLiability]]</f>
        <v>#VALUE!</v>
      </c>
      <c r="AE1271" s="43"/>
      <c r="AF1271" s="181"/>
    </row>
    <row r="1272" spans="1:32">
      <c r="A1272" s="84"/>
      <c r="B1272" s="39"/>
      <c r="C1272" s="40"/>
      <c r="D1272" s="41"/>
      <c r="E1272" s="40"/>
      <c r="F1272" s="41"/>
      <c r="G1272" s="101"/>
      <c r="H1272" s="38"/>
      <c r="I1272" s="42"/>
      <c r="J1272" s="42"/>
      <c r="K1272" s="43"/>
      <c r="L1272" s="43"/>
      <c r="M1272" s="44" t="str">
        <f>IF(LayTable[[#This Row],[Sport]]="","",LayTable[[#This Row],[LayInnsats]]*(LayTable[[#This Row],[LayOdds]]-1))</f>
        <v/>
      </c>
      <c r="N1272" s="45" t="str">
        <f>IF(LayTable[[#This Row],[Sport]]="","",1/((1/LayTable[[#This Row],[BookieOdds]])+(1/((1/((1+((LayTable[[#This Row],[LayOdds]]-1)*(1+LayTable[[#This Row],[C% Lay]])))-1))+1)))-1)</f>
        <v/>
      </c>
      <c r="Q1272" s="46" t="str">
        <f>IF(LayTable[[#This Row],[Sport]]="","",LayTable[[#This Row],[BookieInnsats]]+LayTable[[#This Row],[LayLiability]])</f>
        <v/>
      </c>
      <c r="R12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2" s="47" t="str">
        <f>IF(LayTable[[#This Row],[Utfall bookie]]="","",LayTable[[#This Row],[WBABack]]+LayTable[[#This Row],[WBALay]]-LayTable[[#This Row],[Total inns]])</f>
        <v/>
      </c>
      <c r="U12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2" s="48" t="str">
        <f>IFERROR(IF(LayTable[[#This Row],[Total inns]]="","",LayTable[[#This Row],[Rback]]/LayTable[[#This Row],[Total inns]]),"")</f>
        <v/>
      </c>
      <c r="X1272" s="48" t="str">
        <f>IFERROR(IF(LayTable[[#This Row],[Total inns]]="","",LayTable[[#This Row],[Rlay]]/LayTable[[#This Row],[Total inns]]),"")</f>
        <v/>
      </c>
      <c r="Y1272" s="48" t="str">
        <f>IFERROR(LayTable[[#This Row],[Faktisk res]]/LayTable[[#This Row],[Total inns]],"")</f>
        <v/>
      </c>
      <c r="Z1272" s="47">
        <f>(LayTable[[#This Row],[BookieInnsats]]*LayTable[[#This Row],[BookieOdds]]-LayTable[[#This Row],[BookieInnsats]])*(1-LayTable[[#This Row],[C% Bookie]])</f>
        <v>0</v>
      </c>
      <c r="AA1272" s="43">
        <f>LayTable[[#This Row],[LayInnsats]]*(1-LayTable[[#This Row],[C% Lay]])</f>
        <v>0</v>
      </c>
      <c r="AB1272" s="43" t="str">
        <f>IFERROR(IF(LayTable[[#This Row],[Sport]]="",AB1271,LayTable[[#This Row],[Faktisk res]]+AB1271),"")</f>
        <v/>
      </c>
      <c r="AC1272" s="43">
        <f>(LayTable[[#This Row],[BackWin-Commission]]+LayTable[[#This Row],[BookieInnsats]])</f>
        <v>0</v>
      </c>
      <c r="AD1272" s="43" t="e">
        <f>(LayTable[[#This Row],[LayWin-Commission]])+LayTable[[#This Row],[LayLiability]]</f>
        <v>#VALUE!</v>
      </c>
      <c r="AE1272" s="43"/>
      <c r="AF1272" s="181"/>
    </row>
    <row r="1273" spans="1:32">
      <c r="A1273" s="84"/>
      <c r="B1273" s="39"/>
      <c r="C1273" s="40"/>
      <c r="D1273" s="41"/>
      <c r="E1273" s="40"/>
      <c r="F1273" s="41"/>
      <c r="G1273" s="101"/>
      <c r="H1273" s="38"/>
      <c r="I1273" s="42"/>
      <c r="J1273" s="42"/>
      <c r="K1273" s="43"/>
      <c r="L1273" s="43"/>
      <c r="M1273" s="44" t="str">
        <f>IF(LayTable[[#This Row],[Sport]]="","",LayTable[[#This Row],[LayInnsats]]*(LayTable[[#This Row],[LayOdds]]-1))</f>
        <v/>
      </c>
      <c r="N1273" s="45" t="str">
        <f>IF(LayTable[[#This Row],[Sport]]="","",1/((1/LayTable[[#This Row],[BookieOdds]])+(1/((1/((1+((LayTable[[#This Row],[LayOdds]]-1)*(1+LayTable[[#This Row],[C% Lay]])))-1))+1)))-1)</f>
        <v/>
      </c>
      <c r="Q1273" s="46" t="str">
        <f>IF(LayTable[[#This Row],[Sport]]="","",LayTable[[#This Row],[BookieInnsats]]+LayTable[[#This Row],[LayLiability]])</f>
        <v/>
      </c>
      <c r="R12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3" s="47" t="str">
        <f>IF(LayTable[[#This Row],[Utfall bookie]]="","",LayTable[[#This Row],[WBABack]]+LayTable[[#This Row],[WBALay]]-LayTable[[#This Row],[Total inns]])</f>
        <v/>
      </c>
      <c r="U12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3" s="48" t="str">
        <f>IFERROR(IF(LayTable[[#This Row],[Total inns]]="","",LayTable[[#This Row],[Rback]]/LayTable[[#This Row],[Total inns]]),"")</f>
        <v/>
      </c>
      <c r="X1273" s="48" t="str">
        <f>IFERROR(IF(LayTable[[#This Row],[Total inns]]="","",LayTable[[#This Row],[Rlay]]/LayTable[[#This Row],[Total inns]]),"")</f>
        <v/>
      </c>
      <c r="Y1273" s="48" t="str">
        <f>IFERROR(LayTable[[#This Row],[Faktisk res]]/LayTable[[#This Row],[Total inns]],"")</f>
        <v/>
      </c>
      <c r="Z1273" s="47">
        <f>(LayTable[[#This Row],[BookieInnsats]]*LayTable[[#This Row],[BookieOdds]]-LayTable[[#This Row],[BookieInnsats]])*(1-LayTable[[#This Row],[C% Bookie]])</f>
        <v>0</v>
      </c>
      <c r="AA1273" s="43">
        <f>LayTable[[#This Row],[LayInnsats]]*(1-LayTable[[#This Row],[C% Lay]])</f>
        <v>0</v>
      </c>
      <c r="AB1273" s="43" t="str">
        <f>IFERROR(IF(LayTable[[#This Row],[Sport]]="",AB1272,LayTable[[#This Row],[Faktisk res]]+AB1272),"")</f>
        <v/>
      </c>
      <c r="AC1273" s="43">
        <f>(LayTable[[#This Row],[BackWin-Commission]]+LayTable[[#This Row],[BookieInnsats]])</f>
        <v>0</v>
      </c>
      <c r="AD1273" s="43" t="e">
        <f>(LayTable[[#This Row],[LayWin-Commission]])+LayTable[[#This Row],[LayLiability]]</f>
        <v>#VALUE!</v>
      </c>
      <c r="AE1273" s="43"/>
      <c r="AF1273" s="181"/>
    </row>
    <row r="1274" spans="1:32">
      <c r="A1274" s="84"/>
      <c r="B1274" s="39"/>
      <c r="C1274" s="40"/>
      <c r="D1274" s="41"/>
      <c r="E1274" s="40"/>
      <c r="F1274" s="41"/>
      <c r="G1274" s="101"/>
      <c r="H1274" s="38"/>
      <c r="I1274" s="42"/>
      <c r="J1274" s="42"/>
      <c r="K1274" s="43"/>
      <c r="L1274" s="43"/>
      <c r="M1274" s="44" t="str">
        <f>IF(LayTable[[#This Row],[Sport]]="","",LayTable[[#This Row],[LayInnsats]]*(LayTable[[#This Row],[LayOdds]]-1))</f>
        <v/>
      </c>
      <c r="N1274" s="45" t="str">
        <f>IF(LayTable[[#This Row],[Sport]]="","",1/((1/LayTable[[#This Row],[BookieOdds]])+(1/((1/((1+((LayTable[[#This Row],[LayOdds]]-1)*(1+LayTable[[#This Row],[C% Lay]])))-1))+1)))-1)</f>
        <v/>
      </c>
      <c r="Q1274" s="46" t="str">
        <f>IF(LayTable[[#This Row],[Sport]]="","",LayTable[[#This Row],[BookieInnsats]]+LayTable[[#This Row],[LayLiability]])</f>
        <v/>
      </c>
      <c r="R12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4" s="47" t="str">
        <f>IF(LayTable[[#This Row],[Utfall bookie]]="","",LayTable[[#This Row],[WBABack]]+LayTable[[#This Row],[WBALay]]-LayTable[[#This Row],[Total inns]])</f>
        <v/>
      </c>
      <c r="U12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4" s="48" t="str">
        <f>IFERROR(IF(LayTable[[#This Row],[Total inns]]="","",LayTable[[#This Row],[Rback]]/LayTable[[#This Row],[Total inns]]),"")</f>
        <v/>
      </c>
      <c r="X1274" s="48" t="str">
        <f>IFERROR(IF(LayTable[[#This Row],[Total inns]]="","",LayTable[[#This Row],[Rlay]]/LayTable[[#This Row],[Total inns]]),"")</f>
        <v/>
      </c>
      <c r="Y1274" s="48" t="str">
        <f>IFERROR(LayTable[[#This Row],[Faktisk res]]/LayTable[[#This Row],[Total inns]],"")</f>
        <v/>
      </c>
      <c r="Z1274" s="47">
        <f>(LayTable[[#This Row],[BookieInnsats]]*LayTable[[#This Row],[BookieOdds]]-LayTable[[#This Row],[BookieInnsats]])*(1-LayTable[[#This Row],[C% Bookie]])</f>
        <v>0</v>
      </c>
      <c r="AA1274" s="43">
        <f>LayTable[[#This Row],[LayInnsats]]*(1-LayTable[[#This Row],[C% Lay]])</f>
        <v>0</v>
      </c>
      <c r="AB1274" s="43" t="str">
        <f>IFERROR(IF(LayTable[[#This Row],[Sport]]="",AB1273,LayTable[[#This Row],[Faktisk res]]+AB1273),"")</f>
        <v/>
      </c>
      <c r="AC1274" s="43">
        <f>(LayTable[[#This Row],[BackWin-Commission]]+LayTable[[#This Row],[BookieInnsats]])</f>
        <v>0</v>
      </c>
      <c r="AD1274" s="43" t="e">
        <f>(LayTable[[#This Row],[LayWin-Commission]])+LayTable[[#This Row],[LayLiability]]</f>
        <v>#VALUE!</v>
      </c>
      <c r="AE1274" s="43"/>
      <c r="AF1274" s="181"/>
    </row>
    <row r="1275" spans="1:32">
      <c r="A1275" s="84"/>
      <c r="B1275" s="39"/>
      <c r="C1275" s="40"/>
      <c r="D1275" s="41"/>
      <c r="E1275" s="40"/>
      <c r="F1275" s="41"/>
      <c r="G1275" s="101"/>
      <c r="H1275" s="38"/>
      <c r="I1275" s="42"/>
      <c r="J1275" s="42"/>
      <c r="K1275" s="43"/>
      <c r="L1275" s="43"/>
      <c r="M1275" s="44" t="str">
        <f>IF(LayTable[[#This Row],[Sport]]="","",LayTable[[#This Row],[LayInnsats]]*(LayTable[[#This Row],[LayOdds]]-1))</f>
        <v/>
      </c>
      <c r="N1275" s="45" t="str">
        <f>IF(LayTable[[#This Row],[Sport]]="","",1/((1/LayTable[[#This Row],[BookieOdds]])+(1/((1/((1+((LayTable[[#This Row],[LayOdds]]-1)*(1+LayTable[[#This Row],[C% Lay]])))-1))+1)))-1)</f>
        <v/>
      </c>
      <c r="Q1275" s="46" t="str">
        <f>IF(LayTable[[#This Row],[Sport]]="","",LayTable[[#This Row],[BookieInnsats]]+LayTable[[#This Row],[LayLiability]])</f>
        <v/>
      </c>
      <c r="R12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5" s="47" t="str">
        <f>IF(LayTable[[#This Row],[Utfall bookie]]="","",LayTable[[#This Row],[WBABack]]+LayTable[[#This Row],[WBALay]]-LayTable[[#This Row],[Total inns]])</f>
        <v/>
      </c>
      <c r="U12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5" s="48" t="str">
        <f>IFERROR(IF(LayTable[[#This Row],[Total inns]]="","",LayTable[[#This Row],[Rback]]/LayTable[[#This Row],[Total inns]]),"")</f>
        <v/>
      </c>
      <c r="X1275" s="48" t="str">
        <f>IFERROR(IF(LayTable[[#This Row],[Total inns]]="","",LayTable[[#This Row],[Rlay]]/LayTable[[#This Row],[Total inns]]),"")</f>
        <v/>
      </c>
      <c r="Y1275" s="48" t="str">
        <f>IFERROR(LayTable[[#This Row],[Faktisk res]]/LayTable[[#This Row],[Total inns]],"")</f>
        <v/>
      </c>
      <c r="Z1275" s="47">
        <f>(LayTable[[#This Row],[BookieInnsats]]*LayTable[[#This Row],[BookieOdds]]-LayTable[[#This Row],[BookieInnsats]])*(1-LayTable[[#This Row],[C% Bookie]])</f>
        <v>0</v>
      </c>
      <c r="AA1275" s="43">
        <f>LayTable[[#This Row],[LayInnsats]]*(1-LayTable[[#This Row],[C% Lay]])</f>
        <v>0</v>
      </c>
      <c r="AB1275" s="43" t="str">
        <f>IFERROR(IF(LayTable[[#This Row],[Sport]]="",AB1274,LayTable[[#This Row],[Faktisk res]]+AB1274),"")</f>
        <v/>
      </c>
      <c r="AC1275" s="43">
        <f>(LayTable[[#This Row],[BackWin-Commission]]+LayTable[[#This Row],[BookieInnsats]])</f>
        <v>0</v>
      </c>
      <c r="AD1275" s="43" t="e">
        <f>(LayTable[[#This Row],[LayWin-Commission]])+LayTable[[#This Row],[LayLiability]]</f>
        <v>#VALUE!</v>
      </c>
      <c r="AE1275" s="43"/>
      <c r="AF1275" s="181"/>
    </row>
    <row r="1276" spans="1:32">
      <c r="A1276" s="84"/>
      <c r="B1276" s="39"/>
      <c r="C1276" s="40"/>
      <c r="D1276" s="41"/>
      <c r="E1276" s="40"/>
      <c r="F1276" s="41"/>
      <c r="G1276" s="101"/>
      <c r="H1276" s="38"/>
      <c r="I1276" s="42"/>
      <c r="J1276" s="42"/>
      <c r="K1276" s="43"/>
      <c r="L1276" s="43"/>
      <c r="M1276" s="44" t="str">
        <f>IF(LayTable[[#This Row],[Sport]]="","",LayTable[[#This Row],[LayInnsats]]*(LayTable[[#This Row],[LayOdds]]-1))</f>
        <v/>
      </c>
      <c r="N1276" s="45" t="str">
        <f>IF(LayTable[[#This Row],[Sport]]="","",1/((1/LayTable[[#This Row],[BookieOdds]])+(1/((1/((1+((LayTable[[#This Row],[LayOdds]]-1)*(1+LayTable[[#This Row],[C% Lay]])))-1))+1)))-1)</f>
        <v/>
      </c>
      <c r="Q1276" s="46" t="str">
        <f>IF(LayTable[[#This Row],[Sport]]="","",LayTable[[#This Row],[BookieInnsats]]+LayTable[[#This Row],[LayLiability]])</f>
        <v/>
      </c>
      <c r="R12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6" s="47" t="str">
        <f>IF(LayTable[[#This Row],[Utfall bookie]]="","",LayTable[[#This Row],[WBABack]]+LayTable[[#This Row],[WBALay]]-LayTable[[#This Row],[Total inns]])</f>
        <v/>
      </c>
      <c r="U12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6" s="48" t="str">
        <f>IFERROR(IF(LayTable[[#This Row],[Total inns]]="","",LayTable[[#This Row],[Rback]]/LayTable[[#This Row],[Total inns]]),"")</f>
        <v/>
      </c>
      <c r="X1276" s="48" t="str">
        <f>IFERROR(IF(LayTable[[#This Row],[Total inns]]="","",LayTable[[#This Row],[Rlay]]/LayTable[[#This Row],[Total inns]]),"")</f>
        <v/>
      </c>
      <c r="Y1276" s="48" t="str">
        <f>IFERROR(LayTable[[#This Row],[Faktisk res]]/LayTable[[#This Row],[Total inns]],"")</f>
        <v/>
      </c>
      <c r="Z1276" s="47">
        <f>(LayTable[[#This Row],[BookieInnsats]]*LayTable[[#This Row],[BookieOdds]]-LayTable[[#This Row],[BookieInnsats]])*(1-LayTable[[#This Row],[C% Bookie]])</f>
        <v>0</v>
      </c>
      <c r="AA1276" s="43">
        <f>LayTable[[#This Row],[LayInnsats]]*(1-LayTable[[#This Row],[C% Lay]])</f>
        <v>0</v>
      </c>
      <c r="AB1276" s="43" t="str">
        <f>IFERROR(IF(LayTable[[#This Row],[Sport]]="",AB1275,LayTable[[#This Row],[Faktisk res]]+AB1275),"")</f>
        <v/>
      </c>
      <c r="AC1276" s="43">
        <f>(LayTable[[#This Row],[BackWin-Commission]]+LayTable[[#This Row],[BookieInnsats]])</f>
        <v>0</v>
      </c>
      <c r="AD1276" s="43" t="e">
        <f>(LayTable[[#This Row],[LayWin-Commission]])+LayTable[[#This Row],[LayLiability]]</f>
        <v>#VALUE!</v>
      </c>
      <c r="AE1276" s="43"/>
      <c r="AF1276" s="181"/>
    </row>
    <row r="1277" spans="1:32">
      <c r="A1277" s="84"/>
      <c r="B1277" s="39"/>
      <c r="C1277" s="40"/>
      <c r="D1277" s="41"/>
      <c r="E1277" s="40"/>
      <c r="F1277" s="41"/>
      <c r="G1277" s="101"/>
      <c r="H1277" s="38"/>
      <c r="I1277" s="42"/>
      <c r="J1277" s="42"/>
      <c r="K1277" s="43"/>
      <c r="L1277" s="43"/>
      <c r="M1277" s="44" t="str">
        <f>IF(LayTable[[#This Row],[Sport]]="","",LayTable[[#This Row],[LayInnsats]]*(LayTable[[#This Row],[LayOdds]]-1))</f>
        <v/>
      </c>
      <c r="N1277" s="45" t="str">
        <f>IF(LayTable[[#This Row],[Sport]]="","",1/((1/LayTable[[#This Row],[BookieOdds]])+(1/((1/((1+((LayTable[[#This Row],[LayOdds]]-1)*(1+LayTable[[#This Row],[C% Lay]])))-1))+1)))-1)</f>
        <v/>
      </c>
      <c r="Q1277" s="46" t="str">
        <f>IF(LayTable[[#This Row],[Sport]]="","",LayTable[[#This Row],[BookieInnsats]]+LayTable[[#This Row],[LayLiability]])</f>
        <v/>
      </c>
      <c r="R12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7" s="47" t="str">
        <f>IF(LayTable[[#This Row],[Utfall bookie]]="","",LayTable[[#This Row],[WBABack]]+LayTable[[#This Row],[WBALay]]-LayTable[[#This Row],[Total inns]])</f>
        <v/>
      </c>
      <c r="U12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7" s="48" t="str">
        <f>IFERROR(IF(LayTable[[#This Row],[Total inns]]="","",LayTable[[#This Row],[Rback]]/LayTable[[#This Row],[Total inns]]),"")</f>
        <v/>
      </c>
      <c r="X1277" s="48" t="str">
        <f>IFERROR(IF(LayTable[[#This Row],[Total inns]]="","",LayTable[[#This Row],[Rlay]]/LayTable[[#This Row],[Total inns]]),"")</f>
        <v/>
      </c>
      <c r="Y1277" s="48" t="str">
        <f>IFERROR(LayTable[[#This Row],[Faktisk res]]/LayTable[[#This Row],[Total inns]],"")</f>
        <v/>
      </c>
      <c r="Z1277" s="47">
        <f>(LayTable[[#This Row],[BookieInnsats]]*LayTable[[#This Row],[BookieOdds]]-LayTable[[#This Row],[BookieInnsats]])*(1-LayTable[[#This Row],[C% Bookie]])</f>
        <v>0</v>
      </c>
      <c r="AA1277" s="43">
        <f>LayTable[[#This Row],[LayInnsats]]*(1-LayTable[[#This Row],[C% Lay]])</f>
        <v>0</v>
      </c>
      <c r="AB1277" s="43" t="str">
        <f>IFERROR(IF(LayTable[[#This Row],[Sport]]="",AB1276,LayTable[[#This Row],[Faktisk res]]+AB1276),"")</f>
        <v/>
      </c>
      <c r="AC1277" s="43">
        <f>(LayTable[[#This Row],[BackWin-Commission]]+LayTable[[#This Row],[BookieInnsats]])</f>
        <v>0</v>
      </c>
      <c r="AD1277" s="43" t="e">
        <f>(LayTable[[#This Row],[LayWin-Commission]])+LayTable[[#This Row],[LayLiability]]</f>
        <v>#VALUE!</v>
      </c>
      <c r="AE1277" s="43"/>
      <c r="AF1277" s="181"/>
    </row>
    <row r="1278" spans="1:32">
      <c r="A1278" s="84"/>
      <c r="B1278" s="39"/>
      <c r="C1278" s="40"/>
      <c r="D1278" s="41"/>
      <c r="E1278" s="40"/>
      <c r="F1278" s="41"/>
      <c r="G1278" s="101"/>
      <c r="H1278" s="38"/>
      <c r="I1278" s="42"/>
      <c r="J1278" s="42"/>
      <c r="K1278" s="43"/>
      <c r="L1278" s="43"/>
      <c r="M1278" s="44" t="str">
        <f>IF(LayTable[[#This Row],[Sport]]="","",LayTable[[#This Row],[LayInnsats]]*(LayTable[[#This Row],[LayOdds]]-1))</f>
        <v/>
      </c>
      <c r="N1278" s="45" t="str">
        <f>IF(LayTable[[#This Row],[Sport]]="","",1/((1/LayTable[[#This Row],[BookieOdds]])+(1/((1/((1+((LayTable[[#This Row],[LayOdds]]-1)*(1+LayTable[[#This Row],[C% Lay]])))-1))+1)))-1)</f>
        <v/>
      </c>
      <c r="Q1278" s="46" t="str">
        <f>IF(LayTable[[#This Row],[Sport]]="","",LayTable[[#This Row],[BookieInnsats]]+LayTable[[#This Row],[LayLiability]])</f>
        <v/>
      </c>
      <c r="R12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8" s="47" t="str">
        <f>IF(LayTable[[#This Row],[Utfall bookie]]="","",LayTable[[#This Row],[WBABack]]+LayTable[[#This Row],[WBALay]]-LayTable[[#This Row],[Total inns]])</f>
        <v/>
      </c>
      <c r="U12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8" s="48" t="str">
        <f>IFERROR(IF(LayTable[[#This Row],[Total inns]]="","",LayTable[[#This Row],[Rback]]/LayTable[[#This Row],[Total inns]]),"")</f>
        <v/>
      </c>
      <c r="X1278" s="48" t="str">
        <f>IFERROR(IF(LayTable[[#This Row],[Total inns]]="","",LayTable[[#This Row],[Rlay]]/LayTable[[#This Row],[Total inns]]),"")</f>
        <v/>
      </c>
      <c r="Y1278" s="48" t="str">
        <f>IFERROR(LayTable[[#This Row],[Faktisk res]]/LayTable[[#This Row],[Total inns]],"")</f>
        <v/>
      </c>
      <c r="Z1278" s="47">
        <f>(LayTable[[#This Row],[BookieInnsats]]*LayTable[[#This Row],[BookieOdds]]-LayTable[[#This Row],[BookieInnsats]])*(1-LayTable[[#This Row],[C% Bookie]])</f>
        <v>0</v>
      </c>
      <c r="AA1278" s="43">
        <f>LayTable[[#This Row],[LayInnsats]]*(1-LayTable[[#This Row],[C% Lay]])</f>
        <v>0</v>
      </c>
      <c r="AB1278" s="43" t="str">
        <f>IFERROR(IF(LayTable[[#This Row],[Sport]]="",AB1277,LayTable[[#This Row],[Faktisk res]]+AB1277),"")</f>
        <v/>
      </c>
      <c r="AC1278" s="43">
        <f>(LayTable[[#This Row],[BackWin-Commission]]+LayTable[[#This Row],[BookieInnsats]])</f>
        <v>0</v>
      </c>
      <c r="AD1278" s="43" t="e">
        <f>(LayTable[[#This Row],[LayWin-Commission]])+LayTable[[#This Row],[LayLiability]]</f>
        <v>#VALUE!</v>
      </c>
      <c r="AE1278" s="43"/>
      <c r="AF1278" s="181"/>
    </row>
    <row r="1279" spans="1:32">
      <c r="A1279" s="84"/>
      <c r="B1279" s="39"/>
      <c r="C1279" s="40"/>
      <c r="D1279" s="41"/>
      <c r="E1279" s="40"/>
      <c r="F1279" s="41"/>
      <c r="G1279" s="101"/>
      <c r="H1279" s="38"/>
      <c r="I1279" s="42"/>
      <c r="J1279" s="42"/>
      <c r="K1279" s="43"/>
      <c r="L1279" s="43"/>
      <c r="M1279" s="44" t="str">
        <f>IF(LayTable[[#This Row],[Sport]]="","",LayTable[[#This Row],[LayInnsats]]*(LayTable[[#This Row],[LayOdds]]-1))</f>
        <v/>
      </c>
      <c r="N1279" s="45" t="str">
        <f>IF(LayTable[[#This Row],[Sport]]="","",1/((1/LayTable[[#This Row],[BookieOdds]])+(1/((1/((1+((LayTable[[#This Row],[LayOdds]]-1)*(1+LayTable[[#This Row],[C% Lay]])))-1))+1)))-1)</f>
        <v/>
      </c>
      <c r="Q1279" s="46" t="str">
        <f>IF(LayTable[[#This Row],[Sport]]="","",LayTable[[#This Row],[BookieInnsats]]+LayTable[[#This Row],[LayLiability]])</f>
        <v/>
      </c>
      <c r="R12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79" s="47" t="str">
        <f>IF(LayTable[[#This Row],[Utfall bookie]]="","",LayTable[[#This Row],[WBABack]]+LayTable[[#This Row],[WBALay]]-LayTable[[#This Row],[Total inns]])</f>
        <v/>
      </c>
      <c r="U12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79" s="48" t="str">
        <f>IFERROR(IF(LayTable[[#This Row],[Total inns]]="","",LayTable[[#This Row],[Rback]]/LayTable[[#This Row],[Total inns]]),"")</f>
        <v/>
      </c>
      <c r="X1279" s="48" t="str">
        <f>IFERROR(IF(LayTable[[#This Row],[Total inns]]="","",LayTable[[#This Row],[Rlay]]/LayTable[[#This Row],[Total inns]]),"")</f>
        <v/>
      </c>
      <c r="Y1279" s="48" t="str">
        <f>IFERROR(LayTable[[#This Row],[Faktisk res]]/LayTable[[#This Row],[Total inns]],"")</f>
        <v/>
      </c>
      <c r="Z1279" s="47">
        <f>(LayTable[[#This Row],[BookieInnsats]]*LayTable[[#This Row],[BookieOdds]]-LayTable[[#This Row],[BookieInnsats]])*(1-LayTable[[#This Row],[C% Bookie]])</f>
        <v>0</v>
      </c>
      <c r="AA1279" s="43">
        <f>LayTable[[#This Row],[LayInnsats]]*(1-LayTable[[#This Row],[C% Lay]])</f>
        <v>0</v>
      </c>
      <c r="AB1279" s="43" t="str">
        <f>IFERROR(IF(LayTable[[#This Row],[Sport]]="",AB1278,LayTable[[#This Row],[Faktisk res]]+AB1278),"")</f>
        <v/>
      </c>
      <c r="AC1279" s="43">
        <f>(LayTable[[#This Row],[BackWin-Commission]]+LayTable[[#This Row],[BookieInnsats]])</f>
        <v>0</v>
      </c>
      <c r="AD1279" s="43" t="e">
        <f>(LayTable[[#This Row],[LayWin-Commission]])+LayTable[[#This Row],[LayLiability]]</f>
        <v>#VALUE!</v>
      </c>
      <c r="AE1279" s="43"/>
      <c r="AF1279" s="181"/>
    </row>
    <row r="1280" spans="1:32">
      <c r="A1280" s="84"/>
      <c r="B1280" s="39"/>
      <c r="C1280" s="40"/>
      <c r="D1280" s="41"/>
      <c r="E1280" s="40"/>
      <c r="F1280" s="41"/>
      <c r="G1280" s="101"/>
      <c r="H1280" s="38"/>
      <c r="I1280" s="42"/>
      <c r="J1280" s="42"/>
      <c r="K1280" s="43"/>
      <c r="L1280" s="43"/>
      <c r="M1280" s="44" t="str">
        <f>IF(LayTable[[#This Row],[Sport]]="","",LayTable[[#This Row],[LayInnsats]]*(LayTable[[#This Row],[LayOdds]]-1))</f>
        <v/>
      </c>
      <c r="N1280" s="45" t="str">
        <f>IF(LayTable[[#This Row],[Sport]]="","",1/((1/LayTable[[#This Row],[BookieOdds]])+(1/((1/((1+((LayTable[[#This Row],[LayOdds]]-1)*(1+LayTable[[#This Row],[C% Lay]])))-1))+1)))-1)</f>
        <v/>
      </c>
      <c r="Q1280" s="46" t="str">
        <f>IF(LayTable[[#This Row],[Sport]]="","",LayTable[[#This Row],[BookieInnsats]]+LayTable[[#This Row],[LayLiability]])</f>
        <v/>
      </c>
      <c r="R12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0" s="47" t="str">
        <f>IF(LayTable[[#This Row],[Utfall bookie]]="","",LayTable[[#This Row],[WBABack]]+LayTable[[#This Row],[WBALay]]-LayTable[[#This Row],[Total inns]])</f>
        <v/>
      </c>
      <c r="U12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0" s="48" t="str">
        <f>IFERROR(IF(LayTable[[#This Row],[Total inns]]="","",LayTable[[#This Row],[Rback]]/LayTable[[#This Row],[Total inns]]),"")</f>
        <v/>
      </c>
      <c r="X1280" s="48" t="str">
        <f>IFERROR(IF(LayTable[[#This Row],[Total inns]]="","",LayTable[[#This Row],[Rlay]]/LayTable[[#This Row],[Total inns]]),"")</f>
        <v/>
      </c>
      <c r="Y1280" s="48" t="str">
        <f>IFERROR(LayTable[[#This Row],[Faktisk res]]/LayTable[[#This Row],[Total inns]],"")</f>
        <v/>
      </c>
      <c r="Z1280" s="47">
        <f>(LayTable[[#This Row],[BookieInnsats]]*LayTable[[#This Row],[BookieOdds]]-LayTable[[#This Row],[BookieInnsats]])*(1-LayTable[[#This Row],[C% Bookie]])</f>
        <v>0</v>
      </c>
      <c r="AA1280" s="43">
        <f>LayTable[[#This Row],[LayInnsats]]*(1-LayTable[[#This Row],[C% Lay]])</f>
        <v>0</v>
      </c>
      <c r="AB1280" s="43" t="str">
        <f>IFERROR(IF(LayTable[[#This Row],[Sport]]="",AB1279,LayTable[[#This Row],[Faktisk res]]+AB1279),"")</f>
        <v/>
      </c>
      <c r="AC1280" s="43">
        <f>(LayTable[[#This Row],[BackWin-Commission]]+LayTable[[#This Row],[BookieInnsats]])</f>
        <v>0</v>
      </c>
      <c r="AD1280" s="43" t="e">
        <f>(LayTable[[#This Row],[LayWin-Commission]])+LayTable[[#This Row],[LayLiability]]</f>
        <v>#VALUE!</v>
      </c>
      <c r="AE1280" s="43"/>
      <c r="AF1280" s="181"/>
    </row>
    <row r="1281" spans="1:32">
      <c r="A1281" s="84"/>
      <c r="B1281" s="39"/>
      <c r="C1281" s="40"/>
      <c r="D1281" s="41"/>
      <c r="E1281" s="40"/>
      <c r="F1281" s="41"/>
      <c r="G1281" s="101"/>
      <c r="H1281" s="38"/>
      <c r="I1281" s="42"/>
      <c r="J1281" s="42"/>
      <c r="K1281" s="43"/>
      <c r="L1281" s="43"/>
      <c r="M1281" s="44" t="str">
        <f>IF(LayTable[[#This Row],[Sport]]="","",LayTable[[#This Row],[LayInnsats]]*(LayTable[[#This Row],[LayOdds]]-1))</f>
        <v/>
      </c>
      <c r="N1281" s="45" t="str">
        <f>IF(LayTable[[#This Row],[Sport]]="","",1/((1/LayTable[[#This Row],[BookieOdds]])+(1/((1/((1+((LayTable[[#This Row],[LayOdds]]-1)*(1+LayTable[[#This Row],[C% Lay]])))-1))+1)))-1)</f>
        <v/>
      </c>
      <c r="Q1281" s="46" t="str">
        <f>IF(LayTable[[#This Row],[Sport]]="","",LayTable[[#This Row],[BookieInnsats]]+LayTable[[#This Row],[LayLiability]])</f>
        <v/>
      </c>
      <c r="R12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1" s="47" t="str">
        <f>IF(LayTable[[#This Row],[Utfall bookie]]="","",LayTable[[#This Row],[WBABack]]+LayTable[[#This Row],[WBALay]]-LayTable[[#This Row],[Total inns]])</f>
        <v/>
      </c>
      <c r="U12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1" s="48" t="str">
        <f>IFERROR(IF(LayTable[[#This Row],[Total inns]]="","",LayTable[[#This Row],[Rback]]/LayTable[[#This Row],[Total inns]]),"")</f>
        <v/>
      </c>
      <c r="X1281" s="48" t="str">
        <f>IFERROR(IF(LayTable[[#This Row],[Total inns]]="","",LayTable[[#This Row],[Rlay]]/LayTable[[#This Row],[Total inns]]),"")</f>
        <v/>
      </c>
      <c r="Y1281" s="48" t="str">
        <f>IFERROR(LayTable[[#This Row],[Faktisk res]]/LayTable[[#This Row],[Total inns]],"")</f>
        <v/>
      </c>
      <c r="Z1281" s="47">
        <f>(LayTable[[#This Row],[BookieInnsats]]*LayTable[[#This Row],[BookieOdds]]-LayTable[[#This Row],[BookieInnsats]])*(1-LayTable[[#This Row],[C% Bookie]])</f>
        <v>0</v>
      </c>
      <c r="AA1281" s="43">
        <f>LayTable[[#This Row],[LayInnsats]]*(1-LayTable[[#This Row],[C% Lay]])</f>
        <v>0</v>
      </c>
      <c r="AB1281" s="43" t="str">
        <f>IFERROR(IF(LayTable[[#This Row],[Sport]]="",AB1280,LayTable[[#This Row],[Faktisk res]]+AB1280),"")</f>
        <v/>
      </c>
      <c r="AC1281" s="43">
        <f>(LayTable[[#This Row],[BackWin-Commission]]+LayTable[[#This Row],[BookieInnsats]])</f>
        <v>0</v>
      </c>
      <c r="AD1281" s="43" t="e">
        <f>(LayTable[[#This Row],[LayWin-Commission]])+LayTable[[#This Row],[LayLiability]]</f>
        <v>#VALUE!</v>
      </c>
      <c r="AE1281" s="43"/>
      <c r="AF1281" s="181"/>
    </row>
    <row r="1282" spans="1:32">
      <c r="A1282" s="84"/>
      <c r="B1282" s="39"/>
      <c r="C1282" s="40"/>
      <c r="D1282" s="41"/>
      <c r="E1282" s="40"/>
      <c r="F1282" s="41"/>
      <c r="G1282" s="101"/>
      <c r="H1282" s="38"/>
      <c r="I1282" s="42"/>
      <c r="J1282" s="42"/>
      <c r="K1282" s="43"/>
      <c r="L1282" s="43"/>
      <c r="M1282" s="44" t="str">
        <f>IF(LayTable[[#This Row],[Sport]]="","",LayTable[[#This Row],[LayInnsats]]*(LayTable[[#This Row],[LayOdds]]-1))</f>
        <v/>
      </c>
      <c r="N1282" s="45" t="str">
        <f>IF(LayTable[[#This Row],[Sport]]="","",1/((1/LayTable[[#This Row],[BookieOdds]])+(1/((1/((1+((LayTable[[#This Row],[LayOdds]]-1)*(1+LayTable[[#This Row],[C% Lay]])))-1))+1)))-1)</f>
        <v/>
      </c>
      <c r="Q1282" s="46" t="str">
        <f>IF(LayTable[[#This Row],[Sport]]="","",LayTable[[#This Row],[BookieInnsats]]+LayTable[[#This Row],[LayLiability]])</f>
        <v/>
      </c>
      <c r="R12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2" s="47" t="str">
        <f>IF(LayTable[[#This Row],[Utfall bookie]]="","",LayTable[[#This Row],[WBABack]]+LayTable[[#This Row],[WBALay]]-LayTable[[#This Row],[Total inns]])</f>
        <v/>
      </c>
      <c r="U12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2" s="48" t="str">
        <f>IFERROR(IF(LayTable[[#This Row],[Total inns]]="","",LayTable[[#This Row],[Rback]]/LayTable[[#This Row],[Total inns]]),"")</f>
        <v/>
      </c>
      <c r="X1282" s="48" t="str">
        <f>IFERROR(IF(LayTable[[#This Row],[Total inns]]="","",LayTable[[#This Row],[Rlay]]/LayTable[[#This Row],[Total inns]]),"")</f>
        <v/>
      </c>
      <c r="Y1282" s="48" t="str">
        <f>IFERROR(LayTable[[#This Row],[Faktisk res]]/LayTable[[#This Row],[Total inns]],"")</f>
        <v/>
      </c>
      <c r="Z1282" s="47">
        <f>(LayTable[[#This Row],[BookieInnsats]]*LayTable[[#This Row],[BookieOdds]]-LayTable[[#This Row],[BookieInnsats]])*(1-LayTable[[#This Row],[C% Bookie]])</f>
        <v>0</v>
      </c>
      <c r="AA1282" s="43">
        <f>LayTable[[#This Row],[LayInnsats]]*(1-LayTable[[#This Row],[C% Lay]])</f>
        <v>0</v>
      </c>
      <c r="AB1282" s="43" t="str">
        <f>IFERROR(IF(LayTable[[#This Row],[Sport]]="",AB1281,LayTable[[#This Row],[Faktisk res]]+AB1281),"")</f>
        <v/>
      </c>
      <c r="AC1282" s="43">
        <f>(LayTable[[#This Row],[BackWin-Commission]]+LayTable[[#This Row],[BookieInnsats]])</f>
        <v>0</v>
      </c>
      <c r="AD1282" s="43" t="e">
        <f>(LayTable[[#This Row],[LayWin-Commission]])+LayTable[[#This Row],[LayLiability]]</f>
        <v>#VALUE!</v>
      </c>
      <c r="AE1282" s="43"/>
      <c r="AF1282" s="181"/>
    </row>
    <row r="1283" spans="1:32">
      <c r="A1283" s="84"/>
      <c r="B1283" s="39"/>
      <c r="C1283" s="40"/>
      <c r="D1283" s="41"/>
      <c r="E1283" s="40"/>
      <c r="F1283" s="41"/>
      <c r="G1283" s="101"/>
      <c r="H1283" s="38"/>
      <c r="I1283" s="42"/>
      <c r="J1283" s="42"/>
      <c r="K1283" s="43"/>
      <c r="L1283" s="43"/>
      <c r="M1283" s="44" t="str">
        <f>IF(LayTable[[#This Row],[Sport]]="","",LayTable[[#This Row],[LayInnsats]]*(LayTable[[#This Row],[LayOdds]]-1))</f>
        <v/>
      </c>
      <c r="N1283" s="45" t="str">
        <f>IF(LayTable[[#This Row],[Sport]]="","",1/((1/LayTable[[#This Row],[BookieOdds]])+(1/((1/((1+((LayTable[[#This Row],[LayOdds]]-1)*(1+LayTable[[#This Row],[C% Lay]])))-1))+1)))-1)</f>
        <v/>
      </c>
      <c r="Q1283" s="46" t="str">
        <f>IF(LayTable[[#This Row],[Sport]]="","",LayTable[[#This Row],[BookieInnsats]]+LayTable[[#This Row],[LayLiability]])</f>
        <v/>
      </c>
      <c r="R12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3" s="47" t="str">
        <f>IF(LayTable[[#This Row],[Utfall bookie]]="","",LayTable[[#This Row],[WBABack]]+LayTable[[#This Row],[WBALay]]-LayTable[[#This Row],[Total inns]])</f>
        <v/>
      </c>
      <c r="U12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3" s="48" t="str">
        <f>IFERROR(IF(LayTable[[#This Row],[Total inns]]="","",LayTable[[#This Row],[Rback]]/LayTable[[#This Row],[Total inns]]),"")</f>
        <v/>
      </c>
      <c r="X1283" s="48" t="str">
        <f>IFERROR(IF(LayTable[[#This Row],[Total inns]]="","",LayTable[[#This Row],[Rlay]]/LayTable[[#This Row],[Total inns]]),"")</f>
        <v/>
      </c>
      <c r="Y1283" s="48" t="str">
        <f>IFERROR(LayTable[[#This Row],[Faktisk res]]/LayTable[[#This Row],[Total inns]],"")</f>
        <v/>
      </c>
      <c r="Z1283" s="47">
        <f>(LayTable[[#This Row],[BookieInnsats]]*LayTable[[#This Row],[BookieOdds]]-LayTable[[#This Row],[BookieInnsats]])*(1-LayTable[[#This Row],[C% Bookie]])</f>
        <v>0</v>
      </c>
      <c r="AA1283" s="43">
        <f>LayTable[[#This Row],[LayInnsats]]*(1-LayTable[[#This Row],[C% Lay]])</f>
        <v>0</v>
      </c>
      <c r="AB1283" s="43" t="str">
        <f>IFERROR(IF(LayTable[[#This Row],[Sport]]="",AB1282,LayTable[[#This Row],[Faktisk res]]+AB1282),"")</f>
        <v/>
      </c>
      <c r="AC1283" s="43">
        <f>(LayTable[[#This Row],[BackWin-Commission]]+LayTable[[#This Row],[BookieInnsats]])</f>
        <v>0</v>
      </c>
      <c r="AD1283" s="43" t="e">
        <f>(LayTable[[#This Row],[LayWin-Commission]])+LayTable[[#This Row],[LayLiability]]</f>
        <v>#VALUE!</v>
      </c>
      <c r="AE1283" s="43"/>
      <c r="AF1283" s="181"/>
    </row>
    <row r="1284" spans="1:32">
      <c r="A1284" s="84"/>
      <c r="B1284" s="39"/>
      <c r="C1284" s="40"/>
      <c r="D1284" s="41"/>
      <c r="E1284" s="40"/>
      <c r="F1284" s="41"/>
      <c r="G1284" s="101"/>
      <c r="H1284" s="38"/>
      <c r="I1284" s="42"/>
      <c r="J1284" s="42"/>
      <c r="K1284" s="43"/>
      <c r="L1284" s="43"/>
      <c r="M1284" s="44" t="str">
        <f>IF(LayTable[[#This Row],[Sport]]="","",LayTable[[#This Row],[LayInnsats]]*(LayTable[[#This Row],[LayOdds]]-1))</f>
        <v/>
      </c>
      <c r="N1284" s="45" t="str">
        <f>IF(LayTable[[#This Row],[Sport]]="","",1/((1/LayTable[[#This Row],[BookieOdds]])+(1/((1/((1+((LayTable[[#This Row],[LayOdds]]-1)*(1+LayTable[[#This Row],[C% Lay]])))-1))+1)))-1)</f>
        <v/>
      </c>
      <c r="Q1284" s="46" t="str">
        <f>IF(LayTable[[#This Row],[Sport]]="","",LayTable[[#This Row],[BookieInnsats]]+LayTable[[#This Row],[LayLiability]])</f>
        <v/>
      </c>
      <c r="R12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4" s="47" t="str">
        <f>IF(LayTable[[#This Row],[Utfall bookie]]="","",LayTable[[#This Row],[WBABack]]+LayTable[[#This Row],[WBALay]]-LayTable[[#This Row],[Total inns]])</f>
        <v/>
      </c>
      <c r="U12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4" s="48" t="str">
        <f>IFERROR(IF(LayTable[[#This Row],[Total inns]]="","",LayTable[[#This Row],[Rback]]/LayTable[[#This Row],[Total inns]]),"")</f>
        <v/>
      </c>
      <c r="X1284" s="48" t="str">
        <f>IFERROR(IF(LayTable[[#This Row],[Total inns]]="","",LayTable[[#This Row],[Rlay]]/LayTable[[#This Row],[Total inns]]),"")</f>
        <v/>
      </c>
      <c r="Y1284" s="48" t="str">
        <f>IFERROR(LayTable[[#This Row],[Faktisk res]]/LayTable[[#This Row],[Total inns]],"")</f>
        <v/>
      </c>
      <c r="Z1284" s="47">
        <f>(LayTable[[#This Row],[BookieInnsats]]*LayTable[[#This Row],[BookieOdds]]-LayTable[[#This Row],[BookieInnsats]])*(1-LayTable[[#This Row],[C% Bookie]])</f>
        <v>0</v>
      </c>
      <c r="AA1284" s="43">
        <f>LayTable[[#This Row],[LayInnsats]]*(1-LayTable[[#This Row],[C% Lay]])</f>
        <v>0</v>
      </c>
      <c r="AB1284" s="43" t="str">
        <f>IFERROR(IF(LayTable[[#This Row],[Sport]]="",AB1283,LayTable[[#This Row],[Faktisk res]]+AB1283),"")</f>
        <v/>
      </c>
      <c r="AC1284" s="43">
        <f>(LayTable[[#This Row],[BackWin-Commission]]+LayTable[[#This Row],[BookieInnsats]])</f>
        <v>0</v>
      </c>
      <c r="AD1284" s="43" t="e">
        <f>(LayTable[[#This Row],[LayWin-Commission]])+LayTable[[#This Row],[LayLiability]]</f>
        <v>#VALUE!</v>
      </c>
      <c r="AE1284" s="43"/>
      <c r="AF1284" s="181"/>
    </row>
    <row r="1285" spans="1:32">
      <c r="A1285" s="84"/>
      <c r="B1285" s="39"/>
      <c r="C1285" s="40"/>
      <c r="D1285" s="41"/>
      <c r="E1285" s="40"/>
      <c r="F1285" s="41"/>
      <c r="G1285" s="101"/>
      <c r="H1285" s="38"/>
      <c r="I1285" s="42"/>
      <c r="J1285" s="42"/>
      <c r="K1285" s="43"/>
      <c r="L1285" s="43"/>
      <c r="M1285" s="44" t="str">
        <f>IF(LayTable[[#This Row],[Sport]]="","",LayTable[[#This Row],[LayInnsats]]*(LayTable[[#This Row],[LayOdds]]-1))</f>
        <v/>
      </c>
      <c r="N1285" s="45" t="str">
        <f>IF(LayTable[[#This Row],[Sport]]="","",1/((1/LayTable[[#This Row],[BookieOdds]])+(1/((1/((1+((LayTable[[#This Row],[LayOdds]]-1)*(1+LayTable[[#This Row],[C% Lay]])))-1))+1)))-1)</f>
        <v/>
      </c>
      <c r="Q1285" s="46" t="str">
        <f>IF(LayTable[[#This Row],[Sport]]="","",LayTable[[#This Row],[BookieInnsats]]+LayTable[[#This Row],[LayLiability]])</f>
        <v/>
      </c>
      <c r="R12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5" s="47" t="str">
        <f>IF(LayTable[[#This Row],[Utfall bookie]]="","",LayTable[[#This Row],[WBABack]]+LayTable[[#This Row],[WBALay]]-LayTable[[#This Row],[Total inns]])</f>
        <v/>
      </c>
      <c r="U12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5" s="48" t="str">
        <f>IFERROR(IF(LayTable[[#This Row],[Total inns]]="","",LayTable[[#This Row],[Rback]]/LayTable[[#This Row],[Total inns]]),"")</f>
        <v/>
      </c>
      <c r="X1285" s="48" t="str">
        <f>IFERROR(IF(LayTable[[#This Row],[Total inns]]="","",LayTable[[#This Row],[Rlay]]/LayTable[[#This Row],[Total inns]]),"")</f>
        <v/>
      </c>
      <c r="Y1285" s="48" t="str">
        <f>IFERROR(LayTable[[#This Row],[Faktisk res]]/LayTable[[#This Row],[Total inns]],"")</f>
        <v/>
      </c>
      <c r="Z1285" s="47">
        <f>(LayTable[[#This Row],[BookieInnsats]]*LayTable[[#This Row],[BookieOdds]]-LayTable[[#This Row],[BookieInnsats]])*(1-LayTable[[#This Row],[C% Bookie]])</f>
        <v>0</v>
      </c>
      <c r="AA1285" s="43">
        <f>LayTable[[#This Row],[LayInnsats]]*(1-LayTable[[#This Row],[C% Lay]])</f>
        <v>0</v>
      </c>
      <c r="AB1285" s="43" t="str">
        <f>IFERROR(IF(LayTable[[#This Row],[Sport]]="",AB1284,LayTable[[#This Row],[Faktisk res]]+AB1284),"")</f>
        <v/>
      </c>
      <c r="AC1285" s="43">
        <f>(LayTable[[#This Row],[BackWin-Commission]]+LayTable[[#This Row],[BookieInnsats]])</f>
        <v>0</v>
      </c>
      <c r="AD1285" s="43" t="e">
        <f>(LayTable[[#This Row],[LayWin-Commission]])+LayTable[[#This Row],[LayLiability]]</f>
        <v>#VALUE!</v>
      </c>
      <c r="AE1285" s="43"/>
      <c r="AF1285" s="181"/>
    </row>
    <row r="1286" spans="1:32">
      <c r="A1286" s="84"/>
      <c r="B1286" s="39"/>
      <c r="C1286" s="40"/>
      <c r="D1286" s="41"/>
      <c r="E1286" s="40"/>
      <c r="F1286" s="41"/>
      <c r="G1286" s="101"/>
      <c r="H1286" s="38"/>
      <c r="I1286" s="42"/>
      <c r="J1286" s="42"/>
      <c r="K1286" s="43"/>
      <c r="L1286" s="43"/>
      <c r="M1286" s="44" t="str">
        <f>IF(LayTable[[#This Row],[Sport]]="","",LayTable[[#This Row],[LayInnsats]]*(LayTable[[#This Row],[LayOdds]]-1))</f>
        <v/>
      </c>
      <c r="N1286" s="45" t="str">
        <f>IF(LayTable[[#This Row],[Sport]]="","",1/((1/LayTable[[#This Row],[BookieOdds]])+(1/((1/((1+((LayTable[[#This Row],[LayOdds]]-1)*(1+LayTable[[#This Row],[C% Lay]])))-1))+1)))-1)</f>
        <v/>
      </c>
      <c r="Q1286" s="46" t="str">
        <f>IF(LayTable[[#This Row],[Sport]]="","",LayTable[[#This Row],[BookieInnsats]]+LayTable[[#This Row],[LayLiability]])</f>
        <v/>
      </c>
      <c r="R12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6" s="47" t="str">
        <f>IF(LayTable[[#This Row],[Utfall bookie]]="","",LayTable[[#This Row],[WBABack]]+LayTable[[#This Row],[WBALay]]-LayTable[[#This Row],[Total inns]])</f>
        <v/>
      </c>
      <c r="U12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6" s="48" t="str">
        <f>IFERROR(IF(LayTable[[#This Row],[Total inns]]="","",LayTable[[#This Row],[Rback]]/LayTable[[#This Row],[Total inns]]),"")</f>
        <v/>
      </c>
      <c r="X1286" s="48" t="str">
        <f>IFERROR(IF(LayTable[[#This Row],[Total inns]]="","",LayTable[[#This Row],[Rlay]]/LayTable[[#This Row],[Total inns]]),"")</f>
        <v/>
      </c>
      <c r="Y1286" s="48" t="str">
        <f>IFERROR(LayTable[[#This Row],[Faktisk res]]/LayTable[[#This Row],[Total inns]],"")</f>
        <v/>
      </c>
      <c r="Z1286" s="47">
        <f>(LayTable[[#This Row],[BookieInnsats]]*LayTable[[#This Row],[BookieOdds]]-LayTable[[#This Row],[BookieInnsats]])*(1-LayTable[[#This Row],[C% Bookie]])</f>
        <v>0</v>
      </c>
      <c r="AA1286" s="43">
        <f>LayTable[[#This Row],[LayInnsats]]*(1-LayTable[[#This Row],[C% Lay]])</f>
        <v>0</v>
      </c>
      <c r="AB1286" s="43" t="str">
        <f>IFERROR(IF(LayTable[[#This Row],[Sport]]="",AB1285,LayTable[[#This Row],[Faktisk res]]+AB1285),"")</f>
        <v/>
      </c>
      <c r="AC1286" s="43">
        <f>(LayTable[[#This Row],[BackWin-Commission]]+LayTable[[#This Row],[BookieInnsats]])</f>
        <v>0</v>
      </c>
      <c r="AD1286" s="43" t="e">
        <f>(LayTable[[#This Row],[LayWin-Commission]])+LayTable[[#This Row],[LayLiability]]</f>
        <v>#VALUE!</v>
      </c>
      <c r="AE1286" s="43"/>
      <c r="AF1286" s="181"/>
    </row>
    <row r="1287" spans="1:32">
      <c r="A1287" s="84"/>
      <c r="B1287" s="39"/>
      <c r="C1287" s="40"/>
      <c r="D1287" s="41"/>
      <c r="E1287" s="40"/>
      <c r="F1287" s="41"/>
      <c r="G1287" s="101"/>
      <c r="H1287" s="38"/>
      <c r="I1287" s="42"/>
      <c r="J1287" s="42"/>
      <c r="K1287" s="43"/>
      <c r="L1287" s="43"/>
      <c r="M1287" s="44" t="str">
        <f>IF(LayTable[[#This Row],[Sport]]="","",LayTable[[#This Row],[LayInnsats]]*(LayTable[[#This Row],[LayOdds]]-1))</f>
        <v/>
      </c>
      <c r="N1287" s="45" t="str">
        <f>IF(LayTable[[#This Row],[Sport]]="","",1/((1/LayTable[[#This Row],[BookieOdds]])+(1/((1/((1+((LayTable[[#This Row],[LayOdds]]-1)*(1+LayTable[[#This Row],[C% Lay]])))-1))+1)))-1)</f>
        <v/>
      </c>
      <c r="Q1287" s="46" t="str">
        <f>IF(LayTable[[#This Row],[Sport]]="","",LayTable[[#This Row],[BookieInnsats]]+LayTable[[#This Row],[LayLiability]])</f>
        <v/>
      </c>
      <c r="R12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7" s="47" t="str">
        <f>IF(LayTable[[#This Row],[Utfall bookie]]="","",LayTable[[#This Row],[WBABack]]+LayTable[[#This Row],[WBALay]]-LayTable[[#This Row],[Total inns]])</f>
        <v/>
      </c>
      <c r="U12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7" s="48" t="str">
        <f>IFERROR(IF(LayTable[[#This Row],[Total inns]]="","",LayTable[[#This Row],[Rback]]/LayTable[[#This Row],[Total inns]]),"")</f>
        <v/>
      </c>
      <c r="X1287" s="48" t="str">
        <f>IFERROR(IF(LayTable[[#This Row],[Total inns]]="","",LayTable[[#This Row],[Rlay]]/LayTable[[#This Row],[Total inns]]),"")</f>
        <v/>
      </c>
      <c r="Y1287" s="48" t="str">
        <f>IFERROR(LayTable[[#This Row],[Faktisk res]]/LayTable[[#This Row],[Total inns]],"")</f>
        <v/>
      </c>
      <c r="Z1287" s="47">
        <f>(LayTable[[#This Row],[BookieInnsats]]*LayTable[[#This Row],[BookieOdds]]-LayTable[[#This Row],[BookieInnsats]])*(1-LayTable[[#This Row],[C% Bookie]])</f>
        <v>0</v>
      </c>
      <c r="AA1287" s="43">
        <f>LayTable[[#This Row],[LayInnsats]]*(1-LayTable[[#This Row],[C% Lay]])</f>
        <v>0</v>
      </c>
      <c r="AB1287" s="43" t="str">
        <f>IFERROR(IF(LayTable[[#This Row],[Sport]]="",AB1286,LayTable[[#This Row],[Faktisk res]]+AB1286),"")</f>
        <v/>
      </c>
      <c r="AC1287" s="43">
        <f>(LayTable[[#This Row],[BackWin-Commission]]+LayTable[[#This Row],[BookieInnsats]])</f>
        <v>0</v>
      </c>
      <c r="AD1287" s="43" t="e">
        <f>(LayTable[[#This Row],[LayWin-Commission]])+LayTable[[#This Row],[LayLiability]]</f>
        <v>#VALUE!</v>
      </c>
      <c r="AE1287" s="43"/>
      <c r="AF1287" s="181"/>
    </row>
    <row r="1288" spans="1:32">
      <c r="A1288" s="84"/>
      <c r="B1288" s="39"/>
      <c r="C1288" s="40"/>
      <c r="D1288" s="41"/>
      <c r="E1288" s="40"/>
      <c r="F1288" s="41"/>
      <c r="G1288" s="101"/>
      <c r="H1288" s="38"/>
      <c r="I1288" s="42"/>
      <c r="J1288" s="42"/>
      <c r="K1288" s="43"/>
      <c r="L1288" s="43"/>
      <c r="M1288" s="44" t="str">
        <f>IF(LayTable[[#This Row],[Sport]]="","",LayTable[[#This Row],[LayInnsats]]*(LayTable[[#This Row],[LayOdds]]-1))</f>
        <v/>
      </c>
      <c r="N1288" s="45" t="str">
        <f>IF(LayTable[[#This Row],[Sport]]="","",1/((1/LayTable[[#This Row],[BookieOdds]])+(1/((1/((1+((LayTable[[#This Row],[LayOdds]]-1)*(1+LayTable[[#This Row],[C% Lay]])))-1))+1)))-1)</f>
        <v/>
      </c>
      <c r="Q1288" s="46" t="str">
        <f>IF(LayTable[[#This Row],[Sport]]="","",LayTable[[#This Row],[BookieInnsats]]+LayTable[[#This Row],[LayLiability]])</f>
        <v/>
      </c>
      <c r="R12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8" s="47" t="str">
        <f>IF(LayTable[[#This Row],[Utfall bookie]]="","",LayTable[[#This Row],[WBABack]]+LayTable[[#This Row],[WBALay]]-LayTable[[#This Row],[Total inns]])</f>
        <v/>
      </c>
      <c r="U12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8" s="48" t="str">
        <f>IFERROR(IF(LayTable[[#This Row],[Total inns]]="","",LayTable[[#This Row],[Rback]]/LayTable[[#This Row],[Total inns]]),"")</f>
        <v/>
      </c>
      <c r="X1288" s="48" t="str">
        <f>IFERROR(IF(LayTable[[#This Row],[Total inns]]="","",LayTable[[#This Row],[Rlay]]/LayTable[[#This Row],[Total inns]]),"")</f>
        <v/>
      </c>
      <c r="Y1288" s="48" t="str">
        <f>IFERROR(LayTable[[#This Row],[Faktisk res]]/LayTable[[#This Row],[Total inns]],"")</f>
        <v/>
      </c>
      <c r="Z1288" s="47">
        <f>(LayTable[[#This Row],[BookieInnsats]]*LayTable[[#This Row],[BookieOdds]]-LayTable[[#This Row],[BookieInnsats]])*(1-LayTable[[#This Row],[C% Bookie]])</f>
        <v>0</v>
      </c>
      <c r="AA1288" s="43">
        <f>LayTable[[#This Row],[LayInnsats]]*(1-LayTable[[#This Row],[C% Lay]])</f>
        <v>0</v>
      </c>
      <c r="AB1288" s="43" t="str">
        <f>IFERROR(IF(LayTable[[#This Row],[Sport]]="",AB1287,LayTable[[#This Row],[Faktisk res]]+AB1287),"")</f>
        <v/>
      </c>
      <c r="AC1288" s="43">
        <f>(LayTable[[#This Row],[BackWin-Commission]]+LayTable[[#This Row],[BookieInnsats]])</f>
        <v>0</v>
      </c>
      <c r="AD1288" s="43" t="e">
        <f>(LayTable[[#This Row],[LayWin-Commission]])+LayTable[[#This Row],[LayLiability]]</f>
        <v>#VALUE!</v>
      </c>
      <c r="AE1288" s="43"/>
      <c r="AF1288" s="181"/>
    </row>
    <row r="1289" spans="1:32">
      <c r="A1289" s="84"/>
      <c r="B1289" s="39"/>
      <c r="C1289" s="40"/>
      <c r="D1289" s="41"/>
      <c r="E1289" s="40"/>
      <c r="F1289" s="41"/>
      <c r="G1289" s="101"/>
      <c r="H1289" s="38"/>
      <c r="I1289" s="42"/>
      <c r="J1289" s="42"/>
      <c r="K1289" s="43"/>
      <c r="L1289" s="43"/>
      <c r="M1289" s="44" t="str">
        <f>IF(LayTable[[#This Row],[Sport]]="","",LayTable[[#This Row],[LayInnsats]]*(LayTable[[#This Row],[LayOdds]]-1))</f>
        <v/>
      </c>
      <c r="N1289" s="45" t="str">
        <f>IF(LayTable[[#This Row],[Sport]]="","",1/((1/LayTable[[#This Row],[BookieOdds]])+(1/((1/((1+((LayTable[[#This Row],[LayOdds]]-1)*(1+LayTable[[#This Row],[C% Lay]])))-1))+1)))-1)</f>
        <v/>
      </c>
      <c r="Q1289" s="46" t="str">
        <f>IF(LayTable[[#This Row],[Sport]]="","",LayTable[[#This Row],[BookieInnsats]]+LayTable[[#This Row],[LayLiability]])</f>
        <v/>
      </c>
      <c r="R12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89" s="47" t="str">
        <f>IF(LayTable[[#This Row],[Utfall bookie]]="","",LayTable[[#This Row],[WBABack]]+LayTable[[#This Row],[WBALay]]-LayTable[[#This Row],[Total inns]])</f>
        <v/>
      </c>
      <c r="U12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89" s="48" t="str">
        <f>IFERROR(IF(LayTable[[#This Row],[Total inns]]="","",LayTable[[#This Row],[Rback]]/LayTable[[#This Row],[Total inns]]),"")</f>
        <v/>
      </c>
      <c r="X1289" s="48" t="str">
        <f>IFERROR(IF(LayTable[[#This Row],[Total inns]]="","",LayTable[[#This Row],[Rlay]]/LayTable[[#This Row],[Total inns]]),"")</f>
        <v/>
      </c>
      <c r="Y1289" s="48" t="str">
        <f>IFERROR(LayTable[[#This Row],[Faktisk res]]/LayTable[[#This Row],[Total inns]],"")</f>
        <v/>
      </c>
      <c r="Z1289" s="47">
        <f>(LayTable[[#This Row],[BookieInnsats]]*LayTable[[#This Row],[BookieOdds]]-LayTable[[#This Row],[BookieInnsats]])*(1-LayTable[[#This Row],[C% Bookie]])</f>
        <v>0</v>
      </c>
      <c r="AA1289" s="43">
        <f>LayTable[[#This Row],[LayInnsats]]*(1-LayTable[[#This Row],[C% Lay]])</f>
        <v>0</v>
      </c>
      <c r="AB1289" s="43" t="str">
        <f>IFERROR(IF(LayTable[[#This Row],[Sport]]="",AB1288,LayTable[[#This Row],[Faktisk res]]+AB1288),"")</f>
        <v/>
      </c>
      <c r="AC1289" s="43">
        <f>(LayTable[[#This Row],[BackWin-Commission]]+LayTable[[#This Row],[BookieInnsats]])</f>
        <v>0</v>
      </c>
      <c r="AD1289" s="43" t="e">
        <f>(LayTable[[#This Row],[LayWin-Commission]])+LayTable[[#This Row],[LayLiability]]</f>
        <v>#VALUE!</v>
      </c>
      <c r="AE1289" s="43"/>
      <c r="AF1289" s="181"/>
    </row>
    <row r="1290" spans="1:32">
      <c r="A1290" s="84"/>
      <c r="B1290" s="39"/>
      <c r="C1290" s="40"/>
      <c r="D1290" s="41"/>
      <c r="E1290" s="40"/>
      <c r="F1290" s="41"/>
      <c r="G1290" s="101"/>
      <c r="H1290" s="38"/>
      <c r="I1290" s="42"/>
      <c r="J1290" s="42"/>
      <c r="K1290" s="43"/>
      <c r="L1290" s="43"/>
      <c r="M1290" s="44" t="str">
        <f>IF(LayTable[[#This Row],[Sport]]="","",LayTable[[#This Row],[LayInnsats]]*(LayTable[[#This Row],[LayOdds]]-1))</f>
        <v/>
      </c>
      <c r="N1290" s="45" t="str">
        <f>IF(LayTable[[#This Row],[Sport]]="","",1/((1/LayTable[[#This Row],[BookieOdds]])+(1/((1/((1+((LayTable[[#This Row],[LayOdds]]-1)*(1+LayTable[[#This Row],[C% Lay]])))-1))+1)))-1)</f>
        <v/>
      </c>
      <c r="Q1290" s="46" t="str">
        <f>IF(LayTable[[#This Row],[Sport]]="","",LayTable[[#This Row],[BookieInnsats]]+LayTable[[#This Row],[LayLiability]])</f>
        <v/>
      </c>
      <c r="R12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0" s="47" t="str">
        <f>IF(LayTable[[#This Row],[Utfall bookie]]="","",LayTable[[#This Row],[WBABack]]+LayTable[[#This Row],[WBALay]]-LayTable[[#This Row],[Total inns]])</f>
        <v/>
      </c>
      <c r="U12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0" s="48" t="str">
        <f>IFERROR(IF(LayTable[[#This Row],[Total inns]]="","",LayTable[[#This Row],[Rback]]/LayTable[[#This Row],[Total inns]]),"")</f>
        <v/>
      </c>
      <c r="X1290" s="48" t="str">
        <f>IFERROR(IF(LayTable[[#This Row],[Total inns]]="","",LayTable[[#This Row],[Rlay]]/LayTable[[#This Row],[Total inns]]),"")</f>
        <v/>
      </c>
      <c r="Y1290" s="48" t="str">
        <f>IFERROR(LayTable[[#This Row],[Faktisk res]]/LayTable[[#This Row],[Total inns]],"")</f>
        <v/>
      </c>
      <c r="Z1290" s="47">
        <f>(LayTable[[#This Row],[BookieInnsats]]*LayTable[[#This Row],[BookieOdds]]-LayTable[[#This Row],[BookieInnsats]])*(1-LayTable[[#This Row],[C% Bookie]])</f>
        <v>0</v>
      </c>
      <c r="AA1290" s="43">
        <f>LayTable[[#This Row],[LayInnsats]]*(1-LayTable[[#This Row],[C% Lay]])</f>
        <v>0</v>
      </c>
      <c r="AB1290" s="43" t="str">
        <f>IFERROR(IF(LayTable[[#This Row],[Sport]]="",AB1289,LayTable[[#This Row],[Faktisk res]]+AB1289),"")</f>
        <v/>
      </c>
      <c r="AC1290" s="43">
        <f>(LayTable[[#This Row],[BackWin-Commission]]+LayTable[[#This Row],[BookieInnsats]])</f>
        <v>0</v>
      </c>
      <c r="AD1290" s="43" t="e">
        <f>(LayTable[[#This Row],[LayWin-Commission]])+LayTable[[#This Row],[LayLiability]]</f>
        <v>#VALUE!</v>
      </c>
      <c r="AE1290" s="43"/>
      <c r="AF1290" s="181"/>
    </row>
    <row r="1291" spans="1:32">
      <c r="A1291" s="84"/>
      <c r="B1291" s="39"/>
      <c r="C1291" s="40"/>
      <c r="D1291" s="41"/>
      <c r="E1291" s="40"/>
      <c r="F1291" s="41"/>
      <c r="G1291" s="101"/>
      <c r="H1291" s="38"/>
      <c r="I1291" s="42"/>
      <c r="J1291" s="42"/>
      <c r="K1291" s="43"/>
      <c r="L1291" s="43"/>
      <c r="M1291" s="44" t="str">
        <f>IF(LayTable[[#This Row],[Sport]]="","",LayTable[[#This Row],[LayInnsats]]*(LayTable[[#This Row],[LayOdds]]-1))</f>
        <v/>
      </c>
      <c r="N1291" s="45" t="str">
        <f>IF(LayTable[[#This Row],[Sport]]="","",1/((1/LayTable[[#This Row],[BookieOdds]])+(1/((1/((1+((LayTable[[#This Row],[LayOdds]]-1)*(1+LayTable[[#This Row],[C% Lay]])))-1))+1)))-1)</f>
        <v/>
      </c>
      <c r="Q1291" s="46" t="str">
        <f>IF(LayTable[[#This Row],[Sport]]="","",LayTable[[#This Row],[BookieInnsats]]+LayTable[[#This Row],[LayLiability]])</f>
        <v/>
      </c>
      <c r="R12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1" s="47" t="str">
        <f>IF(LayTable[[#This Row],[Utfall bookie]]="","",LayTable[[#This Row],[WBABack]]+LayTable[[#This Row],[WBALay]]-LayTable[[#This Row],[Total inns]])</f>
        <v/>
      </c>
      <c r="U12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1" s="48" t="str">
        <f>IFERROR(IF(LayTable[[#This Row],[Total inns]]="","",LayTable[[#This Row],[Rback]]/LayTable[[#This Row],[Total inns]]),"")</f>
        <v/>
      </c>
      <c r="X1291" s="48" t="str">
        <f>IFERROR(IF(LayTable[[#This Row],[Total inns]]="","",LayTable[[#This Row],[Rlay]]/LayTable[[#This Row],[Total inns]]),"")</f>
        <v/>
      </c>
      <c r="Y1291" s="48" t="str">
        <f>IFERROR(LayTable[[#This Row],[Faktisk res]]/LayTable[[#This Row],[Total inns]],"")</f>
        <v/>
      </c>
      <c r="Z1291" s="47">
        <f>(LayTable[[#This Row],[BookieInnsats]]*LayTable[[#This Row],[BookieOdds]]-LayTable[[#This Row],[BookieInnsats]])*(1-LayTable[[#This Row],[C% Bookie]])</f>
        <v>0</v>
      </c>
      <c r="AA1291" s="43">
        <f>LayTable[[#This Row],[LayInnsats]]*(1-LayTable[[#This Row],[C% Lay]])</f>
        <v>0</v>
      </c>
      <c r="AB1291" s="43" t="str">
        <f>IFERROR(IF(LayTable[[#This Row],[Sport]]="",AB1290,LayTable[[#This Row],[Faktisk res]]+AB1290),"")</f>
        <v/>
      </c>
      <c r="AC1291" s="43">
        <f>(LayTable[[#This Row],[BackWin-Commission]]+LayTable[[#This Row],[BookieInnsats]])</f>
        <v>0</v>
      </c>
      <c r="AD1291" s="43" t="e">
        <f>(LayTable[[#This Row],[LayWin-Commission]])+LayTable[[#This Row],[LayLiability]]</f>
        <v>#VALUE!</v>
      </c>
      <c r="AE1291" s="43"/>
      <c r="AF1291" s="181"/>
    </row>
    <row r="1292" spans="1:32">
      <c r="A1292" s="84"/>
      <c r="B1292" s="39"/>
      <c r="C1292" s="40"/>
      <c r="D1292" s="41"/>
      <c r="E1292" s="40"/>
      <c r="F1292" s="41"/>
      <c r="G1292" s="101"/>
      <c r="H1292" s="38"/>
      <c r="I1292" s="42"/>
      <c r="J1292" s="42"/>
      <c r="K1292" s="43"/>
      <c r="L1292" s="43"/>
      <c r="M1292" s="44" t="str">
        <f>IF(LayTable[[#This Row],[Sport]]="","",LayTable[[#This Row],[LayInnsats]]*(LayTable[[#This Row],[LayOdds]]-1))</f>
        <v/>
      </c>
      <c r="N1292" s="45" t="str">
        <f>IF(LayTable[[#This Row],[Sport]]="","",1/((1/LayTable[[#This Row],[BookieOdds]])+(1/((1/((1+((LayTable[[#This Row],[LayOdds]]-1)*(1+LayTable[[#This Row],[C% Lay]])))-1))+1)))-1)</f>
        <v/>
      </c>
      <c r="Q1292" s="46" t="str">
        <f>IF(LayTable[[#This Row],[Sport]]="","",LayTable[[#This Row],[BookieInnsats]]+LayTable[[#This Row],[LayLiability]])</f>
        <v/>
      </c>
      <c r="R12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2" s="47" t="str">
        <f>IF(LayTable[[#This Row],[Utfall bookie]]="","",LayTable[[#This Row],[WBABack]]+LayTable[[#This Row],[WBALay]]-LayTable[[#This Row],[Total inns]])</f>
        <v/>
      </c>
      <c r="U12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2" s="48" t="str">
        <f>IFERROR(IF(LayTable[[#This Row],[Total inns]]="","",LayTable[[#This Row],[Rback]]/LayTable[[#This Row],[Total inns]]),"")</f>
        <v/>
      </c>
      <c r="X1292" s="48" t="str">
        <f>IFERROR(IF(LayTable[[#This Row],[Total inns]]="","",LayTable[[#This Row],[Rlay]]/LayTable[[#This Row],[Total inns]]),"")</f>
        <v/>
      </c>
      <c r="Y1292" s="48" t="str">
        <f>IFERROR(LayTable[[#This Row],[Faktisk res]]/LayTable[[#This Row],[Total inns]],"")</f>
        <v/>
      </c>
      <c r="Z1292" s="47">
        <f>(LayTable[[#This Row],[BookieInnsats]]*LayTable[[#This Row],[BookieOdds]]-LayTable[[#This Row],[BookieInnsats]])*(1-LayTable[[#This Row],[C% Bookie]])</f>
        <v>0</v>
      </c>
      <c r="AA1292" s="43">
        <f>LayTable[[#This Row],[LayInnsats]]*(1-LayTable[[#This Row],[C% Lay]])</f>
        <v>0</v>
      </c>
      <c r="AB1292" s="43" t="str">
        <f>IFERROR(IF(LayTable[[#This Row],[Sport]]="",AB1291,LayTable[[#This Row],[Faktisk res]]+AB1291),"")</f>
        <v/>
      </c>
      <c r="AC1292" s="43">
        <f>(LayTable[[#This Row],[BackWin-Commission]]+LayTable[[#This Row],[BookieInnsats]])</f>
        <v>0</v>
      </c>
      <c r="AD1292" s="43" t="e">
        <f>(LayTable[[#This Row],[LayWin-Commission]])+LayTable[[#This Row],[LayLiability]]</f>
        <v>#VALUE!</v>
      </c>
      <c r="AE1292" s="43"/>
      <c r="AF1292" s="181"/>
    </row>
    <row r="1293" spans="1:32">
      <c r="A1293" s="84"/>
      <c r="B1293" s="39"/>
      <c r="C1293" s="40"/>
      <c r="D1293" s="41"/>
      <c r="E1293" s="40"/>
      <c r="F1293" s="41"/>
      <c r="G1293" s="101"/>
      <c r="H1293" s="38"/>
      <c r="I1293" s="42"/>
      <c r="J1293" s="42"/>
      <c r="K1293" s="43"/>
      <c r="L1293" s="43"/>
      <c r="M1293" s="44" t="str">
        <f>IF(LayTable[[#This Row],[Sport]]="","",LayTable[[#This Row],[LayInnsats]]*(LayTable[[#This Row],[LayOdds]]-1))</f>
        <v/>
      </c>
      <c r="N1293" s="45" t="str">
        <f>IF(LayTable[[#This Row],[Sport]]="","",1/((1/LayTable[[#This Row],[BookieOdds]])+(1/((1/((1+((LayTable[[#This Row],[LayOdds]]-1)*(1+LayTable[[#This Row],[C% Lay]])))-1))+1)))-1)</f>
        <v/>
      </c>
      <c r="Q1293" s="46" t="str">
        <f>IF(LayTable[[#This Row],[Sport]]="","",LayTable[[#This Row],[BookieInnsats]]+LayTable[[#This Row],[LayLiability]])</f>
        <v/>
      </c>
      <c r="R12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3" s="47" t="str">
        <f>IF(LayTable[[#This Row],[Utfall bookie]]="","",LayTable[[#This Row],[WBABack]]+LayTable[[#This Row],[WBALay]]-LayTable[[#This Row],[Total inns]])</f>
        <v/>
      </c>
      <c r="U12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3" s="48" t="str">
        <f>IFERROR(IF(LayTable[[#This Row],[Total inns]]="","",LayTable[[#This Row],[Rback]]/LayTable[[#This Row],[Total inns]]),"")</f>
        <v/>
      </c>
      <c r="X1293" s="48" t="str">
        <f>IFERROR(IF(LayTable[[#This Row],[Total inns]]="","",LayTable[[#This Row],[Rlay]]/LayTable[[#This Row],[Total inns]]),"")</f>
        <v/>
      </c>
      <c r="Y1293" s="48" t="str">
        <f>IFERROR(LayTable[[#This Row],[Faktisk res]]/LayTable[[#This Row],[Total inns]],"")</f>
        <v/>
      </c>
      <c r="Z1293" s="47">
        <f>(LayTable[[#This Row],[BookieInnsats]]*LayTable[[#This Row],[BookieOdds]]-LayTable[[#This Row],[BookieInnsats]])*(1-LayTable[[#This Row],[C% Bookie]])</f>
        <v>0</v>
      </c>
      <c r="AA1293" s="43">
        <f>LayTable[[#This Row],[LayInnsats]]*(1-LayTable[[#This Row],[C% Lay]])</f>
        <v>0</v>
      </c>
      <c r="AB1293" s="43" t="str">
        <f>IFERROR(IF(LayTable[[#This Row],[Sport]]="",AB1292,LayTable[[#This Row],[Faktisk res]]+AB1292),"")</f>
        <v/>
      </c>
      <c r="AC1293" s="43">
        <f>(LayTable[[#This Row],[BackWin-Commission]]+LayTable[[#This Row],[BookieInnsats]])</f>
        <v>0</v>
      </c>
      <c r="AD1293" s="43" t="e">
        <f>(LayTable[[#This Row],[LayWin-Commission]])+LayTable[[#This Row],[LayLiability]]</f>
        <v>#VALUE!</v>
      </c>
      <c r="AE1293" s="43"/>
      <c r="AF1293" s="181"/>
    </row>
    <row r="1294" spans="1:32">
      <c r="A1294" s="84"/>
      <c r="B1294" s="39"/>
      <c r="C1294" s="40"/>
      <c r="D1294" s="41"/>
      <c r="E1294" s="40"/>
      <c r="F1294" s="41"/>
      <c r="G1294" s="101"/>
      <c r="H1294" s="38"/>
      <c r="I1294" s="42"/>
      <c r="J1294" s="42"/>
      <c r="K1294" s="43"/>
      <c r="L1294" s="43"/>
      <c r="M1294" s="44" t="str">
        <f>IF(LayTable[[#This Row],[Sport]]="","",LayTable[[#This Row],[LayInnsats]]*(LayTable[[#This Row],[LayOdds]]-1))</f>
        <v/>
      </c>
      <c r="N1294" s="45" t="str">
        <f>IF(LayTable[[#This Row],[Sport]]="","",1/((1/LayTable[[#This Row],[BookieOdds]])+(1/((1/((1+((LayTable[[#This Row],[LayOdds]]-1)*(1+LayTable[[#This Row],[C% Lay]])))-1))+1)))-1)</f>
        <v/>
      </c>
      <c r="Q1294" s="46" t="str">
        <f>IF(LayTable[[#This Row],[Sport]]="","",LayTable[[#This Row],[BookieInnsats]]+LayTable[[#This Row],[LayLiability]])</f>
        <v/>
      </c>
      <c r="R12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4" s="47" t="str">
        <f>IF(LayTable[[#This Row],[Utfall bookie]]="","",LayTable[[#This Row],[WBABack]]+LayTable[[#This Row],[WBALay]]-LayTable[[#This Row],[Total inns]])</f>
        <v/>
      </c>
      <c r="U12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4" s="48" t="str">
        <f>IFERROR(IF(LayTable[[#This Row],[Total inns]]="","",LayTable[[#This Row],[Rback]]/LayTable[[#This Row],[Total inns]]),"")</f>
        <v/>
      </c>
      <c r="X1294" s="48" t="str">
        <f>IFERROR(IF(LayTable[[#This Row],[Total inns]]="","",LayTable[[#This Row],[Rlay]]/LayTable[[#This Row],[Total inns]]),"")</f>
        <v/>
      </c>
      <c r="Y1294" s="48" t="str">
        <f>IFERROR(LayTable[[#This Row],[Faktisk res]]/LayTable[[#This Row],[Total inns]],"")</f>
        <v/>
      </c>
      <c r="Z1294" s="47">
        <f>(LayTable[[#This Row],[BookieInnsats]]*LayTable[[#This Row],[BookieOdds]]-LayTable[[#This Row],[BookieInnsats]])*(1-LayTable[[#This Row],[C% Bookie]])</f>
        <v>0</v>
      </c>
      <c r="AA1294" s="43">
        <f>LayTable[[#This Row],[LayInnsats]]*(1-LayTable[[#This Row],[C% Lay]])</f>
        <v>0</v>
      </c>
      <c r="AB1294" s="43" t="str">
        <f>IFERROR(IF(LayTable[[#This Row],[Sport]]="",AB1293,LayTable[[#This Row],[Faktisk res]]+AB1293),"")</f>
        <v/>
      </c>
      <c r="AC1294" s="43">
        <f>(LayTable[[#This Row],[BackWin-Commission]]+LayTable[[#This Row],[BookieInnsats]])</f>
        <v>0</v>
      </c>
      <c r="AD1294" s="43" t="e">
        <f>(LayTable[[#This Row],[LayWin-Commission]])+LayTable[[#This Row],[LayLiability]]</f>
        <v>#VALUE!</v>
      </c>
      <c r="AE1294" s="43"/>
      <c r="AF1294" s="181"/>
    </row>
    <row r="1295" spans="1:32">
      <c r="A1295" s="84"/>
      <c r="B1295" s="39"/>
      <c r="C1295" s="40"/>
      <c r="D1295" s="41"/>
      <c r="E1295" s="40"/>
      <c r="F1295" s="41"/>
      <c r="G1295" s="101"/>
      <c r="H1295" s="38"/>
      <c r="I1295" s="42"/>
      <c r="J1295" s="42"/>
      <c r="K1295" s="43"/>
      <c r="L1295" s="43"/>
      <c r="M1295" s="44" t="str">
        <f>IF(LayTable[[#This Row],[Sport]]="","",LayTable[[#This Row],[LayInnsats]]*(LayTable[[#This Row],[LayOdds]]-1))</f>
        <v/>
      </c>
      <c r="N1295" s="45" t="str">
        <f>IF(LayTable[[#This Row],[Sport]]="","",1/((1/LayTable[[#This Row],[BookieOdds]])+(1/((1/((1+((LayTable[[#This Row],[LayOdds]]-1)*(1+LayTable[[#This Row],[C% Lay]])))-1))+1)))-1)</f>
        <v/>
      </c>
      <c r="Q1295" s="46" t="str">
        <f>IF(LayTable[[#This Row],[Sport]]="","",LayTable[[#This Row],[BookieInnsats]]+LayTable[[#This Row],[LayLiability]])</f>
        <v/>
      </c>
      <c r="R12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5" s="47" t="str">
        <f>IF(LayTable[[#This Row],[Utfall bookie]]="","",LayTable[[#This Row],[WBABack]]+LayTable[[#This Row],[WBALay]]-LayTable[[#This Row],[Total inns]])</f>
        <v/>
      </c>
      <c r="U12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5" s="48" t="str">
        <f>IFERROR(IF(LayTable[[#This Row],[Total inns]]="","",LayTable[[#This Row],[Rback]]/LayTable[[#This Row],[Total inns]]),"")</f>
        <v/>
      </c>
      <c r="X1295" s="48" t="str">
        <f>IFERROR(IF(LayTable[[#This Row],[Total inns]]="","",LayTable[[#This Row],[Rlay]]/LayTable[[#This Row],[Total inns]]),"")</f>
        <v/>
      </c>
      <c r="Y1295" s="48" t="str">
        <f>IFERROR(LayTable[[#This Row],[Faktisk res]]/LayTable[[#This Row],[Total inns]],"")</f>
        <v/>
      </c>
      <c r="Z1295" s="47">
        <f>(LayTable[[#This Row],[BookieInnsats]]*LayTable[[#This Row],[BookieOdds]]-LayTable[[#This Row],[BookieInnsats]])*(1-LayTable[[#This Row],[C% Bookie]])</f>
        <v>0</v>
      </c>
      <c r="AA1295" s="43">
        <f>LayTable[[#This Row],[LayInnsats]]*(1-LayTable[[#This Row],[C% Lay]])</f>
        <v>0</v>
      </c>
      <c r="AB1295" s="43" t="str">
        <f>IFERROR(IF(LayTable[[#This Row],[Sport]]="",AB1294,LayTable[[#This Row],[Faktisk res]]+AB1294),"")</f>
        <v/>
      </c>
      <c r="AC1295" s="43">
        <f>(LayTable[[#This Row],[BackWin-Commission]]+LayTable[[#This Row],[BookieInnsats]])</f>
        <v>0</v>
      </c>
      <c r="AD1295" s="43" t="e">
        <f>(LayTable[[#This Row],[LayWin-Commission]])+LayTable[[#This Row],[LayLiability]]</f>
        <v>#VALUE!</v>
      </c>
      <c r="AE1295" s="43"/>
      <c r="AF1295" s="181"/>
    </row>
    <row r="1296" spans="1:32">
      <c r="A1296" s="84"/>
      <c r="B1296" s="39"/>
      <c r="C1296" s="40"/>
      <c r="D1296" s="41"/>
      <c r="E1296" s="40"/>
      <c r="F1296" s="41"/>
      <c r="G1296" s="101"/>
      <c r="H1296" s="38"/>
      <c r="I1296" s="42"/>
      <c r="J1296" s="42"/>
      <c r="K1296" s="43"/>
      <c r="L1296" s="43"/>
      <c r="M1296" s="44" t="str">
        <f>IF(LayTable[[#This Row],[Sport]]="","",LayTable[[#This Row],[LayInnsats]]*(LayTable[[#This Row],[LayOdds]]-1))</f>
        <v/>
      </c>
      <c r="N1296" s="45" t="str">
        <f>IF(LayTable[[#This Row],[Sport]]="","",1/((1/LayTable[[#This Row],[BookieOdds]])+(1/((1/((1+((LayTable[[#This Row],[LayOdds]]-1)*(1+LayTable[[#This Row],[C% Lay]])))-1))+1)))-1)</f>
        <v/>
      </c>
      <c r="Q1296" s="46" t="str">
        <f>IF(LayTable[[#This Row],[Sport]]="","",LayTable[[#This Row],[BookieInnsats]]+LayTable[[#This Row],[LayLiability]])</f>
        <v/>
      </c>
      <c r="R12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6" s="47" t="str">
        <f>IF(LayTable[[#This Row],[Utfall bookie]]="","",LayTable[[#This Row],[WBABack]]+LayTable[[#This Row],[WBALay]]-LayTable[[#This Row],[Total inns]])</f>
        <v/>
      </c>
      <c r="U12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6" s="48" t="str">
        <f>IFERROR(IF(LayTable[[#This Row],[Total inns]]="","",LayTable[[#This Row],[Rback]]/LayTable[[#This Row],[Total inns]]),"")</f>
        <v/>
      </c>
      <c r="X1296" s="48" t="str">
        <f>IFERROR(IF(LayTable[[#This Row],[Total inns]]="","",LayTable[[#This Row],[Rlay]]/LayTable[[#This Row],[Total inns]]),"")</f>
        <v/>
      </c>
      <c r="Y1296" s="48" t="str">
        <f>IFERROR(LayTable[[#This Row],[Faktisk res]]/LayTable[[#This Row],[Total inns]],"")</f>
        <v/>
      </c>
      <c r="Z1296" s="47">
        <f>(LayTable[[#This Row],[BookieInnsats]]*LayTable[[#This Row],[BookieOdds]]-LayTable[[#This Row],[BookieInnsats]])*(1-LayTable[[#This Row],[C% Bookie]])</f>
        <v>0</v>
      </c>
      <c r="AA1296" s="43">
        <f>LayTable[[#This Row],[LayInnsats]]*(1-LayTable[[#This Row],[C% Lay]])</f>
        <v>0</v>
      </c>
      <c r="AB1296" s="43" t="str">
        <f>IFERROR(IF(LayTable[[#This Row],[Sport]]="",AB1295,LayTable[[#This Row],[Faktisk res]]+AB1295),"")</f>
        <v/>
      </c>
      <c r="AC1296" s="43">
        <f>(LayTable[[#This Row],[BackWin-Commission]]+LayTable[[#This Row],[BookieInnsats]])</f>
        <v>0</v>
      </c>
      <c r="AD1296" s="43" t="e">
        <f>(LayTable[[#This Row],[LayWin-Commission]])+LayTable[[#This Row],[LayLiability]]</f>
        <v>#VALUE!</v>
      </c>
      <c r="AE1296" s="43"/>
      <c r="AF1296" s="181"/>
    </row>
    <row r="1297" spans="1:32">
      <c r="A1297" s="84"/>
      <c r="B1297" s="39"/>
      <c r="C1297" s="40"/>
      <c r="D1297" s="41"/>
      <c r="E1297" s="40"/>
      <c r="F1297" s="41"/>
      <c r="G1297" s="101"/>
      <c r="H1297" s="38"/>
      <c r="I1297" s="42"/>
      <c r="J1297" s="42"/>
      <c r="K1297" s="43"/>
      <c r="L1297" s="43"/>
      <c r="M1297" s="44" t="str">
        <f>IF(LayTable[[#This Row],[Sport]]="","",LayTable[[#This Row],[LayInnsats]]*(LayTable[[#This Row],[LayOdds]]-1))</f>
        <v/>
      </c>
      <c r="N1297" s="45" t="str">
        <f>IF(LayTable[[#This Row],[Sport]]="","",1/((1/LayTable[[#This Row],[BookieOdds]])+(1/((1/((1+((LayTable[[#This Row],[LayOdds]]-1)*(1+LayTable[[#This Row],[C% Lay]])))-1))+1)))-1)</f>
        <v/>
      </c>
      <c r="Q1297" s="46" t="str">
        <f>IF(LayTable[[#This Row],[Sport]]="","",LayTable[[#This Row],[BookieInnsats]]+LayTable[[#This Row],[LayLiability]])</f>
        <v/>
      </c>
      <c r="R12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7" s="47" t="str">
        <f>IF(LayTable[[#This Row],[Utfall bookie]]="","",LayTable[[#This Row],[WBABack]]+LayTable[[#This Row],[WBALay]]-LayTable[[#This Row],[Total inns]])</f>
        <v/>
      </c>
      <c r="U12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7" s="48" t="str">
        <f>IFERROR(IF(LayTable[[#This Row],[Total inns]]="","",LayTable[[#This Row],[Rback]]/LayTable[[#This Row],[Total inns]]),"")</f>
        <v/>
      </c>
      <c r="X1297" s="48" t="str">
        <f>IFERROR(IF(LayTable[[#This Row],[Total inns]]="","",LayTable[[#This Row],[Rlay]]/LayTable[[#This Row],[Total inns]]),"")</f>
        <v/>
      </c>
      <c r="Y1297" s="48" t="str">
        <f>IFERROR(LayTable[[#This Row],[Faktisk res]]/LayTable[[#This Row],[Total inns]],"")</f>
        <v/>
      </c>
      <c r="Z1297" s="47">
        <f>(LayTable[[#This Row],[BookieInnsats]]*LayTable[[#This Row],[BookieOdds]]-LayTable[[#This Row],[BookieInnsats]])*(1-LayTable[[#This Row],[C% Bookie]])</f>
        <v>0</v>
      </c>
      <c r="AA1297" s="43">
        <f>LayTable[[#This Row],[LayInnsats]]*(1-LayTable[[#This Row],[C% Lay]])</f>
        <v>0</v>
      </c>
      <c r="AB1297" s="43" t="str">
        <f>IFERROR(IF(LayTable[[#This Row],[Sport]]="",AB1296,LayTable[[#This Row],[Faktisk res]]+AB1296),"")</f>
        <v/>
      </c>
      <c r="AC1297" s="43">
        <f>(LayTable[[#This Row],[BackWin-Commission]]+LayTable[[#This Row],[BookieInnsats]])</f>
        <v>0</v>
      </c>
      <c r="AD1297" s="43" t="e">
        <f>(LayTable[[#This Row],[LayWin-Commission]])+LayTable[[#This Row],[LayLiability]]</f>
        <v>#VALUE!</v>
      </c>
      <c r="AE1297" s="43"/>
      <c r="AF1297" s="181"/>
    </row>
    <row r="1298" spans="1:32">
      <c r="A1298" s="84"/>
      <c r="B1298" s="39"/>
      <c r="C1298" s="40"/>
      <c r="D1298" s="41"/>
      <c r="E1298" s="40"/>
      <c r="F1298" s="41"/>
      <c r="G1298" s="101"/>
      <c r="H1298" s="38"/>
      <c r="I1298" s="42"/>
      <c r="J1298" s="42"/>
      <c r="K1298" s="43"/>
      <c r="L1298" s="43"/>
      <c r="M1298" s="44" t="str">
        <f>IF(LayTable[[#This Row],[Sport]]="","",LayTable[[#This Row],[LayInnsats]]*(LayTable[[#This Row],[LayOdds]]-1))</f>
        <v/>
      </c>
      <c r="N1298" s="45" t="str">
        <f>IF(LayTable[[#This Row],[Sport]]="","",1/((1/LayTable[[#This Row],[BookieOdds]])+(1/((1/((1+((LayTable[[#This Row],[LayOdds]]-1)*(1+LayTable[[#This Row],[C% Lay]])))-1))+1)))-1)</f>
        <v/>
      </c>
      <c r="Q1298" s="46" t="str">
        <f>IF(LayTable[[#This Row],[Sport]]="","",LayTable[[#This Row],[BookieInnsats]]+LayTable[[#This Row],[LayLiability]])</f>
        <v/>
      </c>
      <c r="R12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8" s="47" t="str">
        <f>IF(LayTable[[#This Row],[Utfall bookie]]="","",LayTable[[#This Row],[WBABack]]+LayTable[[#This Row],[WBALay]]-LayTable[[#This Row],[Total inns]])</f>
        <v/>
      </c>
      <c r="U12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8" s="48" t="str">
        <f>IFERROR(IF(LayTable[[#This Row],[Total inns]]="","",LayTable[[#This Row],[Rback]]/LayTable[[#This Row],[Total inns]]),"")</f>
        <v/>
      </c>
      <c r="X1298" s="48" t="str">
        <f>IFERROR(IF(LayTable[[#This Row],[Total inns]]="","",LayTable[[#This Row],[Rlay]]/LayTable[[#This Row],[Total inns]]),"")</f>
        <v/>
      </c>
      <c r="Y1298" s="48" t="str">
        <f>IFERROR(LayTable[[#This Row],[Faktisk res]]/LayTable[[#This Row],[Total inns]],"")</f>
        <v/>
      </c>
      <c r="Z1298" s="47">
        <f>(LayTable[[#This Row],[BookieInnsats]]*LayTable[[#This Row],[BookieOdds]]-LayTable[[#This Row],[BookieInnsats]])*(1-LayTable[[#This Row],[C% Bookie]])</f>
        <v>0</v>
      </c>
      <c r="AA1298" s="43">
        <f>LayTable[[#This Row],[LayInnsats]]*(1-LayTable[[#This Row],[C% Lay]])</f>
        <v>0</v>
      </c>
      <c r="AB1298" s="43" t="str">
        <f>IFERROR(IF(LayTable[[#This Row],[Sport]]="",AB1297,LayTable[[#This Row],[Faktisk res]]+AB1297),"")</f>
        <v/>
      </c>
      <c r="AC1298" s="43">
        <f>(LayTable[[#This Row],[BackWin-Commission]]+LayTable[[#This Row],[BookieInnsats]])</f>
        <v>0</v>
      </c>
      <c r="AD1298" s="43" t="e">
        <f>(LayTable[[#This Row],[LayWin-Commission]])+LayTable[[#This Row],[LayLiability]]</f>
        <v>#VALUE!</v>
      </c>
      <c r="AE1298" s="43"/>
      <c r="AF1298" s="181"/>
    </row>
    <row r="1299" spans="1:32">
      <c r="A1299" s="84"/>
      <c r="B1299" s="39"/>
      <c r="C1299" s="40"/>
      <c r="D1299" s="41"/>
      <c r="E1299" s="40"/>
      <c r="F1299" s="41"/>
      <c r="G1299" s="101"/>
      <c r="H1299" s="38"/>
      <c r="I1299" s="42"/>
      <c r="J1299" s="42"/>
      <c r="K1299" s="43"/>
      <c r="L1299" s="43"/>
      <c r="M1299" s="44" t="str">
        <f>IF(LayTable[[#This Row],[Sport]]="","",LayTable[[#This Row],[LayInnsats]]*(LayTable[[#This Row],[LayOdds]]-1))</f>
        <v/>
      </c>
      <c r="N1299" s="45" t="str">
        <f>IF(LayTable[[#This Row],[Sport]]="","",1/((1/LayTable[[#This Row],[BookieOdds]])+(1/((1/((1+((LayTable[[#This Row],[LayOdds]]-1)*(1+LayTable[[#This Row],[C% Lay]])))-1))+1)))-1)</f>
        <v/>
      </c>
      <c r="Q1299" s="46" t="str">
        <f>IF(LayTable[[#This Row],[Sport]]="","",LayTable[[#This Row],[BookieInnsats]]+LayTable[[#This Row],[LayLiability]])</f>
        <v/>
      </c>
      <c r="R12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2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299" s="47" t="str">
        <f>IF(LayTable[[#This Row],[Utfall bookie]]="","",LayTable[[#This Row],[WBABack]]+LayTable[[#This Row],[WBALay]]-LayTable[[#This Row],[Total inns]])</f>
        <v/>
      </c>
      <c r="U12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2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299" s="48" t="str">
        <f>IFERROR(IF(LayTable[[#This Row],[Total inns]]="","",LayTable[[#This Row],[Rback]]/LayTable[[#This Row],[Total inns]]),"")</f>
        <v/>
      </c>
      <c r="X1299" s="48" t="str">
        <f>IFERROR(IF(LayTable[[#This Row],[Total inns]]="","",LayTable[[#This Row],[Rlay]]/LayTable[[#This Row],[Total inns]]),"")</f>
        <v/>
      </c>
      <c r="Y1299" s="48" t="str">
        <f>IFERROR(LayTable[[#This Row],[Faktisk res]]/LayTable[[#This Row],[Total inns]],"")</f>
        <v/>
      </c>
      <c r="Z1299" s="47">
        <f>(LayTable[[#This Row],[BookieInnsats]]*LayTable[[#This Row],[BookieOdds]]-LayTable[[#This Row],[BookieInnsats]])*(1-LayTable[[#This Row],[C% Bookie]])</f>
        <v>0</v>
      </c>
      <c r="AA1299" s="43">
        <f>LayTable[[#This Row],[LayInnsats]]*(1-LayTable[[#This Row],[C% Lay]])</f>
        <v>0</v>
      </c>
      <c r="AB1299" s="43" t="str">
        <f>IFERROR(IF(LayTable[[#This Row],[Sport]]="",AB1298,LayTable[[#This Row],[Faktisk res]]+AB1298),"")</f>
        <v/>
      </c>
      <c r="AC1299" s="43">
        <f>(LayTable[[#This Row],[BackWin-Commission]]+LayTable[[#This Row],[BookieInnsats]])</f>
        <v>0</v>
      </c>
      <c r="AD1299" s="43" t="e">
        <f>(LayTable[[#This Row],[LayWin-Commission]])+LayTable[[#This Row],[LayLiability]]</f>
        <v>#VALUE!</v>
      </c>
      <c r="AE1299" s="43"/>
      <c r="AF1299" s="181"/>
    </row>
    <row r="1300" spans="1:32">
      <c r="A1300" s="84"/>
      <c r="B1300" s="39"/>
      <c r="C1300" s="40"/>
      <c r="D1300" s="41"/>
      <c r="E1300" s="40"/>
      <c r="F1300" s="41"/>
      <c r="G1300" s="101"/>
      <c r="H1300" s="38"/>
      <c r="I1300" s="42"/>
      <c r="J1300" s="42"/>
      <c r="K1300" s="43"/>
      <c r="L1300" s="43"/>
      <c r="M1300" s="44" t="str">
        <f>IF(LayTable[[#This Row],[Sport]]="","",LayTable[[#This Row],[LayInnsats]]*(LayTable[[#This Row],[LayOdds]]-1))</f>
        <v/>
      </c>
      <c r="N1300" s="45" t="str">
        <f>IF(LayTable[[#This Row],[Sport]]="","",1/((1/LayTable[[#This Row],[BookieOdds]])+(1/((1/((1+((LayTable[[#This Row],[LayOdds]]-1)*(1+LayTable[[#This Row],[C% Lay]])))-1))+1)))-1)</f>
        <v/>
      </c>
      <c r="Q1300" s="46" t="str">
        <f>IF(LayTable[[#This Row],[Sport]]="","",LayTable[[#This Row],[BookieInnsats]]+LayTable[[#This Row],[LayLiability]])</f>
        <v/>
      </c>
      <c r="R13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0" s="47" t="str">
        <f>IF(LayTable[[#This Row],[Utfall bookie]]="","",LayTable[[#This Row],[WBABack]]+LayTable[[#This Row],[WBALay]]-LayTable[[#This Row],[Total inns]])</f>
        <v/>
      </c>
      <c r="U13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0" s="48" t="str">
        <f>IFERROR(IF(LayTable[[#This Row],[Total inns]]="","",LayTable[[#This Row],[Rback]]/LayTable[[#This Row],[Total inns]]),"")</f>
        <v/>
      </c>
      <c r="X1300" s="48" t="str">
        <f>IFERROR(IF(LayTable[[#This Row],[Total inns]]="","",LayTable[[#This Row],[Rlay]]/LayTable[[#This Row],[Total inns]]),"")</f>
        <v/>
      </c>
      <c r="Y1300" s="48" t="str">
        <f>IFERROR(LayTable[[#This Row],[Faktisk res]]/LayTable[[#This Row],[Total inns]],"")</f>
        <v/>
      </c>
      <c r="Z1300" s="47">
        <f>(LayTable[[#This Row],[BookieInnsats]]*LayTable[[#This Row],[BookieOdds]]-LayTable[[#This Row],[BookieInnsats]])*(1-LayTable[[#This Row],[C% Bookie]])</f>
        <v>0</v>
      </c>
      <c r="AA1300" s="43">
        <f>LayTable[[#This Row],[LayInnsats]]*(1-LayTable[[#This Row],[C% Lay]])</f>
        <v>0</v>
      </c>
      <c r="AB1300" s="43" t="str">
        <f>IFERROR(IF(LayTable[[#This Row],[Sport]]="",AB1299,LayTable[[#This Row],[Faktisk res]]+AB1299),"")</f>
        <v/>
      </c>
      <c r="AC1300" s="43">
        <f>(LayTable[[#This Row],[BackWin-Commission]]+LayTable[[#This Row],[BookieInnsats]])</f>
        <v>0</v>
      </c>
      <c r="AD1300" s="43" t="e">
        <f>(LayTable[[#This Row],[LayWin-Commission]])+LayTable[[#This Row],[LayLiability]]</f>
        <v>#VALUE!</v>
      </c>
      <c r="AE1300" s="43"/>
      <c r="AF1300" s="181"/>
    </row>
    <row r="1301" spans="1:32">
      <c r="A1301" s="84"/>
      <c r="B1301" s="39"/>
      <c r="C1301" s="40"/>
      <c r="D1301" s="41"/>
      <c r="E1301" s="40"/>
      <c r="F1301" s="41"/>
      <c r="G1301" s="101"/>
      <c r="H1301" s="38"/>
      <c r="I1301" s="42"/>
      <c r="J1301" s="42"/>
      <c r="K1301" s="43"/>
      <c r="L1301" s="43"/>
      <c r="M1301" s="44" t="str">
        <f>IF(LayTable[[#This Row],[Sport]]="","",LayTable[[#This Row],[LayInnsats]]*(LayTable[[#This Row],[LayOdds]]-1))</f>
        <v/>
      </c>
      <c r="N1301" s="45" t="str">
        <f>IF(LayTable[[#This Row],[Sport]]="","",1/((1/LayTable[[#This Row],[BookieOdds]])+(1/((1/((1+((LayTable[[#This Row],[LayOdds]]-1)*(1+LayTable[[#This Row],[C% Lay]])))-1))+1)))-1)</f>
        <v/>
      </c>
      <c r="Q1301" s="46" t="str">
        <f>IF(LayTable[[#This Row],[Sport]]="","",LayTable[[#This Row],[BookieInnsats]]+LayTable[[#This Row],[LayLiability]])</f>
        <v/>
      </c>
      <c r="R13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1" s="47" t="str">
        <f>IF(LayTable[[#This Row],[Utfall bookie]]="","",LayTable[[#This Row],[WBABack]]+LayTable[[#This Row],[WBALay]]-LayTable[[#This Row],[Total inns]])</f>
        <v/>
      </c>
      <c r="U13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1" s="48" t="str">
        <f>IFERROR(IF(LayTable[[#This Row],[Total inns]]="","",LayTable[[#This Row],[Rback]]/LayTable[[#This Row],[Total inns]]),"")</f>
        <v/>
      </c>
      <c r="X1301" s="48" t="str">
        <f>IFERROR(IF(LayTable[[#This Row],[Total inns]]="","",LayTable[[#This Row],[Rlay]]/LayTable[[#This Row],[Total inns]]),"")</f>
        <v/>
      </c>
      <c r="Y1301" s="48" t="str">
        <f>IFERROR(LayTable[[#This Row],[Faktisk res]]/LayTable[[#This Row],[Total inns]],"")</f>
        <v/>
      </c>
      <c r="Z1301" s="47">
        <f>(LayTable[[#This Row],[BookieInnsats]]*LayTable[[#This Row],[BookieOdds]]-LayTable[[#This Row],[BookieInnsats]])*(1-LayTable[[#This Row],[C% Bookie]])</f>
        <v>0</v>
      </c>
      <c r="AA1301" s="43">
        <f>LayTable[[#This Row],[LayInnsats]]*(1-LayTable[[#This Row],[C% Lay]])</f>
        <v>0</v>
      </c>
      <c r="AB1301" s="43" t="str">
        <f>IFERROR(IF(LayTable[[#This Row],[Sport]]="",AB1300,LayTable[[#This Row],[Faktisk res]]+AB1300),"")</f>
        <v/>
      </c>
      <c r="AC1301" s="43">
        <f>(LayTable[[#This Row],[BackWin-Commission]]+LayTable[[#This Row],[BookieInnsats]])</f>
        <v>0</v>
      </c>
      <c r="AD1301" s="43" t="e">
        <f>(LayTable[[#This Row],[LayWin-Commission]])+LayTable[[#This Row],[LayLiability]]</f>
        <v>#VALUE!</v>
      </c>
      <c r="AE1301" s="43"/>
      <c r="AF1301" s="181"/>
    </row>
    <row r="1302" spans="1:32">
      <c r="A1302" s="84"/>
      <c r="B1302" s="39"/>
      <c r="C1302" s="40"/>
      <c r="D1302" s="41"/>
      <c r="E1302" s="40"/>
      <c r="F1302" s="41"/>
      <c r="G1302" s="101"/>
      <c r="H1302" s="38"/>
      <c r="I1302" s="42"/>
      <c r="J1302" s="42"/>
      <c r="K1302" s="43"/>
      <c r="L1302" s="43"/>
      <c r="M1302" s="44" t="str">
        <f>IF(LayTable[[#This Row],[Sport]]="","",LayTable[[#This Row],[LayInnsats]]*(LayTable[[#This Row],[LayOdds]]-1))</f>
        <v/>
      </c>
      <c r="N1302" s="45" t="str">
        <f>IF(LayTable[[#This Row],[Sport]]="","",1/((1/LayTable[[#This Row],[BookieOdds]])+(1/((1/((1+((LayTable[[#This Row],[LayOdds]]-1)*(1+LayTable[[#This Row],[C% Lay]])))-1))+1)))-1)</f>
        <v/>
      </c>
      <c r="Q1302" s="46" t="str">
        <f>IF(LayTable[[#This Row],[Sport]]="","",LayTable[[#This Row],[BookieInnsats]]+LayTable[[#This Row],[LayLiability]])</f>
        <v/>
      </c>
      <c r="R13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2" s="47" t="str">
        <f>IF(LayTable[[#This Row],[Utfall bookie]]="","",LayTable[[#This Row],[WBABack]]+LayTable[[#This Row],[WBALay]]-LayTable[[#This Row],[Total inns]])</f>
        <v/>
      </c>
      <c r="U13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2" s="48" t="str">
        <f>IFERROR(IF(LayTable[[#This Row],[Total inns]]="","",LayTable[[#This Row],[Rback]]/LayTable[[#This Row],[Total inns]]),"")</f>
        <v/>
      </c>
      <c r="X1302" s="48" t="str">
        <f>IFERROR(IF(LayTable[[#This Row],[Total inns]]="","",LayTable[[#This Row],[Rlay]]/LayTable[[#This Row],[Total inns]]),"")</f>
        <v/>
      </c>
      <c r="Y1302" s="48" t="str">
        <f>IFERROR(LayTable[[#This Row],[Faktisk res]]/LayTable[[#This Row],[Total inns]],"")</f>
        <v/>
      </c>
      <c r="Z1302" s="47">
        <f>(LayTable[[#This Row],[BookieInnsats]]*LayTable[[#This Row],[BookieOdds]]-LayTable[[#This Row],[BookieInnsats]])*(1-LayTable[[#This Row],[C% Bookie]])</f>
        <v>0</v>
      </c>
      <c r="AA1302" s="43">
        <f>LayTable[[#This Row],[LayInnsats]]*(1-LayTable[[#This Row],[C% Lay]])</f>
        <v>0</v>
      </c>
      <c r="AB1302" s="43" t="str">
        <f>IFERROR(IF(LayTable[[#This Row],[Sport]]="",AB1301,LayTable[[#This Row],[Faktisk res]]+AB1301),"")</f>
        <v/>
      </c>
      <c r="AC1302" s="43">
        <f>(LayTable[[#This Row],[BackWin-Commission]]+LayTable[[#This Row],[BookieInnsats]])</f>
        <v>0</v>
      </c>
      <c r="AD1302" s="43" t="e">
        <f>(LayTable[[#This Row],[LayWin-Commission]])+LayTable[[#This Row],[LayLiability]]</f>
        <v>#VALUE!</v>
      </c>
      <c r="AE1302" s="43"/>
      <c r="AF1302" s="181"/>
    </row>
    <row r="1303" spans="1:32">
      <c r="A1303" s="84"/>
      <c r="B1303" s="39"/>
      <c r="C1303" s="40"/>
      <c r="D1303" s="41"/>
      <c r="E1303" s="40"/>
      <c r="F1303" s="41"/>
      <c r="G1303" s="101"/>
      <c r="H1303" s="38"/>
      <c r="I1303" s="42"/>
      <c r="J1303" s="42"/>
      <c r="K1303" s="43"/>
      <c r="L1303" s="43"/>
      <c r="M1303" s="44" t="str">
        <f>IF(LayTable[[#This Row],[Sport]]="","",LayTable[[#This Row],[LayInnsats]]*(LayTable[[#This Row],[LayOdds]]-1))</f>
        <v/>
      </c>
      <c r="N1303" s="45" t="str">
        <f>IF(LayTable[[#This Row],[Sport]]="","",1/((1/LayTable[[#This Row],[BookieOdds]])+(1/((1/((1+((LayTable[[#This Row],[LayOdds]]-1)*(1+LayTable[[#This Row],[C% Lay]])))-1))+1)))-1)</f>
        <v/>
      </c>
      <c r="Q1303" s="46" t="str">
        <f>IF(LayTable[[#This Row],[Sport]]="","",LayTable[[#This Row],[BookieInnsats]]+LayTable[[#This Row],[LayLiability]])</f>
        <v/>
      </c>
      <c r="R13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3" s="47" t="str">
        <f>IF(LayTable[[#This Row],[Utfall bookie]]="","",LayTable[[#This Row],[WBABack]]+LayTable[[#This Row],[WBALay]]-LayTable[[#This Row],[Total inns]])</f>
        <v/>
      </c>
      <c r="U13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3" s="48" t="str">
        <f>IFERROR(IF(LayTable[[#This Row],[Total inns]]="","",LayTable[[#This Row],[Rback]]/LayTable[[#This Row],[Total inns]]),"")</f>
        <v/>
      </c>
      <c r="X1303" s="48" t="str">
        <f>IFERROR(IF(LayTable[[#This Row],[Total inns]]="","",LayTable[[#This Row],[Rlay]]/LayTable[[#This Row],[Total inns]]),"")</f>
        <v/>
      </c>
      <c r="Y1303" s="48" t="str">
        <f>IFERROR(LayTable[[#This Row],[Faktisk res]]/LayTable[[#This Row],[Total inns]],"")</f>
        <v/>
      </c>
      <c r="Z1303" s="47">
        <f>(LayTable[[#This Row],[BookieInnsats]]*LayTable[[#This Row],[BookieOdds]]-LayTable[[#This Row],[BookieInnsats]])*(1-LayTable[[#This Row],[C% Bookie]])</f>
        <v>0</v>
      </c>
      <c r="AA1303" s="43">
        <f>LayTable[[#This Row],[LayInnsats]]*(1-LayTable[[#This Row],[C% Lay]])</f>
        <v>0</v>
      </c>
      <c r="AB1303" s="43" t="str">
        <f>IFERROR(IF(LayTable[[#This Row],[Sport]]="",AB1302,LayTable[[#This Row],[Faktisk res]]+AB1302),"")</f>
        <v/>
      </c>
      <c r="AC1303" s="43">
        <f>(LayTable[[#This Row],[BackWin-Commission]]+LayTable[[#This Row],[BookieInnsats]])</f>
        <v>0</v>
      </c>
      <c r="AD1303" s="43" t="e">
        <f>(LayTable[[#This Row],[LayWin-Commission]])+LayTable[[#This Row],[LayLiability]]</f>
        <v>#VALUE!</v>
      </c>
      <c r="AE1303" s="43"/>
      <c r="AF1303" s="181"/>
    </row>
    <row r="1304" spans="1:32">
      <c r="A1304" s="84"/>
      <c r="B1304" s="39"/>
      <c r="C1304" s="40"/>
      <c r="D1304" s="41"/>
      <c r="E1304" s="40"/>
      <c r="F1304" s="41"/>
      <c r="G1304" s="101"/>
      <c r="H1304" s="38"/>
      <c r="I1304" s="42"/>
      <c r="J1304" s="42"/>
      <c r="K1304" s="43"/>
      <c r="L1304" s="43"/>
      <c r="M1304" s="44" t="str">
        <f>IF(LayTable[[#This Row],[Sport]]="","",LayTable[[#This Row],[LayInnsats]]*(LayTable[[#This Row],[LayOdds]]-1))</f>
        <v/>
      </c>
      <c r="N1304" s="45" t="str">
        <f>IF(LayTable[[#This Row],[Sport]]="","",1/((1/LayTable[[#This Row],[BookieOdds]])+(1/((1/((1+((LayTable[[#This Row],[LayOdds]]-1)*(1+LayTable[[#This Row],[C% Lay]])))-1))+1)))-1)</f>
        <v/>
      </c>
      <c r="Q1304" s="46" t="str">
        <f>IF(LayTable[[#This Row],[Sport]]="","",LayTable[[#This Row],[BookieInnsats]]+LayTable[[#This Row],[LayLiability]])</f>
        <v/>
      </c>
      <c r="R13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4" s="47" t="str">
        <f>IF(LayTable[[#This Row],[Utfall bookie]]="","",LayTable[[#This Row],[WBABack]]+LayTable[[#This Row],[WBALay]]-LayTable[[#This Row],[Total inns]])</f>
        <v/>
      </c>
      <c r="U13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4" s="48" t="str">
        <f>IFERROR(IF(LayTable[[#This Row],[Total inns]]="","",LayTable[[#This Row],[Rback]]/LayTable[[#This Row],[Total inns]]),"")</f>
        <v/>
      </c>
      <c r="X1304" s="48" t="str">
        <f>IFERROR(IF(LayTable[[#This Row],[Total inns]]="","",LayTable[[#This Row],[Rlay]]/LayTable[[#This Row],[Total inns]]),"")</f>
        <v/>
      </c>
      <c r="Y1304" s="48" t="str">
        <f>IFERROR(LayTable[[#This Row],[Faktisk res]]/LayTable[[#This Row],[Total inns]],"")</f>
        <v/>
      </c>
      <c r="Z1304" s="47">
        <f>(LayTable[[#This Row],[BookieInnsats]]*LayTable[[#This Row],[BookieOdds]]-LayTable[[#This Row],[BookieInnsats]])*(1-LayTable[[#This Row],[C% Bookie]])</f>
        <v>0</v>
      </c>
      <c r="AA1304" s="43">
        <f>LayTable[[#This Row],[LayInnsats]]*(1-LayTable[[#This Row],[C% Lay]])</f>
        <v>0</v>
      </c>
      <c r="AB1304" s="43" t="str">
        <f>IFERROR(IF(LayTable[[#This Row],[Sport]]="",AB1303,LayTable[[#This Row],[Faktisk res]]+AB1303),"")</f>
        <v/>
      </c>
      <c r="AC1304" s="43">
        <f>(LayTable[[#This Row],[BackWin-Commission]]+LayTable[[#This Row],[BookieInnsats]])</f>
        <v>0</v>
      </c>
      <c r="AD1304" s="43" t="e">
        <f>(LayTable[[#This Row],[LayWin-Commission]])+LayTable[[#This Row],[LayLiability]]</f>
        <v>#VALUE!</v>
      </c>
      <c r="AE1304" s="43"/>
      <c r="AF1304" s="181"/>
    </row>
    <row r="1305" spans="1:32">
      <c r="A1305" s="84"/>
      <c r="B1305" s="39"/>
      <c r="C1305" s="40"/>
      <c r="D1305" s="41"/>
      <c r="E1305" s="40"/>
      <c r="F1305" s="41"/>
      <c r="G1305" s="101"/>
      <c r="H1305" s="38"/>
      <c r="I1305" s="42"/>
      <c r="J1305" s="42"/>
      <c r="K1305" s="43"/>
      <c r="L1305" s="43"/>
      <c r="M1305" s="44" t="str">
        <f>IF(LayTable[[#This Row],[Sport]]="","",LayTable[[#This Row],[LayInnsats]]*(LayTable[[#This Row],[LayOdds]]-1))</f>
        <v/>
      </c>
      <c r="N1305" s="45" t="str">
        <f>IF(LayTable[[#This Row],[Sport]]="","",1/((1/LayTable[[#This Row],[BookieOdds]])+(1/((1/((1+((LayTable[[#This Row],[LayOdds]]-1)*(1+LayTable[[#This Row],[C% Lay]])))-1))+1)))-1)</f>
        <v/>
      </c>
      <c r="Q1305" s="46" t="str">
        <f>IF(LayTable[[#This Row],[Sport]]="","",LayTable[[#This Row],[BookieInnsats]]+LayTable[[#This Row],[LayLiability]])</f>
        <v/>
      </c>
      <c r="R13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5" s="47" t="str">
        <f>IF(LayTable[[#This Row],[Utfall bookie]]="","",LayTable[[#This Row],[WBABack]]+LayTable[[#This Row],[WBALay]]-LayTable[[#This Row],[Total inns]])</f>
        <v/>
      </c>
      <c r="U13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5" s="48" t="str">
        <f>IFERROR(IF(LayTable[[#This Row],[Total inns]]="","",LayTable[[#This Row],[Rback]]/LayTable[[#This Row],[Total inns]]),"")</f>
        <v/>
      </c>
      <c r="X1305" s="48" t="str">
        <f>IFERROR(IF(LayTable[[#This Row],[Total inns]]="","",LayTable[[#This Row],[Rlay]]/LayTable[[#This Row],[Total inns]]),"")</f>
        <v/>
      </c>
      <c r="Y1305" s="48" t="str">
        <f>IFERROR(LayTable[[#This Row],[Faktisk res]]/LayTable[[#This Row],[Total inns]],"")</f>
        <v/>
      </c>
      <c r="Z1305" s="47">
        <f>(LayTable[[#This Row],[BookieInnsats]]*LayTable[[#This Row],[BookieOdds]]-LayTable[[#This Row],[BookieInnsats]])*(1-LayTable[[#This Row],[C% Bookie]])</f>
        <v>0</v>
      </c>
      <c r="AA1305" s="43">
        <f>LayTable[[#This Row],[LayInnsats]]*(1-LayTable[[#This Row],[C% Lay]])</f>
        <v>0</v>
      </c>
      <c r="AB1305" s="43" t="str">
        <f>IFERROR(IF(LayTable[[#This Row],[Sport]]="",AB1304,LayTable[[#This Row],[Faktisk res]]+AB1304),"")</f>
        <v/>
      </c>
      <c r="AC1305" s="43">
        <f>(LayTable[[#This Row],[BackWin-Commission]]+LayTable[[#This Row],[BookieInnsats]])</f>
        <v>0</v>
      </c>
      <c r="AD1305" s="43" t="e">
        <f>(LayTable[[#This Row],[LayWin-Commission]])+LayTable[[#This Row],[LayLiability]]</f>
        <v>#VALUE!</v>
      </c>
      <c r="AE1305" s="43"/>
      <c r="AF1305" s="181"/>
    </row>
    <row r="1306" spans="1:32">
      <c r="A1306" s="84"/>
      <c r="B1306" s="39"/>
      <c r="C1306" s="40"/>
      <c r="D1306" s="41"/>
      <c r="E1306" s="40"/>
      <c r="F1306" s="41"/>
      <c r="G1306" s="101"/>
      <c r="H1306" s="38"/>
      <c r="I1306" s="42"/>
      <c r="J1306" s="42"/>
      <c r="K1306" s="43"/>
      <c r="L1306" s="43"/>
      <c r="M1306" s="44" t="str">
        <f>IF(LayTable[[#This Row],[Sport]]="","",LayTable[[#This Row],[LayInnsats]]*(LayTable[[#This Row],[LayOdds]]-1))</f>
        <v/>
      </c>
      <c r="N1306" s="45" t="str">
        <f>IF(LayTable[[#This Row],[Sport]]="","",1/((1/LayTable[[#This Row],[BookieOdds]])+(1/((1/((1+((LayTable[[#This Row],[LayOdds]]-1)*(1+LayTable[[#This Row],[C% Lay]])))-1))+1)))-1)</f>
        <v/>
      </c>
      <c r="Q1306" s="46" t="str">
        <f>IF(LayTable[[#This Row],[Sport]]="","",LayTable[[#This Row],[BookieInnsats]]+LayTable[[#This Row],[LayLiability]])</f>
        <v/>
      </c>
      <c r="R13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6" s="47" t="str">
        <f>IF(LayTable[[#This Row],[Utfall bookie]]="","",LayTable[[#This Row],[WBABack]]+LayTable[[#This Row],[WBALay]]-LayTable[[#This Row],[Total inns]])</f>
        <v/>
      </c>
      <c r="U13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6" s="48" t="str">
        <f>IFERROR(IF(LayTable[[#This Row],[Total inns]]="","",LayTable[[#This Row],[Rback]]/LayTable[[#This Row],[Total inns]]),"")</f>
        <v/>
      </c>
      <c r="X1306" s="48" t="str">
        <f>IFERROR(IF(LayTable[[#This Row],[Total inns]]="","",LayTable[[#This Row],[Rlay]]/LayTable[[#This Row],[Total inns]]),"")</f>
        <v/>
      </c>
      <c r="Y1306" s="48" t="str">
        <f>IFERROR(LayTable[[#This Row],[Faktisk res]]/LayTable[[#This Row],[Total inns]],"")</f>
        <v/>
      </c>
      <c r="Z1306" s="47">
        <f>(LayTable[[#This Row],[BookieInnsats]]*LayTable[[#This Row],[BookieOdds]]-LayTable[[#This Row],[BookieInnsats]])*(1-LayTable[[#This Row],[C% Bookie]])</f>
        <v>0</v>
      </c>
      <c r="AA1306" s="43">
        <f>LayTable[[#This Row],[LayInnsats]]*(1-LayTable[[#This Row],[C% Lay]])</f>
        <v>0</v>
      </c>
      <c r="AB1306" s="43" t="str">
        <f>IFERROR(IF(LayTable[[#This Row],[Sport]]="",AB1305,LayTable[[#This Row],[Faktisk res]]+AB1305),"")</f>
        <v/>
      </c>
      <c r="AC1306" s="43">
        <f>(LayTable[[#This Row],[BackWin-Commission]]+LayTable[[#This Row],[BookieInnsats]])</f>
        <v>0</v>
      </c>
      <c r="AD1306" s="43" t="e">
        <f>(LayTable[[#This Row],[LayWin-Commission]])+LayTable[[#This Row],[LayLiability]]</f>
        <v>#VALUE!</v>
      </c>
      <c r="AE1306" s="43"/>
      <c r="AF1306" s="181"/>
    </row>
    <row r="1307" spans="1:32">
      <c r="A1307" s="84"/>
      <c r="B1307" s="39"/>
      <c r="C1307" s="40"/>
      <c r="D1307" s="41"/>
      <c r="E1307" s="40"/>
      <c r="F1307" s="41"/>
      <c r="G1307" s="101"/>
      <c r="H1307" s="38"/>
      <c r="I1307" s="42"/>
      <c r="J1307" s="42"/>
      <c r="K1307" s="43"/>
      <c r="L1307" s="43"/>
      <c r="M1307" s="44" t="str">
        <f>IF(LayTable[[#This Row],[Sport]]="","",LayTable[[#This Row],[LayInnsats]]*(LayTable[[#This Row],[LayOdds]]-1))</f>
        <v/>
      </c>
      <c r="N1307" s="45" t="str">
        <f>IF(LayTable[[#This Row],[Sport]]="","",1/((1/LayTable[[#This Row],[BookieOdds]])+(1/((1/((1+((LayTable[[#This Row],[LayOdds]]-1)*(1+LayTable[[#This Row],[C% Lay]])))-1))+1)))-1)</f>
        <v/>
      </c>
      <c r="Q1307" s="46" t="str">
        <f>IF(LayTable[[#This Row],[Sport]]="","",LayTable[[#This Row],[BookieInnsats]]+LayTable[[#This Row],[LayLiability]])</f>
        <v/>
      </c>
      <c r="R13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7" s="47" t="str">
        <f>IF(LayTable[[#This Row],[Utfall bookie]]="","",LayTable[[#This Row],[WBABack]]+LayTable[[#This Row],[WBALay]]-LayTable[[#This Row],[Total inns]])</f>
        <v/>
      </c>
      <c r="U13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7" s="48" t="str">
        <f>IFERROR(IF(LayTable[[#This Row],[Total inns]]="","",LayTable[[#This Row],[Rback]]/LayTable[[#This Row],[Total inns]]),"")</f>
        <v/>
      </c>
      <c r="X1307" s="48" t="str">
        <f>IFERROR(IF(LayTable[[#This Row],[Total inns]]="","",LayTable[[#This Row],[Rlay]]/LayTable[[#This Row],[Total inns]]),"")</f>
        <v/>
      </c>
      <c r="Y1307" s="48" t="str">
        <f>IFERROR(LayTable[[#This Row],[Faktisk res]]/LayTable[[#This Row],[Total inns]],"")</f>
        <v/>
      </c>
      <c r="Z1307" s="47">
        <f>(LayTable[[#This Row],[BookieInnsats]]*LayTable[[#This Row],[BookieOdds]]-LayTable[[#This Row],[BookieInnsats]])*(1-LayTable[[#This Row],[C% Bookie]])</f>
        <v>0</v>
      </c>
      <c r="AA1307" s="43">
        <f>LayTable[[#This Row],[LayInnsats]]*(1-LayTable[[#This Row],[C% Lay]])</f>
        <v>0</v>
      </c>
      <c r="AB1307" s="43" t="str">
        <f>IFERROR(IF(LayTable[[#This Row],[Sport]]="",AB1306,LayTable[[#This Row],[Faktisk res]]+AB1306),"")</f>
        <v/>
      </c>
      <c r="AC1307" s="43">
        <f>(LayTable[[#This Row],[BackWin-Commission]]+LayTable[[#This Row],[BookieInnsats]])</f>
        <v>0</v>
      </c>
      <c r="AD1307" s="43" t="e">
        <f>(LayTable[[#This Row],[LayWin-Commission]])+LayTable[[#This Row],[LayLiability]]</f>
        <v>#VALUE!</v>
      </c>
      <c r="AE1307" s="43"/>
      <c r="AF1307" s="181"/>
    </row>
    <row r="1308" spans="1:32">
      <c r="A1308" s="84"/>
      <c r="B1308" s="39"/>
      <c r="C1308" s="40"/>
      <c r="D1308" s="41"/>
      <c r="E1308" s="40"/>
      <c r="F1308" s="41"/>
      <c r="G1308" s="101"/>
      <c r="H1308" s="38"/>
      <c r="I1308" s="42"/>
      <c r="J1308" s="42"/>
      <c r="K1308" s="43"/>
      <c r="L1308" s="43"/>
      <c r="M1308" s="44" t="str">
        <f>IF(LayTable[[#This Row],[Sport]]="","",LayTable[[#This Row],[LayInnsats]]*(LayTable[[#This Row],[LayOdds]]-1))</f>
        <v/>
      </c>
      <c r="N1308" s="45" t="str">
        <f>IF(LayTable[[#This Row],[Sport]]="","",1/((1/LayTable[[#This Row],[BookieOdds]])+(1/((1/((1+((LayTable[[#This Row],[LayOdds]]-1)*(1+LayTable[[#This Row],[C% Lay]])))-1))+1)))-1)</f>
        <v/>
      </c>
      <c r="Q1308" s="46" t="str">
        <f>IF(LayTable[[#This Row],[Sport]]="","",LayTable[[#This Row],[BookieInnsats]]+LayTable[[#This Row],[LayLiability]])</f>
        <v/>
      </c>
      <c r="R13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8" s="47" t="str">
        <f>IF(LayTable[[#This Row],[Utfall bookie]]="","",LayTable[[#This Row],[WBABack]]+LayTable[[#This Row],[WBALay]]-LayTable[[#This Row],[Total inns]])</f>
        <v/>
      </c>
      <c r="U13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8" s="48" t="str">
        <f>IFERROR(IF(LayTable[[#This Row],[Total inns]]="","",LayTable[[#This Row],[Rback]]/LayTable[[#This Row],[Total inns]]),"")</f>
        <v/>
      </c>
      <c r="X1308" s="48" t="str">
        <f>IFERROR(IF(LayTable[[#This Row],[Total inns]]="","",LayTable[[#This Row],[Rlay]]/LayTable[[#This Row],[Total inns]]),"")</f>
        <v/>
      </c>
      <c r="Y1308" s="48" t="str">
        <f>IFERROR(LayTable[[#This Row],[Faktisk res]]/LayTable[[#This Row],[Total inns]],"")</f>
        <v/>
      </c>
      <c r="Z1308" s="47">
        <f>(LayTable[[#This Row],[BookieInnsats]]*LayTable[[#This Row],[BookieOdds]]-LayTable[[#This Row],[BookieInnsats]])*(1-LayTable[[#This Row],[C% Bookie]])</f>
        <v>0</v>
      </c>
      <c r="AA1308" s="43">
        <f>LayTable[[#This Row],[LayInnsats]]*(1-LayTable[[#This Row],[C% Lay]])</f>
        <v>0</v>
      </c>
      <c r="AB1308" s="43" t="str">
        <f>IFERROR(IF(LayTable[[#This Row],[Sport]]="",AB1307,LayTable[[#This Row],[Faktisk res]]+AB1307),"")</f>
        <v/>
      </c>
      <c r="AC1308" s="43">
        <f>(LayTable[[#This Row],[BackWin-Commission]]+LayTable[[#This Row],[BookieInnsats]])</f>
        <v>0</v>
      </c>
      <c r="AD1308" s="43" t="e">
        <f>(LayTable[[#This Row],[LayWin-Commission]])+LayTable[[#This Row],[LayLiability]]</f>
        <v>#VALUE!</v>
      </c>
      <c r="AE1308" s="43"/>
      <c r="AF1308" s="181"/>
    </row>
    <row r="1309" spans="1:32">
      <c r="A1309" s="84"/>
      <c r="B1309" s="39"/>
      <c r="C1309" s="40"/>
      <c r="D1309" s="41"/>
      <c r="E1309" s="40"/>
      <c r="F1309" s="41"/>
      <c r="G1309" s="101"/>
      <c r="H1309" s="38"/>
      <c r="I1309" s="42"/>
      <c r="J1309" s="42"/>
      <c r="K1309" s="43"/>
      <c r="L1309" s="43"/>
      <c r="M1309" s="44" t="str">
        <f>IF(LayTable[[#This Row],[Sport]]="","",LayTable[[#This Row],[LayInnsats]]*(LayTable[[#This Row],[LayOdds]]-1))</f>
        <v/>
      </c>
      <c r="N1309" s="45" t="str">
        <f>IF(LayTable[[#This Row],[Sport]]="","",1/((1/LayTable[[#This Row],[BookieOdds]])+(1/((1/((1+((LayTable[[#This Row],[LayOdds]]-1)*(1+LayTable[[#This Row],[C% Lay]])))-1))+1)))-1)</f>
        <v/>
      </c>
      <c r="Q1309" s="46" t="str">
        <f>IF(LayTable[[#This Row],[Sport]]="","",LayTable[[#This Row],[BookieInnsats]]+LayTable[[#This Row],[LayLiability]])</f>
        <v/>
      </c>
      <c r="R13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09" s="47" t="str">
        <f>IF(LayTable[[#This Row],[Utfall bookie]]="","",LayTable[[#This Row],[WBABack]]+LayTable[[#This Row],[WBALay]]-LayTable[[#This Row],[Total inns]])</f>
        <v/>
      </c>
      <c r="U13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09" s="48" t="str">
        <f>IFERROR(IF(LayTable[[#This Row],[Total inns]]="","",LayTable[[#This Row],[Rback]]/LayTable[[#This Row],[Total inns]]),"")</f>
        <v/>
      </c>
      <c r="X1309" s="48" t="str">
        <f>IFERROR(IF(LayTable[[#This Row],[Total inns]]="","",LayTable[[#This Row],[Rlay]]/LayTable[[#This Row],[Total inns]]),"")</f>
        <v/>
      </c>
      <c r="Y1309" s="48" t="str">
        <f>IFERROR(LayTable[[#This Row],[Faktisk res]]/LayTable[[#This Row],[Total inns]],"")</f>
        <v/>
      </c>
      <c r="Z1309" s="47">
        <f>(LayTable[[#This Row],[BookieInnsats]]*LayTable[[#This Row],[BookieOdds]]-LayTable[[#This Row],[BookieInnsats]])*(1-LayTable[[#This Row],[C% Bookie]])</f>
        <v>0</v>
      </c>
      <c r="AA1309" s="43">
        <f>LayTable[[#This Row],[LayInnsats]]*(1-LayTable[[#This Row],[C% Lay]])</f>
        <v>0</v>
      </c>
      <c r="AB1309" s="43" t="str">
        <f>IFERROR(IF(LayTable[[#This Row],[Sport]]="",AB1308,LayTable[[#This Row],[Faktisk res]]+AB1308),"")</f>
        <v/>
      </c>
      <c r="AC1309" s="43">
        <f>(LayTable[[#This Row],[BackWin-Commission]]+LayTable[[#This Row],[BookieInnsats]])</f>
        <v>0</v>
      </c>
      <c r="AD1309" s="43" t="e">
        <f>(LayTable[[#This Row],[LayWin-Commission]])+LayTable[[#This Row],[LayLiability]]</f>
        <v>#VALUE!</v>
      </c>
      <c r="AE1309" s="43"/>
      <c r="AF1309" s="181"/>
    </row>
    <row r="1310" spans="1:32">
      <c r="A1310" s="84"/>
      <c r="B1310" s="39"/>
      <c r="C1310" s="40"/>
      <c r="D1310" s="41"/>
      <c r="E1310" s="40"/>
      <c r="F1310" s="41"/>
      <c r="G1310" s="101"/>
      <c r="H1310" s="38"/>
      <c r="I1310" s="42"/>
      <c r="J1310" s="42"/>
      <c r="K1310" s="43"/>
      <c r="L1310" s="43"/>
      <c r="M1310" s="44" t="str">
        <f>IF(LayTable[[#This Row],[Sport]]="","",LayTable[[#This Row],[LayInnsats]]*(LayTable[[#This Row],[LayOdds]]-1))</f>
        <v/>
      </c>
      <c r="N1310" s="45" t="str">
        <f>IF(LayTable[[#This Row],[Sport]]="","",1/((1/LayTable[[#This Row],[BookieOdds]])+(1/((1/((1+((LayTable[[#This Row],[LayOdds]]-1)*(1+LayTable[[#This Row],[C% Lay]])))-1))+1)))-1)</f>
        <v/>
      </c>
      <c r="Q1310" s="46" t="str">
        <f>IF(LayTable[[#This Row],[Sport]]="","",LayTable[[#This Row],[BookieInnsats]]+LayTable[[#This Row],[LayLiability]])</f>
        <v/>
      </c>
      <c r="R13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0" s="47" t="str">
        <f>IF(LayTable[[#This Row],[Utfall bookie]]="","",LayTable[[#This Row],[WBABack]]+LayTable[[#This Row],[WBALay]]-LayTable[[#This Row],[Total inns]])</f>
        <v/>
      </c>
      <c r="U13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0" s="48" t="str">
        <f>IFERROR(IF(LayTable[[#This Row],[Total inns]]="","",LayTable[[#This Row],[Rback]]/LayTable[[#This Row],[Total inns]]),"")</f>
        <v/>
      </c>
      <c r="X1310" s="48" t="str">
        <f>IFERROR(IF(LayTable[[#This Row],[Total inns]]="","",LayTable[[#This Row],[Rlay]]/LayTable[[#This Row],[Total inns]]),"")</f>
        <v/>
      </c>
      <c r="Y1310" s="48" t="str">
        <f>IFERROR(LayTable[[#This Row],[Faktisk res]]/LayTable[[#This Row],[Total inns]],"")</f>
        <v/>
      </c>
      <c r="Z1310" s="47">
        <f>(LayTable[[#This Row],[BookieInnsats]]*LayTable[[#This Row],[BookieOdds]]-LayTable[[#This Row],[BookieInnsats]])*(1-LayTable[[#This Row],[C% Bookie]])</f>
        <v>0</v>
      </c>
      <c r="AA1310" s="43">
        <f>LayTable[[#This Row],[LayInnsats]]*(1-LayTable[[#This Row],[C% Lay]])</f>
        <v>0</v>
      </c>
      <c r="AB1310" s="43" t="str">
        <f>IFERROR(IF(LayTable[[#This Row],[Sport]]="",AB1309,LayTable[[#This Row],[Faktisk res]]+AB1309),"")</f>
        <v/>
      </c>
      <c r="AC1310" s="43">
        <f>(LayTable[[#This Row],[BackWin-Commission]]+LayTable[[#This Row],[BookieInnsats]])</f>
        <v>0</v>
      </c>
      <c r="AD1310" s="43" t="e">
        <f>(LayTable[[#This Row],[LayWin-Commission]])+LayTable[[#This Row],[LayLiability]]</f>
        <v>#VALUE!</v>
      </c>
      <c r="AE1310" s="43"/>
      <c r="AF1310" s="181"/>
    </row>
    <row r="1311" spans="1:32">
      <c r="A1311" s="84"/>
      <c r="B1311" s="39"/>
      <c r="C1311" s="40"/>
      <c r="D1311" s="41"/>
      <c r="E1311" s="40"/>
      <c r="F1311" s="41"/>
      <c r="G1311" s="101"/>
      <c r="H1311" s="38"/>
      <c r="I1311" s="42"/>
      <c r="J1311" s="42"/>
      <c r="K1311" s="43"/>
      <c r="L1311" s="43"/>
      <c r="M1311" s="44" t="str">
        <f>IF(LayTable[[#This Row],[Sport]]="","",LayTable[[#This Row],[LayInnsats]]*(LayTable[[#This Row],[LayOdds]]-1))</f>
        <v/>
      </c>
      <c r="N1311" s="45" t="str">
        <f>IF(LayTable[[#This Row],[Sport]]="","",1/((1/LayTable[[#This Row],[BookieOdds]])+(1/((1/((1+((LayTable[[#This Row],[LayOdds]]-1)*(1+LayTable[[#This Row],[C% Lay]])))-1))+1)))-1)</f>
        <v/>
      </c>
      <c r="Q1311" s="46" t="str">
        <f>IF(LayTable[[#This Row],[Sport]]="","",LayTable[[#This Row],[BookieInnsats]]+LayTable[[#This Row],[LayLiability]])</f>
        <v/>
      </c>
      <c r="R13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1" s="47" t="str">
        <f>IF(LayTable[[#This Row],[Utfall bookie]]="","",LayTable[[#This Row],[WBABack]]+LayTable[[#This Row],[WBALay]]-LayTable[[#This Row],[Total inns]])</f>
        <v/>
      </c>
      <c r="U13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1" s="48" t="str">
        <f>IFERROR(IF(LayTable[[#This Row],[Total inns]]="","",LayTable[[#This Row],[Rback]]/LayTable[[#This Row],[Total inns]]),"")</f>
        <v/>
      </c>
      <c r="X1311" s="48" t="str">
        <f>IFERROR(IF(LayTable[[#This Row],[Total inns]]="","",LayTable[[#This Row],[Rlay]]/LayTable[[#This Row],[Total inns]]),"")</f>
        <v/>
      </c>
      <c r="Y1311" s="48" t="str">
        <f>IFERROR(LayTable[[#This Row],[Faktisk res]]/LayTable[[#This Row],[Total inns]],"")</f>
        <v/>
      </c>
      <c r="Z1311" s="47">
        <f>(LayTable[[#This Row],[BookieInnsats]]*LayTable[[#This Row],[BookieOdds]]-LayTable[[#This Row],[BookieInnsats]])*(1-LayTable[[#This Row],[C% Bookie]])</f>
        <v>0</v>
      </c>
      <c r="AA1311" s="43">
        <f>LayTable[[#This Row],[LayInnsats]]*(1-LayTable[[#This Row],[C% Lay]])</f>
        <v>0</v>
      </c>
      <c r="AB1311" s="43" t="str">
        <f>IFERROR(IF(LayTable[[#This Row],[Sport]]="",AB1310,LayTable[[#This Row],[Faktisk res]]+AB1310),"")</f>
        <v/>
      </c>
      <c r="AC1311" s="43">
        <f>(LayTable[[#This Row],[BackWin-Commission]]+LayTable[[#This Row],[BookieInnsats]])</f>
        <v>0</v>
      </c>
      <c r="AD1311" s="43" t="e">
        <f>(LayTable[[#This Row],[LayWin-Commission]])+LayTable[[#This Row],[LayLiability]]</f>
        <v>#VALUE!</v>
      </c>
      <c r="AE1311" s="43"/>
      <c r="AF1311" s="181"/>
    </row>
    <row r="1312" spans="1:32">
      <c r="A1312" s="84"/>
      <c r="B1312" s="39"/>
      <c r="C1312" s="40"/>
      <c r="D1312" s="41"/>
      <c r="E1312" s="40"/>
      <c r="F1312" s="41"/>
      <c r="G1312" s="101"/>
      <c r="H1312" s="38"/>
      <c r="I1312" s="42"/>
      <c r="J1312" s="42"/>
      <c r="K1312" s="43"/>
      <c r="L1312" s="43"/>
      <c r="M1312" s="44" t="str">
        <f>IF(LayTable[[#This Row],[Sport]]="","",LayTable[[#This Row],[LayInnsats]]*(LayTable[[#This Row],[LayOdds]]-1))</f>
        <v/>
      </c>
      <c r="N1312" s="45" t="str">
        <f>IF(LayTable[[#This Row],[Sport]]="","",1/((1/LayTable[[#This Row],[BookieOdds]])+(1/((1/((1+((LayTable[[#This Row],[LayOdds]]-1)*(1+LayTable[[#This Row],[C% Lay]])))-1))+1)))-1)</f>
        <v/>
      </c>
      <c r="Q1312" s="46" t="str">
        <f>IF(LayTable[[#This Row],[Sport]]="","",LayTable[[#This Row],[BookieInnsats]]+LayTable[[#This Row],[LayLiability]])</f>
        <v/>
      </c>
      <c r="R13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2" s="47" t="str">
        <f>IF(LayTable[[#This Row],[Utfall bookie]]="","",LayTable[[#This Row],[WBABack]]+LayTable[[#This Row],[WBALay]]-LayTable[[#This Row],[Total inns]])</f>
        <v/>
      </c>
      <c r="U13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2" s="48" t="str">
        <f>IFERROR(IF(LayTable[[#This Row],[Total inns]]="","",LayTable[[#This Row],[Rback]]/LayTable[[#This Row],[Total inns]]),"")</f>
        <v/>
      </c>
      <c r="X1312" s="48" t="str">
        <f>IFERROR(IF(LayTable[[#This Row],[Total inns]]="","",LayTable[[#This Row],[Rlay]]/LayTable[[#This Row],[Total inns]]),"")</f>
        <v/>
      </c>
      <c r="Y1312" s="48" t="str">
        <f>IFERROR(LayTable[[#This Row],[Faktisk res]]/LayTable[[#This Row],[Total inns]],"")</f>
        <v/>
      </c>
      <c r="Z1312" s="47">
        <f>(LayTable[[#This Row],[BookieInnsats]]*LayTable[[#This Row],[BookieOdds]]-LayTable[[#This Row],[BookieInnsats]])*(1-LayTable[[#This Row],[C% Bookie]])</f>
        <v>0</v>
      </c>
      <c r="AA1312" s="43">
        <f>LayTable[[#This Row],[LayInnsats]]*(1-LayTable[[#This Row],[C% Lay]])</f>
        <v>0</v>
      </c>
      <c r="AB1312" s="43" t="str">
        <f>IFERROR(IF(LayTable[[#This Row],[Sport]]="",AB1311,LayTable[[#This Row],[Faktisk res]]+AB1311),"")</f>
        <v/>
      </c>
      <c r="AC1312" s="43">
        <f>(LayTable[[#This Row],[BackWin-Commission]]+LayTable[[#This Row],[BookieInnsats]])</f>
        <v>0</v>
      </c>
      <c r="AD1312" s="43" t="e">
        <f>(LayTable[[#This Row],[LayWin-Commission]])+LayTable[[#This Row],[LayLiability]]</f>
        <v>#VALUE!</v>
      </c>
      <c r="AE1312" s="43"/>
      <c r="AF1312" s="181"/>
    </row>
    <row r="1313" spans="1:32">
      <c r="A1313" s="84"/>
      <c r="B1313" s="39"/>
      <c r="C1313" s="40"/>
      <c r="D1313" s="41"/>
      <c r="E1313" s="40"/>
      <c r="F1313" s="41"/>
      <c r="G1313" s="101"/>
      <c r="H1313" s="38"/>
      <c r="I1313" s="42"/>
      <c r="J1313" s="42"/>
      <c r="K1313" s="43"/>
      <c r="L1313" s="43"/>
      <c r="M1313" s="44" t="str">
        <f>IF(LayTable[[#This Row],[Sport]]="","",LayTable[[#This Row],[LayInnsats]]*(LayTable[[#This Row],[LayOdds]]-1))</f>
        <v/>
      </c>
      <c r="N1313" s="45" t="str">
        <f>IF(LayTable[[#This Row],[Sport]]="","",1/((1/LayTable[[#This Row],[BookieOdds]])+(1/((1/((1+((LayTable[[#This Row],[LayOdds]]-1)*(1+LayTable[[#This Row],[C% Lay]])))-1))+1)))-1)</f>
        <v/>
      </c>
      <c r="Q1313" s="46" t="str">
        <f>IF(LayTable[[#This Row],[Sport]]="","",LayTable[[#This Row],[BookieInnsats]]+LayTable[[#This Row],[LayLiability]])</f>
        <v/>
      </c>
      <c r="R13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3" s="47" t="str">
        <f>IF(LayTable[[#This Row],[Utfall bookie]]="","",LayTable[[#This Row],[WBABack]]+LayTable[[#This Row],[WBALay]]-LayTable[[#This Row],[Total inns]])</f>
        <v/>
      </c>
      <c r="U13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3" s="48" t="str">
        <f>IFERROR(IF(LayTable[[#This Row],[Total inns]]="","",LayTable[[#This Row],[Rback]]/LayTable[[#This Row],[Total inns]]),"")</f>
        <v/>
      </c>
      <c r="X1313" s="48" t="str">
        <f>IFERROR(IF(LayTable[[#This Row],[Total inns]]="","",LayTable[[#This Row],[Rlay]]/LayTable[[#This Row],[Total inns]]),"")</f>
        <v/>
      </c>
      <c r="Y1313" s="48" t="str">
        <f>IFERROR(LayTable[[#This Row],[Faktisk res]]/LayTable[[#This Row],[Total inns]],"")</f>
        <v/>
      </c>
      <c r="Z1313" s="47">
        <f>(LayTable[[#This Row],[BookieInnsats]]*LayTable[[#This Row],[BookieOdds]]-LayTable[[#This Row],[BookieInnsats]])*(1-LayTable[[#This Row],[C% Bookie]])</f>
        <v>0</v>
      </c>
      <c r="AA1313" s="43">
        <f>LayTable[[#This Row],[LayInnsats]]*(1-LayTable[[#This Row],[C% Lay]])</f>
        <v>0</v>
      </c>
      <c r="AB1313" s="43" t="str">
        <f>IFERROR(IF(LayTable[[#This Row],[Sport]]="",AB1312,LayTable[[#This Row],[Faktisk res]]+AB1312),"")</f>
        <v/>
      </c>
      <c r="AC1313" s="43">
        <f>(LayTable[[#This Row],[BackWin-Commission]]+LayTable[[#This Row],[BookieInnsats]])</f>
        <v>0</v>
      </c>
      <c r="AD1313" s="43" t="e">
        <f>(LayTable[[#This Row],[LayWin-Commission]])+LayTable[[#This Row],[LayLiability]]</f>
        <v>#VALUE!</v>
      </c>
      <c r="AE1313" s="43"/>
      <c r="AF1313" s="181"/>
    </row>
    <row r="1314" spans="1:32">
      <c r="A1314" s="84"/>
      <c r="B1314" s="39"/>
      <c r="C1314" s="40"/>
      <c r="D1314" s="41"/>
      <c r="E1314" s="40"/>
      <c r="F1314" s="41"/>
      <c r="G1314" s="101"/>
      <c r="H1314" s="38"/>
      <c r="I1314" s="42"/>
      <c r="J1314" s="42"/>
      <c r="K1314" s="43"/>
      <c r="L1314" s="43"/>
      <c r="M1314" s="44" t="str">
        <f>IF(LayTable[[#This Row],[Sport]]="","",LayTable[[#This Row],[LayInnsats]]*(LayTable[[#This Row],[LayOdds]]-1))</f>
        <v/>
      </c>
      <c r="N1314" s="45" t="str">
        <f>IF(LayTable[[#This Row],[Sport]]="","",1/((1/LayTable[[#This Row],[BookieOdds]])+(1/((1/((1+((LayTable[[#This Row],[LayOdds]]-1)*(1+LayTable[[#This Row],[C% Lay]])))-1))+1)))-1)</f>
        <v/>
      </c>
      <c r="Q1314" s="46" t="str">
        <f>IF(LayTable[[#This Row],[Sport]]="","",LayTable[[#This Row],[BookieInnsats]]+LayTable[[#This Row],[LayLiability]])</f>
        <v/>
      </c>
      <c r="R13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4" s="47" t="str">
        <f>IF(LayTable[[#This Row],[Utfall bookie]]="","",LayTable[[#This Row],[WBABack]]+LayTable[[#This Row],[WBALay]]-LayTable[[#This Row],[Total inns]])</f>
        <v/>
      </c>
      <c r="U13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4" s="48" t="str">
        <f>IFERROR(IF(LayTable[[#This Row],[Total inns]]="","",LayTable[[#This Row],[Rback]]/LayTable[[#This Row],[Total inns]]),"")</f>
        <v/>
      </c>
      <c r="X1314" s="48" t="str">
        <f>IFERROR(IF(LayTable[[#This Row],[Total inns]]="","",LayTable[[#This Row],[Rlay]]/LayTable[[#This Row],[Total inns]]),"")</f>
        <v/>
      </c>
      <c r="Y1314" s="48" t="str">
        <f>IFERROR(LayTable[[#This Row],[Faktisk res]]/LayTable[[#This Row],[Total inns]],"")</f>
        <v/>
      </c>
      <c r="Z1314" s="47">
        <f>(LayTable[[#This Row],[BookieInnsats]]*LayTable[[#This Row],[BookieOdds]]-LayTable[[#This Row],[BookieInnsats]])*(1-LayTable[[#This Row],[C% Bookie]])</f>
        <v>0</v>
      </c>
      <c r="AA1314" s="43">
        <f>LayTable[[#This Row],[LayInnsats]]*(1-LayTable[[#This Row],[C% Lay]])</f>
        <v>0</v>
      </c>
      <c r="AB1314" s="43" t="str">
        <f>IFERROR(IF(LayTable[[#This Row],[Sport]]="",AB1313,LayTable[[#This Row],[Faktisk res]]+AB1313),"")</f>
        <v/>
      </c>
      <c r="AC1314" s="43">
        <f>(LayTable[[#This Row],[BackWin-Commission]]+LayTable[[#This Row],[BookieInnsats]])</f>
        <v>0</v>
      </c>
      <c r="AD1314" s="43" t="e">
        <f>(LayTable[[#This Row],[LayWin-Commission]])+LayTable[[#This Row],[LayLiability]]</f>
        <v>#VALUE!</v>
      </c>
      <c r="AE1314" s="43"/>
      <c r="AF1314" s="181"/>
    </row>
    <row r="1315" spans="1:32">
      <c r="A1315" s="84"/>
      <c r="B1315" s="39"/>
      <c r="C1315" s="40"/>
      <c r="D1315" s="41"/>
      <c r="E1315" s="40"/>
      <c r="F1315" s="41"/>
      <c r="G1315" s="101"/>
      <c r="H1315" s="38"/>
      <c r="I1315" s="42"/>
      <c r="J1315" s="42"/>
      <c r="K1315" s="43"/>
      <c r="L1315" s="43"/>
      <c r="M1315" s="44" t="str">
        <f>IF(LayTable[[#This Row],[Sport]]="","",LayTable[[#This Row],[LayInnsats]]*(LayTable[[#This Row],[LayOdds]]-1))</f>
        <v/>
      </c>
      <c r="N1315" s="45" t="str">
        <f>IF(LayTable[[#This Row],[Sport]]="","",1/((1/LayTable[[#This Row],[BookieOdds]])+(1/((1/((1+((LayTable[[#This Row],[LayOdds]]-1)*(1+LayTable[[#This Row],[C% Lay]])))-1))+1)))-1)</f>
        <v/>
      </c>
      <c r="Q1315" s="46" t="str">
        <f>IF(LayTable[[#This Row],[Sport]]="","",LayTable[[#This Row],[BookieInnsats]]+LayTable[[#This Row],[LayLiability]])</f>
        <v/>
      </c>
      <c r="R13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5" s="47" t="str">
        <f>IF(LayTable[[#This Row],[Utfall bookie]]="","",LayTable[[#This Row],[WBABack]]+LayTable[[#This Row],[WBALay]]-LayTable[[#This Row],[Total inns]])</f>
        <v/>
      </c>
      <c r="U13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5" s="48" t="str">
        <f>IFERROR(IF(LayTable[[#This Row],[Total inns]]="","",LayTable[[#This Row],[Rback]]/LayTable[[#This Row],[Total inns]]),"")</f>
        <v/>
      </c>
      <c r="X1315" s="48" t="str">
        <f>IFERROR(IF(LayTable[[#This Row],[Total inns]]="","",LayTable[[#This Row],[Rlay]]/LayTable[[#This Row],[Total inns]]),"")</f>
        <v/>
      </c>
      <c r="Y1315" s="48" t="str">
        <f>IFERROR(LayTable[[#This Row],[Faktisk res]]/LayTable[[#This Row],[Total inns]],"")</f>
        <v/>
      </c>
      <c r="Z1315" s="47">
        <f>(LayTable[[#This Row],[BookieInnsats]]*LayTable[[#This Row],[BookieOdds]]-LayTable[[#This Row],[BookieInnsats]])*(1-LayTable[[#This Row],[C% Bookie]])</f>
        <v>0</v>
      </c>
      <c r="AA1315" s="43">
        <f>LayTable[[#This Row],[LayInnsats]]*(1-LayTable[[#This Row],[C% Lay]])</f>
        <v>0</v>
      </c>
      <c r="AB1315" s="43" t="str">
        <f>IFERROR(IF(LayTable[[#This Row],[Sport]]="",AB1314,LayTable[[#This Row],[Faktisk res]]+AB1314),"")</f>
        <v/>
      </c>
      <c r="AC1315" s="43">
        <f>(LayTable[[#This Row],[BackWin-Commission]]+LayTable[[#This Row],[BookieInnsats]])</f>
        <v>0</v>
      </c>
      <c r="AD1315" s="43" t="e">
        <f>(LayTable[[#This Row],[LayWin-Commission]])+LayTable[[#This Row],[LayLiability]]</f>
        <v>#VALUE!</v>
      </c>
      <c r="AE1315" s="43"/>
      <c r="AF1315" s="181"/>
    </row>
    <row r="1316" spans="1:32">
      <c r="A1316" s="84"/>
      <c r="B1316" s="39"/>
      <c r="C1316" s="40"/>
      <c r="D1316" s="41"/>
      <c r="E1316" s="40"/>
      <c r="F1316" s="41"/>
      <c r="G1316" s="101"/>
      <c r="H1316" s="38"/>
      <c r="I1316" s="42"/>
      <c r="J1316" s="42"/>
      <c r="K1316" s="43"/>
      <c r="L1316" s="43"/>
      <c r="M1316" s="44" t="str">
        <f>IF(LayTable[[#This Row],[Sport]]="","",LayTable[[#This Row],[LayInnsats]]*(LayTable[[#This Row],[LayOdds]]-1))</f>
        <v/>
      </c>
      <c r="N1316" s="45" t="str">
        <f>IF(LayTable[[#This Row],[Sport]]="","",1/((1/LayTable[[#This Row],[BookieOdds]])+(1/((1/((1+((LayTable[[#This Row],[LayOdds]]-1)*(1+LayTable[[#This Row],[C% Lay]])))-1))+1)))-1)</f>
        <v/>
      </c>
      <c r="Q1316" s="46" t="str">
        <f>IF(LayTable[[#This Row],[Sport]]="","",LayTable[[#This Row],[BookieInnsats]]+LayTable[[#This Row],[LayLiability]])</f>
        <v/>
      </c>
      <c r="R13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6" s="47" t="str">
        <f>IF(LayTable[[#This Row],[Utfall bookie]]="","",LayTable[[#This Row],[WBABack]]+LayTable[[#This Row],[WBALay]]-LayTable[[#This Row],[Total inns]])</f>
        <v/>
      </c>
      <c r="U13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6" s="48" t="str">
        <f>IFERROR(IF(LayTable[[#This Row],[Total inns]]="","",LayTable[[#This Row],[Rback]]/LayTable[[#This Row],[Total inns]]),"")</f>
        <v/>
      </c>
      <c r="X1316" s="48" t="str">
        <f>IFERROR(IF(LayTable[[#This Row],[Total inns]]="","",LayTable[[#This Row],[Rlay]]/LayTable[[#This Row],[Total inns]]),"")</f>
        <v/>
      </c>
      <c r="Y1316" s="48" t="str">
        <f>IFERROR(LayTable[[#This Row],[Faktisk res]]/LayTable[[#This Row],[Total inns]],"")</f>
        <v/>
      </c>
      <c r="Z1316" s="47">
        <f>(LayTable[[#This Row],[BookieInnsats]]*LayTable[[#This Row],[BookieOdds]]-LayTable[[#This Row],[BookieInnsats]])*(1-LayTable[[#This Row],[C% Bookie]])</f>
        <v>0</v>
      </c>
      <c r="AA1316" s="43">
        <f>LayTable[[#This Row],[LayInnsats]]*(1-LayTable[[#This Row],[C% Lay]])</f>
        <v>0</v>
      </c>
      <c r="AB1316" s="43" t="str">
        <f>IFERROR(IF(LayTable[[#This Row],[Sport]]="",AB1315,LayTable[[#This Row],[Faktisk res]]+AB1315),"")</f>
        <v/>
      </c>
      <c r="AC1316" s="43">
        <f>(LayTable[[#This Row],[BackWin-Commission]]+LayTable[[#This Row],[BookieInnsats]])</f>
        <v>0</v>
      </c>
      <c r="AD1316" s="43" t="e">
        <f>(LayTable[[#This Row],[LayWin-Commission]])+LayTable[[#This Row],[LayLiability]]</f>
        <v>#VALUE!</v>
      </c>
      <c r="AE1316" s="43"/>
      <c r="AF1316" s="181"/>
    </row>
    <row r="1317" spans="1:32">
      <c r="A1317" s="84"/>
      <c r="B1317" s="39"/>
      <c r="C1317" s="40"/>
      <c r="D1317" s="41"/>
      <c r="E1317" s="40"/>
      <c r="F1317" s="41"/>
      <c r="G1317" s="101"/>
      <c r="H1317" s="38"/>
      <c r="I1317" s="42"/>
      <c r="J1317" s="42"/>
      <c r="K1317" s="43"/>
      <c r="L1317" s="43"/>
      <c r="M1317" s="44" t="str">
        <f>IF(LayTable[[#This Row],[Sport]]="","",LayTable[[#This Row],[LayInnsats]]*(LayTable[[#This Row],[LayOdds]]-1))</f>
        <v/>
      </c>
      <c r="N1317" s="45" t="str">
        <f>IF(LayTable[[#This Row],[Sport]]="","",1/((1/LayTable[[#This Row],[BookieOdds]])+(1/((1/((1+((LayTable[[#This Row],[LayOdds]]-1)*(1+LayTable[[#This Row],[C% Lay]])))-1))+1)))-1)</f>
        <v/>
      </c>
      <c r="Q1317" s="46" t="str">
        <f>IF(LayTable[[#This Row],[Sport]]="","",LayTable[[#This Row],[BookieInnsats]]+LayTable[[#This Row],[LayLiability]])</f>
        <v/>
      </c>
      <c r="R13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7" s="47" t="str">
        <f>IF(LayTable[[#This Row],[Utfall bookie]]="","",LayTable[[#This Row],[WBABack]]+LayTable[[#This Row],[WBALay]]-LayTable[[#This Row],[Total inns]])</f>
        <v/>
      </c>
      <c r="U13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7" s="48" t="str">
        <f>IFERROR(IF(LayTable[[#This Row],[Total inns]]="","",LayTable[[#This Row],[Rback]]/LayTable[[#This Row],[Total inns]]),"")</f>
        <v/>
      </c>
      <c r="X1317" s="48" t="str">
        <f>IFERROR(IF(LayTable[[#This Row],[Total inns]]="","",LayTable[[#This Row],[Rlay]]/LayTable[[#This Row],[Total inns]]),"")</f>
        <v/>
      </c>
      <c r="Y1317" s="48" t="str">
        <f>IFERROR(LayTable[[#This Row],[Faktisk res]]/LayTable[[#This Row],[Total inns]],"")</f>
        <v/>
      </c>
      <c r="Z1317" s="47">
        <f>(LayTable[[#This Row],[BookieInnsats]]*LayTable[[#This Row],[BookieOdds]]-LayTable[[#This Row],[BookieInnsats]])*(1-LayTable[[#This Row],[C% Bookie]])</f>
        <v>0</v>
      </c>
      <c r="AA1317" s="43">
        <f>LayTable[[#This Row],[LayInnsats]]*(1-LayTable[[#This Row],[C% Lay]])</f>
        <v>0</v>
      </c>
      <c r="AB1317" s="43" t="str">
        <f>IFERROR(IF(LayTable[[#This Row],[Sport]]="",AB1316,LayTable[[#This Row],[Faktisk res]]+AB1316),"")</f>
        <v/>
      </c>
      <c r="AC1317" s="43">
        <f>(LayTable[[#This Row],[BackWin-Commission]]+LayTable[[#This Row],[BookieInnsats]])</f>
        <v>0</v>
      </c>
      <c r="AD1317" s="43" t="e">
        <f>(LayTable[[#This Row],[LayWin-Commission]])+LayTable[[#This Row],[LayLiability]]</f>
        <v>#VALUE!</v>
      </c>
      <c r="AE1317" s="43"/>
      <c r="AF1317" s="181"/>
    </row>
    <row r="1318" spans="1:32">
      <c r="A1318" s="84"/>
      <c r="B1318" s="39"/>
      <c r="C1318" s="40"/>
      <c r="D1318" s="41"/>
      <c r="E1318" s="40"/>
      <c r="F1318" s="41"/>
      <c r="G1318" s="101"/>
      <c r="H1318" s="38"/>
      <c r="I1318" s="42"/>
      <c r="J1318" s="42"/>
      <c r="K1318" s="43"/>
      <c r="L1318" s="43"/>
      <c r="M1318" s="44" t="str">
        <f>IF(LayTable[[#This Row],[Sport]]="","",LayTable[[#This Row],[LayInnsats]]*(LayTable[[#This Row],[LayOdds]]-1))</f>
        <v/>
      </c>
      <c r="N1318" s="45" t="str">
        <f>IF(LayTable[[#This Row],[Sport]]="","",1/((1/LayTable[[#This Row],[BookieOdds]])+(1/((1/((1+((LayTable[[#This Row],[LayOdds]]-1)*(1+LayTable[[#This Row],[C% Lay]])))-1))+1)))-1)</f>
        <v/>
      </c>
      <c r="Q1318" s="46" t="str">
        <f>IF(LayTable[[#This Row],[Sport]]="","",LayTable[[#This Row],[BookieInnsats]]+LayTable[[#This Row],[LayLiability]])</f>
        <v/>
      </c>
      <c r="R13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8" s="47" t="str">
        <f>IF(LayTable[[#This Row],[Utfall bookie]]="","",LayTable[[#This Row],[WBABack]]+LayTable[[#This Row],[WBALay]]-LayTable[[#This Row],[Total inns]])</f>
        <v/>
      </c>
      <c r="U13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8" s="48" t="str">
        <f>IFERROR(IF(LayTable[[#This Row],[Total inns]]="","",LayTable[[#This Row],[Rback]]/LayTable[[#This Row],[Total inns]]),"")</f>
        <v/>
      </c>
      <c r="X1318" s="48" t="str">
        <f>IFERROR(IF(LayTable[[#This Row],[Total inns]]="","",LayTable[[#This Row],[Rlay]]/LayTable[[#This Row],[Total inns]]),"")</f>
        <v/>
      </c>
      <c r="Y1318" s="48" t="str">
        <f>IFERROR(LayTable[[#This Row],[Faktisk res]]/LayTable[[#This Row],[Total inns]],"")</f>
        <v/>
      </c>
      <c r="Z1318" s="47">
        <f>(LayTable[[#This Row],[BookieInnsats]]*LayTable[[#This Row],[BookieOdds]]-LayTable[[#This Row],[BookieInnsats]])*(1-LayTable[[#This Row],[C% Bookie]])</f>
        <v>0</v>
      </c>
      <c r="AA1318" s="43">
        <f>LayTable[[#This Row],[LayInnsats]]*(1-LayTable[[#This Row],[C% Lay]])</f>
        <v>0</v>
      </c>
      <c r="AB1318" s="43" t="str">
        <f>IFERROR(IF(LayTable[[#This Row],[Sport]]="",AB1317,LayTable[[#This Row],[Faktisk res]]+AB1317),"")</f>
        <v/>
      </c>
      <c r="AC1318" s="43">
        <f>(LayTable[[#This Row],[BackWin-Commission]]+LayTable[[#This Row],[BookieInnsats]])</f>
        <v>0</v>
      </c>
      <c r="AD1318" s="43" t="e">
        <f>(LayTable[[#This Row],[LayWin-Commission]])+LayTable[[#This Row],[LayLiability]]</f>
        <v>#VALUE!</v>
      </c>
      <c r="AE1318" s="43"/>
      <c r="AF1318" s="181"/>
    </row>
    <row r="1319" spans="1:32">
      <c r="A1319" s="84"/>
      <c r="B1319" s="39"/>
      <c r="C1319" s="40"/>
      <c r="D1319" s="41"/>
      <c r="E1319" s="40"/>
      <c r="F1319" s="41"/>
      <c r="G1319" s="101"/>
      <c r="H1319" s="38"/>
      <c r="I1319" s="42"/>
      <c r="J1319" s="42"/>
      <c r="K1319" s="43"/>
      <c r="L1319" s="43"/>
      <c r="M1319" s="44" t="str">
        <f>IF(LayTable[[#This Row],[Sport]]="","",LayTable[[#This Row],[LayInnsats]]*(LayTable[[#This Row],[LayOdds]]-1))</f>
        <v/>
      </c>
      <c r="N1319" s="45" t="str">
        <f>IF(LayTable[[#This Row],[Sport]]="","",1/((1/LayTable[[#This Row],[BookieOdds]])+(1/((1/((1+((LayTable[[#This Row],[LayOdds]]-1)*(1+LayTable[[#This Row],[C% Lay]])))-1))+1)))-1)</f>
        <v/>
      </c>
      <c r="Q1319" s="46" t="str">
        <f>IF(LayTable[[#This Row],[Sport]]="","",LayTable[[#This Row],[BookieInnsats]]+LayTable[[#This Row],[LayLiability]])</f>
        <v/>
      </c>
      <c r="R13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19" s="47" t="str">
        <f>IF(LayTable[[#This Row],[Utfall bookie]]="","",LayTable[[#This Row],[WBABack]]+LayTable[[#This Row],[WBALay]]-LayTable[[#This Row],[Total inns]])</f>
        <v/>
      </c>
      <c r="U13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19" s="48" t="str">
        <f>IFERROR(IF(LayTable[[#This Row],[Total inns]]="","",LayTable[[#This Row],[Rback]]/LayTable[[#This Row],[Total inns]]),"")</f>
        <v/>
      </c>
      <c r="X1319" s="48" t="str">
        <f>IFERROR(IF(LayTable[[#This Row],[Total inns]]="","",LayTable[[#This Row],[Rlay]]/LayTable[[#This Row],[Total inns]]),"")</f>
        <v/>
      </c>
      <c r="Y1319" s="48" t="str">
        <f>IFERROR(LayTable[[#This Row],[Faktisk res]]/LayTable[[#This Row],[Total inns]],"")</f>
        <v/>
      </c>
      <c r="Z1319" s="47">
        <f>(LayTable[[#This Row],[BookieInnsats]]*LayTable[[#This Row],[BookieOdds]]-LayTable[[#This Row],[BookieInnsats]])*(1-LayTable[[#This Row],[C% Bookie]])</f>
        <v>0</v>
      </c>
      <c r="AA1319" s="43">
        <f>LayTable[[#This Row],[LayInnsats]]*(1-LayTable[[#This Row],[C% Lay]])</f>
        <v>0</v>
      </c>
      <c r="AB1319" s="43" t="str">
        <f>IFERROR(IF(LayTable[[#This Row],[Sport]]="",AB1318,LayTable[[#This Row],[Faktisk res]]+AB1318),"")</f>
        <v/>
      </c>
      <c r="AC1319" s="43">
        <f>(LayTable[[#This Row],[BackWin-Commission]]+LayTable[[#This Row],[BookieInnsats]])</f>
        <v>0</v>
      </c>
      <c r="AD1319" s="43" t="e">
        <f>(LayTable[[#This Row],[LayWin-Commission]])+LayTable[[#This Row],[LayLiability]]</f>
        <v>#VALUE!</v>
      </c>
      <c r="AE1319" s="43"/>
      <c r="AF1319" s="181"/>
    </row>
    <row r="1320" spans="1:32">
      <c r="A1320" s="84"/>
      <c r="B1320" s="39"/>
      <c r="C1320" s="40"/>
      <c r="D1320" s="41"/>
      <c r="E1320" s="40"/>
      <c r="F1320" s="41"/>
      <c r="G1320" s="101"/>
      <c r="H1320" s="38"/>
      <c r="I1320" s="42"/>
      <c r="J1320" s="42"/>
      <c r="K1320" s="43"/>
      <c r="L1320" s="43"/>
      <c r="M1320" s="44" t="str">
        <f>IF(LayTable[[#This Row],[Sport]]="","",LayTable[[#This Row],[LayInnsats]]*(LayTable[[#This Row],[LayOdds]]-1))</f>
        <v/>
      </c>
      <c r="N1320" s="45" t="str">
        <f>IF(LayTable[[#This Row],[Sport]]="","",1/((1/LayTable[[#This Row],[BookieOdds]])+(1/((1/((1+((LayTable[[#This Row],[LayOdds]]-1)*(1+LayTable[[#This Row],[C% Lay]])))-1))+1)))-1)</f>
        <v/>
      </c>
      <c r="Q1320" s="46" t="str">
        <f>IF(LayTable[[#This Row],[Sport]]="","",LayTable[[#This Row],[BookieInnsats]]+LayTable[[#This Row],[LayLiability]])</f>
        <v/>
      </c>
      <c r="R13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0" s="47" t="str">
        <f>IF(LayTable[[#This Row],[Utfall bookie]]="","",LayTable[[#This Row],[WBABack]]+LayTable[[#This Row],[WBALay]]-LayTable[[#This Row],[Total inns]])</f>
        <v/>
      </c>
      <c r="U13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0" s="48" t="str">
        <f>IFERROR(IF(LayTable[[#This Row],[Total inns]]="","",LayTable[[#This Row],[Rback]]/LayTable[[#This Row],[Total inns]]),"")</f>
        <v/>
      </c>
      <c r="X1320" s="48" t="str">
        <f>IFERROR(IF(LayTable[[#This Row],[Total inns]]="","",LayTable[[#This Row],[Rlay]]/LayTable[[#This Row],[Total inns]]),"")</f>
        <v/>
      </c>
      <c r="Y1320" s="48" t="str">
        <f>IFERROR(LayTable[[#This Row],[Faktisk res]]/LayTable[[#This Row],[Total inns]],"")</f>
        <v/>
      </c>
      <c r="Z1320" s="47">
        <f>(LayTable[[#This Row],[BookieInnsats]]*LayTable[[#This Row],[BookieOdds]]-LayTable[[#This Row],[BookieInnsats]])*(1-LayTable[[#This Row],[C% Bookie]])</f>
        <v>0</v>
      </c>
      <c r="AA1320" s="43">
        <f>LayTable[[#This Row],[LayInnsats]]*(1-LayTable[[#This Row],[C% Lay]])</f>
        <v>0</v>
      </c>
      <c r="AB1320" s="43" t="str">
        <f>IFERROR(IF(LayTable[[#This Row],[Sport]]="",AB1319,LayTable[[#This Row],[Faktisk res]]+AB1319),"")</f>
        <v/>
      </c>
      <c r="AC1320" s="43">
        <f>(LayTable[[#This Row],[BackWin-Commission]]+LayTable[[#This Row],[BookieInnsats]])</f>
        <v>0</v>
      </c>
      <c r="AD1320" s="43" t="e">
        <f>(LayTable[[#This Row],[LayWin-Commission]])+LayTable[[#This Row],[LayLiability]]</f>
        <v>#VALUE!</v>
      </c>
      <c r="AE1320" s="43"/>
      <c r="AF1320" s="181"/>
    </row>
    <row r="1321" spans="1:32">
      <c r="A1321" s="84"/>
      <c r="B1321" s="39"/>
      <c r="C1321" s="40"/>
      <c r="D1321" s="41"/>
      <c r="E1321" s="40"/>
      <c r="F1321" s="41"/>
      <c r="G1321" s="101"/>
      <c r="H1321" s="38"/>
      <c r="I1321" s="42"/>
      <c r="J1321" s="42"/>
      <c r="K1321" s="43"/>
      <c r="L1321" s="43"/>
      <c r="M1321" s="44" t="str">
        <f>IF(LayTable[[#This Row],[Sport]]="","",LayTable[[#This Row],[LayInnsats]]*(LayTable[[#This Row],[LayOdds]]-1))</f>
        <v/>
      </c>
      <c r="N1321" s="45" t="str">
        <f>IF(LayTable[[#This Row],[Sport]]="","",1/((1/LayTable[[#This Row],[BookieOdds]])+(1/((1/((1+((LayTable[[#This Row],[LayOdds]]-1)*(1+LayTable[[#This Row],[C% Lay]])))-1))+1)))-1)</f>
        <v/>
      </c>
      <c r="Q1321" s="46" t="str">
        <f>IF(LayTable[[#This Row],[Sport]]="","",LayTable[[#This Row],[BookieInnsats]]+LayTable[[#This Row],[LayLiability]])</f>
        <v/>
      </c>
      <c r="R13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1" s="47" t="str">
        <f>IF(LayTable[[#This Row],[Utfall bookie]]="","",LayTable[[#This Row],[WBABack]]+LayTable[[#This Row],[WBALay]]-LayTable[[#This Row],[Total inns]])</f>
        <v/>
      </c>
      <c r="U13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1" s="48" t="str">
        <f>IFERROR(IF(LayTable[[#This Row],[Total inns]]="","",LayTable[[#This Row],[Rback]]/LayTable[[#This Row],[Total inns]]),"")</f>
        <v/>
      </c>
      <c r="X1321" s="48" t="str">
        <f>IFERROR(IF(LayTable[[#This Row],[Total inns]]="","",LayTable[[#This Row],[Rlay]]/LayTable[[#This Row],[Total inns]]),"")</f>
        <v/>
      </c>
      <c r="Y1321" s="48" t="str">
        <f>IFERROR(LayTable[[#This Row],[Faktisk res]]/LayTable[[#This Row],[Total inns]],"")</f>
        <v/>
      </c>
      <c r="Z1321" s="47">
        <f>(LayTable[[#This Row],[BookieInnsats]]*LayTable[[#This Row],[BookieOdds]]-LayTable[[#This Row],[BookieInnsats]])*(1-LayTable[[#This Row],[C% Bookie]])</f>
        <v>0</v>
      </c>
      <c r="AA1321" s="43">
        <f>LayTable[[#This Row],[LayInnsats]]*(1-LayTable[[#This Row],[C% Lay]])</f>
        <v>0</v>
      </c>
      <c r="AB1321" s="43" t="str">
        <f>IFERROR(IF(LayTable[[#This Row],[Sport]]="",AB1320,LayTable[[#This Row],[Faktisk res]]+AB1320),"")</f>
        <v/>
      </c>
      <c r="AC1321" s="43">
        <f>(LayTable[[#This Row],[BackWin-Commission]]+LayTable[[#This Row],[BookieInnsats]])</f>
        <v>0</v>
      </c>
      <c r="AD1321" s="43" t="e">
        <f>(LayTable[[#This Row],[LayWin-Commission]])+LayTable[[#This Row],[LayLiability]]</f>
        <v>#VALUE!</v>
      </c>
      <c r="AE1321" s="43"/>
      <c r="AF1321" s="181"/>
    </row>
    <row r="1322" spans="1:32">
      <c r="A1322" s="84"/>
      <c r="B1322" s="39"/>
      <c r="C1322" s="40"/>
      <c r="D1322" s="41"/>
      <c r="E1322" s="40"/>
      <c r="F1322" s="41"/>
      <c r="G1322" s="101"/>
      <c r="H1322" s="38"/>
      <c r="I1322" s="42"/>
      <c r="J1322" s="42"/>
      <c r="K1322" s="43"/>
      <c r="L1322" s="43"/>
      <c r="M1322" s="44" t="str">
        <f>IF(LayTable[[#This Row],[Sport]]="","",LayTable[[#This Row],[LayInnsats]]*(LayTable[[#This Row],[LayOdds]]-1))</f>
        <v/>
      </c>
      <c r="N1322" s="45" t="str">
        <f>IF(LayTable[[#This Row],[Sport]]="","",1/((1/LayTable[[#This Row],[BookieOdds]])+(1/((1/((1+((LayTable[[#This Row],[LayOdds]]-1)*(1+LayTable[[#This Row],[C% Lay]])))-1))+1)))-1)</f>
        <v/>
      </c>
      <c r="Q1322" s="46" t="str">
        <f>IF(LayTable[[#This Row],[Sport]]="","",LayTable[[#This Row],[BookieInnsats]]+LayTable[[#This Row],[LayLiability]])</f>
        <v/>
      </c>
      <c r="R13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2" s="47" t="str">
        <f>IF(LayTable[[#This Row],[Utfall bookie]]="","",LayTable[[#This Row],[WBABack]]+LayTable[[#This Row],[WBALay]]-LayTable[[#This Row],[Total inns]])</f>
        <v/>
      </c>
      <c r="U13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2" s="48" t="str">
        <f>IFERROR(IF(LayTable[[#This Row],[Total inns]]="","",LayTable[[#This Row],[Rback]]/LayTable[[#This Row],[Total inns]]),"")</f>
        <v/>
      </c>
      <c r="X1322" s="48" t="str">
        <f>IFERROR(IF(LayTable[[#This Row],[Total inns]]="","",LayTable[[#This Row],[Rlay]]/LayTable[[#This Row],[Total inns]]),"")</f>
        <v/>
      </c>
      <c r="Y1322" s="48" t="str">
        <f>IFERROR(LayTable[[#This Row],[Faktisk res]]/LayTable[[#This Row],[Total inns]],"")</f>
        <v/>
      </c>
      <c r="Z1322" s="47">
        <f>(LayTable[[#This Row],[BookieInnsats]]*LayTable[[#This Row],[BookieOdds]]-LayTable[[#This Row],[BookieInnsats]])*(1-LayTable[[#This Row],[C% Bookie]])</f>
        <v>0</v>
      </c>
      <c r="AA1322" s="43">
        <f>LayTable[[#This Row],[LayInnsats]]*(1-LayTable[[#This Row],[C% Lay]])</f>
        <v>0</v>
      </c>
      <c r="AB1322" s="43" t="str">
        <f>IFERROR(IF(LayTable[[#This Row],[Sport]]="",AB1321,LayTable[[#This Row],[Faktisk res]]+AB1321),"")</f>
        <v/>
      </c>
      <c r="AC1322" s="43">
        <f>(LayTable[[#This Row],[BackWin-Commission]]+LayTable[[#This Row],[BookieInnsats]])</f>
        <v>0</v>
      </c>
      <c r="AD1322" s="43" t="e">
        <f>(LayTable[[#This Row],[LayWin-Commission]])+LayTable[[#This Row],[LayLiability]]</f>
        <v>#VALUE!</v>
      </c>
      <c r="AE1322" s="43"/>
      <c r="AF1322" s="181"/>
    </row>
    <row r="1323" spans="1:32">
      <c r="A1323" s="84"/>
      <c r="B1323" s="39"/>
      <c r="C1323" s="40"/>
      <c r="D1323" s="41"/>
      <c r="E1323" s="40"/>
      <c r="F1323" s="41"/>
      <c r="G1323" s="101"/>
      <c r="H1323" s="38"/>
      <c r="I1323" s="42"/>
      <c r="J1323" s="42"/>
      <c r="K1323" s="43"/>
      <c r="L1323" s="43"/>
      <c r="M1323" s="44" t="str">
        <f>IF(LayTable[[#This Row],[Sport]]="","",LayTable[[#This Row],[LayInnsats]]*(LayTable[[#This Row],[LayOdds]]-1))</f>
        <v/>
      </c>
      <c r="N1323" s="45" t="str">
        <f>IF(LayTable[[#This Row],[Sport]]="","",1/((1/LayTable[[#This Row],[BookieOdds]])+(1/((1/((1+((LayTable[[#This Row],[LayOdds]]-1)*(1+LayTable[[#This Row],[C% Lay]])))-1))+1)))-1)</f>
        <v/>
      </c>
      <c r="Q1323" s="46" t="str">
        <f>IF(LayTable[[#This Row],[Sport]]="","",LayTable[[#This Row],[BookieInnsats]]+LayTable[[#This Row],[LayLiability]])</f>
        <v/>
      </c>
      <c r="R13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3" s="47" t="str">
        <f>IF(LayTable[[#This Row],[Utfall bookie]]="","",LayTable[[#This Row],[WBABack]]+LayTable[[#This Row],[WBALay]]-LayTable[[#This Row],[Total inns]])</f>
        <v/>
      </c>
      <c r="U13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3" s="48" t="str">
        <f>IFERROR(IF(LayTable[[#This Row],[Total inns]]="","",LayTable[[#This Row],[Rback]]/LayTable[[#This Row],[Total inns]]),"")</f>
        <v/>
      </c>
      <c r="X1323" s="48" t="str">
        <f>IFERROR(IF(LayTable[[#This Row],[Total inns]]="","",LayTable[[#This Row],[Rlay]]/LayTable[[#This Row],[Total inns]]),"")</f>
        <v/>
      </c>
      <c r="Y1323" s="48" t="str">
        <f>IFERROR(LayTable[[#This Row],[Faktisk res]]/LayTable[[#This Row],[Total inns]],"")</f>
        <v/>
      </c>
      <c r="Z1323" s="47">
        <f>(LayTable[[#This Row],[BookieInnsats]]*LayTable[[#This Row],[BookieOdds]]-LayTable[[#This Row],[BookieInnsats]])*(1-LayTable[[#This Row],[C% Bookie]])</f>
        <v>0</v>
      </c>
      <c r="AA1323" s="43">
        <f>LayTable[[#This Row],[LayInnsats]]*(1-LayTable[[#This Row],[C% Lay]])</f>
        <v>0</v>
      </c>
      <c r="AB1323" s="43" t="str">
        <f>IFERROR(IF(LayTable[[#This Row],[Sport]]="",AB1322,LayTable[[#This Row],[Faktisk res]]+AB1322),"")</f>
        <v/>
      </c>
      <c r="AC1323" s="43">
        <f>(LayTable[[#This Row],[BackWin-Commission]]+LayTable[[#This Row],[BookieInnsats]])</f>
        <v>0</v>
      </c>
      <c r="AD1323" s="43" t="e">
        <f>(LayTable[[#This Row],[LayWin-Commission]])+LayTable[[#This Row],[LayLiability]]</f>
        <v>#VALUE!</v>
      </c>
      <c r="AE1323" s="43"/>
      <c r="AF1323" s="181"/>
    </row>
    <row r="1324" spans="1:32">
      <c r="A1324" s="84"/>
      <c r="B1324" s="39"/>
      <c r="C1324" s="40"/>
      <c r="D1324" s="41"/>
      <c r="E1324" s="40"/>
      <c r="F1324" s="41"/>
      <c r="G1324" s="101"/>
      <c r="H1324" s="38"/>
      <c r="I1324" s="42"/>
      <c r="J1324" s="42"/>
      <c r="K1324" s="43"/>
      <c r="L1324" s="43"/>
      <c r="M1324" s="44" t="str">
        <f>IF(LayTable[[#This Row],[Sport]]="","",LayTable[[#This Row],[LayInnsats]]*(LayTable[[#This Row],[LayOdds]]-1))</f>
        <v/>
      </c>
      <c r="N1324" s="45" t="str">
        <f>IF(LayTable[[#This Row],[Sport]]="","",1/((1/LayTable[[#This Row],[BookieOdds]])+(1/((1/((1+((LayTable[[#This Row],[LayOdds]]-1)*(1+LayTable[[#This Row],[C% Lay]])))-1))+1)))-1)</f>
        <v/>
      </c>
      <c r="Q1324" s="46" t="str">
        <f>IF(LayTable[[#This Row],[Sport]]="","",LayTable[[#This Row],[BookieInnsats]]+LayTable[[#This Row],[LayLiability]])</f>
        <v/>
      </c>
      <c r="R13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4" s="47" t="str">
        <f>IF(LayTable[[#This Row],[Utfall bookie]]="","",LayTable[[#This Row],[WBABack]]+LayTable[[#This Row],[WBALay]]-LayTable[[#This Row],[Total inns]])</f>
        <v/>
      </c>
      <c r="U13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4" s="48" t="str">
        <f>IFERROR(IF(LayTable[[#This Row],[Total inns]]="","",LayTable[[#This Row],[Rback]]/LayTable[[#This Row],[Total inns]]),"")</f>
        <v/>
      </c>
      <c r="X1324" s="48" t="str">
        <f>IFERROR(IF(LayTable[[#This Row],[Total inns]]="","",LayTable[[#This Row],[Rlay]]/LayTable[[#This Row],[Total inns]]),"")</f>
        <v/>
      </c>
      <c r="Y1324" s="48" t="str">
        <f>IFERROR(LayTable[[#This Row],[Faktisk res]]/LayTable[[#This Row],[Total inns]],"")</f>
        <v/>
      </c>
      <c r="Z1324" s="47">
        <f>(LayTable[[#This Row],[BookieInnsats]]*LayTable[[#This Row],[BookieOdds]]-LayTable[[#This Row],[BookieInnsats]])*(1-LayTable[[#This Row],[C% Bookie]])</f>
        <v>0</v>
      </c>
      <c r="AA1324" s="43">
        <f>LayTable[[#This Row],[LayInnsats]]*(1-LayTable[[#This Row],[C% Lay]])</f>
        <v>0</v>
      </c>
      <c r="AB1324" s="43" t="str">
        <f>IFERROR(IF(LayTable[[#This Row],[Sport]]="",AB1323,LayTable[[#This Row],[Faktisk res]]+AB1323),"")</f>
        <v/>
      </c>
      <c r="AC1324" s="43">
        <f>(LayTable[[#This Row],[BackWin-Commission]]+LayTable[[#This Row],[BookieInnsats]])</f>
        <v>0</v>
      </c>
      <c r="AD1324" s="43" t="e">
        <f>(LayTable[[#This Row],[LayWin-Commission]])+LayTable[[#This Row],[LayLiability]]</f>
        <v>#VALUE!</v>
      </c>
      <c r="AE1324" s="43"/>
      <c r="AF1324" s="181"/>
    </row>
    <row r="1325" spans="1:32">
      <c r="A1325" s="84"/>
      <c r="B1325" s="39"/>
      <c r="C1325" s="40"/>
      <c r="D1325" s="41"/>
      <c r="E1325" s="40"/>
      <c r="F1325" s="41"/>
      <c r="G1325" s="101"/>
      <c r="H1325" s="38"/>
      <c r="I1325" s="42"/>
      <c r="J1325" s="42"/>
      <c r="K1325" s="43"/>
      <c r="L1325" s="43"/>
      <c r="M1325" s="44" t="str">
        <f>IF(LayTable[[#This Row],[Sport]]="","",LayTable[[#This Row],[LayInnsats]]*(LayTable[[#This Row],[LayOdds]]-1))</f>
        <v/>
      </c>
      <c r="N1325" s="45" t="str">
        <f>IF(LayTable[[#This Row],[Sport]]="","",1/((1/LayTable[[#This Row],[BookieOdds]])+(1/((1/((1+((LayTable[[#This Row],[LayOdds]]-1)*(1+LayTable[[#This Row],[C% Lay]])))-1))+1)))-1)</f>
        <v/>
      </c>
      <c r="Q1325" s="46" t="str">
        <f>IF(LayTable[[#This Row],[Sport]]="","",LayTable[[#This Row],[BookieInnsats]]+LayTable[[#This Row],[LayLiability]])</f>
        <v/>
      </c>
      <c r="R13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5" s="47" t="str">
        <f>IF(LayTable[[#This Row],[Utfall bookie]]="","",LayTable[[#This Row],[WBABack]]+LayTable[[#This Row],[WBALay]]-LayTable[[#This Row],[Total inns]])</f>
        <v/>
      </c>
      <c r="U13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5" s="48" t="str">
        <f>IFERROR(IF(LayTable[[#This Row],[Total inns]]="","",LayTable[[#This Row],[Rback]]/LayTable[[#This Row],[Total inns]]),"")</f>
        <v/>
      </c>
      <c r="X1325" s="48" t="str">
        <f>IFERROR(IF(LayTable[[#This Row],[Total inns]]="","",LayTable[[#This Row],[Rlay]]/LayTable[[#This Row],[Total inns]]),"")</f>
        <v/>
      </c>
      <c r="Y1325" s="48" t="str">
        <f>IFERROR(LayTable[[#This Row],[Faktisk res]]/LayTable[[#This Row],[Total inns]],"")</f>
        <v/>
      </c>
      <c r="Z1325" s="47">
        <f>(LayTable[[#This Row],[BookieInnsats]]*LayTable[[#This Row],[BookieOdds]]-LayTable[[#This Row],[BookieInnsats]])*(1-LayTable[[#This Row],[C% Bookie]])</f>
        <v>0</v>
      </c>
      <c r="AA1325" s="43">
        <f>LayTable[[#This Row],[LayInnsats]]*(1-LayTable[[#This Row],[C% Lay]])</f>
        <v>0</v>
      </c>
      <c r="AB1325" s="43" t="str">
        <f>IFERROR(IF(LayTable[[#This Row],[Sport]]="",AB1324,LayTable[[#This Row],[Faktisk res]]+AB1324),"")</f>
        <v/>
      </c>
      <c r="AC1325" s="43">
        <f>(LayTable[[#This Row],[BackWin-Commission]]+LayTable[[#This Row],[BookieInnsats]])</f>
        <v>0</v>
      </c>
      <c r="AD1325" s="43" t="e">
        <f>(LayTable[[#This Row],[LayWin-Commission]])+LayTable[[#This Row],[LayLiability]]</f>
        <v>#VALUE!</v>
      </c>
      <c r="AE1325" s="43"/>
      <c r="AF1325" s="181"/>
    </row>
    <row r="1326" spans="1:32">
      <c r="A1326" s="84"/>
      <c r="B1326" s="39"/>
      <c r="C1326" s="40"/>
      <c r="D1326" s="41"/>
      <c r="E1326" s="40"/>
      <c r="F1326" s="41"/>
      <c r="G1326" s="101"/>
      <c r="H1326" s="38"/>
      <c r="I1326" s="42"/>
      <c r="J1326" s="42"/>
      <c r="K1326" s="43"/>
      <c r="L1326" s="43"/>
      <c r="M1326" s="44" t="str">
        <f>IF(LayTable[[#This Row],[Sport]]="","",LayTable[[#This Row],[LayInnsats]]*(LayTable[[#This Row],[LayOdds]]-1))</f>
        <v/>
      </c>
      <c r="N1326" s="45" t="str">
        <f>IF(LayTable[[#This Row],[Sport]]="","",1/((1/LayTable[[#This Row],[BookieOdds]])+(1/((1/((1+((LayTable[[#This Row],[LayOdds]]-1)*(1+LayTable[[#This Row],[C% Lay]])))-1))+1)))-1)</f>
        <v/>
      </c>
      <c r="Q1326" s="46" t="str">
        <f>IF(LayTable[[#This Row],[Sport]]="","",LayTable[[#This Row],[BookieInnsats]]+LayTable[[#This Row],[LayLiability]])</f>
        <v/>
      </c>
      <c r="R13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6" s="47" t="str">
        <f>IF(LayTable[[#This Row],[Utfall bookie]]="","",LayTable[[#This Row],[WBABack]]+LayTable[[#This Row],[WBALay]]-LayTable[[#This Row],[Total inns]])</f>
        <v/>
      </c>
      <c r="U13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6" s="48" t="str">
        <f>IFERROR(IF(LayTable[[#This Row],[Total inns]]="","",LayTable[[#This Row],[Rback]]/LayTable[[#This Row],[Total inns]]),"")</f>
        <v/>
      </c>
      <c r="X1326" s="48" t="str">
        <f>IFERROR(IF(LayTable[[#This Row],[Total inns]]="","",LayTable[[#This Row],[Rlay]]/LayTable[[#This Row],[Total inns]]),"")</f>
        <v/>
      </c>
      <c r="Y1326" s="48" t="str">
        <f>IFERROR(LayTable[[#This Row],[Faktisk res]]/LayTable[[#This Row],[Total inns]],"")</f>
        <v/>
      </c>
      <c r="Z1326" s="47">
        <f>(LayTable[[#This Row],[BookieInnsats]]*LayTable[[#This Row],[BookieOdds]]-LayTable[[#This Row],[BookieInnsats]])*(1-LayTable[[#This Row],[C% Bookie]])</f>
        <v>0</v>
      </c>
      <c r="AA1326" s="43">
        <f>LayTable[[#This Row],[LayInnsats]]*(1-LayTable[[#This Row],[C% Lay]])</f>
        <v>0</v>
      </c>
      <c r="AB1326" s="43" t="str">
        <f>IFERROR(IF(LayTable[[#This Row],[Sport]]="",AB1325,LayTable[[#This Row],[Faktisk res]]+AB1325),"")</f>
        <v/>
      </c>
      <c r="AC1326" s="43">
        <f>(LayTable[[#This Row],[BackWin-Commission]]+LayTable[[#This Row],[BookieInnsats]])</f>
        <v>0</v>
      </c>
      <c r="AD1326" s="43" t="e">
        <f>(LayTable[[#This Row],[LayWin-Commission]])+LayTable[[#This Row],[LayLiability]]</f>
        <v>#VALUE!</v>
      </c>
      <c r="AE1326" s="43"/>
      <c r="AF1326" s="181"/>
    </row>
    <row r="1327" spans="1:32">
      <c r="A1327" s="84"/>
      <c r="B1327" s="39"/>
      <c r="C1327" s="40"/>
      <c r="D1327" s="41"/>
      <c r="E1327" s="40"/>
      <c r="F1327" s="41"/>
      <c r="G1327" s="101"/>
      <c r="H1327" s="38"/>
      <c r="I1327" s="42"/>
      <c r="J1327" s="42"/>
      <c r="K1327" s="43"/>
      <c r="L1327" s="43"/>
      <c r="M1327" s="44" t="str">
        <f>IF(LayTable[[#This Row],[Sport]]="","",LayTable[[#This Row],[LayInnsats]]*(LayTable[[#This Row],[LayOdds]]-1))</f>
        <v/>
      </c>
      <c r="N1327" s="45" t="str">
        <f>IF(LayTable[[#This Row],[Sport]]="","",1/((1/LayTable[[#This Row],[BookieOdds]])+(1/((1/((1+((LayTable[[#This Row],[LayOdds]]-1)*(1+LayTable[[#This Row],[C% Lay]])))-1))+1)))-1)</f>
        <v/>
      </c>
      <c r="Q1327" s="46" t="str">
        <f>IF(LayTable[[#This Row],[Sport]]="","",LayTable[[#This Row],[BookieInnsats]]+LayTable[[#This Row],[LayLiability]])</f>
        <v/>
      </c>
      <c r="R13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7" s="47" t="str">
        <f>IF(LayTable[[#This Row],[Utfall bookie]]="","",LayTable[[#This Row],[WBABack]]+LayTable[[#This Row],[WBALay]]-LayTable[[#This Row],[Total inns]])</f>
        <v/>
      </c>
      <c r="U13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7" s="48" t="str">
        <f>IFERROR(IF(LayTable[[#This Row],[Total inns]]="","",LayTable[[#This Row],[Rback]]/LayTable[[#This Row],[Total inns]]),"")</f>
        <v/>
      </c>
      <c r="X1327" s="48" t="str">
        <f>IFERROR(IF(LayTable[[#This Row],[Total inns]]="","",LayTable[[#This Row],[Rlay]]/LayTable[[#This Row],[Total inns]]),"")</f>
        <v/>
      </c>
      <c r="Y1327" s="48" t="str">
        <f>IFERROR(LayTable[[#This Row],[Faktisk res]]/LayTable[[#This Row],[Total inns]],"")</f>
        <v/>
      </c>
      <c r="Z1327" s="47">
        <f>(LayTable[[#This Row],[BookieInnsats]]*LayTable[[#This Row],[BookieOdds]]-LayTable[[#This Row],[BookieInnsats]])*(1-LayTable[[#This Row],[C% Bookie]])</f>
        <v>0</v>
      </c>
      <c r="AA1327" s="43">
        <f>LayTable[[#This Row],[LayInnsats]]*(1-LayTable[[#This Row],[C% Lay]])</f>
        <v>0</v>
      </c>
      <c r="AB1327" s="43" t="str">
        <f>IFERROR(IF(LayTable[[#This Row],[Sport]]="",AB1326,LayTable[[#This Row],[Faktisk res]]+AB1326),"")</f>
        <v/>
      </c>
      <c r="AC1327" s="43">
        <f>(LayTable[[#This Row],[BackWin-Commission]]+LayTable[[#This Row],[BookieInnsats]])</f>
        <v>0</v>
      </c>
      <c r="AD1327" s="43" t="e">
        <f>(LayTable[[#This Row],[LayWin-Commission]])+LayTable[[#This Row],[LayLiability]]</f>
        <v>#VALUE!</v>
      </c>
      <c r="AE1327" s="43"/>
      <c r="AF1327" s="181"/>
    </row>
    <row r="1328" spans="1:32">
      <c r="A1328" s="84"/>
      <c r="B1328" s="39"/>
      <c r="C1328" s="40"/>
      <c r="D1328" s="41"/>
      <c r="E1328" s="40"/>
      <c r="F1328" s="41"/>
      <c r="G1328" s="101"/>
      <c r="H1328" s="38"/>
      <c r="I1328" s="42"/>
      <c r="J1328" s="42"/>
      <c r="K1328" s="43"/>
      <c r="L1328" s="43"/>
      <c r="M1328" s="44" t="str">
        <f>IF(LayTable[[#This Row],[Sport]]="","",LayTable[[#This Row],[LayInnsats]]*(LayTable[[#This Row],[LayOdds]]-1))</f>
        <v/>
      </c>
      <c r="N1328" s="45" t="str">
        <f>IF(LayTable[[#This Row],[Sport]]="","",1/((1/LayTable[[#This Row],[BookieOdds]])+(1/((1/((1+((LayTable[[#This Row],[LayOdds]]-1)*(1+LayTable[[#This Row],[C% Lay]])))-1))+1)))-1)</f>
        <v/>
      </c>
      <c r="Q1328" s="46" t="str">
        <f>IF(LayTable[[#This Row],[Sport]]="","",LayTable[[#This Row],[BookieInnsats]]+LayTable[[#This Row],[LayLiability]])</f>
        <v/>
      </c>
      <c r="R13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8" s="47" t="str">
        <f>IF(LayTable[[#This Row],[Utfall bookie]]="","",LayTable[[#This Row],[WBABack]]+LayTable[[#This Row],[WBALay]]-LayTable[[#This Row],[Total inns]])</f>
        <v/>
      </c>
      <c r="U13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8" s="48" t="str">
        <f>IFERROR(IF(LayTable[[#This Row],[Total inns]]="","",LayTable[[#This Row],[Rback]]/LayTable[[#This Row],[Total inns]]),"")</f>
        <v/>
      </c>
      <c r="X1328" s="48" t="str">
        <f>IFERROR(IF(LayTable[[#This Row],[Total inns]]="","",LayTable[[#This Row],[Rlay]]/LayTable[[#This Row],[Total inns]]),"")</f>
        <v/>
      </c>
      <c r="Y1328" s="48" t="str">
        <f>IFERROR(LayTable[[#This Row],[Faktisk res]]/LayTable[[#This Row],[Total inns]],"")</f>
        <v/>
      </c>
      <c r="Z1328" s="47">
        <f>(LayTable[[#This Row],[BookieInnsats]]*LayTable[[#This Row],[BookieOdds]]-LayTable[[#This Row],[BookieInnsats]])*(1-LayTable[[#This Row],[C% Bookie]])</f>
        <v>0</v>
      </c>
      <c r="AA1328" s="43">
        <f>LayTable[[#This Row],[LayInnsats]]*(1-LayTable[[#This Row],[C% Lay]])</f>
        <v>0</v>
      </c>
      <c r="AB1328" s="43" t="str">
        <f>IFERROR(IF(LayTable[[#This Row],[Sport]]="",AB1327,LayTable[[#This Row],[Faktisk res]]+AB1327),"")</f>
        <v/>
      </c>
      <c r="AC1328" s="43">
        <f>(LayTable[[#This Row],[BackWin-Commission]]+LayTable[[#This Row],[BookieInnsats]])</f>
        <v>0</v>
      </c>
      <c r="AD1328" s="43" t="e">
        <f>(LayTable[[#This Row],[LayWin-Commission]])+LayTable[[#This Row],[LayLiability]]</f>
        <v>#VALUE!</v>
      </c>
      <c r="AE1328" s="43"/>
      <c r="AF1328" s="181"/>
    </row>
    <row r="1329" spans="1:32">
      <c r="A1329" s="84"/>
      <c r="B1329" s="39"/>
      <c r="C1329" s="40"/>
      <c r="D1329" s="41"/>
      <c r="E1329" s="40"/>
      <c r="F1329" s="41"/>
      <c r="G1329" s="101"/>
      <c r="H1329" s="38"/>
      <c r="I1329" s="42"/>
      <c r="J1329" s="42"/>
      <c r="K1329" s="43"/>
      <c r="L1329" s="43"/>
      <c r="M1329" s="44" t="str">
        <f>IF(LayTable[[#This Row],[Sport]]="","",LayTable[[#This Row],[LayInnsats]]*(LayTable[[#This Row],[LayOdds]]-1))</f>
        <v/>
      </c>
      <c r="N1329" s="45" t="str">
        <f>IF(LayTable[[#This Row],[Sport]]="","",1/((1/LayTable[[#This Row],[BookieOdds]])+(1/((1/((1+((LayTable[[#This Row],[LayOdds]]-1)*(1+LayTable[[#This Row],[C% Lay]])))-1))+1)))-1)</f>
        <v/>
      </c>
      <c r="Q1329" s="46" t="str">
        <f>IF(LayTable[[#This Row],[Sport]]="","",LayTable[[#This Row],[BookieInnsats]]+LayTable[[#This Row],[LayLiability]])</f>
        <v/>
      </c>
      <c r="R13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29" s="47" t="str">
        <f>IF(LayTable[[#This Row],[Utfall bookie]]="","",LayTable[[#This Row],[WBABack]]+LayTable[[#This Row],[WBALay]]-LayTable[[#This Row],[Total inns]])</f>
        <v/>
      </c>
      <c r="U13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29" s="48" t="str">
        <f>IFERROR(IF(LayTable[[#This Row],[Total inns]]="","",LayTable[[#This Row],[Rback]]/LayTable[[#This Row],[Total inns]]),"")</f>
        <v/>
      </c>
      <c r="X1329" s="48" t="str">
        <f>IFERROR(IF(LayTable[[#This Row],[Total inns]]="","",LayTable[[#This Row],[Rlay]]/LayTable[[#This Row],[Total inns]]),"")</f>
        <v/>
      </c>
      <c r="Y1329" s="48" t="str">
        <f>IFERROR(LayTable[[#This Row],[Faktisk res]]/LayTable[[#This Row],[Total inns]],"")</f>
        <v/>
      </c>
      <c r="Z1329" s="47">
        <f>(LayTable[[#This Row],[BookieInnsats]]*LayTable[[#This Row],[BookieOdds]]-LayTable[[#This Row],[BookieInnsats]])*(1-LayTable[[#This Row],[C% Bookie]])</f>
        <v>0</v>
      </c>
      <c r="AA1329" s="43">
        <f>LayTable[[#This Row],[LayInnsats]]*(1-LayTable[[#This Row],[C% Lay]])</f>
        <v>0</v>
      </c>
      <c r="AB1329" s="43" t="str">
        <f>IFERROR(IF(LayTable[[#This Row],[Sport]]="",AB1328,LayTable[[#This Row],[Faktisk res]]+AB1328),"")</f>
        <v/>
      </c>
      <c r="AC1329" s="43">
        <f>(LayTable[[#This Row],[BackWin-Commission]]+LayTable[[#This Row],[BookieInnsats]])</f>
        <v>0</v>
      </c>
      <c r="AD1329" s="43" t="e">
        <f>(LayTable[[#This Row],[LayWin-Commission]])+LayTable[[#This Row],[LayLiability]]</f>
        <v>#VALUE!</v>
      </c>
      <c r="AE1329" s="43"/>
      <c r="AF1329" s="181"/>
    </row>
    <row r="1330" spans="1:32">
      <c r="A1330" s="84"/>
      <c r="B1330" s="39"/>
      <c r="C1330" s="40"/>
      <c r="D1330" s="41"/>
      <c r="E1330" s="40"/>
      <c r="F1330" s="41"/>
      <c r="G1330" s="101"/>
      <c r="H1330" s="38"/>
      <c r="I1330" s="42"/>
      <c r="J1330" s="42"/>
      <c r="K1330" s="43"/>
      <c r="L1330" s="43"/>
      <c r="M1330" s="44" t="str">
        <f>IF(LayTable[[#This Row],[Sport]]="","",LayTable[[#This Row],[LayInnsats]]*(LayTable[[#This Row],[LayOdds]]-1))</f>
        <v/>
      </c>
      <c r="N1330" s="45" t="str">
        <f>IF(LayTable[[#This Row],[Sport]]="","",1/((1/LayTable[[#This Row],[BookieOdds]])+(1/((1/((1+((LayTable[[#This Row],[LayOdds]]-1)*(1+LayTable[[#This Row],[C% Lay]])))-1))+1)))-1)</f>
        <v/>
      </c>
      <c r="Q1330" s="46" t="str">
        <f>IF(LayTable[[#This Row],[Sport]]="","",LayTable[[#This Row],[BookieInnsats]]+LayTable[[#This Row],[LayLiability]])</f>
        <v/>
      </c>
      <c r="R13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0" s="47" t="str">
        <f>IF(LayTable[[#This Row],[Utfall bookie]]="","",LayTable[[#This Row],[WBABack]]+LayTable[[#This Row],[WBALay]]-LayTable[[#This Row],[Total inns]])</f>
        <v/>
      </c>
      <c r="U13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0" s="48" t="str">
        <f>IFERROR(IF(LayTable[[#This Row],[Total inns]]="","",LayTable[[#This Row],[Rback]]/LayTable[[#This Row],[Total inns]]),"")</f>
        <v/>
      </c>
      <c r="X1330" s="48" t="str">
        <f>IFERROR(IF(LayTable[[#This Row],[Total inns]]="","",LayTable[[#This Row],[Rlay]]/LayTable[[#This Row],[Total inns]]),"")</f>
        <v/>
      </c>
      <c r="Y1330" s="48" t="str">
        <f>IFERROR(LayTable[[#This Row],[Faktisk res]]/LayTable[[#This Row],[Total inns]],"")</f>
        <v/>
      </c>
      <c r="Z1330" s="47">
        <f>(LayTable[[#This Row],[BookieInnsats]]*LayTable[[#This Row],[BookieOdds]]-LayTable[[#This Row],[BookieInnsats]])*(1-LayTable[[#This Row],[C% Bookie]])</f>
        <v>0</v>
      </c>
      <c r="AA1330" s="43">
        <f>LayTable[[#This Row],[LayInnsats]]*(1-LayTable[[#This Row],[C% Lay]])</f>
        <v>0</v>
      </c>
      <c r="AB1330" s="43" t="str">
        <f>IFERROR(IF(LayTable[[#This Row],[Sport]]="",AB1329,LayTable[[#This Row],[Faktisk res]]+AB1329),"")</f>
        <v/>
      </c>
      <c r="AC1330" s="43">
        <f>(LayTable[[#This Row],[BackWin-Commission]]+LayTable[[#This Row],[BookieInnsats]])</f>
        <v>0</v>
      </c>
      <c r="AD1330" s="43" t="e">
        <f>(LayTable[[#This Row],[LayWin-Commission]])+LayTable[[#This Row],[LayLiability]]</f>
        <v>#VALUE!</v>
      </c>
      <c r="AE1330" s="43"/>
      <c r="AF1330" s="181"/>
    </row>
    <row r="1331" spans="1:32">
      <c r="A1331" s="84"/>
      <c r="B1331" s="39"/>
      <c r="C1331" s="40"/>
      <c r="D1331" s="41"/>
      <c r="E1331" s="40"/>
      <c r="F1331" s="41"/>
      <c r="G1331" s="101"/>
      <c r="H1331" s="38"/>
      <c r="I1331" s="42"/>
      <c r="J1331" s="42"/>
      <c r="K1331" s="43"/>
      <c r="L1331" s="43"/>
      <c r="M1331" s="44" t="str">
        <f>IF(LayTable[[#This Row],[Sport]]="","",LayTable[[#This Row],[LayInnsats]]*(LayTable[[#This Row],[LayOdds]]-1))</f>
        <v/>
      </c>
      <c r="N1331" s="45" t="str">
        <f>IF(LayTable[[#This Row],[Sport]]="","",1/((1/LayTable[[#This Row],[BookieOdds]])+(1/((1/((1+((LayTable[[#This Row],[LayOdds]]-1)*(1+LayTable[[#This Row],[C% Lay]])))-1))+1)))-1)</f>
        <v/>
      </c>
      <c r="Q1331" s="46" t="str">
        <f>IF(LayTable[[#This Row],[Sport]]="","",LayTable[[#This Row],[BookieInnsats]]+LayTable[[#This Row],[LayLiability]])</f>
        <v/>
      </c>
      <c r="R13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1" s="47" t="str">
        <f>IF(LayTable[[#This Row],[Utfall bookie]]="","",LayTable[[#This Row],[WBABack]]+LayTable[[#This Row],[WBALay]]-LayTable[[#This Row],[Total inns]])</f>
        <v/>
      </c>
      <c r="U13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1" s="48" t="str">
        <f>IFERROR(IF(LayTable[[#This Row],[Total inns]]="","",LayTable[[#This Row],[Rback]]/LayTable[[#This Row],[Total inns]]),"")</f>
        <v/>
      </c>
      <c r="X1331" s="48" t="str">
        <f>IFERROR(IF(LayTable[[#This Row],[Total inns]]="","",LayTable[[#This Row],[Rlay]]/LayTable[[#This Row],[Total inns]]),"")</f>
        <v/>
      </c>
      <c r="Y1331" s="48" t="str">
        <f>IFERROR(LayTable[[#This Row],[Faktisk res]]/LayTable[[#This Row],[Total inns]],"")</f>
        <v/>
      </c>
      <c r="Z1331" s="47">
        <f>(LayTable[[#This Row],[BookieInnsats]]*LayTable[[#This Row],[BookieOdds]]-LayTable[[#This Row],[BookieInnsats]])*(1-LayTable[[#This Row],[C% Bookie]])</f>
        <v>0</v>
      </c>
      <c r="AA1331" s="43">
        <f>LayTable[[#This Row],[LayInnsats]]*(1-LayTable[[#This Row],[C% Lay]])</f>
        <v>0</v>
      </c>
      <c r="AB1331" s="43" t="str">
        <f>IFERROR(IF(LayTable[[#This Row],[Sport]]="",AB1330,LayTable[[#This Row],[Faktisk res]]+AB1330),"")</f>
        <v/>
      </c>
      <c r="AC1331" s="43">
        <f>(LayTable[[#This Row],[BackWin-Commission]]+LayTable[[#This Row],[BookieInnsats]])</f>
        <v>0</v>
      </c>
      <c r="AD1331" s="43" t="e">
        <f>(LayTable[[#This Row],[LayWin-Commission]])+LayTable[[#This Row],[LayLiability]]</f>
        <v>#VALUE!</v>
      </c>
      <c r="AE1331" s="43"/>
      <c r="AF1331" s="181"/>
    </row>
    <row r="1332" spans="1:32">
      <c r="A1332" s="84"/>
      <c r="B1332" s="39"/>
      <c r="C1332" s="40"/>
      <c r="D1332" s="41"/>
      <c r="E1332" s="40"/>
      <c r="F1332" s="41"/>
      <c r="G1332" s="101"/>
      <c r="H1332" s="38"/>
      <c r="I1332" s="42"/>
      <c r="J1332" s="42"/>
      <c r="K1332" s="43"/>
      <c r="L1332" s="43"/>
      <c r="M1332" s="44" t="str">
        <f>IF(LayTable[[#This Row],[Sport]]="","",LayTable[[#This Row],[LayInnsats]]*(LayTable[[#This Row],[LayOdds]]-1))</f>
        <v/>
      </c>
      <c r="N1332" s="45" t="str">
        <f>IF(LayTable[[#This Row],[Sport]]="","",1/((1/LayTable[[#This Row],[BookieOdds]])+(1/((1/((1+((LayTable[[#This Row],[LayOdds]]-1)*(1+LayTable[[#This Row],[C% Lay]])))-1))+1)))-1)</f>
        <v/>
      </c>
      <c r="Q1332" s="46" t="str">
        <f>IF(LayTable[[#This Row],[Sport]]="","",LayTable[[#This Row],[BookieInnsats]]+LayTable[[#This Row],[LayLiability]])</f>
        <v/>
      </c>
      <c r="R13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2" s="47" t="str">
        <f>IF(LayTable[[#This Row],[Utfall bookie]]="","",LayTable[[#This Row],[WBABack]]+LayTable[[#This Row],[WBALay]]-LayTable[[#This Row],[Total inns]])</f>
        <v/>
      </c>
      <c r="U13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2" s="48" t="str">
        <f>IFERROR(IF(LayTable[[#This Row],[Total inns]]="","",LayTable[[#This Row],[Rback]]/LayTable[[#This Row],[Total inns]]),"")</f>
        <v/>
      </c>
      <c r="X1332" s="48" t="str">
        <f>IFERROR(IF(LayTable[[#This Row],[Total inns]]="","",LayTable[[#This Row],[Rlay]]/LayTable[[#This Row],[Total inns]]),"")</f>
        <v/>
      </c>
      <c r="Y1332" s="48" t="str">
        <f>IFERROR(LayTable[[#This Row],[Faktisk res]]/LayTable[[#This Row],[Total inns]],"")</f>
        <v/>
      </c>
      <c r="Z1332" s="47">
        <f>(LayTable[[#This Row],[BookieInnsats]]*LayTable[[#This Row],[BookieOdds]]-LayTable[[#This Row],[BookieInnsats]])*(1-LayTable[[#This Row],[C% Bookie]])</f>
        <v>0</v>
      </c>
      <c r="AA1332" s="43">
        <f>LayTable[[#This Row],[LayInnsats]]*(1-LayTable[[#This Row],[C% Lay]])</f>
        <v>0</v>
      </c>
      <c r="AB1332" s="43" t="str">
        <f>IFERROR(IF(LayTable[[#This Row],[Sport]]="",AB1331,LayTable[[#This Row],[Faktisk res]]+AB1331),"")</f>
        <v/>
      </c>
      <c r="AC1332" s="43">
        <f>(LayTable[[#This Row],[BackWin-Commission]]+LayTable[[#This Row],[BookieInnsats]])</f>
        <v>0</v>
      </c>
      <c r="AD1332" s="43" t="e">
        <f>(LayTable[[#This Row],[LayWin-Commission]])+LayTable[[#This Row],[LayLiability]]</f>
        <v>#VALUE!</v>
      </c>
      <c r="AE1332" s="43"/>
      <c r="AF1332" s="181"/>
    </row>
    <row r="1333" spans="1:32">
      <c r="A1333" s="84"/>
      <c r="B1333" s="39"/>
      <c r="C1333" s="40"/>
      <c r="D1333" s="41"/>
      <c r="E1333" s="40"/>
      <c r="F1333" s="41"/>
      <c r="G1333" s="101"/>
      <c r="H1333" s="38"/>
      <c r="I1333" s="42"/>
      <c r="J1333" s="42"/>
      <c r="K1333" s="43"/>
      <c r="L1333" s="43"/>
      <c r="M1333" s="44" t="str">
        <f>IF(LayTable[[#This Row],[Sport]]="","",LayTable[[#This Row],[LayInnsats]]*(LayTable[[#This Row],[LayOdds]]-1))</f>
        <v/>
      </c>
      <c r="N1333" s="45" t="str">
        <f>IF(LayTable[[#This Row],[Sport]]="","",1/((1/LayTable[[#This Row],[BookieOdds]])+(1/((1/((1+((LayTable[[#This Row],[LayOdds]]-1)*(1+LayTable[[#This Row],[C% Lay]])))-1))+1)))-1)</f>
        <v/>
      </c>
      <c r="Q1333" s="46" t="str">
        <f>IF(LayTable[[#This Row],[Sport]]="","",LayTable[[#This Row],[BookieInnsats]]+LayTable[[#This Row],[LayLiability]])</f>
        <v/>
      </c>
      <c r="R13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3" s="47" t="str">
        <f>IF(LayTable[[#This Row],[Utfall bookie]]="","",LayTable[[#This Row],[WBABack]]+LayTable[[#This Row],[WBALay]]-LayTable[[#This Row],[Total inns]])</f>
        <v/>
      </c>
      <c r="U13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3" s="48" t="str">
        <f>IFERROR(IF(LayTable[[#This Row],[Total inns]]="","",LayTable[[#This Row],[Rback]]/LayTable[[#This Row],[Total inns]]),"")</f>
        <v/>
      </c>
      <c r="X1333" s="48" t="str">
        <f>IFERROR(IF(LayTable[[#This Row],[Total inns]]="","",LayTable[[#This Row],[Rlay]]/LayTable[[#This Row],[Total inns]]),"")</f>
        <v/>
      </c>
      <c r="Y1333" s="48" t="str">
        <f>IFERROR(LayTable[[#This Row],[Faktisk res]]/LayTable[[#This Row],[Total inns]],"")</f>
        <v/>
      </c>
      <c r="Z1333" s="47">
        <f>(LayTable[[#This Row],[BookieInnsats]]*LayTable[[#This Row],[BookieOdds]]-LayTable[[#This Row],[BookieInnsats]])*(1-LayTable[[#This Row],[C% Bookie]])</f>
        <v>0</v>
      </c>
      <c r="AA1333" s="43">
        <f>LayTable[[#This Row],[LayInnsats]]*(1-LayTable[[#This Row],[C% Lay]])</f>
        <v>0</v>
      </c>
      <c r="AB1333" s="43" t="str">
        <f>IFERROR(IF(LayTable[[#This Row],[Sport]]="",AB1332,LayTable[[#This Row],[Faktisk res]]+AB1332),"")</f>
        <v/>
      </c>
      <c r="AC1333" s="43">
        <f>(LayTable[[#This Row],[BackWin-Commission]]+LayTable[[#This Row],[BookieInnsats]])</f>
        <v>0</v>
      </c>
      <c r="AD1333" s="43" t="e">
        <f>(LayTable[[#This Row],[LayWin-Commission]])+LayTable[[#This Row],[LayLiability]]</f>
        <v>#VALUE!</v>
      </c>
      <c r="AE1333" s="43"/>
      <c r="AF1333" s="181"/>
    </row>
    <row r="1334" spans="1:32">
      <c r="A1334" s="84"/>
      <c r="B1334" s="39"/>
      <c r="C1334" s="40"/>
      <c r="D1334" s="41"/>
      <c r="E1334" s="40"/>
      <c r="F1334" s="41"/>
      <c r="G1334" s="101"/>
      <c r="H1334" s="38"/>
      <c r="I1334" s="42"/>
      <c r="J1334" s="42"/>
      <c r="K1334" s="43"/>
      <c r="L1334" s="43"/>
      <c r="M1334" s="44" t="str">
        <f>IF(LayTable[[#This Row],[Sport]]="","",LayTable[[#This Row],[LayInnsats]]*(LayTable[[#This Row],[LayOdds]]-1))</f>
        <v/>
      </c>
      <c r="N1334" s="45" t="str">
        <f>IF(LayTable[[#This Row],[Sport]]="","",1/((1/LayTable[[#This Row],[BookieOdds]])+(1/((1/((1+((LayTable[[#This Row],[LayOdds]]-1)*(1+LayTable[[#This Row],[C% Lay]])))-1))+1)))-1)</f>
        <v/>
      </c>
      <c r="Q1334" s="46" t="str">
        <f>IF(LayTable[[#This Row],[Sport]]="","",LayTable[[#This Row],[BookieInnsats]]+LayTable[[#This Row],[LayLiability]])</f>
        <v/>
      </c>
      <c r="R13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4" s="47" t="str">
        <f>IF(LayTable[[#This Row],[Utfall bookie]]="","",LayTable[[#This Row],[WBABack]]+LayTable[[#This Row],[WBALay]]-LayTable[[#This Row],[Total inns]])</f>
        <v/>
      </c>
      <c r="U13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4" s="48" t="str">
        <f>IFERROR(IF(LayTable[[#This Row],[Total inns]]="","",LayTable[[#This Row],[Rback]]/LayTable[[#This Row],[Total inns]]),"")</f>
        <v/>
      </c>
      <c r="X1334" s="48" t="str">
        <f>IFERROR(IF(LayTable[[#This Row],[Total inns]]="","",LayTable[[#This Row],[Rlay]]/LayTable[[#This Row],[Total inns]]),"")</f>
        <v/>
      </c>
      <c r="Y1334" s="48" t="str">
        <f>IFERROR(LayTable[[#This Row],[Faktisk res]]/LayTable[[#This Row],[Total inns]],"")</f>
        <v/>
      </c>
      <c r="Z1334" s="47">
        <f>(LayTable[[#This Row],[BookieInnsats]]*LayTable[[#This Row],[BookieOdds]]-LayTable[[#This Row],[BookieInnsats]])*(1-LayTable[[#This Row],[C% Bookie]])</f>
        <v>0</v>
      </c>
      <c r="AA1334" s="43">
        <f>LayTable[[#This Row],[LayInnsats]]*(1-LayTable[[#This Row],[C% Lay]])</f>
        <v>0</v>
      </c>
      <c r="AB1334" s="43" t="str">
        <f>IFERROR(IF(LayTable[[#This Row],[Sport]]="",AB1333,LayTable[[#This Row],[Faktisk res]]+AB1333),"")</f>
        <v/>
      </c>
      <c r="AC1334" s="43">
        <f>(LayTable[[#This Row],[BackWin-Commission]]+LayTable[[#This Row],[BookieInnsats]])</f>
        <v>0</v>
      </c>
      <c r="AD1334" s="43" t="e">
        <f>(LayTable[[#This Row],[LayWin-Commission]])+LayTable[[#This Row],[LayLiability]]</f>
        <v>#VALUE!</v>
      </c>
      <c r="AE1334" s="43"/>
      <c r="AF1334" s="181"/>
    </row>
    <row r="1335" spans="1:32">
      <c r="A1335" s="84"/>
      <c r="B1335" s="39"/>
      <c r="C1335" s="40"/>
      <c r="D1335" s="41"/>
      <c r="E1335" s="40"/>
      <c r="F1335" s="41"/>
      <c r="G1335" s="101"/>
      <c r="H1335" s="38"/>
      <c r="I1335" s="42"/>
      <c r="J1335" s="42"/>
      <c r="K1335" s="43"/>
      <c r="L1335" s="43"/>
      <c r="M1335" s="44" t="str">
        <f>IF(LayTable[[#This Row],[Sport]]="","",LayTable[[#This Row],[LayInnsats]]*(LayTable[[#This Row],[LayOdds]]-1))</f>
        <v/>
      </c>
      <c r="N1335" s="45" t="str">
        <f>IF(LayTable[[#This Row],[Sport]]="","",1/((1/LayTable[[#This Row],[BookieOdds]])+(1/((1/((1+((LayTable[[#This Row],[LayOdds]]-1)*(1+LayTable[[#This Row],[C% Lay]])))-1))+1)))-1)</f>
        <v/>
      </c>
      <c r="Q1335" s="46" t="str">
        <f>IF(LayTable[[#This Row],[Sport]]="","",LayTable[[#This Row],[BookieInnsats]]+LayTable[[#This Row],[LayLiability]])</f>
        <v/>
      </c>
      <c r="R13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5" s="47" t="str">
        <f>IF(LayTable[[#This Row],[Utfall bookie]]="","",LayTable[[#This Row],[WBABack]]+LayTable[[#This Row],[WBALay]]-LayTable[[#This Row],[Total inns]])</f>
        <v/>
      </c>
      <c r="U13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5" s="48" t="str">
        <f>IFERROR(IF(LayTable[[#This Row],[Total inns]]="","",LayTable[[#This Row],[Rback]]/LayTable[[#This Row],[Total inns]]),"")</f>
        <v/>
      </c>
      <c r="X1335" s="48" t="str">
        <f>IFERROR(IF(LayTable[[#This Row],[Total inns]]="","",LayTable[[#This Row],[Rlay]]/LayTable[[#This Row],[Total inns]]),"")</f>
        <v/>
      </c>
      <c r="Y1335" s="48" t="str">
        <f>IFERROR(LayTable[[#This Row],[Faktisk res]]/LayTable[[#This Row],[Total inns]],"")</f>
        <v/>
      </c>
      <c r="Z1335" s="47">
        <f>(LayTable[[#This Row],[BookieInnsats]]*LayTable[[#This Row],[BookieOdds]]-LayTable[[#This Row],[BookieInnsats]])*(1-LayTable[[#This Row],[C% Bookie]])</f>
        <v>0</v>
      </c>
      <c r="AA1335" s="43">
        <f>LayTable[[#This Row],[LayInnsats]]*(1-LayTable[[#This Row],[C% Lay]])</f>
        <v>0</v>
      </c>
      <c r="AB1335" s="43" t="str">
        <f>IFERROR(IF(LayTable[[#This Row],[Sport]]="",AB1334,LayTable[[#This Row],[Faktisk res]]+AB1334),"")</f>
        <v/>
      </c>
      <c r="AC1335" s="43">
        <f>(LayTable[[#This Row],[BackWin-Commission]]+LayTable[[#This Row],[BookieInnsats]])</f>
        <v>0</v>
      </c>
      <c r="AD1335" s="43" t="e">
        <f>(LayTable[[#This Row],[LayWin-Commission]])+LayTable[[#This Row],[LayLiability]]</f>
        <v>#VALUE!</v>
      </c>
      <c r="AE1335" s="43"/>
      <c r="AF1335" s="181"/>
    </row>
    <row r="1336" spans="1:32">
      <c r="A1336" s="84"/>
      <c r="B1336" s="39"/>
      <c r="C1336" s="40"/>
      <c r="D1336" s="41"/>
      <c r="E1336" s="40"/>
      <c r="F1336" s="41"/>
      <c r="G1336" s="101"/>
      <c r="H1336" s="38"/>
      <c r="I1336" s="42"/>
      <c r="J1336" s="42"/>
      <c r="K1336" s="43"/>
      <c r="L1336" s="43"/>
      <c r="M1336" s="44" t="str">
        <f>IF(LayTable[[#This Row],[Sport]]="","",LayTable[[#This Row],[LayInnsats]]*(LayTable[[#This Row],[LayOdds]]-1))</f>
        <v/>
      </c>
      <c r="N1336" s="45" t="str">
        <f>IF(LayTable[[#This Row],[Sport]]="","",1/((1/LayTable[[#This Row],[BookieOdds]])+(1/((1/((1+((LayTable[[#This Row],[LayOdds]]-1)*(1+LayTable[[#This Row],[C% Lay]])))-1))+1)))-1)</f>
        <v/>
      </c>
      <c r="Q1336" s="46" t="str">
        <f>IF(LayTable[[#This Row],[Sport]]="","",LayTable[[#This Row],[BookieInnsats]]+LayTable[[#This Row],[LayLiability]])</f>
        <v/>
      </c>
      <c r="R13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6" s="47" t="str">
        <f>IF(LayTable[[#This Row],[Utfall bookie]]="","",LayTable[[#This Row],[WBABack]]+LayTable[[#This Row],[WBALay]]-LayTable[[#This Row],[Total inns]])</f>
        <v/>
      </c>
      <c r="U13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6" s="48" t="str">
        <f>IFERROR(IF(LayTable[[#This Row],[Total inns]]="","",LayTable[[#This Row],[Rback]]/LayTable[[#This Row],[Total inns]]),"")</f>
        <v/>
      </c>
      <c r="X1336" s="48" t="str">
        <f>IFERROR(IF(LayTable[[#This Row],[Total inns]]="","",LayTable[[#This Row],[Rlay]]/LayTable[[#This Row],[Total inns]]),"")</f>
        <v/>
      </c>
      <c r="Y1336" s="48" t="str">
        <f>IFERROR(LayTable[[#This Row],[Faktisk res]]/LayTable[[#This Row],[Total inns]],"")</f>
        <v/>
      </c>
      <c r="Z1336" s="47">
        <f>(LayTable[[#This Row],[BookieInnsats]]*LayTable[[#This Row],[BookieOdds]]-LayTable[[#This Row],[BookieInnsats]])*(1-LayTable[[#This Row],[C% Bookie]])</f>
        <v>0</v>
      </c>
      <c r="AA1336" s="43">
        <f>LayTable[[#This Row],[LayInnsats]]*(1-LayTable[[#This Row],[C% Lay]])</f>
        <v>0</v>
      </c>
      <c r="AB1336" s="43" t="str">
        <f>IFERROR(IF(LayTable[[#This Row],[Sport]]="",AB1335,LayTable[[#This Row],[Faktisk res]]+AB1335),"")</f>
        <v/>
      </c>
      <c r="AC1336" s="43">
        <f>(LayTable[[#This Row],[BackWin-Commission]]+LayTable[[#This Row],[BookieInnsats]])</f>
        <v>0</v>
      </c>
      <c r="AD1336" s="43" t="e">
        <f>(LayTable[[#This Row],[LayWin-Commission]])+LayTable[[#This Row],[LayLiability]]</f>
        <v>#VALUE!</v>
      </c>
      <c r="AE1336" s="43"/>
      <c r="AF1336" s="181"/>
    </row>
    <row r="1337" spans="1:32">
      <c r="A1337" s="84"/>
      <c r="B1337" s="39"/>
      <c r="C1337" s="40"/>
      <c r="D1337" s="41"/>
      <c r="E1337" s="40"/>
      <c r="F1337" s="41"/>
      <c r="G1337" s="101"/>
      <c r="H1337" s="38"/>
      <c r="I1337" s="42"/>
      <c r="J1337" s="42"/>
      <c r="K1337" s="43"/>
      <c r="L1337" s="43"/>
      <c r="M1337" s="44" t="str">
        <f>IF(LayTable[[#This Row],[Sport]]="","",LayTable[[#This Row],[LayInnsats]]*(LayTable[[#This Row],[LayOdds]]-1))</f>
        <v/>
      </c>
      <c r="N1337" s="45" t="str">
        <f>IF(LayTable[[#This Row],[Sport]]="","",1/((1/LayTable[[#This Row],[BookieOdds]])+(1/((1/((1+((LayTable[[#This Row],[LayOdds]]-1)*(1+LayTable[[#This Row],[C% Lay]])))-1))+1)))-1)</f>
        <v/>
      </c>
      <c r="Q1337" s="46" t="str">
        <f>IF(LayTable[[#This Row],[Sport]]="","",LayTable[[#This Row],[BookieInnsats]]+LayTable[[#This Row],[LayLiability]])</f>
        <v/>
      </c>
      <c r="R13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7" s="47" t="str">
        <f>IF(LayTable[[#This Row],[Utfall bookie]]="","",LayTable[[#This Row],[WBABack]]+LayTable[[#This Row],[WBALay]]-LayTable[[#This Row],[Total inns]])</f>
        <v/>
      </c>
      <c r="U13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7" s="48" t="str">
        <f>IFERROR(IF(LayTable[[#This Row],[Total inns]]="","",LayTable[[#This Row],[Rback]]/LayTable[[#This Row],[Total inns]]),"")</f>
        <v/>
      </c>
      <c r="X1337" s="48" t="str">
        <f>IFERROR(IF(LayTable[[#This Row],[Total inns]]="","",LayTable[[#This Row],[Rlay]]/LayTable[[#This Row],[Total inns]]),"")</f>
        <v/>
      </c>
      <c r="Y1337" s="48" t="str">
        <f>IFERROR(LayTable[[#This Row],[Faktisk res]]/LayTable[[#This Row],[Total inns]],"")</f>
        <v/>
      </c>
      <c r="Z1337" s="47">
        <f>(LayTable[[#This Row],[BookieInnsats]]*LayTable[[#This Row],[BookieOdds]]-LayTable[[#This Row],[BookieInnsats]])*(1-LayTable[[#This Row],[C% Bookie]])</f>
        <v>0</v>
      </c>
      <c r="AA1337" s="43">
        <f>LayTable[[#This Row],[LayInnsats]]*(1-LayTable[[#This Row],[C% Lay]])</f>
        <v>0</v>
      </c>
      <c r="AB1337" s="43" t="str">
        <f>IFERROR(IF(LayTable[[#This Row],[Sport]]="",AB1336,LayTable[[#This Row],[Faktisk res]]+AB1336),"")</f>
        <v/>
      </c>
      <c r="AC1337" s="43">
        <f>(LayTable[[#This Row],[BackWin-Commission]]+LayTable[[#This Row],[BookieInnsats]])</f>
        <v>0</v>
      </c>
      <c r="AD1337" s="43" t="e">
        <f>(LayTable[[#This Row],[LayWin-Commission]])+LayTable[[#This Row],[LayLiability]]</f>
        <v>#VALUE!</v>
      </c>
      <c r="AE1337" s="43"/>
      <c r="AF1337" s="181"/>
    </row>
    <row r="1338" spans="1:32">
      <c r="A1338" s="84"/>
      <c r="B1338" s="39"/>
      <c r="C1338" s="40"/>
      <c r="D1338" s="41"/>
      <c r="E1338" s="40"/>
      <c r="F1338" s="41"/>
      <c r="G1338" s="101"/>
      <c r="H1338" s="38"/>
      <c r="I1338" s="42"/>
      <c r="J1338" s="42"/>
      <c r="K1338" s="43"/>
      <c r="L1338" s="43"/>
      <c r="M1338" s="44" t="str">
        <f>IF(LayTable[[#This Row],[Sport]]="","",LayTable[[#This Row],[LayInnsats]]*(LayTable[[#This Row],[LayOdds]]-1))</f>
        <v/>
      </c>
      <c r="N1338" s="45" t="str">
        <f>IF(LayTable[[#This Row],[Sport]]="","",1/((1/LayTable[[#This Row],[BookieOdds]])+(1/((1/((1+((LayTable[[#This Row],[LayOdds]]-1)*(1+LayTable[[#This Row],[C% Lay]])))-1))+1)))-1)</f>
        <v/>
      </c>
      <c r="Q1338" s="46" t="str">
        <f>IF(LayTable[[#This Row],[Sport]]="","",LayTable[[#This Row],[BookieInnsats]]+LayTable[[#This Row],[LayLiability]])</f>
        <v/>
      </c>
      <c r="R13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8" s="47" t="str">
        <f>IF(LayTable[[#This Row],[Utfall bookie]]="","",LayTable[[#This Row],[WBABack]]+LayTable[[#This Row],[WBALay]]-LayTable[[#This Row],[Total inns]])</f>
        <v/>
      </c>
      <c r="U13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8" s="48" t="str">
        <f>IFERROR(IF(LayTable[[#This Row],[Total inns]]="","",LayTable[[#This Row],[Rback]]/LayTable[[#This Row],[Total inns]]),"")</f>
        <v/>
      </c>
      <c r="X1338" s="48" t="str">
        <f>IFERROR(IF(LayTable[[#This Row],[Total inns]]="","",LayTable[[#This Row],[Rlay]]/LayTable[[#This Row],[Total inns]]),"")</f>
        <v/>
      </c>
      <c r="Y1338" s="48" t="str">
        <f>IFERROR(LayTable[[#This Row],[Faktisk res]]/LayTable[[#This Row],[Total inns]],"")</f>
        <v/>
      </c>
      <c r="Z1338" s="47">
        <f>(LayTable[[#This Row],[BookieInnsats]]*LayTable[[#This Row],[BookieOdds]]-LayTable[[#This Row],[BookieInnsats]])*(1-LayTable[[#This Row],[C% Bookie]])</f>
        <v>0</v>
      </c>
      <c r="AA1338" s="43">
        <f>LayTable[[#This Row],[LayInnsats]]*(1-LayTable[[#This Row],[C% Lay]])</f>
        <v>0</v>
      </c>
      <c r="AB1338" s="43" t="str">
        <f>IFERROR(IF(LayTable[[#This Row],[Sport]]="",AB1337,LayTable[[#This Row],[Faktisk res]]+AB1337),"")</f>
        <v/>
      </c>
      <c r="AC1338" s="43">
        <f>(LayTable[[#This Row],[BackWin-Commission]]+LayTable[[#This Row],[BookieInnsats]])</f>
        <v>0</v>
      </c>
      <c r="AD1338" s="43" t="e">
        <f>(LayTable[[#This Row],[LayWin-Commission]])+LayTable[[#This Row],[LayLiability]]</f>
        <v>#VALUE!</v>
      </c>
      <c r="AE1338" s="43"/>
      <c r="AF1338" s="181"/>
    </row>
    <row r="1339" spans="1:32">
      <c r="A1339" s="84"/>
      <c r="B1339" s="39"/>
      <c r="C1339" s="40"/>
      <c r="D1339" s="41"/>
      <c r="E1339" s="40"/>
      <c r="F1339" s="41"/>
      <c r="G1339" s="101"/>
      <c r="H1339" s="38"/>
      <c r="I1339" s="42"/>
      <c r="J1339" s="42"/>
      <c r="K1339" s="43"/>
      <c r="L1339" s="43"/>
      <c r="M1339" s="44" t="str">
        <f>IF(LayTable[[#This Row],[Sport]]="","",LayTable[[#This Row],[LayInnsats]]*(LayTable[[#This Row],[LayOdds]]-1))</f>
        <v/>
      </c>
      <c r="N1339" s="45" t="str">
        <f>IF(LayTable[[#This Row],[Sport]]="","",1/((1/LayTable[[#This Row],[BookieOdds]])+(1/((1/((1+((LayTable[[#This Row],[LayOdds]]-1)*(1+LayTable[[#This Row],[C% Lay]])))-1))+1)))-1)</f>
        <v/>
      </c>
      <c r="Q1339" s="46" t="str">
        <f>IF(LayTable[[#This Row],[Sport]]="","",LayTable[[#This Row],[BookieInnsats]]+LayTable[[#This Row],[LayLiability]])</f>
        <v/>
      </c>
      <c r="R13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39" s="47" t="str">
        <f>IF(LayTable[[#This Row],[Utfall bookie]]="","",LayTable[[#This Row],[WBABack]]+LayTable[[#This Row],[WBALay]]-LayTable[[#This Row],[Total inns]])</f>
        <v/>
      </c>
      <c r="U13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39" s="48" t="str">
        <f>IFERROR(IF(LayTable[[#This Row],[Total inns]]="","",LayTable[[#This Row],[Rback]]/LayTable[[#This Row],[Total inns]]),"")</f>
        <v/>
      </c>
      <c r="X1339" s="48" t="str">
        <f>IFERROR(IF(LayTable[[#This Row],[Total inns]]="","",LayTable[[#This Row],[Rlay]]/LayTable[[#This Row],[Total inns]]),"")</f>
        <v/>
      </c>
      <c r="Y1339" s="48" t="str">
        <f>IFERROR(LayTable[[#This Row],[Faktisk res]]/LayTable[[#This Row],[Total inns]],"")</f>
        <v/>
      </c>
      <c r="Z1339" s="47">
        <f>(LayTable[[#This Row],[BookieInnsats]]*LayTable[[#This Row],[BookieOdds]]-LayTable[[#This Row],[BookieInnsats]])*(1-LayTable[[#This Row],[C% Bookie]])</f>
        <v>0</v>
      </c>
      <c r="AA1339" s="43">
        <f>LayTable[[#This Row],[LayInnsats]]*(1-LayTable[[#This Row],[C% Lay]])</f>
        <v>0</v>
      </c>
      <c r="AB1339" s="43" t="str">
        <f>IFERROR(IF(LayTable[[#This Row],[Sport]]="",AB1338,LayTable[[#This Row],[Faktisk res]]+AB1338),"")</f>
        <v/>
      </c>
      <c r="AC1339" s="43">
        <f>(LayTable[[#This Row],[BackWin-Commission]]+LayTable[[#This Row],[BookieInnsats]])</f>
        <v>0</v>
      </c>
      <c r="AD1339" s="43" t="e">
        <f>(LayTable[[#This Row],[LayWin-Commission]])+LayTable[[#This Row],[LayLiability]]</f>
        <v>#VALUE!</v>
      </c>
      <c r="AE1339" s="43"/>
      <c r="AF1339" s="181"/>
    </row>
    <row r="1340" spans="1:32">
      <c r="A1340" s="84"/>
      <c r="B1340" s="39"/>
      <c r="C1340" s="40"/>
      <c r="D1340" s="41"/>
      <c r="E1340" s="40"/>
      <c r="F1340" s="41"/>
      <c r="G1340" s="101"/>
      <c r="H1340" s="38"/>
      <c r="I1340" s="42"/>
      <c r="J1340" s="42"/>
      <c r="K1340" s="43"/>
      <c r="L1340" s="43"/>
      <c r="M1340" s="44" t="str">
        <f>IF(LayTable[[#This Row],[Sport]]="","",LayTable[[#This Row],[LayInnsats]]*(LayTable[[#This Row],[LayOdds]]-1))</f>
        <v/>
      </c>
      <c r="N1340" s="45" t="str">
        <f>IF(LayTable[[#This Row],[Sport]]="","",1/((1/LayTable[[#This Row],[BookieOdds]])+(1/((1/((1+((LayTable[[#This Row],[LayOdds]]-1)*(1+LayTable[[#This Row],[C% Lay]])))-1))+1)))-1)</f>
        <v/>
      </c>
      <c r="Q1340" s="46" t="str">
        <f>IF(LayTable[[#This Row],[Sport]]="","",LayTable[[#This Row],[BookieInnsats]]+LayTable[[#This Row],[LayLiability]])</f>
        <v/>
      </c>
      <c r="R13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0" s="47" t="str">
        <f>IF(LayTable[[#This Row],[Utfall bookie]]="","",LayTable[[#This Row],[WBABack]]+LayTable[[#This Row],[WBALay]]-LayTable[[#This Row],[Total inns]])</f>
        <v/>
      </c>
      <c r="U13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0" s="48" t="str">
        <f>IFERROR(IF(LayTable[[#This Row],[Total inns]]="","",LayTable[[#This Row],[Rback]]/LayTable[[#This Row],[Total inns]]),"")</f>
        <v/>
      </c>
      <c r="X1340" s="48" t="str">
        <f>IFERROR(IF(LayTable[[#This Row],[Total inns]]="","",LayTable[[#This Row],[Rlay]]/LayTable[[#This Row],[Total inns]]),"")</f>
        <v/>
      </c>
      <c r="Y1340" s="48" t="str">
        <f>IFERROR(LayTable[[#This Row],[Faktisk res]]/LayTable[[#This Row],[Total inns]],"")</f>
        <v/>
      </c>
      <c r="Z1340" s="47">
        <f>(LayTable[[#This Row],[BookieInnsats]]*LayTable[[#This Row],[BookieOdds]]-LayTable[[#This Row],[BookieInnsats]])*(1-LayTable[[#This Row],[C% Bookie]])</f>
        <v>0</v>
      </c>
      <c r="AA1340" s="43">
        <f>LayTable[[#This Row],[LayInnsats]]*(1-LayTable[[#This Row],[C% Lay]])</f>
        <v>0</v>
      </c>
      <c r="AB1340" s="43" t="str">
        <f>IFERROR(IF(LayTable[[#This Row],[Sport]]="",AB1339,LayTable[[#This Row],[Faktisk res]]+AB1339),"")</f>
        <v/>
      </c>
      <c r="AC1340" s="43">
        <f>(LayTable[[#This Row],[BackWin-Commission]]+LayTable[[#This Row],[BookieInnsats]])</f>
        <v>0</v>
      </c>
      <c r="AD1340" s="43" t="e">
        <f>(LayTable[[#This Row],[LayWin-Commission]])+LayTable[[#This Row],[LayLiability]]</f>
        <v>#VALUE!</v>
      </c>
      <c r="AE1340" s="43"/>
      <c r="AF1340" s="181"/>
    </row>
    <row r="1341" spans="1:32">
      <c r="A1341" s="84"/>
      <c r="B1341" s="39"/>
      <c r="C1341" s="40"/>
      <c r="D1341" s="41"/>
      <c r="E1341" s="40"/>
      <c r="F1341" s="41"/>
      <c r="G1341" s="101"/>
      <c r="H1341" s="38"/>
      <c r="I1341" s="42"/>
      <c r="J1341" s="42"/>
      <c r="K1341" s="43"/>
      <c r="L1341" s="43"/>
      <c r="M1341" s="44" t="str">
        <f>IF(LayTable[[#This Row],[Sport]]="","",LayTable[[#This Row],[LayInnsats]]*(LayTable[[#This Row],[LayOdds]]-1))</f>
        <v/>
      </c>
      <c r="N1341" s="45" t="str">
        <f>IF(LayTable[[#This Row],[Sport]]="","",1/((1/LayTable[[#This Row],[BookieOdds]])+(1/((1/((1+((LayTable[[#This Row],[LayOdds]]-1)*(1+LayTable[[#This Row],[C% Lay]])))-1))+1)))-1)</f>
        <v/>
      </c>
      <c r="Q1341" s="46" t="str">
        <f>IF(LayTable[[#This Row],[Sport]]="","",LayTable[[#This Row],[BookieInnsats]]+LayTable[[#This Row],[LayLiability]])</f>
        <v/>
      </c>
      <c r="R13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1" s="47" t="str">
        <f>IF(LayTable[[#This Row],[Utfall bookie]]="","",LayTable[[#This Row],[WBABack]]+LayTable[[#This Row],[WBALay]]-LayTable[[#This Row],[Total inns]])</f>
        <v/>
      </c>
      <c r="U13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1" s="48" t="str">
        <f>IFERROR(IF(LayTable[[#This Row],[Total inns]]="","",LayTable[[#This Row],[Rback]]/LayTable[[#This Row],[Total inns]]),"")</f>
        <v/>
      </c>
      <c r="X1341" s="48" t="str">
        <f>IFERROR(IF(LayTable[[#This Row],[Total inns]]="","",LayTable[[#This Row],[Rlay]]/LayTable[[#This Row],[Total inns]]),"")</f>
        <v/>
      </c>
      <c r="Y1341" s="48" t="str">
        <f>IFERROR(LayTable[[#This Row],[Faktisk res]]/LayTable[[#This Row],[Total inns]],"")</f>
        <v/>
      </c>
      <c r="Z1341" s="47">
        <f>(LayTable[[#This Row],[BookieInnsats]]*LayTable[[#This Row],[BookieOdds]]-LayTable[[#This Row],[BookieInnsats]])*(1-LayTable[[#This Row],[C% Bookie]])</f>
        <v>0</v>
      </c>
      <c r="AA1341" s="43">
        <f>LayTable[[#This Row],[LayInnsats]]*(1-LayTable[[#This Row],[C% Lay]])</f>
        <v>0</v>
      </c>
      <c r="AB1341" s="43" t="str">
        <f>IFERROR(IF(LayTable[[#This Row],[Sport]]="",AB1340,LayTable[[#This Row],[Faktisk res]]+AB1340),"")</f>
        <v/>
      </c>
      <c r="AC1341" s="43">
        <f>(LayTable[[#This Row],[BackWin-Commission]]+LayTable[[#This Row],[BookieInnsats]])</f>
        <v>0</v>
      </c>
      <c r="AD1341" s="43" t="e">
        <f>(LayTable[[#This Row],[LayWin-Commission]])+LayTable[[#This Row],[LayLiability]]</f>
        <v>#VALUE!</v>
      </c>
      <c r="AE1341" s="43"/>
      <c r="AF1341" s="181"/>
    </row>
    <row r="1342" spans="1:32">
      <c r="A1342" s="84"/>
      <c r="B1342" s="39"/>
      <c r="C1342" s="40"/>
      <c r="D1342" s="41"/>
      <c r="E1342" s="40"/>
      <c r="F1342" s="41"/>
      <c r="G1342" s="101"/>
      <c r="H1342" s="38"/>
      <c r="I1342" s="42"/>
      <c r="J1342" s="42"/>
      <c r="K1342" s="43"/>
      <c r="L1342" s="43"/>
      <c r="M1342" s="44" t="str">
        <f>IF(LayTable[[#This Row],[Sport]]="","",LayTable[[#This Row],[LayInnsats]]*(LayTable[[#This Row],[LayOdds]]-1))</f>
        <v/>
      </c>
      <c r="N1342" s="45" t="str">
        <f>IF(LayTable[[#This Row],[Sport]]="","",1/((1/LayTable[[#This Row],[BookieOdds]])+(1/((1/((1+((LayTable[[#This Row],[LayOdds]]-1)*(1+LayTable[[#This Row],[C% Lay]])))-1))+1)))-1)</f>
        <v/>
      </c>
      <c r="Q1342" s="46" t="str">
        <f>IF(LayTable[[#This Row],[Sport]]="","",LayTable[[#This Row],[BookieInnsats]]+LayTable[[#This Row],[LayLiability]])</f>
        <v/>
      </c>
      <c r="R13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2" s="47" t="str">
        <f>IF(LayTable[[#This Row],[Utfall bookie]]="","",LayTable[[#This Row],[WBABack]]+LayTable[[#This Row],[WBALay]]-LayTable[[#This Row],[Total inns]])</f>
        <v/>
      </c>
      <c r="U13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2" s="48" t="str">
        <f>IFERROR(IF(LayTable[[#This Row],[Total inns]]="","",LayTable[[#This Row],[Rback]]/LayTable[[#This Row],[Total inns]]),"")</f>
        <v/>
      </c>
      <c r="X1342" s="48" t="str">
        <f>IFERROR(IF(LayTable[[#This Row],[Total inns]]="","",LayTable[[#This Row],[Rlay]]/LayTable[[#This Row],[Total inns]]),"")</f>
        <v/>
      </c>
      <c r="Y1342" s="48" t="str">
        <f>IFERROR(LayTable[[#This Row],[Faktisk res]]/LayTable[[#This Row],[Total inns]],"")</f>
        <v/>
      </c>
      <c r="Z1342" s="47">
        <f>(LayTable[[#This Row],[BookieInnsats]]*LayTable[[#This Row],[BookieOdds]]-LayTable[[#This Row],[BookieInnsats]])*(1-LayTable[[#This Row],[C% Bookie]])</f>
        <v>0</v>
      </c>
      <c r="AA1342" s="43">
        <f>LayTable[[#This Row],[LayInnsats]]*(1-LayTable[[#This Row],[C% Lay]])</f>
        <v>0</v>
      </c>
      <c r="AB1342" s="43" t="str">
        <f>IFERROR(IF(LayTable[[#This Row],[Sport]]="",AB1341,LayTable[[#This Row],[Faktisk res]]+AB1341),"")</f>
        <v/>
      </c>
      <c r="AC1342" s="43">
        <f>(LayTable[[#This Row],[BackWin-Commission]]+LayTable[[#This Row],[BookieInnsats]])</f>
        <v>0</v>
      </c>
      <c r="AD1342" s="43" t="e">
        <f>(LayTable[[#This Row],[LayWin-Commission]])+LayTable[[#This Row],[LayLiability]]</f>
        <v>#VALUE!</v>
      </c>
      <c r="AE1342" s="43"/>
      <c r="AF1342" s="181"/>
    </row>
    <row r="1343" spans="1:32">
      <c r="A1343" s="84"/>
      <c r="B1343" s="39"/>
      <c r="C1343" s="40"/>
      <c r="D1343" s="41"/>
      <c r="E1343" s="40"/>
      <c r="F1343" s="41"/>
      <c r="G1343" s="101"/>
      <c r="H1343" s="38"/>
      <c r="I1343" s="42"/>
      <c r="J1343" s="42"/>
      <c r="K1343" s="43"/>
      <c r="L1343" s="43"/>
      <c r="M1343" s="44" t="str">
        <f>IF(LayTable[[#This Row],[Sport]]="","",LayTable[[#This Row],[LayInnsats]]*(LayTable[[#This Row],[LayOdds]]-1))</f>
        <v/>
      </c>
      <c r="N1343" s="45" t="str">
        <f>IF(LayTable[[#This Row],[Sport]]="","",1/((1/LayTable[[#This Row],[BookieOdds]])+(1/((1/((1+((LayTable[[#This Row],[LayOdds]]-1)*(1+LayTable[[#This Row],[C% Lay]])))-1))+1)))-1)</f>
        <v/>
      </c>
      <c r="Q1343" s="46" t="str">
        <f>IF(LayTable[[#This Row],[Sport]]="","",LayTable[[#This Row],[BookieInnsats]]+LayTable[[#This Row],[LayLiability]])</f>
        <v/>
      </c>
      <c r="R13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3" s="47" t="str">
        <f>IF(LayTable[[#This Row],[Utfall bookie]]="","",LayTable[[#This Row],[WBABack]]+LayTable[[#This Row],[WBALay]]-LayTable[[#This Row],[Total inns]])</f>
        <v/>
      </c>
      <c r="U13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3" s="48" t="str">
        <f>IFERROR(IF(LayTable[[#This Row],[Total inns]]="","",LayTable[[#This Row],[Rback]]/LayTable[[#This Row],[Total inns]]),"")</f>
        <v/>
      </c>
      <c r="X1343" s="48" t="str">
        <f>IFERROR(IF(LayTable[[#This Row],[Total inns]]="","",LayTable[[#This Row],[Rlay]]/LayTable[[#This Row],[Total inns]]),"")</f>
        <v/>
      </c>
      <c r="Y1343" s="48" t="str">
        <f>IFERROR(LayTable[[#This Row],[Faktisk res]]/LayTable[[#This Row],[Total inns]],"")</f>
        <v/>
      </c>
      <c r="Z1343" s="47">
        <f>(LayTable[[#This Row],[BookieInnsats]]*LayTable[[#This Row],[BookieOdds]]-LayTable[[#This Row],[BookieInnsats]])*(1-LayTable[[#This Row],[C% Bookie]])</f>
        <v>0</v>
      </c>
      <c r="AA1343" s="43">
        <f>LayTable[[#This Row],[LayInnsats]]*(1-LayTable[[#This Row],[C% Lay]])</f>
        <v>0</v>
      </c>
      <c r="AB1343" s="43" t="str">
        <f>IFERROR(IF(LayTable[[#This Row],[Sport]]="",AB1342,LayTable[[#This Row],[Faktisk res]]+AB1342),"")</f>
        <v/>
      </c>
      <c r="AC1343" s="43">
        <f>(LayTable[[#This Row],[BackWin-Commission]]+LayTable[[#This Row],[BookieInnsats]])</f>
        <v>0</v>
      </c>
      <c r="AD1343" s="43" t="e">
        <f>(LayTable[[#This Row],[LayWin-Commission]])+LayTable[[#This Row],[LayLiability]]</f>
        <v>#VALUE!</v>
      </c>
      <c r="AE1343" s="43"/>
      <c r="AF1343" s="181"/>
    </row>
    <row r="1344" spans="1:32">
      <c r="A1344" s="84"/>
      <c r="B1344" s="39"/>
      <c r="C1344" s="40"/>
      <c r="D1344" s="41"/>
      <c r="E1344" s="40"/>
      <c r="F1344" s="41"/>
      <c r="G1344" s="101"/>
      <c r="H1344" s="38"/>
      <c r="I1344" s="42"/>
      <c r="J1344" s="42"/>
      <c r="K1344" s="43"/>
      <c r="L1344" s="43"/>
      <c r="M1344" s="44" t="str">
        <f>IF(LayTable[[#This Row],[Sport]]="","",LayTable[[#This Row],[LayInnsats]]*(LayTable[[#This Row],[LayOdds]]-1))</f>
        <v/>
      </c>
      <c r="N1344" s="45" t="str">
        <f>IF(LayTable[[#This Row],[Sport]]="","",1/((1/LayTable[[#This Row],[BookieOdds]])+(1/((1/((1+((LayTable[[#This Row],[LayOdds]]-1)*(1+LayTable[[#This Row],[C% Lay]])))-1))+1)))-1)</f>
        <v/>
      </c>
      <c r="Q1344" s="46" t="str">
        <f>IF(LayTable[[#This Row],[Sport]]="","",LayTable[[#This Row],[BookieInnsats]]+LayTable[[#This Row],[LayLiability]])</f>
        <v/>
      </c>
      <c r="R13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4" s="47" t="str">
        <f>IF(LayTable[[#This Row],[Utfall bookie]]="","",LayTable[[#This Row],[WBABack]]+LayTable[[#This Row],[WBALay]]-LayTable[[#This Row],[Total inns]])</f>
        <v/>
      </c>
      <c r="U13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4" s="48" t="str">
        <f>IFERROR(IF(LayTable[[#This Row],[Total inns]]="","",LayTable[[#This Row],[Rback]]/LayTable[[#This Row],[Total inns]]),"")</f>
        <v/>
      </c>
      <c r="X1344" s="48" t="str">
        <f>IFERROR(IF(LayTable[[#This Row],[Total inns]]="","",LayTable[[#This Row],[Rlay]]/LayTable[[#This Row],[Total inns]]),"")</f>
        <v/>
      </c>
      <c r="Y1344" s="48" t="str">
        <f>IFERROR(LayTable[[#This Row],[Faktisk res]]/LayTable[[#This Row],[Total inns]],"")</f>
        <v/>
      </c>
      <c r="Z1344" s="47">
        <f>(LayTable[[#This Row],[BookieInnsats]]*LayTable[[#This Row],[BookieOdds]]-LayTable[[#This Row],[BookieInnsats]])*(1-LayTable[[#This Row],[C% Bookie]])</f>
        <v>0</v>
      </c>
      <c r="AA1344" s="43">
        <f>LayTable[[#This Row],[LayInnsats]]*(1-LayTable[[#This Row],[C% Lay]])</f>
        <v>0</v>
      </c>
      <c r="AB1344" s="43" t="str">
        <f>IFERROR(IF(LayTable[[#This Row],[Sport]]="",AB1343,LayTable[[#This Row],[Faktisk res]]+AB1343),"")</f>
        <v/>
      </c>
      <c r="AC1344" s="43">
        <f>(LayTable[[#This Row],[BackWin-Commission]]+LayTable[[#This Row],[BookieInnsats]])</f>
        <v>0</v>
      </c>
      <c r="AD1344" s="43" t="e">
        <f>(LayTable[[#This Row],[LayWin-Commission]])+LayTable[[#This Row],[LayLiability]]</f>
        <v>#VALUE!</v>
      </c>
      <c r="AE1344" s="43"/>
      <c r="AF1344" s="181"/>
    </row>
    <row r="1345" spans="1:32">
      <c r="A1345" s="84"/>
      <c r="B1345" s="39"/>
      <c r="C1345" s="40"/>
      <c r="D1345" s="41"/>
      <c r="E1345" s="40"/>
      <c r="F1345" s="41"/>
      <c r="G1345" s="101"/>
      <c r="H1345" s="38"/>
      <c r="I1345" s="42"/>
      <c r="J1345" s="42"/>
      <c r="K1345" s="43"/>
      <c r="L1345" s="43"/>
      <c r="M1345" s="44" t="str">
        <f>IF(LayTable[[#This Row],[Sport]]="","",LayTable[[#This Row],[LayInnsats]]*(LayTable[[#This Row],[LayOdds]]-1))</f>
        <v/>
      </c>
      <c r="N1345" s="45" t="str">
        <f>IF(LayTable[[#This Row],[Sport]]="","",1/((1/LayTable[[#This Row],[BookieOdds]])+(1/((1/((1+((LayTable[[#This Row],[LayOdds]]-1)*(1+LayTable[[#This Row],[C% Lay]])))-1))+1)))-1)</f>
        <v/>
      </c>
      <c r="Q1345" s="46" t="str">
        <f>IF(LayTable[[#This Row],[Sport]]="","",LayTable[[#This Row],[BookieInnsats]]+LayTable[[#This Row],[LayLiability]])</f>
        <v/>
      </c>
      <c r="R13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5" s="47" t="str">
        <f>IF(LayTable[[#This Row],[Utfall bookie]]="","",LayTable[[#This Row],[WBABack]]+LayTable[[#This Row],[WBALay]]-LayTable[[#This Row],[Total inns]])</f>
        <v/>
      </c>
      <c r="U13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5" s="48" t="str">
        <f>IFERROR(IF(LayTable[[#This Row],[Total inns]]="","",LayTable[[#This Row],[Rback]]/LayTable[[#This Row],[Total inns]]),"")</f>
        <v/>
      </c>
      <c r="X1345" s="48" t="str">
        <f>IFERROR(IF(LayTable[[#This Row],[Total inns]]="","",LayTable[[#This Row],[Rlay]]/LayTable[[#This Row],[Total inns]]),"")</f>
        <v/>
      </c>
      <c r="Y1345" s="48" t="str">
        <f>IFERROR(LayTable[[#This Row],[Faktisk res]]/LayTable[[#This Row],[Total inns]],"")</f>
        <v/>
      </c>
      <c r="Z1345" s="47">
        <f>(LayTable[[#This Row],[BookieInnsats]]*LayTable[[#This Row],[BookieOdds]]-LayTable[[#This Row],[BookieInnsats]])*(1-LayTable[[#This Row],[C% Bookie]])</f>
        <v>0</v>
      </c>
      <c r="AA1345" s="43">
        <f>LayTable[[#This Row],[LayInnsats]]*(1-LayTable[[#This Row],[C% Lay]])</f>
        <v>0</v>
      </c>
      <c r="AB1345" s="43" t="str">
        <f>IFERROR(IF(LayTable[[#This Row],[Sport]]="",AB1344,LayTable[[#This Row],[Faktisk res]]+AB1344),"")</f>
        <v/>
      </c>
      <c r="AC1345" s="43">
        <f>(LayTable[[#This Row],[BackWin-Commission]]+LayTable[[#This Row],[BookieInnsats]])</f>
        <v>0</v>
      </c>
      <c r="AD1345" s="43" t="e">
        <f>(LayTable[[#This Row],[LayWin-Commission]])+LayTable[[#This Row],[LayLiability]]</f>
        <v>#VALUE!</v>
      </c>
      <c r="AE1345" s="43"/>
      <c r="AF1345" s="181"/>
    </row>
    <row r="1346" spans="1:32">
      <c r="A1346" s="84"/>
      <c r="B1346" s="39"/>
      <c r="C1346" s="40"/>
      <c r="D1346" s="41"/>
      <c r="E1346" s="40"/>
      <c r="F1346" s="41"/>
      <c r="G1346" s="101"/>
      <c r="H1346" s="38"/>
      <c r="I1346" s="42"/>
      <c r="J1346" s="42"/>
      <c r="K1346" s="43"/>
      <c r="L1346" s="43"/>
      <c r="M1346" s="44" t="str">
        <f>IF(LayTable[[#This Row],[Sport]]="","",LayTable[[#This Row],[LayInnsats]]*(LayTable[[#This Row],[LayOdds]]-1))</f>
        <v/>
      </c>
      <c r="N1346" s="45" t="str">
        <f>IF(LayTable[[#This Row],[Sport]]="","",1/((1/LayTable[[#This Row],[BookieOdds]])+(1/((1/((1+((LayTable[[#This Row],[LayOdds]]-1)*(1+LayTable[[#This Row],[C% Lay]])))-1))+1)))-1)</f>
        <v/>
      </c>
      <c r="Q1346" s="46" t="str">
        <f>IF(LayTable[[#This Row],[Sport]]="","",LayTable[[#This Row],[BookieInnsats]]+LayTable[[#This Row],[LayLiability]])</f>
        <v/>
      </c>
      <c r="R13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6" s="47" t="str">
        <f>IF(LayTable[[#This Row],[Utfall bookie]]="","",LayTable[[#This Row],[WBABack]]+LayTable[[#This Row],[WBALay]]-LayTable[[#This Row],[Total inns]])</f>
        <v/>
      </c>
      <c r="U13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6" s="48" t="str">
        <f>IFERROR(IF(LayTable[[#This Row],[Total inns]]="","",LayTable[[#This Row],[Rback]]/LayTable[[#This Row],[Total inns]]),"")</f>
        <v/>
      </c>
      <c r="X1346" s="48" t="str">
        <f>IFERROR(IF(LayTable[[#This Row],[Total inns]]="","",LayTable[[#This Row],[Rlay]]/LayTable[[#This Row],[Total inns]]),"")</f>
        <v/>
      </c>
      <c r="Y1346" s="48" t="str">
        <f>IFERROR(LayTable[[#This Row],[Faktisk res]]/LayTable[[#This Row],[Total inns]],"")</f>
        <v/>
      </c>
      <c r="Z1346" s="47">
        <f>(LayTable[[#This Row],[BookieInnsats]]*LayTable[[#This Row],[BookieOdds]]-LayTable[[#This Row],[BookieInnsats]])*(1-LayTable[[#This Row],[C% Bookie]])</f>
        <v>0</v>
      </c>
      <c r="AA1346" s="43">
        <f>LayTable[[#This Row],[LayInnsats]]*(1-LayTable[[#This Row],[C% Lay]])</f>
        <v>0</v>
      </c>
      <c r="AB1346" s="43" t="str">
        <f>IFERROR(IF(LayTable[[#This Row],[Sport]]="",AB1345,LayTable[[#This Row],[Faktisk res]]+AB1345),"")</f>
        <v/>
      </c>
      <c r="AC1346" s="43">
        <f>(LayTable[[#This Row],[BackWin-Commission]]+LayTable[[#This Row],[BookieInnsats]])</f>
        <v>0</v>
      </c>
      <c r="AD1346" s="43" t="e">
        <f>(LayTable[[#This Row],[LayWin-Commission]])+LayTable[[#This Row],[LayLiability]]</f>
        <v>#VALUE!</v>
      </c>
      <c r="AE1346" s="43"/>
      <c r="AF1346" s="181"/>
    </row>
    <row r="1347" spans="1:32">
      <c r="A1347" s="84"/>
      <c r="B1347" s="39"/>
      <c r="C1347" s="40"/>
      <c r="D1347" s="41"/>
      <c r="E1347" s="40"/>
      <c r="F1347" s="41"/>
      <c r="G1347" s="101"/>
      <c r="H1347" s="38"/>
      <c r="I1347" s="42"/>
      <c r="J1347" s="42"/>
      <c r="K1347" s="43"/>
      <c r="L1347" s="43"/>
      <c r="M1347" s="44" t="str">
        <f>IF(LayTable[[#This Row],[Sport]]="","",LayTable[[#This Row],[LayInnsats]]*(LayTable[[#This Row],[LayOdds]]-1))</f>
        <v/>
      </c>
      <c r="N1347" s="45" t="str">
        <f>IF(LayTable[[#This Row],[Sport]]="","",1/((1/LayTable[[#This Row],[BookieOdds]])+(1/((1/((1+((LayTable[[#This Row],[LayOdds]]-1)*(1+LayTable[[#This Row],[C% Lay]])))-1))+1)))-1)</f>
        <v/>
      </c>
      <c r="Q1347" s="46" t="str">
        <f>IF(LayTable[[#This Row],[Sport]]="","",LayTable[[#This Row],[BookieInnsats]]+LayTable[[#This Row],[LayLiability]])</f>
        <v/>
      </c>
      <c r="R13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7" s="47" t="str">
        <f>IF(LayTable[[#This Row],[Utfall bookie]]="","",LayTable[[#This Row],[WBABack]]+LayTable[[#This Row],[WBALay]]-LayTable[[#This Row],[Total inns]])</f>
        <v/>
      </c>
      <c r="U13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7" s="48" t="str">
        <f>IFERROR(IF(LayTable[[#This Row],[Total inns]]="","",LayTable[[#This Row],[Rback]]/LayTable[[#This Row],[Total inns]]),"")</f>
        <v/>
      </c>
      <c r="X1347" s="48" t="str">
        <f>IFERROR(IF(LayTable[[#This Row],[Total inns]]="","",LayTable[[#This Row],[Rlay]]/LayTable[[#This Row],[Total inns]]),"")</f>
        <v/>
      </c>
      <c r="Y1347" s="48" t="str">
        <f>IFERROR(LayTable[[#This Row],[Faktisk res]]/LayTable[[#This Row],[Total inns]],"")</f>
        <v/>
      </c>
      <c r="Z1347" s="47">
        <f>(LayTable[[#This Row],[BookieInnsats]]*LayTable[[#This Row],[BookieOdds]]-LayTable[[#This Row],[BookieInnsats]])*(1-LayTable[[#This Row],[C% Bookie]])</f>
        <v>0</v>
      </c>
      <c r="AA1347" s="43">
        <f>LayTable[[#This Row],[LayInnsats]]*(1-LayTable[[#This Row],[C% Lay]])</f>
        <v>0</v>
      </c>
      <c r="AB1347" s="43" t="str">
        <f>IFERROR(IF(LayTable[[#This Row],[Sport]]="",AB1346,LayTable[[#This Row],[Faktisk res]]+AB1346),"")</f>
        <v/>
      </c>
      <c r="AC1347" s="43">
        <f>(LayTable[[#This Row],[BackWin-Commission]]+LayTable[[#This Row],[BookieInnsats]])</f>
        <v>0</v>
      </c>
      <c r="AD1347" s="43" t="e">
        <f>(LayTable[[#This Row],[LayWin-Commission]])+LayTable[[#This Row],[LayLiability]]</f>
        <v>#VALUE!</v>
      </c>
      <c r="AE1347" s="43"/>
      <c r="AF1347" s="181"/>
    </row>
    <row r="1348" spans="1:32">
      <c r="A1348" s="84"/>
      <c r="B1348" s="39"/>
      <c r="C1348" s="40"/>
      <c r="D1348" s="41"/>
      <c r="E1348" s="40"/>
      <c r="F1348" s="41"/>
      <c r="G1348" s="101"/>
      <c r="H1348" s="38"/>
      <c r="I1348" s="42"/>
      <c r="J1348" s="42"/>
      <c r="K1348" s="43"/>
      <c r="L1348" s="43"/>
      <c r="M1348" s="44" t="str">
        <f>IF(LayTable[[#This Row],[Sport]]="","",LayTable[[#This Row],[LayInnsats]]*(LayTable[[#This Row],[LayOdds]]-1))</f>
        <v/>
      </c>
      <c r="N1348" s="45" t="str">
        <f>IF(LayTable[[#This Row],[Sport]]="","",1/((1/LayTable[[#This Row],[BookieOdds]])+(1/((1/((1+((LayTable[[#This Row],[LayOdds]]-1)*(1+LayTable[[#This Row],[C% Lay]])))-1))+1)))-1)</f>
        <v/>
      </c>
      <c r="Q1348" s="46" t="str">
        <f>IF(LayTable[[#This Row],[Sport]]="","",LayTable[[#This Row],[BookieInnsats]]+LayTable[[#This Row],[LayLiability]])</f>
        <v/>
      </c>
      <c r="R13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8" s="47" t="str">
        <f>IF(LayTable[[#This Row],[Utfall bookie]]="","",LayTable[[#This Row],[WBABack]]+LayTable[[#This Row],[WBALay]]-LayTable[[#This Row],[Total inns]])</f>
        <v/>
      </c>
      <c r="U13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8" s="48" t="str">
        <f>IFERROR(IF(LayTable[[#This Row],[Total inns]]="","",LayTable[[#This Row],[Rback]]/LayTable[[#This Row],[Total inns]]),"")</f>
        <v/>
      </c>
      <c r="X1348" s="48" t="str">
        <f>IFERROR(IF(LayTable[[#This Row],[Total inns]]="","",LayTable[[#This Row],[Rlay]]/LayTable[[#This Row],[Total inns]]),"")</f>
        <v/>
      </c>
      <c r="Y1348" s="48" t="str">
        <f>IFERROR(LayTable[[#This Row],[Faktisk res]]/LayTable[[#This Row],[Total inns]],"")</f>
        <v/>
      </c>
      <c r="Z1348" s="47">
        <f>(LayTable[[#This Row],[BookieInnsats]]*LayTable[[#This Row],[BookieOdds]]-LayTable[[#This Row],[BookieInnsats]])*(1-LayTable[[#This Row],[C% Bookie]])</f>
        <v>0</v>
      </c>
      <c r="AA1348" s="43">
        <f>LayTable[[#This Row],[LayInnsats]]*(1-LayTable[[#This Row],[C% Lay]])</f>
        <v>0</v>
      </c>
      <c r="AB1348" s="43" t="str">
        <f>IFERROR(IF(LayTable[[#This Row],[Sport]]="",AB1347,LayTable[[#This Row],[Faktisk res]]+AB1347),"")</f>
        <v/>
      </c>
      <c r="AC1348" s="43">
        <f>(LayTable[[#This Row],[BackWin-Commission]]+LayTable[[#This Row],[BookieInnsats]])</f>
        <v>0</v>
      </c>
      <c r="AD1348" s="43" t="e">
        <f>(LayTable[[#This Row],[LayWin-Commission]])+LayTable[[#This Row],[LayLiability]]</f>
        <v>#VALUE!</v>
      </c>
      <c r="AE1348" s="43"/>
      <c r="AF1348" s="181"/>
    </row>
    <row r="1349" spans="1:32">
      <c r="A1349" s="84"/>
      <c r="B1349" s="39"/>
      <c r="C1349" s="40"/>
      <c r="D1349" s="41"/>
      <c r="E1349" s="40"/>
      <c r="F1349" s="41"/>
      <c r="G1349" s="101"/>
      <c r="H1349" s="38"/>
      <c r="I1349" s="42"/>
      <c r="J1349" s="42"/>
      <c r="K1349" s="43"/>
      <c r="L1349" s="43"/>
      <c r="M1349" s="44" t="str">
        <f>IF(LayTable[[#This Row],[Sport]]="","",LayTable[[#This Row],[LayInnsats]]*(LayTable[[#This Row],[LayOdds]]-1))</f>
        <v/>
      </c>
      <c r="N1349" s="45" t="str">
        <f>IF(LayTable[[#This Row],[Sport]]="","",1/((1/LayTable[[#This Row],[BookieOdds]])+(1/((1/((1+((LayTable[[#This Row],[LayOdds]]-1)*(1+LayTable[[#This Row],[C% Lay]])))-1))+1)))-1)</f>
        <v/>
      </c>
      <c r="Q1349" s="46" t="str">
        <f>IF(LayTable[[#This Row],[Sport]]="","",LayTable[[#This Row],[BookieInnsats]]+LayTable[[#This Row],[LayLiability]])</f>
        <v/>
      </c>
      <c r="R13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49" s="47" t="str">
        <f>IF(LayTable[[#This Row],[Utfall bookie]]="","",LayTable[[#This Row],[WBABack]]+LayTable[[#This Row],[WBALay]]-LayTable[[#This Row],[Total inns]])</f>
        <v/>
      </c>
      <c r="U13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49" s="48" t="str">
        <f>IFERROR(IF(LayTable[[#This Row],[Total inns]]="","",LayTable[[#This Row],[Rback]]/LayTable[[#This Row],[Total inns]]),"")</f>
        <v/>
      </c>
      <c r="X1349" s="48" t="str">
        <f>IFERROR(IF(LayTable[[#This Row],[Total inns]]="","",LayTable[[#This Row],[Rlay]]/LayTable[[#This Row],[Total inns]]),"")</f>
        <v/>
      </c>
      <c r="Y1349" s="48" t="str">
        <f>IFERROR(LayTable[[#This Row],[Faktisk res]]/LayTable[[#This Row],[Total inns]],"")</f>
        <v/>
      </c>
      <c r="Z1349" s="47">
        <f>(LayTable[[#This Row],[BookieInnsats]]*LayTable[[#This Row],[BookieOdds]]-LayTable[[#This Row],[BookieInnsats]])*(1-LayTable[[#This Row],[C% Bookie]])</f>
        <v>0</v>
      </c>
      <c r="AA1349" s="43">
        <f>LayTable[[#This Row],[LayInnsats]]*(1-LayTable[[#This Row],[C% Lay]])</f>
        <v>0</v>
      </c>
      <c r="AB1349" s="43" t="str">
        <f>IFERROR(IF(LayTable[[#This Row],[Sport]]="",AB1348,LayTable[[#This Row],[Faktisk res]]+AB1348),"")</f>
        <v/>
      </c>
      <c r="AC1349" s="43">
        <f>(LayTable[[#This Row],[BackWin-Commission]]+LayTable[[#This Row],[BookieInnsats]])</f>
        <v>0</v>
      </c>
      <c r="AD1349" s="43" t="e">
        <f>(LayTable[[#This Row],[LayWin-Commission]])+LayTable[[#This Row],[LayLiability]]</f>
        <v>#VALUE!</v>
      </c>
      <c r="AE1349" s="43"/>
      <c r="AF1349" s="181"/>
    </row>
    <row r="1350" spans="1:32">
      <c r="A1350" s="84"/>
      <c r="B1350" s="39"/>
      <c r="C1350" s="40"/>
      <c r="D1350" s="41"/>
      <c r="E1350" s="40"/>
      <c r="F1350" s="41"/>
      <c r="G1350" s="101"/>
      <c r="H1350" s="38"/>
      <c r="I1350" s="42"/>
      <c r="J1350" s="42"/>
      <c r="K1350" s="43"/>
      <c r="L1350" s="43"/>
      <c r="M1350" s="44" t="str">
        <f>IF(LayTable[[#This Row],[Sport]]="","",LayTable[[#This Row],[LayInnsats]]*(LayTable[[#This Row],[LayOdds]]-1))</f>
        <v/>
      </c>
      <c r="N1350" s="45" t="str">
        <f>IF(LayTable[[#This Row],[Sport]]="","",1/((1/LayTable[[#This Row],[BookieOdds]])+(1/((1/((1+((LayTable[[#This Row],[LayOdds]]-1)*(1+LayTable[[#This Row],[C% Lay]])))-1))+1)))-1)</f>
        <v/>
      </c>
      <c r="Q1350" s="46" t="str">
        <f>IF(LayTable[[#This Row],[Sport]]="","",LayTable[[#This Row],[BookieInnsats]]+LayTable[[#This Row],[LayLiability]])</f>
        <v/>
      </c>
      <c r="R13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0" s="47" t="str">
        <f>IF(LayTable[[#This Row],[Utfall bookie]]="","",LayTable[[#This Row],[WBABack]]+LayTable[[#This Row],[WBALay]]-LayTable[[#This Row],[Total inns]])</f>
        <v/>
      </c>
      <c r="U13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0" s="48" t="str">
        <f>IFERROR(IF(LayTable[[#This Row],[Total inns]]="","",LayTable[[#This Row],[Rback]]/LayTable[[#This Row],[Total inns]]),"")</f>
        <v/>
      </c>
      <c r="X1350" s="48" t="str">
        <f>IFERROR(IF(LayTable[[#This Row],[Total inns]]="","",LayTable[[#This Row],[Rlay]]/LayTable[[#This Row],[Total inns]]),"")</f>
        <v/>
      </c>
      <c r="Y1350" s="48" t="str">
        <f>IFERROR(LayTable[[#This Row],[Faktisk res]]/LayTable[[#This Row],[Total inns]],"")</f>
        <v/>
      </c>
      <c r="Z1350" s="47">
        <f>(LayTable[[#This Row],[BookieInnsats]]*LayTable[[#This Row],[BookieOdds]]-LayTable[[#This Row],[BookieInnsats]])*(1-LayTable[[#This Row],[C% Bookie]])</f>
        <v>0</v>
      </c>
      <c r="AA1350" s="43">
        <f>LayTable[[#This Row],[LayInnsats]]*(1-LayTable[[#This Row],[C% Lay]])</f>
        <v>0</v>
      </c>
      <c r="AB1350" s="43" t="str">
        <f>IFERROR(IF(LayTable[[#This Row],[Sport]]="",AB1349,LayTable[[#This Row],[Faktisk res]]+AB1349),"")</f>
        <v/>
      </c>
      <c r="AC1350" s="43">
        <f>(LayTable[[#This Row],[BackWin-Commission]]+LayTable[[#This Row],[BookieInnsats]])</f>
        <v>0</v>
      </c>
      <c r="AD1350" s="43" t="e">
        <f>(LayTable[[#This Row],[LayWin-Commission]])+LayTable[[#This Row],[LayLiability]]</f>
        <v>#VALUE!</v>
      </c>
      <c r="AE1350" s="43"/>
      <c r="AF1350" s="181"/>
    </row>
    <row r="1351" spans="1:32">
      <c r="A1351" s="84"/>
      <c r="B1351" s="39"/>
      <c r="C1351" s="40"/>
      <c r="D1351" s="41"/>
      <c r="E1351" s="40"/>
      <c r="F1351" s="41"/>
      <c r="G1351" s="101"/>
      <c r="H1351" s="38"/>
      <c r="I1351" s="42"/>
      <c r="J1351" s="42"/>
      <c r="K1351" s="43"/>
      <c r="L1351" s="43"/>
      <c r="M1351" s="44" t="str">
        <f>IF(LayTable[[#This Row],[Sport]]="","",LayTable[[#This Row],[LayInnsats]]*(LayTable[[#This Row],[LayOdds]]-1))</f>
        <v/>
      </c>
      <c r="N1351" s="45" t="str">
        <f>IF(LayTable[[#This Row],[Sport]]="","",1/((1/LayTable[[#This Row],[BookieOdds]])+(1/((1/((1+((LayTable[[#This Row],[LayOdds]]-1)*(1+LayTable[[#This Row],[C% Lay]])))-1))+1)))-1)</f>
        <v/>
      </c>
      <c r="Q1351" s="46" t="str">
        <f>IF(LayTable[[#This Row],[Sport]]="","",LayTable[[#This Row],[BookieInnsats]]+LayTable[[#This Row],[LayLiability]])</f>
        <v/>
      </c>
      <c r="R13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1" s="47" t="str">
        <f>IF(LayTable[[#This Row],[Utfall bookie]]="","",LayTable[[#This Row],[WBABack]]+LayTable[[#This Row],[WBALay]]-LayTable[[#This Row],[Total inns]])</f>
        <v/>
      </c>
      <c r="U13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1" s="48" t="str">
        <f>IFERROR(IF(LayTable[[#This Row],[Total inns]]="","",LayTable[[#This Row],[Rback]]/LayTable[[#This Row],[Total inns]]),"")</f>
        <v/>
      </c>
      <c r="X1351" s="48" t="str">
        <f>IFERROR(IF(LayTable[[#This Row],[Total inns]]="","",LayTable[[#This Row],[Rlay]]/LayTable[[#This Row],[Total inns]]),"")</f>
        <v/>
      </c>
      <c r="Y1351" s="48" t="str">
        <f>IFERROR(LayTable[[#This Row],[Faktisk res]]/LayTable[[#This Row],[Total inns]],"")</f>
        <v/>
      </c>
      <c r="Z1351" s="47">
        <f>(LayTable[[#This Row],[BookieInnsats]]*LayTable[[#This Row],[BookieOdds]]-LayTable[[#This Row],[BookieInnsats]])*(1-LayTable[[#This Row],[C% Bookie]])</f>
        <v>0</v>
      </c>
      <c r="AA1351" s="43">
        <f>LayTable[[#This Row],[LayInnsats]]*(1-LayTable[[#This Row],[C% Lay]])</f>
        <v>0</v>
      </c>
      <c r="AB1351" s="43" t="str">
        <f>IFERROR(IF(LayTable[[#This Row],[Sport]]="",AB1350,LayTable[[#This Row],[Faktisk res]]+AB1350),"")</f>
        <v/>
      </c>
      <c r="AC1351" s="43">
        <f>(LayTable[[#This Row],[BackWin-Commission]]+LayTable[[#This Row],[BookieInnsats]])</f>
        <v>0</v>
      </c>
      <c r="AD1351" s="43" t="e">
        <f>(LayTable[[#This Row],[LayWin-Commission]])+LayTable[[#This Row],[LayLiability]]</f>
        <v>#VALUE!</v>
      </c>
      <c r="AE1351" s="43"/>
      <c r="AF1351" s="181"/>
    </row>
    <row r="1352" spans="1:32">
      <c r="A1352" s="84"/>
      <c r="B1352" s="39"/>
      <c r="C1352" s="40"/>
      <c r="D1352" s="41"/>
      <c r="E1352" s="40"/>
      <c r="F1352" s="41"/>
      <c r="G1352" s="101"/>
      <c r="H1352" s="38"/>
      <c r="I1352" s="42"/>
      <c r="J1352" s="42"/>
      <c r="K1352" s="43"/>
      <c r="L1352" s="43"/>
      <c r="M1352" s="44" t="str">
        <f>IF(LayTable[[#This Row],[Sport]]="","",LayTable[[#This Row],[LayInnsats]]*(LayTable[[#This Row],[LayOdds]]-1))</f>
        <v/>
      </c>
      <c r="N1352" s="45" t="str">
        <f>IF(LayTable[[#This Row],[Sport]]="","",1/((1/LayTable[[#This Row],[BookieOdds]])+(1/((1/((1+((LayTable[[#This Row],[LayOdds]]-1)*(1+LayTable[[#This Row],[C% Lay]])))-1))+1)))-1)</f>
        <v/>
      </c>
      <c r="Q1352" s="46" t="str">
        <f>IF(LayTable[[#This Row],[Sport]]="","",LayTable[[#This Row],[BookieInnsats]]+LayTable[[#This Row],[LayLiability]])</f>
        <v/>
      </c>
      <c r="R13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2" s="47" t="str">
        <f>IF(LayTable[[#This Row],[Utfall bookie]]="","",LayTable[[#This Row],[WBABack]]+LayTable[[#This Row],[WBALay]]-LayTable[[#This Row],[Total inns]])</f>
        <v/>
      </c>
      <c r="U13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2" s="48" t="str">
        <f>IFERROR(IF(LayTable[[#This Row],[Total inns]]="","",LayTable[[#This Row],[Rback]]/LayTable[[#This Row],[Total inns]]),"")</f>
        <v/>
      </c>
      <c r="X1352" s="48" t="str">
        <f>IFERROR(IF(LayTable[[#This Row],[Total inns]]="","",LayTable[[#This Row],[Rlay]]/LayTable[[#This Row],[Total inns]]),"")</f>
        <v/>
      </c>
      <c r="Y1352" s="48" t="str">
        <f>IFERROR(LayTable[[#This Row],[Faktisk res]]/LayTable[[#This Row],[Total inns]],"")</f>
        <v/>
      </c>
      <c r="Z1352" s="47">
        <f>(LayTable[[#This Row],[BookieInnsats]]*LayTable[[#This Row],[BookieOdds]]-LayTable[[#This Row],[BookieInnsats]])*(1-LayTable[[#This Row],[C% Bookie]])</f>
        <v>0</v>
      </c>
      <c r="AA1352" s="43">
        <f>LayTable[[#This Row],[LayInnsats]]*(1-LayTable[[#This Row],[C% Lay]])</f>
        <v>0</v>
      </c>
      <c r="AB1352" s="43" t="str">
        <f>IFERROR(IF(LayTable[[#This Row],[Sport]]="",AB1351,LayTable[[#This Row],[Faktisk res]]+AB1351),"")</f>
        <v/>
      </c>
      <c r="AC1352" s="43">
        <f>(LayTable[[#This Row],[BackWin-Commission]]+LayTable[[#This Row],[BookieInnsats]])</f>
        <v>0</v>
      </c>
      <c r="AD1352" s="43" t="e">
        <f>(LayTable[[#This Row],[LayWin-Commission]])+LayTable[[#This Row],[LayLiability]]</f>
        <v>#VALUE!</v>
      </c>
      <c r="AE1352" s="43"/>
      <c r="AF1352" s="181"/>
    </row>
    <row r="1353" spans="1:32">
      <c r="A1353" s="84"/>
      <c r="B1353" s="39"/>
      <c r="C1353" s="40"/>
      <c r="D1353" s="41"/>
      <c r="E1353" s="40"/>
      <c r="F1353" s="41"/>
      <c r="G1353" s="101"/>
      <c r="H1353" s="38"/>
      <c r="I1353" s="42"/>
      <c r="J1353" s="42"/>
      <c r="K1353" s="43"/>
      <c r="L1353" s="43"/>
      <c r="M1353" s="44" t="str">
        <f>IF(LayTable[[#This Row],[Sport]]="","",LayTable[[#This Row],[LayInnsats]]*(LayTable[[#This Row],[LayOdds]]-1))</f>
        <v/>
      </c>
      <c r="N1353" s="45" t="str">
        <f>IF(LayTable[[#This Row],[Sport]]="","",1/((1/LayTable[[#This Row],[BookieOdds]])+(1/((1/((1+((LayTable[[#This Row],[LayOdds]]-1)*(1+LayTable[[#This Row],[C% Lay]])))-1))+1)))-1)</f>
        <v/>
      </c>
      <c r="Q1353" s="46" t="str">
        <f>IF(LayTable[[#This Row],[Sport]]="","",LayTable[[#This Row],[BookieInnsats]]+LayTable[[#This Row],[LayLiability]])</f>
        <v/>
      </c>
      <c r="R13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3" s="47" t="str">
        <f>IF(LayTable[[#This Row],[Utfall bookie]]="","",LayTable[[#This Row],[WBABack]]+LayTable[[#This Row],[WBALay]]-LayTable[[#This Row],[Total inns]])</f>
        <v/>
      </c>
      <c r="U13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3" s="48" t="str">
        <f>IFERROR(IF(LayTable[[#This Row],[Total inns]]="","",LayTable[[#This Row],[Rback]]/LayTable[[#This Row],[Total inns]]),"")</f>
        <v/>
      </c>
      <c r="X1353" s="48" t="str">
        <f>IFERROR(IF(LayTable[[#This Row],[Total inns]]="","",LayTable[[#This Row],[Rlay]]/LayTable[[#This Row],[Total inns]]),"")</f>
        <v/>
      </c>
      <c r="Y1353" s="48" t="str">
        <f>IFERROR(LayTable[[#This Row],[Faktisk res]]/LayTable[[#This Row],[Total inns]],"")</f>
        <v/>
      </c>
      <c r="Z1353" s="47">
        <f>(LayTable[[#This Row],[BookieInnsats]]*LayTable[[#This Row],[BookieOdds]]-LayTable[[#This Row],[BookieInnsats]])*(1-LayTable[[#This Row],[C% Bookie]])</f>
        <v>0</v>
      </c>
      <c r="AA1353" s="43">
        <f>LayTable[[#This Row],[LayInnsats]]*(1-LayTable[[#This Row],[C% Lay]])</f>
        <v>0</v>
      </c>
      <c r="AB1353" s="43" t="str">
        <f>IFERROR(IF(LayTable[[#This Row],[Sport]]="",AB1352,LayTable[[#This Row],[Faktisk res]]+AB1352),"")</f>
        <v/>
      </c>
      <c r="AC1353" s="43">
        <f>(LayTable[[#This Row],[BackWin-Commission]]+LayTable[[#This Row],[BookieInnsats]])</f>
        <v>0</v>
      </c>
      <c r="AD1353" s="43" t="e">
        <f>(LayTable[[#This Row],[LayWin-Commission]])+LayTable[[#This Row],[LayLiability]]</f>
        <v>#VALUE!</v>
      </c>
      <c r="AE1353" s="43"/>
      <c r="AF1353" s="181"/>
    </row>
    <row r="1354" spans="1:32">
      <c r="A1354" s="84"/>
      <c r="B1354" s="39"/>
      <c r="C1354" s="40"/>
      <c r="D1354" s="41"/>
      <c r="E1354" s="40"/>
      <c r="F1354" s="41"/>
      <c r="G1354" s="101"/>
      <c r="H1354" s="38"/>
      <c r="I1354" s="42"/>
      <c r="J1354" s="42"/>
      <c r="K1354" s="43"/>
      <c r="L1354" s="43"/>
      <c r="M1354" s="44" t="str">
        <f>IF(LayTable[[#This Row],[Sport]]="","",LayTable[[#This Row],[LayInnsats]]*(LayTable[[#This Row],[LayOdds]]-1))</f>
        <v/>
      </c>
      <c r="N1354" s="45" t="str">
        <f>IF(LayTable[[#This Row],[Sport]]="","",1/((1/LayTable[[#This Row],[BookieOdds]])+(1/((1/((1+((LayTable[[#This Row],[LayOdds]]-1)*(1+LayTable[[#This Row],[C% Lay]])))-1))+1)))-1)</f>
        <v/>
      </c>
      <c r="Q1354" s="46" t="str">
        <f>IF(LayTable[[#This Row],[Sport]]="","",LayTable[[#This Row],[BookieInnsats]]+LayTable[[#This Row],[LayLiability]])</f>
        <v/>
      </c>
      <c r="R13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4" s="47" t="str">
        <f>IF(LayTable[[#This Row],[Utfall bookie]]="","",LayTable[[#This Row],[WBABack]]+LayTable[[#This Row],[WBALay]]-LayTable[[#This Row],[Total inns]])</f>
        <v/>
      </c>
      <c r="U13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4" s="48" t="str">
        <f>IFERROR(IF(LayTable[[#This Row],[Total inns]]="","",LayTable[[#This Row],[Rback]]/LayTable[[#This Row],[Total inns]]),"")</f>
        <v/>
      </c>
      <c r="X1354" s="48" t="str">
        <f>IFERROR(IF(LayTable[[#This Row],[Total inns]]="","",LayTable[[#This Row],[Rlay]]/LayTable[[#This Row],[Total inns]]),"")</f>
        <v/>
      </c>
      <c r="Y1354" s="48" t="str">
        <f>IFERROR(LayTable[[#This Row],[Faktisk res]]/LayTable[[#This Row],[Total inns]],"")</f>
        <v/>
      </c>
      <c r="Z1354" s="47">
        <f>(LayTable[[#This Row],[BookieInnsats]]*LayTable[[#This Row],[BookieOdds]]-LayTable[[#This Row],[BookieInnsats]])*(1-LayTable[[#This Row],[C% Bookie]])</f>
        <v>0</v>
      </c>
      <c r="AA1354" s="43">
        <f>LayTable[[#This Row],[LayInnsats]]*(1-LayTable[[#This Row],[C% Lay]])</f>
        <v>0</v>
      </c>
      <c r="AB1354" s="43" t="str">
        <f>IFERROR(IF(LayTable[[#This Row],[Sport]]="",AB1353,LayTable[[#This Row],[Faktisk res]]+AB1353),"")</f>
        <v/>
      </c>
      <c r="AC1354" s="43">
        <f>(LayTable[[#This Row],[BackWin-Commission]]+LayTable[[#This Row],[BookieInnsats]])</f>
        <v>0</v>
      </c>
      <c r="AD1354" s="43" t="e">
        <f>(LayTable[[#This Row],[LayWin-Commission]])+LayTable[[#This Row],[LayLiability]]</f>
        <v>#VALUE!</v>
      </c>
      <c r="AE1354" s="43"/>
      <c r="AF1354" s="181"/>
    </row>
    <row r="1355" spans="1:32">
      <c r="A1355" s="84"/>
      <c r="B1355" s="39"/>
      <c r="C1355" s="40"/>
      <c r="D1355" s="41"/>
      <c r="E1355" s="40"/>
      <c r="F1355" s="41"/>
      <c r="G1355" s="101"/>
      <c r="H1355" s="38"/>
      <c r="I1355" s="42"/>
      <c r="J1355" s="42"/>
      <c r="K1355" s="43"/>
      <c r="L1355" s="43"/>
      <c r="M1355" s="44" t="str">
        <f>IF(LayTable[[#This Row],[Sport]]="","",LayTable[[#This Row],[LayInnsats]]*(LayTable[[#This Row],[LayOdds]]-1))</f>
        <v/>
      </c>
      <c r="N1355" s="45" t="str">
        <f>IF(LayTable[[#This Row],[Sport]]="","",1/((1/LayTable[[#This Row],[BookieOdds]])+(1/((1/((1+((LayTable[[#This Row],[LayOdds]]-1)*(1+LayTable[[#This Row],[C% Lay]])))-1))+1)))-1)</f>
        <v/>
      </c>
      <c r="Q1355" s="46" t="str">
        <f>IF(LayTable[[#This Row],[Sport]]="","",LayTable[[#This Row],[BookieInnsats]]+LayTable[[#This Row],[LayLiability]])</f>
        <v/>
      </c>
      <c r="R13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5" s="47" t="str">
        <f>IF(LayTable[[#This Row],[Utfall bookie]]="","",LayTable[[#This Row],[WBABack]]+LayTable[[#This Row],[WBALay]]-LayTable[[#This Row],[Total inns]])</f>
        <v/>
      </c>
      <c r="U13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5" s="48" t="str">
        <f>IFERROR(IF(LayTable[[#This Row],[Total inns]]="","",LayTable[[#This Row],[Rback]]/LayTable[[#This Row],[Total inns]]),"")</f>
        <v/>
      </c>
      <c r="X1355" s="48" t="str">
        <f>IFERROR(IF(LayTable[[#This Row],[Total inns]]="","",LayTable[[#This Row],[Rlay]]/LayTable[[#This Row],[Total inns]]),"")</f>
        <v/>
      </c>
      <c r="Y1355" s="48" t="str">
        <f>IFERROR(LayTable[[#This Row],[Faktisk res]]/LayTable[[#This Row],[Total inns]],"")</f>
        <v/>
      </c>
      <c r="Z1355" s="47">
        <f>(LayTable[[#This Row],[BookieInnsats]]*LayTable[[#This Row],[BookieOdds]]-LayTable[[#This Row],[BookieInnsats]])*(1-LayTable[[#This Row],[C% Bookie]])</f>
        <v>0</v>
      </c>
      <c r="AA1355" s="43">
        <f>LayTable[[#This Row],[LayInnsats]]*(1-LayTable[[#This Row],[C% Lay]])</f>
        <v>0</v>
      </c>
      <c r="AB1355" s="43" t="str">
        <f>IFERROR(IF(LayTable[[#This Row],[Sport]]="",AB1354,LayTable[[#This Row],[Faktisk res]]+AB1354),"")</f>
        <v/>
      </c>
      <c r="AC1355" s="43">
        <f>(LayTable[[#This Row],[BackWin-Commission]]+LayTable[[#This Row],[BookieInnsats]])</f>
        <v>0</v>
      </c>
      <c r="AD1355" s="43" t="e">
        <f>(LayTable[[#This Row],[LayWin-Commission]])+LayTable[[#This Row],[LayLiability]]</f>
        <v>#VALUE!</v>
      </c>
      <c r="AE1355" s="43"/>
      <c r="AF1355" s="181"/>
    </row>
    <row r="1356" spans="1:32">
      <c r="A1356" s="84"/>
      <c r="B1356" s="39"/>
      <c r="C1356" s="40"/>
      <c r="D1356" s="41"/>
      <c r="E1356" s="40"/>
      <c r="F1356" s="41"/>
      <c r="G1356" s="101"/>
      <c r="H1356" s="38"/>
      <c r="I1356" s="42"/>
      <c r="J1356" s="42"/>
      <c r="K1356" s="43"/>
      <c r="L1356" s="43"/>
      <c r="M1356" s="44" t="str">
        <f>IF(LayTable[[#This Row],[Sport]]="","",LayTable[[#This Row],[LayInnsats]]*(LayTable[[#This Row],[LayOdds]]-1))</f>
        <v/>
      </c>
      <c r="N1356" s="45" t="str">
        <f>IF(LayTable[[#This Row],[Sport]]="","",1/((1/LayTable[[#This Row],[BookieOdds]])+(1/((1/((1+((LayTable[[#This Row],[LayOdds]]-1)*(1+LayTable[[#This Row],[C% Lay]])))-1))+1)))-1)</f>
        <v/>
      </c>
      <c r="Q1356" s="46" t="str">
        <f>IF(LayTable[[#This Row],[Sport]]="","",LayTable[[#This Row],[BookieInnsats]]+LayTable[[#This Row],[LayLiability]])</f>
        <v/>
      </c>
      <c r="R13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6" s="47" t="str">
        <f>IF(LayTable[[#This Row],[Utfall bookie]]="","",LayTable[[#This Row],[WBABack]]+LayTable[[#This Row],[WBALay]]-LayTable[[#This Row],[Total inns]])</f>
        <v/>
      </c>
      <c r="U13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6" s="48" t="str">
        <f>IFERROR(IF(LayTable[[#This Row],[Total inns]]="","",LayTable[[#This Row],[Rback]]/LayTable[[#This Row],[Total inns]]),"")</f>
        <v/>
      </c>
      <c r="X1356" s="48" t="str">
        <f>IFERROR(IF(LayTable[[#This Row],[Total inns]]="","",LayTable[[#This Row],[Rlay]]/LayTable[[#This Row],[Total inns]]),"")</f>
        <v/>
      </c>
      <c r="Y1356" s="48" t="str">
        <f>IFERROR(LayTable[[#This Row],[Faktisk res]]/LayTable[[#This Row],[Total inns]],"")</f>
        <v/>
      </c>
      <c r="Z1356" s="47">
        <f>(LayTable[[#This Row],[BookieInnsats]]*LayTable[[#This Row],[BookieOdds]]-LayTable[[#This Row],[BookieInnsats]])*(1-LayTable[[#This Row],[C% Bookie]])</f>
        <v>0</v>
      </c>
      <c r="AA1356" s="43">
        <f>LayTable[[#This Row],[LayInnsats]]*(1-LayTable[[#This Row],[C% Lay]])</f>
        <v>0</v>
      </c>
      <c r="AB1356" s="43" t="str">
        <f>IFERROR(IF(LayTable[[#This Row],[Sport]]="",AB1355,LayTable[[#This Row],[Faktisk res]]+AB1355),"")</f>
        <v/>
      </c>
      <c r="AC1356" s="43">
        <f>(LayTable[[#This Row],[BackWin-Commission]]+LayTable[[#This Row],[BookieInnsats]])</f>
        <v>0</v>
      </c>
      <c r="AD1356" s="43" t="e">
        <f>(LayTable[[#This Row],[LayWin-Commission]])+LayTable[[#This Row],[LayLiability]]</f>
        <v>#VALUE!</v>
      </c>
      <c r="AE1356" s="43"/>
      <c r="AF1356" s="181"/>
    </row>
    <row r="1357" spans="1:32">
      <c r="A1357" s="84"/>
      <c r="B1357" s="39"/>
      <c r="C1357" s="40"/>
      <c r="D1357" s="41"/>
      <c r="E1357" s="40"/>
      <c r="F1357" s="41"/>
      <c r="G1357" s="101"/>
      <c r="H1357" s="38"/>
      <c r="I1357" s="42"/>
      <c r="J1357" s="42"/>
      <c r="K1357" s="43"/>
      <c r="L1357" s="43"/>
      <c r="M1357" s="44" t="str">
        <f>IF(LayTable[[#This Row],[Sport]]="","",LayTable[[#This Row],[LayInnsats]]*(LayTable[[#This Row],[LayOdds]]-1))</f>
        <v/>
      </c>
      <c r="N1357" s="45" t="str">
        <f>IF(LayTable[[#This Row],[Sport]]="","",1/((1/LayTable[[#This Row],[BookieOdds]])+(1/((1/((1+((LayTable[[#This Row],[LayOdds]]-1)*(1+LayTable[[#This Row],[C% Lay]])))-1))+1)))-1)</f>
        <v/>
      </c>
      <c r="Q1357" s="46" t="str">
        <f>IF(LayTable[[#This Row],[Sport]]="","",LayTable[[#This Row],[BookieInnsats]]+LayTable[[#This Row],[LayLiability]])</f>
        <v/>
      </c>
      <c r="R13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7" s="47" t="str">
        <f>IF(LayTable[[#This Row],[Utfall bookie]]="","",LayTable[[#This Row],[WBABack]]+LayTable[[#This Row],[WBALay]]-LayTable[[#This Row],[Total inns]])</f>
        <v/>
      </c>
      <c r="U13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7" s="48" t="str">
        <f>IFERROR(IF(LayTable[[#This Row],[Total inns]]="","",LayTable[[#This Row],[Rback]]/LayTable[[#This Row],[Total inns]]),"")</f>
        <v/>
      </c>
      <c r="X1357" s="48" t="str">
        <f>IFERROR(IF(LayTable[[#This Row],[Total inns]]="","",LayTable[[#This Row],[Rlay]]/LayTable[[#This Row],[Total inns]]),"")</f>
        <v/>
      </c>
      <c r="Y1357" s="48" t="str">
        <f>IFERROR(LayTable[[#This Row],[Faktisk res]]/LayTable[[#This Row],[Total inns]],"")</f>
        <v/>
      </c>
      <c r="Z1357" s="47">
        <f>(LayTable[[#This Row],[BookieInnsats]]*LayTable[[#This Row],[BookieOdds]]-LayTable[[#This Row],[BookieInnsats]])*(1-LayTable[[#This Row],[C% Bookie]])</f>
        <v>0</v>
      </c>
      <c r="AA1357" s="43">
        <f>LayTable[[#This Row],[LayInnsats]]*(1-LayTable[[#This Row],[C% Lay]])</f>
        <v>0</v>
      </c>
      <c r="AB1357" s="43" t="str">
        <f>IFERROR(IF(LayTable[[#This Row],[Sport]]="",AB1356,LayTable[[#This Row],[Faktisk res]]+AB1356),"")</f>
        <v/>
      </c>
      <c r="AC1357" s="43">
        <f>(LayTable[[#This Row],[BackWin-Commission]]+LayTable[[#This Row],[BookieInnsats]])</f>
        <v>0</v>
      </c>
      <c r="AD1357" s="43" t="e">
        <f>(LayTable[[#This Row],[LayWin-Commission]])+LayTable[[#This Row],[LayLiability]]</f>
        <v>#VALUE!</v>
      </c>
      <c r="AE1357" s="43"/>
      <c r="AF1357" s="181"/>
    </row>
    <row r="1358" spans="1:32">
      <c r="A1358" s="84"/>
      <c r="B1358" s="39"/>
      <c r="C1358" s="40"/>
      <c r="D1358" s="41"/>
      <c r="E1358" s="40"/>
      <c r="F1358" s="41"/>
      <c r="G1358" s="101"/>
      <c r="H1358" s="38"/>
      <c r="I1358" s="42"/>
      <c r="J1358" s="42"/>
      <c r="K1358" s="43"/>
      <c r="L1358" s="43"/>
      <c r="M1358" s="44" t="str">
        <f>IF(LayTable[[#This Row],[Sport]]="","",LayTable[[#This Row],[LayInnsats]]*(LayTable[[#This Row],[LayOdds]]-1))</f>
        <v/>
      </c>
      <c r="N1358" s="45" t="str">
        <f>IF(LayTable[[#This Row],[Sport]]="","",1/((1/LayTable[[#This Row],[BookieOdds]])+(1/((1/((1+((LayTable[[#This Row],[LayOdds]]-1)*(1+LayTable[[#This Row],[C% Lay]])))-1))+1)))-1)</f>
        <v/>
      </c>
      <c r="Q1358" s="46" t="str">
        <f>IF(LayTable[[#This Row],[Sport]]="","",LayTable[[#This Row],[BookieInnsats]]+LayTable[[#This Row],[LayLiability]])</f>
        <v/>
      </c>
      <c r="R13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8" s="47" t="str">
        <f>IF(LayTable[[#This Row],[Utfall bookie]]="","",LayTable[[#This Row],[WBABack]]+LayTable[[#This Row],[WBALay]]-LayTable[[#This Row],[Total inns]])</f>
        <v/>
      </c>
      <c r="U13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8" s="48" t="str">
        <f>IFERROR(IF(LayTable[[#This Row],[Total inns]]="","",LayTable[[#This Row],[Rback]]/LayTable[[#This Row],[Total inns]]),"")</f>
        <v/>
      </c>
      <c r="X1358" s="48" t="str">
        <f>IFERROR(IF(LayTable[[#This Row],[Total inns]]="","",LayTable[[#This Row],[Rlay]]/LayTable[[#This Row],[Total inns]]),"")</f>
        <v/>
      </c>
      <c r="Y1358" s="48" t="str">
        <f>IFERROR(LayTable[[#This Row],[Faktisk res]]/LayTable[[#This Row],[Total inns]],"")</f>
        <v/>
      </c>
      <c r="Z1358" s="47">
        <f>(LayTable[[#This Row],[BookieInnsats]]*LayTable[[#This Row],[BookieOdds]]-LayTable[[#This Row],[BookieInnsats]])*(1-LayTable[[#This Row],[C% Bookie]])</f>
        <v>0</v>
      </c>
      <c r="AA1358" s="43">
        <f>LayTable[[#This Row],[LayInnsats]]*(1-LayTable[[#This Row],[C% Lay]])</f>
        <v>0</v>
      </c>
      <c r="AB1358" s="43" t="str">
        <f>IFERROR(IF(LayTable[[#This Row],[Sport]]="",AB1357,LayTable[[#This Row],[Faktisk res]]+AB1357),"")</f>
        <v/>
      </c>
      <c r="AC1358" s="43">
        <f>(LayTable[[#This Row],[BackWin-Commission]]+LayTable[[#This Row],[BookieInnsats]])</f>
        <v>0</v>
      </c>
      <c r="AD1358" s="43" t="e">
        <f>(LayTable[[#This Row],[LayWin-Commission]])+LayTable[[#This Row],[LayLiability]]</f>
        <v>#VALUE!</v>
      </c>
      <c r="AE1358" s="43"/>
      <c r="AF1358" s="181"/>
    </row>
    <row r="1359" spans="1:32">
      <c r="A1359" s="84"/>
      <c r="B1359" s="39"/>
      <c r="C1359" s="40"/>
      <c r="D1359" s="41"/>
      <c r="E1359" s="40"/>
      <c r="F1359" s="41"/>
      <c r="G1359" s="101"/>
      <c r="H1359" s="38"/>
      <c r="I1359" s="42"/>
      <c r="J1359" s="42"/>
      <c r="K1359" s="43"/>
      <c r="L1359" s="43"/>
      <c r="M1359" s="44" t="str">
        <f>IF(LayTable[[#This Row],[Sport]]="","",LayTable[[#This Row],[LayInnsats]]*(LayTable[[#This Row],[LayOdds]]-1))</f>
        <v/>
      </c>
      <c r="N1359" s="45" t="str">
        <f>IF(LayTable[[#This Row],[Sport]]="","",1/((1/LayTable[[#This Row],[BookieOdds]])+(1/((1/((1+((LayTable[[#This Row],[LayOdds]]-1)*(1+LayTable[[#This Row],[C% Lay]])))-1))+1)))-1)</f>
        <v/>
      </c>
      <c r="Q1359" s="46" t="str">
        <f>IF(LayTable[[#This Row],[Sport]]="","",LayTable[[#This Row],[BookieInnsats]]+LayTable[[#This Row],[LayLiability]])</f>
        <v/>
      </c>
      <c r="R13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59" s="47" t="str">
        <f>IF(LayTable[[#This Row],[Utfall bookie]]="","",LayTable[[#This Row],[WBABack]]+LayTable[[#This Row],[WBALay]]-LayTable[[#This Row],[Total inns]])</f>
        <v/>
      </c>
      <c r="U13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59" s="48" t="str">
        <f>IFERROR(IF(LayTable[[#This Row],[Total inns]]="","",LayTable[[#This Row],[Rback]]/LayTable[[#This Row],[Total inns]]),"")</f>
        <v/>
      </c>
      <c r="X1359" s="48" t="str">
        <f>IFERROR(IF(LayTable[[#This Row],[Total inns]]="","",LayTable[[#This Row],[Rlay]]/LayTable[[#This Row],[Total inns]]),"")</f>
        <v/>
      </c>
      <c r="Y1359" s="48" t="str">
        <f>IFERROR(LayTable[[#This Row],[Faktisk res]]/LayTable[[#This Row],[Total inns]],"")</f>
        <v/>
      </c>
      <c r="Z1359" s="47">
        <f>(LayTable[[#This Row],[BookieInnsats]]*LayTable[[#This Row],[BookieOdds]]-LayTable[[#This Row],[BookieInnsats]])*(1-LayTable[[#This Row],[C% Bookie]])</f>
        <v>0</v>
      </c>
      <c r="AA1359" s="43">
        <f>LayTable[[#This Row],[LayInnsats]]*(1-LayTable[[#This Row],[C% Lay]])</f>
        <v>0</v>
      </c>
      <c r="AB1359" s="43" t="str">
        <f>IFERROR(IF(LayTable[[#This Row],[Sport]]="",AB1358,LayTable[[#This Row],[Faktisk res]]+AB1358),"")</f>
        <v/>
      </c>
      <c r="AC1359" s="43">
        <f>(LayTable[[#This Row],[BackWin-Commission]]+LayTable[[#This Row],[BookieInnsats]])</f>
        <v>0</v>
      </c>
      <c r="AD1359" s="43" t="e">
        <f>(LayTable[[#This Row],[LayWin-Commission]])+LayTable[[#This Row],[LayLiability]]</f>
        <v>#VALUE!</v>
      </c>
      <c r="AE1359" s="43"/>
      <c r="AF1359" s="181"/>
    </row>
    <row r="1360" spans="1:32">
      <c r="A1360" s="84"/>
      <c r="B1360" s="39"/>
      <c r="C1360" s="40"/>
      <c r="D1360" s="41"/>
      <c r="E1360" s="40"/>
      <c r="F1360" s="41"/>
      <c r="G1360" s="101"/>
      <c r="H1360" s="38"/>
      <c r="I1360" s="42"/>
      <c r="J1360" s="42"/>
      <c r="K1360" s="43"/>
      <c r="L1360" s="43"/>
      <c r="M1360" s="44" t="str">
        <f>IF(LayTable[[#This Row],[Sport]]="","",LayTable[[#This Row],[LayInnsats]]*(LayTable[[#This Row],[LayOdds]]-1))</f>
        <v/>
      </c>
      <c r="N1360" s="45" t="str">
        <f>IF(LayTable[[#This Row],[Sport]]="","",1/((1/LayTable[[#This Row],[BookieOdds]])+(1/((1/((1+((LayTable[[#This Row],[LayOdds]]-1)*(1+LayTable[[#This Row],[C% Lay]])))-1))+1)))-1)</f>
        <v/>
      </c>
      <c r="Q1360" s="46" t="str">
        <f>IF(LayTable[[#This Row],[Sport]]="","",LayTable[[#This Row],[BookieInnsats]]+LayTable[[#This Row],[LayLiability]])</f>
        <v/>
      </c>
      <c r="R13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0" s="47" t="str">
        <f>IF(LayTable[[#This Row],[Utfall bookie]]="","",LayTable[[#This Row],[WBABack]]+LayTable[[#This Row],[WBALay]]-LayTable[[#This Row],[Total inns]])</f>
        <v/>
      </c>
      <c r="U13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0" s="48" t="str">
        <f>IFERROR(IF(LayTable[[#This Row],[Total inns]]="","",LayTable[[#This Row],[Rback]]/LayTable[[#This Row],[Total inns]]),"")</f>
        <v/>
      </c>
      <c r="X1360" s="48" t="str">
        <f>IFERROR(IF(LayTable[[#This Row],[Total inns]]="","",LayTable[[#This Row],[Rlay]]/LayTable[[#This Row],[Total inns]]),"")</f>
        <v/>
      </c>
      <c r="Y1360" s="48" t="str">
        <f>IFERROR(LayTable[[#This Row],[Faktisk res]]/LayTable[[#This Row],[Total inns]],"")</f>
        <v/>
      </c>
      <c r="Z1360" s="47">
        <f>(LayTable[[#This Row],[BookieInnsats]]*LayTable[[#This Row],[BookieOdds]]-LayTable[[#This Row],[BookieInnsats]])*(1-LayTable[[#This Row],[C% Bookie]])</f>
        <v>0</v>
      </c>
      <c r="AA1360" s="43">
        <f>LayTable[[#This Row],[LayInnsats]]*(1-LayTable[[#This Row],[C% Lay]])</f>
        <v>0</v>
      </c>
      <c r="AB1360" s="43" t="str">
        <f>IFERROR(IF(LayTable[[#This Row],[Sport]]="",AB1359,LayTable[[#This Row],[Faktisk res]]+AB1359),"")</f>
        <v/>
      </c>
      <c r="AC1360" s="43">
        <f>(LayTable[[#This Row],[BackWin-Commission]]+LayTable[[#This Row],[BookieInnsats]])</f>
        <v>0</v>
      </c>
      <c r="AD1360" s="43" t="e">
        <f>(LayTable[[#This Row],[LayWin-Commission]])+LayTable[[#This Row],[LayLiability]]</f>
        <v>#VALUE!</v>
      </c>
      <c r="AE1360" s="43"/>
      <c r="AF1360" s="181"/>
    </row>
    <row r="1361" spans="1:32">
      <c r="A1361" s="84"/>
      <c r="B1361" s="39"/>
      <c r="C1361" s="40"/>
      <c r="D1361" s="41"/>
      <c r="E1361" s="40"/>
      <c r="F1361" s="41"/>
      <c r="G1361" s="101"/>
      <c r="H1361" s="38"/>
      <c r="I1361" s="42"/>
      <c r="J1361" s="42"/>
      <c r="K1361" s="43"/>
      <c r="L1361" s="43"/>
      <c r="M1361" s="44" t="str">
        <f>IF(LayTable[[#This Row],[Sport]]="","",LayTable[[#This Row],[LayInnsats]]*(LayTable[[#This Row],[LayOdds]]-1))</f>
        <v/>
      </c>
      <c r="N1361" s="45" t="str">
        <f>IF(LayTable[[#This Row],[Sport]]="","",1/((1/LayTable[[#This Row],[BookieOdds]])+(1/((1/((1+((LayTable[[#This Row],[LayOdds]]-1)*(1+LayTable[[#This Row],[C% Lay]])))-1))+1)))-1)</f>
        <v/>
      </c>
      <c r="Q1361" s="46" t="str">
        <f>IF(LayTable[[#This Row],[Sport]]="","",LayTable[[#This Row],[BookieInnsats]]+LayTable[[#This Row],[LayLiability]])</f>
        <v/>
      </c>
      <c r="R13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1" s="47" t="str">
        <f>IF(LayTable[[#This Row],[Utfall bookie]]="","",LayTable[[#This Row],[WBABack]]+LayTable[[#This Row],[WBALay]]-LayTable[[#This Row],[Total inns]])</f>
        <v/>
      </c>
      <c r="U13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1" s="48" t="str">
        <f>IFERROR(IF(LayTable[[#This Row],[Total inns]]="","",LayTable[[#This Row],[Rback]]/LayTable[[#This Row],[Total inns]]),"")</f>
        <v/>
      </c>
      <c r="X1361" s="48" t="str">
        <f>IFERROR(IF(LayTable[[#This Row],[Total inns]]="","",LayTable[[#This Row],[Rlay]]/LayTable[[#This Row],[Total inns]]),"")</f>
        <v/>
      </c>
      <c r="Y1361" s="48" t="str">
        <f>IFERROR(LayTable[[#This Row],[Faktisk res]]/LayTable[[#This Row],[Total inns]],"")</f>
        <v/>
      </c>
      <c r="Z1361" s="47">
        <f>(LayTable[[#This Row],[BookieInnsats]]*LayTable[[#This Row],[BookieOdds]]-LayTable[[#This Row],[BookieInnsats]])*(1-LayTable[[#This Row],[C% Bookie]])</f>
        <v>0</v>
      </c>
      <c r="AA1361" s="43">
        <f>LayTable[[#This Row],[LayInnsats]]*(1-LayTable[[#This Row],[C% Lay]])</f>
        <v>0</v>
      </c>
      <c r="AB1361" s="43" t="str">
        <f>IFERROR(IF(LayTable[[#This Row],[Sport]]="",AB1360,LayTable[[#This Row],[Faktisk res]]+AB1360),"")</f>
        <v/>
      </c>
      <c r="AC1361" s="43">
        <f>(LayTable[[#This Row],[BackWin-Commission]]+LayTable[[#This Row],[BookieInnsats]])</f>
        <v>0</v>
      </c>
      <c r="AD1361" s="43" t="e">
        <f>(LayTable[[#This Row],[LayWin-Commission]])+LayTable[[#This Row],[LayLiability]]</f>
        <v>#VALUE!</v>
      </c>
      <c r="AE1361" s="43"/>
      <c r="AF1361" s="181"/>
    </row>
    <row r="1362" spans="1:32">
      <c r="A1362" s="84"/>
      <c r="B1362" s="39"/>
      <c r="C1362" s="40"/>
      <c r="D1362" s="41"/>
      <c r="E1362" s="40"/>
      <c r="F1362" s="41"/>
      <c r="G1362" s="101"/>
      <c r="H1362" s="38"/>
      <c r="I1362" s="42"/>
      <c r="J1362" s="42"/>
      <c r="K1362" s="43"/>
      <c r="L1362" s="43"/>
      <c r="M1362" s="44" t="str">
        <f>IF(LayTable[[#This Row],[Sport]]="","",LayTable[[#This Row],[LayInnsats]]*(LayTable[[#This Row],[LayOdds]]-1))</f>
        <v/>
      </c>
      <c r="N1362" s="45" t="str">
        <f>IF(LayTable[[#This Row],[Sport]]="","",1/((1/LayTable[[#This Row],[BookieOdds]])+(1/((1/((1+((LayTable[[#This Row],[LayOdds]]-1)*(1+LayTable[[#This Row],[C% Lay]])))-1))+1)))-1)</f>
        <v/>
      </c>
      <c r="Q1362" s="46" t="str">
        <f>IF(LayTable[[#This Row],[Sport]]="","",LayTable[[#This Row],[BookieInnsats]]+LayTable[[#This Row],[LayLiability]])</f>
        <v/>
      </c>
      <c r="R13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2" s="47" t="str">
        <f>IF(LayTable[[#This Row],[Utfall bookie]]="","",LayTable[[#This Row],[WBABack]]+LayTable[[#This Row],[WBALay]]-LayTable[[#This Row],[Total inns]])</f>
        <v/>
      </c>
      <c r="U13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2" s="48" t="str">
        <f>IFERROR(IF(LayTable[[#This Row],[Total inns]]="","",LayTable[[#This Row],[Rback]]/LayTable[[#This Row],[Total inns]]),"")</f>
        <v/>
      </c>
      <c r="X1362" s="48" t="str">
        <f>IFERROR(IF(LayTable[[#This Row],[Total inns]]="","",LayTable[[#This Row],[Rlay]]/LayTable[[#This Row],[Total inns]]),"")</f>
        <v/>
      </c>
      <c r="Y1362" s="48" t="str">
        <f>IFERROR(LayTable[[#This Row],[Faktisk res]]/LayTable[[#This Row],[Total inns]],"")</f>
        <v/>
      </c>
      <c r="Z1362" s="47">
        <f>(LayTable[[#This Row],[BookieInnsats]]*LayTable[[#This Row],[BookieOdds]]-LayTable[[#This Row],[BookieInnsats]])*(1-LayTable[[#This Row],[C% Bookie]])</f>
        <v>0</v>
      </c>
      <c r="AA1362" s="43">
        <f>LayTable[[#This Row],[LayInnsats]]*(1-LayTable[[#This Row],[C% Lay]])</f>
        <v>0</v>
      </c>
      <c r="AB1362" s="43" t="str">
        <f>IFERROR(IF(LayTable[[#This Row],[Sport]]="",AB1361,LayTable[[#This Row],[Faktisk res]]+AB1361),"")</f>
        <v/>
      </c>
      <c r="AC1362" s="43">
        <f>(LayTable[[#This Row],[BackWin-Commission]]+LayTable[[#This Row],[BookieInnsats]])</f>
        <v>0</v>
      </c>
      <c r="AD1362" s="43" t="e">
        <f>(LayTable[[#This Row],[LayWin-Commission]])+LayTable[[#This Row],[LayLiability]]</f>
        <v>#VALUE!</v>
      </c>
      <c r="AE1362" s="43"/>
      <c r="AF1362" s="181"/>
    </row>
    <row r="1363" spans="1:32">
      <c r="A1363" s="84"/>
      <c r="B1363" s="39"/>
      <c r="C1363" s="40"/>
      <c r="D1363" s="41"/>
      <c r="E1363" s="40"/>
      <c r="F1363" s="41"/>
      <c r="G1363" s="101"/>
      <c r="H1363" s="38"/>
      <c r="I1363" s="42"/>
      <c r="J1363" s="42"/>
      <c r="K1363" s="43"/>
      <c r="L1363" s="43"/>
      <c r="M1363" s="44" t="str">
        <f>IF(LayTable[[#This Row],[Sport]]="","",LayTable[[#This Row],[LayInnsats]]*(LayTable[[#This Row],[LayOdds]]-1))</f>
        <v/>
      </c>
      <c r="N1363" s="45" t="str">
        <f>IF(LayTable[[#This Row],[Sport]]="","",1/((1/LayTable[[#This Row],[BookieOdds]])+(1/((1/((1+((LayTable[[#This Row],[LayOdds]]-1)*(1+LayTable[[#This Row],[C% Lay]])))-1))+1)))-1)</f>
        <v/>
      </c>
      <c r="Q1363" s="46" t="str">
        <f>IF(LayTable[[#This Row],[Sport]]="","",LayTable[[#This Row],[BookieInnsats]]+LayTable[[#This Row],[LayLiability]])</f>
        <v/>
      </c>
      <c r="R13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3" s="47" t="str">
        <f>IF(LayTable[[#This Row],[Utfall bookie]]="","",LayTable[[#This Row],[WBABack]]+LayTable[[#This Row],[WBALay]]-LayTable[[#This Row],[Total inns]])</f>
        <v/>
      </c>
      <c r="U13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3" s="48" t="str">
        <f>IFERROR(IF(LayTable[[#This Row],[Total inns]]="","",LayTable[[#This Row],[Rback]]/LayTable[[#This Row],[Total inns]]),"")</f>
        <v/>
      </c>
      <c r="X1363" s="48" t="str">
        <f>IFERROR(IF(LayTable[[#This Row],[Total inns]]="","",LayTable[[#This Row],[Rlay]]/LayTable[[#This Row],[Total inns]]),"")</f>
        <v/>
      </c>
      <c r="Y1363" s="48" t="str">
        <f>IFERROR(LayTable[[#This Row],[Faktisk res]]/LayTable[[#This Row],[Total inns]],"")</f>
        <v/>
      </c>
      <c r="Z1363" s="47">
        <f>(LayTable[[#This Row],[BookieInnsats]]*LayTable[[#This Row],[BookieOdds]]-LayTable[[#This Row],[BookieInnsats]])*(1-LayTable[[#This Row],[C% Bookie]])</f>
        <v>0</v>
      </c>
      <c r="AA1363" s="43">
        <f>LayTable[[#This Row],[LayInnsats]]*(1-LayTable[[#This Row],[C% Lay]])</f>
        <v>0</v>
      </c>
      <c r="AB1363" s="43" t="str">
        <f>IFERROR(IF(LayTable[[#This Row],[Sport]]="",AB1362,LayTable[[#This Row],[Faktisk res]]+AB1362),"")</f>
        <v/>
      </c>
      <c r="AC1363" s="43">
        <f>(LayTable[[#This Row],[BackWin-Commission]]+LayTable[[#This Row],[BookieInnsats]])</f>
        <v>0</v>
      </c>
      <c r="AD1363" s="43" t="e">
        <f>(LayTable[[#This Row],[LayWin-Commission]])+LayTable[[#This Row],[LayLiability]]</f>
        <v>#VALUE!</v>
      </c>
      <c r="AE1363" s="43"/>
      <c r="AF1363" s="181"/>
    </row>
    <row r="1364" spans="1:32">
      <c r="A1364" s="84"/>
      <c r="B1364" s="39"/>
      <c r="C1364" s="40"/>
      <c r="D1364" s="41"/>
      <c r="E1364" s="40"/>
      <c r="F1364" s="41"/>
      <c r="G1364" s="101"/>
      <c r="H1364" s="38"/>
      <c r="I1364" s="42"/>
      <c r="J1364" s="42"/>
      <c r="K1364" s="43"/>
      <c r="L1364" s="43"/>
      <c r="M1364" s="44" t="str">
        <f>IF(LayTable[[#This Row],[Sport]]="","",LayTable[[#This Row],[LayInnsats]]*(LayTable[[#This Row],[LayOdds]]-1))</f>
        <v/>
      </c>
      <c r="N1364" s="45" t="str">
        <f>IF(LayTable[[#This Row],[Sport]]="","",1/((1/LayTable[[#This Row],[BookieOdds]])+(1/((1/((1+((LayTable[[#This Row],[LayOdds]]-1)*(1+LayTable[[#This Row],[C% Lay]])))-1))+1)))-1)</f>
        <v/>
      </c>
      <c r="Q1364" s="46" t="str">
        <f>IF(LayTable[[#This Row],[Sport]]="","",LayTable[[#This Row],[BookieInnsats]]+LayTable[[#This Row],[LayLiability]])</f>
        <v/>
      </c>
      <c r="R13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4" s="47" t="str">
        <f>IF(LayTable[[#This Row],[Utfall bookie]]="","",LayTable[[#This Row],[WBABack]]+LayTable[[#This Row],[WBALay]]-LayTable[[#This Row],[Total inns]])</f>
        <v/>
      </c>
      <c r="U13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4" s="48" t="str">
        <f>IFERROR(IF(LayTable[[#This Row],[Total inns]]="","",LayTable[[#This Row],[Rback]]/LayTable[[#This Row],[Total inns]]),"")</f>
        <v/>
      </c>
      <c r="X1364" s="48" t="str">
        <f>IFERROR(IF(LayTable[[#This Row],[Total inns]]="","",LayTable[[#This Row],[Rlay]]/LayTable[[#This Row],[Total inns]]),"")</f>
        <v/>
      </c>
      <c r="Y1364" s="48" t="str">
        <f>IFERROR(LayTable[[#This Row],[Faktisk res]]/LayTable[[#This Row],[Total inns]],"")</f>
        <v/>
      </c>
      <c r="Z1364" s="47">
        <f>(LayTable[[#This Row],[BookieInnsats]]*LayTable[[#This Row],[BookieOdds]]-LayTable[[#This Row],[BookieInnsats]])*(1-LayTable[[#This Row],[C% Bookie]])</f>
        <v>0</v>
      </c>
      <c r="AA1364" s="43">
        <f>LayTable[[#This Row],[LayInnsats]]*(1-LayTable[[#This Row],[C% Lay]])</f>
        <v>0</v>
      </c>
      <c r="AB1364" s="43" t="str">
        <f>IFERROR(IF(LayTable[[#This Row],[Sport]]="",AB1363,LayTable[[#This Row],[Faktisk res]]+AB1363),"")</f>
        <v/>
      </c>
      <c r="AC1364" s="43">
        <f>(LayTable[[#This Row],[BackWin-Commission]]+LayTable[[#This Row],[BookieInnsats]])</f>
        <v>0</v>
      </c>
      <c r="AD1364" s="43" t="e">
        <f>(LayTable[[#This Row],[LayWin-Commission]])+LayTable[[#This Row],[LayLiability]]</f>
        <v>#VALUE!</v>
      </c>
      <c r="AE1364" s="43"/>
      <c r="AF1364" s="181"/>
    </row>
    <row r="1365" spans="1:32">
      <c r="A1365" s="84"/>
      <c r="B1365" s="39"/>
      <c r="C1365" s="40"/>
      <c r="D1365" s="41"/>
      <c r="E1365" s="40"/>
      <c r="F1365" s="41"/>
      <c r="G1365" s="101"/>
      <c r="H1365" s="38"/>
      <c r="I1365" s="42"/>
      <c r="J1365" s="42"/>
      <c r="K1365" s="43"/>
      <c r="L1365" s="43"/>
      <c r="M1365" s="44" t="str">
        <f>IF(LayTable[[#This Row],[Sport]]="","",LayTable[[#This Row],[LayInnsats]]*(LayTable[[#This Row],[LayOdds]]-1))</f>
        <v/>
      </c>
      <c r="N1365" s="45" t="str">
        <f>IF(LayTable[[#This Row],[Sport]]="","",1/((1/LayTable[[#This Row],[BookieOdds]])+(1/((1/((1+((LayTable[[#This Row],[LayOdds]]-1)*(1+LayTable[[#This Row],[C% Lay]])))-1))+1)))-1)</f>
        <v/>
      </c>
      <c r="Q1365" s="46" t="str">
        <f>IF(LayTable[[#This Row],[Sport]]="","",LayTable[[#This Row],[BookieInnsats]]+LayTable[[#This Row],[LayLiability]])</f>
        <v/>
      </c>
      <c r="R13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5" s="47" t="str">
        <f>IF(LayTable[[#This Row],[Utfall bookie]]="","",LayTable[[#This Row],[WBABack]]+LayTable[[#This Row],[WBALay]]-LayTable[[#This Row],[Total inns]])</f>
        <v/>
      </c>
      <c r="U13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5" s="48" t="str">
        <f>IFERROR(IF(LayTable[[#This Row],[Total inns]]="","",LayTable[[#This Row],[Rback]]/LayTable[[#This Row],[Total inns]]),"")</f>
        <v/>
      </c>
      <c r="X1365" s="48" t="str">
        <f>IFERROR(IF(LayTable[[#This Row],[Total inns]]="","",LayTable[[#This Row],[Rlay]]/LayTable[[#This Row],[Total inns]]),"")</f>
        <v/>
      </c>
      <c r="Y1365" s="48" t="str">
        <f>IFERROR(LayTable[[#This Row],[Faktisk res]]/LayTable[[#This Row],[Total inns]],"")</f>
        <v/>
      </c>
      <c r="Z1365" s="47">
        <f>(LayTable[[#This Row],[BookieInnsats]]*LayTable[[#This Row],[BookieOdds]]-LayTable[[#This Row],[BookieInnsats]])*(1-LayTable[[#This Row],[C% Bookie]])</f>
        <v>0</v>
      </c>
      <c r="AA1365" s="43">
        <f>LayTable[[#This Row],[LayInnsats]]*(1-LayTable[[#This Row],[C% Lay]])</f>
        <v>0</v>
      </c>
      <c r="AB1365" s="43" t="str">
        <f>IFERROR(IF(LayTable[[#This Row],[Sport]]="",AB1364,LayTable[[#This Row],[Faktisk res]]+AB1364),"")</f>
        <v/>
      </c>
      <c r="AC1365" s="43">
        <f>(LayTable[[#This Row],[BackWin-Commission]]+LayTable[[#This Row],[BookieInnsats]])</f>
        <v>0</v>
      </c>
      <c r="AD1365" s="43" t="e">
        <f>(LayTable[[#This Row],[LayWin-Commission]])+LayTable[[#This Row],[LayLiability]]</f>
        <v>#VALUE!</v>
      </c>
      <c r="AE1365" s="43"/>
      <c r="AF1365" s="181"/>
    </row>
    <row r="1366" spans="1:32">
      <c r="A1366" s="84"/>
      <c r="B1366" s="39"/>
      <c r="C1366" s="40"/>
      <c r="D1366" s="41"/>
      <c r="E1366" s="40"/>
      <c r="F1366" s="41"/>
      <c r="G1366" s="101"/>
      <c r="H1366" s="38"/>
      <c r="I1366" s="42"/>
      <c r="J1366" s="42"/>
      <c r="K1366" s="43"/>
      <c r="L1366" s="43"/>
      <c r="M1366" s="44" t="str">
        <f>IF(LayTable[[#This Row],[Sport]]="","",LayTable[[#This Row],[LayInnsats]]*(LayTable[[#This Row],[LayOdds]]-1))</f>
        <v/>
      </c>
      <c r="N1366" s="45" t="str">
        <f>IF(LayTable[[#This Row],[Sport]]="","",1/((1/LayTable[[#This Row],[BookieOdds]])+(1/((1/((1+((LayTable[[#This Row],[LayOdds]]-1)*(1+LayTable[[#This Row],[C% Lay]])))-1))+1)))-1)</f>
        <v/>
      </c>
      <c r="Q1366" s="46" t="str">
        <f>IF(LayTable[[#This Row],[Sport]]="","",LayTable[[#This Row],[BookieInnsats]]+LayTable[[#This Row],[LayLiability]])</f>
        <v/>
      </c>
      <c r="R13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6" s="47" t="str">
        <f>IF(LayTable[[#This Row],[Utfall bookie]]="","",LayTable[[#This Row],[WBABack]]+LayTable[[#This Row],[WBALay]]-LayTable[[#This Row],[Total inns]])</f>
        <v/>
      </c>
      <c r="U13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6" s="48" t="str">
        <f>IFERROR(IF(LayTable[[#This Row],[Total inns]]="","",LayTable[[#This Row],[Rback]]/LayTable[[#This Row],[Total inns]]),"")</f>
        <v/>
      </c>
      <c r="X1366" s="48" t="str">
        <f>IFERROR(IF(LayTable[[#This Row],[Total inns]]="","",LayTable[[#This Row],[Rlay]]/LayTable[[#This Row],[Total inns]]),"")</f>
        <v/>
      </c>
      <c r="Y1366" s="48" t="str">
        <f>IFERROR(LayTable[[#This Row],[Faktisk res]]/LayTable[[#This Row],[Total inns]],"")</f>
        <v/>
      </c>
      <c r="Z1366" s="47">
        <f>(LayTable[[#This Row],[BookieInnsats]]*LayTable[[#This Row],[BookieOdds]]-LayTable[[#This Row],[BookieInnsats]])*(1-LayTable[[#This Row],[C% Bookie]])</f>
        <v>0</v>
      </c>
      <c r="AA1366" s="43">
        <f>LayTable[[#This Row],[LayInnsats]]*(1-LayTable[[#This Row],[C% Lay]])</f>
        <v>0</v>
      </c>
      <c r="AB1366" s="43" t="str">
        <f>IFERROR(IF(LayTable[[#This Row],[Sport]]="",AB1365,LayTable[[#This Row],[Faktisk res]]+AB1365),"")</f>
        <v/>
      </c>
      <c r="AC1366" s="43">
        <f>(LayTable[[#This Row],[BackWin-Commission]]+LayTable[[#This Row],[BookieInnsats]])</f>
        <v>0</v>
      </c>
      <c r="AD1366" s="43" t="e">
        <f>(LayTable[[#This Row],[LayWin-Commission]])+LayTable[[#This Row],[LayLiability]]</f>
        <v>#VALUE!</v>
      </c>
      <c r="AE1366" s="43"/>
      <c r="AF1366" s="181"/>
    </row>
    <row r="1367" spans="1:32">
      <c r="A1367" s="84"/>
      <c r="B1367" s="39"/>
      <c r="C1367" s="40"/>
      <c r="D1367" s="41"/>
      <c r="E1367" s="40"/>
      <c r="F1367" s="41"/>
      <c r="G1367" s="101"/>
      <c r="H1367" s="38"/>
      <c r="I1367" s="42"/>
      <c r="J1367" s="42"/>
      <c r="K1367" s="43"/>
      <c r="L1367" s="43"/>
      <c r="M1367" s="44" t="str">
        <f>IF(LayTable[[#This Row],[Sport]]="","",LayTable[[#This Row],[LayInnsats]]*(LayTable[[#This Row],[LayOdds]]-1))</f>
        <v/>
      </c>
      <c r="N1367" s="45" t="str">
        <f>IF(LayTable[[#This Row],[Sport]]="","",1/((1/LayTable[[#This Row],[BookieOdds]])+(1/((1/((1+((LayTable[[#This Row],[LayOdds]]-1)*(1+LayTable[[#This Row],[C% Lay]])))-1))+1)))-1)</f>
        <v/>
      </c>
      <c r="Q1367" s="46" t="str">
        <f>IF(LayTable[[#This Row],[Sport]]="","",LayTable[[#This Row],[BookieInnsats]]+LayTable[[#This Row],[LayLiability]])</f>
        <v/>
      </c>
      <c r="R13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7" s="47" t="str">
        <f>IF(LayTable[[#This Row],[Utfall bookie]]="","",LayTable[[#This Row],[WBABack]]+LayTable[[#This Row],[WBALay]]-LayTable[[#This Row],[Total inns]])</f>
        <v/>
      </c>
      <c r="U13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7" s="48" t="str">
        <f>IFERROR(IF(LayTable[[#This Row],[Total inns]]="","",LayTable[[#This Row],[Rback]]/LayTable[[#This Row],[Total inns]]),"")</f>
        <v/>
      </c>
      <c r="X1367" s="48" t="str">
        <f>IFERROR(IF(LayTable[[#This Row],[Total inns]]="","",LayTable[[#This Row],[Rlay]]/LayTable[[#This Row],[Total inns]]),"")</f>
        <v/>
      </c>
      <c r="Y1367" s="48" t="str">
        <f>IFERROR(LayTable[[#This Row],[Faktisk res]]/LayTable[[#This Row],[Total inns]],"")</f>
        <v/>
      </c>
      <c r="Z1367" s="47">
        <f>(LayTable[[#This Row],[BookieInnsats]]*LayTable[[#This Row],[BookieOdds]]-LayTable[[#This Row],[BookieInnsats]])*(1-LayTable[[#This Row],[C% Bookie]])</f>
        <v>0</v>
      </c>
      <c r="AA1367" s="43">
        <f>LayTable[[#This Row],[LayInnsats]]*(1-LayTable[[#This Row],[C% Lay]])</f>
        <v>0</v>
      </c>
      <c r="AB1367" s="43" t="str">
        <f>IFERROR(IF(LayTable[[#This Row],[Sport]]="",AB1366,LayTable[[#This Row],[Faktisk res]]+AB1366),"")</f>
        <v/>
      </c>
      <c r="AC1367" s="43">
        <f>(LayTable[[#This Row],[BackWin-Commission]]+LayTable[[#This Row],[BookieInnsats]])</f>
        <v>0</v>
      </c>
      <c r="AD1367" s="43" t="e">
        <f>(LayTable[[#This Row],[LayWin-Commission]])+LayTable[[#This Row],[LayLiability]]</f>
        <v>#VALUE!</v>
      </c>
      <c r="AE1367" s="43"/>
      <c r="AF1367" s="181"/>
    </row>
    <row r="1368" spans="1:32">
      <c r="A1368" s="84"/>
      <c r="B1368" s="39"/>
      <c r="C1368" s="40"/>
      <c r="D1368" s="41"/>
      <c r="E1368" s="40"/>
      <c r="F1368" s="41"/>
      <c r="G1368" s="101"/>
      <c r="H1368" s="38"/>
      <c r="I1368" s="42"/>
      <c r="J1368" s="42"/>
      <c r="K1368" s="43"/>
      <c r="L1368" s="43"/>
      <c r="M1368" s="44" t="str">
        <f>IF(LayTable[[#This Row],[Sport]]="","",LayTable[[#This Row],[LayInnsats]]*(LayTable[[#This Row],[LayOdds]]-1))</f>
        <v/>
      </c>
      <c r="N1368" s="45" t="str">
        <f>IF(LayTable[[#This Row],[Sport]]="","",1/((1/LayTable[[#This Row],[BookieOdds]])+(1/((1/((1+((LayTable[[#This Row],[LayOdds]]-1)*(1+LayTable[[#This Row],[C% Lay]])))-1))+1)))-1)</f>
        <v/>
      </c>
      <c r="Q1368" s="46" t="str">
        <f>IF(LayTable[[#This Row],[Sport]]="","",LayTable[[#This Row],[BookieInnsats]]+LayTable[[#This Row],[LayLiability]])</f>
        <v/>
      </c>
      <c r="R13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8" s="47" t="str">
        <f>IF(LayTable[[#This Row],[Utfall bookie]]="","",LayTable[[#This Row],[WBABack]]+LayTable[[#This Row],[WBALay]]-LayTable[[#This Row],[Total inns]])</f>
        <v/>
      </c>
      <c r="U13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8" s="48" t="str">
        <f>IFERROR(IF(LayTable[[#This Row],[Total inns]]="","",LayTable[[#This Row],[Rback]]/LayTable[[#This Row],[Total inns]]),"")</f>
        <v/>
      </c>
      <c r="X1368" s="48" t="str">
        <f>IFERROR(IF(LayTable[[#This Row],[Total inns]]="","",LayTable[[#This Row],[Rlay]]/LayTable[[#This Row],[Total inns]]),"")</f>
        <v/>
      </c>
      <c r="Y1368" s="48" t="str">
        <f>IFERROR(LayTable[[#This Row],[Faktisk res]]/LayTable[[#This Row],[Total inns]],"")</f>
        <v/>
      </c>
      <c r="Z1368" s="47">
        <f>(LayTable[[#This Row],[BookieInnsats]]*LayTable[[#This Row],[BookieOdds]]-LayTable[[#This Row],[BookieInnsats]])*(1-LayTable[[#This Row],[C% Bookie]])</f>
        <v>0</v>
      </c>
      <c r="AA1368" s="43">
        <f>LayTable[[#This Row],[LayInnsats]]*(1-LayTable[[#This Row],[C% Lay]])</f>
        <v>0</v>
      </c>
      <c r="AB1368" s="43" t="str">
        <f>IFERROR(IF(LayTable[[#This Row],[Sport]]="",AB1367,LayTable[[#This Row],[Faktisk res]]+AB1367),"")</f>
        <v/>
      </c>
      <c r="AC1368" s="43">
        <f>(LayTable[[#This Row],[BackWin-Commission]]+LayTable[[#This Row],[BookieInnsats]])</f>
        <v>0</v>
      </c>
      <c r="AD1368" s="43" t="e">
        <f>(LayTable[[#This Row],[LayWin-Commission]])+LayTable[[#This Row],[LayLiability]]</f>
        <v>#VALUE!</v>
      </c>
      <c r="AE1368" s="43"/>
      <c r="AF1368" s="181"/>
    </row>
    <row r="1369" spans="1:32">
      <c r="A1369" s="84"/>
      <c r="B1369" s="39"/>
      <c r="C1369" s="40"/>
      <c r="D1369" s="41"/>
      <c r="E1369" s="40"/>
      <c r="F1369" s="41"/>
      <c r="G1369" s="101"/>
      <c r="H1369" s="38"/>
      <c r="I1369" s="42"/>
      <c r="J1369" s="42"/>
      <c r="K1369" s="43"/>
      <c r="L1369" s="43"/>
      <c r="M1369" s="44" t="str">
        <f>IF(LayTable[[#This Row],[Sport]]="","",LayTable[[#This Row],[LayInnsats]]*(LayTable[[#This Row],[LayOdds]]-1))</f>
        <v/>
      </c>
      <c r="N1369" s="45" t="str">
        <f>IF(LayTable[[#This Row],[Sport]]="","",1/((1/LayTable[[#This Row],[BookieOdds]])+(1/((1/((1+((LayTable[[#This Row],[LayOdds]]-1)*(1+LayTable[[#This Row],[C% Lay]])))-1))+1)))-1)</f>
        <v/>
      </c>
      <c r="Q1369" s="46" t="str">
        <f>IF(LayTable[[#This Row],[Sport]]="","",LayTable[[#This Row],[BookieInnsats]]+LayTable[[#This Row],[LayLiability]])</f>
        <v/>
      </c>
      <c r="R13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69" s="47" t="str">
        <f>IF(LayTable[[#This Row],[Utfall bookie]]="","",LayTable[[#This Row],[WBABack]]+LayTable[[#This Row],[WBALay]]-LayTable[[#This Row],[Total inns]])</f>
        <v/>
      </c>
      <c r="U13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69" s="48" t="str">
        <f>IFERROR(IF(LayTable[[#This Row],[Total inns]]="","",LayTable[[#This Row],[Rback]]/LayTable[[#This Row],[Total inns]]),"")</f>
        <v/>
      </c>
      <c r="X1369" s="48" t="str">
        <f>IFERROR(IF(LayTable[[#This Row],[Total inns]]="","",LayTable[[#This Row],[Rlay]]/LayTable[[#This Row],[Total inns]]),"")</f>
        <v/>
      </c>
      <c r="Y1369" s="48" t="str">
        <f>IFERROR(LayTable[[#This Row],[Faktisk res]]/LayTable[[#This Row],[Total inns]],"")</f>
        <v/>
      </c>
      <c r="Z1369" s="47">
        <f>(LayTable[[#This Row],[BookieInnsats]]*LayTable[[#This Row],[BookieOdds]]-LayTable[[#This Row],[BookieInnsats]])*(1-LayTable[[#This Row],[C% Bookie]])</f>
        <v>0</v>
      </c>
      <c r="AA1369" s="43">
        <f>LayTable[[#This Row],[LayInnsats]]*(1-LayTable[[#This Row],[C% Lay]])</f>
        <v>0</v>
      </c>
      <c r="AB1369" s="43" t="str">
        <f>IFERROR(IF(LayTable[[#This Row],[Sport]]="",AB1368,LayTable[[#This Row],[Faktisk res]]+AB1368),"")</f>
        <v/>
      </c>
      <c r="AC1369" s="43">
        <f>(LayTable[[#This Row],[BackWin-Commission]]+LayTable[[#This Row],[BookieInnsats]])</f>
        <v>0</v>
      </c>
      <c r="AD1369" s="43" t="e">
        <f>(LayTable[[#This Row],[LayWin-Commission]])+LayTable[[#This Row],[LayLiability]]</f>
        <v>#VALUE!</v>
      </c>
      <c r="AE1369" s="43"/>
      <c r="AF1369" s="181"/>
    </row>
    <row r="1370" spans="1:32">
      <c r="A1370" s="84"/>
      <c r="B1370" s="39"/>
      <c r="C1370" s="40"/>
      <c r="D1370" s="41"/>
      <c r="E1370" s="40"/>
      <c r="F1370" s="41"/>
      <c r="G1370" s="101"/>
      <c r="H1370" s="38"/>
      <c r="I1370" s="42"/>
      <c r="J1370" s="42"/>
      <c r="K1370" s="43"/>
      <c r="L1370" s="43"/>
      <c r="M1370" s="44" t="str">
        <f>IF(LayTable[[#This Row],[Sport]]="","",LayTable[[#This Row],[LayInnsats]]*(LayTable[[#This Row],[LayOdds]]-1))</f>
        <v/>
      </c>
      <c r="N1370" s="45" t="str">
        <f>IF(LayTable[[#This Row],[Sport]]="","",1/((1/LayTable[[#This Row],[BookieOdds]])+(1/((1/((1+((LayTable[[#This Row],[LayOdds]]-1)*(1+LayTable[[#This Row],[C% Lay]])))-1))+1)))-1)</f>
        <v/>
      </c>
      <c r="Q1370" s="46" t="str">
        <f>IF(LayTable[[#This Row],[Sport]]="","",LayTable[[#This Row],[BookieInnsats]]+LayTable[[#This Row],[LayLiability]])</f>
        <v/>
      </c>
      <c r="R13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0" s="47" t="str">
        <f>IF(LayTable[[#This Row],[Utfall bookie]]="","",LayTable[[#This Row],[WBABack]]+LayTable[[#This Row],[WBALay]]-LayTable[[#This Row],[Total inns]])</f>
        <v/>
      </c>
      <c r="U13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0" s="48" t="str">
        <f>IFERROR(IF(LayTable[[#This Row],[Total inns]]="","",LayTable[[#This Row],[Rback]]/LayTable[[#This Row],[Total inns]]),"")</f>
        <v/>
      </c>
      <c r="X1370" s="48" t="str">
        <f>IFERROR(IF(LayTable[[#This Row],[Total inns]]="","",LayTable[[#This Row],[Rlay]]/LayTable[[#This Row],[Total inns]]),"")</f>
        <v/>
      </c>
      <c r="Y1370" s="48" t="str">
        <f>IFERROR(LayTable[[#This Row],[Faktisk res]]/LayTable[[#This Row],[Total inns]],"")</f>
        <v/>
      </c>
      <c r="Z1370" s="47">
        <f>(LayTable[[#This Row],[BookieInnsats]]*LayTable[[#This Row],[BookieOdds]]-LayTable[[#This Row],[BookieInnsats]])*(1-LayTable[[#This Row],[C% Bookie]])</f>
        <v>0</v>
      </c>
      <c r="AA1370" s="43">
        <f>LayTable[[#This Row],[LayInnsats]]*(1-LayTable[[#This Row],[C% Lay]])</f>
        <v>0</v>
      </c>
      <c r="AB1370" s="43" t="str">
        <f>IFERROR(IF(LayTable[[#This Row],[Sport]]="",AB1369,LayTable[[#This Row],[Faktisk res]]+AB1369),"")</f>
        <v/>
      </c>
      <c r="AC1370" s="43">
        <f>(LayTable[[#This Row],[BackWin-Commission]]+LayTable[[#This Row],[BookieInnsats]])</f>
        <v>0</v>
      </c>
      <c r="AD1370" s="43" t="e">
        <f>(LayTable[[#This Row],[LayWin-Commission]])+LayTable[[#This Row],[LayLiability]]</f>
        <v>#VALUE!</v>
      </c>
      <c r="AE1370" s="43"/>
      <c r="AF1370" s="181"/>
    </row>
    <row r="1371" spans="1:32">
      <c r="A1371" s="84"/>
      <c r="B1371" s="39"/>
      <c r="C1371" s="40"/>
      <c r="D1371" s="41"/>
      <c r="E1371" s="40"/>
      <c r="F1371" s="41"/>
      <c r="G1371" s="101"/>
      <c r="H1371" s="38"/>
      <c r="I1371" s="42"/>
      <c r="J1371" s="42"/>
      <c r="K1371" s="43"/>
      <c r="L1371" s="43"/>
      <c r="M1371" s="44" t="str">
        <f>IF(LayTable[[#This Row],[Sport]]="","",LayTable[[#This Row],[LayInnsats]]*(LayTable[[#This Row],[LayOdds]]-1))</f>
        <v/>
      </c>
      <c r="N1371" s="45" t="str">
        <f>IF(LayTable[[#This Row],[Sport]]="","",1/((1/LayTable[[#This Row],[BookieOdds]])+(1/((1/((1+((LayTable[[#This Row],[LayOdds]]-1)*(1+LayTable[[#This Row],[C% Lay]])))-1))+1)))-1)</f>
        <v/>
      </c>
      <c r="Q1371" s="46" t="str">
        <f>IF(LayTable[[#This Row],[Sport]]="","",LayTable[[#This Row],[BookieInnsats]]+LayTable[[#This Row],[LayLiability]])</f>
        <v/>
      </c>
      <c r="R13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1" s="47" t="str">
        <f>IF(LayTable[[#This Row],[Utfall bookie]]="","",LayTable[[#This Row],[WBABack]]+LayTable[[#This Row],[WBALay]]-LayTable[[#This Row],[Total inns]])</f>
        <v/>
      </c>
      <c r="U13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1" s="48" t="str">
        <f>IFERROR(IF(LayTable[[#This Row],[Total inns]]="","",LayTable[[#This Row],[Rback]]/LayTable[[#This Row],[Total inns]]),"")</f>
        <v/>
      </c>
      <c r="X1371" s="48" t="str">
        <f>IFERROR(IF(LayTable[[#This Row],[Total inns]]="","",LayTable[[#This Row],[Rlay]]/LayTable[[#This Row],[Total inns]]),"")</f>
        <v/>
      </c>
      <c r="Y1371" s="48" t="str">
        <f>IFERROR(LayTable[[#This Row],[Faktisk res]]/LayTable[[#This Row],[Total inns]],"")</f>
        <v/>
      </c>
      <c r="Z1371" s="47">
        <f>(LayTable[[#This Row],[BookieInnsats]]*LayTable[[#This Row],[BookieOdds]]-LayTable[[#This Row],[BookieInnsats]])*(1-LayTable[[#This Row],[C% Bookie]])</f>
        <v>0</v>
      </c>
      <c r="AA1371" s="43">
        <f>LayTable[[#This Row],[LayInnsats]]*(1-LayTable[[#This Row],[C% Lay]])</f>
        <v>0</v>
      </c>
      <c r="AB1371" s="43" t="str">
        <f>IFERROR(IF(LayTable[[#This Row],[Sport]]="",AB1370,LayTable[[#This Row],[Faktisk res]]+AB1370),"")</f>
        <v/>
      </c>
      <c r="AC1371" s="43">
        <f>(LayTable[[#This Row],[BackWin-Commission]]+LayTable[[#This Row],[BookieInnsats]])</f>
        <v>0</v>
      </c>
      <c r="AD1371" s="43" t="e">
        <f>(LayTable[[#This Row],[LayWin-Commission]])+LayTable[[#This Row],[LayLiability]]</f>
        <v>#VALUE!</v>
      </c>
      <c r="AE1371" s="43"/>
      <c r="AF1371" s="181"/>
    </row>
    <row r="1372" spans="1:32">
      <c r="A1372" s="84"/>
      <c r="B1372" s="39"/>
      <c r="C1372" s="40"/>
      <c r="D1372" s="41"/>
      <c r="E1372" s="40"/>
      <c r="F1372" s="41"/>
      <c r="G1372" s="101"/>
      <c r="H1372" s="38"/>
      <c r="I1372" s="42"/>
      <c r="J1372" s="42"/>
      <c r="K1372" s="43"/>
      <c r="L1372" s="43"/>
      <c r="M1372" s="44" t="str">
        <f>IF(LayTable[[#This Row],[Sport]]="","",LayTable[[#This Row],[LayInnsats]]*(LayTable[[#This Row],[LayOdds]]-1))</f>
        <v/>
      </c>
      <c r="N1372" s="45" t="str">
        <f>IF(LayTable[[#This Row],[Sport]]="","",1/((1/LayTable[[#This Row],[BookieOdds]])+(1/((1/((1+((LayTable[[#This Row],[LayOdds]]-1)*(1+LayTable[[#This Row],[C% Lay]])))-1))+1)))-1)</f>
        <v/>
      </c>
      <c r="Q1372" s="46" t="str">
        <f>IF(LayTable[[#This Row],[Sport]]="","",LayTable[[#This Row],[BookieInnsats]]+LayTable[[#This Row],[LayLiability]])</f>
        <v/>
      </c>
      <c r="R13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2" s="47" t="str">
        <f>IF(LayTable[[#This Row],[Utfall bookie]]="","",LayTable[[#This Row],[WBABack]]+LayTable[[#This Row],[WBALay]]-LayTable[[#This Row],[Total inns]])</f>
        <v/>
      </c>
      <c r="U13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2" s="48" t="str">
        <f>IFERROR(IF(LayTable[[#This Row],[Total inns]]="","",LayTable[[#This Row],[Rback]]/LayTable[[#This Row],[Total inns]]),"")</f>
        <v/>
      </c>
      <c r="X1372" s="48" t="str">
        <f>IFERROR(IF(LayTable[[#This Row],[Total inns]]="","",LayTable[[#This Row],[Rlay]]/LayTable[[#This Row],[Total inns]]),"")</f>
        <v/>
      </c>
      <c r="Y1372" s="48" t="str">
        <f>IFERROR(LayTable[[#This Row],[Faktisk res]]/LayTable[[#This Row],[Total inns]],"")</f>
        <v/>
      </c>
      <c r="Z1372" s="47">
        <f>(LayTable[[#This Row],[BookieInnsats]]*LayTable[[#This Row],[BookieOdds]]-LayTable[[#This Row],[BookieInnsats]])*(1-LayTable[[#This Row],[C% Bookie]])</f>
        <v>0</v>
      </c>
      <c r="AA1372" s="43">
        <f>LayTable[[#This Row],[LayInnsats]]*(1-LayTable[[#This Row],[C% Lay]])</f>
        <v>0</v>
      </c>
      <c r="AB1372" s="43" t="str">
        <f>IFERROR(IF(LayTable[[#This Row],[Sport]]="",AB1371,LayTable[[#This Row],[Faktisk res]]+AB1371),"")</f>
        <v/>
      </c>
      <c r="AC1372" s="43">
        <f>(LayTable[[#This Row],[BackWin-Commission]]+LayTable[[#This Row],[BookieInnsats]])</f>
        <v>0</v>
      </c>
      <c r="AD1372" s="43" t="e">
        <f>(LayTable[[#This Row],[LayWin-Commission]])+LayTable[[#This Row],[LayLiability]]</f>
        <v>#VALUE!</v>
      </c>
      <c r="AE1372" s="43"/>
      <c r="AF1372" s="181"/>
    </row>
    <row r="1373" spans="1:32">
      <c r="A1373" s="84"/>
      <c r="B1373" s="39"/>
      <c r="C1373" s="40"/>
      <c r="D1373" s="41"/>
      <c r="E1373" s="40"/>
      <c r="F1373" s="41"/>
      <c r="G1373" s="101"/>
      <c r="H1373" s="38"/>
      <c r="I1373" s="42"/>
      <c r="J1373" s="42"/>
      <c r="K1373" s="43"/>
      <c r="L1373" s="43"/>
      <c r="M1373" s="44" t="str">
        <f>IF(LayTable[[#This Row],[Sport]]="","",LayTable[[#This Row],[LayInnsats]]*(LayTable[[#This Row],[LayOdds]]-1))</f>
        <v/>
      </c>
      <c r="N1373" s="45" t="str">
        <f>IF(LayTable[[#This Row],[Sport]]="","",1/((1/LayTable[[#This Row],[BookieOdds]])+(1/((1/((1+((LayTable[[#This Row],[LayOdds]]-1)*(1+LayTable[[#This Row],[C% Lay]])))-1))+1)))-1)</f>
        <v/>
      </c>
      <c r="Q1373" s="46" t="str">
        <f>IF(LayTable[[#This Row],[Sport]]="","",LayTable[[#This Row],[BookieInnsats]]+LayTable[[#This Row],[LayLiability]])</f>
        <v/>
      </c>
      <c r="R13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3" s="47" t="str">
        <f>IF(LayTable[[#This Row],[Utfall bookie]]="","",LayTable[[#This Row],[WBABack]]+LayTable[[#This Row],[WBALay]]-LayTable[[#This Row],[Total inns]])</f>
        <v/>
      </c>
      <c r="U13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3" s="48" t="str">
        <f>IFERROR(IF(LayTable[[#This Row],[Total inns]]="","",LayTable[[#This Row],[Rback]]/LayTable[[#This Row],[Total inns]]),"")</f>
        <v/>
      </c>
      <c r="X1373" s="48" t="str">
        <f>IFERROR(IF(LayTable[[#This Row],[Total inns]]="","",LayTable[[#This Row],[Rlay]]/LayTable[[#This Row],[Total inns]]),"")</f>
        <v/>
      </c>
      <c r="Y1373" s="48" t="str">
        <f>IFERROR(LayTable[[#This Row],[Faktisk res]]/LayTable[[#This Row],[Total inns]],"")</f>
        <v/>
      </c>
      <c r="Z1373" s="47">
        <f>(LayTable[[#This Row],[BookieInnsats]]*LayTable[[#This Row],[BookieOdds]]-LayTable[[#This Row],[BookieInnsats]])*(1-LayTable[[#This Row],[C% Bookie]])</f>
        <v>0</v>
      </c>
      <c r="AA1373" s="43">
        <f>LayTable[[#This Row],[LayInnsats]]*(1-LayTable[[#This Row],[C% Lay]])</f>
        <v>0</v>
      </c>
      <c r="AB1373" s="43" t="str">
        <f>IFERROR(IF(LayTable[[#This Row],[Sport]]="",AB1372,LayTable[[#This Row],[Faktisk res]]+AB1372),"")</f>
        <v/>
      </c>
      <c r="AC1373" s="43">
        <f>(LayTable[[#This Row],[BackWin-Commission]]+LayTable[[#This Row],[BookieInnsats]])</f>
        <v>0</v>
      </c>
      <c r="AD1373" s="43" t="e">
        <f>(LayTable[[#This Row],[LayWin-Commission]])+LayTable[[#This Row],[LayLiability]]</f>
        <v>#VALUE!</v>
      </c>
      <c r="AE1373" s="43"/>
      <c r="AF1373" s="181"/>
    </row>
    <row r="1374" spans="1:32">
      <c r="A1374" s="84"/>
      <c r="B1374" s="39"/>
      <c r="C1374" s="40"/>
      <c r="D1374" s="41"/>
      <c r="E1374" s="40"/>
      <c r="F1374" s="41"/>
      <c r="G1374" s="101"/>
      <c r="H1374" s="38"/>
      <c r="I1374" s="42"/>
      <c r="J1374" s="42"/>
      <c r="K1374" s="43"/>
      <c r="L1374" s="43"/>
      <c r="M1374" s="44" t="str">
        <f>IF(LayTable[[#This Row],[Sport]]="","",LayTable[[#This Row],[LayInnsats]]*(LayTable[[#This Row],[LayOdds]]-1))</f>
        <v/>
      </c>
      <c r="N1374" s="45" t="str">
        <f>IF(LayTable[[#This Row],[Sport]]="","",1/((1/LayTable[[#This Row],[BookieOdds]])+(1/((1/((1+((LayTable[[#This Row],[LayOdds]]-1)*(1+LayTable[[#This Row],[C% Lay]])))-1))+1)))-1)</f>
        <v/>
      </c>
      <c r="Q1374" s="46" t="str">
        <f>IF(LayTable[[#This Row],[Sport]]="","",LayTable[[#This Row],[BookieInnsats]]+LayTable[[#This Row],[LayLiability]])</f>
        <v/>
      </c>
      <c r="R13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4" s="47" t="str">
        <f>IF(LayTable[[#This Row],[Utfall bookie]]="","",LayTable[[#This Row],[WBABack]]+LayTable[[#This Row],[WBALay]]-LayTable[[#This Row],[Total inns]])</f>
        <v/>
      </c>
      <c r="U13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4" s="48" t="str">
        <f>IFERROR(IF(LayTable[[#This Row],[Total inns]]="","",LayTable[[#This Row],[Rback]]/LayTable[[#This Row],[Total inns]]),"")</f>
        <v/>
      </c>
      <c r="X1374" s="48" t="str">
        <f>IFERROR(IF(LayTable[[#This Row],[Total inns]]="","",LayTable[[#This Row],[Rlay]]/LayTable[[#This Row],[Total inns]]),"")</f>
        <v/>
      </c>
      <c r="Y1374" s="48" t="str">
        <f>IFERROR(LayTable[[#This Row],[Faktisk res]]/LayTable[[#This Row],[Total inns]],"")</f>
        <v/>
      </c>
      <c r="Z1374" s="47">
        <f>(LayTable[[#This Row],[BookieInnsats]]*LayTable[[#This Row],[BookieOdds]]-LayTable[[#This Row],[BookieInnsats]])*(1-LayTable[[#This Row],[C% Bookie]])</f>
        <v>0</v>
      </c>
      <c r="AA1374" s="43">
        <f>LayTable[[#This Row],[LayInnsats]]*(1-LayTable[[#This Row],[C% Lay]])</f>
        <v>0</v>
      </c>
      <c r="AB1374" s="43" t="str">
        <f>IFERROR(IF(LayTable[[#This Row],[Sport]]="",AB1373,LayTable[[#This Row],[Faktisk res]]+AB1373),"")</f>
        <v/>
      </c>
      <c r="AC1374" s="43">
        <f>(LayTable[[#This Row],[BackWin-Commission]]+LayTable[[#This Row],[BookieInnsats]])</f>
        <v>0</v>
      </c>
      <c r="AD1374" s="43" t="e">
        <f>(LayTable[[#This Row],[LayWin-Commission]])+LayTable[[#This Row],[LayLiability]]</f>
        <v>#VALUE!</v>
      </c>
      <c r="AE1374" s="43"/>
      <c r="AF1374" s="181"/>
    </row>
    <row r="1375" spans="1:32">
      <c r="A1375" s="84"/>
      <c r="B1375" s="39"/>
      <c r="C1375" s="40"/>
      <c r="D1375" s="41"/>
      <c r="E1375" s="40"/>
      <c r="F1375" s="41"/>
      <c r="G1375" s="101"/>
      <c r="H1375" s="38"/>
      <c r="I1375" s="42"/>
      <c r="J1375" s="42"/>
      <c r="K1375" s="43"/>
      <c r="L1375" s="43"/>
      <c r="M1375" s="44" t="str">
        <f>IF(LayTable[[#This Row],[Sport]]="","",LayTable[[#This Row],[LayInnsats]]*(LayTable[[#This Row],[LayOdds]]-1))</f>
        <v/>
      </c>
      <c r="N1375" s="45" t="str">
        <f>IF(LayTable[[#This Row],[Sport]]="","",1/((1/LayTable[[#This Row],[BookieOdds]])+(1/((1/((1+((LayTable[[#This Row],[LayOdds]]-1)*(1+LayTable[[#This Row],[C% Lay]])))-1))+1)))-1)</f>
        <v/>
      </c>
      <c r="Q1375" s="46" t="str">
        <f>IF(LayTable[[#This Row],[Sport]]="","",LayTable[[#This Row],[BookieInnsats]]+LayTable[[#This Row],[LayLiability]])</f>
        <v/>
      </c>
      <c r="R13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5" s="47" t="str">
        <f>IF(LayTable[[#This Row],[Utfall bookie]]="","",LayTable[[#This Row],[WBABack]]+LayTable[[#This Row],[WBALay]]-LayTable[[#This Row],[Total inns]])</f>
        <v/>
      </c>
      <c r="U13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5" s="48" t="str">
        <f>IFERROR(IF(LayTable[[#This Row],[Total inns]]="","",LayTable[[#This Row],[Rback]]/LayTable[[#This Row],[Total inns]]),"")</f>
        <v/>
      </c>
      <c r="X1375" s="48" t="str">
        <f>IFERROR(IF(LayTable[[#This Row],[Total inns]]="","",LayTable[[#This Row],[Rlay]]/LayTable[[#This Row],[Total inns]]),"")</f>
        <v/>
      </c>
      <c r="Y1375" s="48" t="str">
        <f>IFERROR(LayTable[[#This Row],[Faktisk res]]/LayTable[[#This Row],[Total inns]],"")</f>
        <v/>
      </c>
      <c r="Z1375" s="47">
        <f>(LayTable[[#This Row],[BookieInnsats]]*LayTable[[#This Row],[BookieOdds]]-LayTable[[#This Row],[BookieInnsats]])*(1-LayTable[[#This Row],[C% Bookie]])</f>
        <v>0</v>
      </c>
      <c r="AA1375" s="43">
        <f>LayTable[[#This Row],[LayInnsats]]*(1-LayTable[[#This Row],[C% Lay]])</f>
        <v>0</v>
      </c>
      <c r="AB1375" s="43" t="str">
        <f>IFERROR(IF(LayTable[[#This Row],[Sport]]="",AB1374,LayTable[[#This Row],[Faktisk res]]+AB1374),"")</f>
        <v/>
      </c>
      <c r="AC1375" s="43">
        <f>(LayTable[[#This Row],[BackWin-Commission]]+LayTable[[#This Row],[BookieInnsats]])</f>
        <v>0</v>
      </c>
      <c r="AD1375" s="43" t="e">
        <f>(LayTable[[#This Row],[LayWin-Commission]])+LayTable[[#This Row],[LayLiability]]</f>
        <v>#VALUE!</v>
      </c>
      <c r="AE1375" s="43"/>
      <c r="AF1375" s="181"/>
    </row>
    <row r="1376" spans="1:32">
      <c r="A1376" s="84"/>
      <c r="B1376" s="39"/>
      <c r="C1376" s="40"/>
      <c r="D1376" s="41"/>
      <c r="E1376" s="40"/>
      <c r="F1376" s="41"/>
      <c r="G1376" s="101"/>
      <c r="H1376" s="38"/>
      <c r="I1376" s="42"/>
      <c r="J1376" s="42"/>
      <c r="K1376" s="43"/>
      <c r="L1376" s="43"/>
      <c r="M1376" s="44" t="str">
        <f>IF(LayTable[[#This Row],[Sport]]="","",LayTable[[#This Row],[LayInnsats]]*(LayTable[[#This Row],[LayOdds]]-1))</f>
        <v/>
      </c>
      <c r="N1376" s="45" t="str">
        <f>IF(LayTable[[#This Row],[Sport]]="","",1/((1/LayTable[[#This Row],[BookieOdds]])+(1/((1/((1+((LayTable[[#This Row],[LayOdds]]-1)*(1+LayTable[[#This Row],[C% Lay]])))-1))+1)))-1)</f>
        <v/>
      </c>
      <c r="Q1376" s="46" t="str">
        <f>IF(LayTable[[#This Row],[Sport]]="","",LayTable[[#This Row],[BookieInnsats]]+LayTable[[#This Row],[LayLiability]])</f>
        <v/>
      </c>
      <c r="R13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6" s="47" t="str">
        <f>IF(LayTable[[#This Row],[Utfall bookie]]="","",LayTable[[#This Row],[WBABack]]+LayTable[[#This Row],[WBALay]]-LayTable[[#This Row],[Total inns]])</f>
        <v/>
      </c>
      <c r="U13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6" s="48" t="str">
        <f>IFERROR(IF(LayTable[[#This Row],[Total inns]]="","",LayTable[[#This Row],[Rback]]/LayTable[[#This Row],[Total inns]]),"")</f>
        <v/>
      </c>
      <c r="X1376" s="48" t="str">
        <f>IFERROR(IF(LayTable[[#This Row],[Total inns]]="","",LayTable[[#This Row],[Rlay]]/LayTable[[#This Row],[Total inns]]),"")</f>
        <v/>
      </c>
      <c r="Y1376" s="48" t="str">
        <f>IFERROR(LayTable[[#This Row],[Faktisk res]]/LayTable[[#This Row],[Total inns]],"")</f>
        <v/>
      </c>
      <c r="Z1376" s="47">
        <f>(LayTable[[#This Row],[BookieInnsats]]*LayTable[[#This Row],[BookieOdds]]-LayTable[[#This Row],[BookieInnsats]])*(1-LayTable[[#This Row],[C% Bookie]])</f>
        <v>0</v>
      </c>
      <c r="AA1376" s="43">
        <f>LayTable[[#This Row],[LayInnsats]]*(1-LayTable[[#This Row],[C% Lay]])</f>
        <v>0</v>
      </c>
      <c r="AB1376" s="43" t="str">
        <f>IFERROR(IF(LayTable[[#This Row],[Sport]]="",AB1375,LayTable[[#This Row],[Faktisk res]]+AB1375),"")</f>
        <v/>
      </c>
      <c r="AC1376" s="43">
        <f>(LayTable[[#This Row],[BackWin-Commission]]+LayTable[[#This Row],[BookieInnsats]])</f>
        <v>0</v>
      </c>
      <c r="AD1376" s="43" t="e">
        <f>(LayTable[[#This Row],[LayWin-Commission]])+LayTable[[#This Row],[LayLiability]]</f>
        <v>#VALUE!</v>
      </c>
      <c r="AE1376" s="43"/>
      <c r="AF1376" s="181"/>
    </row>
    <row r="1377" spans="1:32">
      <c r="A1377" s="84"/>
      <c r="B1377" s="39"/>
      <c r="C1377" s="40"/>
      <c r="D1377" s="41"/>
      <c r="E1377" s="40"/>
      <c r="F1377" s="41"/>
      <c r="G1377" s="101"/>
      <c r="H1377" s="38"/>
      <c r="I1377" s="42"/>
      <c r="J1377" s="42"/>
      <c r="K1377" s="43"/>
      <c r="L1377" s="43"/>
      <c r="M1377" s="44" t="str">
        <f>IF(LayTable[[#This Row],[Sport]]="","",LayTable[[#This Row],[LayInnsats]]*(LayTable[[#This Row],[LayOdds]]-1))</f>
        <v/>
      </c>
      <c r="N1377" s="45" t="str">
        <f>IF(LayTable[[#This Row],[Sport]]="","",1/((1/LayTable[[#This Row],[BookieOdds]])+(1/((1/((1+((LayTable[[#This Row],[LayOdds]]-1)*(1+LayTable[[#This Row],[C% Lay]])))-1))+1)))-1)</f>
        <v/>
      </c>
      <c r="Q1377" s="46" t="str">
        <f>IF(LayTable[[#This Row],[Sport]]="","",LayTable[[#This Row],[BookieInnsats]]+LayTable[[#This Row],[LayLiability]])</f>
        <v/>
      </c>
      <c r="R13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7" s="47" t="str">
        <f>IF(LayTable[[#This Row],[Utfall bookie]]="","",LayTable[[#This Row],[WBABack]]+LayTable[[#This Row],[WBALay]]-LayTable[[#This Row],[Total inns]])</f>
        <v/>
      </c>
      <c r="U13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7" s="48" t="str">
        <f>IFERROR(IF(LayTable[[#This Row],[Total inns]]="","",LayTable[[#This Row],[Rback]]/LayTable[[#This Row],[Total inns]]),"")</f>
        <v/>
      </c>
      <c r="X1377" s="48" t="str">
        <f>IFERROR(IF(LayTable[[#This Row],[Total inns]]="","",LayTable[[#This Row],[Rlay]]/LayTable[[#This Row],[Total inns]]),"")</f>
        <v/>
      </c>
      <c r="Y1377" s="48" t="str">
        <f>IFERROR(LayTable[[#This Row],[Faktisk res]]/LayTable[[#This Row],[Total inns]],"")</f>
        <v/>
      </c>
      <c r="Z1377" s="47">
        <f>(LayTable[[#This Row],[BookieInnsats]]*LayTable[[#This Row],[BookieOdds]]-LayTable[[#This Row],[BookieInnsats]])*(1-LayTable[[#This Row],[C% Bookie]])</f>
        <v>0</v>
      </c>
      <c r="AA1377" s="43">
        <f>LayTable[[#This Row],[LayInnsats]]*(1-LayTable[[#This Row],[C% Lay]])</f>
        <v>0</v>
      </c>
      <c r="AB1377" s="43" t="str">
        <f>IFERROR(IF(LayTable[[#This Row],[Sport]]="",AB1376,LayTable[[#This Row],[Faktisk res]]+AB1376),"")</f>
        <v/>
      </c>
      <c r="AC1377" s="43">
        <f>(LayTable[[#This Row],[BackWin-Commission]]+LayTable[[#This Row],[BookieInnsats]])</f>
        <v>0</v>
      </c>
      <c r="AD1377" s="43" t="e">
        <f>(LayTable[[#This Row],[LayWin-Commission]])+LayTable[[#This Row],[LayLiability]]</f>
        <v>#VALUE!</v>
      </c>
      <c r="AE1377" s="43"/>
      <c r="AF1377" s="181"/>
    </row>
    <row r="1378" spans="1:32">
      <c r="A1378" s="84"/>
      <c r="B1378" s="39"/>
      <c r="C1378" s="40"/>
      <c r="D1378" s="41"/>
      <c r="E1378" s="40"/>
      <c r="F1378" s="41"/>
      <c r="G1378" s="101"/>
      <c r="H1378" s="38"/>
      <c r="I1378" s="42"/>
      <c r="J1378" s="42"/>
      <c r="K1378" s="43"/>
      <c r="L1378" s="43"/>
      <c r="M1378" s="44" t="str">
        <f>IF(LayTable[[#This Row],[Sport]]="","",LayTable[[#This Row],[LayInnsats]]*(LayTable[[#This Row],[LayOdds]]-1))</f>
        <v/>
      </c>
      <c r="N1378" s="45" t="str">
        <f>IF(LayTable[[#This Row],[Sport]]="","",1/((1/LayTable[[#This Row],[BookieOdds]])+(1/((1/((1+((LayTable[[#This Row],[LayOdds]]-1)*(1+LayTable[[#This Row],[C% Lay]])))-1))+1)))-1)</f>
        <v/>
      </c>
      <c r="Q1378" s="46" t="str">
        <f>IF(LayTable[[#This Row],[Sport]]="","",LayTable[[#This Row],[BookieInnsats]]+LayTable[[#This Row],[LayLiability]])</f>
        <v/>
      </c>
      <c r="R13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8" s="47" t="str">
        <f>IF(LayTable[[#This Row],[Utfall bookie]]="","",LayTable[[#This Row],[WBABack]]+LayTable[[#This Row],[WBALay]]-LayTable[[#This Row],[Total inns]])</f>
        <v/>
      </c>
      <c r="U13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8" s="48" t="str">
        <f>IFERROR(IF(LayTable[[#This Row],[Total inns]]="","",LayTable[[#This Row],[Rback]]/LayTable[[#This Row],[Total inns]]),"")</f>
        <v/>
      </c>
      <c r="X1378" s="48" t="str">
        <f>IFERROR(IF(LayTable[[#This Row],[Total inns]]="","",LayTable[[#This Row],[Rlay]]/LayTable[[#This Row],[Total inns]]),"")</f>
        <v/>
      </c>
      <c r="Y1378" s="48" t="str">
        <f>IFERROR(LayTable[[#This Row],[Faktisk res]]/LayTable[[#This Row],[Total inns]],"")</f>
        <v/>
      </c>
      <c r="Z1378" s="47">
        <f>(LayTable[[#This Row],[BookieInnsats]]*LayTable[[#This Row],[BookieOdds]]-LayTable[[#This Row],[BookieInnsats]])*(1-LayTable[[#This Row],[C% Bookie]])</f>
        <v>0</v>
      </c>
      <c r="AA1378" s="43">
        <f>LayTable[[#This Row],[LayInnsats]]*(1-LayTable[[#This Row],[C% Lay]])</f>
        <v>0</v>
      </c>
      <c r="AB1378" s="43" t="str">
        <f>IFERROR(IF(LayTable[[#This Row],[Sport]]="",AB1377,LayTable[[#This Row],[Faktisk res]]+AB1377),"")</f>
        <v/>
      </c>
      <c r="AC1378" s="43">
        <f>(LayTable[[#This Row],[BackWin-Commission]]+LayTable[[#This Row],[BookieInnsats]])</f>
        <v>0</v>
      </c>
      <c r="AD1378" s="43" t="e">
        <f>(LayTable[[#This Row],[LayWin-Commission]])+LayTable[[#This Row],[LayLiability]]</f>
        <v>#VALUE!</v>
      </c>
      <c r="AE1378" s="43"/>
      <c r="AF1378" s="181"/>
    </row>
    <row r="1379" spans="1:32">
      <c r="A1379" s="84"/>
      <c r="B1379" s="39"/>
      <c r="C1379" s="40"/>
      <c r="D1379" s="41"/>
      <c r="E1379" s="40"/>
      <c r="F1379" s="41"/>
      <c r="G1379" s="101"/>
      <c r="H1379" s="38"/>
      <c r="I1379" s="42"/>
      <c r="J1379" s="42"/>
      <c r="K1379" s="43"/>
      <c r="L1379" s="43"/>
      <c r="M1379" s="44" t="str">
        <f>IF(LayTable[[#This Row],[Sport]]="","",LayTable[[#This Row],[LayInnsats]]*(LayTable[[#This Row],[LayOdds]]-1))</f>
        <v/>
      </c>
      <c r="N1379" s="45" t="str">
        <f>IF(LayTable[[#This Row],[Sport]]="","",1/((1/LayTable[[#This Row],[BookieOdds]])+(1/((1/((1+((LayTable[[#This Row],[LayOdds]]-1)*(1+LayTable[[#This Row],[C% Lay]])))-1))+1)))-1)</f>
        <v/>
      </c>
      <c r="Q1379" s="46" t="str">
        <f>IF(LayTable[[#This Row],[Sport]]="","",LayTable[[#This Row],[BookieInnsats]]+LayTable[[#This Row],[LayLiability]])</f>
        <v/>
      </c>
      <c r="R13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79" s="47" t="str">
        <f>IF(LayTable[[#This Row],[Utfall bookie]]="","",LayTable[[#This Row],[WBABack]]+LayTable[[#This Row],[WBALay]]-LayTable[[#This Row],[Total inns]])</f>
        <v/>
      </c>
      <c r="U13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79" s="48" t="str">
        <f>IFERROR(IF(LayTable[[#This Row],[Total inns]]="","",LayTable[[#This Row],[Rback]]/LayTable[[#This Row],[Total inns]]),"")</f>
        <v/>
      </c>
      <c r="X1379" s="48" t="str">
        <f>IFERROR(IF(LayTable[[#This Row],[Total inns]]="","",LayTable[[#This Row],[Rlay]]/LayTable[[#This Row],[Total inns]]),"")</f>
        <v/>
      </c>
      <c r="Y1379" s="48" t="str">
        <f>IFERROR(LayTable[[#This Row],[Faktisk res]]/LayTable[[#This Row],[Total inns]],"")</f>
        <v/>
      </c>
      <c r="Z1379" s="47">
        <f>(LayTable[[#This Row],[BookieInnsats]]*LayTable[[#This Row],[BookieOdds]]-LayTable[[#This Row],[BookieInnsats]])*(1-LayTable[[#This Row],[C% Bookie]])</f>
        <v>0</v>
      </c>
      <c r="AA1379" s="43">
        <f>LayTable[[#This Row],[LayInnsats]]*(1-LayTable[[#This Row],[C% Lay]])</f>
        <v>0</v>
      </c>
      <c r="AB1379" s="43" t="str">
        <f>IFERROR(IF(LayTable[[#This Row],[Sport]]="",AB1378,LayTable[[#This Row],[Faktisk res]]+AB1378),"")</f>
        <v/>
      </c>
      <c r="AC1379" s="43">
        <f>(LayTable[[#This Row],[BackWin-Commission]]+LayTable[[#This Row],[BookieInnsats]])</f>
        <v>0</v>
      </c>
      <c r="AD1379" s="43" t="e">
        <f>(LayTable[[#This Row],[LayWin-Commission]])+LayTable[[#This Row],[LayLiability]]</f>
        <v>#VALUE!</v>
      </c>
      <c r="AE1379" s="43"/>
      <c r="AF1379" s="181"/>
    </row>
    <row r="1380" spans="1:32">
      <c r="A1380" s="84"/>
      <c r="B1380" s="39"/>
      <c r="C1380" s="40"/>
      <c r="D1380" s="41"/>
      <c r="E1380" s="40"/>
      <c r="F1380" s="41"/>
      <c r="G1380" s="101"/>
      <c r="H1380" s="38"/>
      <c r="I1380" s="42"/>
      <c r="J1380" s="42"/>
      <c r="K1380" s="43"/>
      <c r="L1380" s="43"/>
      <c r="M1380" s="44" t="str">
        <f>IF(LayTable[[#This Row],[Sport]]="","",LayTable[[#This Row],[LayInnsats]]*(LayTable[[#This Row],[LayOdds]]-1))</f>
        <v/>
      </c>
      <c r="N1380" s="45" t="str">
        <f>IF(LayTable[[#This Row],[Sport]]="","",1/((1/LayTable[[#This Row],[BookieOdds]])+(1/((1/((1+((LayTable[[#This Row],[LayOdds]]-1)*(1+LayTable[[#This Row],[C% Lay]])))-1))+1)))-1)</f>
        <v/>
      </c>
      <c r="Q1380" s="46" t="str">
        <f>IF(LayTable[[#This Row],[Sport]]="","",LayTable[[#This Row],[BookieInnsats]]+LayTable[[#This Row],[LayLiability]])</f>
        <v/>
      </c>
      <c r="R13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0" s="47" t="str">
        <f>IF(LayTable[[#This Row],[Utfall bookie]]="","",LayTable[[#This Row],[WBABack]]+LayTable[[#This Row],[WBALay]]-LayTable[[#This Row],[Total inns]])</f>
        <v/>
      </c>
      <c r="U13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0" s="48" t="str">
        <f>IFERROR(IF(LayTable[[#This Row],[Total inns]]="","",LayTable[[#This Row],[Rback]]/LayTable[[#This Row],[Total inns]]),"")</f>
        <v/>
      </c>
      <c r="X1380" s="48" t="str">
        <f>IFERROR(IF(LayTable[[#This Row],[Total inns]]="","",LayTable[[#This Row],[Rlay]]/LayTable[[#This Row],[Total inns]]),"")</f>
        <v/>
      </c>
      <c r="Y1380" s="48" t="str">
        <f>IFERROR(LayTable[[#This Row],[Faktisk res]]/LayTable[[#This Row],[Total inns]],"")</f>
        <v/>
      </c>
      <c r="Z1380" s="47">
        <f>(LayTable[[#This Row],[BookieInnsats]]*LayTable[[#This Row],[BookieOdds]]-LayTable[[#This Row],[BookieInnsats]])*(1-LayTable[[#This Row],[C% Bookie]])</f>
        <v>0</v>
      </c>
      <c r="AA1380" s="43">
        <f>LayTable[[#This Row],[LayInnsats]]*(1-LayTable[[#This Row],[C% Lay]])</f>
        <v>0</v>
      </c>
      <c r="AB1380" s="43" t="str">
        <f>IFERROR(IF(LayTable[[#This Row],[Sport]]="",AB1379,LayTable[[#This Row],[Faktisk res]]+AB1379),"")</f>
        <v/>
      </c>
      <c r="AC1380" s="43">
        <f>(LayTable[[#This Row],[BackWin-Commission]]+LayTable[[#This Row],[BookieInnsats]])</f>
        <v>0</v>
      </c>
      <c r="AD1380" s="43" t="e">
        <f>(LayTable[[#This Row],[LayWin-Commission]])+LayTable[[#This Row],[LayLiability]]</f>
        <v>#VALUE!</v>
      </c>
      <c r="AE1380" s="43"/>
      <c r="AF1380" s="181"/>
    </row>
    <row r="1381" spans="1:32">
      <c r="A1381" s="84"/>
      <c r="B1381" s="39"/>
      <c r="C1381" s="40"/>
      <c r="D1381" s="41"/>
      <c r="E1381" s="40"/>
      <c r="F1381" s="41"/>
      <c r="G1381" s="101"/>
      <c r="H1381" s="38"/>
      <c r="I1381" s="42"/>
      <c r="J1381" s="42"/>
      <c r="K1381" s="43"/>
      <c r="L1381" s="43"/>
      <c r="M1381" s="44" t="str">
        <f>IF(LayTable[[#This Row],[Sport]]="","",LayTable[[#This Row],[LayInnsats]]*(LayTable[[#This Row],[LayOdds]]-1))</f>
        <v/>
      </c>
      <c r="N1381" s="45" t="str">
        <f>IF(LayTable[[#This Row],[Sport]]="","",1/((1/LayTable[[#This Row],[BookieOdds]])+(1/((1/((1+((LayTable[[#This Row],[LayOdds]]-1)*(1+LayTable[[#This Row],[C% Lay]])))-1))+1)))-1)</f>
        <v/>
      </c>
      <c r="Q1381" s="46" t="str">
        <f>IF(LayTable[[#This Row],[Sport]]="","",LayTable[[#This Row],[BookieInnsats]]+LayTable[[#This Row],[LayLiability]])</f>
        <v/>
      </c>
      <c r="R13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1" s="47" t="str">
        <f>IF(LayTable[[#This Row],[Utfall bookie]]="","",LayTable[[#This Row],[WBABack]]+LayTable[[#This Row],[WBALay]]-LayTable[[#This Row],[Total inns]])</f>
        <v/>
      </c>
      <c r="U13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1" s="48" t="str">
        <f>IFERROR(IF(LayTable[[#This Row],[Total inns]]="","",LayTable[[#This Row],[Rback]]/LayTable[[#This Row],[Total inns]]),"")</f>
        <v/>
      </c>
      <c r="X1381" s="48" t="str">
        <f>IFERROR(IF(LayTable[[#This Row],[Total inns]]="","",LayTable[[#This Row],[Rlay]]/LayTable[[#This Row],[Total inns]]),"")</f>
        <v/>
      </c>
      <c r="Y1381" s="48" t="str">
        <f>IFERROR(LayTable[[#This Row],[Faktisk res]]/LayTable[[#This Row],[Total inns]],"")</f>
        <v/>
      </c>
      <c r="Z1381" s="47">
        <f>(LayTable[[#This Row],[BookieInnsats]]*LayTable[[#This Row],[BookieOdds]]-LayTable[[#This Row],[BookieInnsats]])*(1-LayTable[[#This Row],[C% Bookie]])</f>
        <v>0</v>
      </c>
      <c r="AA1381" s="43">
        <f>LayTable[[#This Row],[LayInnsats]]*(1-LayTable[[#This Row],[C% Lay]])</f>
        <v>0</v>
      </c>
      <c r="AB1381" s="43" t="str">
        <f>IFERROR(IF(LayTable[[#This Row],[Sport]]="",AB1380,LayTable[[#This Row],[Faktisk res]]+AB1380),"")</f>
        <v/>
      </c>
      <c r="AC1381" s="43">
        <f>(LayTable[[#This Row],[BackWin-Commission]]+LayTable[[#This Row],[BookieInnsats]])</f>
        <v>0</v>
      </c>
      <c r="AD1381" s="43" t="e">
        <f>(LayTable[[#This Row],[LayWin-Commission]])+LayTable[[#This Row],[LayLiability]]</f>
        <v>#VALUE!</v>
      </c>
      <c r="AE1381" s="43"/>
      <c r="AF1381" s="181"/>
    </row>
    <row r="1382" spans="1:32">
      <c r="A1382" s="84"/>
      <c r="B1382" s="39"/>
      <c r="C1382" s="40"/>
      <c r="D1382" s="41"/>
      <c r="E1382" s="40"/>
      <c r="F1382" s="41"/>
      <c r="G1382" s="101"/>
      <c r="H1382" s="38"/>
      <c r="I1382" s="42"/>
      <c r="J1382" s="42"/>
      <c r="K1382" s="43"/>
      <c r="L1382" s="43"/>
      <c r="M1382" s="44" t="str">
        <f>IF(LayTable[[#This Row],[Sport]]="","",LayTable[[#This Row],[LayInnsats]]*(LayTable[[#This Row],[LayOdds]]-1))</f>
        <v/>
      </c>
      <c r="N1382" s="45" t="str">
        <f>IF(LayTable[[#This Row],[Sport]]="","",1/((1/LayTable[[#This Row],[BookieOdds]])+(1/((1/((1+((LayTable[[#This Row],[LayOdds]]-1)*(1+LayTable[[#This Row],[C% Lay]])))-1))+1)))-1)</f>
        <v/>
      </c>
      <c r="Q1382" s="46" t="str">
        <f>IF(LayTable[[#This Row],[Sport]]="","",LayTable[[#This Row],[BookieInnsats]]+LayTable[[#This Row],[LayLiability]])</f>
        <v/>
      </c>
      <c r="R13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2" s="47" t="str">
        <f>IF(LayTable[[#This Row],[Utfall bookie]]="","",LayTable[[#This Row],[WBABack]]+LayTable[[#This Row],[WBALay]]-LayTable[[#This Row],[Total inns]])</f>
        <v/>
      </c>
      <c r="U13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2" s="48" t="str">
        <f>IFERROR(IF(LayTable[[#This Row],[Total inns]]="","",LayTable[[#This Row],[Rback]]/LayTable[[#This Row],[Total inns]]),"")</f>
        <v/>
      </c>
      <c r="X1382" s="48" t="str">
        <f>IFERROR(IF(LayTable[[#This Row],[Total inns]]="","",LayTable[[#This Row],[Rlay]]/LayTable[[#This Row],[Total inns]]),"")</f>
        <v/>
      </c>
      <c r="Y1382" s="48" t="str">
        <f>IFERROR(LayTable[[#This Row],[Faktisk res]]/LayTable[[#This Row],[Total inns]],"")</f>
        <v/>
      </c>
      <c r="Z1382" s="47">
        <f>(LayTable[[#This Row],[BookieInnsats]]*LayTable[[#This Row],[BookieOdds]]-LayTable[[#This Row],[BookieInnsats]])*(1-LayTable[[#This Row],[C% Bookie]])</f>
        <v>0</v>
      </c>
      <c r="AA1382" s="43">
        <f>LayTable[[#This Row],[LayInnsats]]*(1-LayTable[[#This Row],[C% Lay]])</f>
        <v>0</v>
      </c>
      <c r="AB1382" s="43" t="str">
        <f>IFERROR(IF(LayTable[[#This Row],[Sport]]="",AB1381,LayTable[[#This Row],[Faktisk res]]+AB1381),"")</f>
        <v/>
      </c>
      <c r="AC1382" s="43">
        <f>(LayTable[[#This Row],[BackWin-Commission]]+LayTable[[#This Row],[BookieInnsats]])</f>
        <v>0</v>
      </c>
      <c r="AD1382" s="43" t="e">
        <f>(LayTable[[#This Row],[LayWin-Commission]])+LayTable[[#This Row],[LayLiability]]</f>
        <v>#VALUE!</v>
      </c>
      <c r="AE1382" s="43"/>
      <c r="AF1382" s="181"/>
    </row>
    <row r="1383" spans="1:32">
      <c r="A1383" s="84"/>
      <c r="B1383" s="39"/>
      <c r="C1383" s="40"/>
      <c r="D1383" s="41"/>
      <c r="E1383" s="40"/>
      <c r="F1383" s="41"/>
      <c r="G1383" s="101"/>
      <c r="H1383" s="38"/>
      <c r="I1383" s="42"/>
      <c r="J1383" s="42"/>
      <c r="K1383" s="43"/>
      <c r="L1383" s="43"/>
      <c r="M1383" s="44" t="str">
        <f>IF(LayTable[[#This Row],[Sport]]="","",LayTable[[#This Row],[LayInnsats]]*(LayTable[[#This Row],[LayOdds]]-1))</f>
        <v/>
      </c>
      <c r="N1383" s="45" t="str">
        <f>IF(LayTable[[#This Row],[Sport]]="","",1/((1/LayTable[[#This Row],[BookieOdds]])+(1/((1/((1+((LayTable[[#This Row],[LayOdds]]-1)*(1+LayTable[[#This Row],[C% Lay]])))-1))+1)))-1)</f>
        <v/>
      </c>
      <c r="Q1383" s="46" t="str">
        <f>IF(LayTable[[#This Row],[Sport]]="","",LayTable[[#This Row],[BookieInnsats]]+LayTable[[#This Row],[LayLiability]])</f>
        <v/>
      </c>
      <c r="R13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3" s="47" t="str">
        <f>IF(LayTable[[#This Row],[Utfall bookie]]="","",LayTable[[#This Row],[WBABack]]+LayTable[[#This Row],[WBALay]]-LayTable[[#This Row],[Total inns]])</f>
        <v/>
      </c>
      <c r="U13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3" s="48" t="str">
        <f>IFERROR(IF(LayTable[[#This Row],[Total inns]]="","",LayTable[[#This Row],[Rback]]/LayTable[[#This Row],[Total inns]]),"")</f>
        <v/>
      </c>
      <c r="X1383" s="48" t="str">
        <f>IFERROR(IF(LayTable[[#This Row],[Total inns]]="","",LayTable[[#This Row],[Rlay]]/LayTable[[#This Row],[Total inns]]),"")</f>
        <v/>
      </c>
      <c r="Y1383" s="48" t="str">
        <f>IFERROR(LayTable[[#This Row],[Faktisk res]]/LayTable[[#This Row],[Total inns]],"")</f>
        <v/>
      </c>
      <c r="Z1383" s="47">
        <f>(LayTable[[#This Row],[BookieInnsats]]*LayTable[[#This Row],[BookieOdds]]-LayTable[[#This Row],[BookieInnsats]])*(1-LayTable[[#This Row],[C% Bookie]])</f>
        <v>0</v>
      </c>
      <c r="AA1383" s="43">
        <f>LayTable[[#This Row],[LayInnsats]]*(1-LayTable[[#This Row],[C% Lay]])</f>
        <v>0</v>
      </c>
      <c r="AB1383" s="43" t="str">
        <f>IFERROR(IF(LayTable[[#This Row],[Sport]]="",AB1382,LayTable[[#This Row],[Faktisk res]]+AB1382),"")</f>
        <v/>
      </c>
      <c r="AC1383" s="43">
        <f>(LayTable[[#This Row],[BackWin-Commission]]+LayTable[[#This Row],[BookieInnsats]])</f>
        <v>0</v>
      </c>
      <c r="AD1383" s="43" t="e">
        <f>(LayTable[[#This Row],[LayWin-Commission]])+LayTable[[#This Row],[LayLiability]]</f>
        <v>#VALUE!</v>
      </c>
      <c r="AE1383" s="43"/>
      <c r="AF1383" s="181"/>
    </row>
    <row r="1384" spans="1:32">
      <c r="A1384" s="84"/>
      <c r="B1384" s="39"/>
      <c r="C1384" s="40"/>
      <c r="D1384" s="41"/>
      <c r="E1384" s="40"/>
      <c r="F1384" s="41"/>
      <c r="G1384" s="101"/>
      <c r="H1384" s="38"/>
      <c r="I1384" s="42"/>
      <c r="J1384" s="42"/>
      <c r="K1384" s="43"/>
      <c r="L1384" s="43"/>
      <c r="M1384" s="44" t="str">
        <f>IF(LayTable[[#This Row],[Sport]]="","",LayTable[[#This Row],[LayInnsats]]*(LayTable[[#This Row],[LayOdds]]-1))</f>
        <v/>
      </c>
      <c r="N1384" s="45" t="str">
        <f>IF(LayTable[[#This Row],[Sport]]="","",1/((1/LayTable[[#This Row],[BookieOdds]])+(1/((1/((1+((LayTable[[#This Row],[LayOdds]]-1)*(1+LayTable[[#This Row],[C% Lay]])))-1))+1)))-1)</f>
        <v/>
      </c>
      <c r="Q1384" s="46" t="str">
        <f>IF(LayTable[[#This Row],[Sport]]="","",LayTable[[#This Row],[BookieInnsats]]+LayTable[[#This Row],[LayLiability]])</f>
        <v/>
      </c>
      <c r="R13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4" s="47" t="str">
        <f>IF(LayTable[[#This Row],[Utfall bookie]]="","",LayTable[[#This Row],[WBABack]]+LayTable[[#This Row],[WBALay]]-LayTable[[#This Row],[Total inns]])</f>
        <v/>
      </c>
      <c r="U13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4" s="48" t="str">
        <f>IFERROR(IF(LayTable[[#This Row],[Total inns]]="","",LayTable[[#This Row],[Rback]]/LayTable[[#This Row],[Total inns]]),"")</f>
        <v/>
      </c>
      <c r="X1384" s="48" t="str">
        <f>IFERROR(IF(LayTable[[#This Row],[Total inns]]="","",LayTable[[#This Row],[Rlay]]/LayTable[[#This Row],[Total inns]]),"")</f>
        <v/>
      </c>
      <c r="Y1384" s="48" t="str">
        <f>IFERROR(LayTable[[#This Row],[Faktisk res]]/LayTable[[#This Row],[Total inns]],"")</f>
        <v/>
      </c>
      <c r="Z1384" s="47">
        <f>(LayTable[[#This Row],[BookieInnsats]]*LayTable[[#This Row],[BookieOdds]]-LayTable[[#This Row],[BookieInnsats]])*(1-LayTable[[#This Row],[C% Bookie]])</f>
        <v>0</v>
      </c>
      <c r="AA1384" s="43">
        <f>LayTable[[#This Row],[LayInnsats]]*(1-LayTable[[#This Row],[C% Lay]])</f>
        <v>0</v>
      </c>
      <c r="AB1384" s="43" t="str">
        <f>IFERROR(IF(LayTable[[#This Row],[Sport]]="",AB1383,LayTable[[#This Row],[Faktisk res]]+AB1383),"")</f>
        <v/>
      </c>
      <c r="AC1384" s="43">
        <f>(LayTable[[#This Row],[BackWin-Commission]]+LayTable[[#This Row],[BookieInnsats]])</f>
        <v>0</v>
      </c>
      <c r="AD1384" s="43" t="e">
        <f>(LayTable[[#This Row],[LayWin-Commission]])+LayTable[[#This Row],[LayLiability]]</f>
        <v>#VALUE!</v>
      </c>
      <c r="AE1384" s="43"/>
      <c r="AF1384" s="181"/>
    </row>
    <row r="1385" spans="1:32">
      <c r="A1385" s="84"/>
      <c r="B1385" s="39"/>
      <c r="C1385" s="40"/>
      <c r="D1385" s="41"/>
      <c r="E1385" s="40"/>
      <c r="F1385" s="41"/>
      <c r="G1385" s="101"/>
      <c r="H1385" s="38"/>
      <c r="I1385" s="42"/>
      <c r="J1385" s="42"/>
      <c r="K1385" s="43"/>
      <c r="L1385" s="43"/>
      <c r="M1385" s="44" t="str">
        <f>IF(LayTable[[#This Row],[Sport]]="","",LayTable[[#This Row],[LayInnsats]]*(LayTable[[#This Row],[LayOdds]]-1))</f>
        <v/>
      </c>
      <c r="N1385" s="45" t="str">
        <f>IF(LayTable[[#This Row],[Sport]]="","",1/((1/LayTable[[#This Row],[BookieOdds]])+(1/((1/((1+((LayTable[[#This Row],[LayOdds]]-1)*(1+LayTable[[#This Row],[C% Lay]])))-1))+1)))-1)</f>
        <v/>
      </c>
      <c r="Q1385" s="46" t="str">
        <f>IF(LayTable[[#This Row],[Sport]]="","",LayTable[[#This Row],[BookieInnsats]]+LayTable[[#This Row],[LayLiability]])</f>
        <v/>
      </c>
      <c r="R13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5" s="47" t="str">
        <f>IF(LayTable[[#This Row],[Utfall bookie]]="","",LayTable[[#This Row],[WBABack]]+LayTable[[#This Row],[WBALay]]-LayTable[[#This Row],[Total inns]])</f>
        <v/>
      </c>
      <c r="U13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5" s="48" t="str">
        <f>IFERROR(IF(LayTable[[#This Row],[Total inns]]="","",LayTable[[#This Row],[Rback]]/LayTable[[#This Row],[Total inns]]),"")</f>
        <v/>
      </c>
      <c r="X1385" s="48" t="str">
        <f>IFERROR(IF(LayTable[[#This Row],[Total inns]]="","",LayTable[[#This Row],[Rlay]]/LayTable[[#This Row],[Total inns]]),"")</f>
        <v/>
      </c>
      <c r="Y1385" s="48" t="str">
        <f>IFERROR(LayTable[[#This Row],[Faktisk res]]/LayTable[[#This Row],[Total inns]],"")</f>
        <v/>
      </c>
      <c r="Z1385" s="47">
        <f>(LayTable[[#This Row],[BookieInnsats]]*LayTable[[#This Row],[BookieOdds]]-LayTable[[#This Row],[BookieInnsats]])*(1-LayTable[[#This Row],[C% Bookie]])</f>
        <v>0</v>
      </c>
      <c r="AA1385" s="43">
        <f>LayTable[[#This Row],[LayInnsats]]*(1-LayTable[[#This Row],[C% Lay]])</f>
        <v>0</v>
      </c>
      <c r="AB1385" s="43" t="str">
        <f>IFERROR(IF(LayTable[[#This Row],[Sport]]="",AB1384,LayTable[[#This Row],[Faktisk res]]+AB1384),"")</f>
        <v/>
      </c>
      <c r="AC1385" s="43">
        <f>(LayTable[[#This Row],[BackWin-Commission]]+LayTable[[#This Row],[BookieInnsats]])</f>
        <v>0</v>
      </c>
      <c r="AD1385" s="43" t="e">
        <f>(LayTable[[#This Row],[LayWin-Commission]])+LayTable[[#This Row],[LayLiability]]</f>
        <v>#VALUE!</v>
      </c>
      <c r="AE1385" s="43"/>
      <c r="AF1385" s="181"/>
    </row>
    <row r="1386" spans="1:32">
      <c r="A1386" s="84"/>
      <c r="B1386" s="39"/>
      <c r="C1386" s="40"/>
      <c r="D1386" s="41"/>
      <c r="E1386" s="40"/>
      <c r="F1386" s="41"/>
      <c r="G1386" s="101"/>
      <c r="H1386" s="38"/>
      <c r="I1386" s="42"/>
      <c r="J1386" s="42"/>
      <c r="K1386" s="43"/>
      <c r="L1386" s="43"/>
      <c r="M1386" s="44" t="str">
        <f>IF(LayTable[[#This Row],[Sport]]="","",LayTable[[#This Row],[LayInnsats]]*(LayTable[[#This Row],[LayOdds]]-1))</f>
        <v/>
      </c>
      <c r="N1386" s="45" t="str">
        <f>IF(LayTable[[#This Row],[Sport]]="","",1/((1/LayTable[[#This Row],[BookieOdds]])+(1/((1/((1+((LayTable[[#This Row],[LayOdds]]-1)*(1+LayTable[[#This Row],[C% Lay]])))-1))+1)))-1)</f>
        <v/>
      </c>
      <c r="Q1386" s="46" t="str">
        <f>IF(LayTable[[#This Row],[Sport]]="","",LayTable[[#This Row],[BookieInnsats]]+LayTable[[#This Row],[LayLiability]])</f>
        <v/>
      </c>
      <c r="R13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6" s="47" t="str">
        <f>IF(LayTable[[#This Row],[Utfall bookie]]="","",LayTable[[#This Row],[WBABack]]+LayTable[[#This Row],[WBALay]]-LayTable[[#This Row],[Total inns]])</f>
        <v/>
      </c>
      <c r="U13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6" s="48" t="str">
        <f>IFERROR(IF(LayTable[[#This Row],[Total inns]]="","",LayTable[[#This Row],[Rback]]/LayTable[[#This Row],[Total inns]]),"")</f>
        <v/>
      </c>
      <c r="X1386" s="48" t="str">
        <f>IFERROR(IF(LayTable[[#This Row],[Total inns]]="","",LayTable[[#This Row],[Rlay]]/LayTable[[#This Row],[Total inns]]),"")</f>
        <v/>
      </c>
      <c r="Y1386" s="48" t="str">
        <f>IFERROR(LayTable[[#This Row],[Faktisk res]]/LayTable[[#This Row],[Total inns]],"")</f>
        <v/>
      </c>
      <c r="Z1386" s="47">
        <f>(LayTable[[#This Row],[BookieInnsats]]*LayTable[[#This Row],[BookieOdds]]-LayTable[[#This Row],[BookieInnsats]])*(1-LayTable[[#This Row],[C% Bookie]])</f>
        <v>0</v>
      </c>
      <c r="AA1386" s="43">
        <f>LayTable[[#This Row],[LayInnsats]]*(1-LayTable[[#This Row],[C% Lay]])</f>
        <v>0</v>
      </c>
      <c r="AB1386" s="43" t="str">
        <f>IFERROR(IF(LayTable[[#This Row],[Sport]]="",AB1385,LayTable[[#This Row],[Faktisk res]]+AB1385),"")</f>
        <v/>
      </c>
      <c r="AC1386" s="43">
        <f>(LayTable[[#This Row],[BackWin-Commission]]+LayTable[[#This Row],[BookieInnsats]])</f>
        <v>0</v>
      </c>
      <c r="AD1386" s="43" t="e">
        <f>(LayTable[[#This Row],[LayWin-Commission]])+LayTable[[#This Row],[LayLiability]]</f>
        <v>#VALUE!</v>
      </c>
      <c r="AE1386" s="43"/>
      <c r="AF1386" s="181"/>
    </row>
    <row r="1387" spans="1:32">
      <c r="A1387" s="84"/>
      <c r="B1387" s="39"/>
      <c r="C1387" s="40"/>
      <c r="D1387" s="41"/>
      <c r="E1387" s="40"/>
      <c r="F1387" s="41"/>
      <c r="G1387" s="101"/>
      <c r="H1387" s="38"/>
      <c r="I1387" s="42"/>
      <c r="J1387" s="42"/>
      <c r="K1387" s="43"/>
      <c r="L1387" s="43"/>
      <c r="M1387" s="44" t="str">
        <f>IF(LayTable[[#This Row],[Sport]]="","",LayTable[[#This Row],[LayInnsats]]*(LayTable[[#This Row],[LayOdds]]-1))</f>
        <v/>
      </c>
      <c r="N1387" s="45" t="str">
        <f>IF(LayTable[[#This Row],[Sport]]="","",1/((1/LayTable[[#This Row],[BookieOdds]])+(1/((1/((1+((LayTable[[#This Row],[LayOdds]]-1)*(1+LayTable[[#This Row],[C% Lay]])))-1))+1)))-1)</f>
        <v/>
      </c>
      <c r="Q1387" s="46" t="str">
        <f>IF(LayTable[[#This Row],[Sport]]="","",LayTable[[#This Row],[BookieInnsats]]+LayTable[[#This Row],[LayLiability]])</f>
        <v/>
      </c>
      <c r="R13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7" s="47" t="str">
        <f>IF(LayTable[[#This Row],[Utfall bookie]]="","",LayTable[[#This Row],[WBABack]]+LayTable[[#This Row],[WBALay]]-LayTable[[#This Row],[Total inns]])</f>
        <v/>
      </c>
      <c r="U13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7" s="48" t="str">
        <f>IFERROR(IF(LayTable[[#This Row],[Total inns]]="","",LayTable[[#This Row],[Rback]]/LayTable[[#This Row],[Total inns]]),"")</f>
        <v/>
      </c>
      <c r="X1387" s="48" t="str">
        <f>IFERROR(IF(LayTable[[#This Row],[Total inns]]="","",LayTable[[#This Row],[Rlay]]/LayTable[[#This Row],[Total inns]]),"")</f>
        <v/>
      </c>
      <c r="Y1387" s="48" t="str">
        <f>IFERROR(LayTable[[#This Row],[Faktisk res]]/LayTable[[#This Row],[Total inns]],"")</f>
        <v/>
      </c>
      <c r="Z1387" s="47">
        <f>(LayTable[[#This Row],[BookieInnsats]]*LayTable[[#This Row],[BookieOdds]]-LayTable[[#This Row],[BookieInnsats]])*(1-LayTable[[#This Row],[C% Bookie]])</f>
        <v>0</v>
      </c>
      <c r="AA1387" s="43">
        <f>LayTable[[#This Row],[LayInnsats]]*(1-LayTable[[#This Row],[C% Lay]])</f>
        <v>0</v>
      </c>
      <c r="AB1387" s="43" t="str">
        <f>IFERROR(IF(LayTable[[#This Row],[Sport]]="",AB1386,LayTable[[#This Row],[Faktisk res]]+AB1386),"")</f>
        <v/>
      </c>
      <c r="AC1387" s="43">
        <f>(LayTable[[#This Row],[BackWin-Commission]]+LayTable[[#This Row],[BookieInnsats]])</f>
        <v>0</v>
      </c>
      <c r="AD1387" s="43" t="e">
        <f>(LayTable[[#This Row],[LayWin-Commission]])+LayTable[[#This Row],[LayLiability]]</f>
        <v>#VALUE!</v>
      </c>
      <c r="AE1387" s="43"/>
      <c r="AF1387" s="181"/>
    </row>
    <row r="1388" spans="1:32">
      <c r="A1388" s="84"/>
      <c r="B1388" s="39"/>
      <c r="C1388" s="40"/>
      <c r="D1388" s="41"/>
      <c r="E1388" s="40"/>
      <c r="F1388" s="41"/>
      <c r="G1388" s="101"/>
      <c r="H1388" s="38"/>
      <c r="I1388" s="42"/>
      <c r="J1388" s="42"/>
      <c r="K1388" s="43"/>
      <c r="L1388" s="43"/>
      <c r="M1388" s="44" t="str">
        <f>IF(LayTable[[#This Row],[Sport]]="","",LayTable[[#This Row],[LayInnsats]]*(LayTable[[#This Row],[LayOdds]]-1))</f>
        <v/>
      </c>
      <c r="N1388" s="45" t="str">
        <f>IF(LayTable[[#This Row],[Sport]]="","",1/((1/LayTable[[#This Row],[BookieOdds]])+(1/((1/((1+((LayTable[[#This Row],[LayOdds]]-1)*(1+LayTable[[#This Row],[C% Lay]])))-1))+1)))-1)</f>
        <v/>
      </c>
      <c r="Q1388" s="46" t="str">
        <f>IF(LayTable[[#This Row],[Sport]]="","",LayTable[[#This Row],[BookieInnsats]]+LayTable[[#This Row],[LayLiability]])</f>
        <v/>
      </c>
      <c r="R13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8" s="47" t="str">
        <f>IF(LayTable[[#This Row],[Utfall bookie]]="","",LayTable[[#This Row],[WBABack]]+LayTable[[#This Row],[WBALay]]-LayTable[[#This Row],[Total inns]])</f>
        <v/>
      </c>
      <c r="U13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8" s="48" t="str">
        <f>IFERROR(IF(LayTable[[#This Row],[Total inns]]="","",LayTable[[#This Row],[Rback]]/LayTable[[#This Row],[Total inns]]),"")</f>
        <v/>
      </c>
      <c r="X1388" s="48" t="str">
        <f>IFERROR(IF(LayTable[[#This Row],[Total inns]]="","",LayTable[[#This Row],[Rlay]]/LayTable[[#This Row],[Total inns]]),"")</f>
        <v/>
      </c>
      <c r="Y1388" s="48" t="str">
        <f>IFERROR(LayTable[[#This Row],[Faktisk res]]/LayTable[[#This Row],[Total inns]],"")</f>
        <v/>
      </c>
      <c r="Z1388" s="47">
        <f>(LayTable[[#This Row],[BookieInnsats]]*LayTable[[#This Row],[BookieOdds]]-LayTable[[#This Row],[BookieInnsats]])*(1-LayTable[[#This Row],[C% Bookie]])</f>
        <v>0</v>
      </c>
      <c r="AA1388" s="43">
        <f>LayTable[[#This Row],[LayInnsats]]*(1-LayTable[[#This Row],[C% Lay]])</f>
        <v>0</v>
      </c>
      <c r="AB1388" s="43" t="str">
        <f>IFERROR(IF(LayTable[[#This Row],[Sport]]="",AB1387,LayTable[[#This Row],[Faktisk res]]+AB1387),"")</f>
        <v/>
      </c>
      <c r="AC1388" s="43">
        <f>(LayTable[[#This Row],[BackWin-Commission]]+LayTable[[#This Row],[BookieInnsats]])</f>
        <v>0</v>
      </c>
      <c r="AD1388" s="43" t="e">
        <f>(LayTable[[#This Row],[LayWin-Commission]])+LayTable[[#This Row],[LayLiability]]</f>
        <v>#VALUE!</v>
      </c>
      <c r="AE1388" s="43"/>
      <c r="AF1388" s="181"/>
    </row>
    <row r="1389" spans="1:32">
      <c r="A1389" s="84"/>
      <c r="B1389" s="39"/>
      <c r="C1389" s="40"/>
      <c r="D1389" s="41"/>
      <c r="E1389" s="40"/>
      <c r="F1389" s="41"/>
      <c r="G1389" s="101"/>
      <c r="H1389" s="38"/>
      <c r="I1389" s="42"/>
      <c r="J1389" s="42"/>
      <c r="K1389" s="43"/>
      <c r="L1389" s="43"/>
      <c r="M1389" s="44" t="str">
        <f>IF(LayTable[[#This Row],[Sport]]="","",LayTable[[#This Row],[LayInnsats]]*(LayTable[[#This Row],[LayOdds]]-1))</f>
        <v/>
      </c>
      <c r="N1389" s="45" t="str">
        <f>IF(LayTable[[#This Row],[Sport]]="","",1/((1/LayTable[[#This Row],[BookieOdds]])+(1/((1/((1+((LayTable[[#This Row],[LayOdds]]-1)*(1+LayTable[[#This Row],[C% Lay]])))-1))+1)))-1)</f>
        <v/>
      </c>
      <c r="Q1389" s="46" t="str">
        <f>IF(LayTable[[#This Row],[Sport]]="","",LayTable[[#This Row],[BookieInnsats]]+LayTable[[#This Row],[LayLiability]])</f>
        <v/>
      </c>
      <c r="R13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89" s="47" t="str">
        <f>IF(LayTable[[#This Row],[Utfall bookie]]="","",LayTable[[#This Row],[WBABack]]+LayTable[[#This Row],[WBALay]]-LayTable[[#This Row],[Total inns]])</f>
        <v/>
      </c>
      <c r="U13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89" s="48" t="str">
        <f>IFERROR(IF(LayTable[[#This Row],[Total inns]]="","",LayTable[[#This Row],[Rback]]/LayTable[[#This Row],[Total inns]]),"")</f>
        <v/>
      </c>
      <c r="X1389" s="48" t="str">
        <f>IFERROR(IF(LayTable[[#This Row],[Total inns]]="","",LayTable[[#This Row],[Rlay]]/LayTable[[#This Row],[Total inns]]),"")</f>
        <v/>
      </c>
      <c r="Y1389" s="48" t="str">
        <f>IFERROR(LayTable[[#This Row],[Faktisk res]]/LayTable[[#This Row],[Total inns]],"")</f>
        <v/>
      </c>
      <c r="Z1389" s="47">
        <f>(LayTable[[#This Row],[BookieInnsats]]*LayTable[[#This Row],[BookieOdds]]-LayTable[[#This Row],[BookieInnsats]])*(1-LayTable[[#This Row],[C% Bookie]])</f>
        <v>0</v>
      </c>
      <c r="AA1389" s="43">
        <f>LayTable[[#This Row],[LayInnsats]]*(1-LayTable[[#This Row],[C% Lay]])</f>
        <v>0</v>
      </c>
      <c r="AB1389" s="43" t="str">
        <f>IFERROR(IF(LayTable[[#This Row],[Sport]]="",AB1388,LayTable[[#This Row],[Faktisk res]]+AB1388),"")</f>
        <v/>
      </c>
      <c r="AC1389" s="43">
        <f>(LayTable[[#This Row],[BackWin-Commission]]+LayTable[[#This Row],[BookieInnsats]])</f>
        <v>0</v>
      </c>
      <c r="AD1389" s="43" t="e">
        <f>(LayTable[[#This Row],[LayWin-Commission]])+LayTable[[#This Row],[LayLiability]]</f>
        <v>#VALUE!</v>
      </c>
      <c r="AE1389" s="43"/>
      <c r="AF1389" s="181"/>
    </row>
    <row r="1390" spans="1:32">
      <c r="A1390" s="84"/>
      <c r="B1390" s="39"/>
      <c r="C1390" s="40"/>
      <c r="D1390" s="41"/>
      <c r="E1390" s="40"/>
      <c r="F1390" s="41"/>
      <c r="G1390" s="101"/>
      <c r="H1390" s="38"/>
      <c r="I1390" s="42"/>
      <c r="J1390" s="42"/>
      <c r="K1390" s="43"/>
      <c r="L1390" s="43"/>
      <c r="M1390" s="44" t="str">
        <f>IF(LayTable[[#This Row],[Sport]]="","",LayTable[[#This Row],[LayInnsats]]*(LayTable[[#This Row],[LayOdds]]-1))</f>
        <v/>
      </c>
      <c r="N1390" s="45" t="str">
        <f>IF(LayTable[[#This Row],[Sport]]="","",1/((1/LayTable[[#This Row],[BookieOdds]])+(1/((1/((1+((LayTable[[#This Row],[LayOdds]]-1)*(1+LayTable[[#This Row],[C% Lay]])))-1))+1)))-1)</f>
        <v/>
      </c>
      <c r="Q1390" s="46" t="str">
        <f>IF(LayTable[[#This Row],[Sport]]="","",LayTable[[#This Row],[BookieInnsats]]+LayTable[[#This Row],[LayLiability]])</f>
        <v/>
      </c>
      <c r="R13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0" s="47" t="str">
        <f>IF(LayTable[[#This Row],[Utfall bookie]]="","",LayTable[[#This Row],[WBABack]]+LayTable[[#This Row],[WBALay]]-LayTable[[#This Row],[Total inns]])</f>
        <v/>
      </c>
      <c r="U13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0" s="48" t="str">
        <f>IFERROR(IF(LayTable[[#This Row],[Total inns]]="","",LayTable[[#This Row],[Rback]]/LayTable[[#This Row],[Total inns]]),"")</f>
        <v/>
      </c>
      <c r="X1390" s="48" t="str">
        <f>IFERROR(IF(LayTable[[#This Row],[Total inns]]="","",LayTable[[#This Row],[Rlay]]/LayTable[[#This Row],[Total inns]]),"")</f>
        <v/>
      </c>
      <c r="Y1390" s="48" t="str">
        <f>IFERROR(LayTable[[#This Row],[Faktisk res]]/LayTable[[#This Row],[Total inns]],"")</f>
        <v/>
      </c>
      <c r="Z1390" s="47">
        <f>(LayTable[[#This Row],[BookieInnsats]]*LayTable[[#This Row],[BookieOdds]]-LayTable[[#This Row],[BookieInnsats]])*(1-LayTable[[#This Row],[C% Bookie]])</f>
        <v>0</v>
      </c>
      <c r="AA1390" s="43">
        <f>LayTable[[#This Row],[LayInnsats]]*(1-LayTable[[#This Row],[C% Lay]])</f>
        <v>0</v>
      </c>
      <c r="AB1390" s="43" t="str">
        <f>IFERROR(IF(LayTable[[#This Row],[Sport]]="",AB1389,LayTable[[#This Row],[Faktisk res]]+AB1389),"")</f>
        <v/>
      </c>
      <c r="AC1390" s="43">
        <f>(LayTable[[#This Row],[BackWin-Commission]]+LayTable[[#This Row],[BookieInnsats]])</f>
        <v>0</v>
      </c>
      <c r="AD1390" s="43" t="e">
        <f>(LayTable[[#This Row],[LayWin-Commission]])+LayTable[[#This Row],[LayLiability]]</f>
        <v>#VALUE!</v>
      </c>
      <c r="AE1390" s="43"/>
      <c r="AF1390" s="181"/>
    </row>
    <row r="1391" spans="1:32">
      <c r="A1391" s="84"/>
      <c r="B1391" s="39"/>
      <c r="C1391" s="40"/>
      <c r="D1391" s="41"/>
      <c r="E1391" s="40"/>
      <c r="F1391" s="41"/>
      <c r="G1391" s="101"/>
      <c r="H1391" s="38"/>
      <c r="I1391" s="42"/>
      <c r="J1391" s="42"/>
      <c r="K1391" s="43"/>
      <c r="L1391" s="43"/>
      <c r="M1391" s="44" t="str">
        <f>IF(LayTable[[#This Row],[Sport]]="","",LayTable[[#This Row],[LayInnsats]]*(LayTable[[#This Row],[LayOdds]]-1))</f>
        <v/>
      </c>
      <c r="N1391" s="45" t="str">
        <f>IF(LayTable[[#This Row],[Sport]]="","",1/((1/LayTable[[#This Row],[BookieOdds]])+(1/((1/((1+((LayTable[[#This Row],[LayOdds]]-1)*(1+LayTable[[#This Row],[C% Lay]])))-1))+1)))-1)</f>
        <v/>
      </c>
      <c r="Q1391" s="46" t="str">
        <f>IF(LayTable[[#This Row],[Sport]]="","",LayTable[[#This Row],[BookieInnsats]]+LayTable[[#This Row],[LayLiability]])</f>
        <v/>
      </c>
      <c r="R13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1" s="47" t="str">
        <f>IF(LayTable[[#This Row],[Utfall bookie]]="","",LayTable[[#This Row],[WBABack]]+LayTable[[#This Row],[WBALay]]-LayTable[[#This Row],[Total inns]])</f>
        <v/>
      </c>
      <c r="U13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1" s="48" t="str">
        <f>IFERROR(IF(LayTable[[#This Row],[Total inns]]="","",LayTable[[#This Row],[Rback]]/LayTable[[#This Row],[Total inns]]),"")</f>
        <v/>
      </c>
      <c r="X1391" s="48" t="str">
        <f>IFERROR(IF(LayTable[[#This Row],[Total inns]]="","",LayTable[[#This Row],[Rlay]]/LayTable[[#This Row],[Total inns]]),"")</f>
        <v/>
      </c>
      <c r="Y1391" s="48" t="str">
        <f>IFERROR(LayTable[[#This Row],[Faktisk res]]/LayTable[[#This Row],[Total inns]],"")</f>
        <v/>
      </c>
      <c r="Z1391" s="47">
        <f>(LayTable[[#This Row],[BookieInnsats]]*LayTable[[#This Row],[BookieOdds]]-LayTable[[#This Row],[BookieInnsats]])*(1-LayTable[[#This Row],[C% Bookie]])</f>
        <v>0</v>
      </c>
      <c r="AA1391" s="43">
        <f>LayTable[[#This Row],[LayInnsats]]*(1-LayTable[[#This Row],[C% Lay]])</f>
        <v>0</v>
      </c>
      <c r="AB1391" s="43" t="str">
        <f>IFERROR(IF(LayTable[[#This Row],[Sport]]="",AB1390,LayTable[[#This Row],[Faktisk res]]+AB1390),"")</f>
        <v/>
      </c>
      <c r="AC1391" s="43">
        <f>(LayTable[[#This Row],[BackWin-Commission]]+LayTable[[#This Row],[BookieInnsats]])</f>
        <v>0</v>
      </c>
      <c r="AD1391" s="43" t="e">
        <f>(LayTable[[#This Row],[LayWin-Commission]])+LayTable[[#This Row],[LayLiability]]</f>
        <v>#VALUE!</v>
      </c>
      <c r="AE1391" s="43"/>
      <c r="AF1391" s="181"/>
    </row>
    <row r="1392" spans="1:32">
      <c r="A1392" s="84"/>
      <c r="B1392" s="39"/>
      <c r="C1392" s="40"/>
      <c r="D1392" s="41"/>
      <c r="E1392" s="40"/>
      <c r="F1392" s="41"/>
      <c r="G1392" s="101"/>
      <c r="H1392" s="38"/>
      <c r="I1392" s="42"/>
      <c r="J1392" s="42"/>
      <c r="K1392" s="43"/>
      <c r="L1392" s="43"/>
      <c r="M1392" s="44" t="str">
        <f>IF(LayTable[[#This Row],[Sport]]="","",LayTable[[#This Row],[LayInnsats]]*(LayTable[[#This Row],[LayOdds]]-1))</f>
        <v/>
      </c>
      <c r="N1392" s="45" t="str">
        <f>IF(LayTable[[#This Row],[Sport]]="","",1/((1/LayTable[[#This Row],[BookieOdds]])+(1/((1/((1+((LayTable[[#This Row],[LayOdds]]-1)*(1+LayTable[[#This Row],[C% Lay]])))-1))+1)))-1)</f>
        <v/>
      </c>
      <c r="Q1392" s="46" t="str">
        <f>IF(LayTable[[#This Row],[Sport]]="","",LayTable[[#This Row],[BookieInnsats]]+LayTable[[#This Row],[LayLiability]])</f>
        <v/>
      </c>
      <c r="R13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2" s="47" t="str">
        <f>IF(LayTable[[#This Row],[Utfall bookie]]="","",LayTable[[#This Row],[WBABack]]+LayTable[[#This Row],[WBALay]]-LayTable[[#This Row],[Total inns]])</f>
        <v/>
      </c>
      <c r="U13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2" s="48" t="str">
        <f>IFERROR(IF(LayTable[[#This Row],[Total inns]]="","",LayTable[[#This Row],[Rback]]/LayTable[[#This Row],[Total inns]]),"")</f>
        <v/>
      </c>
      <c r="X1392" s="48" t="str">
        <f>IFERROR(IF(LayTable[[#This Row],[Total inns]]="","",LayTable[[#This Row],[Rlay]]/LayTable[[#This Row],[Total inns]]),"")</f>
        <v/>
      </c>
      <c r="Y1392" s="48" t="str">
        <f>IFERROR(LayTable[[#This Row],[Faktisk res]]/LayTable[[#This Row],[Total inns]],"")</f>
        <v/>
      </c>
      <c r="Z1392" s="47">
        <f>(LayTable[[#This Row],[BookieInnsats]]*LayTable[[#This Row],[BookieOdds]]-LayTable[[#This Row],[BookieInnsats]])*(1-LayTable[[#This Row],[C% Bookie]])</f>
        <v>0</v>
      </c>
      <c r="AA1392" s="43">
        <f>LayTable[[#This Row],[LayInnsats]]*(1-LayTable[[#This Row],[C% Lay]])</f>
        <v>0</v>
      </c>
      <c r="AB1392" s="43" t="str">
        <f>IFERROR(IF(LayTable[[#This Row],[Sport]]="",AB1391,LayTable[[#This Row],[Faktisk res]]+AB1391),"")</f>
        <v/>
      </c>
      <c r="AC1392" s="43">
        <f>(LayTable[[#This Row],[BackWin-Commission]]+LayTable[[#This Row],[BookieInnsats]])</f>
        <v>0</v>
      </c>
      <c r="AD1392" s="43" t="e">
        <f>(LayTable[[#This Row],[LayWin-Commission]])+LayTable[[#This Row],[LayLiability]]</f>
        <v>#VALUE!</v>
      </c>
      <c r="AE1392" s="43"/>
      <c r="AF1392" s="181"/>
    </row>
    <row r="1393" spans="1:32">
      <c r="A1393" s="84"/>
      <c r="B1393" s="39"/>
      <c r="C1393" s="40"/>
      <c r="D1393" s="41"/>
      <c r="E1393" s="40"/>
      <c r="F1393" s="41"/>
      <c r="G1393" s="101"/>
      <c r="H1393" s="38"/>
      <c r="I1393" s="42"/>
      <c r="J1393" s="42"/>
      <c r="K1393" s="43"/>
      <c r="L1393" s="43"/>
      <c r="M1393" s="44" t="str">
        <f>IF(LayTable[[#This Row],[Sport]]="","",LayTable[[#This Row],[LayInnsats]]*(LayTable[[#This Row],[LayOdds]]-1))</f>
        <v/>
      </c>
      <c r="N1393" s="45" t="str">
        <f>IF(LayTable[[#This Row],[Sport]]="","",1/((1/LayTable[[#This Row],[BookieOdds]])+(1/((1/((1+((LayTable[[#This Row],[LayOdds]]-1)*(1+LayTable[[#This Row],[C% Lay]])))-1))+1)))-1)</f>
        <v/>
      </c>
      <c r="Q1393" s="46" t="str">
        <f>IF(LayTable[[#This Row],[Sport]]="","",LayTable[[#This Row],[BookieInnsats]]+LayTable[[#This Row],[LayLiability]])</f>
        <v/>
      </c>
      <c r="R13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3" s="47" t="str">
        <f>IF(LayTable[[#This Row],[Utfall bookie]]="","",LayTable[[#This Row],[WBABack]]+LayTable[[#This Row],[WBALay]]-LayTable[[#This Row],[Total inns]])</f>
        <v/>
      </c>
      <c r="U13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3" s="48" t="str">
        <f>IFERROR(IF(LayTable[[#This Row],[Total inns]]="","",LayTable[[#This Row],[Rback]]/LayTable[[#This Row],[Total inns]]),"")</f>
        <v/>
      </c>
      <c r="X1393" s="48" t="str">
        <f>IFERROR(IF(LayTable[[#This Row],[Total inns]]="","",LayTable[[#This Row],[Rlay]]/LayTable[[#This Row],[Total inns]]),"")</f>
        <v/>
      </c>
      <c r="Y1393" s="48" t="str">
        <f>IFERROR(LayTable[[#This Row],[Faktisk res]]/LayTable[[#This Row],[Total inns]],"")</f>
        <v/>
      </c>
      <c r="Z1393" s="47">
        <f>(LayTable[[#This Row],[BookieInnsats]]*LayTable[[#This Row],[BookieOdds]]-LayTable[[#This Row],[BookieInnsats]])*(1-LayTable[[#This Row],[C% Bookie]])</f>
        <v>0</v>
      </c>
      <c r="AA1393" s="43">
        <f>LayTable[[#This Row],[LayInnsats]]*(1-LayTable[[#This Row],[C% Lay]])</f>
        <v>0</v>
      </c>
      <c r="AB1393" s="43" t="str">
        <f>IFERROR(IF(LayTable[[#This Row],[Sport]]="",AB1392,LayTable[[#This Row],[Faktisk res]]+AB1392),"")</f>
        <v/>
      </c>
      <c r="AC1393" s="43">
        <f>(LayTable[[#This Row],[BackWin-Commission]]+LayTable[[#This Row],[BookieInnsats]])</f>
        <v>0</v>
      </c>
      <c r="AD1393" s="43" t="e">
        <f>(LayTable[[#This Row],[LayWin-Commission]])+LayTable[[#This Row],[LayLiability]]</f>
        <v>#VALUE!</v>
      </c>
      <c r="AE1393" s="43"/>
      <c r="AF1393" s="181"/>
    </row>
    <row r="1394" spans="1:32">
      <c r="A1394" s="84"/>
      <c r="B1394" s="39"/>
      <c r="C1394" s="40"/>
      <c r="D1394" s="41"/>
      <c r="E1394" s="40"/>
      <c r="F1394" s="41"/>
      <c r="G1394" s="101"/>
      <c r="H1394" s="38"/>
      <c r="I1394" s="42"/>
      <c r="J1394" s="42"/>
      <c r="K1394" s="43"/>
      <c r="L1394" s="43"/>
      <c r="M1394" s="44" t="str">
        <f>IF(LayTable[[#This Row],[Sport]]="","",LayTable[[#This Row],[LayInnsats]]*(LayTable[[#This Row],[LayOdds]]-1))</f>
        <v/>
      </c>
      <c r="N1394" s="45" t="str">
        <f>IF(LayTable[[#This Row],[Sport]]="","",1/((1/LayTable[[#This Row],[BookieOdds]])+(1/((1/((1+((LayTable[[#This Row],[LayOdds]]-1)*(1+LayTable[[#This Row],[C% Lay]])))-1))+1)))-1)</f>
        <v/>
      </c>
      <c r="Q1394" s="46" t="str">
        <f>IF(LayTable[[#This Row],[Sport]]="","",LayTable[[#This Row],[BookieInnsats]]+LayTable[[#This Row],[LayLiability]])</f>
        <v/>
      </c>
      <c r="R13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4" s="47" t="str">
        <f>IF(LayTable[[#This Row],[Utfall bookie]]="","",LayTable[[#This Row],[WBABack]]+LayTable[[#This Row],[WBALay]]-LayTable[[#This Row],[Total inns]])</f>
        <v/>
      </c>
      <c r="U13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4" s="48" t="str">
        <f>IFERROR(IF(LayTable[[#This Row],[Total inns]]="","",LayTable[[#This Row],[Rback]]/LayTable[[#This Row],[Total inns]]),"")</f>
        <v/>
      </c>
      <c r="X1394" s="48" t="str">
        <f>IFERROR(IF(LayTable[[#This Row],[Total inns]]="","",LayTable[[#This Row],[Rlay]]/LayTable[[#This Row],[Total inns]]),"")</f>
        <v/>
      </c>
      <c r="Y1394" s="48" t="str">
        <f>IFERROR(LayTable[[#This Row],[Faktisk res]]/LayTable[[#This Row],[Total inns]],"")</f>
        <v/>
      </c>
      <c r="Z1394" s="47">
        <f>(LayTable[[#This Row],[BookieInnsats]]*LayTable[[#This Row],[BookieOdds]]-LayTable[[#This Row],[BookieInnsats]])*(1-LayTable[[#This Row],[C% Bookie]])</f>
        <v>0</v>
      </c>
      <c r="AA1394" s="43">
        <f>LayTable[[#This Row],[LayInnsats]]*(1-LayTable[[#This Row],[C% Lay]])</f>
        <v>0</v>
      </c>
      <c r="AB1394" s="43" t="str">
        <f>IFERROR(IF(LayTable[[#This Row],[Sport]]="",AB1393,LayTable[[#This Row],[Faktisk res]]+AB1393),"")</f>
        <v/>
      </c>
      <c r="AC1394" s="43">
        <f>(LayTable[[#This Row],[BackWin-Commission]]+LayTable[[#This Row],[BookieInnsats]])</f>
        <v>0</v>
      </c>
      <c r="AD1394" s="43" t="e">
        <f>(LayTable[[#This Row],[LayWin-Commission]])+LayTable[[#This Row],[LayLiability]]</f>
        <v>#VALUE!</v>
      </c>
      <c r="AE1394" s="43"/>
      <c r="AF1394" s="181"/>
    </row>
    <row r="1395" spans="1:32">
      <c r="A1395" s="84"/>
      <c r="B1395" s="39"/>
      <c r="C1395" s="40"/>
      <c r="D1395" s="41"/>
      <c r="E1395" s="40"/>
      <c r="F1395" s="41"/>
      <c r="G1395" s="101"/>
      <c r="H1395" s="38"/>
      <c r="I1395" s="42"/>
      <c r="J1395" s="42"/>
      <c r="K1395" s="43"/>
      <c r="L1395" s="43"/>
      <c r="M1395" s="44" t="str">
        <f>IF(LayTable[[#This Row],[Sport]]="","",LayTable[[#This Row],[LayInnsats]]*(LayTable[[#This Row],[LayOdds]]-1))</f>
        <v/>
      </c>
      <c r="N1395" s="45" t="str">
        <f>IF(LayTable[[#This Row],[Sport]]="","",1/((1/LayTable[[#This Row],[BookieOdds]])+(1/((1/((1+((LayTable[[#This Row],[LayOdds]]-1)*(1+LayTable[[#This Row],[C% Lay]])))-1))+1)))-1)</f>
        <v/>
      </c>
      <c r="Q1395" s="46" t="str">
        <f>IF(LayTable[[#This Row],[Sport]]="","",LayTable[[#This Row],[BookieInnsats]]+LayTable[[#This Row],[LayLiability]])</f>
        <v/>
      </c>
      <c r="R13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5" s="47" t="str">
        <f>IF(LayTable[[#This Row],[Utfall bookie]]="","",LayTable[[#This Row],[WBABack]]+LayTable[[#This Row],[WBALay]]-LayTable[[#This Row],[Total inns]])</f>
        <v/>
      </c>
      <c r="U13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5" s="48" t="str">
        <f>IFERROR(IF(LayTable[[#This Row],[Total inns]]="","",LayTable[[#This Row],[Rback]]/LayTable[[#This Row],[Total inns]]),"")</f>
        <v/>
      </c>
      <c r="X1395" s="48" t="str">
        <f>IFERROR(IF(LayTable[[#This Row],[Total inns]]="","",LayTable[[#This Row],[Rlay]]/LayTable[[#This Row],[Total inns]]),"")</f>
        <v/>
      </c>
      <c r="Y1395" s="48" t="str">
        <f>IFERROR(LayTable[[#This Row],[Faktisk res]]/LayTable[[#This Row],[Total inns]],"")</f>
        <v/>
      </c>
      <c r="Z1395" s="47">
        <f>(LayTable[[#This Row],[BookieInnsats]]*LayTable[[#This Row],[BookieOdds]]-LayTable[[#This Row],[BookieInnsats]])*(1-LayTable[[#This Row],[C% Bookie]])</f>
        <v>0</v>
      </c>
      <c r="AA1395" s="43">
        <f>LayTable[[#This Row],[LayInnsats]]*(1-LayTable[[#This Row],[C% Lay]])</f>
        <v>0</v>
      </c>
      <c r="AB1395" s="43" t="str">
        <f>IFERROR(IF(LayTable[[#This Row],[Sport]]="",AB1394,LayTable[[#This Row],[Faktisk res]]+AB1394),"")</f>
        <v/>
      </c>
      <c r="AC1395" s="43">
        <f>(LayTable[[#This Row],[BackWin-Commission]]+LayTable[[#This Row],[BookieInnsats]])</f>
        <v>0</v>
      </c>
      <c r="AD1395" s="43" t="e">
        <f>(LayTable[[#This Row],[LayWin-Commission]])+LayTable[[#This Row],[LayLiability]]</f>
        <v>#VALUE!</v>
      </c>
      <c r="AE1395" s="43"/>
      <c r="AF1395" s="181"/>
    </row>
    <row r="1396" spans="1:32">
      <c r="A1396" s="84"/>
      <c r="B1396" s="39"/>
      <c r="C1396" s="40"/>
      <c r="D1396" s="41"/>
      <c r="E1396" s="40"/>
      <c r="F1396" s="41"/>
      <c r="G1396" s="101"/>
      <c r="H1396" s="38"/>
      <c r="I1396" s="42"/>
      <c r="J1396" s="42"/>
      <c r="K1396" s="43"/>
      <c r="L1396" s="43"/>
      <c r="M1396" s="44" t="str">
        <f>IF(LayTable[[#This Row],[Sport]]="","",LayTable[[#This Row],[LayInnsats]]*(LayTable[[#This Row],[LayOdds]]-1))</f>
        <v/>
      </c>
      <c r="N1396" s="45" t="str">
        <f>IF(LayTable[[#This Row],[Sport]]="","",1/((1/LayTable[[#This Row],[BookieOdds]])+(1/((1/((1+((LayTable[[#This Row],[LayOdds]]-1)*(1+LayTable[[#This Row],[C% Lay]])))-1))+1)))-1)</f>
        <v/>
      </c>
      <c r="Q1396" s="46" t="str">
        <f>IF(LayTable[[#This Row],[Sport]]="","",LayTable[[#This Row],[BookieInnsats]]+LayTable[[#This Row],[LayLiability]])</f>
        <v/>
      </c>
      <c r="R13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6" s="47" t="str">
        <f>IF(LayTable[[#This Row],[Utfall bookie]]="","",LayTable[[#This Row],[WBABack]]+LayTable[[#This Row],[WBALay]]-LayTable[[#This Row],[Total inns]])</f>
        <v/>
      </c>
      <c r="U13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6" s="48" t="str">
        <f>IFERROR(IF(LayTable[[#This Row],[Total inns]]="","",LayTable[[#This Row],[Rback]]/LayTable[[#This Row],[Total inns]]),"")</f>
        <v/>
      </c>
      <c r="X1396" s="48" t="str">
        <f>IFERROR(IF(LayTable[[#This Row],[Total inns]]="","",LayTable[[#This Row],[Rlay]]/LayTable[[#This Row],[Total inns]]),"")</f>
        <v/>
      </c>
      <c r="Y1396" s="48" t="str">
        <f>IFERROR(LayTable[[#This Row],[Faktisk res]]/LayTable[[#This Row],[Total inns]],"")</f>
        <v/>
      </c>
      <c r="Z1396" s="47">
        <f>(LayTable[[#This Row],[BookieInnsats]]*LayTable[[#This Row],[BookieOdds]]-LayTable[[#This Row],[BookieInnsats]])*(1-LayTable[[#This Row],[C% Bookie]])</f>
        <v>0</v>
      </c>
      <c r="AA1396" s="43">
        <f>LayTable[[#This Row],[LayInnsats]]*(1-LayTable[[#This Row],[C% Lay]])</f>
        <v>0</v>
      </c>
      <c r="AB1396" s="43" t="str">
        <f>IFERROR(IF(LayTable[[#This Row],[Sport]]="",AB1395,LayTable[[#This Row],[Faktisk res]]+AB1395),"")</f>
        <v/>
      </c>
      <c r="AC1396" s="43">
        <f>(LayTable[[#This Row],[BackWin-Commission]]+LayTable[[#This Row],[BookieInnsats]])</f>
        <v>0</v>
      </c>
      <c r="AD1396" s="43" t="e">
        <f>(LayTable[[#This Row],[LayWin-Commission]])+LayTable[[#This Row],[LayLiability]]</f>
        <v>#VALUE!</v>
      </c>
      <c r="AE1396" s="43"/>
      <c r="AF1396" s="181"/>
    </row>
    <row r="1397" spans="1:32">
      <c r="A1397" s="84"/>
      <c r="B1397" s="39"/>
      <c r="C1397" s="40"/>
      <c r="D1397" s="41"/>
      <c r="E1397" s="40"/>
      <c r="F1397" s="41"/>
      <c r="G1397" s="101"/>
      <c r="H1397" s="38"/>
      <c r="I1397" s="42"/>
      <c r="J1397" s="42"/>
      <c r="K1397" s="43"/>
      <c r="L1397" s="43"/>
      <c r="M1397" s="44" t="str">
        <f>IF(LayTable[[#This Row],[Sport]]="","",LayTable[[#This Row],[LayInnsats]]*(LayTable[[#This Row],[LayOdds]]-1))</f>
        <v/>
      </c>
      <c r="N1397" s="45" t="str">
        <f>IF(LayTable[[#This Row],[Sport]]="","",1/((1/LayTable[[#This Row],[BookieOdds]])+(1/((1/((1+((LayTable[[#This Row],[LayOdds]]-1)*(1+LayTable[[#This Row],[C% Lay]])))-1))+1)))-1)</f>
        <v/>
      </c>
      <c r="Q1397" s="46" t="str">
        <f>IF(LayTable[[#This Row],[Sport]]="","",LayTable[[#This Row],[BookieInnsats]]+LayTable[[#This Row],[LayLiability]])</f>
        <v/>
      </c>
      <c r="R13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7" s="47" t="str">
        <f>IF(LayTable[[#This Row],[Utfall bookie]]="","",LayTable[[#This Row],[WBABack]]+LayTable[[#This Row],[WBALay]]-LayTable[[#This Row],[Total inns]])</f>
        <v/>
      </c>
      <c r="U13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7" s="48" t="str">
        <f>IFERROR(IF(LayTable[[#This Row],[Total inns]]="","",LayTable[[#This Row],[Rback]]/LayTable[[#This Row],[Total inns]]),"")</f>
        <v/>
      </c>
      <c r="X1397" s="48" t="str">
        <f>IFERROR(IF(LayTable[[#This Row],[Total inns]]="","",LayTable[[#This Row],[Rlay]]/LayTable[[#This Row],[Total inns]]),"")</f>
        <v/>
      </c>
      <c r="Y1397" s="48" t="str">
        <f>IFERROR(LayTable[[#This Row],[Faktisk res]]/LayTable[[#This Row],[Total inns]],"")</f>
        <v/>
      </c>
      <c r="Z1397" s="47">
        <f>(LayTable[[#This Row],[BookieInnsats]]*LayTable[[#This Row],[BookieOdds]]-LayTable[[#This Row],[BookieInnsats]])*(1-LayTable[[#This Row],[C% Bookie]])</f>
        <v>0</v>
      </c>
      <c r="AA1397" s="43">
        <f>LayTable[[#This Row],[LayInnsats]]*(1-LayTable[[#This Row],[C% Lay]])</f>
        <v>0</v>
      </c>
      <c r="AB1397" s="43" t="str">
        <f>IFERROR(IF(LayTable[[#This Row],[Sport]]="",AB1396,LayTable[[#This Row],[Faktisk res]]+AB1396),"")</f>
        <v/>
      </c>
      <c r="AC1397" s="43">
        <f>(LayTable[[#This Row],[BackWin-Commission]]+LayTable[[#This Row],[BookieInnsats]])</f>
        <v>0</v>
      </c>
      <c r="AD1397" s="43" t="e">
        <f>(LayTable[[#This Row],[LayWin-Commission]])+LayTable[[#This Row],[LayLiability]]</f>
        <v>#VALUE!</v>
      </c>
      <c r="AE1397" s="43"/>
      <c r="AF1397" s="181"/>
    </row>
    <row r="1398" spans="1:32">
      <c r="A1398" s="84"/>
      <c r="B1398" s="39"/>
      <c r="C1398" s="40"/>
      <c r="D1398" s="41"/>
      <c r="E1398" s="40"/>
      <c r="F1398" s="41"/>
      <c r="G1398" s="101"/>
      <c r="H1398" s="38"/>
      <c r="I1398" s="42"/>
      <c r="J1398" s="42"/>
      <c r="K1398" s="43"/>
      <c r="L1398" s="43"/>
      <c r="M1398" s="44" t="str">
        <f>IF(LayTable[[#This Row],[Sport]]="","",LayTable[[#This Row],[LayInnsats]]*(LayTable[[#This Row],[LayOdds]]-1))</f>
        <v/>
      </c>
      <c r="N1398" s="45" t="str">
        <f>IF(LayTable[[#This Row],[Sport]]="","",1/((1/LayTable[[#This Row],[BookieOdds]])+(1/((1/((1+((LayTable[[#This Row],[LayOdds]]-1)*(1+LayTable[[#This Row],[C% Lay]])))-1))+1)))-1)</f>
        <v/>
      </c>
      <c r="Q1398" s="46" t="str">
        <f>IF(LayTable[[#This Row],[Sport]]="","",LayTable[[#This Row],[BookieInnsats]]+LayTable[[#This Row],[LayLiability]])</f>
        <v/>
      </c>
      <c r="R13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8" s="47" t="str">
        <f>IF(LayTable[[#This Row],[Utfall bookie]]="","",LayTable[[#This Row],[WBABack]]+LayTable[[#This Row],[WBALay]]-LayTable[[#This Row],[Total inns]])</f>
        <v/>
      </c>
      <c r="U13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8" s="48" t="str">
        <f>IFERROR(IF(LayTable[[#This Row],[Total inns]]="","",LayTable[[#This Row],[Rback]]/LayTable[[#This Row],[Total inns]]),"")</f>
        <v/>
      </c>
      <c r="X1398" s="48" t="str">
        <f>IFERROR(IF(LayTable[[#This Row],[Total inns]]="","",LayTable[[#This Row],[Rlay]]/LayTable[[#This Row],[Total inns]]),"")</f>
        <v/>
      </c>
      <c r="Y1398" s="48" t="str">
        <f>IFERROR(LayTable[[#This Row],[Faktisk res]]/LayTable[[#This Row],[Total inns]],"")</f>
        <v/>
      </c>
      <c r="Z1398" s="47">
        <f>(LayTable[[#This Row],[BookieInnsats]]*LayTable[[#This Row],[BookieOdds]]-LayTable[[#This Row],[BookieInnsats]])*(1-LayTable[[#This Row],[C% Bookie]])</f>
        <v>0</v>
      </c>
      <c r="AA1398" s="43">
        <f>LayTable[[#This Row],[LayInnsats]]*(1-LayTable[[#This Row],[C% Lay]])</f>
        <v>0</v>
      </c>
      <c r="AB1398" s="43" t="str">
        <f>IFERROR(IF(LayTable[[#This Row],[Sport]]="",AB1397,LayTable[[#This Row],[Faktisk res]]+AB1397),"")</f>
        <v/>
      </c>
      <c r="AC1398" s="43">
        <f>(LayTable[[#This Row],[BackWin-Commission]]+LayTable[[#This Row],[BookieInnsats]])</f>
        <v>0</v>
      </c>
      <c r="AD1398" s="43" t="e">
        <f>(LayTable[[#This Row],[LayWin-Commission]])+LayTable[[#This Row],[LayLiability]]</f>
        <v>#VALUE!</v>
      </c>
      <c r="AE1398" s="43"/>
      <c r="AF1398" s="181"/>
    </row>
    <row r="1399" spans="1:32">
      <c r="A1399" s="84"/>
      <c r="B1399" s="39"/>
      <c r="C1399" s="40"/>
      <c r="D1399" s="41"/>
      <c r="E1399" s="40"/>
      <c r="F1399" s="41"/>
      <c r="G1399" s="101"/>
      <c r="H1399" s="38"/>
      <c r="I1399" s="42"/>
      <c r="J1399" s="42"/>
      <c r="K1399" s="43"/>
      <c r="L1399" s="43"/>
      <c r="M1399" s="44" t="str">
        <f>IF(LayTable[[#This Row],[Sport]]="","",LayTable[[#This Row],[LayInnsats]]*(LayTable[[#This Row],[LayOdds]]-1))</f>
        <v/>
      </c>
      <c r="N1399" s="45" t="str">
        <f>IF(LayTable[[#This Row],[Sport]]="","",1/((1/LayTable[[#This Row],[BookieOdds]])+(1/((1/((1+((LayTable[[#This Row],[LayOdds]]-1)*(1+LayTable[[#This Row],[C% Lay]])))-1))+1)))-1)</f>
        <v/>
      </c>
      <c r="Q1399" s="46" t="str">
        <f>IF(LayTable[[#This Row],[Sport]]="","",LayTable[[#This Row],[BookieInnsats]]+LayTable[[#This Row],[LayLiability]])</f>
        <v/>
      </c>
      <c r="R13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3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399" s="47" t="str">
        <f>IF(LayTable[[#This Row],[Utfall bookie]]="","",LayTable[[#This Row],[WBABack]]+LayTable[[#This Row],[WBALay]]-LayTable[[#This Row],[Total inns]])</f>
        <v/>
      </c>
      <c r="U13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3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399" s="48" t="str">
        <f>IFERROR(IF(LayTable[[#This Row],[Total inns]]="","",LayTable[[#This Row],[Rback]]/LayTable[[#This Row],[Total inns]]),"")</f>
        <v/>
      </c>
      <c r="X1399" s="48" t="str">
        <f>IFERROR(IF(LayTable[[#This Row],[Total inns]]="","",LayTable[[#This Row],[Rlay]]/LayTable[[#This Row],[Total inns]]),"")</f>
        <v/>
      </c>
      <c r="Y1399" s="48" t="str">
        <f>IFERROR(LayTable[[#This Row],[Faktisk res]]/LayTable[[#This Row],[Total inns]],"")</f>
        <v/>
      </c>
      <c r="Z1399" s="47">
        <f>(LayTable[[#This Row],[BookieInnsats]]*LayTable[[#This Row],[BookieOdds]]-LayTable[[#This Row],[BookieInnsats]])*(1-LayTable[[#This Row],[C% Bookie]])</f>
        <v>0</v>
      </c>
      <c r="AA1399" s="43">
        <f>LayTable[[#This Row],[LayInnsats]]*(1-LayTable[[#This Row],[C% Lay]])</f>
        <v>0</v>
      </c>
      <c r="AB1399" s="43" t="str">
        <f>IFERROR(IF(LayTable[[#This Row],[Sport]]="",AB1398,LayTable[[#This Row],[Faktisk res]]+AB1398),"")</f>
        <v/>
      </c>
      <c r="AC1399" s="43">
        <f>(LayTable[[#This Row],[BackWin-Commission]]+LayTable[[#This Row],[BookieInnsats]])</f>
        <v>0</v>
      </c>
      <c r="AD1399" s="43" t="e">
        <f>(LayTable[[#This Row],[LayWin-Commission]])+LayTable[[#This Row],[LayLiability]]</f>
        <v>#VALUE!</v>
      </c>
      <c r="AE1399" s="43"/>
      <c r="AF1399" s="181"/>
    </row>
    <row r="1400" spans="1:32">
      <c r="A1400" s="84"/>
      <c r="B1400" s="39"/>
      <c r="C1400" s="40"/>
      <c r="D1400" s="41"/>
      <c r="E1400" s="40"/>
      <c r="F1400" s="41"/>
      <c r="G1400" s="101"/>
      <c r="H1400" s="38"/>
      <c r="I1400" s="42"/>
      <c r="J1400" s="42"/>
      <c r="K1400" s="43"/>
      <c r="L1400" s="43"/>
      <c r="M1400" s="44" t="str">
        <f>IF(LayTable[[#This Row],[Sport]]="","",LayTable[[#This Row],[LayInnsats]]*(LayTable[[#This Row],[LayOdds]]-1))</f>
        <v/>
      </c>
      <c r="N1400" s="45" t="str">
        <f>IF(LayTable[[#This Row],[Sport]]="","",1/((1/LayTable[[#This Row],[BookieOdds]])+(1/((1/((1+((LayTable[[#This Row],[LayOdds]]-1)*(1+LayTable[[#This Row],[C% Lay]])))-1))+1)))-1)</f>
        <v/>
      </c>
      <c r="Q1400" s="46" t="str">
        <f>IF(LayTable[[#This Row],[Sport]]="","",LayTable[[#This Row],[BookieInnsats]]+LayTable[[#This Row],[LayLiability]])</f>
        <v/>
      </c>
      <c r="R14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0" s="47" t="str">
        <f>IF(LayTable[[#This Row],[Utfall bookie]]="","",LayTable[[#This Row],[WBABack]]+LayTable[[#This Row],[WBALay]]-LayTable[[#This Row],[Total inns]])</f>
        <v/>
      </c>
      <c r="U14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0" s="48" t="str">
        <f>IFERROR(IF(LayTable[[#This Row],[Total inns]]="","",LayTable[[#This Row],[Rback]]/LayTable[[#This Row],[Total inns]]),"")</f>
        <v/>
      </c>
      <c r="X1400" s="48" t="str">
        <f>IFERROR(IF(LayTable[[#This Row],[Total inns]]="","",LayTable[[#This Row],[Rlay]]/LayTable[[#This Row],[Total inns]]),"")</f>
        <v/>
      </c>
      <c r="Y1400" s="48" t="str">
        <f>IFERROR(LayTable[[#This Row],[Faktisk res]]/LayTable[[#This Row],[Total inns]],"")</f>
        <v/>
      </c>
      <c r="Z1400" s="47">
        <f>(LayTable[[#This Row],[BookieInnsats]]*LayTable[[#This Row],[BookieOdds]]-LayTable[[#This Row],[BookieInnsats]])*(1-LayTable[[#This Row],[C% Bookie]])</f>
        <v>0</v>
      </c>
      <c r="AA1400" s="43">
        <f>LayTable[[#This Row],[LayInnsats]]*(1-LayTable[[#This Row],[C% Lay]])</f>
        <v>0</v>
      </c>
      <c r="AB1400" s="43" t="str">
        <f>IFERROR(IF(LayTable[[#This Row],[Sport]]="",AB1399,LayTable[[#This Row],[Faktisk res]]+AB1399),"")</f>
        <v/>
      </c>
      <c r="AC1400" s="43">
        <f>(LayTable[[#This Row],[BackWin-Commission]]+LayTable[[#This Row],[BookieInnsats]])</f>
        <v>0</v>
      </c>
      <c r="AD1400" s="43" t="e">
        <f>(LayTable[[#This Row],[LayWin-Commission]])+LayTable[[#This Row],[LayLiability]]</f>
        <v>#VALUE!</v>
      </c>
      <c r="AE1400" s="43"/>
      <c r="AF1400" s="181"/>
    </row>
    <row r="1401" spans="1:32">
      <c r="A1401" s="84"/>
      <c r="B1401" s="39"/>
      <c r="C1401" s="40"/>
      <c r="D1401" s="41"/>
      <c r="E1401" s="40"/>
      <c r="F1401" s="41"/>
      <c r="G1401" s="101"/>
      <c r="H1401" s="38"/>
      <c r="I1401" s="42"/>
      <c r="J1401" s="42"/>
      <c r="K1401" s="43"/>
      <c r="L1401" s="43"/>
      <c r="M1401" s="44" t="str">
        <f>IF(LayTable[[#This Row],[Sport]]="","",LayTable[[#This Row],[LayInnsats]]*(LayTable[[#This Row],[LayOdds]]-1))</f>
        <v/>
      </c>
      <c r="N1401" s="45" t="str">
        <f>IF(LayTable[[#This Row],[Sport]]="","",1/((1/LayTable[[#This Row],[BookieOdds]])+(1/((1/((1+((LayTable[[#This Row],[LayOdds]]-1)*(1+LayTable[[#This Row],[C% Lay]])))-1))+1)))-1)</f>
        <v/>
      </c>
      <c r="Q1401" s="46" t="str">
        <f>IF(LayTable[[#This Row],[Sport]]="","",LayTable[[#This Row],[BookieInnsats]]+LayTable[[#This Row],[LayLiability]])</f>
        <v/>
      </c>
      <c r="R14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1" s="47" t="str">
        <f>IF(LayTable[[#This Row],[Utfall bookie]]="","",LayTable[[#This Row],[WBABack]]+LayTable[[#This Row],[WBALay]]-LayTable[[#This Row],[Total inns]])</f>
        <v/>
      </c>
      <c r="U14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1" s="48" t="str">
        <f>IFERROR(IF(LayTable[[#This Row],[Total inns]]="","",LayTable[[#This Row],[Rback]]/LayTable[[#This Row],[Total inns]]),"")</f>
        <v/>
      </c>
      <c r="X1401" s="48" t="str">
        <f>IFERROR(IF(LayTable[[#This Row],[Total inns]]="","",LayTable[[#This Row],[Rlay]]/LayTable[[#This Row],[Total inns]]),"")</f>
        <v/>
      </c>
      <c r="Y1401" s="48" t="str">
        <f>IFERROR(LayTable[[#This Row],[Faktisk res]]/LayTable[[#This Row],[Total inns]],"")</f>
        <v/>
      </c>
      <c r="Z1401" s="47">
        <f>(LayTable[[#This Row],[BookieInnsats]]*LayTable[[#This Row],[BookieOdds]]-LayTable[[#This Row],[BookieInnsats]])*(1-LayTable[[#This Row],[C% Bookie]])</f>
        <v>0</v>
      </c>
      <c r="AA1401" s="43">
        <f>LayTable[[#This Row],[LayInnsats]]*(1-LayTable[[#This Row],[C% Lay]])</f>
        <v>0</v>
      </c>
      <c r="AB1401" s="43" t="str">
        <f>IFERROR(IF(LayTable[[#This Row],[Sport]]="",AB1400,LayTable[[#This Row],[Faktisk res]]+AB1400),"")</f>
        <v/>
      </c>
      <c r="AC1401" s="43">
        <f>(LayTable[[#This Row],[BackWin-Commission]]+LayTable[[#This Row],[BookieInnsats]])</f>
        <v>0</v>
      </c>
      <c r="AD1401" s="43" t="e">
        <f>(LayTable[[#This Row],[LayWin-Commission]])+LayTable[[#This Row],[LayLiability]]</f>
        <v>#VALUE!</v>
      </c>
      <c r="AE1401" s="43"/>
      <c r="AF1401" s="181"/>
    </row>
    <row r="1402" spans="1:32">
      <c r="A1402" s="84"/>
      <c r="B1402" s="39"/>
      <c r="C1402" s="40"/>
      <c r="D1402" s="41"/>
      <c r="E1402" s="40"/>
      <c r="F1402" s="41"/>
      <c r="G1402" s="101"/>
      <c r="H1402" s="38"/>
      <c r="I1402" s="42"/>
      <c r="J1402" s="42"/>
      <c r="K1402" s="43"/>
      <c r="L1402" s="43"/>
      <c r="M1402" s="44" t="str">
        <f>IF(LayTable[[#This Row],[Sport]]="","",LayTable[[#This Row],[LayInnsats]]*(LayTable[[#This Row],[LayOdds]]-1))</f>
        <v/>
      </c>
      <c r="N1402" s="45" t="str">
        <f>IF(LayTable[[#This Row],[Sport]]="","",1/((1/LayTable[[#This Row],[BookieOdds]])+(1/((1/((1+((LayTable[[#This Row],[LayOdds]]-1)*(1+LayTable[[#This Row],[C% Lay]])))-1))+1)))-1)</f>
        <v/>
      </c>
      <c r="Q1402" s="46" t="str">
        <f>IF(LayTable[[#This Row],[Sport]]="","",LayTable[[#This Row],[BookieInnsats]]+LayTable[[#This Row],[LayLiability]])</f>
        <v/>
      </c>
      <c r="R14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2" s="47" t="str">
        <f>IF(LayTable[[#This Row],[Utfall bookie]]="","",LayTable[[#This Row],[WBABack]]+LayTable[[#This Row],[WBALay]]-LayTable[[#This Row],[Total inns]])</f>
        <v/>
      </c>
      <c r="U14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2" s="48" t="str">
        <f>IFERROR(IF(LayTable[[#This Row],[Total inns]]="","",LayTable[[#This Row],[Rback]]/LayTable[[#This Row],[Total inns]]),"")</f>
        <v/>
      </c>
      <c r="X1402" s="48" t="str">
        <f>IFERROR(IF(LayTable[[#This Row],[Total inns]]="","",LayTable[[#This Row],[Rlay]]/LayTable[[#This Row],[Total inns]]),"")</f>
        <v/>
      </c>
      <c r="Y1402" s="48" t="str">
        <f>IFERROR(LayTable[[#This Row],[Faktisk res]]/LayTable[[#This Row],[Total inns]],"")</f>
        <v/>
      </c>
      <c r="Z1402" s="47">
        <f>(LayTable[[#This Row],[BookieInnsats]]*LayTable[[#This Row],[BookieOdds]]-LayTable[[#This Row],[BookieInnsats]])*(1-LayTable[[#This Row],[C% Bookie]])</f>
        <v>0</v>
      </c>
      <c r="AA1402" s="43">
        <f>LayTable[[#This Row],[LayInnsats]]*(1-LayTable[[#This Row],[C% Lay]])</f>
        <v>0</v>
      </c>
      <c r="AB1402" s="43" t="str">
        <f>IFERROR(IF(LayTable[[#This Row],[Sport]]="",AB1401,LayTable[[#This Row],[Faktisk res]]+AB1401),"")</f>
        <v/>
      </c>
      <c r="AC1402" s="43">
        <f>(LayTable[[#This Row],[BackWin-Commission]]+LayTable[[#This Row],[BookieInnsats]])</f>
        <v>0</v>
      </c>
      <c r="AD1402" s="43" t="e">
        <f>(LayTable[[#This Row],[LayWin-Commission]])+LayTable[[#This Row],[LayLiability]]</f>
        <v>#VALUE!</v>
      </c>
      <c r="AE1402" s="43"/>
      <c r="AF1402" s="181"/>
    </row>
    <row r="1403" spans="1:32">
      <c r="A1403" s="84"/>
      <c r="B1403" s="39"/>
      <c r="C1403" s="40"/>
      <c r="D1403" s="41"/>
      <c r="E1403" s="40"/>
      <c r="F1403" s="41"/>
      <c r="G1403" s="101"/>
      <c r="H1403" s="38"/>
      <c r="I1403" s="42"/>
      <c r="J1403" s="42"/>
      <c r="K1403" s="43"/>
      <c r="L1403" s="43"/>
      <c r="M1403" s="44" t="str">
        <f>IF(LayTable[[#This Row],[Sport]]="","",LayTable[[#This Row],[LayInnsats]]*(LayTable[[#This Row],[LayOdds]]-1))</f>
        <v/>
      </c>
      <c r="N1403" s="45" t="str">
        <f>IF(LayTable[[#This Row],[Sport]]="","",1/((1/LayTable[[#This Row],[BookieOdds]])+(1/((1/((1+((LayTable[[#This Row],[LayOdds]]-1)*(1+LayTable[[#This Row],[C% Lay]])))-1))+1)))-1)</f>
        <v/>
      </c>
      <c r="Q1403" s="46" t="str">
        <f>IF(LayTable[[#This Row],[Sport]]="","",LayTable[[#This Row],[BookieInnsats]]+LayTable[[#This Row],[LayLiability]])</f>
        <v/>
      </c>
      <c r="R14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3" s="47" t="str">
        <f>IF(LayTable[[#This Row],[Utfall bookie]]="","",LayTable[[#This Row],[WBABack]]+LayTable[[#This Row],[WBALay]]-LayTable[[#This Row],[Total inns]])</f>
        <v/>
      </c>
      <c r="U14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3" s="48" t="str">
        <f>IFERROR(IF(LayTable[[#This Row],[Total inns]]="","",LayTable[[#This Row],[Rback]]/LayTable[[#This Row],[Total inns]]),"")</f>
        <v/>
      </c>
      <c r="X1403" s="48" t="str">
        <f>IFERROR(IF(LayTable[[#This Row],[Total inns]]="","",LayTable[[#This Row],[Rlay]]/LayTable[[#This Row],[Total inns]]),"")</f>
        <v/>
      </c>
      <c r="Y1403" s="48" t="str">
        <f>IFERROR(LayTable[[#This Row],[Faktisk res]]/LayTable[[#This Row],[Total inns]],"")</f>
        <v/>
      </c>
      <c r="Z1403" s="47">
        <f>(LayTable[[#This Row],[BookieInnsats]]*LayTable[[#This Row],[BookieOdds]]-LayTable[[#This Row],[BookieInnsats]])*(1-LayTable[[#This Row],[C% Bookie]])</f>
        <v>0</v>
      </c>
      <c r="AA1403" s="43">
        <f>LayTable[[#This Row],[LayInnsats]]*(1-LayTable[[#This Row],[C% Lay]])</f>
        <v>0</v>
      </c>
      <c r="AB1403" s="43" t="str">
        <f>IFERROR(IF(LayTable[[#This Row],[Sport]]="",AB1402,LayTable[[#This Row],[Faktisk res]]+AB1402),"")</f>
        <v/>
      </c>
      <c r="AC1403" s="43">
        <f>(LayTable[[#This Row],[BackWin-Commission]]+LayTable[[#This Row],[BookieInnsats]])</f>
        <v>0</v>
      </c>
      <c r="AD1403" s="43" t="e">
        <f>(LayTable[[#This Row],[LayWin-Commission]])+LayTable[[#This Row],[LayLiability]]</f>
        <v>#VALUE!</v>
      </c>
      <c r="AE1403" s="43"/>
      <c r="AF1403" s="181"/>
    </row>
    <row r="1404" spans="1:32">
      <c r="A1404" s="84"/>
      <c r="B1404" s="39"/>
      <c r="C1404" s="40"/>
      <c r="D1404" s="41"/>
      <c r="E1404" s="40"/>
      <c r="F1404" s="41"/>
      <c r="G1404" s="101"/>
      <c r="H1404" s="38"/>
      <c r="I1404" s="42"/>
      <c r="J1404" s="42"/>
      <c r="K1404" s="43"/>
      <c r="L1404" s="43"/>
      <c r="M1404" s="44" t="str">
        <f>IF(LayTable[[#This Row],[Sport]]="","",LayTable[[#This Row],[LayInnsats]]*(LayTable[[#This Row],[LayOdds]]-1))</f>
        <v/>
      </c>
      <c r="N1404" s="45" t="str">
        <f>IF(LayTable[[#This Row],[Sport]]="","",1/((1/LayTable[[#This Row],[BookieOdds]])+(1/((1/((1+((LayTable[[#This Row],[LayOdds]]-1)*(1+LayTable[[#This Row],[C% Lay]])))-1))+1)))-1)</f>
        <v/>
      </c>
      <c r="Q1404" s="46" t="str">
        <f>IF(LayTable[[#This Row],[Sport]]="","",LayTable[[#This Row],[BookieInnsats]]+LayTable[[#This Row],[LayLiability]])</f>
        <v/>
      </c>
      <c r="R14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4" s="47" t="str">
        <f>IF(LayTable[[#This Row],[Utfall bookie]]="","",LayTable[[#This Row],[WBABack]]+LayTable[[#This Row],[WBALay]]-LayTable[[#This Row],[Total inns]])</f>
        <v/>
      </c>
      <c r="U14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4" s="48" t="str">
        <f>IFERROR(IF(LayTable[[#This Row],[Total inns]]="","",LayTable[[#This Row],[Rback]]/LayTable[[#This Row],[Total inns]]),"")</f>
        <v/>
      </c>
      <c r="X1404" s="48" t="str">
        <f>IFERROR(IF(LayTable[[#This Row],[Total inns]]="","",LayTable[[#This Row],[Rlay]]/LayTable[[#This Row],[Total inns]]),"")</f>
        <v/>
      </c>
      <c r="Y1404" s="48" t="str">
        <f>IFERROR(LayTable[[#This Row],[Faktisk res]]/LayTable[[#This Row],[Total inns]],"")</f>
        <v/>
      </c>
      <c r="Z1404" s="47">
        <f>(LayTable[[#This Row],[BookieInnsats]]*LayTable[[#This Row],[BookieOdds]]-LayTable[[#This Row],[BookieInnsats]])*(1-LayTable[[#This Row],[C% Bookie]])</f>
        <v>0</v>
      </c>
      <c r="AA1404" s="43">
        <f>LayTable[[#This Row],[LayInnsats]]*(1-LayTable[[#This Row],[C% Lay]])</f>
        <v>0</v>
      </c>
      <c r="AB1404" s="43" t="str">
        <f>IFERROR(IF(LayTable[[#This Row],[Sport]]="",AB1403,LayTable[[#This Row],[Faktisk res]]+AB1403),"")</f>
        <v/>
      </c>
      <c r="AC1404" s="43">
        <f>(LayTable[[#This Row],[BackWin-Commission]]+LayTable[[#This Row],[BookieInnsats]])</f>
        <v>0</v>
      </c>
      <c r="AD1404" s="43" t="e">
        <f>(LayTable[[#This Row],[LayWin-Commission]])+LayTable[[#This Row],[LayLiability]]</f>
        <v>#VALUE!</v>
      </c>
      <c r="AE1404" s="43"/>
      <c r="AF1404" s="181"/>
    </row>
    <row r="1405" spans="1:32">
      <c r="A1405" s="84"/>
      <c r="B1405" s="39"/>
      <c r="C1405" s="40"/>
      <c r="D1405" s="41"/>
      <c r="E1405" s="40"/>
      <c r="F1405" s="41"/>
      <c r="G1405" s="101"/>
      <c r="H1405" s="38"/>
      <c r="I1405" s="42"/>
      <c r="J1405" s="42"/>
      <c r="K1405" s="43"/>
      <c r="L1405" s="43"/>
      <c r="M1405" s="44" t="str">
        <f>IF(LayTable[[#This Row],[Sport]]="","",LayTable[[#This Row],[LayInnsats]]*(LayTable[[#This Row],[LayOdds]]-1))</f>
        <v/>
      </c>
      <c r="N1405" s="45" t="str">
        <f>IF(LayTable[[#This Row],[Sport]]="","",1/((1/LayTable[[#This Row],[BookieOdds]])+(1/((1/((1+((LayTable[[#This Row],[LayOdds]]-1)*(1+LayTable[[#This Row],[C% Lay]])))-1))+1)))-1)</f>
        <v/>
      </c>
      <c r="Q1405" s="46" t="str">
        <f>IF(LayTable[[#This Row],[Sport]]="","",LayTable[[#This Row],[BookieInnsats]]+LayTable[[#This Row],[LayLiability]])</f>
        <v/>
      </c>
      <c r="R14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5" s="47" t="str">
        <f>IF(LayTable[[#This Row],[Utfall bookie]]="","",LayTable[[#This Row],[WBABack]]+LayTable[[#This Row],[WBALay]]-LayTable[[#This Row],[Total inns]])</f>
        <v/>
      </c>
      <c r="U14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5" s="48" t="str">
        <f>IFERROR(IF(LayTable[[#This Row],[Total inns]]="","",LayTable[[#This Row],[Rback]]/LayTable[[#This Row],[Total inns]]),"")</f>
        <v/>
      </c>
      <c r="X1405" s="48" t="str">
        <f>IFERROR(IF(LayTable[[#This Row],[Total inns]]="","",LayTable[[#This Row],[Rlay]]/LayTable[[#This Row],[Total inns]]),"")</f>
        <v/>
      </c>
      <c r="Y1405" s="48" t="str">
        <f>IFERROR(LayTable[[#This Row],[Faktisk res]]/LayTable[[#This Row],[Total inns]],"")</f>
        <v/>
      </c>
      <c r="Z1405" s="47">
        <f>(LayTable[[#This Row],[BookieInnsats]]*LayTable[[#This Row],[BookieOdds]]-LayTable[[#This Row],[BookieInnsats]])*(1-LayTable[[#This Row],[C% Bookie]])</f>
        <v>0</v>
      </c>
      <c r="AA1405" s="43">
        <f>LayTable[[#This Row],[LayInnsats]]*(1-LayTable[[#This Row],[C% Lay]])</f>
        <v>0</v>
      </c>
      <c r="AB1405" s="43" t="str">
        <f>IFERROR(IF(LayTable[[#This Row],[Sport]]="",AB1404,LayTable[[#This Row],[Faktisk res]]+AB1404),"")</f>
        <v/>
      </c>
      <c r="AC1405" s="43">
        <f>(LayTable[[#This Row],[BackWin-Commission]]+LayTable[[#This Row],[BookieInnsats]])</f>
        <v>0</v>
      </c>
      <c r="AD1405" s="43" t="e">
        <f>(LayTable[[#This Row],[LayWin-Commission]])+LayTable[[#This Row],[LayLiability]]</f>
        <v>#VALUE!</v>
      </c>
      <c r="AE1405" s="43"/>
      <c r="AF1405" s="181"/>
    </row>
    <row r="1406" spans="1:32">
      <c r="A1406" s="84"/>
      <c r="B1406" s="39"/>
      <c r="C1406" s="40"/>
      <c r="D1406" s="41"/>
      <c r="E1406" s="40"/>
      <c r="F1406" s="41"/>
      <c r="G1406" s="101"/>
      <c r="H1406" s="38"/>
      <c r="I1406" s="42"/>
      <c r="J1406" s="42"/>
      <c r="K1406" s="43"/>
      <c r="L1406" s="43"/>
      <c r="M1406" s="44" t="str">
        <f>IF(LayTable[[#This Row],[Sport]]="","",LayTable[[#This Row],[LayInnsats]]*(LayTable[[#This Row],[LayOdds]]-1))</f>
        <v/>
      </c>
      <c r="N1406" s="45" t="str">
        <f>IF(LayTable[[#This Row],[Sport]]="","",1/((1/LayTable[[#This Row],[BookieOdds]])+(1/((1/((1+((LayTable[[#This Row],[LayOdds]]-1)*(1+LayTable[[#This Row],[C% Lay]])))-1))+1)))-1)</f>
        <v/>
      </c>
      <c r="Q1406" s="46" t="str">
        <f>IF(LayTable[[#This Row],[Sport]]="","",LayTable[[#This Row],[BookieInnsats]]+LayTable[[#This Row],[LayLiability]])</f>
        <v/>
      </c>
      <c r="R14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6" s="47" t="str">
        <f>IF(LayTable[[#This Row],[Utfall bookie]]="","",LayTable[[#This Row],[WBABack]]+LayTable[[#This Row],[WBALay]]-LayTable[[#This Row],[Total inns]])</f>
        <v/>
      </c>
      <c r="U14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6" s="48" t="str">
        <f>IFERROR(IF(LayTable[[#This Row],[Total inns]]="","",LayTable[[#This Row],[Rback]]/LayTable[[#This Row],[Total inns]]),"")</f>
        <v/>
      </c>
      <c r="X1406" s="48" t="str">
        <f>IFERROR(IF(LayTable[[#This Row],[Total inns]]="","",LayTable[[#This Row],[Rlay]]/LayTable[[#This Row],[Total inns]]),"")</f>
        <v/>
      </c>
      <c r="Y1406" s="48" t="str">
        <f>IFERROR(LayTable[[#This Row],[Faktisk res]]/LayTable[[#This Row],[Total inns]],"")</f>
        <v/>
      </c>
      <c r="Z1406" s="47">
        <f>(LayTable[[#This Row],[BookieInnsats]]*LayTable[[#This Row],[BookieOdds]]-LayTable[[#This Row],[BookieInnsats]])*(1-LayTable[[#This Row],[C% Bookie]])</f>
        <v>0</v>
      </c>
      <c r="AA1406" s="43">
        <f>LayTable[[#This Row],[LayInnsats]]*(1-LayTable[[#This Row],[C% Lay]])</f>
        <v>0</v>
      </c>
      <c r="AB1406" s="43" t="str">
        <f>IFERROR(IF(LayTable[[#This Row],[Sport]]="",AB1405,LayTable[[#This Row],[Faktisk res]]+AB1405),"")</f>
        <v/>
      </c>
      <c r="AC1406" s="43">
        <f>(LayTable[[#This Row],[BackWin-Commission]]+LayTable[[#This Row],[BookieInnsats]])</f>
        <v>0</v>
      </c>
      <c r="AD1406" s="43" t="e">
        <f>(LayTable[[#This Row],[LayWin-Commission]])+LayTable[[#This Row],[LayLiability]]</f>
        <v>#VALUE!</v>
      </c>
      <c r="AE1406" s="43"/>
      <c r="AF1406" s="181"/>
    </row>
    <row r="1407" spans="1:32">
      <c r="A1407" s="84"/>
      <c r="B1407" s="39"/>
      <c r="C1407" s="40"/>
      <c r="D1407" s="41"/>
      <c r="E1407" s="40"/>
      <c r="F1407" s="41"/>
      <c r="G1407" s="101"/>
      <c r="H1407" s="38"/>
      <c r="I1407" s="42"/>
      <c r="J1407" s="42"/>
      <c r="K1407" s="43"/>
      <c r="L1407" s="43"/>
      <c r="M1407" s="44" t="str">
        <f>IF(LayTable[[#This Row],[Sport]]="","",LayTable[[#This Row],[LayInnsats]]*(LayTable[[#This Row],[LayOdds]]-1))</f>
        <v/>
      </c>
      <c r="N1407" s="45" t="str">
        <f>IF(LayTable[[#This Row],[Sport]]="","",1/((1/LayTable[[#This Row],[BookieOdds]])+(1/((1/((1+((LayTable[[#This Row],[LayOdds]]-1)*(1+LayTable[[#This Row],[C% Lay]])))-1))+1)))-1)</f>
        <v/>
      </c>
      <c r="Q1407" s="46" t="str">
        <f>IF(LayTable[[#This Row],[Sport]]="","",LayTable[[#This Row],[BookieInnsats]]+LayTable[[#This Row],[LayLiability]])</f>
        <v/>
      </c>
      <c r="R14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7" s="47" t="str">
        <f>IF(LayTable[[#This Row],[Utfall bookie]]="","",LayTable[[#This Row],[WBABack]]+LayTable[[#This Row],[WBALay]]-LayTable[[#This Row],[Total inns]])</f>
        <v/>
      </c>
      <c r="U14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7" s="48" t="str">
        <f>IFERROR(IF(LayTable[[#This Row],[Total inns]]="","",LayTable[[#This Row],[Rback]]/LayTable[[#This Row],[Total inns]]),"")</f>
        <v/>
      </c>
      <c r="X1407" s="48" t="str">
        <f>IFERROR(IF(LayTable[[#This Row],[Total inns]]="","",LayTable[[#This Row],[Rlay]]/LayTable[[#This Row],[Total inns]]),"")</f>
        <v/>
      </c>
      <c r="Y1407" s="48" t="str">
        <f>IFERROR(LayTable[[#This Row],[Faktisk res]]/LayTable[[#This Row],[Total inns]],"")</f>
        <v/>
      </c>
      <c r="Z1407" s="47">
        <f>(LayTable[[#This Row],[BookieInnsats]]*LayTable[[#This Row],[BookieOdds]]-LayTable[[#This Row],[BookieInnsats]])*(1-LayTable[[#This Row],[C% Bookie]])</f>
        <v>0</v>
      </c>
      <c r="AA1407" s="43">
        <f>LayTable[[#This Row],[LayInnsats]]*(1-LayTable[[#This Row],[C% Lay]])</f>
        <v>0</v>
      </c>
      <c r="AB1407" s="43" t="str">
        <f>IFERROR(IF(LayTable[[#This Row],[Sport]]="",AB1406,LayTable[[#This Row],[Faktisk res]]+AB1406),"")</f>
        <v/>
      </c>
      <c r="AC1407" s="43">
        <f>(LayTable[[#This Row],[BackWin-Commission]]+LayTable[[#This Row],[BookieInnsats]])</f>
        <v>0</v>
      </c>
      <c r="AD1407" s="43" t="e">
        <f>(LayTable[[#This Row],[LayWin-Commission]])+LayTable[[#This Row],[LayLiability]]</f>
        <v>#VALUE!</v>
      </c>
      <c r="AE1407" s="43"/>
      <c r="AF1407" s="181"/>
    </row>
    <row r="1408" spans="1:32">
      <c r="A1408" s="84"/>
      <c r="B1408" s="39"/>
      <c r="C1408" s="40"/>
      <c r="D1408" s="41"/>
      <c r="E1408" s="40"/>
      <c r="F1408" s="41"/>
      <c r="G1408" s="101"/>
      <c r="H1408" s="38"/>
      <c r="I1408" s="42"/>
      <c r="J1408" s="42"/>
      <c r="K1408" s="43"/>
      <c r="L1408" s="43"/>
      <c r="M1408" s="44" t="str">
        <f>IF(LayTable[[#This Row],[Sport]]="","",LayTable[[#This Row],[LayInnsats]]*(LayTable[[#This Row],[LayOdds]]-1))</f>
        <v/>
      </c>
      <c r="N1408" s="45" t="str">
        <f>IF(LayTable[[#This Row],[Sport]]="","",1/((1/LayTable[[#This Row],[BookieOdds]])+(1/((1/((1+((LayTable[[#This Row],[LayOdds]]-1)*(1+LayTable[[#This Row],[C% Lay]])))-1))+1)))-1)</f>
        <v/>
      </c>
      <c r="Q1408" s="46" t="str">
        <f>IF(LayTable[[#This Row],[Sport]]="","",LayTable[[#This Row],[BookieInnsats]]+LayTable[[#This Row],[LayLiability]])</f>
        <v/>
      </c>
      <c r="R14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8" s="47" t="str">
        <f>IF(LayTable[[#This Row],[Utfall bookie]]="","",LayTable[[#This Row],[WBABack]]+LayTable[[#This Row],[WBALay]]-LayTable[[#This Row],[Total inns]])</f>
        <v/>
      </c>
      <c r="U14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8" s="48" t="str">
        <f>IFERROR(IF(LayTable[[#This Row],[Total inns]]="","",LayTable[[#This Row],[Rback]]/LayTable[[#This Row],[Total inns]]),"")</f>
        <v/>
      </c>
      <c r="X1408" s="48" t="str">
        <f>IFERROR(IF(LayTable[[#This Row],[Total inns]]="","",LayTable[[#This Row],[Rlay]]/LayTable[[#This Row],[Total inns]]),"")</f>
        <v/>
      </c>
      <c r="Y1408" s="48" t="str">
        <f>IFERROR(LayTable[[#This Row],[Faktisk res]]/LayTable[[#This Row],[Total inns]],"")</f>
        <v/>
      </c>
      <c r="Z1408" s="47">
        <f>(LayTable[[#This Row],[BookieInnsats]]*LayTable[[#This Row],[BookieOdds]]-LayTable[[#This Row],[BookieInnsats]])*(1-LayTable[[#This Row],[C% Bookie]])</f>
        <v>0</v>
      </c>
      <c r="AA1408" s="43">
        <f>LayTable[[#This Row],[LayInnsats]]*(1-LayTable[[#This Row],[C% Lay]])</f>
        <v>0</v>
      </c>
      <c r="AB1408" s="43" t="str">
        <f>IFERROR(IF(LayTable[[#This Row],[Sport]]="",AB1407,LayTable[[#This Row],[Faktisk res]]+AB1407),"")</f>
        <v/>
      </c>
      <c r="AC1408" s="43">
        <f>(LayTable[[#This Row],[BackWin-Commission]]+LayTable[[#This Row],[BookieInnsats]])</f>
        <v>0</v>
      </c>
      <c r="AD1408" s="43" t="e">
        <f>(LayTable[[#This Row],[LayWin-Commission]])+LayTable[[#This Row],[LayLiability]]</f>
        <v>#VALUE!</v>
      </c>
      <c r="AE1408" s="43"/>
      <c r="AF1408" s="181"/>
    </row>
    <row r="1409" spans="1:32">
      <c r="A1409" s="84"/>
      <c r="B1409" s="39"/>
      <c r="C1409" s="40"/>
      <c r="D1409" s="41"/>
      <c r="E1409" s="40"/>
      <c r="F1409" s="41"/>
      <c r="G1409" s="101"/>
      <c r="H1409" s="38"/>
      <c r="I1409" s="42"/>
      <c r="J1409" s="42"/>
      <c r="K1409" s="43"/>
      <c r="L1409" s="43"/>
      <c r="M1409" s="44" t="str">
        <f>IF(LayTable[[#This Row],[Sport]]="","",LayTable[[#This Row],[LayInnsats]]*(LayTable[[#This Row],[LayOdds]]-1))</f>
        <v/>
      </c>
      <c r="N1409" s="45" t="str">
        <f>IF(LayTable[[#This Row],[Sport]]="","",1/((1/LayTable[[#This Row],[BookieOdds]])+(1/((1/((1+((LayTable[[#This Row],[LayOdds]]-1)*(1+LayTable[[#This Row],[C% Lay]])))-1))+1)))-1)</f>
        <v/>
      </c>
      <c r="Q1409" s="46" t="str">
        <f>IF(LayTable[[#This Row],[Sport]]="","",LayTable[[#This Row],[BookieInnsats]]+LayTable[[#This Row],[LayLiability]])</f>
        <v/>
      </c>
      <c r="R14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09" s="47" t="str">
        <f>IF(LayTable[[#This Row],[Utfall bookie]]="","",LayTable[[#This Row],[WBABack]]+LayTable[[#This Row],[WBALay]]-LayTable[[#This Row],[Total inns]])</f>
        <v/>
      </c>
      <c r="U14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09" s="48" t="str">
        <f>IFERROR(IF(LayTable[[#This Row],[Total inns]]="","",LayTable[[#This Row],[Rback]]/LayTable[[#This Row],[Total inns]]),"")</f>
        <v/>
      </c>
      <c r="X1409" s="48" t="str">
        <f>IFERROR(IF(LayTable[[#This Row],[Total inns]]="","",LayTable[[#This Row],[Rlay]]/LayTable[[#This Row],[Total inns]]),"")</f>
        <v/>
      </c>
      <c r="Y1409" s="48" t="str">
        <f>IFERROR(LayTable[[#This Row],[Faktisk res]]/LayTable[[#This Row],[Total inns]],"")</f>
        <v/>
      </c>
      <c r="Z1409" s="47">
        <f>(LayTable[[#This Row],[BookieInnsats]]*LayTable[[#This Row],[BookieOdds]]-LayTable[[#This Row],[BookieInnsats]])*(1-LayTable[[#This Row],[C% Bookie]])</f>
        <v>0</v>
      </c>
      <c r="AA1409" s="43">
        <f>LayTable[[#This Row],[LayInnsats]]*(1-LayTable[[#This Row],[C% Lay]])</f>
        <v>0</v>
      </c>
      <c r="AB1409" s="43" t="str">
        <f>IFERROR(IF(LayTable[[#This Row],[Sport]]="",AB1408,LayTable[[#This Row],[Faktisk res]]+AB1408),"")</f>
        <v/>
      </c>
      <c r="AC1409" s="43">
        <f>(LayTable[[#This Row],[BackWin-Commission]]+LayTable[[#This Row],[BookieInnsats]])</f>
        <v>0</v>
      </c>
      <c r="AD1409" s="43" t="e">
        <f>(LayTable[[#This Row],[LayWin-Commission]])+LayTable[[#This Row],[LayLiability]]</f>
        <v>#VALUE!</v>
      </c>
      <c r="AE1409" s="43"/>
      <c r="AF1409" s="181"/>
    </row>
    <row r="1410" spans="1:32">
      <c r="A1410" s="84"/>
      <c r="B1410" s="39"/>
      <c r="C1410" s="40"/>
      <c r="D1410" s="41"/>
      <c r="E1410" s="40"/>
      <c r="F1410" s="41"/>
      <c r="G1410" s="101"/>
      <c r="H1410" s="38"/>
      <c r="I1410" s="42"/>
      <c r="J1410" s="42"/>
      <c r="K1410" s="43"/>
      <c r="L1410" s="43"/>
      <c r="M1410" s="44" t="str">
        <f>IF(LayTable[[#This Row],[Sport]]="","",LayTable[[#This Row],[LayInnsats]]*(LayTable[[#This Row],[LayOdds]]-1))</f>
        <v/>
      </c>
      <c r="N1410" s="45" t="str">
        <f>IF(LayTable[[#This Row],[Sport]]="","",1/((1/LayTable[[#This Row],[BookieOdds]])+(1/((1/((1+((LayTable[[#This Row],[LayOdds]]-1)*(1+LayTable[[#This Row],[C% Lay]])))-1))+1)))-1)</f>
        <v/>
      </c>
      <c r="Q1410" s="46" t="str">
        <f>IF(LayTable[[#This Row],[Sport]]="","",LayTable[[#This Row],[BookieInnsats]]+LayTable[[#This Row],[LayLiability]])</f>
        <v/>
      </c>
      <c r="R14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0" s="47" t="str">
        <f>IF(LayTable[[#This Row],[Utfall bookie]]="","",LayTable[[#This Row],[WBABack]]+LayTable[[#This Row],[WBALay]]-LayTable[[#This Row],[Total inns]])</f>
        <v/>
      </c>
      <c r="U14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0" s="48" t="str">
        <f>IFERROR(IF(LayTable[[#This Row],[Total inns]]="","",LayTable[[#This Row],[Rback]]/LayTable[[#This Row],[Total inns]]),"")</f>
        <v/>
      </c>
      <c r="X1410" s="48" t="str">
        <f>IFERROR(IF(LayTable[[#This Row],[Total inns]]="","",LayTable[[#This Row],[Rlay]]/LayTable[[#This Row],[Total inns]]),"")</f>
        <v/>
      </c>
      <c r="Y1410" s="48" t="str">
        <f>IFERROR(LayTable[[#This Row],[Faktisk res]]/LayTable[[#This Row],[Total inns]],"")</f>
        <v/>
      </c>
      <c r="Z1410" s="47">
        <f>(LayTable[[#This Row],[BookieInnsats]]*LayTable[[#This Row],[BookieOdds]]-LayTable[[#This Row],[BookieInnsats]])*(1-LayTable[[#This Row],[C% Bookie]])</f>
        <v>0</v>
      </c>
      <c r="AA1410" s="43">
        <f>LayTable[[#This Row],[LayInnsats]]*(1-LayTable[[#This Row],[C% Lay]])</f>
        <v>0</v>
      </c>
      <c r="AB1410" s="43" t="str">
        <f>IFERROR(IF(LayTable[[#This Row],[Sport]]="",AB1409,LayTable[[#This Row],[Faktisk res]]+AB1409),"")</f>
        <v/>
      </c>
      <c r="AC1410" s="43">
        <f>(LayTable[[#This Row],[BackWin-Commission]]+LayTable[[#This Row],[BookieInnsats]])</f>
        <v>0</v>
      </c>
      <c r="AD1410" s="43" t="e">
        <f>(LayTable[[#This Row],[LayWin-Commission]])+LayTable[[#This Row],[LayLiability]]</f>
        <v>#VALUE!</v>
      </c>
      <c r="AE1410" s="43"/>
      <c r="AF1410" s="181"/>
    </row>
    <row r="1411" spans="1:32">
      <c r="A1411" s="84"/>
      <c r="B1411" s="39"/>
      <c r="C1411" s="40"/>
      <c r="D1411" s="41"/>
      <c r="E1411" s="40"/>
      <c r="F1411" s="41"/>
      <c r="G1411" s="101"/>
      <c r="H1411" s="38"/>
      <c r="I1411" s="42"/>
      <c r="J1411" s="42"/>
      <c r="K1411" s="43"/>
      <c r="L1411" s="43"/>
      <c r="M1411" s="44" t="str">
        <f>IF(LayTable[[#This Row],[Sport]]="","",LayTable[[#This Row],[LayInnsats]]*(LayTable[[#This Row],[LayOdds]]-1))</f>
        <v/>
      </c>
      <c r="N1411" s="45" t="str">
        <f>IF(LayTable[[#This Row],[Sport]]="","",1/((1/LayTable[[#This Row],[BookieOdds]])+(1/((1/((1+((LayTable[[#This Row],[LayOdds]]-1)*(1+LayTable[[#This Row],[C% Lay]])))-1))+1)))-1)</f>
        <v/>
      </c>
      <c r="Q1411" s="46" t="str">
        <f>IF(LayTable[[#This Row],[Sport]]="","",LayTable[[#This Row],[BookieInnsats]]+LayTable[[#This Row],[LayLiability]])</f>
        <v/>
      </c>
      <c r="R14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1" s="47" t="str">
        <f>IF(LayTable[[#This Row],[Utfall bookie]]="","",LayTable[[#This Row],[WBABack]]+LayTable[[#This Row],[WBALay]]-LayTable[[#This Row],[Total inns]])</f>
        <v/>
      </c>
      <c r="U14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1" s="48" t="str">
        <f>IFERROR(IF(LayTable[[#This Row],[Total inns]]="","",LayTable[[#This Row],[Rback]]/LayTable[[#This Row],[Total inns]]),"")</f>
        <v/>
      </c>
      <c r="X1411" s="48" t="str">
        <f>IFERROR(IF(LayTable[[#This Row],[Total inns]]="","",LayTable[[#This Row],[Rlay]]/LayTable[[#This Row],[Total inns]]),"")</f>
        <v/>
      </c>
      <c r="Y1411" s="48" t="str">
        <f>IFERROR(LayTable[[#This Row],[Faktisk res]]/LayTable[[#This Row],[Total inns]],"")</f>
        <v/>
      </c>
      <c r="Z1411" s="47">
        <f>(LayTable[[#This Row],[BookieInnsats]]*LayTable[[#This Row],[BookieOdds]]-LayTable[[#This Row],[BookieInnsats]])*(1-LayTable[[#This Row],[C% Bookie]])</f>
        <v>0</v>
      </c>
      <c r="AA1411" s="43">
        <f>LayTable[[#This Row],[LayInnsats]]*(1-LayTable[[#This Row],[C% Lay]])</f>
        <v>0</v>
      </c>
      <c r="AB1411" s="43" t="str">
        <f>IFERROR(IF(LayTable[[#This Row],[Sport]]="",AB1410,LayTable[[#This Row],[Faktisk res]]+AB1410),"")</f>
        <v/>
      </c>
      <c r="AC1411" s="43">
        <f>(LayTable[[#This Row],[BackWin-Commission]]+LayTable[[#This Row],[BookieInnsats]])</f>
        <v>0</v>
      </c>
      <c r="AD1411" s="43" t="e">
        <f>(LayTable[[#This Row],[LayWin-Commission]])+LayTable[[#This Row],[LayLiability]]</f>
        <v>#VALUE!</v>
      </c>
      <c r="AE1411" s="43"/>
      <c r="AF1411" s="181"/>
    </row>
    <row r="1412" spans="1:32">
      <c r="A1412" s="84"/>
      <c r="B1412" s="39"/>
      <c r="C1412" s="40"/>
      <c r="D1412" s="41"/>
      <c r="E1412" s="40"/>
      <c r="F1412" s="41"/>
      <c r="G1412" s="101"/>
      <c r="H1412" s="38"/>
      <c r="I1412" s="42"/>
      <c r="J1412" s="42"/>
      <c r="K1412" s="43"/>
      <c r="L1412" s="43"/>
      <c r="M1412" s="44" t="str">
        <f>IF(LayTable[[#This Row],[Sport]]="","",LayTable[[#This Row],[LayInnsats]]*(LayTable[[#This Row],[LayOdds]]-1))</f>
        <v/>
      </c>
      <c r="N1412" s="45" t="str">
        <f>IF(LayTable[[#This Row],[Sport]]="","",1/((1/LayTable[[#This Row],[BookieOdds]])+(1/((1/((1+((LayTable[[#This Row],[LayOdds]]-1)*(1+LayTable[[#This Row],[C% Lay]])))-1))+1)))-1)</f>
        <v/>
      </c>
      <c r="Q1412" s="46" t="str">
        <f>IF(LayTable[[#This Row],[Sport]]="","",LayTable[[#This Row],[BookieInnsats]]+LayTable[[#This Row],[LayLiability]])</f>
        <v/>
      </c>
      <c r="R14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2" s="47" t="str">
        <f>IF(LayTable[[#This Row],[Utfall bookie]]="","",LayTable[[#This Row],[WBABack]]+LayTable[[#This Row],[WBALay]]-LayTable[[#This Row],[Total inns]])</f>
        <v/>
      </c>
      <c r="U14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2" s="48" t="str">
        <f>IFERROR(IF(LayTable[[#This Row],[Total inns]]="","",LayTable[[#This Row],[Rback]]/LayTable[[#This Row],[Total inns]]),"")</f>
        <v/>
      </c>
      <c r="X1412" s="48" t="str">
        <f>IFERROR(IF(LayTable[[#This Row],[Total inns]]="","",LayTable[[#This Row],[Rlay]]/LayTable[[#This Row],[Total inns]]),"")</f>
        <v/>
      </c>
      <c r="Y1412" s="48" t="str">
        <f>IFERROR(LayTable[[#This Row],[Faktisk res]]/LayTable[[#This Row],[Total inns]],"")</f>
        <v/>
      </c>
      <c r="Z1412" s="47">
        <f>(LayTable[[#This Row],[BookieInnsats]]*LayTable[[#This Row],[BookieOdds]]-LayTable[[#This Row],[BookieInnsats]])*(1-LayTable[[#This Row],[C% Bookie]])</f>
        <v>0</v>
      </c>
      <c r="AA1412" s="43">
        <f>LayTable[[#This Row],[LayInnsats]]*(1-LayTable[[#This Row],[C% Lay]])</f>
        <v>0</v>
      </c>
      <c r="AB1412" s="43" t="str">
        <f>IFERROR(IF(LayTable[[#This Row],[Sport]]="",AB1411,LayTable[[#This Row],[Faktisk res]]+AB1411),"")</f>
        <v/>
      </c>
      <c r="AC1412" s="43">
        <f>(LayTable[[#This Row],[BackWin-Commission]]+LayTable[[#This Row],[BookieInnsats]])</f>
        <v>0</v>
      </c>
      <c r="AD1412" s="43" t="e">
        <f>(LayTable[[#This Row],[LayWin-Commission]])+LayTable[[#This Row],[LayLiability]]</f>
        <v>#VALUE!</v>
      </c>
      <c r="AE1412" s="43"/>
      <c r="AF1412" s="181"/>
    </row>
    <row r="1413" spans="1:32">
      <c r="A1413" s="84"/>
      <c r="B1413" s="39"/>
      <c r="C1413" s="40"/>
      <c r="D1413" s="41"/>
      <c r="E1413" s="40"/>
      <c r="F1413" s="41"/>
      <c r="G1413" s="101"/>
      <c r="H1413" s="38"/>
      <c r="I1413" s="42"/>
      <c r="J1413" s="42"/>
      <c r="K1413" s="43"/>
      <c r="L1413" s="43"/>
      <c r="M1413" s="44" t="str">
        <f>IF(LayTable[[#This Row],[Sport]]="","",LayTable[[#This Row],[LayInnsats]]*(LayTable[[#This Row],[LayOdds]]-1))</f>
        <v/>
      </c>
      <c r="N1413" s="45" t="str">
        <f>IF(LayTable[[#This Row],[Sport]]="","",1/((1/LayTable[[#This Row],[BookieOdds]])+(1/((1/((1+((LayTable[[#This Row],[LayOdds]]-1)*(1+LayTable[[#This Row],[C% Lay]])))-1))+1)))-1)</f>
        <v/>
      </c>
      <c r="Q1413" s="46" t="str">
        <f>IF(LayTable[[#This Row],[Sport]]="","",LayTable[[#This Row],[BookieInnsats]]+LayTable[[#This Row],[LayLiability]])</f>
        <v/>
      </c>
      <c r="R14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3" s="47" t="str">
        <f>IF(LayTable[[#This Row],[Utfall bookie]]="","",LayTable[[#This Row],[WBABack]]+LayTable[[#This Row],[WBALay]]-LayTable[[#This Row],[Total inns]])</f>
        <v/>
      </c>
      <c r="U14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3" s="48" t="str">
        <f>IFERROR(IF(LayTable[[#This Row],[Total inns]]="","",LayTable[[#This Row],[Rback]]/LayTable[[#This Row],[Total inns]]),"")</f>
        <v/>
      </c>
      <c r="X1413" s="48" t="str">
        <f>IFERROR(IF(LayTable[[#This Row],[Total inns]]="","",LayTable[[#This Row],[Rlay]]/LayTable[[#This Row],[Total inns]]),"")</f>
        <v/>
      </c>
      <c r="Y1413" s="48" t="str">
        <f>IFERROR(LayTable[[#This Row],[Faktisk res]]/LayTable[[#This Row],[Total inns]],"")</f>
        <v/>
      </c>
      <c r="Z1413" s="47">
        <f>(LayTable[[#This Row],[BookieInnsats]]*LayTable[[#This Row],[BookieOdds]]-LayTable[[#This Row],[BookieInnsats]])*(1-LayTable[[#This Row],[C% Bookie]])</f>
        <v>0</v>
      </c>
      <c r="AA1413" s="43">
        <f>LayTable[[#This Row],[LayInnsats]]*(1-LayTable[[#This Row],[C% Lay]])</f>
        <v>0</v>
      </c>
      <c r="AB1413" s="43" t="str">
        <f>IFERROR(IF(LayTable[[#This Row],[Sport]]="",AB1412,LayTable[[#This Row],[Faktisk res]]+AB1412),"")</f>
        <v/>
      </c>
      <c r="AC1413" s="43">
        <f>(LayTable[[#This Row],[BackWin-Commission]]+LayTable[[#This Row],[BookieInnsats]])</f>
        <v>0</v>
      </c>
      <c r="AD1413" s="43" t="e">
        <f>(LayTable[[#This Row],[LayWin-Commission]])+LayTable[[#This Row],[LayLiability]]</f>
        <v>#VALUE!</v>
      </c>
      <c r="AE1413" s="43"/>
      <c r="AF1413" s="181"/>
    </row>
    <row r="1414" spans="1:32">
      <c r="A1414" s="84"/>
      <c r="B1414" s="39"/>
      <c r="C1414" s="40"/>
      <c r="D1414" s="41"/>
      <c r="E1414" s="40"/>
      <c r="F1414" s="41"/>
      <c r="G1414" s="101"/>
      <c r="H1414" s="38"/>
      <c r="I1414" s="42"/>
      <c r="J1414" s="42"/>
      <c r="K1414" s="43"/>
      <c r="L1414" s="43"/>
      <c r="M1414" s="44" t="str">
        <f>IF(LayTable[[#This Row],[Sport]]="","",LayTable[[#This Row],[LayInnsats]]*(LayTable[[#This Row],[LayOdds]]-1))</f>
        <v/>
      </c>
      <c r="N1414" s="45" t="str">
        <f>IF(LayTable[[#This Row],[Sport]]="","",1/((1/LayTable[[#This Row],[BookieOdds]])+(1/((1/((1+((LayTable[[#This Row],[LayOdds]]-1)*(1+LayTable[[#This Row],[C% Lay]])))-1))+1)))-1)</f>
        <v/>
      </c>
      <c r="Q1414" s="46" t="str">
        <f>IF(LayTable[[#This Row],[Sport]]="","",LayTable[[#This Row],[BookieInnsats]]+LayTable[[#This Row],[LayLiability]])</f>
        <v/>
      </c>
      <c r="R14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4" s="47" t="str">
        <f>IF(LayTable[[#This Row],[Utfall bookie]]="","",LayTable[[#This Row],[WBABack]]+LayTable[[#This Row],[WBALay]]-LayTable[[#This Row],[Total inns]])</f>
        <v/>
      </c>
      <c r="U14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4" s="48" t="str">
        <f>IFERROR(IF(LayTable[[#This Row],[Total inns]]="","",LayTable[[#This Row],[Rback]]/LayTable[[#This Row],[Total inns]]),"")</f>
        <v/>
      </c>
      <c r="X1414" s="48" t="str">
        <f>IFERROR(IF(LayTable[[#This Row],[Total inns]]="","",LayTable[[#This Row],[Rlay]]/LayTable[[#This Row],[Total inns]]),"")</f>
        <v/>
      </c>
      <c r="Y1414" s="48" t="str">
        <f>IFERROR(LayTable[[#This Row],[Faktisk res]]/LayTable[[#This Row],[Total inns]],"")</f>
        <v/>
      </c>
      <c r="Z1414" s="47">
        <f>(LayTable[[#This Row],[BookieInnsats]]*LayTable[[#This Row],[BookieOdds]]-LayTable[[#This Row],[BookieInnsats]])*(1-LayTable[[#This Row],[C% Bookie]])</f>
        <v>0</v>
      </c>
      <c r="AA1414" s="43">
        <f>LayTable[[#This Row],[LayInnsats]]*(1-LayTable[[#This Row],[C% Lay]])</f>
        <v>0</v>
      </c>
      <c r="AB1414" s="43" t="str">
        <f>IFERROR(IF(LayTable[[#This Row],[Sport]]="",AB1413,LayTable[[#This Row],[Faktisk res]]+AB1413),"")</f>
        <v/>
      </c>
      <c r="AC1414" s="43">
        <f>(LayTable[[#This Row],[BackWin-Commission]]+LayTable[[#This Row],[BookieInnsats]])</f>
        <v>0</v>
      </c>
      <c r="AD1414" s="43" t="e">
        <f>(LayTable[[#This Row],[LayWin-Commission]])+LayTable[[#This Row],[LayLiability]]</f>
        <v>#VALUE!</v>
      </c>
      <c r="AE1414" s="43"/>
      <c r="AF1414" s="181"/>
    </row>
    <row r="1415" spans="1:32">
      <c r="A1415" s="84"/>
      <c r="B1415" s="39"/>
      <c r="C1415" s="40"/>
      <c r="D1415" s="41"/>
      <c r="E1415" s="40"/>
      <c r="F1415" s="41"/>
      <c r="G1415" s="101"/>
      <c r="H1415" s="38"/>
      <c r="I1415" s="42"/>
      <c r="J1415" s="42"/>
      <c r="K1415" s="43"/>
      <c r="L1415" s="43"/>
      <c r="M1415" s="44" t="str">
        <f>IF(LayTable[[#This Row],[Sport]]="","",LayTable[[#This Row],[LayInnsats]]*(LayTable[[#This Row],[LayOdds]]-1))</f>
        <v/>
      </c>
      <c r="N1415" s="45" t="str">
        <f>IF(LayTable[[#This Row],[Sport]]="","",1/((1/LayTable[[#This Row],[BookieOdds]])+(1/((1/((1+((LayTable[[#This Row],[LayOdds]]-1)*(1+LayTable[[#This Row],[C% Lay]])))-1))+1)))-1)</f>
        <v/>
      </c>
      <c r="Q1415" s="46" t="str">
        <f>IF(LayTable[[#This Row],[Sport]]="","",LayTable[[#This Row],[BookieInnsats]]+LayTable[[#This Row],[LayLiability]])</f>
        <v/>
      </c>
      <c r="R14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5" s="47" t="str">
        <f>IF(LayTable[[#This Row],[Utfall bookie]]="","",LayTable[[#This Row],[WBABack]]+LayTable[[#This Row],[WBALay]]-LayTable[[#This Row],[Total inns]])</f>
        <v/>
      </c>
      <c r="U14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5" s="48" t="str">
        <f>IFERROR(IF(LayTable[[#This Row],[Total inns]]="","",LayTable[[#This Row],[Rback]]/LayTable[[#This Row],[Total inns]]),"")</f>
        <v/>
      </c>
      <c r="X1415" s="48" t="str">
        <f>IFERROR(IF(LayTable[[#This Row],[Total inns]]="","",LayTable[[#This Row],[Rlay]]/LayTable[[#This Row],[Total inns]]),"")</f>
        <v/>
      </c>
      <c r="Y1415" s="48" t="str">
        <f>IFERROR(LayTable[[#This Row],[Faktisk res]]/LayTable[[#This Row],[Total inns]],"")</f>
        <v/>
      </c>
      <c r="Z1415" s="47">
        <f>(LayTable[[#This Row],[BookieInnsats]]*LayTable[[#This Row],[BookieOdds]]-LayTable[[#This Row],[BookieInnsats]])*(1-LayTable[[#This Row],[C% Bookie]])</f>
        <v>0</v>
      </c>
      <c r="AA1415" s="43">
        <f>LayTable[[#This Row],[LayInnsats]]*(1-LayTable[[#This Row],[C% Lay]])</f>
        <v>0</v>
      </c>
      <c r="AB1415" s="43" t="str">
        <f>IFERROR(IF(LayTable[[#This Row],[Sport]]="",AB1414,LayTable[[#This Row],[Faktisk res]]+AB1414),"")</f>
        <v/>
      </c>
      <c r="AC1415" s="43">
        <f>(LayTable[[#This Row],[BackWin-Commission]]+LayTable[[#This Row],[BookieInnsats]])</f>
        <v>0</v>
      </c>
      <c r="AD1415" s="43" t="e">
        <f>(LayTable[[#This Row],[LayWin-Commission]])+LayTable[[#This Row],[LayLiability]]</f>
        <v>#VALUE!</v>
      </c>
      <c r="AE1415" s="43"/>
      <c r="AF1415" s="181"/>
    </row>
    <row r="1416" spans="1:32">
      <c r="A1416" s="84"/>
      <c r="B1416" s="39"/>
      <c r="C1416" s="40"/>
      <c r="D1416" s="41"/>
      <c r="E1416" s="40"/>
      <c r="F1416" s="41"/>
      <c r="G1416" s="101"/>
      <c r="H1416" s="38"/>
      <c r="I1416" s="42"/>
      <c r="J1416" s="42"/>
      <c r="K1416" s="43"/>
      <c r="L1416" s="43"/>
      <c r="M1416" s="44" t="str">
        <f>IF(LayTable[[#This Row],[Sport]]="","",LayTable[[#This Row],[LayInnsats]]*(LayTable[[#This Row],[LayOdds]]-1))</f>
        <v/>
      </c>
      <c r="N1416" s="45" t="str">
        <f>IF(LayTable[[#This Row],[Sport]]="","",1/((1/LayTable[[#This Row],[BookieOdds]])+(1/((1/((1+((LayTable[[#This Row],[LayOdds]]-1)*(1+LayTable[[#This Row],[C% Lay]])))-1))+1)))-1)</f>
        <v/>
      </c>
      <c r="Q1416" s="46" t="str">
        <f>IF(LayTable[[#This Row],[Sport]]="","",LayTable[[#This Row],[BookieInnsats]]+LayTable[[#This Row],[LayLiability]])</f>
        <v/>
      </c>
      <c r="R14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6" s="47" t="str">
        <f>IF(LayTable[[#This Row],[Utfall bookie]]="","",LayTable[[#This Row],[WBABack]]+LayTable[[#This Row],[WBALay]]-LayTable[[#This Row],[Total inns]])</f>
        <v/>
      </c>
      <c r="U14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6" s="48" t="str">
        <f>IFERROR(IF(LayTable[[#This Row],[Total inns]]="","",LayTable[[#This Row],[Rback]]/LayTable[[#This Row],[Total inns]]),"")</f>
        <v/>
      </c>
      <c r="X1416" s="48" t="str">
        <f>IFERROR(IF(LayTable[[#This Row],[Total inns]]="","",LayTable[[#This Row],[Rlay]]/LayTable[[#This Row],[Total inns]]),"")</f>
        <v/>
      </c>
      <c r="Y1416" s="48" t="str">
        <f>IFERROR(LayTable[[#This Row],[Faktisk res]]/LayTable[[#This Row],[Total inns]],"")</f>
        <v/>
      </c>
      <c r="Z1416" s="47">
        <f>(LayTable[[#This Row],[BookieInnsats]]*LayTable[[#This Row],[BookieOdds]]-LayTable[[#This Row],[BookieInnsats]])*(1-LayTable[[#This Row],[C% Bookie]])</f>
        <v>0</v>
      </c>
      <c r="AA1416" s="43">
        <f>LayTable[[#This Row],[LayInnsats]]*(1-LayTable[[#This Row],[C% Lay]])</f>
        <v>0</v>
      </c>
      <c r="AB1416" s="43" t="str">
        <f>IFERROR(IF(LayTable[[#This Row],[Sport]]="",AB1415,LayTable[[#This Row],[Faktisk res]]+AB1415),"")</f>
        <v/>
      </c>
      <c r="AC1416" s="43">
        <f>(LayTable[[#This Row],[BackWin-Commission]]+LayTable[[#This Row],[BookieInnsats]])</f>
        <v>0</v>
      </c>
      <c r="AD1416" s="43" t="e">
        <f>(LayTable[[#This Row],[LayWin-Commission]])+LayTable[[#This Row],[LayLiability]]</f>
        <v>#VALUE!</v>
      </c>
      <c r="AE1416" s="43"/>
      <c r="AF1416" s="181"/>
    </row>
    <row r="1417" spans="1:32">
      <c r="A1417" s="84"/>
      <c r="B1417" s="39"/>
      <c r="C1417" s="40"/>
      <c r="D1417" s="41"/>
      <c r="E1417" s="40"/>
      <c r="F1417" s="41"/>
      <c r="G1417" s="101"/>
      <c r="H1417" s="38"/>
      <c r="I1417" s="42"/>
      <c r="J1417" s="42"/>
      <c r="K1417" s="43"/>
      <c r="L1417" s="43"/>
      <c r="M1417" s="44" t="str">
        <f>IF(LayTable[[#This Row],[Sport]]="","",LayTable[[#This Row],[LayInnsats]]*(LayTable[[#This Row],[LayOdds]]-1))</f>
        <v/>
      </c>
      <c r="N1417" s="45" t="str">
        <f>IF(LayTable[[#This Row],[Sport]]="","",1/((1/LayTable[[#This Row],[BookieOdds]])+(1/((1/((1+((LayTable[[#This Row],[LayOdds]]-1)*(1+LayTable[[#This Row],[C% Lay]])))-1))+1)))-1)</f>
        <v/>
      </c>
      <c r="Q1417" s="46" t="str">
        <f>IF(LayTable[[#This Row],[Sport]]="","",LayTable[[#This Row],[BookieInnsats]]+LayTable[[#This Row],[LayLiability]])</f>
        <v/>
      </c>
      <c r="R14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7" s="47" t="str">
        <f>IF(LayTable[[#This Row],[Utfall bookie]]="","",LayTable[[#This Row],[WBABack]]+LayTable[[#This Row],[WBALay]]-LayTable[[#This Row],[Total inns]])</f>
        <v/>
      </c>
      <c r="U14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7" s="48" t="str">
        <f>IFERROR(IF(LayTable[[#This Row],[Total inns]]="","",LayTable[[#This Row],[Rback]]/LayTable[[#This Row],[Total inns]]),"")</f>
        <v/>
      </c>
      <c r="X1417" s="48" t="str">
        <f>IFERROR(IF(LayTable[[#This Row],[Total inns]]="","",LayTable[[#This Row],[Rlay]]/LayTable[[#This Row],[Total inns]]),"")</f>
        <v/>
      </c>
      <c r="Y1417" s="48" t="str">
        <f>IFERROR(LayTable[[#This Row],[Faktisk res]]/LayTable[[#This Row],[Total inns]],"")</f>
        <v/>
      </c>
      <c r="Z1417" s="47">
        <f>(LayTable[[#This Row],[BookieInnsats]]*LayTable[[#This Row],[BookieOdds]]-LayTable[[#This Row],[BookieInnsats]])*(1-LayTable[[#This Row],[C% Bookie]])</f>
        <v>0</v>
      </c>
      <c r="AA1417" s="43">
        <f>LayTable[[#This Row],[LayInnsats]]*(1-LayTable[[#This Row],[C% Lay]])</f>
        <v>0</v>
      </c>
      <c r="AB1417" s="43" t="str">
        <f>IFERROR(IF(LayTable[[#This Row],[Sport]]="",AB1416,LayTable[[#This Row],[Faktisk res]]+AB1416),"")</f>
        <v/>
      </c>
      <c r="AC1417" s="43">
        <f>(LayTable[[#This Row],[BackWin-Commission]]+LayTable[[#This Row],[BookieInnsats]])</f>
        <v>0</v>
      </c>
      <c r="AD1417" s="43" t="e">
        <f>(LayTable[[#This Row],[LayWin-Commission]])+LayTable[[#This Row],[LayLiability]]</f>
        <v>#VALUE!</v>
      </c>
      <c r="AE1417" s="43"/>
      <c r="AF1417" s="181"/>
    </row>
    <row r="1418" spans="1:32">
      <c r="A1418" s="84"/>
      <c r="B1418" s="39"/>
      <c r="C1418" s="40"/>
      <c r="D1418" s="41"/>
      <c r="E1418" s="40"/>
      <c r="F1418" s="41"/>
      <c r="G1418" s="101"/>
      <c r="H1418" s="38"/>
      <c r="I1418" s="42"/>
      <c r="J1418" s="42"/>
      <c r="K1418" s="43"/>
      <c r="L1418" s="43"/>
      <c r="M1418" s="44" t="str">
        <f>IF(LayTable[[#This Row],[Sport]]="","",LayTable[[#This Row],[LayInnsats]]*(LayTable[[#This Row],[LayOdds]]-1))</f>
        <v/>
      </c>
      <c r="N1418" s="45" t="str">
        <f>IF(LayTable[[#This Row],[Sport]]="","",1/((1/LayTable[[#This Row],[BookieOdds]])+(1/((1/((1+((LayTable[[#This Row],[LayOdds]]-1)*(1+LayTable[[#This Row],[C% Lay]])))-1))+1)))-1)</f>
        <v/>
      </c>
      <c r="Q1418" s="46" t="str">
        <f>IF(LayTable[[#This Row],[Sport]]="","",LayTable[[#This Row],[BookieInnsats]]+LayTable[[#This Row],[LayLiability]])</f>
        <v/>
      </c>
      <c r="R14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8" s="47" t="str">
        <f>IF(LayTable[[#This Row],[Utfall bookie]]="","",LayTable[[#This Row],[WBABack]]+LayTable[[#This Row],[WBALay]]-LayTable[[#This Row],[Total inns]])</f>
        <v/>
      </c>
      <c r="U14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8" s="48" t="str">
        <f>IFERROR(IF(LayTable[[#This Row],[Total inns]]="","",LayTable[[#This Row],[Rback]]/LayTable[[#This Row],[Total inns]]),"")</f>
        <v/>
      </c>
      <c r="X1418" s="48" t="str">
        <f>IFERROR(IF(LayTable[[#This Row],[Total inns]]="","",LayTable[[#This Row],[Rlay]]/LayTable[[#This Row],[Total inns]]),"")</f>
        <v/>
      </c>
      <c r="Y1418" s="48" t="str">
        <f>IFERROR(LayTable[[#This Row],[Faktisk res]]/LayTable[[#This Row],[Total inns]],"")</f>
        <v/>
      </c>
      <c r="Z1418" s="47">
        <f>(LayTable[[#This Row],[BookieInnsats]]*LayTable[[#This Row],[BookieOdds]]-LayTable[[#This Row],[BookieInnsats]])*(1-LayTable[[#This Row],[C% Bookie]])</f>
        <v>0</v>
      </c>
      <c r="AA1418" s="43">
        <f>LayTable[[#This Row],[LayInnsats]]*(1-LayTable[[#This Row],[C% Lay]])</f>
        <v>0</v>
      </c>
      <c r="AB1418" s="43" t="str">
        <f>IFERROR(IF(LayTable[[#This Row],[Sport]]="",AB1417,LayTable[[#This Row],[Faktisk res]]+AB1417),"")</f>
        <v/>
      </c>
      <c r="AC1418" s="43">
        <f>(LayTable[[#This Row],[BackWin-Commission]]+LayTable[[#This Row],[BookieInnsats]])</f>
        <v>0</v>
      </c>
      <c r="AD1418" s="43" t="e">
        <f>(LayTable[[#This Row],[LayWin-Commission]])+LayTable[[#This Row],[LayLiability]]</f>
        <v>#VALUE!</v>
      </c>
      <c r="AE1418" s="43"/>
      <c r="AF1418" s="181"/>
    </row>
    <row r="1419" spans="1:32">
      <c r="A1419" s="84"/>
      <c r="B1419" s="39"/>
      <c r="C1419" s="40"/>
      <c r="D1419" s="41"/>
      <c r="E1419" s="40"/>
      <c r="F1419" s="41"/>
      <c r="G1419" s="101"/>
      <c r="H1419" s="38"/>
      <c r="I1419" s="42"/>
      <c r="J1419" s="42"/>
      <c r="K1419" s="43"/>
      <c r="L1419" s="43"/>
      <c r="M1419" s="44" t="str">
        <f>IF(LayTable[[#This Row],[Sport]]="","",LayTable[[#This Row],[LayInnsats]]*(LayTable[[#This Row],[LayOdds]]-1))</f>
        <v/>
      </c>
      <c r="N1419" s="45" t="str">
        <f>IF(LayTable[[#This Row],[Sport]]="","",1/((1/LayTable[[#This Row],[BookieOdds]])+(1/((1/((1+((LayTable[[#This Row],[LayOdds]]-1)*(1+LayTable[[#This Row],[C% Lay]])))-1))+1)))-1)</f>
        <v/>
      </c>
      <c r="Q1419" s="46" t="str">
        <f>IF(LayTable[[#This Row],[Sport]]="","",LayTable[[#This Row],[BookieInnsats]]+LayTable[[#This Row],[LayLiability]])</f>
        <v/>
      </c>
      <c r="R14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19" s="47" t="str">
        <f>IF(LayTable[[#This Row],[Utfall bookie]]="","",LayTable[[#This Row],[WBABack]]+LayTable[[#This Row],[WBALay]]-LayTable[[#This Row],[Total inns]])</f>
        <v/>
      </c>
      <c r="U14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19" s="48" t="str">
        <f>IFERROR(IF(LayTable[[#This Row],[Total inns]]="","",LayTable[[#This Row],[Rback]]/LayTable[[#This Row],[Total inns]]),"")</f>
        <v/>
      </c>
      <c r="X1419" s="48" t="str">
        <f>IFERROR(IF(LayTable[[#This Row],[Total inns]]="","",LayTable[[#This Row],[Rlay]]/LayTable[[#This Row],[Total inns]]),"")</f>
        <v/>
      </c>
      <c r="Y1419" s="48" t="str">
        <f>IFERROR(LayTable[[#This Row],[Faktisk res]]/LayTable[[#This Row],[Total inns]],"")</f>
        <v/>
      </c>
      <c r="Z1419" s="47">
        <f>(LayTable[[#This Row],[BookieInnsats]]*LayTable[[#This Row],[BookieOdds]]-LayTable[[#This Row],[BookieInnsats]])*(1-LayTable[[#This Row],[C% Bookie]])</f>
        <v>0</v>
      </c>
      <c r="AA1419" s="43">
        <f>LayTable[[#This Row],[LayInnsats]]*(1-LayTable[[#This Row],[C% Lay]])</f>
        <v>0</v>
      </c>
      <c r="AB1419" s="43" t="str">
        <f>IFERROR(IF(LayTable[[#This Row],[Sport]]="",AB1418,LayTable[[#This Row],[Faktisk res]]+AB1418),"")</f>
        <v/>
      </c>
      <c r="AC1419" s="43">
        <f>(LayTable[[#This Row],[BackWin-Commission]]+LayTable[[#This Row],[BookieInnsats]])</f>
        <v>0</v>
      </c>
      <c r="AD1419" s="43" t="e">
        <f>(LayTable[[#This Row],[LayWin-Commission]])+LayTable[[#This Row],[LayLiability]]</f>
        <v>#VALUE!</v>
      </c>
      <c r="AE1419" s="43"/>
      <c r="AF1419" s="181"/>
    </row>
    <row r="1420" spans="1:32">
      <c r="A1420" s="84"/>
      <c r="B1420" s="39"/>
      <c r="C1420" s="40"/>
      <c r="D1420" s="41"/>
      <c r="E1420" s="40"/>
      <c r="F1420" s="41"/>
      <c r="G1420" s="101"/>
      <c r="H1420" s="38"/>
      <c r="I1420" s="42"/>
      <c r="J1420" s="42"/>
      <c r="K1420" s="43"/>
      <c r="L1420" s="43"/>
      <c r="M1420" s="44" t="str">
        <f>IF(LayTable[[#This Row],[Sport]]="","",LayTable[[#This Row],[LayInnsats]]*(LayTable[[#This Row],[LayOdds]]-1))</f>
        <v/>
      </c>
      <c r="N1420" s="45" t="str">
        <f>IF(LayTable[[#This Row],[Sport]]="","",1/((1/LayTable[[#This Row],[BookieOdds]])+(1/((1/((1+((LayTable[[#This Row],[LayOdds]]-1)*(1+LayTable[[#This Row],[C% Lay]])))-1))+1)))-1)</f>
        <v/>
      </c>
      <c r="Q1420" s="46" t="str">
        <f>IF(LayTable[[#This Row],[Sport]]="","",LayTable[[#This Row],[BookieInnsats]]+LayTable[[#This Row],[LayLiability]])</f>
        <v/>
      </c>
      <c r="R14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0" s="47" t="str">
        <f>IF(LayTable[[#This Row],[Utfall bookie]]="","",LayTable[[#This Row],[WBABack]]+LayTable[[#This Row],[WBALay]]-LayTable[[#This Row],[Total inns]])</f>
        <v/>
      </c>
      <c r="U14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0" s="48" t="str">
        <f>IFERROR(IF(LayTable[[#This Row],[Total inns]]="","",LayTable[[#This Row],[Rback]]/LayTable[[#This Row],[Total inns]]),"")</f>
        <v/>
      </c>
      <c r="X1420" s="48" t="str">
        <f>IFERROR(IF(LayTable[[#This Row],[Total inns]]="","",LayTable[[#This Row],[Rlay]]/LayTable[[#This Row],[Total inns]]),"")</f>
        <v/>
      </c>
      <c r="Y1420" s="48" t="str">
        <f>IFERROR(LayTable[[#This Row],[Faktisk res]]/LayTable[[#This Row],[Total inns]],"")</f>
        <v/>
      </c>
      <c r="Z1420" s="47">
        <f>(LayTable[[#This Row],[BookieInnsats]]*LayTable[[#This Row],[BookieOdds]]-LayTable[[#This Row],[BookieInnsats]])*(1-LayTable[[#This Row],[C% Bookie]])</f>
        <v>0</v>
      </c>
      <c r="AA1420" s="43">
        <f>LayTable[[#This Row],[LayInnsats]]*(1-LayTable[[#This Row],[C% Lay]])</f>
        <v>0</v>
      </c>
      <c r="AB1420" s="43" t="str">
        <f>IFERROR(IF(LayTable[[#This Row],[Sport]]="",AB1419,LayTable[[#This Row],[Faktisk res]]+AB1419),"")</f>
        <v/>
      </c>
      <c r="AC1420" s="43">
        <f>(LayTable[[#This Row],[BackWin-Commission]]+LayTable[[#This Row],[BookieInnsats]])</f>
        <v>0</v>
      </c>
      <c r="AD1420" s="43" t="e">
        <f>(LayTable[[#This Row],[LayWin-Commission]])+LayTable[[#This Row],[LayLiability]]</f>
        <v>#VALUE!</v>
      </c>
      <c r="AE1420" s="43"/>
      <c r="AF1420" s="181"/>
    </row>
    <row r="1421" spans="1:32">
      <c r="A1421" s="84"/>
      <c r="B1421" s="39"/>
      <c r="C1421" s="40"/>
      <c r="D1421" s="41"/>
      <c r="E1421" s="40"/>
      <c r="F1421" s="41"/>
      <c r="G1421" s="101"/>
      <c r="H1421" s="38"/>
      <c r="I1421" s="42"/>
      <c r="J1421" s="42"/>
      <c r="K1421" s="43"/>
      <c r="L1421" s="43"/>
      <c r="M1421" s="44" t="str">
        <f>IF(LayTable[[#This Row],[Sport]]="","",LayTable[[#This Row],[LayInnsats]]*(LayTable[[#This Row],[LayOdds]]-1))</f>
        <v/>
      </c>
      <c r="N1421" s="45" t="str">
        <f>IF(LayTable[[#This Row],[Sport]]="","",1/((1/LayTable[[#This Row],[BookieOdds]])+(1/((1/((1+((LayTable[[#This Row],[LayOdds]]-1)*(1+LayTable[[#This Row],[C% Lay]])))-1))+1)))-1)</f>
        <v/>
      </c>
      <c r="Q1421" s="46" t="str">
        <f>IF(LayTable[[#This Row],[Sport]]="","",LayTable[[#This Row],[BookieInnsats]]+LayTable[[#This Row],[LayLiability]])</f>
        <v/>
      </c>
      <c r="R14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1" s="47" t="str">
        <f>IF(LayTable[[#This Row],[Utfall bookie]]="","",LayTable[[#This Row],[WBABack]]+LayTable[[#This Row],[WBALay]]-LayTable[[#This Row],[Total inns]])</f>
        <v/>
      </c>
      <c r="U14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1" s="48" t="str">
        <f>IFERROR(IF(LayTable[[#This Row],[Total inns]]="","",LayTable[[#This Row],[Rback]]/LayTable[[#This Row],[Total inns]]),"")</f>
        <v/>
      </c>
      <c r="X1421" s="48" t="str">
        <f>IFERROR(IF(LayTable[[#This Row],[Total inns]]="","",LayTable[[#This Row],[Rlay]]/LayTable[[#This Row],[Total inns]]),"")</f>
        <v/>
      </c>
      <c r="Y1421" s="48" t="str">
        <f>IFERROR(LayTable[[#This Row],[Faktisk res]]/LayTable[[#This Row],[Total inns]],"")</f>
        <v/>
      </c>
      <c r="Z1421" s="47">
        <f>(LayTable[[#This Row],[BookieInnsats]]*LayTable[[#This Row],[BookieOdds]]-LayTable[[#This Row],[BookieInnsats]])*(1-LayTable[[#This Row],[C% Bookie]])</f>
        <v>0</v>
      </c>
      <c r="AA1421" s="43">
        <f>LayTable[[#This Row],[LayInnsats]]*(1-LayTable[[#This Row],[C% Lay]])</f>
        <v>0</v>
      </c>
      <c r="AB1421" s="43" t="str">
        <f>IFERROR(IF(LayTable[[#This Row],[Sport]]="",AB1420,LayTable[[#This Row],[Faktisk res]]+AB1420),"")</f>
        <v/>
      </c>
      <c r="AC1421" s="43">
        <f>(LayTable[[#This Row],[BackWin-Commission]]+LayTable[[#This Row],[BookieInnsats]])</f>
        <v>0</v>
      </c>
      <c r="AD1421" s="43" t="e">
        <f>(LayTable[[#This Row],[LayWin-Commission]])+LayTable[[#This Row],[LayLiability]]</f>
        <v>#VALUE!</v>
      </c>
      <c r="AE1421" s="43"/>
      <c r="AF1421" s="181"/>
    </row>
    <row r="1422" spans="1:32">
      <c r="A1422" s="84"/>
      <c r="B1422" s="39"/>
      <c r="C1422" s="40"/>
      <c r="D1422" s="41"/>
      <c r="E1422" s="40"/>
      <c r="F1422" s="41"/>
      <c r="G1422" s="101"/>
      <c r="H1422" s="38"/>
      <c r="I1422" s="42"/>
      <c r="J1422" s="42"/>
      <c r="K1422" s="43"/>
      <c r="L1422" s="43"/>
      <c r="M1422" s="44" t="str">
        <f>IF(LayTable[[#This Row],[Sport]]="","",LayTable[[#This Row],[LayInnsats]]*(LayTable[[#This Row],[LayOdds]]-1))</f>
        <v/>
      </c>
      <c r="N1422" s="45" t="str">
        <f>IF(LayTable[[#This Row],[Sport]]="","",1/((1/LayTable[[#This Row],[BookieOdds]])+(1/((1/((1+((LayTable[[#This Row],[LayOdds]]-1)*(1+LayTable[[#This Row],[C% Lay]])))-1))+1)))-1)</f>
        <v/>
      </c>
      <c r="Q1422" s="46" t="str">
        <f>IF(LayTable[[#This Row],[Sport]]="","",LayTable[[#This Row],[BookieInnsats]]+LayTable[[#This Row],[LayLiability]])</f>
        <v/>
      </c>
      <c r="R14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2" s="47" t="str">
        <f>IF(LayTable[[#This Row],[Utfall bookie]]="","",LayTable[[#This Row],[WBABack]]+LayTable[[#This Row],[WBALay]]-LayTable[[#This Row],[Total inns]])</f>
        <v/>
      </c>
      <c r="U14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2" s="48" t="str">
        <f>IFERROR(IF(LayTable[[#This Row],[Total inns]]="","",LayTable[[#This Row],[Rback]]/LayTable[[#This Row],[Total inns]]),"")</f>
        <v/>
      </c>
      <c r="X1422" s="48" t="str">
        <f>IFERROR(IF(LayTable[[#This Row],[Total inns]]="","",LayTable[[#This Row],[Rlay]]/LayTable[[#This Row],[Total inns]]),"")</f>
        <v/>
      </c>
      <c r="Y1422" s="48" t="str">
        <f>IFERROR(LayTable[[#This Row],[Faktisk res]]/LayTable[[#This Row],[Total inns]],"")</f>
        <v/>
      </c>
      <c r="Z1422" s="47">
        <f>(LayTable[[#This Row],[BookieInnsats]]*LayTable[[#This Row],[BookieOdds]]-LayTable[[#This Row],[BookieInnsats]])*(1-LayTable[[#This Row],[C% Bookie]])</f>
        <v>0</v>
      </c>
      <c r="AA1422" s="43">
        <f>LayTable[[#This Row],[LayInnsats]]*(1-LayTable[[#This Row],[C% Lay]])</f>
        <v>0</v>
      </c>
      <c r="AB1422" s="43" t="str">
        <f>IFERROR(IF(LayTable[[#This Row],[Sport]]="",AB1421,LayTable[[#This Row],[Faktisk res]]+AB1421),"")</f>
        <v/>
      </c>
      <c r="AC1422" s="43">
        <f>(LayTable[[#This Row],[BackWin-Commission]]+LayTable[[#This Row],[BookieInnsats]])</f>
        <v>0</v>
      </c>
      <c r="AD1422" s="43" t="e">
        <f>(LayTable[[#This Row],[LayWin-Commission]])+LayTable[[#This Row],[LayLiability]]</f>
        <v>#VALUE!</v>
      </c>
      <c r="AE1422" s="43"/>
      <c r="AF1422" s="181"/>
    </row>
    <row r="1423" spans="1:32">
      <c r="A1423" s="84"/>
      <c r="B1423" s="39"/>
      <c r="C1423" s="40"/>
      <c r="D1423" s="41"/>
      <c r="E1423" s="40"/>
      <c r="F1423" s="41"/>
      <c r="G1423" s="101"/>
      <c r="H1423" s="38"/>
      <c r="I1423" s="42"/>
      <c r="J1423" s="42"/>
      <c r="K1423" s="43"/>
      <c r="L1423" s="43"/>
      <c r="M1423" s="44" t="str">
        <f>IF(LayTable[[#This Row],[Sport]]="","",LayTable[[#This Row],[LayInnsats]]*(LayTable[[#This Row],[LayOdds]]-1))</f>
        <v/>
      </c>
      <c r="N1423" s="45" t="str">
        <f>IF(LayTable[[#This Row],[Sport]]="","",1/((1/LayTable[[#This Row],[BookieOdds]])+(1/((1/((1+((LayTable[[#This Row],[LayOdds]]-1)*(1+LayTable[[#This Row],[C% Lay]])))-1))+1)))-1)</f>
        <v/>
      </c>
      <c r="Q1423" s="46" t="str">
        <f>IF(LayTable[[#This Row],[Sport]]="","",LayTable[[#This Row],[BookieInnsats]]+LayTable[[#This Row],[LayLiability]])</f>
        <v/>
      </c>
      <c r="R14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3" s="47" t="str">
        <f>IF(LayTable[[#This Row],[Utfall bookie]]="","",LayTable[[#This Row],[WBABack]]+LayTable[[#This Row],[WBALay]]-LayTable[[#This Row],[Total inns]])</f>
        <v/>
      </c>
      <c r="U14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3" s="48" t="str">
        <f>IFERROR(IF(LayTable[[#This Row],[Total inns]]="","",LayTable[[#This Row],[Rback]]/LayTable[[#This Row],[Total inns]]),"")</f>
        <v/>
      </c>
      <c r="X1423" s="48" t="str">
        <f>IFERROR(IF(LayTable[[#This Row],[Total inns]]="","",LayTable[[#This Row],[Rlay]]/LayTable[[#This Row],[Total inns]]),"")</f>
        <v/>
      </c>
      <c r="Y1423" s="48" t="str">
        <f>IFERROR(LayTable[[#This Row],[Faktisk res]]/LayTable[[#This Row],[Total inns]],"")</f>
        <v/>
      </c>
      <c r="Z1423" s="47">
        <f>(LayTable[[#This Row],[BookieInnsats]]*LayTable[[#This Row],[BookieOdds]]-LayTable[[#This Row],[BookieInnsats]])*(1-LayTable[[#This Row],[C% Bookie]])</f>
        <v>0</v>
      </c>
      <c r="AA1423" s="43">
        <f>LayTable[[#This Row],[LayInnsats]]*(1-LayTable[[#This Row],[C% Lay]])</f>
        <v>0</v>
      </c>
      <c r="AB1423" s="43" t="str">
        <f>IFERROR(IF(LayTable[[#This Row],[Sport]]="",AB1422,LayTable[[#This Row],[Faktisk res]]+AB1422),"")</f>
        <v/>
      </c>
      <c r="AC1423" s="43">
        <f>(LayTable[[#This Row],[BackWin-Commission]]+LayTable[[#This Row],[BookieInnsats]])</f>
        <v>0</v>
      </c>
      <c r="AD1423" s="43" t="e">
        <f>(LayTable[[#This Row],[LayWin-Commission]])+LayTable[[#This Row],[LayLiability]]</f>
        <v>#VALUE!</v>
      </c>
      <c r="AE1423" s="43"/>
      <c r="AF1423" s="181"/>
    </row>
    <row r="1424" spans="1:32">
      <c r="A1424" s="84"/>
      <c r="B1424" s="39"/>
      <c r="C1424" s="40"/>
      <c r="D1424" s="41"/>
      <c r="E1424" s="40"/>
      <c r="F1424" s="41"/>
      <c r="G1424" s="101"/>
      <c r="H1424" s="38"/>
      <c r="I1424" s="42"/>
      <c r="J1424" s="42"/>
      <c r="K1424" s="43"/>
      <c r="L1424" s="43"/>
      <c r="M1424" s="44" t="str">
        <f>IF(LayTable[[#This Row],[Sport]]="","",LayTable[[#This Row],[LayInnsats]]*(LayTable[[#This Row],[LayOdds]]-1))</f>
        <v/>
      </c>
      <c r="N1424" s="45" t="str">
        <f>IF(LayTable[[#This Row],[Sport]]="","",1/((1/LayTable[[#This Row],[BookieOdds]])+(1/((1/((1+((LayTable[[#This Row],[LayOdds]]-1)*(1+LayTable[[#This Row],[C% Lay]])))-1))+1)))-1)</f>
        <v/>
      </c>
      <c r="Q1424" s="46" t="str">
        <f>IF(LayTable[[#This Row],[Sport]]="","",LayTable[[#This Row],[BookieInnsats]]+LayTable[[#This Row],[LayLiability]])</f>
        <v/>
      </c>
      <c r="R14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4" s="47" t="str">
        <f>IF(LayTable[[#This Row],[Utfall bookie]]="","",LayTable[[#This Row],[WBABack]]+LayTable[[#This Row],[WBALay]]-LayTable[[#This Row],[Total inns]])</f>
        <v/>
      </c>
      <c r="U14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4" s="48" t="str">
        <f>IFERROR(IF(LayTable[[#This Row],[Total inns]]="","",LayTable[[#This Row],[Rback]]/LayTable[[#This Row],[Total inns]]),"")</f>
        <v/>
      </c>
      <c r="X1424" s="48" t="str">
        <f>IFERROR(IF(LayTable[[#This Row],[Total inns]]="","",LayTable[[#This Row],[Rlay]]/LayTable[[#This Row],[Total inns]]),"")</f>
        <v/>
      </c>
      <c r="Y1424" s="48" t="str">
        <f>IFERROR(LayTable[[#This Row],[Faktisk res]]/LayTable[[#This Row],[Total inns]],"")</f>
        <v/>
      </c>
      <c r="Z1424" s="47">
        <f>(LayTable[[#This Row],[BookieInnsats]]*LayTable[[#This Row],[BookieOdds]]-LayTable[[#This Row],[BookieInnsats]])*(1-LayTable[[#This Row],[C% Bookie]])</f>
        <v>0</v>
      </c>
      <c r="AA1424" s="43">
        <f>LayTable[[#This Row],[LayInnsats]]*(1-LayTable[[#This Row],[C% Lay]])</f>
        <v>0</v>
      </c>
      <c r="AB1424" s="43" t="str">
        <f>IFERROR(IF(LayTable[[#This Row],[Sport]]="",AB1423,LayTable[[#This Row],[Faktisk res]]+AB1423),"")</f>
        <v/>
      </c>
      <c r="AC1424" s="43">
        <f>(LayTable[[#This Row],[BackWin-Commission]]+LayTable[[#This Row],[BookieInnsats]])</f>
        <v>0</v>
      </c>
      <c r="AD1424" s="43" t="e">
        <f>(LayTable[[#This Row],[LayWin-Commission]])+LayTable[[#This Row],[LayLiability]]</f>
        <v>#VALUE!</v>
      </c>
      <c r="AE1424" s="43"/>
      <c r="AF1424" s="181"/>
    </row>
    <row r="1425" spans="1:32">
      <c r="A1425" s="84"/>
      <c r="B1425" s="39"/>
      <c r="C1425" s="40"/>
      <c r="D1425" s="41"/>
      <c r="E1425" s="40"/>
      <c r="F1425" s="41"/>
      <c r="G1425" s="101"/>
      <c r="H1425" s="38"/>
      <c r="I1425" s="42"/>
      <c r="J1425" s="42"/>
      <c r="K1425" s="43"/>
      <c r="L1425" s="43"/>
      <c r="M1425" s="44" t="str">
        <f>IF(LayTable[[#This Row],[Sport]]="","",LayTable[[#This Row],[LayInnsats]]*(LayTable[[#This Row],[LayOdds]]-1))</f>
        <v/>
      </c>
      <c r="N1425" s="45" t="str">
        <f>IF(LayTable[[#This Row],[Sport]]="","",1/((1/LayTable[[#This Row],[BookieOdds]])+(1/((1/((1+((LayTable[[#This Row],[LayOdds]]-1)*(1+LayTable[[#This Row],[C% Lay]])))-1))+1)))-1)</f>
        <v/>
      </c>
      <c r="Q1425" s="46" t="str">
        <f>IF(LayTable[[#This Row],[Sport]]="","",LayTable[[#This Row],[BookieInnsats]]+LayTable[[#This Row],[LayLiability]])</f>
        <v/>
      </c>
      <c r="R14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5" s="47" t="str">
        <f>IF(LayTable[[#This Row],[Utfall bookie]]="","",LayTable[[#This Row],[WBABack]]+LayTable[[#This Row],[WBALay]]-LayTable[[#This Row],[Total inns]])</f>
        <v/>
      </c>
      <c r="U14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5" s="48" t="str">
        <f>IFERROR(IF(LayTable[[#This Row],[Total inns]]="","",LayTable[[#This Row],[Rback]]/LayTable[[#This Row],[Total inns]]),"")</f>
        <v/>
      </c>
      <c r="X1425" s="48" t="str">
        <f>IFERROR(IF(LayTable[[#This Row],[Total inns]]="","",LayTable[[#This Row],[Rlay]]/LayTable[[#This Row],[Total inns]]),"")</f>
        <v/>
      </c>
      <c r="Y1425" s="48" t="str">
        <f>IFERROR(LayTable[[#This Row],[Faktisk res]]/LayTable[[#This Row],[Total inns]],"")</f>
        <v/>
      </c>
      <c r="Z1425" s="47">
        <f>(LayTable[[#This Row],[BookieInnsats]]*LayTable[[#This Row],[BookieOdds]]-LayTable[[#This Row],[BookieInnsats]])*(1-LayTable[[#This Row],[C% Bookie]])</f>
        <v>0</v>
      </c>
      <c r="AA1425" s="43">
        <f>LayTable[[#This Row],[LayInnsats]]*(1-LayTable[[#This Row],[C% Lay]])</f>
        <v>0</v>
      </c>
      <c r="AB1425" s="43" t="str">
        <f>IFERROR(IF(LayTable[[#This Row],[Sport]]="",AB1424,LayTable[[#This Row],[Faktisk res]]+AB1424),"")</f>
        <v/>
      </c>
      <c r="AC1425" s="43">
        <f>(LayTable[[#This Row],[BackWin-Commission]]+LayTable[[#This Row],[BookieInnsats]])</f>
        <v>0</v>
      </c>
      <c r="AD1425" s="43" t="e">
        <f>(LayTable[[#This Row],[LayWin-Commission]])+LayTable[[#This Row],[LayLiability]]</f>
        <v>#VALUE!</v>
      </c>
      <c r="AE1425" s="43"/>
      <c r="AF1425" s="181"/>
    </row>
    <row r="1426" spans="1:32">
      <c r="A1426" s="84"/>
      <c r="B1426" s="39"/>
      <c r="C1426" s="40"/>
      <c r="D1426" s="41"/>
      <c r="E1426" s="40"/>
      <c r="F1426" s="41"/>
      <c r="G1426" s="101"/>
      <c r="H1426" s="38"/>
      <c r="I1426" s="42"/>
      <c r="J1426" s="42"/>
      <c r="K1426" s="43"/>
      <c r="L1426" s="43"/>
      <c r="M1426" s="44" t="str">
        <f>IF(LayTable[[#This Row],[Sport]]="","",LayTable[[#This Row],[LayInnsats]]*(LayTable[[#This Row],[LayOdds]]-1))</f>
        <v/>
      </c>
      <c r="N1426" s="45" t="str">
        <f>IF(LayTable[[#This Row],[Sport]]="","",1/((1/LayTable[[#This Row],[BookieOdds]])+(1/((1/((1+((LayTable[[#This Row],[LayOdds]]-1)*(1+LayTable[[#This Row],[C% Lay]])))-1))+1)))-1)</f>
        <v/>
      </c>
      <c r="Q1426" s="46" t="str">
        <f>IF(LayTable[[#This Row],[Sport]]="","",LayTable[[#This Row],[BookieInnsats]]+LayTable[[#This Row],[LayLiability]])</f>
        <v/>
      </c>
      <c r="R14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6" s="47" t="str">
        <f>IF(LayTable[[#This Row],[Utfall bookie]]="","",LayTable[[#This Row],[WBABack]]+LayTable[[#This Row],[WBALay]]-LayTable[[#This Row],[Total inns]])</f>
        <v/>
      </c>
      <c r="U14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6" s="48" t="str">
        <f>IFERROR(IF(LayTable[[#This Row],[Total inns]]="","",LayTable[[#This Row],[Rback]]/LayTable[[#This Row],[Total inns]]),"")</f>
        <v/>
      </c>
      <c r="X1426" s="48" t="str">
        <f>IFERROR(IF(LayTable[[#This Row],[Total inns]]="","",LayTable[[#This Row],[Rlay]]/LayTable[[#This Row],[Total inns]]),"")</f>
        <v/>
      </c>
      <c r="Y1426" s="48" t="str">
        <f>IFERROR(LayTable[[#This Row],[Faktisk res]]/LayTable[[#This Row],[Total inns]],"")</f>
        <v/>
      </c>
      <c r="Z1426" s="47">
        <f>(LayTable[[#This Row],[BookieInnsats]]*LayTable[[#This Row],[BookieOdds]]-LayTable[[#This Row],[BookieInnsats]])*(1-LayTable[[#This Row],[C% Bookie]])</f>
        <v>0</v>
      </c>
      <c r="AA1426" s="43">
        <f>LayTable[[#This Row],[LayInnsats]]*(1-LayTable[[#This Row],[C% Lay]])</f>
        <v>0</v>
      </c>
      <c r="AB1426" s="43" t="str">
        <f>IFERROR(IF(LayTable[[#This Row],[Sport]]="",AB1425,LayTable[[#This Row],[Faktisk res]]+AB1425),"")</f>
        <v/>
      </c>
      <c r="AC1426" s="43">
        <f>(LayTable[[#This Row],[BackWin-Commission]]+LayTable[[#This Row],[BookieInnsats]])</f>
        <v>0</v>
      </c>
      <c r="AD1426" s="43" t="e">
        <f>(LayTable[[#This Row],[LayWin-Commission]])+LayTable[[#This Row],[LayLiability]]</f>
        <v>#VALUE!</v>
      </c>
      <c r="AE1426" s="43"/>
      <c r="AF1426" s="181"/>
    </row>
    <row r="1427" spans="1:32">
      <c r="A1427" s="84"/>
      <c r="B1427" s="39"/>
      <c r="C1427" s="40"/>
      <c r="D1427" s="41"/>
      <c r="E1427" s="40"/>
      <c r="F1427" s="41"/>
      <c r="G1427" s="101"/>
      <c r="H1427" s="38"/>
      <c r="I1427" s="42"/>
      <c r="J1427" s="42"/>
      <c r="K1427" s="43"/>
      <c r="L1427" s="43"/>
      <c r="M1427" s="44" t="str">
        <f>IF(LayTable[[#This Row],[Sport]]="","",LayTable[[#This Row],[LayInnsats]]*(LayTable[[#This Row],[LayOdds]]-1))</f>
        <v/>
      </c>
      <c r="N1427" s="45" t="str">
        <f>IF(LayTable[[#This Row],[Sport]]="","",1/((1/LayTable[[#This Row],[BookieOdds]])+(1/((1/((1+((LayTable[[#This Row],[LayOdds]]-1)*(1+LayTable[[#This Row],[C% Lay]])))-1))+1)))-1)</f>
        <v/>
      </c>
      <c r="Q1427" s="46" t="str">
        <f>IF(LayTable[[#This Row],[Sport]]="","",LayTable[[#This Row],[BookieInnsats]]+LayTable[[#This Row],[LayLiability]])</f>
        <v/>
      </c>
      <c r="R14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7" s="47" t="str">
        <f>IF(LayTable[[#This Row],[Utfall bookie]]="","",LayTable[[#This Row],[WBABack]]+LayTable[[#This Row],[WBALay]]-LayTable[[#This Row],[Total inns]])</f>
        <v/>
      </c>
      <c r="U14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7" s="48" t="str">
        <f>IFERROR(IF(LayTable[[#This Row],[Total inns]]="","",LayTable[[#This Row],[Rback]]/LayTable[[#This Row],[Total inns]]),"")</f>
        <v/>
      </c>
      <c r="X1427" s="48" t="str">
        <f>IFERROR(IF(LayTable[[#This Row],[Total inns]]="","",LayTable[[#This Row],[Rlay]]/LayTable[[#This Row],[Total inns]]),"")</f>
        <v/>
      </c>
      <c r="Y1427" s="48" t="str">
        <f>IFERROR(LayTable[[#This Row],[Faktisk res]]/LayTable[[#This Row],[Total inns]],"")</f>
        <v/>
      </c>
      <c r="Z1427" s="47">
        <f>(LayTable[[#This Row],[BookieInnsats]]*LayTable[[#This Row],[BookieOdds]]-LayTable[[#This Row],[BookieInnsats]])*(1-LayTable[[#This Row],[C% Bookie]])</f>
        <v>0</v>
      </c>
      <c r="AA1427" s="43">
        <f>LayTable[[#This Row],[LayInnsats]]*(1-LayTable[[#This Row],[C% Lay]])</f>
        <v>0</v>
      </c>
      <c r="AB1427" s="43" t="str">
        <f>IFERROR(IF(LayTable[[#This Row],[Sport]]="",AB1426,LayTable[[#This Row],[Faktisk res]]+AB1426),"")</f>
        <v/>
      </c>
      <c r="AC1427" s="43">
        <f>(LayTable[[#This Row],[BackWin-Commission]]+LayTable[[#This Row],[BookieInnsats]])</f>
        <v>0</v>
      </c>
      <c r="AD1427" s="43" t="e">
        <f>(LayTable[[#This Row],[LayWin-Commission]])+LayTable[[#This Row],[LayLiability]]</f>
        <v>#VALUE!</v>
      </c>
      <c r="AE1427" s="43"/>
      <c r="AF1427" s="181"/>
    </row>
    <row r="1428" spans="1:32">
      <c r="A1428" s="84"/>
      <c r="B1428" s="39"/>
      <c r="C1428" s="40"/>
      <c r="D1428" s="41"/>
      <c r="E1428" s="40"/>
      <c r="F1428" s="41"/>
      <c r="G1428" s="101"/>
      <c r="H1428" s="38"/>
      <c r="I1428" s="42"/>
      <c r="J1428" s="42"/>
      <c r="K1428" s="43"/>
      <c r="L1428" s="43"/>
      <c r="M1428" s="44" t="str">
        <f>IF(LayTable[[#This Row],[Sport]]="","",LayTable[[#This Row],[LayInnsats]]*(LayTable[[#This Row],[LayOdds]]-1))</f>
        <v/>
      </c>
      <c r="N1428" s="45" t="str">
        <f>IF(LayTable[[#This Row],[Sport]]="","",1/((1/LayTable[[#This Row],[BookieOdds]])+(1/((1/((1+((LayTable[[#This Row],[LayOdds]]-1)*(1+LayTable[[#This Row],[C% Lay]])))-1))+1)))-1)</f>
        <v/>
      </c>
      <c r="Q1428" s="46" t="str">
        <f>IF(LayTable[[#This Row],[Sport]]="","",LayTable[[#This Row],[BookieInnsats]]+LayTable[[#This Row],[LayLiability]])</f>
        <v/>
      </c>
      <c r="R14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8" s="47" t="str">
        <f>IF(LayTable[[#This Row],[Utfall bookie]]="","",LayTable[[#This Row],[WBABack]]+LayTable[[#This Row],[WBALay]]-LayTable[[#This Row],[Total inns]])</f>
        <v/>
      </c>
      <c r="U14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8" s="48" t="str">
        <f>IFERROR(IF(LayTable[[#This Row],[Total inns]]="","",LayTable[[#This Row],[Rback]]/LayTable[[#This Row],[Total inns]]),"")</f>
        <v/>
      </c>
      <c r="X1428" s="48" t="str">
        <f>IFERROR(IF(LayTable[[#This Row],[Total inns]]="","",LayTable[[#This Row],[Rlay]]/LayTable[[#This Row],[Total inns]]),"")</f>
        <v/>
      </c>
      <c r="Y1428" s="48" t="str">
        <f>IFERROR(LayTable[[#This Row],[Faktisk res]]/LayTable[[#This Row],[Total inns]],"")</f>
        <v/>
      </c>
      <c r="Z1428" s="47">
        <f>(LayTable[[#This Row],[BookieInnsats]]*LayTable[[#This Row],[BookieOdds]]-LayTable[[#This Row],[BookieInnsats]])*(1-LayTable[[#This Row],[C% Bookie]])</f>
        <v>0</v>
      </c>
      <c r="AA1428" s="43">
        <f>LayTable[[#This Row],[LayInnsats]]*(1-LayTable[[#This Row],[C% Lay]])</f>
        <v>0</v>
      </c>
      <c r="AB1428" s="43" t="str">
        <f>IFERROR(IF(LayTable[[#This Row],[Sport]]="",AB1427,LayTable[[#This Row],[Faktisk res]]+AB1427),"")</f>
        <v/>
      </c>
      <c r="AC1428" s="43">
        <f>(LayTable[[#This Row],[BackWin-Commission]]+LayTable[[#This Row],[BookieInnsats]])</f>
        <v>0</v>
      </c>
      <c r="AD1428" s="43" t="e">
        <f>(LayTable[[#This Row],[LayWin-Commission]])+LayTable[[#This Row],[LayLiability]]</f>
        <v>#VALUE!</v>
      </c>
      <c r="AE1428" s="43"/>
      <c r="AF1428" s="181"/>
    </row>
    <row r="1429" spans="1:32">
      <c r="A1429" s="84"/>
      <c r="B1429" s="39"/>
      <c r="C1429" s="40"/>
      <c r="D1429" s="41"/>
      <c r="E1429" s="40"/>
      <c r="F1429" s="41"/>
      <c r="G1429" s="101"/>
      <c r="H1429" s="38"/>
      <c r="I1429" s="42"/>
      <c r="J1429" s="42"/>
      <c r="K1429" s="43"/>
      <c r="L1429" s="43"/>
      <c r="M1429" s="44" t="str">
        <f>IF(LayTable[[#This Row],[Sport]]="","",LayTable[[#This Row],[LayInnsats]]*(LayTable[[#This Row],[LayOdds]]-1))</f>
        <v/>
      </c>
      <c r="N1429" s="45" t="str">
        <f>IF(LayTable[[#This Row],[Sport]]="","",1/((1/LayTable[[#This Row],[BookieOdds]])+(1/((1/((1+((LayTable[[#This Row],[LayOdds]]-1)*(1+LayTable[[#This Row],[C% Lay]])))-1))+1)))-1)</f>
        <v/>
      </c>
      <c r="Q1429" s="46" t="str">
        <f>IF(LayTable[[#This Row],[Sport]]="","",LayTable[[#This Row],[BookieInnsats]]+LayTable[[#This Row],[LayLiability]])</f>
        <v/>
      </c>
      <c r="R14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29" s="47" t="str">
        <f>IF(LayTable[[#This Row],[Utfall bookie]]="","",LayTable[[#This Row],[WBABack]]+LayTable[[#This Row],[WBALay]]-LayTable[[#This Row],[Total inns]])</f>
        <v/>
      </c>
      <c r="U14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29" s="48" t="str">
        <f>IFERROR(IF(LayTable[[#This Row],[Total inns]]="","",LayTable[[#This Row],[Rback]]/LayTable[[#This Row],[Total inns]]),"")</f>
        <v/>
      </c>
      <c r="X1429" s="48" t="str">
        <f>IFERROR(IF(LayTable[[#This Row],[Total inns]]="","",LayTable[[#This Row],[Rlay]]/LayTable[[#This Row],[Total inns]]),"")</f>
        <v/>
      </c>
      <c r="Y1429" s="48" t="str">
        <f>IFERROR(LayTable[[#This Row],[Faktisk res]]/LayTable[[#This Row],[Total inns]],"")</f>
        <v/>
      </c>
      <c r="Z1429" s="47">
        <f>(LayTable[[#This Row],[BookieInnsats]]*LayTable[[#This Row],[BookieOdds]]-LayTable[[#This Row],[BookieInnsats]])*(1-LayTable[[#This Row],[C% Bookie]])</f>
        <v>0</v>
      </c>
      <c r="AA1429" s="43">
        <f>LayTable[[#This Row],[LayInnsats]]*(1-LayTable[[#This Row],[C% Lay]])</f>
        <v>0</v>
      </c>
      <c r="AB1429" s="43" t="str">
        <f>IFERROR(IF(LayTable[[#This Row],[Sport]]="",AB1428,LayTable[[#This Row],[Faktisk res]]+AB1428),"")</f>
        <v/>
      </c>
      <c r="AC1429" s="43">
        <f>(LayTable[[#This Row],[BackWin-Commission]]+LayTable[[#This Row],[BookieInnsats]])</f>
        <v>0</v>
      </c>
      <c r="AD1429" s="43" t="e">
        <f>(LayTable[[#This Row],[LayWin-Commission]])+LayTable[[#This Row],[LayLiability]]</f>
        <v>#VALUE!</v>
      </c>
      <c r="AE1429" s="43"/>
      <c r="AF1429" s="181"/>
    </row>
    <row r="1430" spans="1:32">
      <c r="A1430" s="84"/>
      <c r="B1430" s="39"/>
      <c r="C1430" s="40"/>
      <c r="D1430" s="41"/>
      <c r="E1430" s="40"/>
      <c r="F1430" s="41"/>
      <c r="G1430" s="101"/>
      <c r="H1430" s="38"/>
      <c r="I1430" s="42"/>
      <c r="J1430" s="42"/>
      <c r="K1430" s="43"/>
      <c r="L1430" s="43"/>
      <c r="M1430" s="44" t="str">
        <f>IF(LayTable[[#This Row],[Sport]]="","",LayTable[[#This Row],[LayInnsats]]*(LayTable[[#This Row],[LayOdds]]-1))</f>
        <v/>
      </c>
      <c r="N1430" s="45" t="str">
        <f>IF(LayTable[[#This Row],[Sport]]="","",1/((1/LayTable[[#This Row],[BookieOdds]])+(1/((1/((1+((LayTable[[#This Row],[LayOdds]]-1)*(1+LayTable[[#This Row],[C% Lay]])))-1))+1)))-1)</f>
        <v/>
      </c>
      <c r="Q1430" s="46" t="str">
        <f>IF(LayTable[[#This Row],[Sport]]="","",LayTable[[#This Row],[BookieInnsats]]+LayTable[[#This Row],[LayLiability]])</f>
        <v/>
      </c>
      <c r="R14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0" s="47" t="str">
        <f>IF(LayTable[[#This Row],[Utfall bookie]]="","",LayTable[[#This Row],[WBABack]]+LayTable[[#This Row],[WBALay]]-LayTable[[#This Row],[Total inns]])</f>
        <v/>
      </c>
      <c r="U14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0" s="48" t="str">
        <f>IFERROR(IF(LayTable[[#This Row],[Total inns]]="","",LayTable[[#This Row],[Rback]]/LayTable[[#This Row],[Total inns]]),"")</f>
        <v/>
      </c>
      <c r="X1430" s="48" t="str">
        <f>IFERROR(IF(LayTable[[#This Row],[Total inns]]="","",LayTable[[#This Row],[Rlay]]/LayTable[[#This Row],[Total inns]]),"")</f>
        <v/>
      </c>
      <c r="Y1430" s="48" t="str">
        <f>IFERROR(LayTable[[#This Row],[Faktisk res]]/LayTable[[#This Row],[Total inns]],"")</f>
        <v/>
      </c>
      <c r="Z1430" s="47">
        <f>(LayTable[[#This Row],[BookieInnsats]]*LayTable[[#This Row],[BookieOdds]]-LayTable[[#This Row],[BookieInnsats]])*(1-LayTable[[#This Row],[C% Bookie]])</f>
        <v>0</v>
      </c>
      <c r="AA1430" s="43">
        <f>LayTable[[#This Row],[LayInnsats]]*(1-LayTable[[#This Row],[C% Lay]])</f>
        <v>0</v>
      </c>
      <c r="AB1430" s="43" t="str">
        <f>IFERROR(IF(LayTable[[#This Row],[Sport]]="",AB1429,LayTable[[#This Row],[Faktisk res]]+AB1429),"")</f>
        <v/>
      </c>
      <c r="AC1430" s="43">
        <f>(LayTable[[#This Row],[BackWin-Commission]]+LayTable[[#This Row],[BookieInnsats]])</f>
        <v>0</v>
      </c>
      <c r="AD1430" s="43" t="e">
        <f>(LayTable[[#This Row],[LayWin-Commission]])+LayTable[[#This Row],[LayLiability]]</f>
        <v>#VALUE!</v>
      </c>
      <c r="AE1430" s="43"/>
      <c r="AF1430" s="181"/>
    </row>
    <row r="1431" spans="1:32">
      <c r="A1431" s="84"/>
      <c r="B1431" s="39"/>
      <c r="C1431" s="40"/>
      <c r="D1431" s="41"/>
      <c r="E1431" s="40"/>
      <c r="F1431" s="41"/>
      <c r="G1431" s="101"/>
      <c r="H1431" s="38"/>
      <c r="I1431" s="42"/>
      <c r="J1431" s="42"/>
      <c r="K1431" s="43"/>
      <c r="L1431" s="43"/>
      <c r="M1431" s="44" t="str">
        <f>IF(LayTable[[#This Row],[Sport]]="","",LayTable[[#This Row],[LayInnsats]]*(LayTable[[#This Row],[LayOdds]]-1))</f>
        <v/>
      </c>
      <c r="N1431" s="45" t="str">
        <f>IF(LayTable[[#This Row],[Sport]]="","",1/((1/LayTable[[#This Row],[BookieOdds]])+(1/((1/((1+((LayTable[[#This Row],[LayOdds]]-1)*(1+LayTable[[#This Row],[C% Lay]])))-1))+1)))-1)</f>
        <v/>
      </c>
      <c r="Q1431" s="46" t="str">
        <f>IF(LayTable[[#This Row],[Sport]]="","",LayTable[[#This Row],[BookieInnsats]]+LayTable[[#This Row],[LayLiability]])</f>
        <v/>
      </c>
      <c r="R14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1" s="47" t="str">
        <f>IF(LayTable[[#This Row],[Utfall bookie]]="","",LayTable[[#This Row],[WBABack]]+LayTable[[#This Row],[WBALay]]-LayTable[[#This Row],[Total inns]])</f>
        <v/>
      </c>
      <c r="U14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1" s="48" t="str">
        <f>IFERROR(IF(LayTable[[#This Row],[Total inns]]="","",LayTable[[#This Row],[Rback]]/LayTable[[#This Row],[Total inns]]),"")</f>
        <v/>
      </c>
      <c r="X1431" s="48" t="str">
        <f>IFERROR(IF(LayTable[[#This Row],[Total inns]]="","",LayTable[[#This Row],[Rlay]]/LayTable[[#This Row],[Total inns]]),"")</f>
        <v/>
      </c>
      <c r="Y1431" s="48" t="str">
        <f>IFERROR(LayTable[[#This Row],[Faktisk res]]/LayTable[[#This Row],[Total inns]],"")</f>
        <v/>
      </c>
      <c r="Z1431" s="47">
        <f>(LayTable[[#This Row],[BookieInnsats]]*LayTable[[#This Row],[BookieOdds]]-LayTable[[#This Row],[BookieInnsats]])*(1-LayTable[[#This Row],[C% Bookie]])</f>
        <v>0</v>
      </c>
      <c r="AA1431" s="43">
        <f>LayTable[[#This Row],[LayInnsats]]*(1-LayTable[[#This Row],[C% Lay]])</f>
        <v>0</v>
      </c>
      <c r="AB1431" s="43" t="str">
        <f>IFERROR(IF(LayTable[[#This Row],[Sport]]="",AB1430,LayTable[[#This Row],[Faktisk res]]+AB1430),"")</f>
        <v/>
      </c>
      <c r="AC1431" s="43">
        <f>(LayTable[[#This Row],[BackWin-Commission]]+LayTable[[#This Row],[BookieInnsats]])</f>
        <v>0</v>
      </c>
      <c r="AD1431" s="43" t="e">
        <f>(LayTable[[#This Row],[LayWin-Commission]])+LayTable[[#This Row],[LayLiability]]</f>
        <v>#VALUE!</v>
      </c>
      <c r="AE1431" s="43"/>
      <c r="AF1431" s="181"/>
    </row>
    <row r="1432" spans="1:32">
      <c r="A1432" s="84"/>
      <c r="B1432" s="39"/>
      <c r="C1432" s="40"/>
      <c r="D1432" s="41"/>
      <c r="E1432" s="40"/>
      <c r="F1432" s="41"/>
      <c r="G1432" s="101"/>
      <c r="H1432" s="38"/>
      <c r="I1432" s="42"/>
      <c r="J1432" s="42"/>
      <c r="K1432" s="43"/>
      <c r="L1432" s="43"/>
      <c r="M1432" s="44" t="str">
        <f>IF(LayTable[[#This Row],[Sport]]="","",LayTable[[#This Row],[LayInnsats]]*(LayTable[[#This Row],[LayOdds]]-1))</f>
        <v/>
      </c>
      <c r="N1432" s="45" t="str">
        <f>IF(LayTable[[#This Row],[Sport]]="","",1/((1/LayTable[[#This Row],[BookieOdds]])+(1/((1/((1+((LayTable[[#This Row],[LayOdds]]-1)*(1+LayTable[[#This Row],[C% Lay]])))-1))+1)))-1)</f>
        <v/>
      </c>
      <c r="Q1432" s="46" t="str">
        <f>IF(LayTable[[#This Row],[Sport]]="","",LayTable[[#This Row],[BookieInnsats]]+LayTable[[#This Row],[LayLiability]])</f>
        <v/>
      </c>
      <c r="R14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2" s="47" t="str">
        <f>IF(LayTable[[#This Row],[Utfall bookie]]="","",LayTable[[#This Row],[WBABack]]+LayTable[[#This Row],[WBALay]]-LayTable[[#This Row],[Total inns]])</f>
        <v/>
      </c>
      <c r="U14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2" s="48" t="str">
        <f>IFERROR(IF(LayTable[[#This Row],[Total inns]]="","",LayTable[[#This Row],[Rback]]/LayTable[[#This Row],[Total inns]]),"")</f>
        <v/>
      </c>
      <c r="X1432" s="48" t="str">
        <f>IFERROR(IF(LayTable[[#This Row],[Total inns]]="","",LayTable[[#This Row],[Rlay]]/LayTable[[#This Row],[Total inns]]),"")</f>
        <v/>
      </c>
      <c r="Y1432" s="48" t="str">
        <f>IFERROR(LayTable[[#This Row],[Faktisk res]]/LayTable[[#This Row],[Total inns]],"")</f>
        <v/>
      </c>
      <c r="Z1432" s="47">
        <f>(LayTable[[#This Row],[BookieInnsats]]*LayTable[[#This Row],[BookieOdds]]-LayTable[[#This Row],[BookieInnsats]])*(1-LayTable[[#This Row],[C% Bookie]])</f>
        <v>0</v>
      </c>
      <c r="AA1432" s="43">
        <f>LayTable[[#This Row],[LayInnsats]]*(1-LayTable[[#This Row],[C% Lay]])</f>
        <v>0</v>
      </c>
      <c r="AB1432" s="43" t="str">
        <f>IFERROR(IF(LayTable[[#This Row],[Sport]]="",AB1431,LayTable[[#This Row],[Faktisk res]]+AB1431),"")</f>
        <v/>
      </c>
      <c r="AC1432" s="43">
        <f>(LayTable[[#This Row],[BackWin-Commission]]+LayTable[[#This Row],[BookieInnsats]])</f>
        <v>0</v>
      </c>
      <c r="AD1432" s="43" t="e">
        <f>(LayTable[[#This Row],[LayWin-Commission]])+LayTable[[#This Row],[LayLiability]]</f>
        <v>#VALUE!</v>
      </c>
      <c r="AE1432" s="43"/>
      <c r="AF1432" s="181"/>
    </row>
    <row r="1433" spans="1:32">
      <c r="A1433" s="84"/>
      <c r="B1433" s="39"/>
      <c r="C1433" s="40"/>
      <c r="D1433" s="41"/>
      <c r="E1433" s="40"/>
      <c r="F1433" s="41"/>
      <c r="G1433" s="101"/>
      <c r="H1433" s="38"/>
      <c r="I1433" s="42"/>
      <c r="J1433" s="42"/>
      <c r="K1433" s="43"/>
      <c r="L1433" s="43"/>
      <c r="M1433" s="44" t="str">
        <f>IF(LayTable[[#This Row],[Sport]]="","",LayTable[[#This Row],[LayInnsats]]*(LayTable[[#This Row],[LayOdds]]-1))</f>
        <v/>
      </c>
      <c r="N1433" s="45" t="str">
        <f>IF(LayTable[[#This Row],[Sport]]="","",1/((1/LayTable[[#This Row],[BookieOdds]])+(1/((1/((1+((LayTable[[#This Row],[LayOdds]]-1)*(1+LayTable[[#This Row],[C% Lay]])))-1))+1)))-1)</f>
        <v/>
      </c>
      <c r="Q1433" s="46" t="str">
        <f>IF(LayTable[[#This Row],[Sport]]="","",LayTable[[#This Row],[BookieInnsats]]+LayTable[[#This Row],[LayLiability]])</f>
        <v/>
      </c>
      <c r="R14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3" s="47" t="str">
        <f>IF(LayTable[[#This Row],[Utfall bookie]]="","",LayTable[[#This Row],[WBABack]]+LayTable[[#This Row],[WBALay]]-LayTable[[#This Row],[Total inns]])</f>
        <v/>
      </c>
      <c r="U14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3" s="48" t="str">
        <f>IFERROR(IF(LayTable[[#This Row],[Total inns]]="","",LayTable[[#This Row],[Rback]]/LayTable[[#This Row],[Total inns]]),"")</f>
        <v/>
      </c>
      <c r="X1433" s="48" t="str">
        <f>IFERROR(IF(LayTable[[#This Row],[Total inns]]="","",LayTable[[#This Row],[Rlay]]/LayTable[[#This Row],[Total inns]]),"")</f>
        <v/>
      </c>
      <c r="Y1433" s="48" t="str">
        <f>IFERROR(LayTable[[#This Row],[Faktisk res]]/LayTable[[#This Row],[Total inns]],"")</f>
        <v/>
      </c>
      <c r="Z1433" s="47">
        <f>(LayTable[[#This Row],[BookieInnsats]]*LayTable[[#This Row],[BookieOdds]]-LayTable[[#This Row],[BookieInnsats]])*(1-LayTable[[#This Row],[C% Bookie]])</f>
        <v>0</v>
      </c>
      <c r="AA1433" s="43">
        <f>LayTable[[#This Row],[LayInnsats]]*(1-LayTable[[#This Row],[C% Lay]])</f>
        <v>0</v>
      </c>
      <c r="AB1433" s="43" t="str">
        <f>IFERROR(IF(LayTable[[#This Row],[Sport]]="",AB1432,LayTable[[#This Row],[Faktisk res]]+AB1432),"")</f>
        <v/>
      </c>
      <c r="AC1433" s="43">
        <f>(LayTable[[#This Row],[BackWin-Commission]]+LayTable[[#This Row],[BookieInnsats]])</f>
        <v>0</v>
      </c>
      <c r="AD1433" s="43" t="e">
        <f>(LayTable[[#This Row],[LayWin-Commission]])+LayTable[[#This Row],[LayLiability]]</f>
        <v>#VALUE!</v>
      </c>
      <c r="AE1433" s="43"/>
      <c r="AF1433" s="181"/>
    </row>
    <row r="1434" spans="1:32">
      <c r="A1434" s="84"/>
      <c r="B1434" s="39"/>
      <c r="C1434" s="40"/>
      <c r="D1434" s="41"/>
      <c r="E1434" s="40"/>
      <c r="F1434" s="41"/>
      <c r="G1434" s="101"/>
      <c r="H1434" s="38"/>
      <c r="I1434" s="42"/>
      <c r="J1434" s="42"/>
      <c r="K1434" s="43"/>
      <c r="L1434" s="43"/>
      <c r="M1434" s="44" t="str">
        <f>IF(LayTable[[#This Row],[Sport]]="","",LayTable[[#This Row],[LayInnsats]]*(LayTable[[#This Row],[LayOdds]]-1))</f>
        <v/>
      </c>
      <c r="N1434" s="45" t="str">
        <f>IF(LayTable[[#This Row],[Sport]]="","",1/((1/LayTable[[#This Row],[BookieOdds]])+(1/((1/((1+((LayTable[[#This Row],[LayOdds]]-1)*(1+LayTable[[#This Row],[C% Lay]])))-1))+1)))-1)</f>
        <v/>
      </c>
      <c r="Q1434" s="46" t="str">
        <f>IF(LayTable[[#This Row],[Sport]]="","",LayTable[[#This Row],[BookieInnsats]]+LayTable[[#This Row],[LayLiability]])</f>
        <v/>
      </c>
      <c r="R14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4" s="47" t="str">
        <f>IF(LayTable[[#This Row],[Utfall bookie]]="","",LayTable[[#This Row],[WBABack]]+LayTable[[#This Row],[WBALay]]-LayTable[[#This Row],[Total inns]])</f>
        <v/>
      </c>
      <c r="U14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4" s="48" t="str">
        <f>IFERROR(IF(LayTable[[#This Row],[Total inns]]="","",LayTable[[#This Row],[Rback]]/LayTable[[#This Row],[Total inns]]),"")</f>
        <v/>
      </c>
      <c r="X1434" s="48" t="str">
        <f>IFERROR(IF(LayTable[[#This Row],[Total inns]]="","",LayTable[[#This Row],[Rlay]]/LayTable[[#This Row],[Total inns]]),"")</f>
        <v/>
      </c>
      <c r="Y1434" s="48" t="str">
        <f>IFERROR(LayTable[[#This Row],[Faktisk res]]/LayTable[[#This Row],[Total inns]],"")</f>
        <v/>
      </c>
      <c r="Z1434" s="47">
        <f>(LayTable[[#This Row],[BookieInnsats]]*LayTable[[#This Row],[BookieOdds]]-LayTable[[#This Row],[BookieInnsats]])*(1-LayTable[[#This Row],[C% Bookie]])</f>
        <v>0</v>
      </c>
      <c r="AA1434" s="43">
        <f>LayTable[[#This Row],[LayInnsats]]*(1-LayTable[[#This Row],[C% Lay]])</f>
        <v>0</v>
      </c>
      <c r="AB1434" s="43" t="str">
        <f>IFERROR(IF(LayTable[[#This Row],[Sport]]="",AB1433,LayTable[[#This Row],[Faktisk res]]+AB1433),"")</f>
        <v/>
      </c>
      <c r="AC1434" s="43">
        <f>(LayTable[[#This Row],[BackWin-Commission]]+LayTable[[#This Row],[BookieInnsats]])</f>
        <v>0</v>
      </c>
      <c r="AD1434" s="43" t="e">
        <f>(LayTable[[#This Row],[LayWin-Commission]])+LayTable[[#This Row],[LayLiability]]</f>
        <v>#VALUE!</v>
      </c>
      <c r="AE1434" s="43"/>
      <c r="AF1434" s="181"/>
    </row>
    <row r="1435" spans="1:32">
      <c r="A1435" s="84"/>
      <c r="B1435" s="39"/>
      <c r="C1435" s="40"/>
      <c r="D1435" s="41"/>
      <c r="E1435" s="40"/>
      <c r="F1435" s="41"/>
      <c r="G1435" s="101"/>
      <c r="H1435" s="38"/>
      <c r="I1435" s="42"/>
      <c r="J1435" s="42"/>
      <c r="K1435" s="43"/>
      <c r="L1435" s="43"/>
      <c r="M1435" s="44" t="str">
        <f>IF(LayTable[[#This Row],[Sport]]="","",LayTable[[#This Row],[LayInnsats]]*(LayTable[[#This Row],[LayOdds]]-1))</f>
        <v/>
      </c>
      <c r="N1435" s="45" t="str">
        <f>IF(LayTable[[#This Row],[Sport]]="","",1/((1/LayTable[[#This Row],[BookieOdds]])+(1/((1/((1+((LayTable[[#This Row],[LayOdds]]-1)*(1+LayTable[[#This Row],[C% Lay]])))-1))+1)))-1)</f>
        <v/>
      </c>
      <c r="Q1435" s="46" t="str">
        <f>IF(LayTable[[#This Row],[Sport]]="","",LayTable[[#This Row],[BookieInnsats]]+LayTable[[#This Row],[LayLiability]])</f>
        <v/>
      </c>
      <c r="R14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5" s="47" t="str">
        <f>IF(LayTable[[#This Row],[Utfall bookie]]="","",LayTable[[#This Row],[WBABack]]+LayTable[[#This Row],[WBALay]]-LayTable[[#This Row],[Total inns]])</f>
        <v/>
      </c>
      <c r="U14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5" s="48" t="str">
        <f>IFERROR(IF(LayTable[[#This Row],[Total inns]]="","",LayTable[[#This Row],[Rback]]/LayTable[[#This Row],[Total inns]]),"")</f>
        <v/>
      </c>
      <c r="X1435" s="48" t="str">
        <f>IFERROR(IF(LayTable[[#This Row],[Total inns]]="","",LayTable[[#This Row],[Rlay]]/LayTable[[#This Row],[Total inns]]),"")</f>
        <v/>
      </c>
      <c r="Y1435" s="48" t="str">
        <f>IFERROR(LayTable[[#This Row],[Faktisk res]]/LayTable[[#This Row],[Total inns]],"")</f>
        <v/>
      </c>
      <c r="Z1435" s="47">
        <f>(LayTable[[#This Row],[BookieInnsats]]*LayTable[[#This Row],[BookieOdds]]-LayTable[[#This Row],[BookieInnsats]])*(1-LayTable[[#This Row],[C% Bookie]])</f>
        <v>0</v>
      </c>
      <c r="AA1435" s="43">
        <f>LayTable[[#This Row],[LayInnsats]]*(1-LayTable[[#This Row],[C% Lay]])</f>
        <v>0</v>
      </c>
      <c r="AB1435" s="43" t="str">
        <f>IFERROR(IF(LayTable[[#This Row],[Sport]]="",AB1434,LayTable[[#This Row],[Faktisk res]]+AB1434),"")</f>
        <v/>
      </c>
      <c r="AC1435" s="43">
        <f>(LayTable[[#This Row],[BackWin-Commission]]+LayTable[[#This Row],[BookieInnsats]])</f>
        <v>0</v>
      </c>
      <c r="AD1435" s="43" t="e">
        <f>(LayTable[[#This Row],[LayWin-Commission]])+LayTable[[#This Row],[LayLiability]]</f>
        <v>#VALUE!</v>
      </c>
      <c r="AE1435" s="43"/>
      <c r="AF1435" s="181"/>
    </row>
    <row r="1436" spans="1:32">
      <c r="A1436" s="84"/>
      <c r="B1436" s="39"/>
      <c r="C1436" s="40"/>
      <c r="D1436" s="41"/>
      <c r="E1436" s="40"/>
      <c r="F1436" s="41"/>
      <c r="G1436" s="101"/>
      <c r="H1436" s="38"/>
      <c r="I1436" s="42"/>
      <c r="J1436" s="42"/>
      <c r="K1436" s="43"/>
      <c r="L1436" s="43"/>
      <c r="M1436" s="44" t="str">
        <f>IF(LayTable[[#This Row],[Sport]]="","",LayTable[[#This Row],[LayInnsats]]*(LayTable[[#This Row],[LayOdds]]-1))</f>
        <v/>
      </c>
      <c r="N1436" s="45" t="str">
        <f>IF(LayTable[[#This Row],[Sport]]="","",1/((1/LayTable[[#This Row],[BookieOdds]])+(1/((1/((1+((LayTable[[#This Row],[LayOdds]]-1)*(1+LayTable[[#This Row],[C% Lay]])))-1))+1)))-1)</f>
        <v/>
      </c>
      <c r="Q1436" s="46" t="str">
        <f>IF(LayTable[[#This Row],[Sport]]="","",LayTable[[#This Row],[BookieInnsats]]+LayTable[[#This Row],[LayLiability]])</f>
        <v/>
      </c>
      <c r="R14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6" s="47" t="str">
        <f>IF(LayTable[[#This Row],[Utfall bookie]]="","",LayTable[[#This Row],[WBABack]]+LayTable[[#This Row],[WBALay]]-LayTable[[#This Row],[Total inns]])</f>
        <v/>
      </c>
      <c r="U14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6" s="48" t="str">
        <f>IFERROR(IF(LayTable[[#This Row],[Total inns]]="","",LayTable[[#This Row],[Rback]]/LayTable[[#This Row],[Total inns]]),"")</f>
        <v/>
      </c>
      <c r="X1436" s="48" t="str">
        <f>IFERROR(IF(LayTable[[#This Row],[Total inns]]="","",LayTable[[#This Row],[Rlay]]/LayTable[[#This Row],[Total inns]]),"")</f>
        <v/>
      </c>
      <c r="Y1436" s="48" t="str">
        <f>IFERROR(LayTable[[#This Row],[Faktisk res]]/LayTable[[#This Row],[Total inns]],"")</f>
        <v/>
      </c>
      <c r="Z1436" s="47">
        <f>(LayTable[[#This Row],[BookieInnsats]]*LayTable[[#This Row],[BookieOdds]]-LayTable[[#This Row],[BookieInnsats]])*(1-LayTable[[#This Row],[C% Bookie]])</f>
        <v>0</v>
      </c>
      <c r="AA1436" s="43">
        <f>LayTable[[#This Row],[LayInnsats]]*(1-LayTable[[#This Row],[C% Lay]])</f>
        <v>0</v>
      </c>
      <c r="AB1436" s="43" t="str">
        <f>IFERROR(IF(LayTable[[#This Row],[Sport]]="",AB1435,LayTable[[#This Row],[Faktisk res]]+AB1435),"")</f>
        <v/>
      </c>
      <c r="AC1436" s="43">
        <f>(LayTable[[#This Row],[BackWin-Commission]]+LayTable[[#This Row],[BookieInnsats]])</f>
        <v>0</v>
      </c>
      <c r="AD1436" s="43" t="e">
        <f>(LayTable[[#This Row],[LayWin-Commission]])+LayTable[[#This Row],[LayLiability]]</f>
        <v>#VALUE!</v>
      </c>
      <c r="AE1436" s="43"/>
      <c r="AF1436" s="181"/>
    </row>
    <row r="1437" spans="1:32">
      <c r="A1437" s="84"/>
      <c r="B1437" s="39"/>
      <c r="C1437" s="40"/>
      <c r="D1437" s="41"/>
      <c r="E1437" s="40"/>
      <c r="F1437" s="41"/>
      <c r="G1437" s="101"/>
      <c r="H1437" s="38"/>
      <c r="I1437" s="42"/>
      <c r="J1437" s="42"/>
      <c r="K1437" s="43"/>
      <c r="L1437" s="43"/>
      <c r="M1437" s="44" t="str">
        <f>IF(LayTable[[#This Row],[Sport]]="","",LayTable[[#This Row],[LayInnsats]]*(LayTable[[#This Row],[LayOdds]]-1))</f>
        <v/>
      </c>
      <c r="N1437" s="45" t="str">
        <f>IF(LayTable[[#This Row],[Sport]]="","",1/((1/LayTable[[#This Row],[BookieOdds]])+(1/((1/((1+((LayTable[[#This Row],[LayOdds]]-1)*(1+LayTable[[#This Row],[C% Lay]])))-1))+1)))-1)</f>
        <v/>
      </c>
      <c r="Q1437" s="46" t="str">
        <f>IF(LayTable[[#This Row],[Sport]]="","",LayTable[[#This Row],[BookieInnsats]]+LayTable[[#This Row],[LayLiability]])</f>
        <v/>
      </c>
      <c r="R14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7" s="47" t="str">
        <f>IF(LayTable[[#This Row],[Utfall bookie]]="","",LayTable[[#This Row],[WBABack]]+LayTable[[#This Row],[WBALay]]-LayTable[[#This Row],[Total inns]])</f>
        <v/>
      </c>
      <c r="U14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7" s="48" t="str">
        <f>IFERROR(IF(LayTable[[#This Row],[Total inns]]="","",LayTable[[#This Row],[Rback]]/LayTable[[#This Row],[Total inns]]),"")</f>
        <v/>
      </c>
      <c r="X1437" s="48" t="str">
        <f>IFERROR(IF(LayTable[[#This Row],[Total inns]]="","",LayTable[[#This Row],[Rlay]]/LayTable[[#This Row],[Total inns]]),"")</f>
        <v/>
      </c>
      <c r="Y1437" s="48" t="str">
        <f>IFERROR(LayTable[[#This Row],[Faktisk res]]/LayTable[[#This Row],[Total inns]],"")</f>
        <v/>
      </c>
      <c r="Z1437" s="47">
        <f>(LayTable[[#This Row],[BookieInnsats]]*LayTable[[#This Row],[BookieOdds]]-LayTable[[#This Row],[BookieInnsats]])*(1-LayTable[[#This Row],[C% Bookie]])</f>
        <v>0</v>
      </c>
      <c r="AA1437" s="43">
        <f>LayTable[[#This Row],[LayInnsats]]*(1-LayTable[[#This Row],[C% Lay]])</f>
        <v>0</v>
      </c>
      <c r="AB1437" s="43" t="str">
        <f>IFERROR(IF(LayTable[[#This Row],[Sport]]="",AB1436,LayTable[[#This Row],[Faktisk res]]+AB1436),"")</f>
        <v/>
      </c>
      <c r="AC1437" s="43">
        <f>(LayTable[[#This Row],[BackWin-Commission]]+LayTable[[#This Row],[BookieInnsats]])</f>
        <v>0</v>
      </c>
      <c r="AD1437" s="43" t="e">
        <f>(LayTable[[#This Row],[LayWin-Commission]])+LayTable[[#This Row],[LayLiability]]</f>
        <v>#VALUE!</v>
      </c>
      <c r="AE1437" s="43"/>
      <c r="AF1437" s="181"/>
    </row>
    <row r="1438" spans="1:32">
      <c r="A1438" s="84"/>
      <c r="B1438" s="39"/>
      <c r="C1438" s="40"/>
      <c r="D1438" s="41"/>
      <c r="E1438" s="40"/>
      <c r="F1438" s="41"/>
      <c r="G1438" s="101"/>
      <c r="H1438" s="38"/>
      <c r="I1438" s="42"/>
      <c r="J1438" s="42"/>
      <c r="K1438" s="43"/>
      <c r="L1438" s="43"/>
      <c r="M1438" s="44" t="str">
        <f>IF(LayTable[[#This Row],[Sport]]="","",LayTable[[#This Row],[LayInnsats]]*(LayTable[[#This Row],[LayOdds]]-1))</f>
        <v/>
      </c>
      <c r="N1438" s="45" t="str">
        <f>IF(LayTable[[#This Row],[Sport]]="","",1/((1/LayTable[[#This Row],[BookieOdds]])+(1/((1/((1+((LayTable[[#This Row],[LayOdds]]-1)*(1+LayTable[[#This Row],[C% Lay]])))-1))+1)))-1)</f>
        <v/>
      </c>
      <c r="Q1438" s="46" t="str">
        <f>IF(LayTable[[#This Row],[Sport]]="","",LayTable[[#This Row],[BookieInnsats]]+LayTable[[#This Row],[LayLiability]])</f>
        <v/>
      </c>
      <c r="R14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8" s="47" t="str">
        <f>IF(LayTable[[#This Row],[Utfall bookie]]="","",LayTable[[#This Row],[WBABack]]+LayTable[[#This Row],[WBALay]]-LayTable[[#This Row],[Total inns]])</f>
        <v/>
      </c>
      <c r="U14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8" s="48" t="str">
        <f>IFERROR(IF(LayTable[[#This Row],[Total inns]]="","",LayTable[[#This Row],[Rback]]/LayTable[[#This Row],[Total inns]]),"")</f>
        <v/>
      </c>
      <c r="X1438" s="48" t="str">
        <f>IFERROR(IF(LayTable[[#This Row],[Total inns]]="","",LayTable[[#This Row],[Rlay]]/LayTable[[#This Row],[Total inns]]),"")</f>
        <v/>
      </c>
      <c r="Y1438" s="48" t="str">
        <f>IFERROR(LayTable[[#This Row],[Faktisk res]]/LayTable[[#This Row],[Total inns]],"")</f>
        <v/>
      </c>
      <c r="Z1438" s="47">
        <f>(LayTable[[#This Row],[BookieInnsats]]*LayTable[[#This Row],[BookieOdds]]-LayTable[[#This Row],[BookieInnsats]])*(1-LayTable[[#This Row],[C% Bookie]])</f>
        <v>0</v>
      </c>
      <c r="AA1438" s="43">
        <f>LayTable[[#This Row],[LayInnsats]]*(1-LayTable[[#This Row],[C% Lay]])</f>
        <v>0</v>
      </c>
      <c r="AB1438" s="43" t="str">
        <f>IFERROR(IF(LayTable[[#This Row],[Sport]]="",AB1437,LayTable[[#This Row],[Faktisk res]]+AB1437),"")</f>
        <v/>
      </c>
      <c r="AC1438" s="43">
        <f>(LayTable[[#This Row],[BackWin-Commission]]+LayTable[[#This Row],[BookieInnsats]])</f>
        <v>0</v>
      </c>
      <c r="AD1438" s="43" t="e">
        <f>(LayTable[[#This Row],[LayWin-Commission]])+LayTable[[#This Row],[LayLiability]]</f>
        <v>#VALUE!</v>
      </c>
      <c r="AE1438" s="43"/>
      <c r="AF1438" s="181"/>
    </row>
    <row r="1439" spans="1:32">
      <c r="A1439" s="84"/>
      <c r="B1439" s="39"/>
      <c r="C1439" s="40"/>
      <c r="D1439" s="41"/>
      <c r="E1439" s="40"/>
      <c r="F1439" s="41"/>
      <c r="G1439" s="101"/>
      <c r="H1439" s="38"/>
      <c r="I1439" s="42"/>
      <c r="J1439" s="42"/>
      <c r="K1439" s="43"/>
      <c r="L1439" s="43"/>
      <c r="M1439" s="44" t="str">
        <f>IF(LayTable[[#This Row],[Sport]]="","",LayTable[[#This Row],[LayInnsats]]*(LayTable[[#This Row],[LayOdds]]-1))</f>
        <v/>
      </c>
      <c r="N1439" s="45" t="str">
        <f>IF(LayTable[[#This Row],[Sport]]="","",1/((1/LayTable[[#This Row],[BookieOdds]])+(1/((1/((1+((LayTable[[#This Row],[LayOdds]]-1)*(1+LayTable[[#This Row],[C% Lay]])))-1))+1)))-1)</f>
        <v/>
      </c>
      <c r="Q1439" s="46" t="str">
        <f>IF(LayTable[[#This Row],[Sport]]="","",LayTable[[#This Row],[BookieInnsats]]+LayTable[[#This Row],[LayLiability]])</f>
        <v/>
      </c>
      <c r="R14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39" s="47" t="str">
        <f>IF(LayTable[[#This Row],[Utfall bookie]]="","",LayTable[[#This Row],[WBABack]]+LayTable[[#This Row],[WBALay]]-LayTable[[#This Row],[Total inns]])</f>
        <v/>
      </c>
      <c r="U14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39" s="48" t="str">
        <f>IFERROR(IF(LayTable[[#This Row],[Total inns]]="","",LayTable[[#This Row],[Rback]]/LayTable[[#This Row],[Total inns]]),"")</f>
        <v/>
      </c>
      <c r="X1439" s="48" t="str">
        <f>IFERROR(IF(LayTable[[#This Row],[Total inns]]="","",LayTable[[#This Row],[Rlay]]/LayTable[[#This Row],[Total inns]]),"")</f>
        <v/>
      </c>
      <c r="Y1439" s="48" t="str">
        <f>IFERROR(LayTable[[#This Row],[Faktisk res]]/LayTable[[#This Row],[Total inns]],"")</f>
        <v/>
      </c>
      <c r="Z1439" s="47">
        <f>(LayTable[[#This Row],[BookieInnsats]]*LayTable[[#This Row],[BookieOdds]]-LayTable[[#This Row],[BookieInnsats]])*(1-LayTable[[#This Row],[C% Bookie]])</f>
        <v>0</v>
      </c>
      <c r="AA1439" s="43">
        <f>LayTable[[#This Row],[LayInnsats]]*(1-LayTable[[#This Row],[C% Lay]])</f>
        <v>0</v>
      </c>
      <c r="AB1439" s="43" t="str">
        <f>IFERROR(IF(LayTable[[#This Row],[Sport]]="",AB1438,LayTable[[#This Row],[Faktisk res]]+AB1438),"")</f>
        <v/>
      </c>
      <c r="AC1439" s="43">
        <f>(LayTable[[#This Row],[BackWin-Commission]]+LayTable[[#This Row],[BookieInnsats]])</f>
        <v>0</v>
      </c>
      <c r="AD1439" s="43" t="e">
        <f>(LayTable[[#This Row],[LayWin-Commission]])+LayTable[[#This Row],[LayLiability]]</f>
        <v>#VALUE!</v>
      </c>
      <c r="AE1439" s="43"/>
      <c r="AF1439" s="181"/>
    </row>
    <row r="1440" spans="1:32">
      <c r="A1440" s="84"/>
      <c r="B1440" s="39"/>
      <c r="C1440" s="40"/>
      <c r="D1440" s="41"/>
      <c r="E1440" s="40"/>
      <c r="F1440" s="41"/>
      <c r="G1440" s="101"/>
      <c r="H1440" s="38"/>
      <c r="I1440" s="42"/>
      <c r="J1440" s="42"/>
      <c r="K1440" s="43"/>
      <c r="L1440" s="43"/>
      <c r="M1440" s="44" t="str">
        <f>IF(LayTable[[#This Row],[Sport]]="","",LayTable[[#This Row],[LayInnsats]]*(LayTable[[#This Row],[LayOdds]]-1))</f>
        <v/>
      </c>
      <c r="N1440" s="45" t="str">
        <f>IF(LayTable[[#This Row],[Sport]]="","",1/((1/LayTable[[#This Row],[BookieOdds]])+(1/((1/((1+((LayTable[[#This Row],[LayOdds]]-1)*(1+LayTable[[#This Row],[C% Lay]])))-1))+1)))-1)</f>
        <v/>
      </c>
      <c r="Q1440" s="46" t="str">
        <f>IF(LayTable[[#This Row],[Sport]]="","",LayTable[[#This Row],[BookieInnsats]]+LayTable[[#This Row],[LayLiability]])</f>
        <v/>
      </c>
      <c r="R14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0" s="47" t="str">
        <f>IF(LayTable[[#This Row],[Utfall bookie]]="","",LayTable[[#This Row],[WBABack]]+LayTable[[#This Row],[WBALay]]-LayTable[[#This Row],[Total inns]])</f>
        <v/>
      </c>
      <c r="U14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0" s="48" t="str">
        <f>IFERROR(IF(LayTable[[#This Row],[Total inns]]="","",LayTable[[#This Row],[Rback]]/LayTable[[#This Row],[Total inns]]),"")</f>
        <v/>
      </c>
      <c r="X1440" s="48" t="str">
        <f>IFERROR(IF(LayTable[[#This Row],[Total inns]]="","",LayTable[[#This Row],[Rlay]]/LayTable[[#This Row],[Total inns]]),"")</f>
        <v/>
      </c>
      <c r="Y1440" s="48" t="str">
        <f>IFERROR(LayTable[[#This Row],[Faktisk res]]/LayTable[[#This Row],[Total inns]],"")</f>
        <v/>
      </c>
      <c r="Z1440" s="47">
        <f>(LayTable[[#This Row],[BookieInnsats]]*LayTable[[#This Row],[BookieOdds]]-LayTable[[#This Row],[BookieInnsats]])*(1-LayTable[[#This Row],[C% Bookie]])</f>
        <v>0</v>
      </c>
      <c r="AA1440" s="43">
        <f>LayTable[[#This Row],[LayInnsats]]*(1-LayTable[[#This Row],[C% Lay]])</f>
        <v>0</v>
      </c>
      <c r="AB1440" s="43" t="str">
        <f>IFERROR(IF(LayTable[[#This Row],[Sport]]="",AB1439,LayTable[[#This Row],[Faktisk res]]+AB1439),"")</f>
        <v/>
      </c>
      <c r="AC1440" s="43">
        <f>(LayTable[[#This Row],[BackWin-Commission]]+LayTable[[#This Row],[BookieInnsats]])</f>
        <v>0</v>
      </c>
      <c r="AD1440" s="43" t="e">
        <f>(LayTable[[#This Row],[LayWin-Commission]])+LayTable[[#This Row],[LayLiability]]</f>
        <v>#VALUE!</v>
      </c>
      <c r="AE1440" s="43"/>
      <c r="AF1440" s="181"/>
    </row>
    <row r="1441" spans="1:32">
      <c r="A1441" s="84"/>
      <c r="B1441" s="39"/>
      <c r="C1441" s="40"/>
      <c r="D1441" s="41"/>
      <c r="E1441" s="40"/>
      <c r="F1441" s="41"/>
      <c r="G1441" s="101"/>
      <c r="H1441" s="38"/>
      <c r="I1441" s="42"/>
      <c r="J1441" s="42"/>
      <c r="K1441" s="43"/>
      <c r="L1441" s="43"/>
      <c r="M1441" s="44" t="str">
        <f>IF(LayTable[[#This Row],[Sport]]="","",LayTable[[#This Row],[LayInnsats]]*(LayTable[[#This Row],[LayOdds]]-1))</f>
        <v/>
      </c>
      <c r="N1441" s="45" t="str">
        <f>IF(LayTable[[#This Row],[Sport]]="","",1/((1/LayTable[[#This Row],[BookieOdds]])+(1/((1/((1+((LayTable[[#This Row],[LayOdds]]-1)*(1+LayTable[[#This Row],[C% Lay]])))-1))+1)))-1)</f>
        <v/>
      </c>
      <c r="Q1441" s="46" t="str">
        <f>IF(LayTable[[#This Row],[Sport]]="","",LayTable[[#This Row],[BookieInnsats]]+LayTable[[#This Row],[LayLiability]])</f>
        <v/>
      </c>
      <c r="R14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1" s="47" t="str">
        <f>IF(LayTable[[#This Row],[Utfall bookie]]="","",LayTable[[#This Row],[WBABack]]+LayTable[[#This Row],[WBALay]]-LayTable[[#This Row],[Total inns]])</f>
        <v/>
      </c>
      <c r="U14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1" s="48" t="str">
        <f>IFERROR(IF(LayTable[[#This Row],[Total inns]]="","",LayTable[[#This Row],[Rback]]/LayTable[[#This Row],[Total inns]]),"")</f>
        <v/>
      </c>
      <c r="X1441" s="48" t="str">
        <f>IFERROR(IF(LayTable[[#This Row],[Total inns]]="","",LayTable[[#This Row],[Rlay]]/LayTable[[#This Row],[Total inns]]),"")</f>
        <v/>
      </c>
      <c r="Y1441" s="48" t="str">
        <f>IFERROR(LayTable[[#This Row],[Faktisk res]]/LayTable[[#This Row],[Total inns]],"")</f>
        <v/>
      </c>
      <c r="Z1441" s="47">
        <f>(LayTable[[#This Row],[BookieInnsats]]*LayTable[[#This Row],[BookieOdds]]-LayTable[[#This Row],[BookieInnsats]])*(1-LayTable[[#This Row],[C% Bookie]])</f>
        <v>0</v>
      </c>
      <c r="AA1441" s="43">
        <f>LayTable[[#This Row],[LayInnsats]]*(1-LayTable[[#This Row],[C% Lay]])</f>
        <v>0</v>
      </c>
      <c r="AB1441" s="43" t="str">
        <f>IFERROR(IF(LayTable[[#This Row],[Sport]]="",AB1440,LayTable[[#This Row],[Faktisk res]]+AB1440),"")</f>
        <v/>
      </c>
      <c r="AC1441" s="43">
        <f>(LayTable[[#This Row],[BackWin-Commission]]+LayTable[[#This Row],[BookieInnsats]])</f>
        <v>0</v>
      </c>
      <c r="AD1441" s="43" t="e">
        <f>(LayTable[[#This Row],[LayWin-Commission]])+LayTable[[#This Row],[LayLiability]]</f>
        <v>#VALUE!</v>
      </c>
      <c r="AE1441" s="43"/>
      <c r="AF1441" s="181"/>
    </row>
    <row r="1442" spans="1:32">
      <c r="A1442" s="84"/>
      <c r="B1442" s="39"/>
      <c r="C1442" s="40"/>
      <c r="D1442" s="41"/>
      <c r="E1442" s="40"/>
      <c r="F1442" s="41"/>
      <c r="G1442" s="101"/>
      <c r="H1442" s="38"/>
      <c r="I1442" s="42"/>
      <c r="J1442" s="42"/>
      <c r="K1442" s="43"/>
      <c r="L1442" s="43"/>
      <c r="M1442" s="44" t="str">
        <f>IF(LayTable[[#This Row],[Sport]]="","",LayTable[[#This Row],[LayInnsats]]*(LayTable[[#This Row],[LayOdds]]-1))</f>
        <v/>
      </c>
      <c r="N1442" s="45" t="str">
        <f>IF(LayTable[[#This Row],[Sport]]="","",1/((1/LayTable[[#This Row],[BookieOdds]])+(1/((1/((1+((LayTable[[#This Row],[LayOdds]]-1)*(1+LayTable[[#This Row],[C% Lay]])))-1))+1)))-1)</f>
        <v/>
      </c>
      <c r="Q1442" s="46" t="str">
        <f>IF(LayTable[[#This Row],[Sport]]="","",LayTable[[#This Row],[BookieInnsats]]+LayTable[[#This Row],[LayLiability]])</f>
        <v/>
      </c>
      <c r="R14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2" s="47" t="str">
        <f>IF(LayTable[[#This Row],[Utfall bookie]]="","",LayTable[[#This Row],[WBABack]]+LayTable[[#This Row],[WBALay]]-LayTable[[#This Row],[Total inns]])</f>
        <v/>
      </c>
      <c r="U14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2" s="48" t="str">
        <f>IFERROR(IF(LayTable[[#This Row],[Total inns]]="","",LayTable[[#This Row],[Rback]]/LayTable[[#This Row],[Total inns]]),"")</f>
        <v/>
      </c>
      <c r="X1442" s="48" t="str">
        <f>IFERROR(IF(LayTable[[#This Row],[Total inns]]="","",LayTable[[#This Row],[Rlay]]/LayTable[[#This Row],[Total inns]]),"")</f>
        <v/>
      </c>
      <c r="Y1442" s="48" t="str">
        <f>IFERROR(LayTable[[#This Row],[Faktisk res]]/LayTable[[#This Row],[Total inns]],"")</f>
        <v/>
      </c>
      <c r="Z1442" s="47">
        <f>(LayTable[[#This Row],[BookieInnsats]]*LayTable[[#This Row],[BookieOdds]]-LayTable[[#This Row],[BookieInnsats]])*(1-LayTable[[#This Row],[C% Bookie]])</f>
        <v>0</v>
      </c>
      <c r="AA1442" s="43">
        <f>LayTable[[#This Row],[LayInnsats]]*(1-LayTable[[#This Row],[C% Lay]])</f>
        <v>0</v>
      </c>
      <c r="AB1442" s="43" t="str">
        <f>IFERROR(IF(LayTable[[#This Row],[Sport]]="",AB1441,LayTable[[#This Row],[Faktisk res]]+AB1441),"")</f>
        <v/>
      </c>
      <c r="AC1442" s="43">
        <f>(LayTable[[#This Row],[BackWin-Commission]]+LayTable[[#This Row],[BookieInnsats]])</f>
        <v>0</v>
      </c>
      <c r="AD1442" s="43" t="e">
        <f>(LayTable[[#This Row],[LayWin-Commission]])+LayTable[[#This Row],[LayLiability]]</f>
        <v>#VALUE!</v>
      </c>
      <c r="AE1442" s="43"/>
      <c r="AF1442" s="181"/>
    </row>
    <row r="1443" spans="1:32">
      <c r="A1443" s="84"/>
      <c r="B1443" s="39"/>
      <c r="C1443" s="40"/>
      <c r="D1443" s="41"/>
      <c r="E1443" s="40"/>
      <c r="F1443" s="41"/>
      <c r="G1443" s="101"/>
      <c r="H1443" s="38"/>
      <c r="I1443" s="42"/>
      <c r="J1443" s="42"/>
      <c r="K1443" s="43"/>
      <c r="L1443" s="43"/>
      <c r="M1443" s="44" t="str">
        <f>IF(LayTable[[#This Row],[Sport]]="","",LayTable[[#This Row],[LayInnsats]]*(LayTable[[#This Row],[LayOdds]]-1))</f>
        <v/>
      </c>
      <c r="N1443" s="45" t="str">
        <f>IF(LayTable[[#This Row],[Sport]]="","",1/((1/LayTable[[#This Row],[BookieOdds]])+(1/((1/((1+((LayTable[[#This Row],[LayOdds]]-1)*(1+LayTable[[#This Row],[C% Lay]])))-1))+1)))-1)</f>
        <v/>
      </c>
      <c r="Q1443" s="46" t="str">
        <f>IF(LayTable[[#This Row],[Sport]]="","",LayTable[[#This Row],[BookieInnsats]]+LayTable[[#This Row],[LayLiability]])</f>
        <v/>
      </c>
      <c r="R14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3" s="47" t="str">
        <f>IF(LayTable[[#This Row],[Utfall bookie]]="","",LayTable[[#This Row],[WBABack]]+LayTable[[#This Row],[WBALay]]-LayTable[[#This Row],[Total inns]])</f>
        <v/>
      </c>
      <c r="U14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3" s="48" t="str">
        <f>IFERROR(IF(LayTable[[#This Row],[Total inns]]="","",LayTable[[#This Row],[Rback]]/LayTable[[#This Row],[Total inns]]),"")</f>
        <v/>
      </c>
      <c r="X1443" s="48" t="str">
        <f>IFERROR(IF(LayTable[[#This Row],[Total inns]]="","",LayTable[[#This Row],[Rlay]]/LayTable[[#This Row],[Total inns]]),"")</f>
        <v/>
      </c>
      <c r="Y1443" s="48" t="str">
        <f>IFERROR(LayTable[[#This Row],[Faktisk res]]/LayTable[[#This Row],[Total inns]],"")</f>
        <v/>
      </c>
      <c r="Z1443" s="47">
        <f>(LayTable[[#This Row],[BookieInnsats]]*LayTable[[#This Row],[BookieOdds]]-LayTable[[#This Row],[BookieInnsats]])*(1-LayTable[[#This Row],[C% Bookie]])</f>
        <v>0</v>
      </c>
      <c r="AA1443" s="43">
        <f>LayTable[[#This Row],[LayInnsats]]*(1-LayTable[[#This Row],[C% Lay]])</f>
        <v>0</v>
      </c>
      <c r="AB1443" s="43" t="str">
        <f>IFERROR(IF(LayTable[[#This Row],[Sport]]="",AB1442,LayTable[[#This Row],[Faktisk res]]+AB1442),"")</f>
        <v/>
      </c>
      <c r="AC1443" s="43">
        <f>(LayTable[[#This Row],[BackWin-Commission]]+LayTable[[#This Row],[BookieInnsats]])</f>
        <v>0</v>
      </c>
      <c r="AD1443" s="43" t="e">
        <f>(LayTable[[#This Row],[LayWin-Commission]])+LayTable[[#This Row],[LayLiability]]</f>
        <v>#VALUE!</v>
      </c>
      <c r="AE1443" s="43"/>
      <c r="AF1443" s="181"/>
    </row>
    <row r="1444" spans="1:32">
      <c r="A1444" s="84"/>
      <c r="B1444" s="39"/>
      <c r="C1444" s="40"/>
      <c r="D1444" s="41"/>
      <c r="E1444" s="40"/>
      <c r="F1444" s="41"/>
      <c r="G1444" s="101"/>
      <c r="H1444" s="38"/>
      <c r="I1444" s="42"/>
      <c r="J1444" s="42"/>
      <c r="K1444" s="43"/>
      <c r="L1444" s="43"/>
      <c r="M1444" s="44" t="str">
        <f>IF(LayTable[[#This Row],[Sport]]="","",LayTable[[#This Row],[LayInnsats]]*(LayTable[[#This Row],[LayOdds]]-1))</f>
        <v/>
      </c>
      <c r="N1444" s="45" t="str">
        <f>IF(LayTable[[#This Row],[Sport]]="","",1/((1/LayTable[[#This Row],[BookieOdds]])+(1/((1/((1+((LayTable[[#This Row],[LayOdds]]-1)*(1+LayTable[[#This Row],[C% Lay]])))-1))+1)))-1)</f>
        <v/>
      </c>
      <c r="Q1444" s="46" t="str">
        <f>IF(LayTable[[#This Row],[Sport]]="","",LayTable[[#This Row],[BookieInnsats]]+LayTable[[#This Row],[LayLiability]])</f>
        <v/>
      </c>
      <c r="R14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4" s="47" t="str">
        <f>IF(LayTable[[#This Row],[Utfall bookie]]="","",LayTable[[#This Row],[WBABack]]+LayTable[[#This Row],[WBALay]]-LayTable[[#This Row],[Total inns]])</f>
        <v/>
      </c>
      <c r="U14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4" s="48" t="str">
        <f>IFERROR(IF(LayTable[[#This Row],[Total inns]]="","",LayTable[[#This Row],[Rback]]/LayTable[[#This Row],[Total inns]]),"")</f>
        <v/>
      </c>
      <c r="X1444" s="48" t="str">
        <f>IFERROR(IF(LayTable[[#This Row],[Total inns]]="","",LayTable[[#This Row],[Rlay]]/LayTable[[#This Row],[Total inns]]),"")</f>
        <v/>
      </c>
      <c r="Y1444" s="48" t="str">
        <f>IFERROR(LayTable[[#This Row],[Faktisk res]]/LayTable[[#This Row],[Total inns]],"")</f>
        <v/>
      </c>
      <c r="Z1444" s="47">
        <f>(LayTable[[#This Row],[BookieInnsats]]*LayTable[[#This Row],[BookieOdds]]-LayTable[[#This Row],[BookieInnsats]])*(1-LayTable[[#This Row],[C% Bookie]])</f>
        <v>0</v>
      </c>
      <c r="AA1444" s="43">
        <f>LayTable[[#This Row],[LayInnsats]]*(1-LayTable[[#This Row],[C% Lay]])</f>
        <v>0</v>
      </c>
      <c r="AB1444" s="43" t="str">
        <f>IFERROR(IF(LayTable[[#This Row],[Sport]]="",AB1443,LayTable[[#This Row],[Faktisk res]]+AB1443),"")</f>
        <v/>
      </c>
      <c r="AC1444" s="43">
        <f>(LayTable[[#This Row],[BackWin-Commission]]+LayTable[[#This Row],[BookieInnsats]])</f>
        <v>0</v>
      </c>
      <c r="AD1444" s="43" t="e">
        <f>(LayTable[[#This Row],[LayWin-Commission]])+LayTable[[#This Row],[LayLiability]]</f>
        <v>#VALUE!</v>
      </c>
      <c r="AE1444" s="43"/>
      <c r="AF1444" s="181"/>
    </row>
    <row r="1445" spans="1:32">
      <c r="A1445" s="84"/>
      <c r="B1445" s="39"/>
      <c r="C1445" s="40"/>
      <c r="D1445" s="41"/>
      <c r="E1445" s="40"/>
      <c r="F1445" s="41"/>
      <c r="G1445" s="101"/>
      <c r="H1445" s="38"/>
      <c r="I1445" s="42"/>
      <c r="J1445" s="42"/>
      <c r="K1445" s="43"/>
      <c r="L1445" s="43"/>
      <c r="M1445" s="44" t="str">
        <f>IF(LayTable[[#This Row],[Sport]]="","",LayTable[[#This Row],[LayInnsats]]*(LayTable[[#This Row],[LayOdds]]-1))</f>
        <v/>
      </c>
      <c r="N1445" s="45" t="str">
        <f>IF(LayTable[[#This Row],[Sport]]="","",1/((1/LayTable[[#This Row],[BookieOdds]])+(1/((1/((1+((LayTable[[#This Row],[LayOdds]]-1)*(1+LayTable[[#This Row],[C% Lay]])))-1))+1)))-1)</f>
        <v/>
      </c>
      <c r="Q1445" s="46" t="str">
        <f>IF(LayTable[[#This Row],[Sport]]="","",LayTable[[#This Row],[BookieInnsats]]+LayTable[[#This Row],[LayLiability]])</f>
        <v/>
      </c>
      <c r="R14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5" s="47" t="str">
        <f>IF(LayTable[[#This Row],[Utfall bookie]]="","",LayTable[[#This Row],[WBABack]]+LayTable[[#This Row],[WBALay]]-LayTable[[#This Row],[Total inns]])</f>
        <v/>
      </c>
      <c r="U14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5" s="48" t="str">
        <f>IFERROR(IF(LayTable[[#This Row],[Total inns]]="","",LayTable[[#This Row],[Rback]]/LayTable[[#This Row],[Total inns]]),"")</f>
        <v/>
      </c>
      <c r="X1445" s="48" t="str">
        <f>IFERROR(IF(LayTable[[#This Row],[Total inns]]="","",LayTable[[#This Row],[Rlay]]/LayTable[[#This Row],[Total inns]]),"")</f>
        <v/>
      </c>
      <c r="Y1445" s="48" t="str">
        <f>IFERROR(LayTable[[#This Row],[Faktisk res]]/LayTable[[#This Row],[Total inns]],"")</f>
        <v/>
      </c>
      <c r="Z1445" s="47">
        <f>(LayTable[[#This Row],[BookieInnsats]]*LayTable[[#This Row],[BookieOdds]]-LayTable[[#This Row],[BookieInnsats]])*(1-LayTable[[#This Row],[C% Bookie]])</f>
        <v>0</v>
      </c>
      <c r="AA1445" s="43">
        <f>LayTable[[#This Row],[LayInnsats]]*(1-LayTable[[#This Row],[C% Lay]])</f>
        <v>0</v>
      </c>
      <c r="AB1445" s="43" t="str">
        <f>IFERROR(IF(LayTable[[#This Row],[Sport]]="",AB1444,LayTable[[#This Row],[Faktisk res]]+AB1444),"")</f>
        <v/>
      </c>
      <c r="AC1445" s="43">
        <f>(LayTable[[#This Row],[BackWin-Commission]]+LayTable[[#This Row],[BookieInnsats]])</f>
        <v>0</v>
      </c>
      <c r="AD1445" s="43" t="e">
        <f>(LayTable[[#This Row],[LayWin-Commission]])+LayTable[[#This Row],[LayLiability]]</f>
        <v>#VALUE!</v>
      </c>
      <c r="AE1445" s="43"/>
      <c r="AF1445" s="181"/>
    </row>
    <row r="1446" spans="1:32">
      <c r="A1446" s="84"/>
      <c r="B1446" s="39"/>
      <c r="C1446" s="40"/>
      <c r="D1446" s="41"/>
      <c r="E1446" s="40"/>
      <c r="F1446" s="41"/>
      <c r="G1446" s="101"/>
      <c r="H1446" s="38"/>
      <c r="I1446" s="42"/>
      <c r="J1446" s="42"/>
      <c r="K1446" s="43"/>
      <c r="L1446" s="43"/>
      <c r="M1446" s="44" t="str">
        <f>IF(LayTable[[#This Row],[Sport]]="","",LayTable[[#This Row],[LayInnsats]]*(LayTable[[#This Row],[LayOdds]]-1))</f>
        <v/>
      </c>
      <c r="N1446" s="45" t="str">
        <f>IF(LayTable[[#This Row],[Sport]]="","",1/((1/LayTable[[#This Row],[BookieOdds]])+(1/((1/((1+((LayTable[[#This Row],[LayOdds]]-1)*(1+LayTable[[#This Row],[C% Lay]])))-1))+1)))-1)</f>
        <v/>
      </c>
      <c r="Q1446" s="46" t="str">
        <f>IF(LayTable[[#This Row],[Sport]]="","",LayTable[[#This Row],[BookieInnsats]]+LayTable[[#This Row],[LayLiability]])</f>
        <v/>
      </c>
      <c r="R14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6" s="47" t="str">
        <f>IF(LayTable[[#This Row],[Utfall bookie]]="","",LayTable[[#This Row],[WBABack]]+LayTable[[#This Row],[WBALay]]-LayTable[[#This Row],[Total inns]])</f>
        <v/>
      </c>
      <c r="U14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6" s="48" t="str">
        <f>IFERROR(IF(LayTable[[#This Row],[Total inns]]="","",LayTable[[#This Row],[Rback]]/LayTable[[#This Row],[Total inns]]),"")</f>
        <v/>
      </c>
      <c r="X1446" s="48" t="str">
        <f>IFERROR(IF(LayTable[[#This Row],[Total inns]]="","",LayTable[[#This Row],[Rlay]]/LayTable[[#This Row],[Total inns]]),"")</f>
        <v/>
      </c>
      <c r="Y1446" s="48" t="str">
        <f>IFERROR(LayTable[[#This Row],[Faktisk res]]/LayTable[[#This Row],[Total inns]],"")</f>
        <v/>
      </c>
      <c r="Z1446" s="47">
        <f>(LayTable[[#This Row],[BookieInnsats]]*LayTable[[#This Row],[BookieOdds]]-LayTable[[#This Row],[BookieInnsats]])*(1-LayTable[[#This Row],[C% Bookie]])</f>
        <v>0</v>
      </c>
      <c r="AA1446" s="43">
        <f>LayTable[[#This Row],[LayInnsats]]*(1-LayTable[[#This Row],[C% Lay]])</f>
        <v>0</v>
      </c>
      <c r="AB1446" s="43" t="str">
        <f>IFERROR(IF(LayTable[[#This Row],[Sport]]="",AB1445,LayTable[[#This Row],[Faktisk res]]+AB1445),"")</f>
        <v/>
      </c>
      <c r="AC1446" s="43">
        <f>(LayTable[[#This Row],[BackWin-Commission]]+LayTable[[#This Row],[BookieInnsats]])</f>
        <v>0</v>
      </c>
      <c r="AD1446" s="43" t="e">
        <f>(LayTable[[#This Row],[LayWin-Commission]])+LayTable[[#This Row],[LayLiability]]</f>
        <v>#VALUE!</v>
      </c>
      <c r="AE1446" s="43"/>
      <c r="AF1446" s="181"/>
    </row>
    <row r="1447" spans="1:32">
      <c r="A1447" s="84"/>
      <c r="B1447" s="39"/>
      <c r="C1447" s="40"/>
      <c r="D1447" s="41"/>
      <c r="E1447" s="40"/>
      <c r="F1447" s="41"/>
      <c r="G1447" s="101"/>
      <c r="H1447" s="38"/>
      <c r="I1447" s="42"/>
      <c r="J1447" s="42"/>
      <c r="K1447" s="43"/>
      <c r="L1447" s="43"/>
      <c r="M1447" s="44" t="str">
        <f>IF(LayTable[[#This Row],[Sport]]="","",LayTable[[#This Row],[LayInnsats]]*(LayTable[[#This Row],[LayOdds]]-1))</f>
        <v/>
      </c>
      <c r="N1447" s="45" t="str">
        <f>IF(LayTable[[#This Row],[Sport]]="","",1/((1/LayTable[[#This Row],[BookieOdds]])+(1/((1/((1+((LayTable[[#This Row],[LayOdds]]-1)*(1+LayTable[[#This Row],[C% Lay]])))-1))+1)))-1)</f>
        <v/>
      </c>
      <c r="Q1447" s="46" t="str">
        <f>IF(LayTable[[#This Row],[Sport]]="","",LayTable[[#This Row],[BookieInnsats]]+LayTable[[#This Row],[LayLiability]])</f>
        <v/>
      </c>
      <c r="R14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7" s="47" t="str">
        <f>IF(LayTable[[#This Row],[Utfall bookie]]="","",LayTable[[#This Row],[WBABack]]+LayTable[[#This Row],[WBALay]]-LayTable[[#This Row],[Total inns]])</f>
        <v/>
      </c>
      <c r="U14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7" s="48" t="str">
        <f>IFERROR(IF(LayTable[[#This Row],[Total inns]]="","",LayTable[[#This Row],[Rback]]/LayTable[[#This Row],[Total inns]]),"")</f>
        <v/>
      </c>
      <c r="X1447" s="48" t="str">
        <f>IFERROR(IF(LayTable[[#This Row],[Total inns]]="","",LayTable[[#This Row],[Rlay]]/LayTable[[#This Row],[Total inns]]),"")</f>
        <v/>
      </c>
      <c r="Y1447" s="48" t="str">
        <f>IFERROR(LayTable[[#This Row],[Faktisk res]]/LayTable[[#This Row],[Total inns]],"")</f>
        <v/>
      </c>
      <c r="Z1447" s="47">
        <f>(LayTable[[#This Row],[BookieInnsats]]*LayTable[[#This Row],[BookieOdds]]-LayTable[[#This Row],[BookieInnsats]])*(1-LayTable[[#This Row],[C% Bookie]])</f>
        <v>0</v>
      </c>
      <c r="AA1447" s="43">
        <f>LayTable[[#This Row],[LayInnsats]]*(1-LayTable[[#This Row],[C% Lay]])</f>
        <v>0</v>
      </c>
      <c r="AB1447" s="43" t="str">
        <f>IFERROR(IF(LayTable[[#This Row],[Sport]]="",AB1446,LayTable[[#This Row],[Faktisk res]]+AB1446),"")</f>
        <v/>
      </c>
      <c r="AC1447" s="43">
        <f>(LayTable[[#This Row],[BackWin-Commission]]+LayTable[[#This Row],[BookieInnsats]])</f>
        <v>0</v>
      </c>
      <c r="AD1447" s="43" t="e">
        <f>(LayTable[[#This Row],[LayWin-Commission]])+LayTable[[#This Row],[LayLiability]]</f>
        <v>#VALUE!</v>
      </c>
      <c r="AE1447" s="43"/>
      <c r="AF1447" s="181"/>
    </row>
    <row r="1448" spans="1:32">
      <c r="A1448" s="84"/>
      <c r="B1448" s="39"/>
      <c r="C1448" s="40"/>
      <c r="D1448" s="41"/>
      <c r="E1448" s="40"/>
      <c r="F1448" s="41"/>
      <c r="G1448" s="101"/>
      <c r="H1448" s="38"/>
      <c r="I1448" s="42"/>
      <c r="J1448" s="42"/>
      <c r="K1448" s="43"/>
      <c r="L1448" s="43"/>
      <c r="M1448" s="44" t="str">
        <f>IF(LayTable[[#This Row],[Sport]]="","",LayTable[[#This Row],[LayInnsats]]*(LayTable[[#This Row],[LayOdds]]-1))</f>
        <v/>
      </c>
      <c r="N1448" s="45" t="str">
        <f>IF(LayTable[[#This Row],[Sport]]="","",1/((1/LayTable[[#This Row],[BookieOdds]])+(1/((1/((1+((LayTable[[#This Row],[LayOdds]]-1)*(1+LayTable[[#This Row],[C% Lay]])))-1))+1)))-1)</f>
        <v/>
      </c>
      <c r="Q1448" s="46" t="str">
        <f>IF(LayTable[[#This Row],[Sport]]="","",LayTable[[#This Row],[BookieInnsats]]+LayTable[[#This Row],[LayLiability]])</f>
        <v/>
      </c>
      <c r="R14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8" s="47" t="str">
        <f>IF(LayTable[[#This Row],[Utfall bookie]]="","",LayTable[[#This Row],[WBABack]]+LayTable[[#This Row],[WBALay]]-LayTable[[#This Row],[Total inns]])</f>
        <v/>
      </c>
      <c r="U14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8" s="48" t="str">
        <f>IFERROR(IF(LayTable[[#This Row],[Total inns]]="","",LayTable[[#This Row],[Rback]]/LayTable[[#This Row],[Total inns]]),"")</f>
        <v/>
      </c>
      <c r="X1448" s="48" t="str">
        <f>IFERROR(IF(LayTable[[#This Row],[Total inns]]="","",LayTable[[#This Row],[Rlay]]/LayTable[[#This Row],[Total inns]]),"")</f>
        <v/>
      </c>
      <c r="Y1448" s="48" t="str">
        <f>IFERROR(LayTable[[#This Row],[Faktisk res]]/LayTable[[#This Row],[Total inns]],"")</f>
        <v/>
      </c>
      <c r="Z1448" s="47">
        <f>(LayTable[[#This Row],[BookieInnsats]]*LayTable[[#This Row],[BookieOdds]]-LayTable[[#This Row],[BookieInnsats]])*(1-LayTable[[#This Row],[C% Bookie]])</f>
        <v>0</v>
      </c>
      <c r="AA1448" s="43">
        <f>LayTable[[#This Row],[LayInnsats]]*(1-LayTable[[#This Row],[C% Lay]])</f>
        <v>0</v>
      </c>
      <c r="AB1448" s="43" t="str">
        <f>IFERROR(IF(LayTable[[#This Row],[Sport]]="",AB1447,LayTable[[#This Row],[Faktisk res]]+AB1447),"")</f>
        <v/>
      </c>
      <c r="AC1448" s="43">
        <f>(LayTable[[#This Row],[BackWin-Commission]]+LayTable[[#This Row],[BookieInnsats]])</f>
        <v>0</v>
      </c>
      <c r="AD1448" s="43" t="e">
        <f>(LayTable[[#This Row],[LayWin-Commission]])+LayTable[[#This Row],[LayLiability]]</f>
        <v>#VALUE!</v>
      </c>
      <c r="AE1448" s="43"/>
      <c r="AF1448" s="181"/>
    </row>
    <row r="1449" spans="1:32">
      <c r="A1449" s="84"/>
      <c r="B1449" s="39"/>
      <c r="C1449" s="40"/>
      <c r="D1449" s="41"/>
      <c r="E1449" s="40"/>
      <c r="F1449" s="41"/>
      <c r="G1449" s="101"/>
      <c r="H1449" s="38"/>
      <c r="I1449" s="42"/>
      <c r="J1449" s="42"/>
      <c r="K1449" s="43"/>
      <c r="L1449" s="43"/>
      <c r="M1449" s="44" t="str">
        <f>IF(LayTable[[#This Row],[Sport]]="","",LayTable[[#This Row],[LayInnsats]]*(LayTable[[#This Row],[LayOdds]]-1))</f>
        <v/>
      </c>
      <c r="N1449" s="45" t="str">
        <f>IF(LayTable[[#This Row],[Sport]]="","",1/((1/LayTable[[#This Row],[BookieOdds]])+(1/((1/((1+((LayTable[[#This Row],[LayOdds]]-1)*(1+LayTable[[#This Row],[C% Lay]])))-1))+1)))-1)</f>
        <v/>
      </c>
      <c r="Q1449" s="46" t="str">
        <f>IF(LayTable[[#This Row],[Sport]]="","",LayTable[[#This Row],[BookieInnsats]]+LayTable[[#This Row],[LayLiability]])</f>
        <v/>
      </c>
      <c r="R14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49" s="47" t="str">
        <f>IF(LayTable[[#This Row],[Utfall bookie]]="","",LayTable[[#This Row],[WBABack]]+LayTable[[#This Row],[WBALay]]-LayTable[[#This Row],[Total inns]])</f>
        <v/>
      </c>
      <c r="U14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49" s="48" t="str">
        <f>IFERROR(IF(LayTable[[#This Row],[Total inns]]="","",LayTable[[#This Row],[Rback]]/LayTable[[#This Row],[Total inns]]),"")</f>
        <v/>
      </c>
      <c r="X1449" s="48" t="str">
        <f>IFERROR(IF(LayTable[[#This Row],[Total inns]]="","",LayTable[[#This Row],[Rlay]]/LayTable[[#This Row],[Total inns]]),"")</f>
        <v/>
      </c>
      <c r="Y1449" s="48" t="str">
        <f>IFERROR(LayTable[[#This Row],[Faktisk res]]/LayTable[[#This Row],[Total inns]],"")</f>
        <v/>
      </c>
      <c r="Z1449" s="47">
        <f>(LayTable[[#This Row],[BookieInnsats]]*LayTable[[#This Row],[BookieOdds]]-LayTable[[#This Row],[BookieInnsats]])*(1-LayTable[[#This Row],[C% Bookie]])</f>
        <v>0</v>
      </c>
      <c r="AA1449" s="43">
        <f>LayTable[[#This Row],[LayInnsats]]*(1-LayTable[[#This Row],[C% Lay]])</f>
        <v>0</v>
      </c>
      <c r="AB1449" s="43" t="str">
        <f>IFERROR(IF(LayTable[[#This Row],[Sport]]="",AB1448,LayTable[[#This Row],[Faktisk res]]+AB1448),"")</f>
        <v/>
      </c>
      <c r="AC1449" s="43">
        <f>(LayTable[[#This Row],[BackWin-Commission]]+LayTable[[#This Row],[BookieInnsats]])</f>
        <v>0</v>
      </c>
      <c r="AD1449" s="43" t="e">
        <f>(LayTable[[#This Row],[LayWin-Commission]])+LayTable[[#This Row],[LayLiability]]</f>
        <v>#VALUE!</v>
      </c>
      <c r="AE1449" s="43"/>
      <c r="AF1449" s="181"/>
    </row>
    <row r="1450" spans="1:32">
      <c r="A1450" s="84"/>
      <c r="B1450" s="39"/>
      <c r="C1450" s="40"/>
      <c r="D1450" s="41"/>
      <c r="E1450" s="40"/>
      <c r="F1450" s="41"/>
      <c r="G1450" s="101"/>
      <c r="H1450" s="38"/>
      <c r="I1450" s="42"/>
      <c r="J1450" s="42"/>
      <c r="K1450" s="43"/>
      <c r="L1450" s="43"/>
      <c r="M1450" s="44" t="str">
        <f>IF(LayTable[[#This Row],[Sport]]="","",LayTable[[#This Row],[LayInnsats]]*(LayTable[[#This Row],[LayOdds]]-1))</f>
        <v/>
      </c>
      <c r="N1450" s="45" t="str">
        <f>IF(LayTable[[#This Row],[Sport]]="","",1/((1/LayTable[[#This Row],[BookieOdds]])+(1/((1/((1+((LayTable[[#This Row],[LayOdds]]-1)*(1+LayTable[[#This Row],[C% Lay]])))-1))+1)))-1)</f>
        <v/>
      </c>
      <c r="Q1450" s="46" t="str">
        <f>IF(LayTable[[#This Row],[Sport]]="","",LayTable[[#This Row],[BookieInnsats]]+LayTable[[#This Row],[LayLiability]])</f>
        <v/>
      </c>
      <c r="R14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0" s="47" t="str">
        <f>IF(LayTable[[#This Row],[Utfall bookie]]="","",LayTable[[#This Row],[WBABack]]+LayTable[[#This Row],[WBALay]]-LayTable[[#This Row],[Total inns]])</f>
        <v/>
      </c>
      <c r="U14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0" s="48" t="str">
        <f>IFERROR(IF(LayTable[[#This Row],[Total inns]]="","",LayTable[[#This Row],[Rback]]/LayTable[[#This Row],[Total inns]]),"")</f>
        <v/>
      </c>
      <c r="X1450" s="48" t="str">
        <f>IFERROR(IF(LayTable[[#This Row],[Total inns]]="","",LayTable[[#This Row],[Rlay]]/LayTable[[#This Row],[Total inns]]),"")</f>
        <v/>
      </c>
      <c r="Y1450" s="48" t="str">
        <f>IFERROR(LayTable[[#This Row],[Faktisk res]]/LayTable[[#This Row],[Total inns]],"")</f>
        <v/>
      </c>
      <c r="Z1450" s="47">
        <f>(LayTable[[#This Row],[BookieInnsats]]*LayTable[[#This Row],[BookieOdds]]-LayTable[[#This Row],[BookieInnsats]])*(1-LayTable[[#This Row],[C% Bookie]])</f>
        <v>0</v>
      </c>
      <c r="AA1450" s="43">
        <f>LayTable[[#This Row],[LayInnsats]]*(1-LayTable[[#This Row],[C% Lay]])</f>
        <v>0</v>
      </c>
      <c r="AB1450" s="43" t="str">
        <f>IFERROR(IF(LayTable[[#This Row],[Sport]]="",AB1449,LayTable[[#This Row],[Faktisk res]]+AB1449),"")</f>
        <v/>
      </c>
      <c r="AC1450" s="43">
        <f>(LayTable[[#This Row],[BackWin-Commission]]+LayTable[[#This Row],[BookieInnsats]])</f>
        <v>0</v>
      </c>
      <c r="AD1450" s="43" t="e">
        <f>(LayTable[[#This Row],[LayWin-Commission]])+LayTable[[#This Row],[LayLiability]]</f>
        <v>#VALUE!</v>
      </c>
      <c r="AE1450" s="43"/>
      <c r="AF1450" s="181"/>
    </row>
    <row r="1451" spans="1:32">
      <c r="A1451" s="84"/>
      <c r="B1451" s="39"/>
      <c r="C1451" s="40"/>
      <c r="D1451" s="41"/>
      <c r="E1451" s="40"/>
      <c r="F1451" s="41"/>
      <c r="G1451" s="101"/>
      <c r="H1451" s="38"/>
      <c r="I1451" s="42"/>
      <c r="J1451" s="42"/>
      <c r="K1451" s="43"/>
      <c r="L1451" s="43"/>
      <c r="M1451" s="44" t="str">
        <f>IF(LayTable[[#This Row],[Sport]]="","",LayTable[[#This Row],[LayInnsats]]*(LayTable[[#This Row],[LayOdds]]-1))</f>
        <v/>
      </c>
      <c r="N1451" s="45" t="str">
        <f>IF(LayTable[[#This Row],[Sport]]="","",1/((1/LayTable[[#This Row],[BookieOdds]])+(1/((1/((1+((LayTable[[#This Row],[LayOdds]]-1)*(1+LayTable[[#This Row],[C% Lay]])))-1))+1)))-1)</f>
        <v/>
      </c>
      <c r="Q1451" s="46" t="str">
        <f>IF(LayTable[[#This Row],[Sport]]="","",LayTable[[#This Row],[BookieInnsats]]+LayTable[[#This Row],[LayLiability]])</f>
        <v/>
      </c>
      <c r="R14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1" s="47" t="str">
        <f>IF(LayTable[[#This Row],[Utfall bookie]]="","",LayTable[[#This Row],[WBABack]]+LayTable[[#This Row],[WBALay]]-LayTable[[#This Row],[Total inns]])</f>
        <v/>
      </c>
      <c r="U14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1" s="48" t="str">
        <f>IFERROR(IF(LayTable[[#This Row],[Total inns]]="","",LayTable[[#This Row],[Rback]]/LayTable[[#This Row],[Total inns]]),"")</f>
        <v/>
      </c>
      <c r="X1451" s="48" t="str">
        <f>IFERROR(IF(LayTable[[#This Row],[Total inns]]="","",LayTable[[#This Row],[Rlay]]/LayTable[[#This Row],[Total inns]]),"")</f>
        <v/>
      </c>
      <c r="Y1451" s="48" t="str">
        <f>IFERROR(LayTable[[#This Row],[Faktisk res]]/LayTable[[#This Row],[Total inns]],"")</f>
        <v/>
      </c>
      <c r="Z1451" s="47">
        <f>(LayTable[[#This Row],[BookieInnsats]]*LayTable[[#This Row],[BookieOdds]]-LayTable[[#This Row],[BookieInnsats]])*(1-LayTable[[#This Row],[C% Bookie]])</f>
        <v>0</v>
      </c>
      <c r="AA1451" s="43">
        <f>LayTable[[#This Row],[LayInnsats]]*(1-LayTable[[#This Row],[C% Lay]])</f>
        <v>0</v>
      </c>
      <c r="AB1451" s="43" t="str">
        <f>IFERROR(IF(LayTable[[#This Row],[Sport]]="",AB1450,LayTable[[#This Row],[Faktisk res]]+AB1450),"")</f>
        <v/>
      </c>
      <c r="AC1451" s="43">
        <f>(LayTable[[#This Row],[BackWin-Commission]]+LayTable[[#This Row],[BookieInnsats]])</f>
        <v>0</v>
      </c>
      <c r="AD1451" s="43" t="e">
        <f>(LayTable[[#This Row],[LayWin-Commission]])+LayTable[[#This Row],[LayLiability]]</f>
        <v>#VALUE!</v>
      </c>
      <c r="AE1451" s="43"/>
      <c r="AF1451" s="181"/>
    </row>
    <row r="1452" spans="1:32">
      <c r="A1452" s="84"/>
      <c r="B1452" s="39"/>
      <c r="C1452" s="40"/>
      <c r="D1452" s="41"/>
      <c r="E1452" s="40"/>
      <c r="F1452" s="41"/>
      <c r="G1452" s="101"/>
      <c r="H1452" s="38"/>
      <c r="I1452" s="42"/>
      <c r="J1452" s="42"/>
      <c r="K1452" s="43"/>
      <c r="L1452" s="43"/>
      <c r="M1452" s="44" t="str">
        <f>IF(LayTable[[#This Row],[Sport]]="","",LayTable[[#This Row],[LayInnsats]]*(LayTable[[#This Row],[LayOdds]]-1))</f>
        <v/>
      </c>
      <c r="N1452" s="45" t="str">
        <f>IF(LayTable[[#This Row],[Sport]]="","",1/((1/LayTable[[#This Row],[BookieOdds]])+(1/((1/((1+((LayTable[[#This Row],[LayOdds]]-1)*(1+LayTable[[#This Row],[C% Lay]])))-1))+1)))-1)</f>
        <v/>
      </c>
      <c r="Q1452" s="46" t="str">
        <f>IF(LayTable[[#This Row],[Sport]]="","",LayTable[[#This Row],[BookieInnsats]]+LayTable[[#This Row],[LayLiability]])</f>
        <v/>
      </c>
      <c r="R14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2" s="47" t="str">
        <f>IF(LayTable[[#This Row],[Utfall bookie]]="","",LayTable[[#This Row],[WBABack]]+LayTable[[#This Row],[WBALay]]-LayTable[[#This Row],[Total inns]])</f>
        <v/>
      </c>
      <c r="U14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2" s="48" t="str">
        <f>IFERROR(IF(LayTable[[#This Row],[Total inns]]="","",LayTable[[#This Row],[Rback]]/LayTable[[#This Row],[Total inns]]),"")</f>
        <v/>
      </c>
      <c r="X1452" s="48" t="str">
        <f>IFERROR(IF(LayTable[[#This Row],[Total inns]]="","",LayTable[[#This Row],[Rlay]]/LayTable[[#This Row],[Total inns]]),"")</f>
        <v/>
      </c>
      <c r="Y1452" s="48" t="str">
        <f>IFERROR(LayTable[[#This Row],[Faktisk res]]/LayTable[[#This Row],[Total inns]],"")</f>
        <v/>
      </c>
      <c r="Z1452" s="47">
        <f>(LayTable[[#This Row],[BookieInnsats]]*LayTable[[#This Row],[BookieOdds]]-LayTable[[#This Row],[BookieInnsats]])*(1-LayTable[[#This Row],[C% Bookie]])</f>
        <v>0</v>
      </c>
      <c r="AA1452" s="43">
        <f>LayTable[[#This Row],[LayInnsats]]*(1-LayTable[[#This Row],[C% Lay]])</f>
        <v>0</v>
      </c>
      <c r="AB1452" s="43" t="str">
        <f>IFERROR(IF(LayTable[[#This Row],[Sport]]="",AB1451,LayTable[[#This Row],[Faktisk res]]+AB1451),"")</f>
        <v/>
      </c>
      <c r="AC1452" s="43">
        <f>(LayTable[[#This Row],[BackWin-Commission]]+LayTable[[#This Row],[BookieInnsats]])</f>
        <v>0</v>
      </c>
      <c r="AD1452" s="43" t="e">
        <f>(LayTable[[#This Row],[LayWin-Commission]])+LayTable[[#This Row],[LayLiability]]</f>
        <v>#VALUE!</v>
      </c>
      <c r="AE1452" s="43"/>
      <c r="AF1452" s="181"/>
    </row>
    <row r="1453" spans="1:32">
      <c r="A1453" s="84"/>
      <c r="B1453" s="39"/>
      <c r="C1453" s="40"/>
      <c r="D1453" s="41"/>
      <c r="E1453" s="40"/>
      <c r="F1453" s="41"/>
      <c r="G1453" s="101"/>
      <c r="H1453" s="38"/>
      <c r="I1453" s="42"/>
      <c r="J1453" s="42"/>
      <c r="K1453" s="43"/>
      <c r="L1453" s="43"/>
      <c r="M1453" s="44" t="str">
        <f>IF(LayTable[[#This Row],[Sport]]="","",LayTable[[#This Row],[LayInnsats]]*(LayTable[[#This Row],[LayOdds]]-1))</f>
        <v/>
      </c>
      <c r="N1453" s="45" t="str">
        <f>IF(LayTable[[#This Row],[Sport]]="","",1/((1/LayTable[[#This Row],[BookieOdds]])+(1/((1/((1+((LayTable[[#This Row],[LayOdds]]-1)*(1+LayTable[[#This Row],[C% Lay]])))-1))+1)))-1)</f>
        <v/>
      </c>
      <c r="Q1453" s="46" t="str">
        <f>IF(LayTable[[#This Row],[Sport]]="","",LayTable[[#This Row],[BookieInnsats]]+LayTable[[#This Row],[LayLiability]])</f>
        <v/>
      </c>
      <c r="R14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3" s="47" t="str">
        <f>IF(LayTable[[#This Row],[Utfall bookie]]="","",LayTable[[#This Row],[WBABack]]+LayTable[[#This Row],[WBALay]]-LayTable[[#This Row],[Total inns]])</f>
        <v/>
      </c>
      <c r="U14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3" s="48" t="str">
        <f>IFERROR(IF(LayTable[[#This Row],[Total inns]]="","",LayTable[[#This Row],[Rback]]/LayTable[[#This Row],[Total inns]]),"")</f>
        <v/>
      </c>
      <c r="X1453" s="48" t="str">
        <f>IFERROR(IF(LayTable[[#This Row],[Total inns]]="","",LayTable[[#This Row],[Rlay]]/LayTable[[#This Row],[Total inns]]),"")</f>
        <v/>
      </c>
      <c r="Y1453" s="48" t="str">
        <f>IFERROR(LayTable[[#This Row],[Faktisk res]]/LayTable[[#This Row],[Total inns]],"")</f>
        <v/>
      </c>
      <c r="Z1453" s="47">
        <f>(LayTable[[#This Row],[BookieInnsats]]*LayTable[[#This Row],[BookieOdds]]-LayTable[[#This Row],[BookieInnsats]])*(1-LayTable[[#This Row],[C% Bookie]])</f>
        <v>0</v>
      </c>
      <c r="AA1453" s="43">
        <f>LayTable[[#This Row],[LayInnsats]]*(1-LayTable[[#This Row],[C% Lay]])</f>
        <v>0</v>
      </c>
      <c r="AB1453" s="43" t="str">
        <f>IFERROR(IF(LayTable[[#This Row],[Sport]]="",AB1452,LayTable[[#This Row],[Faktisk res]]+AB1452),"")</f>
        <v/>
      </c>
      <c r="AC1453" s="43">
        <f>(LayTable[[#This Row],[BackWin-Commission]]+LayTable[[#This Row],[BookieInnsats]])</f>
        <v>0</v>
      </c>
      <c r="AD1453" s="43" t="e">
        <f>(LayTable[[#This Row],[LayWin-Commission]])+LayTable[[#This Row],[LayLiability]]</f>
        <v>#VALUE!</v>
      </c>
      <c r="AE1453" s="43"/>
      <c r="AF1453" s="181"/>
    </row>
    <row r="1454" spans="1:32">
      <c r="A1454" s="84"/>
      <c r="B1454" s="39"/>
      <c r="C1454" s="40"/>
      <c r="D1454" s="41"/>
      <c r="E1454" s="40"/>
      <c r="F1454" s="41"/>
      <c r="G1454" s="101"/>
      <c r="H1454" s="38"/>
      <c r="I1454" s="42"/>
      <c r="J1454" s="42"/>
      <c r="K1454" s="43"/>
      <c r="L1454" s="43"/>
      <c r="M1454" s="44" t="str">
        <f>IF(LayTable[[#This Row],[Sport]]="","",LayTable[[#This Row],[LayInnsats]]*(LayTable[[#This Row],[LayOdds]]-1))</f>
        <v/>
      </c>
      <c r="N1454" s="45" t="str">
        <f>IF(LayTable[[#This Row],[Sport]]="","",1/((1/LayTable[[#This Row],[BookieOdds]])+(1/((1/((1+((LayTable[[#This Row],[LayOdds]]-1)*(1+LayTable[[#This Row],[C% Lay]])))-1))+1)))-1)</f>
        <v/>
      </c>
      <c r="Q1454" s="46" t="str">
        <f>IF(LayTable[[#This Row],[Sport]]="","",LayTable[[#This Row],[BookieInnsats]]+LayTable[[#This Row],[LayLiability]])</f>
        <v/>
      </c>
      <c r="R14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4" s="47" t="str">
        <f>IF(LayTable[[#This Row],[Utfall bookie]]="","",LayTable[[#This Row],[WBABack]]+LayTable[[#This Row],[WBALay]]-LayTable[[#This Row],[Total inns]])</f>
        <v/>
      </c>
      <c r="U14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4" s="48" t="str">
        <f>IFERROR(IF(LayTable[[#This Row],[Total inns]]="","",LayTable[[#This Row],[Rback]]/LayTable[[#This Row],[Total inns]]),"")</f>
        <v/>
      </c>
      <c r="X1454" s="48" t="str">
        <f>IFERROR(IF(LayTable[[#This Row],[Total inns]]="","",LayTable[[#This Row],[Rlay]]/LayTable[[#This Row],[Total inns]]),"")</f>
        <v/>
      </c>
      <c r="Y1454" s="48" t="str">
        <f>IFERROR(LayTable[[#This Row],[Faktisk res]]/LayTable[[#This Row],[Total inns]],"")</f>
        <v/>
      </c>
      <c r="Z1454" s="47">
        <f>(LayTable[[#This Row],[BookieInnsats]]*LayTable[[#This Row],[BookieOdds]]-LayTable[[#This Row],[BookieInnsats]])*(1-LayTable[[#This Row],[C% Bookie]])</f>
        <v>0</v>
      </c>
      <c r="AA1454" s="43">
        <f>LayTable[[#This Row],[LayInnsats]]*(1-LayTable[[#This Row],[C% Lay]])</f>
        <v>0</v>
      </c>
      <c r="AB1454" s="43" t="str">
        <f>IFERROR(IF(LayTable[[#This Row],[Sport]]="",AB1453,LayTable[[#This Row],[Faktisk res]]+AB1453),"")</f>
        <v/>
      </c>
      <c r="AC1454" s="43">
        <f>(LayTable[[#This Row],[BackWin-Commission]]+LayTable[[#This Row],[BookieInnsats]])</f>
        <v>0</v>
      </c>
      <c r="AD1454" s="43" t="e">
        <f>(LayTable[[#This Row],[LayWin-Commission]])+LayTable[[#This Row],[LayLiability]]</f>
        <v>#VALUE!</v>
      </c>
      <c r="AE1454" s="43"/>
      <c r="AF1454" s="181"/>
    </row>
    <row r="1455" spans="1:32">
      <c r="A1455" s="84"/>
      <c r="B1455" s="39"/>
      <c r="C1455" s="40"/>
      <c r="D1455" s="41"/>
      <c r="E1455" s="40"/>
      <c r="F1455" s="41"/>
      <c r="G1455" s="101"/>
      <c r="H1455" s="38"/>
      <c r="I1455" s="42"/>
      <c r="J1455" s="42"/>
      <c r="K1455" s="43"/>
      <c r="L1455" s="43"/>
      <c r="M1455" s="44" t="str">
        <f>IF(LayTable[[#This Row],[Sport]]="","",LayTable[[#This Row],[LayInnsats]]*(LayTable[[#This Row],[LayOdds]]-1))</f>
        <v/>
      </c>
      <c r="N1455" s="45" t="str">
        <f>IF(LayTable[[#This Row],[Sport]]="","",1/((1/LayTable[[#This Row],[BookieOdds]])+(1/((1/((1+((LayTable[[#This Row],[LayOdds]]-1)*(1+LayTable[[#This Row],[C% Lay]])))-1))+1)))-1)</f>
        <v/>
      </c>
      <c r="Q1455" s="46" t="str">
        <f>IF(LayTable[[#This Row],[Sport]]="","",LayTable[[#This Row],[BookieInnsats]]+LayTable[[#This Row],[LayLiability]])</f>
        <v/>
      </c>
      <c r="R14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5" s="47" t="str">
        <f>IF(LayTable[[#This Row],[Utfall bookie]]="","",LayTable[[#This Row],[WBABack]]+LayTable[[#This Row],[WBALay]]-LayTable[[#This Row],[Total inns]])</f>
        <v/>
      </c>
      <c r="U14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5" s="48" t="str">
        <f>IFERROR(IF(LayTable[[#This Row],[Total inns]]="","",LayTable[[#This Row],[Rback]]/LayTable[[#This Row],[Total inns]]),"")</f>
        <v/>
      </c>
      <c r="X1455" s="48" t="str">
        <f>IFERROR(IF(LayTable[[#This Row],[Total inns]]="","",LayTable[[#This Row],[Rlay]]/LayTable[[#This Row],[Total inns]]),"")</f>
        <v/>
      </c>
      <c r="Y1455" s="48" t="str">
        <f>IFERROR(LayTable[[#This Row],[Faktisk res]]/LayTable[[#This Row],[Total inns]],"")</f>
        <v/>
      </c>
      <c r="Z1455" s="47">
        <f>(LayTable[[#This Row],[BookieInnsats]]*LayTable[[#This Row],[BookieOdds]]-LayTable[[#This Row],[BookieInnsats]])*(1-LayTable[[#This Row],[C% Bookie]])</f>
        <v>0</v>
      </c>
      <c r="AA1455" s="43">
        <f>LayTable[[#This Row],[LayInnsats]]*(1-LayTable[[#This Row],[C% Lay]])</f>
        <v>0</v>
      </c>
      <c r="AB1455" s="43" t="str">
        <f>IFERROR(IF(LayTable[[#This Row],[Sport]]="",AB1454,LayTable[[#This Row],[Faktisk res]]+AB1454),"")</f>
        <v/>
      </c>
      <c r="AC1455" s="43">
        <f>(LayTable[[#This Row],[BackWin-Commission]]+LayTable[[#This Row],[BookieInnsats]])</f>
        <v>0</v>
      </c>
      <c r="AD1455" s="43" t="e">
        <f>(LayTable[[#This Row],[LayWin-Commission]])+LayTable[[#This Row],[LayLiability]]</f>
        <v>#VALUE!</v>
      </c>
      <c r="AE1455" s="43"/>
      <c r="AF1455" s="181"/>
    </row>
    <row r="1456" spans="1:32">
      <c r="A1456" s="84"/>
      <c r="B1456" s="39"/>
      <c r="C1456" s="40"/>
      <c r="D1456" s="41"/>
      <c r="E1456" s="40"/>
      <c r="F1456" s="41"/>
      <c r="G1456" s="101"/>
      <c r="H1456" s="38"/>
      <c r="I1456" s="42"/>
      <c r="J1456" s="42"/>
      <c r="K1456" s="43"/>
      <c r="L1456" s="43"/>
      <c r="M1456" s="44" t="str">
        <f>IF(LayTable[[#This Row],[Sport]]="","",LayTable[[#This Row],[LayInnsats]]*(LayTable[[#This Row],[LayOdds]]-1))</f>
        <v/>
      </c>
      <c r="N1456" s="45" t="str">
        <f>IF(LayTable[[#This Row],[Sport]]="","",1/((1/LayTable[[#This Row],[BookieOdds]])+(1/((1/((1+((LayTable[[#This Row],[LayOdds]]-1)*(1+LayTable[[#This Row],[C% Lay]])))-1))+1)))-1)</f>
        <v/>
      </c>
      <c r="Q1456" s="46" t="str">
        <f>IF(LayTable[[#This Row],[Sport]]="","",LayTable[[#This Row],[BookieInnsats]]+LayTable[[#This Row],[LayLiability]])</f>
        <v/>
      </c>
      <c r="R14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6" s="47" t="str">
        <f>IF(LayTable[[#This Row],[Utfall bookie]]="","",LayTable[[#This Row],[WBABack]]+LayTable[[#This Row],[WBALay]]-LayTable[[#This Row],[Total inns]])</f>
        <v/>
      </c>
      <c r="U14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6" s="48" t="str">
        <f>IFERROR(IF(LayTable[[#This Row],[Total inns]]="","",LayTable[[#This Row],[Rback]]/LayTable[[#This Row],[Total inns]]),"")</f>
        <v/>
      </c>
      <c r="X1456" s="48" t="str">
        <f>IFERROR(IF(LayTable[[#This Row],[Total inns]]="","",LayTable[[#This Row],[Rlay]]/LayTable[[#This Row],[Total inns]]),"")</f>
        <v/>
      </c>
      <c r="Y1456" s="48" t="str">
        <f>IFERROR(LayTable[[#This Row],[Faktisk res]]/LayTable[[#This Row],[Total inns]],"")</f>
        <v/>
      </c>
      <c r="Z1456" s="47">
        <f>(LayTable[[#This Row],[BookieInnsats]]*LayTable[[#This Row],[BookieOdds]]-LayTable[[#This Row],[BookieInnsats]])*(1-LayTable[[#This Row],[C% Bookie]])</f>
        <v>0</v>
      </c>
      <c r="AA1456" s="43">
        <f>LayTable[[#This Row],[LayInnsats]]*(1-LayTable[[#This Row],[C% Lay]])</f>
        <v>0</v>
      </c>
      <c r="AB1456" s="43" t="str">
        <f>IFERROR(IF(LayTable[[#This Row],[Sport]]="",AB1455,LayTable[[#This Row],[Faktisk res]]+AB1455),"")</f>
        <v/>
      </c>
      <c r="AC1456" s="43">
        <f>(LayTable[[#This Row],[BackWin-Commission]]+LayTable[[#This Row],[BookieInnsats]])</f>
        <v>0</v>
      </c>
      <c r="AD1456" s="43" t="e">
        <f>(LayTable[[#This Row],[LayWin-Commission]])+LayTable[[#This Row],[LayLiability]]</f>
        <v>#VALUE!</v>
      </c>
      <c r="AE1456" s="43"/>
      <c r="AF1456" s="181"/>
    </row>
    <row r="1457" spans="1:32">
      <c r="A1457" s="84"/>
      <c r="B1457" s="39"/>
      <c r="C1457" s="40"/>
      <c r="D1457" s="41"/>
      <c r="E1457" s="40"/>
      <c r="F1457" s="41"/>
      <c r="G1457" s="101"/>
      <c r="H1457" s="38"/>
      <c r="I1457" s="42"/>
      <c r="J1457" s="42"/>
      <c r="K1457" s="43"/>
      <c r="L1457" s="43"/>
      <c r="M1457" s="44" t="str">
        <f>IF(LayTable[[#This Row],[Sport]]="","",LayTable[[#This Row],[LayInnsats]]*(LayTable[[#This Row],[LayOdds]]-1))</f>
        <v/>
      </c>
      <c r="N1457" s="45" t="str">
        <f>IF(LayTable[[#This Row],[Sport]]="","",1/((1/LayTable[[#This Row],[BookieOdds]])+(1/((1/((1+((LayTable[[#This Row],[LayOdds]]-1)*(1+LayTable[[#This Row],[C% Lay]])))-1))+1)))-1)</f>
        <v/>
      </c>
      <c r="Q1457" s="46" t="str">
        <f>IF(LayTable[[#This Row],[Sport]]="","",LayTable[[#This Row],[BookieInnsats]]+LayTable[[#This Row],[LayLiability]])</f>
        <v/>
      </c>
      <c r="R14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7" s="47" t="str">
        <f>IF(LayTable[[#This Row],[Utfall bookie]]="","",LayTable[[#This Row],[WBABack]]+LayTable[[#This Row],[WBALay]]-LayTable[[#This Row],[Total inns]])</f>
        <v/>
      </c>
      <c r="U14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7" s="48" t="str">
        <f>IFERROR(IF(LayTable[[#This Row],[Total inns]]="","",LayTable[[#This Row],[Rback]]/LayTable[[#This Row],[Total inns]]),"")</f>
        <v/>
      </c>
      <c r="X1457" s="48" t="str">
        <f>IFERROR(IF(LayTable[[#This Row],[Total inns]]="","",LayTable[[#This Row],[Rlay]]/LayTable[[#This Row],[Total inns]]),"")</f>
        <v/>
      </c>
      <c r="Y1457" s="48" t="str">
        <f>IFERROR(LayTable[[#This Row],[Faktisk res]]/LayTable[[#This Row],[Total inns]],"")</f>
        <v/>
      </c>
      <c r="Z1457" s="47">
        <f>(LayTable[[#This Row],[BookieInnsats]]*LayTable[[#This Row],[BookieOdds]]-LayTable[[#This Row],[BookieInnsats]])*(1-LayTable[[#This Row],[C% Bookie]])</f>
        <v>0</v>
      </c>
      <c r="AA1457" s="43">
        <f>LayTable[[#This Row],[LayInnsats]]*(1-LayTable[[#This Row],[C% Lay]])</f>
        <v>0</v>
      </c>
      <c r="AB1457" s="43" t="str">
        <f>IFERROR(IF(LayTable[[#This Row],[Sport]]="",AB1456,LayTable[[#This Row],[Faktisk res]]+AB1456),"")</f>
        <v/>
      </c>
      <c r="AC1457" s="43">
        <f>(LayTable[[#This Row],[BackWin-Commission]]+LayTable[[#This Row],[BookieInnsats]])</f>
        <v>0</v>
      </c>
      <c r="AD1457" s="43" t="e">
        <f>(LayTable[[#This Row],[LayWin-Commission]])+LayTable[[#This Row],[LayLiability]]</f>
        <v>#VALUE!</v>
      </c>
      <c r="AE1457" s="43"/>
      <c r="AF1457" s="181"/>
    </row>
    <row r="1458" spans="1:32">
      <c r="A1458" s="84"/>
      <c r="B1458" s="39"/>
      <c r="C1458" s="40"/>
      <c r="D1458" s="41"/>
      <c r="E1458" s="40"/>
      <c r="F1458" s="41"/>
      <c r="G1458" s="101"/>
      <c r="H1458" s="38"/>
      <c r="I1458" s="42"/>
      <c r="J1458" s="42"/>
      <c r="K1458" s="43"/>
      <c r="L1458" s="43"/>
      <c r="M1458" s="44" t="str">
        <f>IF(LayTable[[#This Row],[Sport]]="","",LayTable[[#This Row],[LayInnsats]]*(LayTable[[#This Row],[LayOdds]]-1))</f>
        <v/>
      </c>
      <c r="N1458" s="45" t="str">
        <f>IF(LayTable[[#This Row],[Sport]]="","",1/((1/LayTable[[#This Row],[BookieOdds]])+(1/((1/((1+((LayTable[[#This Row],[LayOdds]]-1)*(1+LayTable[[#This Row],[C% Lay]])))-1))+1)))-1)</f>
        <v/>
      </c>
      <c r="Q1458" s="46" t="str">
        <f>IF(LayTable[[#This Row],[Sport]]="","",LayTable[[#This Row],[BookieInnsats]]+LayTable[[#This Row],[LayLiability]])</f>
        <v/>
      </c>
      <c r="R14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8" s="47" t="str">
        <f>IF(LayTable[[#This Row],[Utfall bookie]]="","",LayTable[[#This Row],[WBABack]]+LayTable[[#This Row],[WBALay]]-LayTable[[#This Row],[Total inns]])</f>
        <v/>
      </c>
      <c r="U14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8" s="48" t="str">
        <f>IFERROR(IF(LayTable[[#This Row],[Total inns]]="","",LayTable[[#This Row],[Rback]]/LayTable[[#This Row],[Total inns]]),"")</f>
        <v/>
      </c>
      <c r="X1458" s="48" t="str">
        <f>IFERROR(IF(LayTable[[#This Row],[Total inns]]="","",LayTable[[#This Row],[Rlay]]/LayTable[[#This Row],[Total inns]]),"")</f>
        <v/>
      </c>
      <c r="Y1458" s="48" t="str">
        <f>IFERROR(LayTable[[#This Row],[Faktisk res]]/LayTable[[#This Row],[Total inns]],"")</f>
        <v/>
      </c>
      <c r="Z1458" s="47">
        <f>(LayTable[[#This Row],[BookieInnsats]]*LayTable[[#This Row],[BookieOdds]]-LayTable[[#This Row],[BookieInnsats]])*(1-LayTable[[#This Row],[C% Bookie]])</f>
        <v>0</v>
      </c>
      <c r="AA1458" s="43">
        <f>LayTable[[#This Row],[LayInnsats]]*(1-LayTable[[#This Row],[C% Lay]])</f>
        <v>0</v>
      </c>
      <c r="AB1458" s="43" t="str">
        <f>IFERROR(IF(LayTable[[#This Row],[Sport]]="",AB1457,LayTable[[#This Row],[Faktisk res]]+AB1457),"")</f>
        <v/>
      </c>
      <c r="AC1458" s="43">
        <f>(LayTable[[#This Row],[BackWin-Commission]]+LayTable[[#This Row],[BookieInnsats]])</f>
        <v>0</v>
      </c>
      <c r="AD1458" s="43" t="e">
        <f>(LayTable[[#This Row],[LayWin-Commission]])+LayTable[[#This Row],[LayLiability]]</f>
        <v>#VALUE!</v>
      </c>
      <c r="AE1458" s="43"/>
      <c r="AF1458" s="181"/>
    </row>
    <row r="1459" spans="1:32">
      <c r="A1459" s="84"/>
      <c r="B1459" s="39"/>
      <c r="C1459" s="40"/>
      <c r="D1459" s="41"/>
      <c r="E1459" s="40"/>
      <c r="F1459" s="41"/>
      <c r="G1459" s="101"/>
      <c r="H1459" s="38"/>
      <c r="I1459" s="42"/>
      <c r="J1459" s="42"/>
      <c r="K1459" s="43"/>
      <c r="L1459" s="43"/>
      <c r="M1459" s="44" t="str">
        <f>IF(LayTable[[#This Row],[Sport]]="","",LayTable[[#This Row],[LayInnsats]]*(LayTable[[#This Row],[LayOdds]]-1))</f>
        <v/>
      </c>
      <c r="N1459" s="45" t="str">
        <f>IF(LayTable[[#This Row],[Sport]]="","",1/((1/LayTable[[#This Row],[BookieOdds]])+(1/((1/((1+((LayTable[[#This Row],[LayOdds]]-1)*(1+LayTable[[#This Row],[C% Lay]])))-1))+1)))-1)</f>
        <v/>
      </c>
      <c r="Q1459" s="46" t="str">
        <f>IF(LayTable[[#This Row],[Sport]]="","",LayTable[[#This Row],[BookieInnsats]]+LayTable[[#This Row],[LayLiability]])</f>
        <v/>
      </c>
      <c r="R14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59" s="47" t="str">
        <f>IF(LayTable[[#This Row],[Utfall bookie]]="","",LayTable[[#This Row],[WBABack]]+LayTable[[#This Row],[WBALay]]-LayTable[[#This Row],[Total inns]])</f>
        <v/>
      </c>
      <c r="U14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59" s="48" t="str">
        <f>IFERROR(IF(LayTable[[#This Row],[Total inns]]="","",LayTable[[#This Row],[Rback]]/LayTable[[#This Row],[Total inns]]),"")</f>
        <v/>
      </c>
      <c r="X1459" s="48" t="str">
        <f>IFERROR(IF(LayTable[[#This Row],[Total inns]]="","",LayTable[[#This Row],[Rlay]]/LayTable[[#This Row],[Total inns]]),"")</f>
        <v/>
      </c>
      <c r="Y1459" s="48" t="str">
        <f>IFERROR(LayTable[[#This Row],[Faktisk res]]/LayTable[[#This Row],[Total inns]],"")</f>
        <v/>
      </c>
      <c r="Z1459" s="47">
        <f>(LayTable[[#This Row],[BookieInnsats]]*LayTable[[#This Row],[BookieOdds]]-LayTable[[#This Row],[BookieInnsats]])*(1-LayTable[[#This Row],[C% Bookie]])</f>
        <v>0</v>
      </c>
      <c r="AA1459" s="43">
        <f>LayTable[[#This Row],[LayInnsats]]*(1-LayTable[[#This Row],[C% Lay]])</f>
        <v>0</v>
      </c>
      <c r="AB1459" s="43" t="str">
        <f>IFERROR(IF(LayTable[[#This Row],[Sport]]="",AB1458,LayTable[[#This Row],[Faktisk res]]+AB1458),"")</f>
        <v/>
      </c>
      <c r="AC1459" s="43">
        <f>(LayTable[[#This Row],[BackWin-Commission]]+LayTable[[#This Row],[BookieInnsats]])</f>
        <v>0</v>
      </c>
      <c r="AD1459" s="43" t="e">
        <f>(LayTable[[#This Row],[LayWin-Commission]])+LayTable[[#This Row],[LayLiability]]</f>
        <v>#VALUE!</v>
      </c>
      <c r="AE1459" s="43"/>
      <c r="AF1459" s="181"/>
    </row>
    <row r="1460" spans="1:32">
      <c r="A1460" s="84"/>
      <c r="B1460" s="39"/>
      <c r="C1460" s="40"/>
      <c r="D1460" s="41"/>
      <c r="E1460" s="40"/>
      <c r="F1460" s="41"/>
      <c r="G1460" s="101"/>
      <c r="H1460" s="38"/>
      <c r="I1460" s="148"/>
      <c r="J1460" s="148"/>
      <c r="K1460" s="42"/>
      <c r="L1460" s="42"/>
      <c r="M1460" s="44" t="str">
        <f>IF(LayTable[[#This Row],[Sport]]="","",LayTable[[#This Row],[LayInnsats]]*(LayTable[[#This Row],[LayOdds]]-1))</f>
        <v/>
      </c>
      <c r="N1460" s="45" t="str">
        <f>IF(LayTable[[#This Row],[Sport]]="","",1/((1/LayTable[[#This Row],[BookieOdds]])+(1/((1/((1+((LayTable[[#This Row],[LayOdds]]-1)*(1+LayTable[[#This Row],[C% Lay]])))-1))+1)))-1)</f>
        <v/>
      </c>
      <c r="Q1460" s="46" t="str">
        <f>IF(LayTable[[#This Row],[Sport]]="","",LayTable[[#This Row],[BookieInnsats]]+LayTable[[#This Row],[LayLiability]])</f>
        <v/>
      </c>
      <c r="R14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0" s="47" t="str">
        <f>IF(LayTable[[#This Row],[Utfall bookie]]="","",LayTable[[#This Row],[WBABack]]+LayTable[[#This Row],[WBALay]]-LayTable[[#This Row],[Total inns]])</f>
        <v/>
      </c>
      <c r="U14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0" s="48" t="str">
        <f>IFERROR(IF(LayTable[[#This Row],[Total inns]]="","",LayTable[[#This Row],[Rback]]/LayTable[[#This Row],[Total inns]]),"")</f>
        <v/>
      </c>
      <c r="X1460" s="48" t="str">
        <f>IFERROR(IF(LayTable[[#This Row],[Total inns]]="","",LayTable[[#This Row],[Rlay]]/LayTable[[#This Row],[Total inns]]),"")</f>
        <v/>
      </c>
      <c r="Y1460" s="48" t="str">
        <f>IFERROR(LayTable[[#This Row],[Faktisk res]]/LayTable[[#This Row],[Total inns]],"")</f>
        <v/>
      </c>
      <c r="Z1460" s="47">
        <f>(LayTable[[#This Row],[BookieInnsats]]*LayTable[[#This Row],[BookieOdds]]-LayTable[[#This Row],[BookieInnsats]])*(1-LayTable[[#This Row],[C% Bookie]])</f>
        <v>0</v>
      </c>
      <c r="AA1460" s="43">
        <f>LayTable[[#This Row],[LayInnsats]]*(1-LayTable[[#This Row],[C% Lay]])</f>
        <v>0</v>
      </c>
      <c r="AB1460" s="43" t="str">
        <f>IFERROR(IF(LayTable[[#This Row],[Sport]]="",AB1459,LayTable[[#This Row],[Faktisk res]]+AB1459),"")</f>
        <v/>
      </c>
      <c r="AC1460" s="43">
        <f>(LayTable[[#This Row],[BackWin-Commission]]+LayTable[[#This Row],[BookieInnsats]])</f>
        <v>0</v>
      </c>
      <c r="AD1460" s="43" t="e">
        <f>(LayTable[[#This Row],[LayWin-Commission]])+LayTable[[#This Row],[LayLiability]]</f>
        <v>#VALUE!</v>
      </c>
      <c r="AE1460" s="43"/>
      <c r="AF1460" s="181"/>
    </row>
    <row r="1461" spans="1:32">
      <c r="A1461" s="84"/>
      <c r="B1461" s="39"/>
      <c r="C1461" s="40"/>
      <c r="D1461" s="41"/>
      <c r="E1461" s="40"/>
      <c r="F1461" s="41"/>
      <c r="G1461" s="101"/>
      <c r="H1461" s="38"/>
      <c r="I1461" s="42"/>
      <c r="J1461" s="42"/>
      <c r="K1461" s="43"/>
      <c r="L1461" s="43"/>
      <c r="M1461" s="44" t="str">
        <f>IF(LayTable[[#This Row],[Sport]]="","",LayTable[[#This Row],[LayInnsats]]*(LayTable[[#This Row],[LayOdds]]-1))</f>
        <v/>
      </c>
      <c r="N1461" s="45" t="str">
        <f>IF(LayTable[[#This Row],[Sport]]="","",1/((1/LayTable[[#This Row],[BookieOdds]])+(1/((1/((1+((LayTable[[#This Row],[LayOdds]]-1)*(1+LayTable[[#This Row],[C% Lay]])))-1))+1)))-1)</f>
        <v/>
      </c>
      <c r="Q1461" s="46" t="str">
        <f>IF(LayTable[[#This Row],[Sport]]="","",LayTable[[#This Row],[BookieInnsats]]+LayTable[[#This Row],[LayLiability]])</f>
        <v/>
      </c>
      <c r="R14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1" s="47" t="str">
        <f>IF(LayTable[[#This Row],[Utfall bookie]]="","",LayTable[[#This Row],[WBABack]]+LayTable[[#This Row],[WBALay]]-LayTable[[#This Row],[Total inns]])</f>
        <v/>
      </c>
      <c r="U14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1" s="48" t="str">
        <f>IFERROR(IF(LayTable[[#This Row],[Total inns]]="","",LayTable[[#This Row],[Rback]]/LayTable[[#This Row],[Total inns]]),"")</f>
        <v/>
      </c>
      <c r="X1461" s="48" t="str">
        <f>IFERROR(IF(LayTable[[#This Row],[Total inns]]="","",LayTable[[#This Row],[Rlay]]/LayTable[[#This Row],[Total inns]]),"")</f>
        <v/>
      </c>
      <c r="Y1461" s="48" t="str">
        <f>IFERROR(LayTable[[#This Row],[Faktisk res]]/LayTable[[#This Row],[Total inns]],"")</f>
        <v/>
      </c>
      <c r="Z1461" s="47">
        <f>(LayTable[[#This Row],[BookieInnsats]]*LayTable[[#This Row],[BookieOdds]]-LayTable[[#This Row],[BookieInnsats]])*(1-LayTable[[#This Row],[C% Bookie]])</f>
        <v>0</v>
      </c>
      <c r="AA1461" s="43">
        <f>LayTable[[#This Row],[LayInnsats]]*(1-LayTable[[#This Row],[C% Lay]])</f>
        <v>0</v>
      </c>
      <c r="AB1461" s="43" t="str">
        <f>IFERROR(IF(LayTable[[#This Row],[Sport]]="",AB1460,LayTable[[#This Row],[Faktisk res]]+AB1460),"")</f>
        <v/>
      </c>
      <c r="AC1461" s="43">
        <f>(LayTable[[#This Row],[BackWin-Commission]]+LayTable[[#This Row],[BookieInnsats]])</f>
        <v>0</v>
      </c>
      <c r="AD1461" s="43" t="e">
        <f>(LayTable[[#This Row],[LayWin-Commission]])+LayTable[[#This Row],[LayLiability]]</f>
        <v>#VALUE!</v>
      </c>
      <c r="AE1461" s="43"/>
      <c r="AF1461" s="181"/>
    </row>
    <row r="1462" spans="1:32">
      <c r="A1462" s="84"/>
      <c r="B1462" s="39"/>
      <c r="C1462" s="40"/>
      <c r="D1462" s="41"/>
      <c r="E1462" s="40"/>
      <c r="F1462" s="41"/>
      <c r="G1462" s="101"/>
      <c r="H1462" s="38"/>
      <c r="I1462" s="42"/>
      <c r="J1462" s="42"/>
      <c r="K1462" s="43"/>
      <c r="L1462" s="43"/>
      <c r="M1462" s="44" t="str">
        <f>IF(LayTable[[#This Row],[Sport]]="","",LayTable[[#This Row],[LayInnsats]]*(LayTable[[#This Row],[LayOdds]]-1))</f>
        <v/>
      </c>
      <c r="N1462" s="45" t="str">
        <f>IF(LayTable[[#This Row],[Sport]]="","",1/((1/LayTable[[#This Row],[BookieOdds]])+(1/((1/((1+((LayTable[[#This Row],[LayOdds]]-1)*(1+LayTable[[#This Row],[C% Lay]])))-1))+1)))-1)</f>
        <v/>
      </c>
      <c r="Q1462" s="46" t="str">
        <f>IF(LayTable[[#This Row],[Sport]]="","",LayTable[[#This Row],[BookieInnsats]]+LayTable[[#This Row],[LayLiability]])</f>
        <v/>
      </c>
      <c r="R14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2" s="47" t="str">
        <f>IF(LayTable[[#This Row],[Utfall bookie]]="","",LayTable[[#This Row],[WBABack]]+LayTable[[#This Row],[WBALay]]-LayTable[[#This Row],[Total inns]])</f>
        <v/>
      </c>
      <c r="U14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2" s="48" t="str">
        <f>IFERROR(IF(LayTable[[#This Row],[Total inns]]="","",LayTable[[#This Row],[Rback]]/LayTable[[#This Row],[Total inns]]),"")</f>
        <v/>
      </c>
      <c r="X1462" s="48" t="str">
        <f>IFERROR(IF(LayTable[[#This Row],[Total inns]]="","",LayTable[[#This Row],[Rlay]]/LayTable[[#This Row],[Total inns]]),"")</f>
        <v/>
      </c>
      <c r="Y1462" s="48" t="str">
        <f>IFERROR(LayTable[[#This Row],[Faktisk res]]/LayTable[[#This Row],[Total inns]],"")</f>
        <v/>
      </c>
      <c r="Z1462" s="47">
        <f>(LayTable[[#This Row],[BookieInnsats]]*LayTable[[#This Row],[BookieOdds]]-LayTable[[#This Row],[BookieInnsats]])*(1-LayTable[[#This Row],[C% Bookie]])</f>
        <v>0</v>
      </c>
      <c r="AA1462" s="43">
        <f>LayTable[[#This Row],[LayInnsats]]*(1-LayTable[[#This Row],[C% Lay]])</f>
        <v>0</v>
      </c>
      <c r="AB1462" s="43" t="str">
        <f>IFERROR(IF(LayTable[[#This Row],[Sport]]="",AB1461,LayTable[[#This Row],[Faktisk res]]+AB1461),"")</f>
        <v/>
      </c>
      <c r="AC1462" s="43">
        <f>(LayTable[[#This Row],[BackWin-Commission]]+LayTable[[#This Row],[BookieInnsats]])</f>
        <v>0</v>
      </c>
      <c r="AD1462" s="43" t="e">
        <f>(LayTable[[#This Row],[LayWin-Commission]])+LayTable[[#This Row],[LayLiability]]</f>
        <v>#VALUE!</v>
      </c>
      <c r="AE1462" s="43"/>
      <c r="AF1462" s="181"/>
    </row>
    <row r="1463" spans="1:32">
      <c r="A1463" s="84"/>
      <c r="B1463" s="39"/>
      <c r="C1463" s="40"/>
      <c r="D1463" s="41"/>
      <c r="E1463" s="40"/>
      <c r="F1463" s="41"/>
      <c r="G1463" s="101"/>
      <c r="H1463" s="38"/>
      <c r="I1463" s="42"/>
      <c r="J1463" s="42"/>
      <c r="K1463" s="43"/>
      <c r="L1463" s="43"/>
      <c r="M1463" s="44" t="str">
        <f>IF(LayTable[[#This Row],[Sport]]="","",LayTable[[#This Row],[LayInnsats]]*(LayTable[[#This Row],[LayOdds]]-1))</f>
        <v/>
      </c>
      <c r="N1463" s="45" t="str">
        <f>IF(LayTable[[#This Row],[Sport]]="","",1/((1/LayTable[[#This Row],[BookieOdds]])+(1/((1/((1+((LayTable[[#This Row],[LayOdds]]-1)*(1+LayTable[[#This Row],[C% Lay]])))-1))+1)))-1)</f>
        <v/>
      </c>
      <c r="Q1463" s="46" t="str">
        <f>IF(LayTable[[#This Row],[Sport]]="","",LayTable[[#This Row],[BookieInnsats]]+LayTable[[#This Row],[LayLiability]])</f>
        <v/>
      </c>
      <c r="R14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3" s="47" t="str">
        <f>IF(LayTable[[#This Row],[Utfall bookie]]="","",LayTable[[#This Row],[WBABack]]+LayTable[[#This Row],[WBALay]]-LayTable[[#This Row],[Total inns]])</f>
        <v/>
      </c>
      <c r="U14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3" s="48" t="str">
        <f>IFERROR(IF(LayTable[[#This Row],[Total inns]]="","",LayTable[[#This Row],[Rback]]/LayTable[[#This Row],[Total inns]]),"")</f>
        <v/>
      </c>
      <c r="X1463" s="48" t="str">
        <f>IFERROR(IF(LayTable[[#This Row],[Total inns]]="","",LayTable[[#This Row],[Rlay]]/LayTable[[#This Row],[Total inns]]),"")</f>
        <v/>
      </c>
      <c r="Y1463" s="48" t="str">
        <f>IFERROR(LayTable[[#This Row],[Faktisk res]]/LayTable[[#This Row],[Total inns]],"")</f>
        <v/>
      </c>
      <c r="Z1463" s="47">
        <f>(LayTable[[#This Row],[BookieInnsats]]*LayTable[[#This Row],[BookieOdds]]-LayTable[[#This Row],[BookieInnsats]])*(1-LayTable[[#This Row],[C% Bookie]])</f>
        <v>0</v>
      </c>
      <c r="AA1463" s="43">
        <f>LayTable[[#This Row],[LayInnsats]]*(1-LayTable[[#This Row],[C% Lay]])</f>
        <v>0</v>
      </c>
      <c r="AB1463" s="43" t="str">
        <f>IFERROR(IF(LayTable[[#This Row],[Sport]]="",AB1462,LayTable[[#This Row],[Faktisk res]]+AB1462),"")</f>
        <v/>
      </c>
      <c r="AC1463" s="43">
        <f>(LayTable[[#This Row],[BackWin-Commission]]+LayTable[[#This Row],[BookieInnsats]])</f>
        <v>0</v>
      </c>
      <c r="AD1463" s="43" t="e">
        <f>(LayTable[[#This Row],[LayWin-Commission]])+LayTable[[#This Row],[LayLiability]]</f>
        <v>#VALUE!</v>
      </c>
      <c r="AE1463" s="43"/>
      <c r="AF1463" s="181"/>
    </row>
    <row r="1464" spans="1:32">
      <c r="A1464" s="84"/>
      <c r="B1464" s="39"/>
      <c r="C1464" s="40"/>
      <c r="D1464" s="41"/>
      <c r="E1464" s="40"/>
      <c r="F1464" s="41"/>
      <c r="G1464" s="101"/>
      <c r="H1464" s="38"/>
      <c r="I1464" s="42"/>
      <c r="J1464" s="42"/>
      <c r="K1464" s="43"/>
      <c r="L1464" s="43"/>
      <c r="M1464" s="44" t="str">
        <f>IF(LayTable[[#This Row],[Sport]]="","",LayTable[[#This Row],[LayInnsats]]*(LayTable[[#This Row],[LayOdds]]-1))</f>
        <v/>
      </c>
      <c r="N1464" s="45" t="str">
        <f>IF(LayTable[[#This Row],[Sport]]="","",1/((1/LayTable[[#This Row],[BookieOdds]])+(1/((1/((1+((LayTable[[#This Row],[LayOdds]]-1)*(1+LayTable[[#This Row],[C% Lay]])))-1))+1)))-1)</f>
        <v/>
      </c>
      <c r="Q1464" s="46" t="str">
        <f>IF(LayTable[[#This Row],[Sport]]="","",LayTable[[#This Row],[BookieInnsats]]+LayTable[[#This Row],[LayLiability]])</f>
        <v/>
      </c>
      <c r="R14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4" s="47" t="str">
        <f>IF(LayTable[[#This Row],[Utfall bookie]]="","",LayTable[[#This Row],[WBABack]]+LayTable[[#This Row],[WBALay]]-LayTable[[#This Row],[Total inns]])</f>
        <v/>
      </c>
      <c r="U14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4" s="48" t="str">
        <f>IFERROR(IF(LayTable[[#This Row],[Total inns]]="","",LayTable[[#This Row],[Rback]]/LayTable[[#This Row],[Total inns]]),"")</f>
        <v/>
      </c>
      <c r="X1464" s="48" t="str">
        <f>IFERROR(IF(LayTable[[#This Row],[Total inns]]="","",LayTable[[#This Row],[Rlay]]/LayTable[[#This Row],[Total inns]]),"")</f>
        <v/>
      </c>
      <c r="Y1464" s="48" t="str">
        <f>IFERROR(LayTable[[#This Row],[Faktisk res]]/LayTable[[#This Row],[Total inns]],"")</f>
        <v/>
      </c>
      <c r="Z1464" s="47">
        <f>(LayTable[[#This Row],[BookieInnsats]]*LayTable[[#This Row],[BookieOdds]]-LayTable[[#This Row],[BookieInnsats]])*(1-LayTable[[#This Row],[C% Bookie]])</f>
        <v>0</v>
      </c>
      <c r="AA1464" s="43">
        <f>LayTable[[#This Row],[LayInnsats]]*(1-LayTable[[#This Row],[C% Lay]])</f>
        <v>0</v>
      </c>
      <c r="AB1464" s="43" t="str">
        <f>IFERROR(IF(LayTable[[#This Row],[Sport]]="",AB1463,LayTable[[#This Row],[Faktisk res]]+AB1463),"")</f>
        <v/>
      </c>
      <c r="AC1464" s="43">
        <f>(LayTable[[#This Row],[BackWin-Commission]]+LayTable[[#This Row],[BookieInnsats]])</f>
        <v>0</v>
      </c>
      <c r="AD1464" s="43" t="e">
        <f>(LayTable[[#This Row],[LayWin-Commission]])+LayTable[[#This Row],[LayLiability]]</f>
        <v>#VALUE!</v>
      </c>
      <c r="AE1464" s="43"/>
      <c r="AF1464" s="181"/>
    </row>
    <row r="1465" spans="1:32">
      <c r="A1465" s="84"/>
      <c r="B1465" s="39"/>
      <c r="C1465" s="40"/>
      <c r="D1465" s="41"/>
      <c r="E1465" s="40"/>
      <c r="F1465" s="41"/>
      <c r="G1465" s="101"/>
      <c r="H1465" s="38"/>
      <c r="I1465" s="42"/>
      <c r="J1465" s="42"/>
      <c r="K1465" s="43"/>
      <c r="L1465" s="43"/>
      <c r="M1465" s="44" t="str">
        <f>IF(LayTable[[#This Row],[Sport]]="","",LayTable[[#This Row],[LayInnsats]]*(LayTable[[#This Row],[LayOdds]]-1))</f>
        <v/>
      </c>
      <c r="N1465" s="45" t="str">
        <f>IF(LayTable[[#This Row],[Sport]]="","",1/((1/LayTable[[#This Row],[BookieOdds]])+(1/((1/((1+((LayTable[[#This Row],[LayOdds]]-1)*(1+LayTable[[#This Row],[C% Lay]])))-1))+1)))-1)</f>
        <v/>
      </c>
      <c r="Q1465" s="46" t="str">
        <f>IF(LayTable[[#This Row],[Sport]]="","",LayTable[[#This Row],[BookieInnsats]]+LayTable[[#This Row],[LayLiability]])</f>
        <v/>
      </c>
      <c r="R14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5" s="47" t="str">
        <f>IF(LayTable[[#This Row],[Utfall bookie]]="","",LayTable[[#This Row],[WBABack]]+LayTable[[#This Row],[WBALay]]-LayTable[[#This Row],[Total inns]])</f>
        <v/>
      </c>
      <c r="U14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5" s="48" t="str">
        <f>IFERROR(IF(LayTable[[#This Row],[Total inns]]="","",LayTable[[#This Row],[Rback]]/LayTable[[#This Row],[Total inns]]),"")</f>
        <v/>
      </c>
      <c r="X1465" s="48" t="str">
        <f>IFERROR(IF(LayTable[[#This Row],[Total inns]]="","",LayTable[[#This Row],[Rlay]]/LayTable[[#This Row],[Total inns]]),"")</f>
        <v/>
      </c>
      <c r="Y1465" s="48" t="str">
        <f>IFERROR(LayTable[[#This Row],[Faktisk res]]/LayTable[[#This Row],[Total inns]],"")</f>
        <v/>
      </c>
      <c r="Z1465" s="47">
        <f>(LayTable[[#This Row],[BookieInnsats]]*LayTable[[#This Row],[BookieOdds]]-LayTable[[#This Row],[BookieInnsats]])*(1-LayTable[[#This Row],[C% Bookie]])</f>
        <v>0</v>
      </c>
      <c r="AA1465" s="43">
        <f>LayTable[[#This Row],[LayInnsats]]*(1-LayTable[[#This Row],[C% Lay]])</f>
        <v>0</v>
      </c>
      <c r="AB1465" s="43" t="str">
        <f>IFERROR(IF(LayTable[[#This Row],[Sport]]="",AB1464,LayTable[[#This Row],[Faktisk res]]+AB1464),"")</f>
        <v/>
      </c>
      <c r="AC1465" s="43">
        <f>(LayTable[[#This Row],[BackWin-Commission]]+LayTable[[#This Row],[BookieInnsats]])</f>
        <v>0</v>
      </c>
      <c r="AD1465" s="43" t="e">
        <f>(LayTable[[#This Row],[LayWin-Commission]])+LayTable[[#This Row],[LayLiability]]</f>
        <v>#VALUE!</v>
      </c>
      <c r="AE1465" s="43"/>
      <c r="AF1465" s="181"/>
    </row>
    <row r="1466" spans="1:32">
      <c r="A1466" s="84"/>
      <c r="B1466" s="39"/>
      <c r="C1466" s="40"/>
      <c r="D1466" s="41"/>
      <c r="E1466" s="40"/>
      <c r="F1466" s="41"/>
      <c r="G1466" s="101"/>
      <c r="H1466" s="38"/>
      <c r="I1466" s="42"/>
      <c r="J1466" s="42"/>
      <c r="K1466" s="43"/>
      <c r="L1466" s="43"/>
      <c r="M1466" s="44" t="str">
        <f>IF(LayTable[[#This Row],[Sport]]="","",LayTable[[#This Row],[LayInnsats]]*(LayTable[[#This Row],[LayOdds]]-1))</f>
        <v/>
      </c>
      <c r="N1466" s="45" t="str">
        <f>IF(LayTable[[#This Row],[Sport]]="","",1/((1/LayTable[[#This Row],[BookieOdds]])+(1/((1/((1+((LayTable[[#This Row],[LayOdds]]-1)*(1+LayTable[[#This Row],[C% Lay]])))-1))+1)))-1)</f>
        <v/>
      </c>
      <c r="Q1466" s="46" t="str">
        <f>IF(LayTable[[#This Row],[Sport]]="","",LayTable[[#This Row],[BookieInnsats]]+LayTable[[#This Row],[LayLiability]])</f>
        <v/>
      </c>
      <c r="R14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6" s="47" t="str">
        <f>IF(LayTable[[#This Row],[Utfall bookie]]="","",LayTable[[#This Row],[WBABack]]+LayTable[[#This Row],[WBALay]]-LayTable[[#This Row],[Total inns]])</f>
        <v/>
      </c>
      <c r="U14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6" s="48" t="str">
        <f>IFERROR(IF(LayTable[[#This Row],[Total inns]]="","",LayTable[[#This Row],[Rback]]/LayTable[[#This Row],[Total inns]]),"")</f>
        <v/>
      </c>
      <c r="X1466" s="48" t="str">
        <f>IFERROR(IF(LayTable[[#This Row],[Total inns]]="","",LayTable[[#This Row],[Rlay]]/LayTable[[#This Row],[Total inns]]),"")</f>
        <v/>
      </c>
      <c r="Y1466" s="48" t="str">
        <f>IFERROR(LayTable[[#This Row],[Faktisk res]]/LayTable[[#This Row],[Total inns]],"")</f>
        <v/>
      </c>
      <c r="Z1466" s="47">
        <f>(LayTable[[#This Row],[BookieInnsats]]*LayTable[[#This Row],[BookieOdds]]-LayTable[[#This Row],[BookieInnsats]])*(1-LayTable[[#This Row],[C% Bookie]])</f>
        <v>0</v>
      </c>
      <c r="AA1466" s="43">
        <f>LayTable[[#This Row],[LayInnsats]]*(1-LayTable[[#This Row],[C% Lay]])</f>
        <v>0</v>
      </c>
      <c r="AB1466" s="43" t="str">
        <f>IFERROR(IF(LayTable[[#This Row],[Sport]]="",AB1465,LayTable[[#This Row],[Faktisk res]]+AB1465),"")</f>
        <v/>
      </c>
      <c r="AC1466" s="43">
        <f>(LayTable[[#This Row],[BackWin-Commission]]+LayTable[[#This Row],[BookieInnsats]])</f>
        <v>0</v>
      </c>
      <c r="AD1466" s="43" t="e">
        <f>(LayTable[[#This Row],[LayWin-Commission]])+LayTable[[#This Row],[LayLiability]]</f>
        <v>#VALUE!</v>
      </c>
      <c r="AE1466" s="43"/>
      <c r="AF1466" s="181"/>
    </row>
    <row r="1467" spans="1:32">
      <c r="A1467" s="84"/>
      <c r="B1467" s="39"/>
      <c r="C1467" s="40"/>
      <c r="D1467" s="41"/>
      <c r="E1467" s="40"/>
      <c r="F1467" s="41"/>
      <c r="G1467" s="101"/>
      <c r="H1467" s="38"/>
      <c r="I1467" s="42"/>
      <c r="J1467" s="42"/>
      <c r="K1467" s="43"/>
      <c r="L1467" s="43"/>
      <c r="M1467" s="44" t="str">
        <f>IF(LayTable[[#This Row],[Sport]]="","",LayTable[[#This Row],[LayInnsats]]*(LayTable[[#This Row],[LayOdds]]-1))</f>
        <v/>
      </c>
      <c r="N1467" s="45" t="str">
        <f>IF(LayTable[[#This Row],[Sport]]="","",1/((1/LayTable[[#This Row],[BookieOdds]])+(1/((1/((1+((LayTable[[#This Row],[LayOdds]]-1)*(1+LayTable[[#This Row],[C% Lay]])))-1))+1)))-1)</f>
        <v/>
      </c>
      <c r="Q1467" s="46" t="str">
        <f>IF(LayTable[[#This Row],[Sport]]="","",LayTable[[#This Row],[BookieInnsats]]+LayTable[[#This Row],[LayLiability]])</f>
        <v/>
      </c>
      <c r="R14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7" s="47" t="str">
        <f>IF(LayTable[[#This Row],[Utfall bookie]]="","",LayTable[[#This Row],[WBABack]]+LayTable[[#This Row],[WBALay]]-LayTable[[#This Row],[Total inns]])</f>
        <v/>
      </c>
      <c r="U14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7" s="48" t="str">
        <f>IFERROR(IF(LayTable[[#This Row],[Total inns]]="","",LayTable[[#This Row],[Rback]]/LayTable[[#This Row],[Total inns]]),"")</f>
        <v/>
      </c>
      <c r="X1467" s="48" t="str">
        <f>IFERROR(IF(LayTable[[#This Row],[Total inns]]="","",LayTable[[#This Row],[Rlay]]/LayTable[[#This Row],[Total inns]]),"")</f>
        <v/>
      </c>
      <c r="Y1467" s="48" t="str">
        <f>IFERROR(LayTable[[#This Row],[Faktisk res]]/LayTable[[#This Row],[Total inns]],"")</f>
        <v/>
      </c>
      <c r="Z1467" s="47">
        <f>(LayTable[[#This Row],[BookieInnsats]]*LayTable[[#This Row],[BookieOdds]]-LayTable[[#This Row],[BookieInnsats]])*(1-LayTable[[#This Row],[C% Bookie]])</f>
        <v>0</v>
      </c>
      <c r="AA1467" s="43">
        <f>LayTable[[#This Row],[LayInnsats]]*(1-LayTable[[#This Row],[C% Lay]])</f>
        <v>0</v>
      </c>
      <c r="AB1467" s="43" t="str">
        <f>IFERROR(IF(LayTable[[#This Row],[Sport]]="",AB1466,LayTable[[#This Row],[Faktisk res]]+AB1466),"")</f>
        <v/>
      </c>
      <c r="AC1467" s="43">
        <f>(LayTable[[#This Row],[BackWin-Commission]]+LayTable[[#This Row],[BookieInnsats]])</f>
        <v>0</v>
      </c>
      <c r="AD1467" s="43" t="e">
        <f>(LayTable[[#This Row],[LayWin-Commission]])+LayTable[[#This Row],[LayLiability]]</f>
        <v>#VALUE!</v>
      </c>
      <c r="AE1467" s="43"/>
      <c r="AF1467" s="181"/>
    </row>
    <row r="1468" spans="1:32">
      <c r="A1468" s="84"/>
      <c r="B1468" s="39"/>
      <c r="C1468" s="40"/>
      <c r="D1468" s="41"/>
      <c r="E1468" s="40"/>
      <c r="F1468" s="41"/>
      <c r="G1468" s="101"/>
      <c r="H1468" s="38"/>
      <c r="I1468" s="42"/>
      <c r="J1468" s="42"/>
      <c r="K1468" s="43"/>
      <c r="L1468" s="43"/>
      <c r="M1468" s="44" t="str">
        <f>IF(LayTable[[#This Row],[Sport]]="","",LayTable[[#This Row],[LayInnsats]]*(LayTable[[#This Row],[LayOdds]]-1))</f>
        <v/>
      </c>
      <c r="N1468" s="45" t="str">
        <f>IF(LayTable[[#This Row],[Sport]]="","",1/((1/LayTable[[#This Row],[BookieOdds]])+(1/((1/((1+((LayTable[[#This Row],[LayOdds]]-1)*(1+LayTable[[#This Row],[C% Lay]])))-1))+1)))-1)</f>
        <v/>
      </c>
      <c r="Q1468" s="46" t="str">
        <f>IF(LayTable[[#This Row],[Sport]]="","",LayTable[[#This Row],[BookieInnsats]]+LayTable[[#This Row],[LayLiability]])</f>
        <v/>
      </c>
      <c r="R14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8" s="47" t="str">
        <f>IF(LayTable[[#This Row],[Utfall bookie]]="","",LayTable[[#This Row],[WBABack]]+LayTable[[#This Row],[WBALay]]-LayTable[[#This Row],[Total inns]])</f>
        <v/>
      </c>
      <c r="U14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8" s="48" t="str">
        <f>IFERROR(IF(LayTable[[#This Row],[Total inns]]="","",LayTable[[#This Row],[Rback]]/LayTable[[#This Row],[Total inns]]),"")</f>
        <v/>
      </c>
      <c r="X1468" s="48" t="str">
        <f>IFERROR(IF(LayTable[[#This Row],[Total inns]]="","",LayTable[[#This Row],[Rlay]]/LayTable[[#This Row],[Total inns]]),"")</f>
        <v/>
      </c>
      <c r="Y1468" s="48" t="str">
        <f>IFERROR(LayTable[[#This Row],[Faktisk res]]/LayTable[[#This Row],[Total inns]],"")</f>
        <v/>
      </c>
      <c r="Z1468" s="47">
        <f>(LayTable[[#This Row],[BookieInnsats]]*LayTable[[#This Row],[BookieOdds]]-LayTable[[#This Row],[BookieInnsats]])*(1-LayTable[[#This Row],[C% Bookie]])</f>
        <v>0</v>
      </c>
      <c r="AA1468" s="43">
        <f>LayTable[[#This Row],[LayInnsats]]*(1-LayTable[[#This Row],[C% Lay]])</f>
        <v>0</v>
      </c>
      <c r="AB1468" s="43" t="str">
        <f>IFERROR(IF(LayTable[[#This Row],[Sport]]="",AB1467,LayTable[[#This Row],[Faktisk res]]+AB1467),"")</f>
        <v/>
      </c>
      <c r="AC1468" s="43">
        <f>(LayTable[[#This Row],[BackWin-Commission]]+LayTable[[#This Row],[BookieInnsats]])</f>
        <v>0</v>
      </c>
      <c r="AD1468" s="43" t="e">
        <f>(LayTable[[#This Row],[LayWin-Commission]])+LayTable[[#This Row],[LayLiability]]</f>
        <v>#VALUE!</v>
      </c>
      <c r="AE1468" s="43"/>
      <c r="AF1468" s="181"/>
    </row>
    <row r="1469" spans="1:32">
      <c r="A1469" s="84"/>
      <c r="B1469" s="39"/>
      <c r="C1469" s="40"/>
      <c r="D1469" s="41"/>
      <c r="E1469" s="40"/>
      <c r="F1469" s="41"/>
      <c r="G1469" s="101"/>
      <c r="H1469" s="38"/>
      <c r="I1469" s="42"/>
      <c r="J1469" s="42"/>
      <c r="K1469" s="43"/>
      <c r="L1469" s="43"/>
      <c r="M1469" s="44" t="str">
        <f>IF(LayTable[[#This Row],[Sport]]="","",LayTable[[#This Row],[LayInnsats]]*(LayTable[[#This Row],[LayOdds]]-1))</f>
        <v/>
      </c>
      <c r="N1469" s="45" t="str">
        <f>IF(LayTable[[#This Row],[Sport]]="","",1/((1/LayTable[[#This Row],[BookieOdds]])+(1/((1/((1+((LayTable[[#This Row],[LayOdds]]-1)*(1+LayTable[[#This Row],[C% Lay]])))-1))+1)))-1)</f>
        <v/>
      </c>
      <c r="Q1469" s="46" t="str">
        <f>IF(LayTable[[#This Row],[Sport]]="","",LayTable[[#This Row],[BookieInnsats]]+LayTable[[#This Row],[LayLiability]])</f>
        <v/>
      </c>
      <c r="R14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69" s="47" t="str">
        <f>IF(LayTable[[#This Row],[Utfall bookie]]="","",LayTable[[#This Row],[WBABack]]+LayTable[[#This Row],[WBALay]]-LayTable[[#This Row],[Total inns]])</f>
        <v/>
      </c>
      <c r="U14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69" s="48" t="str">
        <f>IFERROR(IF(LayTable[[#This Row],[Total inns]]="","",LayTable[[#This Row],[Rback]]/LayTable[[#This Row],[Total inns]]),"")</f>
        <v/>
      </c>
      <c r="X1469" s="48" t="str">
        <f>IFERROR(IF(LayTable[[#This Row],[Total inns]]="","",LayTable[[#This Row],[Rlay]]/LayTable[[#This Row],[Total inns]]),"")</f>
        <v/>
      </c>
      <c r="Y1469" s="48" t="str">
        <f>IFERROR(LayTable[[#This Row],[Faktisk res]]/LayTable[[#This Row],[Total inns]],"")</f>
        <v/>
      </c>
      <c r="Z1469" s="47">
        <f>(LayTable[[#This Row],[BookieInnsats]]*LayTable[[#This Row],[BookieOdds]]-LayTable[[#This Row],[BookieInnsats]])*(1-LayTable[[#This Row],[C% Bookie]])</f>
        <v>0</v>
      </c>
      <c r="AA1469" s="43">
        <f>LayTable[[#This Row],[LayInnsats]]*(1-LayTable[[#This Row],[C% Lay]])</f>
        <v>0</v>
      </c>
      <c r="AB1469" s="43" t="str">
        <f>IFERROR(IF(LayTable[[#This Row],[Sport]]="",AB1468,LayTable[[#This Row],[Faktisk res]]+AB1468),"")</f>
        <v/>
      </c>
      <c r="AC1469" s="43">
        <f>(LayTable[[#This Row],[BackWin-Commission]]+LayTable[[#This Row],[BookieInnsats]])</f>
        <v>0</v>
      </c>
      <c r="AD1469" s="43" t="e">
        <f>(LayTable[[#This Row],[LayWin-Commission]])+LayTable[[#This Row],[LayLiability]]</f>
        <v>#VALUE!</v>
      </c>
      <c r="AE1469" s="43"/>
      <c r="AF1469" s="181"/>
    </row>
    <row r="1470" spans="1:32">
      <c r="A1470" s="84"/>
      <c r="B1470" s="39"/>
      <c r="C1470" s="40"/>
      <c r="D1470" s="41"/>
      <c r="E1470" s="40"/>
      <c r="F1470" s="41"/>
      <c r="G1470" s="101"/>
      <c r="H1470" s="38"/>
      <c r="I1470" s="42"/>
      <c r="J1470" s="42"/>
      <c r="K1470" s="43"/>
      <c r="L1470" s="43"/>
      <c r="M1470" s="44" t="str">
        <f>IF(LayTable[[#This Row],[Sport]]="","",LayTable[[#This Row],[LayInnsats]]*(LayTable[[#This Row],[LayOdds]]-1))</f>
        <v/>
      </c>
      <c r="N1470" s="45" t="str">
        <f>IF(LayTable[[#This Row],[Sport]]="","",1/((1/LayTable[[#This Row],[BookieOdds]])+(1/((1/((1+((LayTable[[#This Row],[LayOdds]]-1)*(1+LayTable[[#This Row],[C% Lay]])))-1))+1)))-1)</f>
        <v/>
      </c>
      <c r="Q1470" s="46" t="str">
        <f>IF(LayTable[[#This Row],[Sport]]="","",LayTable[[#This Row],[BookieInnsats]]+LayTable[[#This Row],[LayLiability]])</f>
        <v/>
      </c>
      <c r="R14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0" s="47" t="str">
        <f>IF(LayTable[[#This Row],[Utfall bookie]]="","",LayTable[[#This Row],[WBABack]]+LayTable[[#This Row],[WBALay]]-LayTable[[#This Row],[Total inns]])</f>
        <v/>
      </c>
      <c r="U14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0" s="48" t="str">
        <f>IFERROR(IF(LayTable[[#This Row],[Total inns]]="","",LayTable[[#This Row],[Rback]]/LayTable[[#This Row],[Total inns]]),"")</f>
        <v/>
      </c>
      <c r="X1470" s="48" t="str">
        <f>IFERROR(IF(LayTable[[#This Row],[Total inns]]="","",LayTable[[#This Row],[Rlay]]/LayTable[[#This Row],[Total inns]]),"")</f>
        <v/>
      </c>
      <c r="Y1470" s="48" t="str">
        <f>IFERROR(LayTable[[#This Row],[Faktisk res]]/LayTable[[#This Row],[Total inns]],"")</f>
        <v/>
      </c>
      <c r="Z1470" s="47">
        <f>(LayTable[[#This Row],[BookieInnsats]]*LayTable[[#This Row],[BookieOdds]]-LayTable[[#This Row],[BookieInnsats]])*(1-LayTable[[#This Row],[C% Bookie]])</f>
        <v>0</v>
      </c>
      <c r="AA1470" s="43">
        <f>LayTable[[#This Row],[LayInnsats]]*(1-LayTable[[#This Row],[C% Lay]])</f>
        <v>0</v>
      </c>
      <c r="AB1470" s="43" t="str">
        <f>IFERROR(IF(LayTable[[#This Row],[Sport]]="",AB1469,LayTable[[#This Row],[Faktisk res]]+AB1469),"")</f>
        <v/>
      </c>
      <c r="AC1470" s="43">
        <f>(LayTable[[#This Row],[BackWin-Commission]]+LayTable[[#This Row],[BookieInnsats]])</f>
        <v>0</v>
      </c>
      <c r="AD1470" s="43" t="e">
        <f>(LayTable[[#This Row],[LayWin-Commission]])+LayTable[[#This Row],[LayLiability]]</f>
        <v>#VALUE!</v>
      </c>
      <c r="AE1470" s="43"/>
      <c r="AF1470" s="181"/>
    </row>
    <row r="1471" spans="1:32">
      <c r="A1471" s="84"/>
      <c r="B1471" s="39"/>
      <c r="C1471" s="40"/>
      <c r="D1471" s="41"/>
      <c r="E1471" s="40"/>
      <c r="F1471" s="41"/>
      <c r="G1471" s="101"/>
      <c r="H1471" s="38"/>
      <c r="I1471" s="42"/>
      <c r="J1471" s="42"/>
      <c r="K1471" s="43"/>
      <c r="L1471" s="43"/>
      <c r="M1471" s="44" t="str">
        <f>IF(LayTable[[#This Row],[Sport]]="","",LayTable[[#This Row],[LayInnsats]]*(LayTable[[#This Row],[LayOdds]]-1))</f>
        <v/>
      </c>
      <c r="N1471" s="45" t="str">
        <f>IF(LayTable[[#This Row],[Sport]]="","",1/((1/LayTable[[#This Row],[BookieOdds]])+(1/((1/((1+((LayTable[[#This Row],[LayOdds]]-1)*(1+LayTable[[#This Row],[C% Lay]])))-1))+1)))-1)</f>
        <v/>
      </c>
      <c r="Q1471" s="46" t="str">
        <f>IF(LayTable[[#This Row],[Sport]]="","",LayTable[[#This Row],[BookieInnsats]]+LayTable[[#This Row],[LayLiability]])</f>
        <v/>
      </c>
      <c r="R14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1" s="47" t="str">
        <f>IF(LayTable[[#This Row],[Utfall bookie]]="","",LayTable[[#This Row],[WBABack]]+LayTable[[#This Row],[WBALay]]-LayTable[[#This Row],[Total inns]])</f>
        <v/>
      </c>
      <c r="U14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1" s="48" t="str">
        <f>IFERROR(IF(LayTable[[#This Row],[Total inns]]="","",LayTable[[#This Row],[Rback]]/LayTable[[#This Row],[Total inns]]),"")</f>
        <v/>
      </c>
      <c r="X1471" s="48" t="str">
        <f>IFERROR(IF(LayTable[[#This Row],[Total inns]]="","",LayTable[[#This Row],[Rlay]]/LayTable[[#This Row],[Total inns]]),"")</f>
        <v/>
      </c>
      <c r="Y1471" s="48" t="str">
        <f>IFERROR(LayTable[[#This Row],[Faktisk res]]/LayTable[[#This Row],[Total inns]],"")</f>
        <v/>
      </c>
      <c r="Z1471" s="47">
        <f>(LayTable[[#This Row],[BookieInnsats]]*LayTable[[#This Row],[BookieOdds]]-LayTable[[#This Row],[BookieInnsats]])*(1-LayTable[[#This Row],[C% Bookie]])</f>
        <v>0</v>
      </c>
      <c r="AA1471" s="43">
        <f>LayTable[[#This Row],[LayInnsats]]*(1-LayTable[[#This Row],[C% Lay]])</f>
        <v>0</v>
      </c>
      <c r="AB1471" s="43" t="str">
        <f>IFERROR(IF(LayTable[[#This Row],[Sport]]="",AB1470,LayTable[[#This Row],[Faktisk res]]+AB1470),"")</f>
        <v/>
      </c>
      <c r="AC1471" s="43">
        <f>(LayTable[[#This Row],[BackWin-Commission]]+LayTable[[#This Row],[BookieInnsats]])</f>
        <v>0</v>
      </c>
      <c r="AD1471" s="43" t="e">
        <f>(LayTable[[#This Row],[LayWin-Commission]])+LayTable[[#This Row],[LayLiability]]</f>
        <v>#VALUE!</v>
      </c>
      <c r="AE1471" s="43"/>
      <c r="AF1471" s="181"/>
    </row>
    <row r="1472" spans="1:32">
      <c r="A1472" s="84"/>
      <c r="B1472" s="39"/>
      <c r="C1472" s="40"/>
      <c r="D1472" s="41"/>
      <c r="E1472" s="40"/>
      <c r="F1472" s="41"/>
      <c r="G1472" s="101"/>
      <c r="H1472" s="38"/>
      <c r="I1472" s="42"/>
      <c r="J1472" s="42"/>
      <c r="K1472" s="43"/>
      <c r="L1472" s="43"/>
      <c r="M1472" s="44" t="str">
        <f>IF(LayTable[[#This Row],[Sport]]="","",LayTable[[#This Row],[LayInnsats]]*(LayTable[[#This Row],[LayOdds]]-1))</f>
        <v/>
      </c>
      <c r="N1472" s="45" t="str">
        <f>IF(LayTable[[#This Row],[Sport]]="","",1/((1/LayTable[[#This Row],[BookieOdds]])+(1/((1/((1+((LayTable[[#This Row],[LayOdds]]-1)*(1+LayTable[[#This Row],[C% Lay]])))-1))+1)))-1)</f>
        <v/>
      </c>
      <c r="Q1472" s="46" t="str">
        <f>IF(LayTable[[#This Row],[Sport]]="","",LayTable[[#This Row],[BookieInnsats]]+LayTable[[#This Row],[LayLiability]])</f>
        <v/>
      </c>
      <c r="R14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2" s="47" t="str">
        <f>IF(LayTable[[#This Row],[Utfall bookie]]="","",LayTable[[#This Row],[WBABack]]+LayTable[[#This Row],[WBALay]]-LayTable[[#This Row],[Total inns]])</f>
        <v/>
      </c>
      <c r="U14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2" s="48" t="str">
        <f>IFERROR(IF(LayTable[[#This Row],[Total inns]]="","",LayTable[[#This Row],[Rback]]/LayTable[[#This Row],[Total inns]]),"")</f>
        <v/>
      </c>
      <c r="X1472" s="48" t="str">
        <f>IFERROR(IF(LayTable[[#This Row],[Total inns]]="","",LayTable[[#This Row],[Rlay]]/LayTable[[#This Row],[Total inns]]),"")</f>
        <v/>
      </c>
      <c r="Y1472" s="48" t="str">
        <f>IFERROR(LayTable[[#This Row],[Faktisk res]]/LayTable[[#This Row],[Total inns]],"")</f>
        <v/>
      </c>
      <c r="Z1472" s="47">
        <f>(LayTable[[#This Row],[BookieInnsats]]*LayTable[[#This Row],[BookieOdds]]-LayTable[[#This Row],[BookieInnsats]])*(1-LayTable[[#This Row],[C% Bookie]])</f>
        <v>0</v>
      </c>
      <c r="AA1472" s="43">
        <f>LayTable[[#This Row],[LayInnsats]]*(1-LayTable[[#This Row],[C% Lay]])</f>
        <v>0</v>
      </c>
      <c r="AB1472" s="43" t="str">
        <f>IFERROR(IF(LayTable[[#This Row],[Sport]]="",AB1471,LayTable[[#This Row],[Faktisk res]]+AB1471),"")</f>
        <v/>
      </c>
      <c r="AC1472" s="43">
        <f>(LayTable[[#This Row],[BackWin-Commission]]+LayTable[[#This Row],[BookieInnsats]])</f>
        <v>0</v>
      </c>
      <c r="AD1472" s="43" t="e">
        <f>(LayTable[[#This Row],[LayWin-Commission]])+LayTable[[#This Row],[LayLiability]]</f>
        <v>#VALUE!</v>
      </c>
      <c r="AE1472" s="43"/>
      <c r="AF1472" s="181"/>
    </row>
    <row r="1473" spans="1:32">
      <c r="A1473" s="84"/>
      <c r="B1473" s="39"/>
      <c r="C1473" s="40"/>
      <c r="D1473" s="41"/>
      <c r="E1473" s="40"/>
      <c r="F1473" s="41"/>
      <c r="G1473" s="101"/>
      <c r="H1473" s="38"/>
      <c r="I1473" s="42"/>
      <c r="J1473" s="42"/>
      <c r="K1473" s="43"/>
      <c r="L1473" s="43"/>
      <c r="M1473" s="44" t="str">
        <f>IF(LayTable[[#This Row],[Sport]]="","",LayTable[[#This Row],[LayInnsats]]*(LayTable[[#This Row],[LayOdds]]-1))</f>
        <v/>
      </c>
      <c r="N1473" s="45" t="str">
        <f>IF(LayTable[[#This Row],[Sport]]="","",1/((1/LayTable[[#This Row],[BookieOdds]])+(1/((1/((1+((LayTable[[#This Row],[LayOdds]]-1)*(1+LayTable[[#This Row],[C% Lay]])))-1))+1)))-1)</f>
        <v/>
      </c>
      <c r="Q1473" s="46" t="str">
        <f>IF(LayTable[[#This Row],[Sport]]="","",LayTable[[#This Row],[BookieInnsats]]+LayTable[[#This Row],[LayLiability]])</f>
        <v/>
      </c>
      <c r="R14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3" s="47" t="str">
        <f>IF(LayTable[[#This Row],[Utfall bookie]]="","",LayTable[[#This Row],[WBABack]]+LayTable[[#This Row],[WBALay]]-LayTable[[#This Row],[Total inns]])</f>
        <v/>
      </c>
      <c r="U14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3" s="48" t="str">
        <f>IFERROR(IF(LayTable[[#This Row],[Total inns]]="","",LayTable[[#This Row],[Rback]]/LayTable[[#This Row],[Total inns]]),"")</f>
        <v/>
      </c>
      <c r="X1473" s="48" t="str">
        <f>IFERROR(IF(LayTable[[#This Row],[Total inns]]="","",LayTable[[#This Row],[Rlay]]/LayTable[[#This Row],[Total inns]]),"")</f>
        <v/>
      </c>
      <c r="Y1473" s="48" t="str">
        <f>IFERROR(LayTable[[#This Row],[Faktisk res]]/LayTable[[#This Row],[Total inns]],"")</f>
        <v/>
      </c>
      <c r="Z1473" s="47">
        <f>(LayTable[[#This Row],[BookieInnsats]]*LayTable[[#This Row],[BookieOdds]]-LayTable[[#This Row],[BookieInnsats]])*(1-LayTable[[#This Row],[C% Bookie]])</f>
        <v>0</v>
      </c>
      <c r="AA1473" s="43">
        <f>LayTable[[#This Row],[LayInnsats]]*(1-LayTable[[#This Row],[C% Lay]])</f>
        <v>0</v>
      </c>
      <c r="AB1473" s="43" t="str">
        <f>IFERROR(IF(LayTable[[#This Row],[Sport]]="",AB1472,LayTable[[#This Row],[Faktisk res]]+AB1472),"")</f>
        <v/>
      </c>
      <c r="AC1473" s="43">
        <f>(LayTable[[#This Row],[BackWin-Commission]]+LayTable[[#This Row],[BookieInnsats]])</f>
        <v>0</v>
      </c>
      <c r="AD1473" s="43" t="e">
        <f>(LayTable[[#This Row],[LayWin-Commission]])+LayTable[[#This Row],[LayLiability]]</f>
        <v>#VALUE!</v>
      </c>
      <c r="AE1473" s="43"/>
      <c r="AF1473" s="181"/>
    </row>
    <row r="1474" spans="1:32">
      <c r="A1474" s="84"/>
      <c r="B1474" s="39"/>
      <c r="C1474" s="40"/>
      <c r="D1474" s="41"/>
      <c r="E1474" s="40"/>
      <c r="F1474" s="41"/>
      <c r="G1474" s="101"/>
      <c r="H1474" s="38"/>
      <c r="I1474" s="42"/>
      <c r="J1474" s="42"/>
      <c r="K1474" s="43"/>
      <c r="L1474" s="43"/>
      <c r="M1474" s="44" t="str">
        <f>IF(LayTable[[#This Row],[Sport]]="","",LayTable[[#This Row],[LayInnsats]]*(LayTable[[#This Row],[LayOdds]]-1))</f>
        <v/>
      </c>
      <c r="N1474" s="45" t="str">
        <f>IF(LayTable[[#This Row],[Sport]]="","",1/((1/LayTable[[#This Row],[BookieOdds]])+(1/((1/((1+((LayTable[[#This Row],[LayOdds]]-1)*(1+LayTable[[#This Row],[C% Lay]])))-1))+1)))-1)</f>
        <v/>
      </c>
      <c r="Q1474" s="46" t="str">
        <f>IF(LayTable[[#This Row],[Sport]]="","",LayTable[[#This Row],[BookieInnsats]]+LayTable[[#This Row],[LayLiability]])</f>
        <v/>
      </c>
      <c r="R14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4" s="47" t="str">
        <f>IF(LayTable[[#This Row],[Utfall bookie]]="","",LayTable[[#This Row],[WBABack]]+LayTable[[#This Row],[WBALay]]-LayTable[[#This Row],[Total inns]])</f>
        <v/>
      </c>
      <c r="U14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4" s="48" t="str">
        <f>IFERROR(IF(LayTable[[#This Row],[Total inns]]="","",LayTable[[#This Row],[Rback]]/LayTable[[#This Row],[Total inns]]),"")</f>
        <v/>
      </c>
      <c r="X1474" s="48" t="str">
        <f>IFERROR(IF(LayTable[[#This Row],[Total inns]]="","",LayTable[[#This Row],[Rlay]]/LayTable[[#This Row],[Total inns]]),"")</f>
        <v/>
      </c>
      <c r="Y1474" s="48" t="str">
        <f>IFERROR(LayTable[[#This Row],[Faktisk res]]/LayTable[[#This Row],[Total inns]],"")</f>
        <v/>
      </c>
      <c r="Z1474" s="47">
        <f>(LayTable[[#This Row],[BookieInnsats]]*LayTable[[#This Row],[BookieOdds]]-LayTable[[#This Row],[BookieInnsats]])*(1-LayTable[[#This Row],[C% Bookie]])</f>
        <v>0</v>
      </c>
      <c r="AA1474" s="43">
        <f>LayTable[[#This Row],[LayInnsats]]*(1-LayTable[[#This Row],[C% Lay]])</f>
        <v>0</v>
      </c>
      <c r="AB1474" s="43" t="str">
        <f>IFERROR(IF(LayTable[[#This Row],[Sport]]="",AB1473,LayTable[[#This Row],[Faktisk res]]+AB1473),"")</f>
        <v/>
      </c>
      <c r="AC1474" s="43">
        <f>(LayTable[[#This Row],[BackWin-Commission]]+LayTable[[#This Row],[BookieInnsats]])</f>
        <v>0</v>
      </c>
      <c r="AD1474" s="43" t="e">
        <f>(LayTable[[#This Row],[LayWin-Commission]])+LayTable[[#This Row],[LayLiability]]</f>
        <v>#VALUE!</v>
      </c>
      <c r="AE1474" s="43"/>
      <c r="AF1474" s="181"/>
    </row>
    <row r="1475" spans="1:32">
      <c r="A1475" s="84"/>
      <c r="B1475" s="39"/>
      <c r="C1475" s="40"/>
      <c r="D1475" s="41"/>
      <c r="E1475" s="40"/>
      <c r="F1475" s="41"/>
      <c r="G1475" s="101"/>
      <c r="H1475" s="38"/>
      <c r="I1475" s="42"/>
      <c r="J1475" s="42"/>
      <c r="K1475" s="43"/>
      <c r="L1475" s="43"/>
      <c r="M1475" s="44" t="str">
        <f>IF(LayTable[[#This Row],[Sport]]="","",LayTable[[#This Row],[LayInnsats]]*(LayTable[[#This Row],[LayOdds]]-1))</f>
        <v/>
      </c>
      <c r="N1475" s="45" t="str">
        <f>IF(LayTable[[#This Row],[Sport]]="","",1/((1/LayTable[[#This Row],[BookieOdds]])+(1/((1/((1+((LayTable[[#This Row],[LayOdds]]-1)*(1+LayTable[[#This Row],[C% Lay]])))-1))+1)))-1)</f>
        <v/>
      </c>
      <c r="Q1475" s="46" t="str">
        <f>IF(LayTable[[#This Row],[Sport]]="","",LayTable[[#This Row],[BookieInnsats]]+LayTable[[#This Row],[LayLiability]])</f>
        <v/>
      </c>
      <c r="R14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5" s="47" t="str">
        <f>IF(LayTable[[#This Row],[Utfall bookie]]="","",LayTable[[#This Row],[WBABack]]+LayTable[[#This Row],[WBALay]]-LayTable[[#This Row],[Total inns]])</f>
        <v/>
      </c>
      <c r="U14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5" s="48" t="str">
        <f>IFERROR(IF(LayTable[[#This Row],[Total inns]]="","",LayTable[[#This Row],[Rback]]/LayTable[[#This Row],[Total inns]]),"")</f>
        <v/>
      </c>
      <c r="X1475" s="48" t="str">
        <f>IFERROR(IF(LayTable[[#This Row],[Total inns]]="","",LayTable[[#This Row],[Rlay]]/LayTable[[#This Row],[Total inns]]),"")</f>
        <v/>
      </c>
      <c r="Y1475" s="48" t="str">
        <f>IFERROR(LayTable[[#This Row],[Faktisk res]]/LayTable[[#This Row],[Total inns]],"")</f>
        <v/>
      </c>
      <c r="Z1475" s="47">
        <f>(LayTable[[#This Row],[BookieInnsats]]*LayTable[[#This Row],[BookieOdds]]-LayTable[[#This Row],[BookieInnsats]])*(1-LayTable[[#This Row],[C% Bookie]])</f>
        <v>0</v>
      </c>
      <c r="AA1475" s="43">
        <f>LayTable[[#This Row],[LayInnsats]]*(1-LayTable[[#This Row],[C% Lay]])</f>
        <v>0</v>
      </c>
      <c r="AB1475" s="43" t="str">
        <f>IFERROR(IF(LayTable[[#This Row],[Sport]]="",AB1474,LayTable[[#This Row],[Faktisk res]]+AB1474),"")</f>
        <v/>
      </c>
      <c r="AC1475" s="43">
        <f>(LayTable[[#This Row],[BackWin-Commission]]+LayTable[[#This Row],[BookieInnsats]])</f>
        <v>0</v>
      </c>
      <c r="AD1475" s="43" t="e">
        <f>(LayTable[[#This Row],[LayWin-Commission]])+LayTable[[#This Row],[LayLiability]]</f>
        <v>#VALUE!</v>
      </c>
      <c r="AE1475" s="43"/>
      <c r="AF1475" s="181"/>
    </row>
    <row r="1476" spans="1:32">
      <c r="A1476" s="84"/>
      <c r="B1476" s="39"/>
      <c r="C1476" s="40"/>
      <c r="D1476" s="41"/>
      <c r="E1476" s="40"/>
      <c r="F1476" s="41"/>
      <c r="G1476" s="101"/>
      <c r="H1476" s="38"/>
      <c r="I1476" s="42"/>
      <c r="J1476" s="42"/>
      <c r="K1476" s="43"/>
      <c r="L1476" s="43"/>
      <c r="M1476" s="44" t="str">
        <f>IF(LayTable[[#This Row],[Sport]]="","",LayTable[[#This Row],[LayInnsats]]*(LayTable[[#This Row],[LayOdds]]-1))</f>
        <v/>
      </c>
      <c r="N1476" s="45" t="str">
        <f>IF(LayTable[[#This Row],[Sport]]="","",1/((1/LayTable[[#This Row],[BookieOdds]])+(1/((1/((1+((LayTable[[#This Row],[LayOdds]]-1)*(1+LayTable[[#This Row],[C% Lay]])))-1))+1)))-1)</f>
        <v/>
      </c>
      <c r="Q1476" s="46" t="str">
        <f>IF(LayTable[[#This Row],[Sport]]="","",LayTable[[#This Row],[BookieInnsats]]+LayTable[[#This Row],[LayLiability]])</f>
        <v/>
      </c>
      <c r="R14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6" s="47" t="str">
        <f>IF(LayTable[[#This Row],[Utfall bookie]]="","",LayTable[[#This Row],[WBABack]]+LayTable[[#This Row],[WBALay]]-LayTable[[#This Row],[Total inns]])</f>
        <v/>
      </c>
      <c r="U14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6" s="48" t="str">
        <f>IFERROR(IF(LayTable[[#This Row],[Total inns]]="","",LayTable[[#This Row],[Rback]]/LayTable[[#This Row],[Total inns]]),"")</f>
        <v/>
      </c>
      <c r="X1476" s="48" t="str">
        <f>IFERROR(IF(LayTable[[#This Row],[Total inns]]="","",LayTable[[#This Row],[Rlay]]/LayTable[[#This Row],[Total inns]]),"")</f>
        <v/>
      </c>
      <c r="Y1476" s="48" t="str">
        <f>IFERROR(LayTable[[#This Row],[Faktisk res]]/LayTable[[#This Row],[Total inns]],"")</f>
        <v/>
      </c>
      <c r="Z1476" s="47">
        <f>(LayTable[[#This Row],[BookieInnsats]]*LayTable[[#This Row],[BookieOdds]]-LayTable[[#This Row],[BookieInnsats]])*(1-LayTable[[#This Row],[C% Bookie]])</f>
        <v>0</v>
      </c>
      <c r="AA1476" s="43">
        <f>LayTable[[#This Row],[LayInnsats]]*(1-LayTable[[#This Row],[C% Lay]])</f>
        <v>0</v>
      </c>
      <c r="AB1476" s="43" t="str">
        <f>IFERROR(IF(LayTable[[#This Row],[Sport]]="",AB1475,LayTable[[#This Row],[Faktisk res]]+AB1475),"")</f>
        <v/>
      </c>
      <c r="AC1476" s="43">
        <f>(LayTable[[#This Row],[BackWin-Commission]]+LayTable[[#This Row],[BookieInnsats]])</f>
        <v>0</v>
      </c>
      <c r="AD1476" s="43" t="e">
        <f>(LayTable[[#This Row],[LayWin-Commission]])+LayTable[[#This Row],[LayLiability]]</f>
        <v>#VALUE!</v>
      </c>
      <c r="AE1476" s="43"/>
      <c r="AF1476" s="181"/>
    </row>
    <row r="1477" spans="1:32">
      <c r="A1477" s="84"/>
      <c r="B1477" s="39"/>
      <c r="C1477" s="40"/>
      <c r="D1477" s="41"/>
      <c r="E1477" s="40"/>
      <c r="F1477" s="41"/>
      <c r="G1477" s="101"/>
      <c r="H1477" s="38"/>
      <c r="I1477" s="42"/>
      <c r="J1477" s="42"/>
      <c r="K1477" s="43"/>
      <c r="L1477" s="43"/>
      <c r="M1477" s="44" t="str">
        <f>IF(LayTable[[#This Row],[Sport]]="","",LayTable[[#This Row],[LayInnsats]]*(LayTable[[#This Row],[LayOdds]]-1))</f>
        <v/>
      </c>
      <c r="N1477" s="45" t="str">
        <f>IF(LayTable[[#This Row],[Sport]]="","",1/((1/LayTable[[#This Row],[BookieOdds]])+(1/((1/((1+((LayTable[[#This Row],[LayOdds]]-1)*(1+LayTable[[#This Row],[C% Lay]])))-1))+1)))-1)</f>
        <v/>
      </c>
      <c r="Q1477" s="46" t="str">
        <f>IF(LayTable[[#This Row],[Sport]]="","",LayTable[[#This Row],[BookieInnsats]]+LayTable[[#This Row],[LayLiability]])</f>
        <v/>
      </c>
      <c r="R14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7" s="47" t="str">
        <f>IF(LayTable[[#This Row],[Utfall bookie]]="","",LayTable[[#This Row],[WBABack]]+LayTable[[#This Row],[WBALay]]-LayTable[[#This Row],[Total inns]])</f>
        <v/>
      </c>
      <c r="U14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7" s="48" t="str">
        <f>IFERROR(IF(LayTable[[#This Row],[Total inns]]="","",LayTable[[#This Row],[Rback]]/LayTable[[#This Row],[Total inns]]),"")</f>
        <v/>
      </c>
      <c r="X1477" s="48" t="str">
        <f>IFERROR(IF(LayTable[[#This Row],[Total inns]]="","",LayTable[[#This Row],[Rlay]]/LayTable[[#This Row],[Total inns]]),"")</f>
        <v/>
      </c>
      <c r="Y1477" s="48" t="str">
        <f>IFERROR(LayTable[[#This Row],[Faktisk res]]/LayTable[[#This Row],[Total inns]],"")</f>
        <v/>
      </c>
      <c r="Z1477" s="47">
        <f>(LayTable[[#This Row],[BookieInnsats]]*LayTable[[#This Row],[BookieOdds]]-LayTable[[#This Row],[BookieInnsats]])*(1-LayTable[[#This Row],[C% Bookie]])</f>
        <v>0</v>
      </c>
      <c r="AA1477" s="43">
        <f>LayTable[[#This Row],[LayInnsats]]*(1-LayTable[[#This Row],[C% Lay]])</f>
        <v>0</v>
      </c>
      <c r="AB1477" s="43" t="str">
        <f>IFERROR(IF(LayTable[[#This Row],[Sport]]="",AB1476,LayTable[[#This Row],[Faktisk res]]+AB1476),"")</f>
        <v/>
      </c>
      <c r="AC1477" s="43">
        <f>(LayTable[[#This Row],[BackWin-Commission]]+LayTable[[#This Row],[BookieInnsats]])</f>
        <v>0</v>
      </c>
      <c r="AD1477" s="43" t="e">
        <f>(LayTable[[#This Row],[LayWin-Commission]])+LayTable[[#This Row],[LayLiability]]</f>
        <v>#VALUE!</v>
      </c>
      <c r="AE1477" s="43"/>
      <c r="AF1477" s="181"/>
    </row>
    <row r="1478" spans="1:32">
      <c r="A1478" s="84"/>
      <c r="B1478" s="39"/>
      <c r="C1478" s="40"/>
      <c r="D1478" s="41"/>
      <c r="E1478" s="40"/>
      <c r="F1478" s="41"/>
      <c r="G1478" s="101"/>
      <c r="H1478" s="38"/>
      <c r="I1478" s="42"/>
      <c r="J1478" s="42"/>
      <c r="K1478" s="43"/>
      <c r="L1478" s="43"/>
      <c r="M1478" s="44" t="str">
        <f>IF(LayTable[[#This Row],[Sport]]="","",LayTable[[#This Row],[LayInnsats]]*(LayTable[[#This Row],[LayOdds]]-1))</f>
        <v/>
      </c>
      <c r="N1478" s="45" t="str">
        <f>IF(LayTable[[#This Row],[Sport]]="","",1/((1/LayTable[[#This Row],[BookieOdds]])+(1/((1/((1+((LayTable[[#This Row],[LayOdds]]-1)*(1+LayTable[[#This Row],[C% Lay]])))-1))+1)))-1)</f>
        <v/>
      </c>
      <c r="Q1478" s="46" t="str">
        <f>IF(LayTable[[#This Row],[Sport]]="","",LayTable[[#This Row],[BookieInnsats]]+LayTable[[#This Row],[LayLiability]])</f>
        <v/>
      </c>
      <c r="R14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8" s="47" t="str">
        <f>IF(LayTable[[#This Row],[Utfall bookie]]="","",LayTable[[#This Row],[WBABack]]+LayTable[[#This Row],[WBALay]]-LayTable[[#This Row],[Total inns]])</f>
        <v/>
      </c>
      <c r="U14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8" s="48" t="str">
        <f>IFERROR(IF(LayTable[[#This Row],[Total inns]]="","",LayTable[[#This Row],[Rback]]/LayTable[[#This Row],[Total inns]]),"")</f>
        <v/>
      </c>
      <c r="X1478" s="48" t="str">
        <f>IFERROR(IF(LayTable[[#This Row],[Total inns]]="","",LayTable[[#This Row],[Rlay]]/LayTable[[#This Row],[Total inns]]),"")</f>
        <v/>
      </c>
      <c r="Y1478" s="48" t="str">
        <f>IFERROR(LayTable[[#This Row],[Faktisk res]]/LayTable[[#This Row],[Total inns]],"")</f>
        <v/>
      </c>
      <c r="Z1478" s="47">
        <f>(LayTable[[#This Row],[BookieInnsats]]*LayTable[[#This Row],[BookieOdds]]-LayTable[[#This Row],[BookieInnsats]])*(1-LayTable[[#This Row],[C% Bookie]])</f>
        <v>0</v>
      </c>
      <c r="AA1478" s="43">
        <f>LayTable[[#This Row],[LayInnsats]]*(1-LayTable[[#This Row],[C% Lay]])</f>
        <v>0</v>
      </c>
      <c r="AB1478" s="43" t="str">
        <f>IFERROR(IF(LayTable[[#This Row],[Sport]]="",AB1477,LayTable[[#This Row],[Faktisk res]]+AB1477),"")</f>
        <v/>
      </c>
      <c r="AC1478" s="43">
        <f>(LayTable[[#This Row],[BackWin-Commission]]+LayTable[[#This Row],[BookieInnsats]])</f>
        <v>0</v>
      </c>
      <c r="AD1478" s="43" t="e">
        <f>(LayTable[[#This Row],[LayWin-Commission]])+LayTable[[#This Row],[LayLiability]]</f>
        <v>#VALUE!</v>
      </c>
      <c r="AE1478" s="43"/>
      <c r="AF1478" s="181"/>
    </row>
    <row r="1479" spans="1:32">
      <c r="A1479" s="84"/>
      <c r="B1479" s="39"/>
      <c r="C1479" s="40"/>
      <c r="D1479" s="41"/>
      <c r="E1479" s="40"/>
      <c r="F1479" s="41"/>
      <c r="G1479" s="101"/>
      <c r="H1479" s="38"/>
      <c r="I1479" s="42"/>
      <c r="J1479" s="42"/>
      <c r="K1479" s="43"/>
      <c r="L1479" s="43"/>
      <c r="M1479" s="44" t="str">
        <f>IF(LayTable[[#This Row],[Sport]]="","",LayTable[[#This Row],[LayInnsats]]*(LayTable[[#This Row],[LayOdds]]-1))</f>
        <v/>
      </c>
      <c r="N1479" s="45" t="str">
        <f>IF(LayTable[[#This Row],[Sport]]="","",1/((1/LayTable[[#This Row],[BookieOdds]])+(1/((1/((1+((LayTable[[#This Row],[LayOdds]]-1)*(1+LayTable[[#This Row],[C% Lay]])))-1))+1)))-1)</f>
        <v/>
      </c>
      <c r="Q1479" s="46" t="str">
        <f>IF(LayTable[[#This Row],[Sport]]="","",LayTable[[#This Row],[BookieInnsats]]+LayTable[[#This Row],[LayLiability]])</f>
        <v/>
      </c>
      <c r="R14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79" s="47" t="str">
        <f>IF(LayTable[[#This Row],[Utfall bookie]]="","",LayTable[[#This Row],[WBABack]]+LayTable[[#This Row],[WBALay]]-LayTable[[#This Row],[Total inns]])</f>
        <v/>
      </c>
      <c r="U14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79" s="48" t="str">
        <f>IFERROR(IF(LayTable[[#This Row],[Total inns]]="","",LayTable[[#This Row],[Rback]]/LayTable[[#This Row],[Total inns]]),"")</f>
        <v/>
      </c>
      <c r="X1479" s="48" t="str">
        <f>IFERROR(IF(LayTable[[#This Row],[Total inns]]="","",LayTable[[#This Row],[Rlay]]/LayTable[[#This Row],[Total inns]]),"")</f>
        <v/>
      </c>
      <c r="Y1479" s="48" t="str">
        <f>IFERROR(LayTable[[#This Row],[Faktisk res]]/LayTable[[#This Row],[Total inns]],"")</f>
        <v/>
      </c>
      <c r="Z1479" s="47">
        <f>(LayTable[[#This Row],[BookieInnsats]]*LayTable[[#This Row],[BookieOdds]]-LayTable[[#This Row],[BookieInnsats]])*(1-LayTable[[#This Row],[C% Bookie]])</f>
        <v>0</v>
      </c>
      <c r="AA1479" s="43">
        <f>LayTable[[#This Row],[LayInnsats]]*(1-LayTable[[#This Row],[C% Lay]])</f>
        <v>0</v>
      </c>
      <c r="AB1479" s="43" t="str">
        <f>IFERROR(IF(LayTable[[#This Row],[Sport]]="",AB1478,LayTable[[#This Row],[Faktisk res]]+AB1478),"")</f>
        <v/>
      </c>
      <c r="AC1479" s="43">
        <f>(LayTable[[#This Row],[BackWin-Commission]]+LayTable[[#This Row],[BookieInnsats]])</f>
        <v>0</v>
      </c>
      <c r="AD1479" s="43" t="e">
        <f>(LayTable[[#This Row],[LayWin-Commission]])+LayTable[[#This Row],[LayLiability]]</f>
        <v>#VALUE!</v>
      </c>
      <c r="AE1479" s="43"/>
      <c r="AF1479" s="181"/>
    </row>
    <row r="1480" spans="1:32">
      <c r="A1480" s="84"/>
      <c r="B1480" s="39"/>
      <c r="C1480" s="40"/>
      <c r="D1480" s="41"/>
      <c r="E1480" s="40"/>
      <c r="F1480" s="41"/>
      <c r="G1480" s="101"/>
      <c r="H1480" s="38"/>
      <c r="I1480" s="42"/>
      <c r="J1480" s="42"/>
      <c r="K1480" s="43"/>
      <c r="L1480" s="43"/>
      <c r="M1480" s="44" t="str">
        <f>IF(LayTable[[#This Row],[Sport]]="","",LayTable[[#This Row],[LayInnsats]]*(LayTable[[#This Row],[LayOdds]]-1))</f>
        <v/>
      </c>
      <c r="N1480" s="45" t="str">
        <f>IF(LayTable[[#This Row],[Sport]]="","",1/((1/LayTable[[#This Row],[BookieOdds]])+(1/((1/((1+((LayTable[[#This Row],[LayOdds]]-1)*(1+LayTable[[#This Row],[C% Lay]])))-1))+1)))-1)</f>
        <v/>
      </c>
      <c r="Q1480" s="46" t="str">
        <f>IF(LayTable[[#This Row],[Sport]]="","",LayTable[[#This Row],[BookieInnsats]]+LayTable[[#This Row],[LayLiability]])</f>
        <v/>
      </c>
      <c r="R14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0" s="47" t="str">
        <f>IF(LayTable[[#This Row],[Utfall bookie]]="","",LayTable[[#This Row],[WBABack]]+LayTable[[#This Row],[WBALay]]-LayTable[[#This Row],[Total inns]])</f>
        <v/>
      </c>
      <c r="U14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0" s="48" t="str">
        <f>IFERROR(IF(LayTable[[#This Row],[Total inns]]="","",LayTable[[#This Row],[Rback]]/LayTable[[#This Row],[Total inns]]),"")</f>
        <v/>
      </c>
      <c r="X1480" s="48" t="str">
        <f>IFERROR(IF(LayTable[[#This Row],[Total inns]]="","",LayTable[[#This Row],[Rlay]]/LayTable[[#This Row],[Total inns]]),"")</f>
        <v/>
      </c>
      <c r="Y1480" s="48" t="str">
        <f>IFERROR(LayTable[[#This Row],[Faktisk res]]/LayTable[[#This Row],[Total inns]],"")</f>
        <v/>
      </c>
      <c r="Z1480" s="47">
        <f>(LayTable[[#This Row],[BookieInnsats]]*LayTable[[#This Row],[BookieOdds]]-LayTable[[#This Row],[BookieInnsats]])*(1-LayTable[[#This Row],[C% Bookie]])</f>
        <v>0</v>
      </c>
      <c r="AA1480" s="43">
        <f>LayTable[[#This Row],[LayInnsats]]*(1-LayTable[[#This Row],[C% Lay]])</f>
        <v>0</v>
      </c>
      <c r="AB1480" s="43" t="str">
        <f>IFERROR(IF(LayTable[[#This Row],[Sport]]="",AB1479,LayTable[[#This Row],[Faktisk res]]+AB1479),"")</f>
        <v/>
      </c>
      <c r="AC1480" s="43">
        <f>(LayTable[[#This Row],[BackWin-Commission]]+LayTable[[#This Row],[BookieInnsats]])</f>
        <v>0</v>
      </c>
      <c r="AD1480" s="43" t="e">
        <f>(LayTable[[#This Row],[LayWin-Commission]])+LayTable[[#This Row],[LayLiability]]</f>
        <v>#VALUE!</v>
      </c>
      <c r="AE1480" s="43"/>
      <c r="AF1480" s="181"/>
    </row>
    <row r="1481" spans="1:32">
      <c r="A1481" s="84"/>
      <c r="B1481" s="39"/>
      <c r="C1481" s="40"/>
      <c r="D1481" s="41"/>
      <c r="E1481" s="40"/>
      <c r="F1481" s="41"/>
      <c r="G1481" s="101"/>
      <c r="H1481" s="38"/>
      <c r="I1481" s="42"/>
      <c r="J1481" s="42"/>
      <c r="K1481" s="43"/>
      <c r="L1481" s="43"/>
      <c r="M1481" s="44" t="str">
        <f>IF(LayTable[[#This Row],[Sport]]="","",LayTable[[#This Row],[LayInnsats]]*(LayTable[[#This Row],[LayOdds]]-1))</f>
        <v/>
      </c>
      <c r="N1481" s="45" t="str">
        <f>IF(LayTable[[#This Row],[Sport]]="","",1/((1/LayTable[[#This Row],[BookieOdds]])+(1/((1/((1+((LayTable[[#This Row],[LayOdds]]-1)*(1+LayTable[[#This Row],[C% Lay]])))-1))+1)))-1)</f>
        <v/>
      </c>
      <c r="Q1481" s="46" t="str">
        <f>IF(LayTable[[#This Row],[Sport]]="","",LayTable[[#This Row],[BookieInnsats]]+LayTable[[#This Row],[LayLiability]])</f>
        <v/>
      </c>
      <c r="R14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1" s="47" t="str">
        <f>IF(LayTable[[#This Row],[Utfall bookie]]="","",LayTable[[#This Row],[WBABack]]+LayTable[[#This Row],[WBALay]]-LayTable[[#This Row],[Total inns]])</f>
        <v/>
      </c>
      <c r="U14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1" s="48" t="str">
        <f>IFERROR(IF(LayTable[[#This Row],[Total inns]]="","",LayTable[[#This Row],[Rback]]/LayTable[[#This Row],[Total inns]]),"")</f>
        <v/>
      </c>
      <c r="X1481" s="48" t="str">
        <f>IFERROR(IF(LayTable[[#This Row],[Total inns]]="","",LayTable[[#This Row],[Rlay]]/LayTable[[#This Row],[Total inns]]),"")</f>
        <v/>
      </c>
      <c r="Y1481" s="48" t="str">
        <f>IFERROR(LayTable[[#This Row],[Faktisk res]]/LayTable[[#This Row],[Total inns]],"")</f>
        <v/>
      </c>
      <c r="Z1481" s="47">
        <f>(LayTable[[#This Row],[BookieInnsats]]*LayTable[[#This Row],[BookieOdds]]-LayTable[[#This Row],[BookieInnsats]])*(1-LayTable[[#This Row],[C% Bookie]])</f>
        <v>0</v>
      </c>
      <c r="AA1481" s="43">
        <f>LayTable[[#This Row],[LayInnsats]]*(1-LayTable[[#This Row],[C% Lay]])</f>
        <v>0</v>
      </c>
      <c r="AB1481" s="43" t="str">
        <f>IFERROR(IF(LayTable[[#This Row],[Sport]]="",AB1480,LayTable[[#This Row],[Faktisk res]]+AB1480),"")</f>
        <v/>
      </c>
      <c r="AC1481" s="43">
        <f>(LayTable[[#This Row],[BackWin-Commission]]+LayTable[[#This Row],[BookieInnsats]])</f>
        <v>0</v>
      </c>
      <c r="AD1481" s="43" t="e">
        <f>(LayTable[[#This Row],[LayWin-Commission]])+LayTable[[#This Row],[LayLiability]]</f>
        <v>#VALUE!</v>
      </c>
      <c r="AE1481" s="43"/>
      <c r="AF1481" s="181"/>
    </row>
    <row r="1482" spans="1:32">
      <c r="A1482" s="84"/>
      <c r="B1482" s="39"/>
      <c r="C1482" s="40"/>
      <c r="D1482" s="41"/>
      <c r="E1482" s="40"/>
      <c r="F1482" s="41"/>
      <c r="G1482" s="101"/>
      <c r="H1482" s="38"/>
      <c r="I1482" s="42"/>
      <c r="J1482" s="42"/>
      <c r="K1482" s="43"/>
      <c r="L1482" s="43"/>
      <c r="M1482" s="44" t="str">
        <f>IF(LayTable[[#This Row],[Sport]]="","",LayTable[[#This Row],[LayInnsats]]*(LayTable[[#This Row],[LayOdds]]-1))</f>
        <v/>
      </c>
      <c r="N1482" s="45" t="str">
        <f>IF(LayTable[[#This Row],[Sport]]="","",1/((1/LayTable[[#This Row],[BookieOdds]])+(1/((1/((1+((LayTable[[#This Row],[LayOdds]]-1)*(1+LayTable[[#This Row],[C% Lay]])))-1))+1)))-1)</f>
        <v/>
      </c>
      <c r="Q1482" s="46" t="str">
        <f>IF(LayTable[[#This Row],[Sport]]="","",LayTable[[#This Row],[BookieInnsats]]+LayTable[[#This Row],[LayLiability]])</f>
        <v/>
      </c>
      <c r="R14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2" s="47" t="str">
        <f>IF(LayTable[[#This Row],[Utfall bookie]]="","",LayTable[[#This Row],[WBABack]]+LayTable[[#This Row],[WBALay]]-LayTable[[#This Row],[Total inns]])</f>
        <v/>
      </c>
      <c r="U14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2" s="48" t="str">
        <f>IFERROR(IF(LayTable[[#This Row],[Total inns]]="","",LayTable[[#This Row],[Rback]]/LayTable[[#This Row],[Total inns]]),"")</f>
        <v/>
      </c>
      <c r="X1482" s="48" t="str">
        <f>IFERROR(IF(LayTable[[#This Row],[Total inns]]="","",LayTable[[#This Row],[Rlay]]/LayTable[[#This Row],[Total inns]]),"")</f>
        <v/>
      </c>
      <c r="Y1482" s="48" t="str">
        <f>IFERROR(LayTable[[#This Row],[Faktisk res]]/LayTable[[#This Row],[Total inns]],"")</f>
        <v/>
      </c>
      <c r="Z1482" s="47">
        <f>(LayTable[[#This Row],[BookieInnsats]]*LayTable[[#This Row],[BookieOdds]]-LayTable[[#This Row],[BookieInnsats]])*(1-LayTable[[#This Row],[C% Bookie]])</f>
        <v>0</v>
      </c>
      <c r="AA1482" s="43">
        <f>LayTable[[#This Row],[LayInnsats]]*(1-LayTable[[#This Row],[C% Lay]])</f>
        <v>0</v>
      </c>
      <c r="AB1482" s="43" t="str">
        <f>IFERROR(IF(LayTable[[#This Row],[Sport]]="",AB1481,LayTable[[#This Row],[Faktisk res]]+AB1481),"")</f>
        <v/>
      </c>
      <c r="AC1482" s="43">
        <f>(LayTable[[#This Row],[BackWin-Commission]]+LayTable[[#This Row],[BookieInnsats]])</f>
        <v>0</v>
      </c>
      <c r="AD1482" s="43" t="e">
        <f>(LayTable[[#This Row],[LayWin-Commission]])+LayTable[[#This Row],[LayLiability]]</f>
        <v>#VALUE!</v>
      </c>
      <c r="AE1482" s="43"/>
      <c r="AF1482" s="181"/>
    </row>
    <row r="1483" spans="1:32">
      <c r="A1483" s="84"/>
      <c r="B1483" s="39"/>
      <c r="C1483" s="40"/>
      <c r="D1483" s="41"/>
      <c r="E1483" s="40"/>
      <c r="F1483" s="41"/>
      <c r="G1483" s="101"/>
      <c r="H1483" s="38"/>
      <c r="I1483" s="42"/>
      <c r="J1483" s="42"/>
      <c r="K1483" s="43"/>
      <c r="L1483" s="43"/>
      <c r="M1483" s="44" t="str">
        <f>IF(LayTable[[#This Row],[Sport]]="","",LayTable[[#This Row],[LayInnsats]]*(LayTable[[#This Row],[LayOdds]]-1))</f>
        <v/>
      </c>
      <c r="N1483" s="45" t="str">
        <f>IF(LayTable[[#This Row],[Sport]]="","",1/((1/LayTable[[#This Row],[BookieOdds]])+(1/((1/((1+((LayTable[[#This Row],[LayOdds]]-1)*(1+LayTable[[#This Row],[C% Lay]])))-1))+1)))-1)</f>
        <v/>
      </c>
      <c r="Q1483" s="46" t="str">
        <f>IF(LayTable[[#This Row],[Sport]]="","",LayTable[[#This Row],[BookieInnsats]]+LayTable[[#This Row],[LayLiability]])</f>
        <v/>
      </c>
      <c r="R14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3" s="47" t="str">
        <f>IF(LayTable[[#This Row],[Utfall bookie]]="","",LayTable[[#This Row],[WBABack]]+LayTable[[#This Row],[WBALay]]-LayTable[[#This Row],[Total inns]])</f>
        <v/>
      </c>
      <c r="U14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3" s="48" t="str">
        <f>IFERROR(IF(LayTable[[#This Row],[Total inns]]="","",LayTable[[#This Row],[Rback]]/LayTable[[#This Row],[Total inns]]),"")</f>
        <v/>
      </c>
      <c r="X1483" s="48" t="str">
        <f>IFERROR(IF(LayTable[[#This Row],[Total inns]]="","",LayTable[[#This Row],[Rlay]]/LayTable[[#This Row],[Total inns]]),"")</f>
        <v/>
      </c>
      <c r="Y1483" s="48" t="str">
        <f>IFERROR(LayTable[[#This Row],[Faktisk res]]/LayTable[[#This Row],[Total inns]],"")</f>
        <v/>
      </c>
      <c r="Z1483" s="47">
        <f>(LayTable[[#This Row],[BookieInnsats]]*LayTable[[#This Row],[BookieOdds]]-LayTable[[#This Row],[BookieInnsats]])*(1-LayTable[[#This Row],[C% Bookie]])</f>
        <v>0</v>
      </c>
      <c r="AA1483" s="43">
        <f>LayTable[[#This Row],[LayInnsats]]*(1-LayTable[[#This Row],[C% Lay]])</f>
        <v>0</v>
      </c>
      <c r="AB1483" s="43" t="str">
        <f>IFERROR(IF(LayTable[[#This Row],[Sport]]="",AB1482,LayTable[[#This Row],[Faktisk res]]+AB1482),"")</f>
        <v/>
      </c>
      <c r="AC1483" s="43">
        <f>(LayTable[[#This Row],[BackWin-Commission]]+LayTable[[#This Row],[BookieInnsats]])</f>
        <v>0</v>
      </c>
      <c r="AD1483" s="43" t="e">
        <f>(LayTable[[#This Row],[LayWin-Commission]])+LayTable[[#This Row],[LayLiability]]</f>
        <v>#VALUE!</v>
      </c>
      <c r="AE1483" s="43"/>
      <c r="AF1483" s="181"/>
    </row>
    <row r="1484" spans="1:32">
      <c r="A1484" s="84"/>
      <c r="B1484" s="39"/>
      <c r="C1484" s="40"/>
      <c r="D1484" s="41"/>
      <c r="E1484" s="40"/>
      <c r="F1484" s="41"/>
      <c r="G1484" s="101"/>
      <c r="H1484" s="38"/>
      <c r="I1484" s="42"/>
      <c r="J1484" s="42"/>
      <c r="K1484" s="43"/>
      <c r="L1484" s="43"/>
      <c r="M1484" s="44" t="str">
        <f>IF(LayTable[[#This Row],[Sport]]="","",LayTable[[#This Row],[LayInnsats]]*(LayTable[[#This Row],[LayOdds]]-1))</f>
        <v/>
      </c>
      <c r="N1484" s="45" t="str">
        <f>IF(LayTable[[#This Row],[Sport]]="","",1/((1/LayTable[[#This Row],[BookieOdds]])+(1/((1/((1+((LayTable[[#This Row],[LayOdds]]-1)*(1+LayTable[[#This Row],[C% Lay]])))-1))+1)))-1)</f>
        <v/>
      </c>
      <c r="Q1484" s="46" t="str">
        <f>IF(LayTable[[#This Row],[Sport]]="","",LayTable[[#This Row],[BookieInnsats]]+LayTable[[#This Row],[LayLiability]])</f>
        <v/>
      </c>
      <c r="R14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4" s="47" t="str">
        <f>IF(LayTable[[#This Row],[Utfall bookie]]="","",LayTable[[#This Row],[WBABack]]+LayTable[[#This Row],[WBALay]]-LayTable[[#This Row],[Total inns]])</f>
        <v/>
      </c>
      <c r="U14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4" s="48" t="str">
        <f>IFERROR(IF(LayTable[[#This Row],[Total inns]]="","",LayTable[[#This Row],[Rback]]/LayTable[[#This Row],[Total inns]]),"")</f>
        <v/>
      </c>
      <c r="X1484" s="48" t="str">
        <f>IFERROR(IF(LayTable[[#This Row],[Total inns]]="","",LayTable[[#This Row],[Rlay]]/LayTable[[#This Row],[Total inns]]),"")</f>
        <v/>
      </c>
      <c r="Y1484" s="48" t="str">
        <f>IFERROR(LayTable[[#This Row],[Faktisk res]]/LayTable[[#This Row],[Total inns]],"")</f>
        <v/>
      </c>
      <c r="Z1484" s="47">
        <f>(LayTable[[#This Row],[BookieInnsats]]*LayTable[[#This Row],[BookieOdds]]-LayTable[[#This Row],[BookieInnsats]])*(1-LayTable[[#This Row],[C% Bookie]])</f>
        <v>0</v>
      </c>
      <c r="AA1484" s="43">
        <f>LayTable[[#This Row],[LayInnsats]]*(1-LayTable[[#This Row],[C% Lay]])</f>
        <v>0</v>
      </c>
      <c r="AB1484" s="43" t="str">
        <f>IFERROR(IF(LayTable[[#This Row],[Sport]]="",AB1483,LayTable[[#This Row],[Faktisk res]]+AB1483),"")</f>
        <v/>
      </c>
      <c r="AC1484" s="43">
        <f>(LayTable[[#This Row],[BackWin-Commission]]+LayTable[[#This Row],[BookieInnsats]])</f>
        <v>0</v>
      </c>
      <c r="AD1484" s="43" t="e">
        <f>(LayTable[[#This Row],[LayWin-Commission]])+LayTable[[#This Row],[LayLiability]]</f>
        <v>#VALUE!</v>
      </c>
      <c r="AE1484" s="43"/>
      <c r="AF1484" s="181"/>
    </row>
    <row r="1485" spans="1:32">
      <c r="A1485" s="84"/>
      <c r="B1485" s="39"/>
      <c r="C1485" s="40"/>
      <c r="D1485" s="41"/>
      <c r="E1485" s="40"/>
      <c r="F1485" s="41"/>
      <c r="G1485" s="101"/>
      <c r="H1485" s="38"/>
      <c r="I1485" s="42"/>
      <c r="J1485" s="42"/>
      <c r="K1485" s="43"/>
      <c r="L1485" s="43"/>
      <c r="M1485" s="44" t="str">
        <f>IF(LayTable[[#This Row],[Sport]]="","",LayTable[[#This Row],[LayInnsats]]*(LayTable[[#This Row],[LayOdds]]-1))</f>
        <v/>
      </c>
      <c r="N1485" s="45" t="str">
        <f>IF(LayTable[[#This Row],[Sport]]="","",1/((1/LayTable[[#This Row],[BookieOdds]])+(1/((1/((1+((LayTable[[#This Row],[LayOdds]]-1)*(1+LayTable[[#This Row],[C% Lay]])))-1))+1)))-1)</f>
        <v/>
      </c>
      <c r="Q1485" s="46" t="str">
        <f>IF(LayTable[[#This Row],[Sport]]="","",LayTable[[#This Row],[BookieInnsats]]+LayTable[[#This Row],[LayLiability]])</f>
        <v/>
      </c>
      <c r="R14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5" s="47" t="str">
        <f>IF(LayTable[[#This Row],[Utfall bookie]]="","",LayTable[[#This Row],[WBABack]]+LayTable[[#This Row],[WBALay]]-LayTable[[#This Row],[Total inns]])</f>
        <v/>
      </c>
      <c r="U14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5" s="48" t="str">
        <f>IFERROR(IF(LayTable[[#This Row],[Total inns]]="","",LayTable[[#This Row],[Rback]]/LayTable[[#This Row],[Total inns]]),"")</f>
        <v/>
      </c>
      <c r="X1485" s="48" t="str">
        <f>IFERROR(IF(LayTable[[#This Row],[Total inns]]="","",LayTable[[#This Row],[Rlay]]/LayTable[[#This Row],[Total inns]]),"")</f>
        <v/>
      </c>
      <c r="Y1485" s="48" t="str">
        <f>IFERROR(LayTable[[#This Row],[Faktisk res]]/LayTable[[#This Row],[Total inns]],"")</f>
        <v/>
      </c>
      <c r="Z1485" s="47">
        <f>(LayTable[[#This Row],[BookieInnsats]]*LayTable[[#This Row],[BookieOdds]]-LayTable[[#This Row],[BookieInnsats]])*(1-LayTable[[#This Row],[C% Bookie]])</f>
        <v>0</v>
      </c>
      <c r="AA1485" s="43">
        <f>LayTable[[#This Row],[LayInnsats]]*(1-LayTable[[#This Row],[C% Lay]])</f>
        <v>0</v>
      </c>
      <c r="AB1485" s="43" t="str">
        <f>IFERROR(IF(LayTable[[#This Row],[Sport]]="",AB1484,LayTable[[#This Row],[Faktisk res]]+AB1484),"")</f>
        <v/>
      </c>
      <c r="AC1485" s="43">
        <f>(LayTable[[#This Row],[BackWin-Commission]]+LayTable[[#This Row],[BookieInnsats]])</f>
        <v>0</v>
      </c>
      <c r="AD1485" s="43" t="e">
        <f>(LayTable[[#This Row],[LayWin-Commission]])+LayTable[[#This Row],[LayLiability]]</f>
        <v>#VALUE!</v>
      </c>
      <c r="AE1485" s="43"/>
      <c r="AF1485" s="181"/>
    </row>
    <row r="1486" spans="1:32">
      <c r="A1486" s="84"/>
      <c r="B1486" s="39"/>
      <c r="C1486" s="40"/>
      <c r="D1486" s="41"/>
      <c r="E1486" s="40"/>
      <c r="F1486" s="41"/>
      <c r="G1486" s="101"/>
      <c r="H1486" s="38"/>
      <c r="I1486" s="42"/>
      <c r="J1486" s="42"/>
      <c r="K1486" s="43"/>
      <c r="L1486" s="43"/>
      <c r="M1486" s="44" t="str">
        <f>IF(LayTable[[#This Row],[Sport]]="","",LayTable[[#This Row],[LayInnsats]]*(LayTable[[#This Row],[LayOdds]]-1))</f>
        <v/>
      </c>
      <c r="N1486" s="45" t="str">
        <f>IF(LayTable[[#This Row],[Sport]]="","",1/((1/LayTable[[#This Row],[BookieOdds]])+(1/((1/((1+((LayTable[[#This Row],[LayOdds]]-1)*(1+LayTable[[#This Row],[C% Lay]])))-1))+1)))-1)</f>
        <v/>
      </c>
      <c r="Q1486" s="46" t="str">
        <f>IF(LayTable[[#This Row],[Sport]]="","",LayTable[[#This Row],[BookieInnsats]]+LayTable[[#This Row],[LayLiability]])</f>
        <v/>
      </c>
      <c r="R14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6" s="47" t="str">
        <f>IF(LayTable[[#This Row],[Utfall bookie]]="","",LayTable[[#This Row],[WBABack]]+LayTable[[#This Row],[WBALay]]-LayTable[[#This Row],[Total inns]])</f>
        <v/>
      </c>
      <c r="U14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6" s="48" t="str">
        <f>IFERROR(IF(LayTable[[#This Row],[Total inns]]="","",LayTable[[#This Row],[Rback]]/LayTable[[#This Row],[Total inns]]),"")</f>
        <v/>
      </c>
      <c r="X1486" s="48" t="str">
        <f>IFERROR(IF(LayTable[[#This Row],[Total inns]]="","",LayTable[[#This Row],[Rlay]]/LayTable[[#This Row],[Total inns]]),"")</f>
        <v/>
      </c>
      <c r="Y1486" s="48" t="str">
        <f>IFERROR(LayTable[[#This Row],[Faktisk res]]/LayTable[[#This Row],[Total inns]],"")</f>
        <v/>
      </c>
      <c r="Z1486" s="47">
        <f>(LayTable[[#This Row],[BookieInnsats]]*LayTable[[#This Row],[BookieOdds]]-LayTable[[#This Row],[BookieInnsats]])*(1-LayTable[[#This Row],[C% Bookie]])</f>
        <v>0</v>
      </c>
      <c r="AA1486" s="43">
        <f>LayTable[[#This Row],[LayInnsats]]*(1-LayTable[[#This Row],[C% Lay]])</f>
        <v>0</v>
      </c>
      <c r="AB1486" s="43" t="str">
        <f>IFERROR(IF(LayTable[[#This Row],[Sport]]="",AB1485,LayTable[[#This Row],[Faktisk res]]+AB1485),"")</f>
        <v/>
      </c>
      <c r="AC1486" s="43">
        <f>(LayTable[[#This Row],[BackWin-Commission]]+LayTable[[#This Row],[BookieInnsats]])</f>
        <v>0</v>
      </c>
      <c r="AD1486" s="43" t="e">
        <f>(LayTable[[#This Row],[LayWin-Commission]])+LayTable[[#This Row],[LayLiability]]</f>
        <v>#VALUE!</v>
      </c>
      <c r="AE1486" s="43"/>
      <c r="AF1486" s="181"/>
    </row>
    <row r="1487" spans="1:32">
      <c r="A1487" s="84"/>
      <c r="B1487" s="39"/>
      <c r="C1487" s="40"/>
      <c r="D1487" s="41"/>
      <c r="E1487" s="40"/>
      <c r="F1487" s="41"/>
      <c r="G1487" s="101"/>
      <c r="H1487" s="38"/>
      <c r="I1487" s="42"/>
      <c r="J1487" s="42"/>
      <c r="K1487" s="43"/>
      <c r="L1487" s="43"/>
      <c r="M1487" s="44" t="str">
        <f>IF(LayTable[[#This Row],[Sport]]="","",LayTable[[#This Row],[LayInnsats]]*(LayTable[[#This Row],[LayOdds]]-1))</f>
        <v/>
      </c>
      <c r="N1487" s="45" t="str">
        <f>IF(LayTable[[#This Row],[Sport]]="","",1/((1/LayTable[[#This Row],[BookieOdds]])+(1/((1/((1+((LayTable[[#This Row],[LayOdds]]-1)*(1+LayTable[[#This Row],[C% Lay]])))-1))+1)))-1)</f>
        <v/>
      </c>
      <c r="Q1487" s="46" t="str">
        <f>IF(LayTable[[#This Row],[Sport]]="","",LayTable[[#This Row],[BookieInnsats]]+LayTable[[#This Row],[LayLiability]])</f>
        <v/>
      </c>
      <c r="R14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7" s="47" t="str">
        <f>IF(LayTable[[#This Row],[Utfall bookie]]="","",LayTable[[#This Row],[WBABack]]+LayTable[[#This Row],[WBALay]]-LayTable[[#This Row],[Total inns]])</f>
        <v/>
      </c>
      <c r="U14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7" s="48" t="str">
        <f>IFERROR(IF(LayTable[[#This Row],[Total inns]]="","",LayTable[[#This Row],[Rback]]/LayTable[[#This Row],[Total inns]]),"")</f>
        <v/>
      </c>
      <c r="X1487" s="48" t="str">
        <f>IFERROR(IF(LayTable[[#This Row],[Total inns]]="","",LayTable[[#This Row],[Rlay]]/LayTable[[#This Row],[Total inns]]),"")</f>
        <v/>
      </c>
      <c r="Y1487" s="48" t="str">
        <f>IFERROR(LayTable[[#This Row],[Faktisk res]]/LayTable[[#This Row],[Total inns]],"")</f>
        <v/>
      </c>
      <c r="Z1487" s="47">
        <f>(LayTable[[#This Row],[BookieInnsats]]*LayTable[[#This Row],[BookieOdds]]-LayTable[[#This Row],[BookieInnsats]])*(1-LayTable[[#This Row],[C% Bookie]])</f>
        <v>0</v>
      </c>
      <c r="AA1487" s="43">
        <f>LayTable[[#This Row],[LayInnsats]]*(1-LayTable[[#This Row],[C% Lay]])</f>
        <v>0</v>
      </c>
      <c r="AB1487" s="43" t="str">
        <f>IFERROR(IF(LayTable[[#This Row],[Sport]]="",AB1486,LayTable[[#This Row],[Faktisk res]]+AB1486),"")</f>
        <v/>
      </c>
      <c r="AC1487" s="43">
        <f>(LayTable[[#This Row],[BackWin-Commission]]+LayTable[[#This Row],[BookieInnsats]])</f>
        <v>0</v>
      </c>
      <c r="AD1487" s="43" t="e">
        <f>(LayTable[[#This Row],[LayWin-Commission]])+LayTable[[#This Row],[LayLiability]]</f>
        <v>#VALUE!</v>
      </c>
      <c r="AE1487" s="43"/>
      <c r="AF1487" s="181"/>
    </row>
    <row r="1488" spans="1:32">
      <c r="A1488" s="84"/>
      <c r="B1488" s="39"/>
      <c r="C1488" s="40"/>
      <c r="D1488" s="41"/>
      <c r="E1488" s="40"/>
      <c r="F1488" s="41"/>
      <c r="G1488" s="101"/>
      <c r="H1488" s="38"/>
      <c r="I1488" s="42"/>
      <c r="J1488" s="42"/>
      <c r="K1488" s="43"/>
      <c r="L1488" s="43"/>
      <c r="M1488" s="44" t="str">
        <f>IF(LayTable[[#This Row],[Sport]]="","",LayTable[[#This Row],[LayInnsats]]*(LayTable[[#This Row],[LayOdds]]-1))</f>
        <v/>
      </c>
      <c r="N1488" s="45" t="str">
        <f>IF(LayTable[[#This Row],[Sport]]="","",1/((1/LayTable[[#This Row],[BookieOdds]])+(1/((1/((1+((LayTable[[#This Row],[LayOdds]]-1)*(1+LayTable[[#This Row],[C% Lay]])))-1))+1)))-1)</f>
        <v/>
      </c>
      <c r="Q1488" s="46" t="str">
        <f>IF(LayTable[[#This Row],[Sport]]="","",LayTable[[#This Row],[BookieInnsats]]+LayTable[[#This Row],[LayLiability]])</f>
        <v/>
      </c>
      <c r="R14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8" s="47" t="str">
        <f>IF(LayTable[[#This Row],[Utfall bookie]]="","",LayTable[[#This Row],[WBABack]]+LayTable[[#This Row],[WBALay]]-LayTable[[#This Row],[Total inns]])</f>
        <v/>
      </c>
      <c r="U14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8" s="48" t="str">
        <f>IFERROR(IF(LayTable[[#This Row],[Total inns]]="","",LayTable[[#This Row],[Rback]]/LayTable[[#This Row],[Total inns]]),"")</f>
        <v/>
      </c>
      <c r="X1488" s="48" t="str">
        <f>IFERROR(IF(LayTable[[#This Row],[Total inns]]="","",LayTable[[#This Row],[Rlay]]/LayTable[[#This Row],[Total inns]]),"")</f>
        <v/>
      </c>
      <c r="Y1488" s="48" t="str">
        <f>IFERROR(LayTable[[#This Row],[Faktisk res]]/LayTable[[#This Row],[Total inns]],"")</f>
        <v/>
      </c>
      <c r="Z1488" s="47">
        <f>(LayTable[[#This Row],[BookieInnsats]]*LayTable[[#This Row],[BookieOdds]]-LayTable[[#This Row],[BookieInnsats]])*(1-LayTable[[#This Row],[C% Bookie]])</f>
        <v>0</v>
      </c>
      <c r="AA1488" s="43">
        <f>LayTable[[#This Row],[LayInnsats]]*(1-LayTable[[#This Row],[C% Lay]])</f>
        <v>0</v>
      </c>
      <c r="AB1488" s="43" t="str">
        <f>IFERROR(IF(LayTable[[#This Row],[Sport]]="",AB1487,LayTable[[#This Row],[Faktisk res]]+AB1487),"")</f>
        <v/>
      </c>
      <c r="AC1488" s="43">
        <f>(LayTable[[#This Row],[BackWin-Commission]]+LayTable[[#This Row],[BookieInnsats]])</f>
        <v>0</v>
      </c>
      <c r="AD1488" s="43" t="e">
        <f>(LayTable[[#This Row],[LayWin-Commission]])+LayTable[[#This Row],[LayLiability]]</f>
        <v>#VALUE!</v>
      </c>
      <c r="AE1488" s="43"/>
      <c r="AF1488" s="181"/>
    </row>
    <row r="1489" spans="1:32">
      <c r="A1489" s="84"/>
      <c r="B1489" s="39"/>
      <c r="C1489" s="40"/>
      <c r="D1489" s="41"/>
      <c r="E1489" s="40"/>
      <c r="F1489" s="41"/>
      <c r="G1489" s="101"/>
      <c r="H1489" s="38"/>
      <c r="I1489" s="42"/>
      <c r="J1489" s="42"/>
      <c r="K1489" s="43"/>
      <c r="L1489" s="43"/>
      <c r="M1489" s="44" t="str">
        <f>IF(LayTable[[#This Row],[Sport]]="","",LayTable[[#This Row],[LayInnsats]]*(LayTable[[#This Row],[LayOdds]]-1))</f>
        <v/>
      </c>
      <c r="N1489" s="45" t="str">
        <f>IF(LayTable[[#This Row],[Sport]]="","",1/((1/LayTable[[#This Row],[BookieOdds]])+(1/((1/((1+((LayTable[[#This Row],[LayOdds]]-1)*(1+LayTable[[#This Row],[C% Lay]])))-1))+1)))-1)</f>
        <v/>
      </c>
      <c r="Q1489" s="46" t="str">
        <f>IF(LayTable[[#This Row],[Sport]]="","",LayTable[[#This Row],[BookieInnsats]]+LayTable[[#This Row],[LayLiability]])</f>
        <v/>
      </c>
      <c r="R14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89" s="47" t="str">
        <f>IF(LayTable[[#This Row],[Utfall bookie]]="","",LayTable[[#This Row],[WBABack]]+LayTable[[#This Row],[WBALay]]-LayTable[[#This Row],[Total inns]])</f>
        <v/>
      </c>
      <c r="U14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89" s="48" t="str">
        <f>IFERROR(IF(LayTable[[#This Row],[Total inns]]="","",LayTable[[#This Row],[Rback]]/LayTable[[#This Row],[Total inns]]),"")</f>
        <v/>
      </c>
      <c r="X1489" s="48" t="str">
        <f>IFERROR(IF(LayTable[[#This Row],[Total inns]]="","",LayTable[[#This Row],[Rlay]]/LayTable[[#This Row],[Total inns]]),"")</f>
        <v/>
      </c>
      <c r="Y1489" s="48" t="str">
        <f>IFERROR(LayTable[[#This Row],[Faktisk res]]/LayTable[[#This Row],[Total inns]],"")</f>
        <v/>
      </c>
      <c r="Z1489" s="47">
        <f>(LayTable[[#This Row],[BookieInnsats]]*LayTable[[#This Row],[BookieOdds]]-LayTable[[#This Row],[BookieInnsats]])*(1-LayTable[[#This Row],[C% Bookie]])</f>
        <v>0</v>
      </c>
      <c r="AA1489" s="43">
        <f>LayTable[[#This Row],[LayInnsats]]*(1-LayTable[[#This Row],[C% Lay]])</f>
        <v>0</v>
      </c>
      <c r="AB1489" s="43" t="str">
        <f>IFERROR(IF(LayTable[[#This Row],[Sport]]="",AB1488,LayTable[[#This Row],[Faktisk res]]+AB1488),"")</f>
        <v/>
      </c>
      <c r="AC1489" s="43">
        <f>(LayTable[[#This Row],[BackWin-Commission]]+LayTable[[#This Row],[BookieInnsats]])</f>
        <v>0</v>
      </c>
      <c r="AD1489" s="43" t="e">
        <f>(LayTable[[#This Row],[LayWin-Commission]])+LayTable[[#This Row],[LayLiability]]</f>
        <v>#VALUE!</v>
      </c>
      <c r="AE1489" s="43"/>
      <c r="AF1489" s="181"/>
    </row>
    <row r="1490" spans="1:32">
      <c r="A1490" s="84"/>
      <c r="B1490" s="39"/>
      <c r="C1490" s="40"/>
      <c r="D1490" s="41"/>
      <c r="E1490" s="40"/>
      <c r="F1490" s="41"/>
      <c r="G1490" s="101"/>
      <c r="H1490" s="38"/>
      <c r="I1490" s="42"/>
      <c r="J1490" s="42"/>
      <c r="K1490" s="43"/>
      <c r="L1490" s="43"/>
      <c r="M1490" s="44" t="str">
        <f>IF(LayTable[[#This Row],[Sport]]="","",LayTable[[#This Row],[LayInnsats]]*(LayTable[[#This Row],[LayOdds]]-1))</f>
        <v/>
      </c>
      <c r="N1490" s="45" t="str">
        <f>IF(LayTable[[#This Row],[Sport]]="","",1/((1/LayTable[[#This Row],[BookieOdds]])+(1/((1/((1+((LayTable[[#This Row],[LayOdds]]-1)*(1+LayTable[[#This Row],[C% Lay]])))-1))+1)))-1)</f>
        <v/>
      </c>
      <c r="Q1490" s="46" t="str">
        <f>IF(LayTable[[#This Row],[Sport]]="","",LayTable[[#This Row],[BookieInnsats]]+LayTable[[#This Row],[LayLiability]])</f>
        <v/>
      </c>
      <c r="R14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0" s="47" t="str">
        <f>IF(LayTable[[#This Row],[Utfall bookie]]="","",LayTable[[#This Row],[WBABack]]+LayTable[[#This Row],[WBALay]]-LayTable[[#This Row],[Total inns]])</f>
        <v/>
      </c>
      <c r="U14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0" s="48" t="str">
        <f>IFERROR(IF(LayTable[[#This Row],[Total inns]]="","",LayTable[[#This Row],[Rback]]/LayTable[[#This Row],[Total inns]]),"")</f>
        <v/>
      </c>
      <c r="X1490" s="48" t="str">
        <f>IFERROR(IF(LayTable[[#This Row],[Total inns]]="","",LayTable[[#This Row],[Rlay]]/LayTable[[#This Row],[Total inns]]),"")</f>
        <v/>
      </c>
      <c r="Y1490" s="48" t="str">
        <f>IFERROR(LayTable[[#This Row],[Faktisk res]]/LayTable[[#This Row],[Total inns]],"")</f>
        <v/>
      </c>
      <c r="Z1490" s="47">
        <f>(LayTable[[#This Row],[BookieInnsats]]*LayTable[[#This Row],[BookieOdds]]-LayTable[[#This Row],[BookieInnsats]])*(1-LayTable[[#This Row],[C% Bookie]])</f>
        <v>0</v>
      </c>
      <c r="AA1490" s="43">
        <f>LayTable[[#This Row],[LayInnsats]]*(1-LayTable[[#This Row],[C% Lay]])</f>
        <v>0</v>
      </c>
      <c r="AB1490" s="43" t="str">
        <f>IFERROR(IF(LayTable[[#This Row],[Sport]]="",AB1489,LayTable[[#This Row],[Faktisk res]]+AB1489),"")</f>
        <v/>
      </c>
      <c r="AC1490" s="43">
        <f>(LayTable[[#This Row],[BackWin-Commission]]+LayTable[[#This Row],[BookieInnsats]])</f>
        <v>0</v>
      </c>
      <c r="AD1490" s="43" t="e">
        <f>(LayTable[[#This Row],[LayWin-Commission]])+LayTable[[#This Row],[LayLiability]]</f>
        <v>#VALUE!</v>
      </c>
      <c r="AE1490" s="43"/>
      <c r="AF1490" s="181"/>
    </row>
    <row r="1491" spans="1:32">
      <c r="A1491" s="84"/>
      <c r="B1491" s="39"/>
      <c r="C1491" s="40"/>
      <c r="D1491" s="41"/>
      <c r="E1491" s="40"/>
      <c r="F1491" s="41"/>
      <c r="G1491" s="101"/>
      <c r="H1491" s="38"/>
      <c r="I1491" s="42"/>
      <c r="J1491" s="42"/>
      <c r="K1491" s="43"/>
      <c r="L1491" s="43"/>
      <c r="M1491" s="44" t="str">
        <f>IF(LayTable[[#This Row],[Sport]]="","",LayTable[[#This Row],[LayInnsats]]*(LayTable[[#This Row],[LayOdds]]-1))</f>
        <v/>
      </c>
      <c r="N1491" s="45" t="str">
        <f>IF(LayTable[[#This Row],[Sport]]="","",1/((1/LayTable[[#This Row],[BookieOdds]])+(1/((1/((1+((LayTable[[#This Row],[LayOdds]]-1)*(1+LayTable[[#This Row],[C% Lay]])))-1))+1)))-1)</f>
        <v/>
      </c>
      <c r="Q1491" s="46" t="str">
        <f>IF(LayTable[[#This Row],[Sport]]="","",LayTable[[#This Row],[BookieInnsats]]+LayTable[[#This Row],[LayLiability]])</f>
        <v/>
      </c>
      <c r="R14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1" s="47" t="str">
        <f>IF(LayTable[[#This Row],[Utfall bookie]]="","",LayTable[[#This Row],[WBABack]]+LayTable[[#This Row],[WBALay]]-LayTable[[#This Row],[Total inns]])</f>
        <v/>
      </c>
      <c r="U14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1" s="48" t="str">
        <f>IFERROR(IF(LayTable[[#This Row],[Total inns]]="","",LayTable[[#This Row],[Rback]]/LayTable[[#This Row],[Total inns]]),"")</f>
        <v/>
      </c>
      <c r="X1491" s="48" t="str">
        <f>IFERROR(IF(LayTable[[#This Row],[Total inns]]="","",LayTable[[#This Row],[Rlay]]/LayTable[[#This Row],[Total inns]]),"")</f>
        <v/>
      </c>
      <c r="Y1491" s="48" t="str">
        <f>IFERROR(LayTable[[#This Row],[Faktisk res]]/LayTable[[#This Row],[Total inns]],"")</f>
        <v/>
      </c>
      <c r="Z1491" s="47">
        <f>(LayTable[[#This Row],[BookieInnsats]]*LayTable[[#This Row],[BookieOdds]]-LayTable[[#This Row],[BookieInnsats]])*(1-LayTable[[#This Row],[C% Bookie]])</f>
        <v>0</v>
      </c>
      <c r="AA1491" s="43">
        <f>LayTable[[#This Row],[LayInnsats]]*(1-LayTable[[#This Row],[C% Lay]])</f>
        <v>0</v>
      </c>
      <c r="AB1491" s="43" t="str">
        <f>IFERROR(IF(LayTable[[#This Row],[Sport]]="",AB1490,LayTable[[#This Row],[Faktisk res]]+AB1490),"")</f>
        <v/>
      </c>
      <c r="AC1491" s="43">
        <f>(LayTable[[#This Row],[BackWin-Commission]]+LayTable[[#This Row],[BookieInnsats]])</f>
        <v>0</v>
      </c>
      <c r="AD1491" s="43" t="e">
        <f>(LayTable[[#This Row],[LayWin-Commission]])+LayTable[[#This Row],[LayLiability]]</f>
        <v>#VALUE!</v>
      </c>
      <c r="AE1491" s="43"/>
      <c r="AF1491" s="181"/>
    </row>
    <row r="1492" spans="1:32">
      <c r="A1492" s="84"/>
      <c r="B1492" s="39"/>
      <c r="C1492" s="40"/>
      <c r="D1492" s="41"/>
      <c r="E1492" s="40"/>
      <c r="F1492" s="41"/>
      <c r="G1492" s="101"/>
      <c r="H1492" s="38"/>
      <c r="I1492" s="42"/>
      <c r="J1492" s="42"/>
      <c r="K1492" s="43"/>
      <c r="L1492" s="43"/>
      <c r="M1492" s="44" t="str">
        <f>IF(LayTable[[#This Row],[Sport]]="","",LayTable[[#This Row],[LayInnsats]]*(LayTable[[#This Row],[LayOdds]]-1))</f>
        <v/>
      </c>
      <c r="N1492" s="45" t="str">
        <f>IF(LayTable[[#This Row],[Sport]]="","",1/((1/LayTable[[#This Row],[BookieOdds]])+(1/((1/((1+((LayTable[[#This Row],[LayOdds]]-1)*(1+LayTable[[#This Row],[C% Lay]])))-1))+1)))-1)</f>
        <v/>
      </c>
      <c r="Q1492" s="46" t="str">
        <f>IF(LayTable[[#This Row],[Sport]]="","",LayTable[[#This Row],[BookieInnsats]]+LayTable[[#This Row],[LayLiability]])</f>
        <v/>
      </c>
      <c r="R14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2" s="47" t="str">
        <f>IF(LayTable[[#This Row],[Utfall bookie]]="","",LayTable[[#This Row],[WBABack]]+LayTable[[#This Row],[WBALay]]-LayTable[[#This Row],[Total inns]])</f>
        <v/>
      </c>
      <c r="U14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2" s="48" t="str">
        <f>IFERROR(IF(LayTable[[#This Row],[Total inns]]="","",LayTable[[#This Row],[Rback]]/LayTable[[#This Row],[Total inns]]),"")</f>
        <v/>
      </c>
      <c r="X1492" s="48" t="str">
        <f>IFERROR(IF(LayTable[[#This Row],[Total inns]]="","",LayTable[[#This Row],[Rlay]]/LayTable[[#This Row],[Total inns]]),"")</f>
        <v/>
      </c>
      <c r="Y1492" s="48" t="str">
        <f>IFERROR(LayTable[[#This Row],[Faktisk res]]/LayTable[[#This Row],[Total inns]],"")</f>
        <v/>
      </c>
      <c r="Z1492" s="47">
        <f>(LayTable[[#This Row],[BookieInnsats]]*LayTable[[#This Row],[BookieOdds]]-LayTable[[#This Row],[BookieInnsats]])*(1-LayTable[[#This Row],[C% Bookie]])</f>
        <v>0</v>
      </c>
      <c r="AA1492" s="43">
        <f>LayTable[[#This Row],[LayInnsats]]*(1-LayTable[[#This Row],[C% Lay]])</f>
        <v>0</v>
      </c>
      <c r="AB1492" s="43" t="str">
        <f>IFERROR(IF(LayTable[[#This Row],[Sport]]="",AB1491,LayTable[[#This Row],[Faktisk res]]+AB1491),"")</f>
        <v/>
      </c>
      <c r="AC1492" s="43">
        <f>(LayTable[[#This Row],[BackWin-Commission]]+LayTable[[#This Row],[BookieInnsats]])</f>
        <v>0</v>
      </c>
      <c r="AD1492" s="43" t="e">
        <f>(LayTable[[#This Row],[LayWin-Commission]])+LayTable[[#This Row],[LayLiability]]</f>
        <v>#VALUE!</v>
      </c>
      <c r="AE1492" s="43"/>
      <c r="AF1492" s="181"/>
    </row>
    <row r="1493" spans="1:32">
      <c r="A1493" s="84"/>
      <c r="B1493" s="39"/>
      <c r="C1493" s="40"/>
      <c r="D1493" s="41"/>
      <c r="E1493" s="40"/>
      <c r="F1493" s="41"/>
      <c r="G1493" s="101"/>
      <c r="H1493" s="38"/>
      <c r="I1493" s="42"/>
      <c r="J1493" s="42"/>
      <c r="K1493" s="43"/>
      <c r="L1493" s="43"/>
      <c r="M1493" s="44" t="str">
        <f>IF(LayTable[[#This Row],[Sport]]="","",LayTable[[#This Row],[LayInnsats]]*(LayTable[[#This Row],[LayOdds]]-1))</f>
        <v/>
      </c>
      <c r="N1493" s="45" t="str">
        <f>IF(LayTable[[#This Row],[Sport]]="","",1/((1/LayTable[[#This Row],[BookieOdds]])+(1/((1/((1+((LayTable[[#This Row],[LayOdds]]-1)*(1+LayTable[[#This Row],[C% Lay]])))-1))+1)))-1)</f>
        <v/>
      </c>
      <c r="Q1493" s="46" t="str">
        <f>IF(LayTable[[#This Row],[Sport]]="","",LayTable[[#This Row],[BookieInnsats]]+LayTable[[#This Row],[LayLiability]])</f>
        <v/>
      </c>
      <c r="R14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3" s="47" t="str">
        <f>IF(LayTable[[#This Row],[Utfall bookie]]="","",LayTable[[#This Row],[WBABack]]+LayTable[[#This Row],[WBALay]]-LayTable[[#This Row],[Total inns]])</f>
        <v/>
      </c>
      <c r="U14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3" s="48" t="str">
        <f>IFERROR(IF(LayTable[[#This Row],[Total inns]]="","",LayTable[[#This Row],[Rback]]/LayTable[[#This Row],[Total inns]]),"")</f>
        <v/>
      </c>
      <c r="X1493" s="48" t="str">
        <f>IFERROR(IF(LayTable[[#This Row],[Total inns]]="","",LayTable[[#This Row],[Rlay]]/LayTable[[#This Row],[Total inns]]),"")</f>
        <v/>
      </c>
      <c r="Y1493" s="48" t="str">
        <f>IFERROR(LayTable[[#This Row],[Faktisk res]]/LayTable[[#This Row],[Total inns]],"")</f>
        <v/>
      </c>
      <c r="Z1493" s="47">
        <f>(LayTable[[#This Row],[BookieInnsats]]*LayTable[[#This Row],[BookieOdds]]-LayTable[[#This Row],[BookieInnsats]])*(1-LayTable[[#This Row],[C% Bookie]])</f>
        <v>0</v>
      </c>
      <c r="AA1493" s="43">
        <f>LayTable[[#This Row],[LayInnsats]]*(1-LayTable[[#This Row],[C% Lay]])</f>
        <v>0</v>
      </c>
      <c r="AB1493" s="43" t="str">
        <f>IFERROR(IF(LayTable[[#This Row],[Sport]]="",AB1492,LayTable[[#This Row],[Faktisk res]]+AB1492),"")</f>
        <v/>
      </c>
      <c r="AC1493" s="43">
        <f>(LayTable[[#This Row],[BackWin-Commission]]+LayTable[[#This Row],[BookieInnsats]])</f>
        <v>0</v>
      </c>
      <c r="AD1493" s="43" t="e">
        <f>(LayTable[[#This Row],[LayWin-Commission]])+LayTable[[#This Row],[LayLiability]]</f>
        <v>#VALUE!</v>
      </c>
      <c r="AE1493" s="43"/>
      <c r="AF1493" s="181"/>
    </row>
    <row r="1494" spans="1:32">
      <c r="A1494" s="84"/>
      <c r="B1494" s="39"/>
      <c r="C1494" s="40"/>
      <c r="D1494" s="41"/>
      <c r="E1494" s="40"/>
      <c r="F1494" s="41"/>
      <c r="G1494" s="101"/>
      <c r="H1494" s="38"/>
      <c r="I1494" s="42"/>
      <c r="J1494" s="42"/>
      <c r="K1494" s="43"/>
      <c r="L1494" s="43"/>
      <c r="M1494" s="44" t="str">
        <f>IF(LayTable[[#This Row],[Sport]]="","",LayTable[[#This Row],[LayInnsats]]*(LayTable[[#This Row],[LayOdds]]-1))</f>
        <v/>
      </c>
      <c r="N1494" s="45" t="str">
        <f>IF(LayTable[[#This Row],[Sport]]="","",1/((1/LayTable[[#This Row],[BookieOdds]])+(1/((1/((1+((LayTable[[#This Row],[LayOdds]]-1)*(1+LayTable[[#This Row],[C% Lay]])))-1))+1)))-1)</f>
        <v/>
      </c>
      <c r="Q1494" s="46" t="str">
        <f>IF(LayTable[[#This Row],[Sport]]="","",LayTable[[#This Row],[BookieInnsats]]+LayTable[[#This Row],[LayLiability]])</f>
        <v/>
      </c>
      <c r="R14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4" s="47" t="str">
        <f>IF(LayTable[[#This Row],[Utfall bookie]]="","",LayTable[[#This Row],[WBABack]]+LayTable[[#This Row],[WBALay]]-LayTable[[#This Row],[Total inns]])</f>
        <v/>
      </c>
      <c r="U14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4" s="48" t="str">
        <f>IFERROR(IF(LayTable[[#This Row],[Total inns]]="","",LayTable[[#This Row],[Rback]]/LayTable[[#This Row],[Total inns]]),"")</f>
        <v/>
      </c>
      <c r="X1494" s="48" t="str">
        <f>IFERROR(IF(LayTable[[#This Row],[Total inns]]="","",LayTable[[#This Row],[Rlay]]/LayTable[[#This Row],[Total inns]]),"")</f>
        <v/>
      </c>
      <c r="Y1494" s="48" t="str">
        <f>IFERROR(LayTable[[#This Row],[Faktisk res]]/LayTable[[#This Row],[Total inns]],"")</f>
        <v/>
      </c>
      <c r="Z1494" s="47">
        <f>(LayTable[[#This Row],[BookieInnsats]]*LayTable[[#This Row],[BookieOdds]]-LayTable[[#This Row],[BookieInnsats]])*(1-LayTable[[#This Row],[C% Bookie]])</f>
        <v>0</v>
      </c>
      <c r="AA1494" s="43">
        <f>LayTable[[#This Row],[LayInnsats]]*(1-LayTable[[#This Row],[C% Lay]])</f>
        <v>0</v>
      </c>
      <c r="AB1494" s="43" t="str">
        <f>IFERROR(IF(LayTable[[#This Row],[Sport]]="",AB1493,LayTable[[#This Row],[Faktisk res]]+AB1493),"")</f>
        <v/>
      </c>
      <c r="AC1494" s="43">
        <f>(LayTable[[#This Row],[BackWin-Commission]]+LayTable[[#This Row],[BookieInnsats]])</f>
        <v>0</v>
      </c>
      <c r="AD1494" s="43" t="e">
        <f>(LayTable[[#This Row],[LayWin-Commission]])+LayTable[[#This Row],[LayLiability]]</f>
        <v>#VALUE!</v>
      </c>
      <c r="AE1494" s="43"/>
      <c r="AF1494" s="181"/>
    </row>
    <row r="1495" spans="1:32">
      <c r="A1495" s="84"/>
      <c r="B1495" s="39"/>
      <c r="C1495" s="40"/>
      <c r="D1495" s="41"/>
      <c r="E1495" s="40"/>
      <c r="F1495" s="41"/>
      <c r="G1495" s="101"/>
      <c r="H1495" s="38"/>
      <c r="I1495" s="42"/>
      <c r="J1495" s="42"/>
      <c r="K1495" s="43"/>
      <c r="L1495" s="43"/>
      <c r="M1495" s="44" t="str">
        <f>IF(LayTable[[#This Row],[Sport]]="","",LayTable[[#This Row],[LayInnsats]]*(LayTable[[#This Row],[LayOdds]]-1))</f>
        <v/>
      </c>
      <c r="N1495" s="45" t="str">
        <f>IF(LayTable[[#This Row],[Sport]]="","",1/((1/LayTable[[#This Row],[BookieOdds]])+(1/((1/((1+((LayTable[[#This Row],[LayOdds]]-1)*(1+LayTable[[#This Row],[C% Lay]])))-1))+1)))-1)</f>
        <v/>
      </c>
      <c r="Q1495" s="46" t="str">
        <f>IF(LayTable[[#This Row],[Sport]]="","",LayTable[[#This Row],[BookieInnsats]]+LayTable[[#This Row],[LayLiability]])</f>
        <v/>
      </c>
      <c r="R14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5" s="47" t="str">
        <f>IF(LayTable[[#This Row],[Utfall bookie]]="","",LayTable[[#This Row],[WBABack]]+LayTable[[#This Row],[WBALay]]-LayTable[[#This Row],[Total inns]])</f>
        <v/>
      </c>
      <c r="U14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5" s="48" t="str">
        <f>IFERROR(IF(LayTable[[#This Row],[Total inns]]="","",LayTable[[#This Row],[Rback]]/LayTable[[#This Row],[Total inns]]),"")</f>
        <v/>
      </c>
      <c r="X1495" s="48" t="str">
        <f>IFERROR(IF(LayTable[[#This Row],[Total inns]]="","",LayTable[[#This Row],[Rlay]]/LayTable[[#This Row],[Total inns]]),"")</f>
        <v/>
      </c>
      <c r="Y1495" s="48" t="str">
        <f>IFERROR(LayTable[[#This Row],[Faktisk res]]/LayTable[[#This Row],[Total inns]],"")</f>
        <v/>
      </c>
      <c r="Z1495" s="47">
        <f>(LayTable[[#This Row],[BookieInnsats]]*LayTable[[#This Row],[BookieOdds]]-LayTable[[#This Row],[BookieInnsats]])*(1-LayTable[[#This Row],[C% Bookie]])</f>
        <v>0</v>
      </c>
      <c r="AA1495" s="43">
        <f>LayTable[[#This Row],[LayInnsats]]*(1-LayTable[[#This Row],[C% Lay]])</f>
        <v>0</v>
      </c>
      <c r="AB1495" s="43" t="str">
        <f>IFERROR(IF(LayTable[[#This Row],[Sport]]="",AB1494,LayTable[[#This Row],[Faktisk res]]+AB1494),"")</f>
        <v/>
      </c>
      <c r="AC1495" s="43">
        <f>(LayTable[[#This Row],[BackWin-Commission]]+LayTable[[#This Row],[BookieInnsats]])</f>
        <v>0</v>
      </c>
      <c r="AD1495" s="43" t="e">
        <f>(LayTable[[#This Row],[LayWin-Commission]])+LayTable[[#This Row],[LayLiability]]</f>
        <v>#VALUE!</v>
      </c>
      <c r="AE1495" s="43"/>
      <c r="AF1495" s="181"/>
    </row>
    <row r="1496" spans="1:32">
      <c r="A1496" s="84"/>
      <c r="B1496" s="39"/>
      <c r="C1496" s="40"/>
      <c r="D1496" s="41"/>
      <c r="E1496" s="40"/>
      <c r="F1496" s="41"/>
      <c r="G1496" s="101"/>
      <c r="H1496" s="38"/>
      <c r="I1496" s="42"/>
      <c r="J1496" s="42"/>
      <c r="K1496" s="43"/>
      <c r="L1496" s="43"/>
      <c r="M1496" s="44" t="str">
        <f>IF(LayTable[[#This Row],[Sport]]="","",LayTable[[#This Row],[LayInnsats]]*(LayTable[[#This Row],[LayOdds]]-1))</f>
        <v/>
      </c>
      <c r="N1496" s="45" t="str">
        <f>IF(LayTable[[#This Row],[Sport]]="","",1/((1/LayTable[[#This Row],[BookieOdds]])+(1/((1/((1+((LayTable[[#This Row],[LayOdds]]-1)*(1+LayTable[[#This Row],[C% Lay]])))-1))+1)))-1)</f>
        <v/>
      </c>
      <c r="Q1496" s="46" t="str">
        <f>IF(LayTable[[#This Row],[Sport]]="","",LayTable[[#This Row],[BookieInnsats]]+LayTable[[#This Row],[LayLiability]])</f>
        <v/>
      </c>
      <c r="R14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6" s="47" t="str">
        <f>IF(LayTable[[#This Row],[Utfall bookie]]="","",LayTable[[#This Row],[WBABack]]+LayTable[[#This Row],[WBALay]]-LayTable[[#This Row],[Total inns]])</f>
        <v/>
      </c>
      <c r="U14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6" s="48" t="str">
        <f>IFERROR(IF(LayTable[[#This Row],[Total inns]]="","",LayTable[[#This Row],[Rback]]/LayTable[[#This Row],[Total inns]]),"")</f>
        <v/>
      </c>
      <c r="X1496" s="48" t="str">
        <f>IFERROR(IF(LayTable[[#This Row],[Total inns]]="","",LayTable[[#This Row],[Rlay]]/LayTable[[#This Row],[Total inns]]),"")</f>
        <v/>
      </c>
      <c r="Y1496" s="48" t="str">
        <f>IFERROR(LayTable[[#This Row],[Faktisk res]]/LayTable[[#This Row],[Total inns]],"")</f>
        <v/>
      </c>
      <c r="Z1496" s="47">
        <f>(LayTable[[#This Row],[BookieInnsats]]*LayTable[[#This Row],[BookieOdds]]-LayTable[[#This Row],[BookieInnsats]])*(1-LayTable[[#This Row],[C% Bookie]])</f>
        <v>0</v>
      </c>
      <c r="AA1496" s="43">
        <f>LayTable[[#This Row],[LayInnsats]]*(1-LayTable[[#This Row],[C% Lay]])</f>
        <v>0</v>
      </c>
      <c r="AB1496" s="43" t="str">
        <f>IFERROR(IF(LayTable[[#This Row],[Sport]]="",AB1495,LayTable[[#This Row],[Faktisk res]]+AB1495),"")</f>
        <v/>
      </c>
      <c r="AC1496" s="43">
        <f>(LayTable[[#This Row],[BackWin-Commission]]+LayTable[[#This Row],[BookieInnsats]])</f>
        <v>0</v>
      </c>
      <c r="AD1496" s="43" t="e">
        <f>(LayTable[[#This Row],[LayWin-Commission]])+LayTable[[#This Row],[LayLiability]]</f>
        <v>#VALUE!</v>
      </c>
      <c r="AE1496" s="43"/>
      <c r="AF1496" s="181"/>
    </row>
    <row r="1497" spans="1:32">
      <c r="A1497" s="84"/>
      <c r="B1497" s="39"/>
      <c r="C1497" s="40"/>
      <c r="D1497" s="41"/>
      <c r="E1497" s="40"/>
      <c r="F1497" s="41"/>
      <c r="G1497" s="101"/>
      <c r="H1497" s="38"/>
      <c r="I1497" s="42"/>
      <c r="J1497" s="42"/>
      <c r="K1497" s="43"/>
      <c r="L1497" s="43"/>
      <c r="M1497" s="44" t="str">
        <f>IF(LayTable[[#This Row],[Sport]]="","",LayTable[[#This Row],[LayInnsats]]*(LayTable[[#This Row],[LayOdds]]-1))</f>
        <v/>
      </c>
      <c r="N1497" s="45" t="str">
        <f>IF(LayTable[[#This Row],[Sport]]="","",1/((1/LayTable[[#This Row],[BookieOdds]])+(1/((1/((1+((LayTable[[#This Row],[LayOdds]]-1)*(1+LayTable[[#This Row],[C% Lay]])))-1))+1)))-1)</f>
        <v/>
      </c>
      <c r="Q1497" s="46" t="str">
        <f>IF(LayTable[[#This Row],[Sport]]="","",LayTable[[#This Row],[BookieInnsats]]+LayTable[[#This Row],[LayLiability]])</f>
        <v/>
      </c>
      <c r="R14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7" s="47" t="str">
        <f>IF(LayTable[[#This Row],[Utfall bookie]]="","",LayTable[[#This Row],[WBABack]]+LayTable[[#This Row],[WBALay]]-LayTable[[#This Row],[Total inns]])</f>
        <v/>
      </c>
      <c r="U14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7" s="48" t="str">
        <f>IFERROR(IF(LayTable[[#This Row],[Total inns]]="","",LayTable[[#This Row],[Rback]]/LayTable[[#This Row],[Total inns]]),"")</f>
        <v/>
      </c>
      <c r="X1497" s="48" t="str">
        <f>IFERROR(IF(LayTable[[#This Row],[Total inns]]="","",LayTable[[#This Row],[Rlay]]/LayTable[[#This Row],[Total inns]]),"")</f>
        <v/>
      </c>
      <c r="Y1497" s="48" t="str">
        <f>IFERROR(LayTable[[#This Row],[Faktisk res]]/LayTable[[#This Row],[Total inns]],"")</f>
        <v/>
      </c>
      <c r="Z1497" s="47">
        <f>(LayTable[[#This Row],[BookieInnsats]]*LayTable[[#This Row],[BookieOdds]]-LayTable[[#This Row],[BookieInnsats]])*(1-LayTable[[#This Row],[C% Bookie]])</f>
        <v>0</v>
      </c>
      <c r="AA1497" s="43">
        <f>LayTable[[#This Row],[LayInnsats]]*(1-LayTable[[#This Row],[C% Lay]])</f>
        <v>0</v>
      </c>
      <c r="AB1497" s="43" t="str">
        <f>IFERROR(IF(LayTable[[#This Row],[Sport]]="",AB1496,LayTable[[#This Row],[Faktisk res]]+AB1496),"")</f>
        <v/>
      </c>
      <c r="AC1497" s="43">
        <f>(LayTable[[#This Row],[BackWin-Commission]]+LayTable[[#This Row],[BookieInnsats]])</f>
        <v>0</v>
      </c>
      <c r="AD1497" s="43" t="e">
        <f>(LayTable[[#This Row],[LayWin-Commission]])+LayTable[[#This Row],[LayLiability]]</f>
        <v>#VALUE!</v>
      </c>
      <c r="AE1497" s="43"/>
      <c r="AF1497" s="181"/>
    </row>
    <row r="1498" spans="1:32">
      <c r="A1498" s="84"/>
      <c r="B1498" s="39"/>
      <c r="C1498" s="40"/>
      <c r="D1498" s="41"/>
      <c r="E1498" s="40"/>
      <c r="F1498" s="41"/>
      <c r="G1498" s="101"/>
      <c r="H1498" s="38"/>
      <c r="I1498" s="42"/>
      <c r="J1498" s="42"/>
      <c r="K1498" s="43"/>
      <c r="L1498" s="43"/>
      <c r="M1498" s="44" t="str">
        <f>IF(LayTable[[#This Row],[Sport]]="","",LayTable[[#This Row],[LayInnsats]]*(LayTable[[#This Row],[LayOdds]]-1))</f>
        <v/>
      </c>
      <c r="N1498" s="45" t="str">
        <f>IF(LayTable[[#This Row],[Sport]]="","",1/((1/LayTable[[#This Row],[BookieOdds]])+(1/((1/((1+((LayTable[[#This Row],[LayOdds]]-1)*(1+LayTable[[#This Row],[C% Lay]])))-1))+1)))-1)</f>
        <v/>
      </c>
      <c r="Q1498" s="46" t="str">
        <f>IF(LayTable[[#This Row],[Sport]]="","",LayTable[[#This Row],[BookieInnsats]]+LayTable[[#This Row],[LayLiability]])</f>
        <v/>
      </c>
      <c r="R14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8" s="47" t="str">
        <f>IF(LayTable[[#This Row],[Utfall bookie]]="","",LayTable[[#This Row],[WBABack]]+LayTable[[#This Row],[WBALay]]-LayTable[[#This Row],[Total inns]])</f>
        <v/>
      </c>
      <c r="U14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8" s="48" t="str">
        <f>IFERROR(IF(LayTable[[#This Row],[Total inns]]="","",LayTable[[#This Row],[Rback]]/LayTable[[#This Row],[Total inns]]),"")</f>
        <v/>
      </c>
      <c r="X1498" s="48" t="str">
        <f>IFERROR(IF(LayTable[[#This Row],[Total inns]]="","",LayTable[[#This Row],[Rlay]]/LayTable[[#This Row],[Total inns]]),"")</f>
        <v/>
      </c>
      <c r="Y1498" s="48" t="str">
        <f>IFERROR(LayTable[[#This Row],[Faktisk res]]/LayTable[[#This Row],[Total inns]],"")</f>
        <v/>
      </c>
      <c r="Z1498" s="47">
        <f>(LayTable[[#This Row],[BookieInnsats]]*LayTable[[#This Row],[BookieOdds]]-LayTable[[#This Row],[BookieInnsats]])*(1-LayTable[[#This Row],[C% Bookie]])</f>
        <v>0</v>
      </c>
      <c r="AA1498" s="43">
        <f>LayTable[[#This Row],[LayInnsats]]*(1-LayTable[[#This Row],[C% Lay]])</f>
        <v>0</v>
      </c>
      <c r="AB1498" s="43" t="str">
        <f>IFERROR(IF(LayTable[[#This Row],[Sport]]="",AB1497,LayTable[[#This Row],[Faktisk res]]+AB1497),"")</f>
        <v/>
      </c>
      <c r="AC1498" s="43">
        <f>(LayTable[[#This Row],[BackWin-Commission]]+LayTable[[#This Row],[BookieInnsats]])</f>
        <v>0</v>
      </c>
      <c r="AD1498" s="43" t="e">
        <f>(LayTable[[#This Row],[LayWin-Commission]])+LayTable[[#This Row],[LayLiability]]</f>
        <v>#VALUE!</v>
      </c>
      <c r="AE1498" s="43"/>
      <c r="AF1498" s="181"/>
    </row>
    <row r="1499" spans="1:32">
      <c r="A1499" s="84"/>
      <c r="B1499" s="39"/>
      <c r="C1499" s="40"/>
      <c r="D1499" s="41"/>
      <c r="E1499" s="40"/>
      <c r="F1499" s="41"/>
      <c r="G1499" s="101"/>
      <c r="H1499" s="38"/>
      <c r="I1499" s="42"/>
      <c r="J1499" s="42"/>
      <c r="K1499" s="43"/>
      <c r="L1499" s="43"/>
      <c r="M1499" s="44" t="str">
        <f>IF(LayTable[[#This Row],[Sport]]="","",LayTable[[#This Row],[LayInnsats]]*(LayTable[[#This Row],[LayOdds]]-1))</f>
        <v/>
      </c>
      <c r="N1499" s="45" t="str">
        <f>IF(LayTable[[#This Row],[Sport]]="","",1/((1/LayTable[[#This Row],[BookieOdds]])+(1/((1/((1+((LayTable[[#This Row],[LayOdds]]-1)*(1+LayTable[[#This Row],[C% Lay]])))-1))+1)))-1)</f>
        <v/>
      </c>
      <c r="Q1499" s="46" t="str">
        <f>IF(LayTable[[#This Row],[Sport]]="","",LayTable[[#This Row],[BookieInnsats]]+LayTable[[#This Row],[LayLiability]])</f>
        <v/>
      </c>
      <c r="R14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4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499" s="47" t="str">
        <f>IF(LayTable[[#This Row],[Utfall bookie]]="","",LayTable[[#This Row],[WBABack]]+LayTable[[#This Row],[WBALay]]-LayTable[[#This Row],[Total inns]])</f>
        <v/>
      </c>
      <c r="U14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4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499" s="48" t="str">
        <f>IFERROR(IF(LayTable[[#This Row],[Total inns]]="","",LayTable[[#This Row],[Rback]]/LayTable[[#This Row],[Total inns]]),"")</f>
        <v/>
      </c>
      <c r="X1499" s="48" t="str">
        <f>IFERROR(IF(LayTable[[#This Row],[Total inns]]="","",LayTable[[#This Row],[Rlay]]/LayTable[[#This Row],[Total inns]]),"")</f>
        <v/>
      </c>
      <c r="Y1499" s="48" t="str">
        <f>IFERROR(LayTable[[#This Row],[Faktisk res]]/LayTable[[#This Row],[Total inns]],"")</f>
        <v/>
      </c>
      <c r="Z1499" s="47">
        <f>(LayTable[[#This Row],[BookieInnsats]]*LayTable[[#This Row],[BookieOdds]]-LayTable[[#This Row],[BookieInnsats]])*(1-LayTable[[#This Row],[C% Bookie]])</f>
        <v>0</v>
      </c>
      <c r="AA1499" s="43">
        <f>LayTable[[#This Row],[LayInnsats]]*(1-LayTable[[#This Row],[C% Lay]])</f>
        <v>0</v>
      </c>
      <c r="AB1499" s="43" t="str">
        <f>IFERROR(IF(LayTable[[#This Row],[Sport]]="",AB1498,LayTable[[#This Row],[Faktisk res]]+AB1498),"")</f>
        <v/>
      </c>
      <c r="AC1499" s="43">
        <f>(LayTable[[#This Row],[BackWin-Commission]]+LayTable[[#This Row],[BookieInnsats]])</f>
        <v>0</v>
      </c>
      <c r="AD1499" s="43" t="e">
        <f>(LayTable[[#This Row],[LayWin-Commission]])+LayTable[[#This Row],[LayLiability]]</f>
        <v>#VALUE!</v>
      </c>
      <c r="AE1499" s="43"/>
      <c r="AF1499" s="181"/>
    </row>
    <row r="1500" spans="1:32">
      <c r="A1500" s="84"/>
      <c r="B1500" s="39"/>
      <c r="C1500" s="40"/>
      <c r="D1500" s="41"/>
      <c r="E1500" s="40"/>
      <c r="F1500" s="41"/>
      <c r="G1500" s="101"/>
      <c r="H1500" s="38"/>
      <c r="I1500" s="42"/>
      <c r="J1500" s="42"/>
      <c r="K1500" s="43"/>
      <c r="L1500" s="43"/>
      <c r="M1500" s="44" t="str">
        <f>IF(LayTable[[#This Row],[Sport]]="","",LayTable[[#This Row],[LayInnsats]]*(LayTable[[#This Row],[LayOdds]]-1))</f>
        <v/>
      </c>
      <c r="N1500" s="45" t="str">
        <f>IF(LayTable[[#This Row],[Sport]]="","",1/((1/LayTable[[#This Row],[BookieOdds]])+(1/((1/((1+((LayTable[[#This Row],[LayOdds]]-1)*(1+LayTable[[#This Row],[C% Lay]])))-1))+1)))-1)</f>
        <v/>
      </c>
      <c r="Q1500" s="46" t="str">
        <f>IF(LayTable[[#This Row],[Sport]]="","",LayTable[[#This Row],[BookieInnsats]]+LayTable[[#This Row],[LayLiability]])</f>
        <v/>
      </c>
      <c r="R15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0" s="47" t="str">
        <f>IF(LayTable[[#This Row],[Utfall bookie]]="","",LayTable[[#This Row],[WBABack]]+LayTable[[#This Row],[WBALay]]-LayTable[[#This Row],[Total inns]])</f>
        <v/>
      </c>
      <c r="U15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0" s="48" t="str">
        <f>IFERROR(IF(LayTable[[#This Row],[Total inns]]="","",LayTable[[#This Row],[Rback]]/LayTable[[#This Row],[Total inns]]),"")</f>
        <v/>
      </c>
      <c r="X1500" s="48" t="str">
        <f>IFERROR(IF(LayTable[[#This Row],[Total inns]]="","",LayTable[[#This Row],[Rlay]]/LayTable[[#This Row],[Total inns]]),"")</f>
        <v/>
      </c>
      <c r="Y1500" s="48" t="str">
        <f>IFERROR(LayTable[[#This Row],[Faktisk res]]/LayTable[[#This Row],[Total inns]],"")</f>
        <v/>
      </c>
      <c r="Z1500" s="47">
        <f>(LayTable[[#This Row],[BookieInnsats]]*LayTable[[#This Row],[BookieOdds]]-LayTable[[#This Row],[BookieInnsats]])*(1-LayTable[[#This Row],[C% Bookie]])</f>
        <v>0</v>
      </c>
      <c r="AA1500" s="43">
        <f>LayTable[[#This Row],[LayInnsats]]*(1-LayTable[[#This Row],[C% Lay]])</f>
        <v>0</v>
      </c>
      <c r="AB1500" s="43" t="str">
        <f>IFERROR(IF(LayTable[[#This Row],[Sport]]="",AB1499,LayTable[[#This Row],[Faktisk res]]+AB1499),"")</f>
        <v/>
      </c>
      <c r="AC1500" s="43">
        <f>(LayTable[[#This Row],[BackWin-Commission]]+LayTable[[#This Row],[BookieInnsats]])</f>
        <v>0</v>
      </c>
      <c r="AD1500" s="43" t="e">
        <f>(LayTable[[#This Row],[LayWin-Commission]])+LayTable[[#This Row],[LayLiability]]</f>
        <v>#VALUE!</v>
      </c>
      <c r="AE1500" s="43"/>
      <c r="AF1500" s="181"/>
    </row>
    <row r="1501" spans="1:32">
      <c r="A1501" s="84"/>
      <c r="B1501" s="39"/>
      <c r="C1501" s="40"/>
      <c r="D1501" s="41"/>
      <c r="E1501" s="40"/>
      <c r="F1501" s="41"/>
      <c r="G1501" s="101"/>
      <c r="H1501" s="38"/>
      <c r="I1501" s="42"/>
      <c r="J1501" s="42"/>
      <c r="K1501" s="43"/>
      <c r="L1501" s="43"/>
      <c r="M1501" s="44" t="str">
        <f>IF(LayTable[[#This Row],[Sport]]="","",LayTable[[#This Row],[LayInnsats]]*(LayTable[[#This Row],[LayOdds]]-1))</f>
        <v/>
      </c>
      <c r="N1501" s="45" t="str">
        <f>IF(LayTable[[#This Row],[Sport]]="","",1/((1/LayTable[[#This Row],[BookieOdds]])+(1/((1/((1+((LayTable[[#This Row],[LayOdds]]-1)*(1+LayTable[[#This Row],[C% Lay]])))-1))+1)))-1)</f>
        <v/>
      </c>
      <c r="Q1501" s="46" t="str">
        <f>IF(LayTable[[#This Row],[Sport]]="","",LayTable[[#This Row],[BookieInnsats]]+LayTable[[#This Row],[LayLiability]])</f>
        <v/>
      </c>
      <c r="R15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1" s="47" t="str">
        <f>IF(LayTable[[#This Row],[Utfall bookie]]="","",LayTable[[#This Row],[WBABack]]+LayTable[[#This Row],[WBALay]]-LayTable[[#This Row],[Total inns]])</f>
        <v/>
      </c>
      <c r="U15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1" s="48" t="str">
        <f>IFERROR(IF(LayTable[[#This Row],[Total inns]]="","",LayTable[[#This Row],[Rback]]/LayTable[[#This Row],[Total inns]]),"")</f>
        <v/>
      </c>
      <c r="X1501" s="48" t="str">
        <f>IFERROR(IF(LayTable[[#This Row],[Total inns]]="","",LayTable[[#This Row],[Rlay]]/LayTable[[#This Row],[Total inns]]),"")</f>
        <v/>
      </c>
      <c r="Y1501" s="48" t="str">
        <f>IFERROR(LayTable[[#This Row],[Faktisk res]]/LayTable[[#This Row],[Total inns]],"")</f>
        <v/>
      </c>
      <c r="Z1501" s="47">
        <f>(LayTable[[#This Row],[BookieInnsats]]*LayTable[[#This Row],[BookieOdds]]-LayTable[[#This Row],[BookieInnsats]])*(1-LayTable[[#This Row],[C% Bookie]])</f>
        <v>0</v>
      </c>
      <c r="AA1501" s="43">
        <f>LayTable[[#This Row],[LayInnsats]]*(1-LayTable[[#This Row],[C% Lay]])</f>
        <v>0</v>
      </c>
      <c r="AB1501" s="43" t="str">
        <f>IFERROR(IF(LayTable[[#This Row],[Sport]]="",AB1500,LayTable[[#This Row],[Faktisk res]]+AB1500),"")</f>
        <v/>
      </c>
      <c r="AC1501" s="43">
        <f>(LayTable[[#This Row],[BackWin-Commission]]+LayTable[[#This Row],[BookieInnsats]])</f>
        <v>0</v>
      </c>
      <c r="AD1501" s="43" t="e">
        <f>(LayTable[[#This Row],[LayWin-Commission]])+LayTable[[#This Row],[LayLiability]]</f>
        <v>#VALUE!</v>
      </c>
      <c r="AE1501" s="43"/>
      <c r="AF1501" s="181"/>
    </row>
    <row r="1502" spans="1:32">
      <c r="A1502" s="84"/>
      <c r="B1502" s="39"/>
      <c r="C1502" s="40"/>
      <c r="D1502" s="41"/>
      <c r="E1502" s="40"/>
      <c r="F1502" s="41"/>
      <c r="G1502" s="101"/>
      <c r="H1502" s="38"/>
      <c r="I1502" s="42"/>
      <c r="J1502" s="42"/>
      <c r="K1502" s="43"/>
      <c r="L1502" s="43"/>
      <c r="M1502" s="44" t="str">
        <f>IF(LayTable[[#This Row],[Sport]]="","",LayTable[[#This Row],[LayInnsats]]*(LayTable[[#This Row],[LayOdds]]-1))</f>
        <v/>
      </c>
      <c r="N1502" s="45" t="str">
        <f>IF(LayTable[[#This Row],[Sport]]="","",1/((1/LayTable[[#This Row],[BookieOdds]])+(1/((1/((1+((LayTable[[#This Row],[LayOdds]]-1)*(1+LayTable[[#This Row],[C% Lay]])))-1))+1)))-1)</f>
        <v/>
      </c>
      <c r="Q1502" s="46" t="str">
        <f>IF(LayTable[[#This Row],[Sport]]="","",LayTable[[#This Row],[BookieInnsats]]+LayTable[[#This Row],[LayLiability]])</f>
        <v/>
      </c>
      <c r="R15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2" s="47" t="str">
        <f>IF(LayTable[[#This Row],[Utfall bookie]]="","",LayTable[[#This Row],[WBABack]]+LayTable[[#This Row],[WBALay]]-LayTable[[#This Row],[Total inns]])</f>
        <v/>
      </c>
      <c r="U15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2" s="48" t="str">
        <f>IFERROR(IF(LayTable[[#This Row],[Total inns]]="","",LayTable[[#This Row],[Rback]]/LayTable[[#This Row],[Total inns]]),"")</f>
        <v/>
      </c>
      <c r="X1502" s="48" t="str">
        <f>IFERROR(IF(LayTable[[#This Row],[Total inns]]="","",LayTable[[#This Row],[Rlay]]/LayTable[[#This Row],[Total inns]]),"")</f>
        <v/>
      </c>
      <c r="Y1502" s="48" t="str">
        <f>IFERROR(LayTable[[#This Row],[Faktisk res]]/LayTable[[#This Row],[Total inns]],"")</f>
        <v/>
      </c>
      <c r="Z1502" s="47">
        <f>(LayTable[[#This Row],[BookieInnsats]]*LayTable[[#This Row],[BookieOdds]]-LayTable[[#This Row],[BookieInnsats]])*(1-LayTable[[#This Row],[C% Bookie]])</f>
        <v>0</v>
      </c>
      <c r="AA1502" s="43">
        <f>LayTable[[#This Row],[LayInnsats]]*(1-LayTable[[#This Row],[C% Lay]])</f>
        <v>0</v>
      </c>
      <c r="AB1502" s="43" t="str">
        <f>IFERROR(IF(LayTable[[#This Row],[Sport]]="",AB1501,LayTable[[#This Row],[Faktisk res]]+AB1501),"")</f>
        <v/>
      </c>
      <c r="AC1502" s="43">
        <f>(LayTable[[#This Row],[BackWin-Commission]]+LayTable[[#This Row],[BookieInnsats]])</f>
        <v>0</v>
      </c>
      <c r="AD1502" s="43" t="e">
        <f>(LayTable[[#This Row],[LayWin-Commission]])+LayTable[[#This Row],[LayLiability]]</f>
        <v>#VALUE!</v>
      </c>
      <c r="AE1502" s="43"/>
      <c r="AF1502" s="181"/>
    </row>
    <row r="1503" spans="1:32">
      <c r="A1503" s="84"/>
      <c r="B1503" s="39"/>
      <c r="C1503" s="40"/>
      <c r="D1503" s="41"/>
      <c r="E1503" s="40"/>
      <c r="F1503" s="41"/>
      <c r="G1503" s="101"/>
      <c r="H1503" s="38"/>
      <c r="I1503" s="42"/>
      <c r="J1503" s="42"/>
      <c r="K1503" s="43"/>
      <c r="L1503" s="43"/>
      <c r="M1503" s="44" t="str">
        <f>IF(LayTable[[#This Row],[Sport]]="","",LayTable[[#This Row],[LayInnsats]]*(LayTable[[#This Row],[LayOdds]]-1))</f>
        <v/>
      </c>
      <c r="N1503" s="45" t="str">
        <f>IF(LayTable[[#This Row],[Sport]]="","",1/((1/LayTable[[#This Row],[BookieOdds]])+(1/((1/((1+((LayTable[[#This Row],[LayOdds]]-1)*(1+LayTable[[#This Row],[C% Lay]])))-1))+1)))-1)</f>
        <v/>
      </c>
      <c r="Q1503" s="46" t="str">
        <f>IF(LayTable[[#This Row],[Sport]]="","",LayTable[[#This Row],[BookieInnsats]]+LayTable[[#This Row],[LayLiability]])</f>
        <v/>
      </c>
      <c r="R15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3" s="47" t="str">
        <f>IF(LayTable[[#This Row],[Utfall bookie]]="","",LayTable[[#This Row],[WBABack]]+LayTable[[#This Row],[WBALay]]-LayTable[[#This Row],[Total inns]])</f>
        <v/>
      </c>
      <c r="U15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3" s="48" t="str">
        <f>IFERROR(IF(LayTable[[#This Row],[Total inns]]="","",LayTable[[#This Row],[Rback]]/LayTable[[#This Row],[Total inns]]),"")</f>
        <v/>
      </c>
      <c r="X1503" s="48" t="str">
        <f>IFERROR(IF(LayTable[[#This Row],[Total inns]]="","",LayTable[[#This Row],[Rlay]]/LayTable[[#This Row],[Total inns]]),"")</f>
        <v/>
      </c>
      <c r="Y1503" s="48" t="str">
        <f>IFERROR(LayTable[[#This Row],[Faktisk res]]/LayTable[[#This Row],[Total inns]],"")</f>
        <v/>
      </c>
      <c r="Z1503" s="47">
        <f>(LayTable[[#This Row],[BookieInnsats]]*LayTable[[#This Row],[BookieOdds]]-LayTable[[#This Row],[BookieInnsats]])*(1-LayTable[[#This Row],[C% Bookie]])</f>
        <v>0</v>
      </c>
      <c r="AA1503" s="43">
        <f>LayTable[[#This Row],[LayInnsats]]*(1-LayTable[[#This Row],[C% Lay]])</f>
        <v>0</v>
      </c>
      <c r="AB1503" s="43" t="str">
        <f>IFERROR(IF(LayTable[[#This Row],[Sport]]="",AB1502,LayTable[[#This Row],[Faktisk res]]+AB1502),"")</f>
        <v/>
      </c>
      <c r="AC1503" s="43">
        <f>(LayTable[[#This Row],[BackWin-Commission]]+LayTable[[#This Row],[BookieInnsats]])</f>
        <v>0</v>
      </c>
      <c r="AD1503" s="43" t="e">
        <f>(LayTable[[#This Row],[LayWin-Commission]])+LayTable[[#This Row],[LayLiability]]</f>
        <v>#VALUE!</v>
      </c>
      <c r="AE1503" s="43"/>
      <c r="AF1503" s="181"/>
    </row>
    <row r="1504" spans="1:32">
      <c r="A1504" s="84"/>
      <c r="B1504" s="39"/>
      <c r="C1504" s="40"/>
      <c r="D1504" s="41"/>
      <c r="E1504" s="40"/>
      <c r="F1504" s="41"/>
      <c r="G1504" s="101"/>
      <c r="H1504" s="38"/>
      <c r="I1504" s="42"/>
      <c r="J1504" s="42"/>
      <c r="K1504" s="43"/>
      <c r="L1504" s="43"/>
      <c r="M1504" s="44" t="str">
        <f>IF(LayTable[[#This Row],[Sport]]="","",LayTable[[#This Row],[LayInnsats]]*(LayTable[[#This Row],[LayOdds]]-1))</f>
        <v/>
      </c>
      <c r="N1504" s="45" t="str">
        <f>IF(LayTable[[#This Row],[Sport]]="","",1/((1/LayTable[[#This Row],[BookieOdds]])+(1/((1/((1+((LayTable[[#This Row],[LayOdds]]-1)*(1+LayTable[[#This Row],[C% Lay]])))-1))+1)))-1)</f>
        <v/>
      </c>
      <c r="Q1504" s="46" t="str">
        <f>IF(LayTable[[#This Row],[Sport]]="","",LayTable[[#This Row],[BookieInnsats]]+LayTable[[#This Row],[LayLiability]])</f>
        <v/>
      </c>
      <c r="R15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4" s="47" t="str">
        <f>IF(LayTable[[#This Row],[Utfall bookie]]="","",LayTable[[#This Row],[WBABack]]+LayTable[[#This Row],[WBALay]]-LayTable[[#This Row],[Total inns]])</f>
        <v/>
      </c>
      <c r="U15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4" s="48" t="str">
        <f>IFERROR(IF(LayTable[[#This Row],[Total inns]]="","",LayTable[[#This Row],[Rback]]/LayTable[[#This Row],[Total inns]]),"")</f>
        <v/>
      </c>
      <c r="X1504" s="48" t="str">
        <f>IFERROR(IF(LayTable[[#This Row],[Total inns]]="","",LayTable[[#This Row],[Rlay]]/LayTable[[#This Row],[Total inns]]),"")</f>
        <v/>
      </c>
      <c r="Y1504" s="48" t="str">
        <f>IFERROR(LayTable[[#This Row],[Faktisk res]]/LayTable[[#This Row],[Total inns]],"")</f>
        <v/>
      </c>
      <c r="Z1504" s="47">
        <f>(LayTable[[#This Row],[BookieInnsats]]*LayTable[[#This Row],[BookieOdds]]-LayTable[[#This Row],[BookieInnsats]])*(1-LayTable[[#This Row],[C% Bookie]])</f>
        <v>0</v>
      </c>
      <c r="AA1504" s="43">
        <f>LayTable[[#This Row],[LayInnsats]]*(1-LayTable[[#This Row],[C% Lay]])</f>
        <v>0</v>
      </c>
      <c r="AB1504" s="43" t="str">
        <f>IFERROR(IF(LayTable[[#This Row],[Sport]]="",AB1503,LayTable[[#This Row],[Faktisk res]]+AB1503),"")</f>
        <v/>
      </c>
      <c r="AC1504" s="43">
        <f>(LayTable[[#This Row],[BackWin-Commission]]+LayTable[[#This Row],[BookieInnsats]])</f>
        <v>0</v>
      </c>
      <c r="AD1504" s="43" t="e">
        <f>(LayTable[[#This Row],[LayWin-Commission]])+LayTable[[#This Row],[LayLiability]]</f>
        <v>#VALUE!</v>
      </c>
      <c r="AE1504" s="43"/>
      <c r="AF1504" s="181"/>
    </row>
    <row r="1505" spans="1:32">
      <c r="A1505" s="84"/>
      <c r="B1505" s="39"/>
      <c r="C1505" s="40"/>
      <c r="D1505" s="41"/>
      <c r="E1505" s="40"/>
      <c r="F1505" s="41"/>
      <c r="G1505" s="101"/>
      <c r="H1505" s="38"/>
      <c r="I1505" s="42"/>
      <c r="J1505" s="42"/>
      <c r="K1505" s="43"/>
      <c r="L1505" s="43"/>
      <c r="M1505" s="44" t="str">
        <f>IF(LayTable[[#This Row],[Sport]]="","",LayTable[[#This Row],[LayInnsats]]*(LayTable[[#This Row],[LayOdds]]-1))</f>
        <v/>
      </c>
      <c r="N1505" s="45" t="str">
        <f>IF(LayTable[[#This Row],[Sport]]="","",1/((1/LayTable[[#This Row],[BookieOdds]])+(1/((1/((1+((LayTable[[#This Row],[LayOdds]]-1)*(1+LayTable[[#This Row],[C% Lay]])))-1))+1)))-1)</f>
        <v/>
      </c>
      <c r="Q1505" s="46" t="str">
        <f>IF(LayTable[[#This Row],[Sport]]="","",LayTable[[#This Row],[BookieInnsats]]+LayTable[[#This Row],[LayLiability]])</f>
        <v/>
      </c>
      <c r="R15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5" s="47" t="str">
        <f>IF(LayTable[[#This Row],[Utfall bookie]]="","",LayTable[[#This Row],[WBABack]]+LayTable[[#This Row],[WBALay]]-LayTable[[#This Row],[Total inns]])</f>
        <v/>
      </c>
      <c r="U15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5" s="48" t="str">
        <f>IFERROR(IF(LayTable[[#This Row],[Total inns]]="","",LayTable[[#This Row],[Rback]]/LayTable[[#This Row],[Total inns]]),"")</f>
        <v/>
      </c>
      <c r="X1505" s="48" t="str">
        <f>IFERROR(IF(LayTable[[#This Row],[Total inns]]="","",LayTable[[#This Row],[Rlay]]/LayTable[[#This Row],[Total inns]]),"")</f>
        <v/>
      </c>
      <c r="Y1505" s="48" t="str">
        <f>IFERROR(LayTable[[#This Row],[Faktisk res]]/LayTable[[#This Row],[Total inns]],"")</f>
        <v/>
      </c>
      <c r="Z1505" s="47">
        <f>(LayTable[[#This Row],[BookieInnsats]]*LayTable[[#This Row],[BookieOdds]]-LayTable[[#This Row],[BookieInnsats]])*(1-LayTable[[#This Row],[C% Bookie]])</f>
        <v>0</v>
      </c>
      <c r="AA1505" s="43">
        <f>LayTable[[#This Row],[LayInnsats]]*(1-LayTable[[#This Row],[C% Lay]])</f>
        <v>0</v>
      </c>
      <c r="AB1505" s="43" t="str">
        <f>IFERROR(IF(LayTable[[#This Row],[Sport]]="",AB1504,LayTable[[#This Row],[Faktisk res]]+AB1504),"")</f>
        <v/>
      </c>
      <c r="AC1505" s="43">
        <f>(LayTable[[#This Row],[BackWin-Commission]]+LayTable[[#This Row],[BookieInnsats]])</f>
        <v>0</v>
      </c>
      <c r="AD1505" s="43" t="e">
        <f>(LayTable[[#This Row],[LayWin-Commission]])+LayTable[[#This Row],[LayLiability]]</f>
        <v>#VALUE!</v>
      </c>
      <c r="AE1505" s="43"/>
      <c r="AF1505" s="181"/>
    </row>
    <row r="1506" spans="1:32">
      <c r="A1506" s="84"/>
      <c r="B1506" s="39"/>
      <c r="C1506" s="40"/>
      <c r="D1506" s="41"/>
      <c r="E1506" s="40"/>
      <c r="F1506" s="41"/>
      <c r="G1506" s="101"/>
      <c r="H1506" s="38"/>
      <c r="I1506" s="42"/>
      <c r="J1506" s="42"/>
      <c r="K1506" s="43"/>
      <c r="L1506" s="43"/>
      <c r="M1506" s="44" t="str">
        <f>IF(LayTable[[#This Row],[Sport]]="","",LayTable[[#This Row],[LayInnsats]]*(LayTable[[#This Row],[LayOdds]]-1))</f>
        <v/>
      </c>
      <c r="N1506" s="45" t="str">
        <f>IF(LayTable[[#This Row],[Sport]]="","",1/((1/LayTable[[#This Row],[BookieOdds]])+(1/((1/((1+((LayTable[[#This Row],[LayOdds]]-1)*(1+LayTable[[#This Row],[C% Lay]])))-1))+1)))-1)</f>
        <v/>
      </c>
      <c r="Q1506" s="46" t="str">
        <f>IF(LayTable[[#This Row],[Sport]]="","",LayTable[[#This Row],[BookieInnsats]]+LayTable[[#This Row],[LayLiability]])</f>
        <v/>
      </c>
      <c r="R15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6" s="47" t="str">
        <f>IF(LayTable[[#This Row],[Utfall bookie]]="","",LayTable[[#This Row],[WBABack]]+LayTable[[#This Row],[WBALay]]-LayTable[[#This Row],[Total inns]])</f>
        <v/>
      </c>
      <c r="U15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6" s="48" t="str">
        <f>IFERROR(IF(LayTable[[#This Row],[Total inns]]="","",LayTable[[#This Row],[Rback]]/LayTable[[#This Row],[Total inns]]),"")</f>
        <v/>
      </c>
      <c r="X1506" s="48" t="str">
        <f>IFERROR(IF(LayTable[[#This Row],[Total inns]]="","",LayTable[[#This Row],[Rlay]]/LayTable[[#This Row],[Total inns]]),"")</f>
        <v/>
      </c>
      <c r="Y1506" s="48" t="str">
        <f>IFERROR(LayTable[[#This Row],[Faktisk res]]/LayTable[[#This Row],[Total inns]],"")</f>
        <v/>
      </c>
      <c r="Z1506" s="47">
        <f>(LayTable[[#This Row],[BookieInnsats]]*LayTable[[#This Row],[BookieOdds]]-LayTable[[#This Row],[BookieInnsats]])*(1-LayTable[[#This Row],[C% Bookie]])</f>
        <v>0</v>
      </c>
      <c r="AA1506" s="43">
        <f>LayTable[[#This Row],[LayInnsats]]*(1-LayTable[[#This Row],[C% Lay]])</f>
        <v>0</v>
      </c>
      <c r="AB1506" s="43" t="str">
        <f>IFERROR(IF(LayTable[[#This Row],[Sport]]="",AB1505,LayTable[[#This Row],[Faktisk res]]+AB1505),"")</f>
        <v/>
      </c>
      <c r="AC1506" s="43">
        <f>(LayTable[[#This Row],[BackWin-Commission]]+LayTable[[#This Row],[BookieInnsats]])</f>
        <v>0</v>
      </c>
      <c r="AD1506" s="43" t="e">
        <f>(LayTable[[#This Row],[LayWin-Commission]])+LayTable[[#This Row],[LayLiability]]</f>
        <v>#VALUE!</v>
      </c>
      <c r="AE1506" s="43"/>
      <c r="AF1506" s="181"/>
    </row>
    <row r="1507" spans="1:32">
      <c r="A1507" s="84"/>
      <c r="B1507" s="39"/>
      <c r="C1507" s="40"/>
      <c r="D1507" s="41"/>
      <c r="E1507" s="40"/>
      <c r="F1507" s="41"/>
      <c r="G1507" s="101"/>
      <c r="H1507" s="38"/>
      <c r="I1507" s="42"/>
      <c r="J1507" s="42"/>
      <c r="K1507" s="43"/>
      <c r="L1507" s="43"/>
      <c r="M1507" s="44" t="str">
        <f>IF(LayTable[[#This Row],[Sport]]="","",LayTable[[#This Row],[LayInnsats]]*(LayTable[[#This Row],[LayOdds]]-1))</f>
        <v/>
      </c>
      <c r="N1507" s="45" t="str">
        <f>IF(LayTable[[#This Row],[Sport]]="","",1/((1/LayTable[[#This Row],[BookieOdds]])+(1/((1/((1+((LayTable[[#This Row],[LayOdds]]-1)*(1+LayTable[[#This Row],[C% Lay]])))-1))+1)))-1)</f>
        <v/>
      </c>
      <c r="Q1507" s="46" t="str">
        <f>IF(LayTable[[#This Row],[Sport]]="","",LayTable[[#This Row],[BookieInnsats]]+LayTable[[#This Row],[LayLiability]])</f>
        <v/>
      </c>
      <c r="R15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7" s="47" t="str">
        <f>IF(LayTable[[#This Row],[Utfall bookie]]="","",LayTable[[#This Row],[WBABack]]+LayTable[[#This Row],[WBALay]]-LayTable[[#This Row],[Total inns]])</f>
        <v/>
      </c>
      <c r="U15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7" s="48" t="str">
        <f>IFERROR(IF(LayTable[[#This Row],[Total inns]]="","",LayTable[[#This Row],[Rback]]/LayTable[[#This Row],[Total inns]]),"")</f>
        <v/>
      </c>
      <c r="X1507" s="48" t="str">
        <f>IFERROR(IF(LayTable[[#This Row],[Total inns]]="","",LayTable[[#This Row],[Rlay]]/LayTable[[#This Row],[Total inns]]),"")</f>
        <v/>
      </c>
      <c r="Y1507" s="48" t="str">
        <f>IFERROR(LayTable[[#This Row],[Faktisk res]]/LayTable[[#This Row],[Total inns]],"")</f>
        <v/>
      </c>
      <c r="Z1507" s="47">
        <f>(LayTable[[#This Row],[BookieInnsats]]*LayTable[[#This Row],[BookieOdds]]-LayTable[[#This Row],[BookieInnsats]])*(1-LayTable[[#This Row],[C% Bookie]])</f>
        <v>0</v>
      </c>
      <c r="AA1507" s="43">
        <f>LayTable[[#This Row],[LayInnsats]]*(1-LayTable[[#This Row],[C% Lay]])</f>
        <v>0</v>
      </c>
      <c r="AB1507" s="43" t="str">
        <f>IFERROR(IF(LayTable[[#This Row],[Sport]]="",AB1506,LayTable[[#This Row],[Faktisk res]]+AB1506),"")</f>
        <v/>
      </c>
      <c r="AC1507" s="43">
        <f>(LayTable[[#This Row],[BackWin-Commission]]+LayTable[[#This Row],[BookieInnsats]])</f>
        <v>0</v>
      </c>
      <c r="AD1507" s="43" t="e">
        <f>(LayTable[[#This Row],[LayWin-Commission]])+LayTable[[#This Row],[LayLiability]]</f>
        <v>#VALUE!</v>
      </c>
      <c r="AE1507" s="43"/>
      <c r="AF1507" s="181"/>
    </row>
    <row r="1508" spans="1:32">
      <c r="A1508" s="84"/>
      <c r="B1508" s="39"/>
      <c r="C1508" s="40"/>
      <c r="D1508" s="41"/>
      <c r="E1508" s="40"/>
      <c r="F1508" s="41"/>
      <c r="G1508" s="101"/>
      <c r="H1508" s="38"/>
      <c r="I1508" s="42"/>
      <c r="J1508" s="42"/>
      <c r="K1508" s="43"/>
      <c r="L1508" s="43"/>
      <c r="M1508" s="44" t="str">
        <f>IF(LayTable[[#This Row],[Sport]]="","",LayTable[[#This Row],[LayInnsats]]*(LayTable[[#This Row],[LayOdds]]-1))</f>
        <v/>
      </c>
      <c r="N1508" s="45" t="str">
        <f>IF(LayTable[[#This Row],[Sport]]="","",1/((1/LayTable[[#This Row],[BookieOdds]])+(1/((1/((1+((LayTable[[#This Row],[LayOdds]]-1)*(1+LayTable[[#This Row],[C% Lay]])))-1))+1)))-1)</f>
        <v/>
      </c>
      <c r="Q1508" s="46" t="str">
        <f>IF(LayTable[[#This Row],[Sport]]="","",LayTable[[#This Row],[BookieInnsats]]+LayTable[[#This Row],[LayLiability]])</f>
        <v/>
      </c>
      <c r="R15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8" s="47" t="str">
        <f>IF(LayTable[[#This Row],[Utfall bookie]]="","",LayTable[[#This Row],[WBABack]]+LayTable[[#This Row],[WBALay]]-LayTable[[#This Row],[Total inns]])</f>
        <v/>
      </c>
      <c r="U15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8" s="48" t="str">
        <f>IFERROR(IF(LayTable[[#This Row],[Total inns]]="","",LayTable[[#This Row],[Rback]]/LayTable[[#This Row],[Total inns]]),"")</f>
        <v/>
      </c>
      <c r="X1508" s="48" t="str">
        <f>IFERROR(IF(LayTable[[#This Row],[Total inns]]="","",LayTable[[#This Row],[Rlay]]/LayTable[[#This Row],[Total inns]]),"")</f>
        <v/>
      </c>
      <c r="Y1508" s="48" t="str">
        <f>IFERROR(LayTable[[#This Row],[Faktisk res]]/LayTable[[#This Row],[Total inns]],"")</f>
        <v/>
      </c>
      <c r="Z1508" s="47">
        <f>(LayTable[[#This Row],[BookieInnsats]]*LayTable[[#This Row],[BookieOdds]]-LayTable[[#This Row],[BookieInnsats]])*(1-LayTable[[#This Row],[C% Bookie]])</f>
        <v>0</v>
      </c>
      <c r="AA1508" s="43">
        <f>LayTable[[#This Row],[LayInnsats]]*(1-LayTable[[#This Row],[C% Lay]])</f>
        <v>0</v>
      </c>
      <c r="AB1508" s="43" t="str">
        <f>IFERROR(IF(LayTable[[#This Row],[Sport]]="",AB1507,LayTable[[#This Row],[Faktisk res]]+AB1507),"")</f>
        <v/>
      </c>
      <c r="AC1508" s="43">
        <f>(LayTable[[#This Row],[BackWin-Commission]]+LayTable[[#This Row],[BookieInnsats]])</f>
        <v>0</v>
      </c>
      <c r="AD1508" s="43" t="e">
        <f>(LayTable[[#This Row],[LayWin-Commission]])+LayTable[[#This Row],[LayLiability]]</f>
        <v>#VALUE!</v>
      </c>
      <c r="AE1508" s="43"/>
      <c r="AF1508" s="181"/>
    </row>
    <row r="1509" spans="1:32">
      <c r="A1509" s="84"/>
      <c r="B1509" s="39"/>
      <c r="C1509" s="40"/>
      <c r="D1509" s="41"/>
      <c r="E1509" s="40"/>
      <c r="F1509" s="41"/>
      <c r="G1509" s="101"/>
      <c r="H1509" s="38"/>
      <c r="I1509" s="42"/>
      <c r="J1509" s="42"/>
      <c r="K1509" s="43"/>
      <c r="L1509" s="43"/>
      <c r="M1509" s="44" t="str">
        <f>IF(LayTable[[#This Row],[Sport]]="","",LayTable[[#This Row],[LayInnsats]]*(LayTable[[#This Row],[LayOdds]]-1))</f>
        <v/>
      </c>
      <c r="N1509" s="45" t="str">
        <f>IF(LayTable[[#This Row],[Sport]]="","",1/((1/LayTable[[#This Row],[BookieOdds]])+(1/((1/((1+((LayTable[[#This Row],[LayOdds]]-1)*(1+LayTable[[#This Row],[C% Lay]])))-1))+1)))-1)</f>
        <v/>
      </c>
      <c r="Q1509" s="46" t="str">
        <f>IF(LayTable[[#This Row],[Sport]]="","",LayTable[[#This Row],[BookieInnsats]]+LayTable[[#This Row],[LayLiability]])</f>
        <v/>
      </c>
      <c r="R15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09" s="47" t="str">
        <f>IF(LayTable[[#This Row],[Utfall bookie]]="","",LayTable[[#This Row],[WBABack]]+LayTable[[#This Row],[WBALay]]-LayTable[[#This Row],[Total inns]])</f>
        <v/>
      </c>
      <c r="U15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09" s="48" t="str">
        <f>IFERROR(IF(LayTable[[#This Row],[Total inns]]="","",LayTable[[#This Row],[Rback]]/LayTable[[#This Row],[Total inns]]),"")</f>
        <v/>
      </c>
      <c r="X1509" s="48" t="str">
        <f>IFERROR(IF(LayTable[[#This Row],[Total inns]]="","",LayTable[[#This Row],[Rlay]]/LayTable[[#This Row],[Total inns]]),"")</f>
        <v/>
      </c>
      <c r="Y1509" s="48" t="str">
        <f>IFERROR(LayTable[[#This Row],[Faktisk res]]/LayTable[[#This Row],[Total inns]],"")</f>
        <v/>
      </c>
      <c r="Z1509" s="47">
        <f>(LayTable[[#This Row],[BookieInnsats]]*LayTable[[#This Row],[BookieOdds]]-LayTable[[#This Row],[BookieInnsats]])*(1-LayTable[[#This Row],[C% Bookie]])</f>
        <v>0</v>
      </c>
      <c r="AA1509" s="43">
        <f>LayTable[[#This Row],[LayInnsats]]*(1-LayTable[[#This Row],[C% Lay]])</f>
        <v>0</v>
      </c>
      <c r="AB1509" s="43" t="str">
        <f>IFERROR(IF(LayTable[[#This Row],[Sport]]="",AB1508,LayTable[[#This Row],[Faktisk res]]+AB1508),"")</f>
        <v/>
      </c>
      <c r="AC1509" s="43">
        <f>(LayTable[[#This Row],[BackWin-Commission]]+LayTable[[#This Row],[BookieInnsats]])</f>
        <v>0</v>
      </c>
      <c r="AD1509" s="43" t="e">
        <f>(LayTable[[#This Row],[LayWin-Commission]])+LayTable[[#This Row],[LayLiability]]</f>
        <v>#VALUE!</v>
      </c>
      <c r="AE1509" s="43"/>
      <c r="AF1509" s="181"/>
    </row>
    <row r="1510" spans="1:32">
      <c r="A1510" s="84"/>
      <c r="B1510" s="39"/>
      <c r="C1510" s="40"/>
      <c r="D1510" s="41"/>
      <c r="E1510" s="40"/>
      <c r="F1510" s="41"/>
      <c r="G1510" s="101"/>
      <c r="H1510" s="38"/>
      <c r="I1510" s="42"/>
      <c r="J1510" s="42"/>
      <c r="K1510" s="43"/>
      <c r="L1510" s="43"/>
      <c r="M1510" s="44" t="str">
        <f>IF(LayTable[[#This Row],[Sport]]="","",LayTable[[#This Row],[LayInnsats]]*(LayTable[[#This Row],[LayOdds]]-1))</f>
        <v/>
      </c>
      <c r="N1510" s="45" t="str">
        <f>IF(LayTable[[#This Row],[Sport]]="","",1/((1/LayTable[[#This Row],[BookieOdds]])+(1/((1/((1+((LayTable[[#This Row],[LayOdds]]-1)*(1+LayTable[[#This Row],[C% Lay]])))-1))+1)))-1)</f>
        <v/>
      </c>
      <c r="Q1510" s="46" t="str">
        <f>IF(LayTable[[#This Row],[Sport]]="","",LayTable[[#This Row],[BookieInnsats]]+LayTable[[#This Row],[LayLiability]])</f>
        <v/>
      </c>
      <c r="R15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0" s="47" t="str">
        <f>IF(LayTable[[#This Row],[Utfall bookie]]="","",LayTable[[#This Row],[WBABack]]+LayTable[[#This Row],[WBALay]]-LayTable[[#This Row],[Total inns]])</f>
        <v/>
      </c>
      <c r="U15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0" s="48" t="str">
        <f>IFERROR(IF(LayTable[[#This Row],[Total inns]]="","",LayTable[[#This Row],[Rback]]/LayTable[[#This Row],[Total inns]]),"")</f>
        <v/>
      </c>
      <c r="X1510" s="48" t="str">
        <f>IFERROR(IF(LayTable[[#This Row],[Total inns]]="","",LayTable[[#This Row],[Rlay]]/LayTable[[#This Row],[Total inns]]),"")</f>
        <v/>
      </c>
      <c r="Y1510" s="48" t="str">
        <f>IFERROR(LayTable[[#This Row],[Faktisk res]]/LayTable[[#This Row],[Total inns]],"")</f>
        <v/>
      </c>
      <c r="Z1510" s="47">
        <f>(LayTable[[#This Row],[BookieInnsats]]*LayTable[[#This Row],[BookieOdds]]-LayTable[[#This Row],[BookieInnsats]])*(1-LayTable[[#This Row],[C% Bookie]])</f>
        <v>0</v>
      </c>
      <c r="AA1510" s="43">
        <f>LayTable[[#This Row],[LayInnsats]]*(1-LayTable[[#This Row],[C% Lay]])</f>
        <v>0</v>
      </c>
      <c r="AB1510" s="43" t="str">
        <f>IFERROR(IF(LayTable[[#This Row],[Sport]]="",AB1509,LayTable[[#This Row],[Faktisk res]]+AB1509),"")</f>
        <v/>
      </c>
      <c r="AC1510" s="43">
        <f>(LayTable[[#This Row],[BackWin-Commission]]+LayTable[[#This Row],[BookieInnsats]])</f>
        <v>0</v>
      </c>
      <c r="AD1510" s="43" t="e">
        <f>(LayTable[[#This Row],[LayWin-Commission]])+LayTable[[#This Row],[LayLiability]]</f>
        <v>#VALUE!</v>
      </c>
      <c r="AE1510" s="43"/>
      <c r="AF1510" s="181"/>
    </row>
    <row r="1511" spans="1:32">
      <c r="A1511" s="84"/>
      <c r="B1511" s="39"/>
      <c r="C1511" s="40"/>
      <c r="D1511" s="41"/>
      <c r="E1511" s="40"/>
      <c r="F1511" s="41"/>
      <c r="G1511" s="101"/>
      <c r="H1511" s="38"/>
      <c r="I1511" s="42"/>
      <c r="J1511" s="42"/>
      <c r="K1511" s="43"/>
      <c r="L1511" s="43"/>
      <c r="M1511" s="44" t="str">
        <f>IF(LayTable[[#This Row],[Sport]]="","",LayTable[[#This Row],[LayInnsats]]*(LayTable[[#This Row],[LayOdds]]-1))</f>
        <v/>
      </c>
      <c r="N1511" s="45" t="str">
        <f>IF(LayTable[[#This Row],[Sport]]="","",1/((1/LayTable[[#This Row],[BookieOdds]])+(1/((1/((1+((LayTable[[#This Row],[LayOdds]]-1)*(1+LayTable[[#This Row],[C% Lay]])))-1))+1)))-1)</f>
        <v/>
      </c>
      <c r="Q1511" s="46" t="str">
        <f>IF(LayTable[[#This Row],[Sport]]="","",LayTable[[#This Row],[BookieInnsats]]+LayTable[[#This Row],[LayLiability]])</f>
        <v/>
      </c>
      <c r="R15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1" s="47" t="str">
        <f>IF(LayTable[[#This Row],[Utfall bookie]]="","",LayTable[[#This Row],[WBABack]]+LayTable[[#This Row],[WBALay]]-LayTable[[#This Row],[Total inns]])</f>
        <v/>
      </c>
      <c r="U15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1" s="48" t="str">
        <f>IFERROR(IF(LayTable[[#This Row],[Total inns]]="","",LayTable[[#This Row],[Rback]]/LayTable[[#This Row],[Total inns]]),"")</f>
        <v/>
      </c>
      <c r="X1511" s="48" t="str">
        <f>IFERROR(IF(LayTable[[#This Row],[Total inns]]="","",LayTable[[#This Row],[Rlay]]/LayTable[[#This Row],[Total inns]]),"")</f>
        <v/>
      </c>
      <c r="Y1511" s="48" t="str">
        <f>IFERROR(LayTable[[#This Row],[Faktisk res]]/LayTable[[#This Row],[Total inns]],"")</f>
        <v/>
      </c>
      <c r="Z1511" s="47">
        <f>(LayTable[[#This Row],[BookieInnsats]]*LayTable[[#This Row],[BookieOdds]]-LayTable[[#This Row],[BookieInnsats]])*(1-LayTable[[#This Row],[C% Bookie]])</f>
        <v>0</v>
      </c>
      <c r="AA1511" s="43">
        <f>LayTable[[#This Row],[LayInnsats]]*(1-LayTable[[#This Row],[C% Lay]])</f>
        <v>0</v>
      </c>
      <c r="AB1511" s="43" t="str">
        <f>IFERROR(IF(LayTable[[#This Row],[Sport]]="",AB1510,LayTable[[#This Row],[Faktisk res]]+AB1510),"")</f>
        <v/>
      </c>
      <c r="AC1511" s="43">
        <f>(LayTable[[#This Row],[BackWin-Commission]]+LayTable[[#This Row],[BookieInnsats]])</f>
        <v>0</v>
      </c>
      <c r="AD1511" s="43" t="e">
        <f>(LayTable[[#This Row],[LayWin-Commission]])+LayTable[[#This Row],[LayLiability]]</f>
        <v>#VALUE!</v>
      </c>
      <c r="AE1511" s="43"/>
      <c r="AF1511" s="181"/>
    </row>
    <row r="1512" spans="1:32">
      <c r="A1512" s="84"/>
      <c r="B1512" s="39"/>
      <c r="C1512" s="40"/>
      <c r="D1512" s="41"/>
      <c r="E1512" s="40"/>
      <c r="F1512" s="41"/>
      <c r="G1512" s="101"/>
      <c r="H1512" s="38"/>
      <c r="I1512" s="42"/>
      <c r="J1512" s="42"/>
      <c r="K1512" s="43"/>
      <c r="L1512" s="43"/>
      <c r="M1512" s="44" t="str">
        <f>IF(LayTable[[#This Row],[Sport]]="","",LayTable[[#This Row],[LayInnsats]]*(LayTable[[#This Row],[LayOdds]]-1))</f>
        <v/>
      </c>
      <c r="N1512" s="45" t="str">
        <f>IF(LayTable[[#This Row],[Sport]]="","",1/((1/LayTable[[#This Row],[BookieOdds]])+(1/((1/((1+((LayTable[[#This Row],[LayOdds]]-1)*(1+LayTable[[#This Row],[C% Lay]])))-1))+1)))-1)</f>
        <v/>
      </c>
      <c r="Q1512" s="46" t="str">
        <f>IF(LayTable[[#This Row],[Sport]]="","",LayTable[[#This Row],[BookieInnsats]]+LayTable[[#This Row],[LayLiability]])</f>
        <v/>
      </c>
      <c r="R15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2" s="47" t="str">
        <f>IF(LayTable[[#This Row],[Utfall bookie]]="","",LayTable[[#This Row],[WBABack]]+LayTable[[#This Row],[WBALay]]-LayTable[[#This Row],[Total inns]])</f>
        <v/>
      </c>
      <c r="U15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2" s="48" t="str">
        <f>IFERROR(IF(LayTable[[#This Row],[Total inns]]="","",LayTable[[#This Row],[Rback]]/LayTable[[#This Row],[Total inns]]),"")</f>
        <v/>
      </c>
      <c r="X1512" s="48" t="str">
        <f>IFERROR(IF(LayTable[[#This Row],[Total inns]]="","",LayTable[[#This Row],[Rlay]]/LayTable[[#This Row],[Total inns]]),"")</f>
        <v/>
      </c>
      <c r="Y1512" s="48" t="str">
        <f>IFERROR(LayTable[[#This Row],[Faktisk res]]/LayTable[[#This Row],[Total inns]],"")</f>
        <v/>
      </c>
      <c r="Z1512" s="47">
        <f>(LayTable[[#This Row],[BookieInnsats]]*LayTable[[#This Row],[BookieOdds]]-LayTable[[#This Row],[BookieInnsats]])*(1-LayTable[[#This Row],[C% Bookie]])</f>
        <v>0</v>
      </c>
      <c r="AA1512" s="43">
        <f>LayTable[[#This Row],[LayInnsats]]*(1-LayTable[[#This Row],[C% Lay]])</f>
        <v>0</v>
      </c>
      <c r="AB1512" s="43" t="str">
        <f>IFERROR(IF(LayTable[[#This Row],[Sport]]="",AB1511,LayTable[[#This Row],[Faktisk res]]+AB1511),"")</f>
        <v/>
      </c>
      <c r="AC1512" s="43">
        <f>(LayTable[[#This Row],[BackWin-Commission]]+LayTable[[#This Row],[BookieInnsats]])</f>
        <v>0</v>
      </c>
      <c r="AD1512" s="43" t="e">
        <f>(LayTable[[#This Row],[LayWin-Commission]])+LayTable[[#This Row],[LayLiability]]</f>
        <v>#VALUE!</v>
      </c>
      <c r="AE1512" s="43"/>
      <c r="AF1512" s="181"/>
    </row>
    <row r="1513" spans="1:32">
      <c r="A1513" s="84"/>
      <c r="B1513" s="39"/>
      <c r="C1513" s="40"/>
      <c r="D1513" s="41"/>
      <c r="E1513" s="40"/>
      <c r="F1513" s="41"/>
      <c r="G1513" s="101"/>
      <c r="H1513" s="38"/>
      <c r="I1513" s="42"/>
      <c r="J1513" s="42"/>
      <c r="K1513" s="43"/>
      <c r="L1513" s="43"/>
      <c r="M1513" s="44" t="str">
        <f>IF(LayTable[[#This Row],[Sport]]="","",LayTable[[#This Row],[LayInnsats]]*(LayTable[[#This Row],[LayOdds]]-1))</f>
        <v/>
      </c>
      <c r="N1513" s="45" t="str">
        <f>IF(LayTable[[#This Row],[Sport]]="","",1/((1/LayTable[[#This Row],[BookieOdds]])+(1/((1/((1+((LayTable[[#This Row],[LayOdds]]-1)*(1+LayTable[[#This Row],[C% Lay]])))-1))+1)))-1)</f>
        <v/>
      </c>
      <c r="Q1513" s="46" t="str">
        <f>IF(LayTable[[#This Row],[Sport]]="","",LayTable[[#This Row],[BookieInnsats]]+LayTable[[#This Row],[LayLiability]])</f>
        <v/>
      </c>
      <c r="R15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3" s="47" t="str">
        <f>IF(LayTable[[#This Row],[Utfall bookie]]="","",LayTable[[#This Row],[WBABack]]+LayTable[[#This Row],[WBALay]]-LayTable[[#This Row],[Total inns]])</f>
        <v/>
      </c>
      <c r="U15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3" s="48" t="str">
        <f>IFERROR(IF(LayTable[[#This Row],[Total inns]]="","",LayTable[[#This Row],[Rback]]/LayTable[[#This Row],[Total inns]]),"")</f>
        <v/>
      </c>
      <c r="X1513" s="48" t="str">
        <f>IFERROR(IF(LayTable[[#This Row],[Total inns]]="","",LayTable[[#This Row],[Rlay]]/LayTable[[#This Row],[Total inns]]),"")</f>
        <v/>
      </c>
      <c r="Y1513" s="48" t="str">
        <f>IFERROR(LayTable[[#This Row],[Faktisk res]]/LayTable[[#This Row],[Total inns]],"")</f>
        <v/>
      </c>
      <c r="Z1513" s="47">
        <f>(LayTable[[#This Row],[BookieInnsats]]*LayTable[[#This Row],[BookieOdds]]-LayTable[[#This Row],[BookieInnsats]])*(1-LayTable[[#This Row],[C% Bookie]])</f>
        <v>0</v>
      </c>
      <c r="AA1513" s="43">
        <f>LayTable[[#This Row],[LayInnsats]]*(1-LayTable[[#This Row],[C% Lay]])</f>
        <v>0</v>
      </c>
      <c r="AB1513" s="43" t="str">
        <f>IFERROR(IF(LayTable[[#This Row],[Sport]]="",AB1512,LayTable[[#This Row],[Faktisk res]]+AB1512),"")</f>
        <v/>
      </c>
      <c r="AC1513" s="43">
        <f>(LayTable[[#This Row],[BackWin-Commission]]+LayTable[[#This Row],[BookieInnsats]])</f>
        <v>0</v>
      </c>
      <c r="AD1513" s="43" t="e">
        <f>(LayTable[[#This Row],[LayWin-Commission]])+LayTable[[#This Row],[LayLiability]]</f>
        <v>#VALUE!</v>
      </c>
      <c r="AE1513" s="43"/>
      <c r="AF1513" s="181"/>
    </row>
    <row r="1514" spans="1:32">
      <c r="A1514" s="84"/>
      <c r="B1514" s="39"/>
      <c r="C1514" s="40"/>
      <c r="D1514" s="41"/>
      <c r="E1514" s="40"/>
      <c r="F1514" s="41"/>
      <c r="G1514" s="101"/>
      <c r="H1514" s="38"/>
      <c r="I1514" s="42"/>
      <c r="J1514" s="42"/>
      <c r="K1514" s="43"/>
      <c r="L1514" s="43"/>
      <c r="M1514" s="44" t="str">
        <f>IF(LayTable[[#This Row],[Sport]]="","",LayTable[[#This Row],[LayInnsats]]*(LayTable[[#This Row],[LayOdds]]-1))</f>
        <v/>
      </c>
      <c r="N1514" s="45" t="str">
        <f>IF(LayTable[[#This Row],[Sport]]="","",1/((1/LayTable[[#This Row],[BookieOdds]])+(1/((1/((1+((LayTable[[#This Row],[LayOdds]]-1)*(1+LayTable[[#This Row],[C% Lay]])))-1))+1)))-1)</f>
        <v/>
      </c>
      <c r="Q1514" s="46" t="str">
        <f>IF(LayTable[[#This Row],[Sport]]="","",LayTable[[#This Row],[BookieInnsats]]+LayTable[[#This Row],[LayLiability]])</f>
        <v/>
      </c>
      <c r="R15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4" s="47" t="str">
        <f>IF(LayTable[[#This Row],[Utfall bookie]]="","",LayTable[[#This Row],[WBABack]]+LayTable[[#This Row],[WBALay]]-LayTable[[#This Row],[Total inns]])</f>
        <v/>
      </c>
      <c r="U15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4" s="48" t="str">
        <f>IFERROR(IF(LayTable[[#This Row],[Total inns]]="","",LayTable[[#This Row],[Rback]]/LayTable[[#This Row],[Total inns]]),"")</f>
        <v/>
      </c>
      <c r="X1514" s="48" t="str">
        <f>IFERROR(IF(LayTable[[#This Row],[Total inns]]="","",LayTable[[#This Row],[Rlay]]/LayTable[[#This Row],[Total inns]]),"")</f>
        <v/>
      </c>
      <c r="Y1514" s="48" t="str">
        <f>IFERROR(LayTable[[#This Row],[Faktisk res]]/LayTable[[#This Row],[Total inns]],"")</f>
        <v/>
      </c>
      <c r="Z1514" s="47">
        <f>(LayTable[[#This Row],[BookieInnsats]]*LayTable[[#This Row],[BookieOdds]]-LayTable[[#This Row],[BookieInnsats]])*(1-LayTable[[#This Row],[C% Bookie]])</f>
        <v>0</v>
      </c>
      <c r="AA1514" s="43">
        <f>LayTable[[#This Row],[LayInnsats]]*(1-LayTable[[#This Row],[C% Lay]])</f>
        <v>0</v>
      </c>
      <c r="AB1514" s="43" t="str">
        <f>IFERROR(IF(LayTable[[#This Row],[Sport]]="",AB1513,LayTable[[#This Row],[Faktisk res]]+AB1513),"")</f>
        <v/>
      </c>
      <c r="AC1514" s="43">
        <f>(LayTable[[#This Row],[BackWin-Commission]]+LayTable[[#This Row],[BookieInnsats]])</f>
        <v>0</v>
      </c>
      <c r="AD1514" s="43" t="e">
        <f>(LayTable[[#This Row],[LayWin-Commission]])+LayTable[[#This Row],[LayLiability]]</f>
        <v>#VALUE!</v>
      </c>
      <c r="AE1514" s="43"/>
      <c r="AF1514" s="181"/>
    </row>
    <row r="1515" spans="1:32">
      <c r="A1515" s="84"/>
      <c r="B1515" s="39"/>
      <c r="C1515" s="40"/>
      <c r="D1515" s="41"/>
      <c r="E1515" s="40"/>
      <c r="F1515" s="41"/>
      <c r="G1515" s="101"/>
      <c r="H1515" s="38"/>
      <c r="I1515" s="42"/>
      <c r="J1515" s="42"/>
      <c r="K1515" s="43"/>
      <c r="L1515" s="43"/>
      <c r="M1515" s="44" t="str">
        <f>IF(LayTable[[#This Row],[Sport]]="","",LayTable[[#This Row],[LayInnsats]]*(LayTable[[#This Row],[LayOdds]]-1))</f>
        <v/>
      </c>
      <c r="N1515" s="45" t="str">
        <f>IF(LayTable[[#This Row],[Sport]]="","",1/((1/LayTable[[#This Row],[BookieOdds]])+(1/((1/((1+((LayTable[[#This Row],[LayOdds]]-1)*(1+LayTable[[#This Row],[C% Lay]])))-1))+1)))-1)</f>
        <v/>
      </c>
      <c r="Q1515" s="46" t="str">
        <f>IF(LayTable[[#This Row],[Sport]]="","",LayTable[[#This Row],[BookieInnsats]]+LayTable[[#This Row],[LayLiability]])</f>
        <v/>
      </c>
      <c r="R15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5" s="47" t="str">
        <f>IF(LayTable[[#This Row],[Utfall bookie]]="","",LayTable[[#This Row],[WBABack]]+LayTable[[#This Row],[WBALay]]-LayTable[[#This Row],[Total inns]])</f>
        <v/>
      </c>
      <c r="U15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5" s="48" t="str">
        <f>IFERROR(IF(LayTable[[#This Row],[Total inns]]="","",LayTable[[#This Row],[Rback]]/LayTable[[#This Row],[Total inns]]),"")</f>
        <v/>
      </c>
      <c r="X1515" s="48" t="str">
        <f>IFERROR(IF(LayTable[[#This Row],[Total inns]]="","",LayTable[[#This Row],[Rlay]]/LayTable[[#This Row],[Total inns]]),"")</f>
        <v/>
      </c>
      <c r="Y1515" s="48" t="str">
        <f>IFERROR(LayTable[[#This Row],[Faktisk res]]/LayTable[[#This Row],[Total inns]],"")</f>
        <v/>
      </c>
      <c r="Z1515" s="47">
        <f>(LayTable[[#This Row],[BookieInnsats]]*LayTable[[#This Row],[BookieOdds]]-LayTable[[#This Row],[BookieInnsats]])*(1-LayTable[[#This Row],[C% Bookie]])</f>
        <v>0</v>
      </c>
      <c r="AA1515" s="43">
        <f>LayTable[[#This Row],[LayInnsats]]*(1-LayTable[[#This Row],[C% Lay]])</f>
        <v>0</v>
      </c>
      <c r="AB1515" s="43" t="str">
        <f>IFERROR(IF(LayTable[[#This Row],[Sport]]="",AB1514,LayTable[[#This Row],[Faktisk res]]+AB1514),"")</f>
        <v/>
      </c>
      <c r="AC1515" s="43">
        <f>(LayTable[[#This Row],[BackWin-Commission]]+LayTable[[#This Row],[BookieInnsats]])</f>
        <v>0</v>
      </c>
      <c r="AD1515" s="43" t="e">
        <f>(LayTable[[#This Row],[LayWin-Commission]])+LayTable[[#This Row],[LayLiability]]</f>
        <v>#VALUE!</v>
      </c>
      <c r="AE1515" s="43"/>
      <c r="AF1515" s="181"/>
    </row>
    <row r="1516" spans="1:32">
      <c r="A1516" s="84"/>
      <c r="B1516" s="39"/>
      <c r="C1516" s="40"/>
      <c r="D1516" s="41"/>
      <c r="E1516" s="40"/>
      <c r="F1516" s="41"/>
      <c r="G1516" s="101"/>
      <c r="H1516" s="38"/>
      <c r="I1516" s="42"/>
      <c r="J1516" s="42"/>
      <c r="K1516" s="43"/>
      <c r="L1516" s="43"/>
      <c r="M1516" s="44" t="str">
        <f>IF(LayTable[[#This Row],[Sport]]="","",LayTable[[#This Row],[LayInnsats]]*(LayTable[[#This Row],[LayOdds]]-1))</f>
        <v/>
      </c>
      <c r="N1516" s="45" t="str">
        <f>IF(LayTable[[#This Row],[Sport]]="","",1/((1/LayTable[[#This Row],[BookieOdds]])+(1/((1/((1+((LayTable[[#This Row],[LayOdds]]-1)*(1+LayTable[[#This Row],[C% Lay]])))-1))+1)))-1)</f>
        <v/>
      </c>
      <c r="Q1516" s="46" t="str">
        <f>IF(LayTable[[#This Row],[Sport]]="","",LayTable[[#This Row],[BookieInnsats]]+LayTable[[#This Row],[LayLiability]])</f>
        <v/>
      </c>
      <c r="R15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6" s="47" t="str">
        <f>IF(LayTable[[#This Row],[Utfall bookie]]="","",LayTable[[#This Row],[WBABack]]+LayTable[[#This Row],[WBALay]]-LayTable[[#This Row],[Total inns]])</f>
        <v/>
      </c>
      <c r="U15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6" s="48" t="str">
        <f>IFERROR(IF(LayTable[[#This Row],[Total inns]]="","",LayTable[[#This Row],[Rback]]/LayTable[[#This Row],[Total inns]]),"")</f>
        <v/>
      </c>
      <c r="X1516" s="48" t="str">
        <f>IFERROR(IF(LayTable[[#This Row],[Total inns]]="","",LayTable[[#This Row],[Rlay]]/LayTable[[#This Row],[Total inns]]),"")</f>
        <v/>
      </c>
      <c r="Y1516" s="48" t="str">
        <f>IFERROR(LayTable[[#This Row],[Faktisk res]]/LayTable[[#This Row],[Total inns]],"")</f>
        <v/>
      </c>
      <c r="Z1516" s="47">
        <f>(LayTable[[#This Row],[BookieInnsats]]*LayTable[[#This Row],[BookieOdds]]-LayTable[[#This Row],[BookieInnsats]])*(1-LayTable[[#This Row],[C% Bookie]])</f>
        <v>0</v>
      </c>
      <c r="AA1516" s="43">
        <f>LayTable[[#This Row],[LayInnsats]]*(1-LayTable[[#This Row],[C% Lay]])</f>
        <v>0</v>
      </c>
      <c r="AB1516" s="43" t="str">
        <f>IFERROR(IF(LayTable[[#This Row],[Sport]]="",AB1515,LayTable[[#This Row],[Faktisk res]]+AB1515),"")</f>
        <v/>
      </c>
      <c r="AC1516" s="43">
        <f>(LayTable[[#This Row],[BackWin-Commission]]+LayTable[[#This Row],[BookieInnsats]])</f>
        <v>0</v>
      </c>
      <c r="AD1516" s="43" t="e">
        <f>(LayTable[[#This Row],[LayWin-Commission]])+LayTable[[#This Row],[LayLiability]]</f>
        <v>#VALUE!</v>
      </c>
      <c r="AE1516" s="43"/>
      <c r="AF1516" s="181"/>
    </row>
    <row r="1517" spans="1:32">
      <c r="A1517" s="84"/>
      <c r="B1517" s="39"/>
      <c r="C1517" s="40"/>
      <c r="D1517" s="41"/>
      <c r="E1517" s="40"/>
      <c r="F1517" s="41"/>
      <c r="G1517" s="101"/>
      <c r="H1517" s="38"/>
      <c r="I1517" s="42"/>
      <c r="J1517" s="42"/>
      <c r="K1517" s="43"/>
      <c r="L1517" s="43"/>
      <c r="M1517" s="44" t="str">
        <f>IF(LayTable[[#This Row],[Sport]]="","",LayTable[[#This Row],[LayInnsats]]*(LayTable[[#This Row],[LayOdds]]-1))</f>
        <v/>
      </c>
      <c r="N1517" s="45" t="str">
        <f>IF(LayTable[[#This Row],[Sport]]="","",1/((1/LayTable[[#This Row],[BookieOdds]])+(1/((1/((1+((LayTable[[#This Row],[LayOdds]]-1)*(1+LayTable[[#This Row],[C% Lay]])))-1))+1)))-1)</f>
        <v/>
      </c>
      <c r="Q1517" s="46" t="str">
        <f>IF(LayTable[[#This Row],[Sport]]="","",LayTable[[#This Row],[BookieInnsats]]+LayTable[[#This Row],[LayLiability]])</f>
        <v/>
      </c>
      <c r="R15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7" s="47" t="str">
        <f>IF(LayTable[[#This Row],[Utfall bookie]]="","",LayTable[[#This Row],[WBABack]]+LayTable[[#This Row],[WBALay]]-LayTable[[#This Row],[Total inns]])</f>
        <v/>
      </c>
      <c r="U15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7" s="48" t="str">
        <f>IFERROR(IF(LayTable[[#This Row],[Total inns]]="","",LayTable[[#This Row],[Rback]]/LayTable[[#This Row],[Total inns]]),"")</f>
        <v/>
      </c>
      <c r="X1517" s="48" t="str">
        <f>IFERROR(IF(LayTable[[#This Row],[Total inns]]="","",LayTable[[#This Row],[Rlay]]/LayTable[[#This Row],[Total inns]]),"")</f>
        <v/>
      </c>
      <c r="Y1517" s="48" t="str">
        <f>IFERROR(LayTable[[#This Row],[Faktisk res]]/LayTable[[#This Row],[Total inns]],"")</f>
        <v/>
      </c>
      <c r="Z1517" s="47">
        <f>(LayTable[[#This Row],[BookieInnsats]]*LayTable[[#This Row],[BookieOdds]]-LayTable[[#This Row],[BookieInnsats]])*(1-LayTable[[#This Row],[C% Bookie]])</f>
        <v>0</v>
      </c>
      <c r="AA1517" s="43">
        <f>LayTable[[#This Row],[LayInnsats]]*(1-LayTable[[#This Row],[C% Lay]])</f>
        <v>0</v>
      </c>
      <c r="AB1517" s="43" t="str">
        <f>IFERROR(IF(LayTable[[#This Row],[Sport]]="",AB1516,LayTable[[#This Row],[Faktisk res]]+AB1516),"")</f>
        <v/>
      </c>
      <c r="AC1517" s="43">
        <f>(LayTable[[#This Row],[BackWin-Commission]]+LayTable[[#This Row],[BookieInnsats]])</f>
        <v>0</v>
      </c>
      <c r="AD1517" s="43" t="e">
        <f>(LayTable[[#This Row],[LayWin-Commission]])+LayTable[[#This Row],[LayLiability]]</f>
        <v>#VALUE!</v>
      </c>
      <c r="AE1517" s="43"/>
      <c r="AF1517" s="181"/>
    </row>
    <row r="1518" spans="1:32">
      <c r="A1518" s="84"/>
      <c r="B1518" s="39"/>
      <c r="C1518" s="40"/>
      <c r="D1518" s="41"/>
      <c r="E1518" s="40"/>
      <c r="F1518" s="41"/>
      <c r="G1518" s="101"/>
      <c r="H1518" s="38"/>
      <c r="I1518" s="42"/>
      <c r="J1518" s="42"/>
      <c r="K1518" s="43"/>
      <c r="L1518" s="43"/>
      <c r="M1518" s="44" t="str">
        <f>IF(LayTable[[#This Row],[Sport]]="","",LayTable[[#This Row],[LayInnsats]]*(LayTable[[#This Row],[LayOdds]]-1))</f>
        <v/>
      </c>
      <c r="N1518" s="45" t="str">
        <f>IF(LayTable[[#This Row],[Sport]]="","",1/((1/LayTable[[#This Row],[BookieOdds]])+(1/((1/((1+((LayTable[[#This Row],[LayOdds]]-1)*(1+LayTable[[#This Row],[C% Lay]])))-1))+1)))-1)</f>
        <v/>
      </c>
      <c r="Q1518" s="46" t="str">
        <f>IF(LayTable[[#This Row],[Sport]]="","",LayTable[[#This Row],[BookieInnsats]]+LayTable[[#This Row],[LayLiability]])</f>
        <v/>
      </c>
      <c r="R15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8" s="47" t="str">
        <f>IF(LayTable[[#This Row],[Utfall bookie]]="","",LayTable[[#This Row],[WBABack]]+LayTable[[#This Row],[WBALay]]-LayTable[[#This Row],[Total inns]])</f>
        <v/>
      </c>
      <c r="U15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8" s="48" t="str">
        <f>IFERROR(IF(LayTable[[#This Row],[Total inns]]="","",LayTable[[#This Row],[Rback]]/LayTable[[#This Row],[Total inns]]),"")</f>
        <v/>
      </c>
      <c r="X1518" s="48" t="str">
        <f>IFERROR(IF(LayTable[[#This Row],[Total inns]]="","",LayTable[[#This Row],[Rlay]]/LayTable[[#This Row],[Total inns]]),"")</f>
        <v/>
      </c>
      <c r="Y1518" s="48" t="str">
        <f>IFERROR(LayTable[[#This Row],[Faktisk res]]/LayTable[[#This Row],[Total inns]],"")</f>
        <v/>
      </c>
      <c r="Z1518" s="47">
        <f>(LayTable[[#This Row],[BookieInnsats]]*LayTable[[#This Row],[BookieOdds]]-LayTable[[#This Row],[BookieInnsats]])*(1-LayTable[[#This Row],[C% Bookie]])</f>
        <v>0</v>
      </c>
      <c r="AA1518" s="43">
        <f>LayTable[[#This Row],[LayInnsats]]*(1-LayTable[[#This Row],[C% Lay]])</f>
        <v>0</v>
      </c>
      <c r="AB1518" s="43" t="str">
        <f>IFERROR(IF(LayTable[[#This Row],[Sport]]="",AB1517,LayTable[[#This Row],[Faktisk res]]+AB1517),"")</f>
        <v/>
      </c>
      <c r="AC1518" s="43">
        <f>(LayTable[[#This Row],[BackWin-Commission]]+LayTable[[#This Row],[BookieInnsats]])</f>
        <v>0</v>
      </c>
      <c r="AD1518" s="43" t="e">
        <f>(LayTable[[#This Row],[LayWin-Commission]])+LayTable[[#This Row],[LayLiability]]</f>
        <v>#VALUE!</v>
      </c>
      <c r="AE1518" s="43"/>
      <c r="AF1518" s="181"/>
    </row>
    <row r="1519" spans="1:32">
      <c r="A1519" s="84"/>
      <c r="B1519" s="39"/>
      <c r="C1519" s="40"/>
      <c r="D1519" s="41"/>
      <c r="E1519" s="40"/>
      <c r="F1519" s="41"/>
      <c r="G1519" s="101"/>
      <c r="H1519" s="38"/>
      <c r="I1519" s="42"/>
      <c r="J1519" s="42"/>
      <c r="K1519" s="43"/>
      <c r="L1519" s="43"/>
      <c r="M1519" s="44" t="str">
        <f>IF(LayTable[[#This Row],[Sport]]="","",LayTable[[#This Row],[LayInnsats]]*(LayTable[[#This Row],[LayOdds]]-1))</f>
        <v/>
      </c>
      <c r="N1519" s="45" t="str">
        <f>IF(LayTable[[#This Row],[Sport]]="","",1/((1/LayTable[[#This Row],[BookieOdds]])+(1/((1/((1+((LayTable[[#This Row],[LayOdds]]-1)*(1+LayTable[[#This Row],[C% Lay]])))-1))+1)))-1)</f>
        <v/>
      </c>
      <c r="Q1519" s="46" t="str">
        <f>IF(LayTable[[#This Row],[Sport]]="","",LayTable[[#This Row],[BookieInnsats]]+LayTable[[#This Row],[LayLiability]])</f>
        <v/>
      </c>
      <c r="R15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19" s="47" t="str">
        <f>IF(LayTable[[#This Row],[Utfall bookie]]="","",LayTable[[#This Row],[WBABack]]+LayTable[[#This Row],[WBALay]]-LayTable[[#This Row],[Total inns]])</f>
        <v/>
      </c>
      <c r="U15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19" s="48" t="str">
        <f>IFERROR(IF(LayTable[[#This Row],[Total inns]]="","",LayTable[[#This Row],[Rback]]/LayTable[[#This Row],[Total inns]]),"")</f>
        <v/>
      </c>
      <c r="X1519" s="48" t="str">
        <f>IFERROR(IF(LayTable[[#This Row],[Total inns]]="","",LayTable[[#This Row],[Rlay]]/LayTable[[#This Row],[Total inns]]),"")</f>
        <v/>
      </c>
      <c r="Y1519" s="48" t="str">
        <f>IFERROR(LayTable[[#This Row],[Faktisk res]]/LayTable[[#This Row],[Total inns]],"")</f>
        <v/>
      </c>
      <c r="Z1519" s="47">
        <f>(LayTable[[#This Row],[BookieInnsats]]*LayTable[[#This Row],[BookieOdds]]-LayTable[[#This Row],[BookieInnsats]])*(1-LayTable[[#This Row],[C% Bookie]])</f>
        <v>0</v>
      </c>
      <c r="AA1519" s="43">
        <f>LayTable[[#This Row],[LayInnsats]]*(1-LayTable[[#This Row],[C% Lay]])</f>
        <v>0</v>
      </c>
      <c r="AB1519" s="43" t="str">
        <f>IFERROR(IF(LayTable[[#This Row],[Sport]]="",AB1518,LayTable[[#This Row],[Faktisk res]]+AB1518),"")</f>
        <v/>
      </c>
      <c r="AC1519" s="43">
        <f>(LayTable[[#This Row],[BackWin-Commission]]+LayTable[[#This Row],[BookieInnsats]])</f>
        <v>0</v>
      </c>
      <c r="AD1519" s="43" t="e">
        <f>(LayTable[[#This Row],[LayWin-Commission]])+LayTable[[#This Row],[LayLiability]]</f>
        <v>#VALUE!</v>
      </c>
      <c r="AE1519" s="43"/>
      <c r="AF1519" s="181"/>
    </row>
    <row r="1520" spans="1:32">
      <c r="A1520" s="84"/>
      <c r="B1520" s="39"/>
      <c r="C1520" s="40"/>
      <c r="D1520" s="41"/>
      <c r="E1520" s="40"/>
      <c r="F1520" s="41"/>
      <c r="G1520" s="101"/>
      <c r="H1520" s="38"/>
      <c r="I1520" s="42"/>
      <c r="J1520" s="42"/>
      <c r="K1520" s="43"/>
      <c r="L1520" s="43"/>
      <c r="M1520" s="44" t="str">
        <f>IF(LayTable[[#This Row],[Sport]]="","",LayTable[[#This Row],[LayInnsats]]*(LayTable[[#This Row],[LayOdds]]-1))</f>
        <v/>
      </c>
      <c r="N1520" s="45" t="str">
        <f>IF(LayTable[[#This Row],[Sport]]="","",1/((1/LayTable[[#This Row],[BookieOdds]])+(1/((1/((1+((LayTable[[#This Row],[LayOdds]]-1)*(1+LayTable[[#This Row],[C% Lay]])))-1))+1)))-1)</f>
        <v/>
      </c>
      <c r="Q1520" s="46" t="str">
        <f>IF(LayTable[[#This Row],[Sport]]="","",LayTable[[#This Row],[BookieInnsats]]+LayTable[[#This Row],[LayLiability]])</f>
        <v/>
      </c>
      <c r="R15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0" s="47" t="str">
        <f>IF(LayTable[[#This Row],[Utfall bookie]]="","",LayTable[[#This Row],[WBABack]]+LayTable[[#This Row],[WBALay]]-LayTable[[#This Row],[Total inns]])</f>
        <v/>
      </c>
      <c r="U15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0" s="48" t="str">
        <f>IFERROR(IF(LayTable[[#This Row],[Total inns]]="","",LayTable[[#This Row],[Rback]]/LayTable[[#This Row],[Total inns]]),"")</f>
        <v/>
      </c>
      <c r="X1520" s="48" t="str">
        <f>IFERROR(IF(LayTable[[#This Row],[Total inns]]="","",LayTable[[#This Row],[Rlay]]/LayTable[[#This Row],[Total inns]]),"")</f>
        <v/>
      </c>
      <c r="Y1520" s="48" t="str">
        <f>IFERROR(LayTable[[#This Row],[Faktisk res]]/LayTable[[#This Row],[Total inns]],"")</f>
        <v/>
      </c>
      <c r="Z1520" s="47">
        <f>(LayTable[[#This Row],[BookieInnsats]]*LayTable[[#This Row],[BookieOdds]]-LayTable[[#This Row],[BookieInnsats]])*(1-LayTable[[#This Row],[C% Bookie]])</f>
        <v>0</v>
      </c>
      <c r="AA1520" s="43">
        <f>LayTable[[#This Row],[LayInnsats]]*(1-LayTable[[#This Row],[C% Lay]])</f>
        <v>0</v>
      </c>
      <c r="AB1520" s="43" t="str">
        <f>IFERROR(IF(LayTable[[#This Row],[Sport]]="",AB1519,LayTable[[#This Row],[Faktisk res]]+AB1519),"")</f>
        <v/>
      </c>
      <c r="AC1520" s="43">
        <f>(LayTable[[#This Row],[BackWin-Commission]]+LayTable[[#This Row],[BookieInnsats]])</f>
        <v>0</v>
      </c>
      <c r="AD1520" s="43" t="e">
        <f>(LayTable[[#This Row],[LayWin-Commission]])+LayTable[[#This Row],[LayLiability]]</f>
        <v>#VALUE!</v>
      </c>
      <c r="AE1520" s="43"/>
      <c r="AF1520" s="181"/>
    </row>
    <row r="1521" spans="1:32">
      <c r="A1521" s="84"/>
      <c r="B1521" s="39"/>
      <c r="C1521" s="40"/>
      <c r="D1521" s="41"/>
      <c r="E1521" s="40"/>
      <c r="F1521" s="41"/>
      <c r="G1521" s="101"/>
      <c r="H1521" s="38"/>
      <c r="I1521" s="42"/>
      <c r="J1521" s="42"/>
      <c r="K1521" s="43"/>
      <c r="L1521" s="43"/>
      <c r="M1521" s="44" t="str">
        <f>IF(LayTable[[#This Row],[Sport]]="","",LayTable[[#This Row],[LayInnsats]]*(LayTable[[#This Row],[LayOdds]]-1))</f>
        <v/>
      </c>
      <c r="N1521" s="45" t="str">
        <f>IF(LayTable[[#This Row],[Sport]]="","",1/((1/LayTable[[#This Row],[BookieOdds]])+(1/((1/((1+((LayTable[[#This Row],[LayOdds]]-1)*(1+LayTable[[#This Row],[C% Lay]])))-1))+1)))-1)</f>
        <v/>
      </c>
      <c r="Q1521" s="46" t="str">
        <f>IF(LayTable[[#This Row],[Sport]]="","",LayTable[[#This Row],[BookieInnsats]]+LayTable[[#This Row],[LayLiability]])</f>
        <v/>
      </c>
      <c r="R15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1" s="47" t="str">
        <f>IF(LayTable[[#This Row],[Utfall bookie]]="","",LayTable[[#This Row],[WBABack]]+LayTable[[#This Row],[WBALay]]-LayTable[[#This Row],[Total inns]])</f>
        <v/>
      </c>
      <c r="U15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1" s="48" t="str">
        <f>IFERROR(IF(LayTable[[#This Row],[Total inns]]="","",LayTable[[#This Row],[Rback]]/LayTable[[#This Row],[Total inns]]),"")</f>
        <v/>
      </c>
      <c r="X1521" s="48" t="str">
        <f>IFERROR(IF(LayTable[[#This Row],[Total inns]]="","",LayTable[[#This Row],[Rlay]]/LayTable[[#This Row],[Total inns]]),"")</f>
        <v/>
      </c>
      <c r="Y1521" s="48" t="str">
        <f>IFERROR(LayTable[[#This Row],[Faktisk res]]/LayTable[[#This Row],[Total inns]],"")</f>
        <v/>
      </c>
      <c r="Z1521" s="47">
        <f>(LayTable[[#This Row],[BookieInnsats]]*LayTable[[#This Row],[BookieOdds]]-LayTable[[#This Row],[BookieInnsats]])*(1-LayTable[[#This Row],[C% Bookie]])</f>
        <v>0</v>
      </c>
      <c r="AA1521" s="43">
        <f>LayTable[[#This Row],[LayInnsats]]*(1-LayTable[[#This Row],[C% Lay]])</f>
        <v>0</v>
      </c>
      <c r="AB1521" s="43" t="str">
        <f>IFERROR(IF(LayTable[[#This Row],[Sport]]="",AB1520,LayTable[[#This Row],[Faktisk res]]+AB1520),"")</f>
        <v/>
      </c>
      <c r="AC1521" s="43">
        <f>(LayTable[[#This Row],[BackWin-Commission]]+LayTable[[#This Row],[BookieInnsats]])</f>
        <v>0</v>
      </c>
      <c r="AD1521" s="43" t="e">
        <f>(LayTable[[#This Row],[LayWin-Commission]])+LayTable[[#This Row],[LayLiability]]</f>
        <v>#VALUE!</v>
      </c>
      <c r="AE1521" s="43"/>
      <c r="AF1521" s="181"/>
    </row>
    <row r="1522" spans="1:32">
      <c r="A1522" s="84"/>
      <c r="B1522" s="39"/>
      <c r="C1522" s="40"/>
      <c r="D1522" s="41"/>
      <c r="E1522" s="40"/>
      <c r="F1522" s="41"/>
      <c r="G1522" s="101"/>
      <c r="H1522" s="38"/>
      <c r="I1522" s="42"/>
      <c r="J1522" s="42"/>
      <c r="K1522" s="43"/>
      <c r="L1522" s="43"/>
      <c r="M1522" s="44" t="str">
        <f>IF(LayTable[[#This Row],[Sport]]="","",LayTable[[#This Row],[LayInnsats]]*(LayTable[[#This Row],[LayOdds]]-1))</f>
        <v/>
      </c>
      <c r="N1522" s="45" t="str">
        <f>IF(LayTable[[#This Row],[Sport]]="","",1/((1/LayTable[[#This Row],[BookieOdds]])+(1/((1/((1+((LayTable[[#This Row],[LayOdds]]-1)*(1+LayTable[[#This Row],[C% Lay]])))-1))+1)))-1)</f>
        <v/>
      </c>
      <c r="Q1522" s="46" t="str">
        <f>IF(LayTable[[#This Row],[Sport]]="","",LayTable[[#This Row],[BookieInnsats]]+LayTable[[#This Row],[LayLiability]])</f>
        <v/>
      </c>
      <c r="R15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2" s="47" t="str">
        <f>IF(LayTable[[#This Row],[Utfall bookie]]="","",LayTable[[#This Row],[WBABack]]+LayTable[[#This Row],[WBALay]]-LayTable[[#This Row],[Total inns]])</f>
        <v/>
      </c>
      <c r="U15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2" s="48" t="str">
        <f>IFERROR(IF(LayTable[[#This Row],[Total inns]]="","",LayTable[[#This Row],[Rback]]/LayTable[[#This Row],[Total inns]]),"")</f>
        <v/>
      </c>
      <c r="X1522" s="48" t="str">
        <f>IFERROR(IF(LayTable[[#This Row],[Total inns]]="","",LayTable[[#This Row],[Rlay]]/LayTable[[#This Row],[Total inns]]),"")</f>
        <v/>
      </c>
      <c r="Y1522" s="48" t="str">
        <f>IFERROR(LayTable[[#This Row],[Faktisk res]]/LayTable[[#This Row],[Total inns]],"")</f>
        <v/>
      </c>
      <c r="Z1522" s="47">
        <f>(LayTable[[#This Row],[BookieInnsats]]*LayTable[[#This Row],[BookieOdds]]-LayTable[[#This Row],[BookieInnsats]])*(1-LayTable[[#This Row],[C% Bookie]])</f>
        <v>0</v>
      </c>
      <c r="AA1522" s="43">
        <f>LayTable[[#This Row],[LayInnsats]]*(1-LayTable[[#This Row],[C% Lay]])</f>
        <v>0</v>
      </c>
      <c r="AB1522" s="43" t="str">
        <f>IFERROR(IF(LayTable[[#This Row],[Sport]]="",AB1521,LayTable[[#This Row],[Faktisk res]]+AB1521),"")</f>
        <v/>
      </c>
      <c r="AC1522" s="43">
        <f>(LayTable[[#This Row],[BackWin-Commission]]+LayTable[[#This Row],[BookieInnsats]])</f>
        <v>0</v>
      </c>
      <c r="AD1522" s="43" t="e">
        <f>(LayTable[[#This Row],[LayWin-Commission]])+LayTable[[#This Row],[LayLiability]]</f>
        <v>#VALUE!</v>
      </c>
      <c r="AE1522" s="43"/>
      <c r="AF1522" s="181"/>
    </row>
    <row r="1523" spans="1:32">
      <c r="A1523" s="84"/>
      <c r="B1523" s="39"/>
      <c r="C1523" s="40"/>
      <c r="D1523" s="41"/>
      <c r="E1523" s="40"/>
      <c r="F1523" s="41"/>
      <c r="G1523" s="101"/>
      <c r="H1523" s="38"/>
      <c r="I1523" s="42"/>
      <c r="J1523" s="42"/>
      <c r="K1523" s="43"/>
      <c r="L1523" s="43"/>
      <c r="M1523" s="44" t="str">
        <f>IF(LayTable[[#This Row],[Sport]]="","",LayTable[[#This Row],[LayInnsats]]*(LayTable[[#This Row],[LayOdds]]-1))</f>
        <v/>
      </c>
      <c r="N1523" s="45" t="str">
        <f>IF(LayTable[[#This Row],[Sport]]="","",1/((1/LayTable[[#This Row],[BookieOdds]])+(1/((1/((1+((LayTable[[#This Row],[LayOdds]]-1)*(1+LayTable[[#This Row],[C% Lay]])))-1))+1)))-1)</f>
        <v/>
      </c>
      <c r="Q1523" s="46" t="str">
        <f>IF(LayTable[[#This Row],[Sport]]="","",LayTable[[#This Row],[BookieInnsats]]+LayTable[[#This Row],[LayLiability]])</f>
        <v/>
      </c>
      <c r="R15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3" s="47" t="str">
        <f>IF(LayTable[[#This Row],[Utfall bookie]]="","",LayTable[[#This Row],[WBABack]]+LayTable[[#This Row],[WBALay]]-LayTable[[#This Row],[Total inns]])</f>
        <v/>
      </c>
      <c r="U15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3" s="48" t="str">
        <f>IFERROR(IF(LayTable[[#This Row],[Total inns]]="","",LayTable[[#This Row],[Rback]]/LayTable[[#This Row],[Total inns]]),"")</f>
        <v/>
      </c>
      <c r="X1523" s="48" t="str">
        <f>IFERROR(IF(LayTable[[#This Row],[Total inns]]="","",LayTable[[#This Row],[Rlay]]/LayTable[[#This Row],[Total inns]]),"")</f>
        <v/>
      </c>
      <c r="Y1523" s="48" t="str">
        <f>IFERROR(LayTable[[#This Row],[Faktisk res]]/LayTable[[#This Row],[Total inns]],"")</f>
        <v/>
      </c>
      <c r="Z1523" s="47">
        <f>(LayTable[[#This Row],[BookieInnsats]]*LayTable[[#This Row],[BookieOdds]]-LayTable[[#This Row],[BookieInnsats]])*(1-LayTable[[#This Row],[C% Bookie]])</f>
        <v>0</v>
      </c>
      <c r="AA1523" s="43">
        <f>LayTable[[#This Row],[LayInnsats]]*(1-LayTable[[#This Row],[C% Lay]])</f>
        <v>0</v>
      </c>
      <c r="AB1523" s="43" t="str">
        <f>IFERROR(IF(LayTable[[#This Row],[Sport]]="",AB1522,LayTable[[#This Row],[Faktisk res]]+AB1522),"")</f>
        <v/>
      </c>
      <c r="AC1523" s="43">
        <f>(LayTable[[#This Row],[BackWin-Commission]]+LayTable[[#This Row],[BookieInnsats]])</f>
        <v>0</v>
      </c>
      <c r="AD1523" s="43" t="e">
        <f>(LayTable[[#This Row],[LayWin-Commission]])+LayTable[[#This Row],[LayLiability]]</f>
        <v>#VALUE!</v>
      </c>
      <c r="AE1523" s="43"/>
      <c r="AF1523" s="181"/>
    </row>
    <row r="1524" spans="1:32">
      <c r="A1524" s="84"/>
      <c r="B1524" s="39"/>
      <c r="C1524" s="40"/>
      <c r="D1524" s="41"/>
      <c r="E1524" s="40"/>
      <c r="F1524" s="41"/>
      <c r="G1524" s="101"/>
      <c r="H1524" s="38"/>
      <c r="I1524" s="42"/>
      <c r="J1524" s="42"/>
      <c r="K1524" s="43"/>
      <c r="L1524" s="43"/>
      <c r="M1524" s="44" t="str">
        <f>IF(LayTable[[#This Row],[Sport]]="","",LayTable[[#This Row],[LayInnsats]]*(LayTable[[#This Row],[LayOdds]]-1))</f>
        <v/>
      </c>
      <c r="N1524" s="45" t="str">
        <f>IF(LayTable[[#This Row],[Sport]]="","",1/((1/LayTable[[#This Row],[BookieOdds]])+(1/((1/((1+((LayTable[[#This Row],[LayOdds]]-1)*(1+LayTable[[#This Row],[C% Lay]])))-1))+1)))-1)</f>
        <v/>
      </c>
      <c r="Q1524" s="46" t="str">
        <f>IF(LayTable[[#This Row],[Sport]]="","",LayTable[[#This Row],[BookieInnsats]]+LayTable[[#This Row],[LayLiability]])</f>
        <v/>
      </c>
      <c r="R15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4" s="47" t="str">
        <f>IF(LayTable[[#This Row],[Utfall bookie]]="","",LayTable[[#This Row],[WBABack]]+LayTable[[#This Row],[WBALay]]-LayTable[[#This Row],[Total inns]])</f>
        <v/>
      </c>
      <c r="U15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4" s="48" t="str">
        <f>IFERROR(IF(LayTable[[#This Row],[Total inns]]="","",LayTable[[#This Row],[Rback]]/LayTable[[#This Row],[Total inns]]),"")</f>
        <v/>
      </c>
      <c r="X1524" s="48" t="str">
        <f>IFERROR(IF(LayTable[[#This Row],[Total inns]]="","",LayTable[[#This Row],[Rlay]]/LayTable[[#This Row],[Total inns]]),"")</f>
        <v/>
      </c>
      <c r="Y1524" s="48" t="str">
        <f>IFERROR(LayTable[[#This Row],[Faktisk res]]/LayTable[[#This Row],[Total inns]],"")</f>
        <v/>
      </c>
      <c r="Z1524" s="47">
        <f>(LayTable[[#This Row],[BookieInnsats]]*LayTable[[#This Row],[BookieOdds]]-LayTable[[#This Row],[BookieInnsats]])*(1-LayTable[[#This Row],[C% Bookie]])</f>
        <v>0</v>
      </c>
      <c r="AA1524" s="43">
        <f>LayTable[[#This Row],[LayInnsats]]*(1-LayTable[[#This Row],[C% Lay]])</f>
        <v>0</v>
      </c>
      <c r="AB1524" s="43" t="str">
        <f>IFERROR(IF(LayTable[[#This Row],[Sport]]="",AB1523,LayTable[[#This Row],[Faktisk res]]+AB1523),"")</f>
        <v/>
      </c>
      <c r="AC1524" s="43">
        <f>(LayTable[[#This Row],[BackWin-Commission]]+LayTable[[#This Row],[BookieInnsats]])</f>
        <v>0</v>
      </c>
      <c r="AD1524" s="43" t="e">
        <f>(LayTable[[#This Row],[LayWin-Commission]])+LayTable[[#This Row],[LayLiability]]</f>
        <v>#VALUE!</v>
      </c>
      <c r="AE1524" s="43"/>
      <c r="AF1524" s="181"/>
    </row>
    <row r="1525" spans="1:32">
      <c r="A1525" s="84"/>
      <c r="B1525" s="39"/>
      <c r="C1525" s="40"/>
      <c r="D1525" s="41"/>
      <c r="E1525" s="40"/>
      <c r="F1525" s="41"/>
      <c r="G1525" s="101"/>
      <c r="H1525" s="38"/>
      <c r="I1525" s="42"/>
      <c r="J1525" s="42"/>
      <c r="K1525" s="43"/>
      <c r="L1525" s="43"/>
      <c r="M1525" s="44" t="str">
        <f>IF(LayTable[[#This Row],[Sport]]="","",LayTable[[#This Row],[LayInnsats]]*(LayTable[[#This Row],[LayOdds]]-1))</f>
        <v/>
      </c>
      <c r="N1525" s="45" t="str">
        <f>IF(LayTable[[#This Row],[Sport]]="","",1/((1/LayTable[[#This Row],[BookieOdds]])+(1/((1/((1+((LayTable[[#This Row],[LayOdds]]-1)*(1+LayTable[[#This Row],[C% Lay]])))-1))+1)))-1)</f>
        <v/>
      </c>
      <c r="Q1525" s="46" t="str">
        <f>IF(LayTable[[#This Row],[Sport]]="","",LayTable[[#This Row],[BookieInnsats]]+LayTable[[#This Row],[LayLiability]])</f>
        <v/>
      </c>
      <c r="R15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5" s="47" t="str">
        <f>IF(LayTable[[#This Row],[Utfall bookie]]="","",LayTable[[#This Row],[WBABack]]+LayTable[[#This Row],[WBALay]]-LayTable[[#This Row],[Total inns]])</f>
        <v/>
      </c>
      <c r="U15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5" s="48" t="str">
        <f>IFERROR(IF(LayTable[[#This Row],[Total inns]]="","",LayTable[[#This Row],[Rback]]/LayTable[[#This Row],[Total inns]]),"")</f>
        <v/>
      </c>
      <c r="X1525" s="48" t="str">
        <f>IFERROR(IF(LayTable[[#This Row],[Total inns]]="","",LayTable[[#This Row],[Rlay]]/LayTable[[#This Row],[Total inns]]),"")</f>
        <v/>
      </c>
      <c r="Y1525" s="48" t="str">
        <f>IFERROR(LayTable[[#This Row],[Faktisk res]]/LayTable[[#This Row],[Total inns]],"")</f>
        <v/>
      </c>
      <c r="Z1525" s="47">
        <f>(LayTable[[#This Row],[BookieInnsats]]*LayTable[[#This Row],[BookieOdds]]-LayTable[[#This Row],[BookieInnsats]])*(1-LayTable[[#This Row],[C% Bookie]])</f>
        <v>0</v>
      </c>
      <c r="AA1525" s="43">
        <f>LayTable[[#This Row],[LayInnsats]]*(1-LayTable[[#This Row],[C% Lay]])</f>
        <v>0</v>
      </c>
      <c r="AB1525" s="43" t="str">
        <f>IFERROR(IF(LayTable[[#This Row],[Sport]]="",AB1524,LayTable[[#This Row],[Faktisk res]]+AB1524),"")</f>
        <v/>
      </c>
      <c r="AC1525" s="43">
        <f>(LayTable[[#This Row],[BackWin-Commission]]+LayTable[[#This Row],[BookieInnsats]])</f>
        <v>0</v>
      </c>
      <c r="AD1525" s="43" t="e">
        <f>(LayTable[[#This Row],[LayWin-Commission]])+LayTable[[#This Row],[LayLiability]]</f>
        <v>#VALUE!</v>
      </c>
      <c r="AE1525" s="43"/>
      <c r="AF1525" s="181"/>
    </row>
    <row r="1526" spans="1:32">
      <c r="A1526" s="84"/>
      <c r="B1526" s="39"/>
      <c r="C1526" s="40"/>
      <c r="D1526" s="41"/>
      <c r="E1526" s="40"/>
      <c r="F1526" s="41"/>
      <c r="G1526" s="101"/>
      <c r="H1526" s="38"/>
      <c r="I1526" s="42"/>
      <c r="J1526" s="42"/>
      <c r="K1526" s="43"/>
      <c r="L1526" s="43"/>
      <c r="M1526" s="44" t="str">
        <f>IF(LayTable[[#This Row],[Sport]]="","",LayTable[[#This Row],[LayInnsats]]*(LayTable[[#This Row],[LayOdds]]-1))</f>
        <v/>
      </c>
      <c r="N1526" s="45" t="str">
        <f>IF(LayTable[[#This Row],[Sport]]="","",1/((1/LayTable[[#This Row],[BookieOdds]])+(1/((1/((1+((LayTable[[#This Row],[LayOdds]]-1)*(1+LayTable[[#This Row],[C% Lay]])))-1))+1)))-1)</f>
        <v/>
      </c>
      <c r="Q1526" s="46" t="str">
        <f>IF(LayTable[[#This Row],[Sport]]="","",LayTable[[#This Row],[BookieInnsats]]+LayTable[[#This Row],[LayLiability]])</f>
        <v/>
      </c>
      <c r="R15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6" s="47" t="str">
        <f>IF(LayTable[[#This Row],[Utfall bookie]]="","",LayTable[[#This Row],[WBABack]]+LayTable[[#This Row],[WBALay]]-LayTable[[#This Row],[Total inns]])</f>
        <v/>
      </c>
      <c r="U15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6" s="48" t="str">
        <f>IFERROR(IF(LayTable[[#This Row],[Total inns]]="","",LayTable[[#This Row],[Rback]]/LayTable[[#This Row],[Total inns]]),"")</f>
        <v/>
      </c>
      <c r="X1526" s="48" t="str">
        <f>IFERROR(IF(LayTable[[#This Row],[Total inns]]="","",LayTable[[#This Row],[Rlay]]/LayTable[[#This Row],[Total inns]]),"")</f>
        <v/>
      </c>
      <c r="Y1526" s="48" t="str">
        <f>IFERROR(LayTable[[#This Row],[Faktisk res]]/LayTable[[#This Row],[Total inns]],"")</f>
        <v/>
      </c>
      <c r="Z1526" s="47">
        <f>(LayTable[[#This Row],[BookieInnsats]]*LayTable[[#This Row],[BookieOdds]]-LayTable[[#This Row],[BookieInnsats]])*(1-LayTable[[#This Row],[C% Bookie]])</f>
        <v>0</v>
      </c>
      <c r="AA1526" s="43">
        <f>LayTable[[#This Row],[LayInnsats]]*(1-LayTable[[#This Row],[C% Lay]])</f>
        <v>0</v>
      </c>
      <c r="AB1526" s="43" t="str">
        <f>IFERROR(IF(LayTable[[#This Row],[Sport]]="",AB1525,LayTable[[#This Row],[Faktisk res]]+AB1525),"")</f>
        <v/>
      </c>
      <c r="AC1526" s="43">
        <f>(LayTable[[#This Row],[BackWin-Commission]]+LayTable[[#This Row],[BookieInnsats]])</f>
        <v>0</v>
      </c>
      <c r="AD1526" s="43" t="e">
        <f>(LayTable[[#This Row],[LayWin-Commission]])+LayTable[[#This Row],[LayLiability]]</f>
        <v>#VALUE!</v>
      </c>
      <c r="AE1526" s="43"/>
      <c r="AF1526" s="181"/>
    </row>
    <row r="1527" spans="1:32">
      <c r="A1527" s="84"/>
      <c r="B1527" s="39"/>
      <c r="C1527" s="40"/>
      <c r="D1527" s="41"/>
      <c r="E1527" s="40"/>
      <c r="F1527" s="41"/>
      <c r="G1527" s="101"/>
      <c r="H1527" s="38"/>
      <c r="I1527" s="42"/>
      <c r="J1527" s="42"/>
      <c r="K1527" s="43"/>
      <c r="L1527" s="43"/>
      <c r="M1527" s="44" t="str">
        <f>IF(LayTable[[#This Row],[Sport]]="","",LayTable[[#This Row],[LayInnsats]]*(LayTable[[#This Row],[LayOdds]]-1))</f>
        <v/>
      </c>
      <c r="N1527" s="45" t="str">
        <f>IF(LayTable[[#This Row],[Sport]]="","",1/((1/LayTable[[#This Row],[BookieOdds]])+(1/((1/((1+((LayTable[[#This Row],[LayOdds]]-1)*(1+LayTable[[#This Row],[C% Lay]])))-1))+1)))-1)</f>
        <v/>
      </c>
      <c r="Q1527" s="46" t="str">
        <f>IF(LayTable[[#This Row],[Sport]]="","",LayTable[[#This Row],[BookieInnsats]]+LayTable[[#This Row],[LayLiability]])</f>
        <v/>
      </c>
      <c r="R15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7" s="47" t="str">
        <f>IF(LayTable[[#This Row],[Utfall bookie]]="","",LayTable[[#This Row],[WBABack]]+LayTable[[#This Row],[WBALay]]-LayTable[[#This Row],[Total inns]])</f>
        <v/>
      </c>
      <c r="U15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7" s="48" t="str">
        <f>IFERROR(IF(LayTable[[#This Row],[Total inns]]="","",LayTable[[#This Row],[Rback]]/LayTable[[#This Row],[Total inns]]),"")</f>
        <v/>
      </c>
      <c r="X1527" s="48" t="str">
        <f>IFERROR(IF(LayTable[[#This Row],[Total inns]]="","",LayTable[[#This Row],[Rlay]]/LayTable[[#This Row],[Total inns]]),"")</f>
        <v/>
      </c>
      <c r="Y1527" s="48" t="str">
        <f>IFERROR(LayTable[[#This Row],[Faktisk res]]/LayTable[[#This Row],[Total inns]],"")</f>
        <v/>
      </c>
      <c r="Z1527" s="47">
        <f>(LayTable[[#This Row],[BookieInnsats]]*LayTable[[#This Row],[BookieOdds]]-LayTable[[#This Row],[BookieInnsats]])*(1-LayTable[[#This Row],[C% Bookie]])</f>
        <v>0</v>
      </c>
      <c r="AA1527" s="43">
        <f>LayTable[[#This Row],[LayInnsats]]*(1-LayTable[[#This Row],[C% Lay]])</f>
        <v>0</v>
      </c>
      <c r="AB1527" s="43" t="str">
        <f>IFERROR(IF(LayTable[[#This Row],[Sport]]="",AB1526,LayTable[[#This Row],[Faktisk res]]+AB1526),"")</f>
        <v/>
      </c>
      <c r="AC1527" s="43">
        <f>(LayTable[[#This Row],[BackWin-Commission]]+LayTable[[#This Row],[BookieInnsats]])</f>
        <v>0</v>
      </c>
      <c r="AD1527" s="43" t="e">
        <f>(LayTable[[#This Row],[LayWin-Commission]])+LayTable[[#This Row],[LayLiability]]</f>
        <v>#VALUE!</v>
      </c>
      <c r="AE1527" s="43"/>
      <c r="AF1527" s="181"/>
    </row>
    <row r="1528" spans="1:32">
      <c r="A1528" s="84"/>
      <c r="B1528" s="39"/>
      <c r="C1528" s="40"/>
      <c r="D1528" s="41"/>
      <c r="E1528" s="40"/>
      <c r="F1528" s="41"/>
      <c r="G1528" s="101"/>
      <c r="H1528" s="38"/>
      <c r="I1528" s="42"/>
      <c r="J1528" s="42"/>
      <c r="K1528" s="43"/>
      <c r="L1528" s="43"/>
      <c r="M1528" s="44" t="str">
        <f>IF(LayTable[[#This Row],[Sport]]="","",LayTable[[#This Row],[LayInnsats]]*(LayTable[[#This Row],[LayOdds]]-1))</f>
        <v/>
      </c>
      <c r="N1528" s="45" t="str">
        <f>IF(LayTable[[#This Row],[Sport]]="","",1/((1/LayTable[[#This Row],[BookieOdds]])+(1/((1/((1+((LayTable[[#This Row],[LayOdds]]-1)*(1+LayTable[[#This Row],[C% Lay]])))-1))+1)))-1)</f>
        <v/>
      </c>
      <c r="Q1528" s="46" t="str">
        <f>IF(LayTable[[#This Row],[Sport]]="","",LayTable[[#This Row],[BookieInnsats]]+LayTable[[#This Row],[LayLiability]])</f>
        <v/>
      </c>
      <c r="R15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8" s="47" t="str">
        <f>IF(LayTable[[#This Row],[Utfall bookie]]="","",LayTable[[#This Row],[WBABack]]+LayTable[[#This Row],[WBALay]]-LayTable[[#This Row],[Total inns]])</f>
        <v/>
      </c>
      <c r="U15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8" s="48" t="str">
        <f>IFERROR(IF(LayTable[[#This Row],[Total inns]]="","",LayTable[[#This Row],[Rback]]/LayTable[[#This Row],[Total inns]]),"")</f>
        <v/>
      </c>
      <c r="X1528" s="48" t="str">
        <f>IFERROR(IF(LayTable[[#This Row],[Total inns]]="","",LayTable[[#This Row],[Rlay]]/LayTable[[#This Row],[Total inns]]),"")</f>
        <v/>
      </c>
      <c r="Y1528" s="48" t="str">
        <f>IFERROR(LayTable[[#This Row],[Faktisk res]]/LayTable[[#This Row],[Total inns]],"")</f>
        <v/>
      </c>
      <c r="Z1528" s="47">
        <f>(LayTable[[#This Row],[BookieInnsats]]*LayTable[[#This Row],[BookieOdds]]-LayTable[[#This Row],[BookieInnsats]])*(1-LayTable[[#This Row],[C% Bookie]])</f>
        <v>0</v>
      </c>
      <c r="AA1528" s="43">
        <f>LayTable[[#This Row],[LayInnsats]]*(1-LayTable[[#This Row],[C% Lay]])</f>
        <v>0</v>
      </c>
      <c r="AB1528" s="43" t="str">
        <f>IFERROR(IF(LayTable[[#This Row],[Sport]]="",AB1527,LayTable[[#This Row],[Faktisk res]]+AB1527),"")</f>
        <v/>
      </c>
      <c r="AC1528" s="43">
        <f>(LayTable[[#This Row],[BackWin-Commission]]+LayTable[[#This Row],[BookieInnsats]])</f>
        <v>0</v>
      </c>
      <c r="AD1528" s="43" t="e">
        <f>(LayTable[[#This Row],[LayWin-Commission]])+LayTable[[#This Row],[LayLiability]]</f>
        <v>#VALUE!</v>
      </c>
      <c r="AE1528" s="43"/>
      <c r="AF1528" s="181"/>
    </row>
    <row r="1529" spans="1:32">
      <c r="A1529" s="84"/>
      <c r="B1529" s="39"/>
      <c r="C1529" s="40"/>
      <c r="D1529" s="41"/>
      <c r="E1529" s="40"/>
      <c r="F1529" s="41"/>
      <c r="G1529" s="101"/>
      <c r="H1529" s="38"/>
      <c r="I1529" s="42"/>
      <c r="J1529" s="42"/>
      <c r="K1529" s="43"/>
      <c r="L1529" s="43"/>
      <c r="M1529" s="44" t="str">
        <f>IF(LayTable[[#This Row],[Sport]]="","",LayTable[[#This Row],[LayInnsats]]*(LayTable[[#This Row],[LayOdds]]-1))</f>
        <v/>
      </c>
      <c r="N1529" s="45" t="str">
        <f>IF(LayTable[[#This Row],[Sport]]="","",1/((1/LayTable[[#This Row],[BookieOdds]])+(1/((1/((1+((LayTable[[#This Row],[LayOdds]]-1)*(1+LayTable[[#This Row],[C% Lay]])))-1))+1)))-1)</f>
        <v/>
      </c>
      <c r="Q1529" s="46" t="str">
        <f>IF(LayTable[[#This Row],[Sport]]="","",LayTable[[#This Row],[BookieInnsats]]+LayTable[[#This Row],[LayLiability]])</f>
        <v/>
      </c>
      <c r="R15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29" s="47" t="str">
        <f>IF(LayTable[[#This Row],[Utfall bookie]]="","",LayTable[[#This Row],[WBABack]]+LayTable[[#This Row],[WBALay]]-LayTable[[#This Row],[Total inns]])</f>
        <v/>
      </c>
      <c r="U15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29" s="48" t="str">
        <f>IFERROR(IF(LayTable[[#This Row],[Total inns]]="","",LayTable[[#This Row],[Rback]]/LayTable[[#This Row],[Total inns]]),"")</f>
        <v/>
      </c>
      <c r="X1529" s="48" t="str">
        <f>IFERROR(IF(LayTable[[#This Row],[Total inns]]="","",LayTable[[#This Row],[Rlay]]/LayTable[[#This Row],[Total inns]]),"")</f>
        <v/>
      </c>
      <c r="Y1529" s="48" t="str">
        <f>IFERROR(LayTable[[#This Row],[Faktisk res]]/LayTable[[#This Row],[Total inns]],"")</f>
        <v/>
      </c>
      <c r="Z1529" s="47">
        <f>(LayTable[[#This Row],[BookieInnsats]]*LayTable[[#This Row],[BookieOdds]]-LayTable[[#This Row],[BookieInnsats]])*(1-LayTable[[#This Row],[C% Bookie]])</f>
        <v>0</v>
      </c>
      <c r="AA1529" s="43">
        <f>LayTable[[#This Row],[LayInnsats]]*(1-LayTable[[#This Row],[C% Lay]])</f>
        <v>0</v>
      </c>
      <c r="AB1529" s="43" t="str">
        <f>IFERROR(IF(LayTable[[#This Row],[Sport]]="",AB1528,LayTable[[#This Row],[Faktisk res]]+AB1528),"")</f>
        <v/>
      </c>
      <c r="AC1529" s="43">
        <f>(LayTable[[#This Row],[BackWin-Commission]]+LayTable[[#This Row],[BookieInnsats]])</f>
        <v>0</v>
      </c>
      <c r="AD1529" s="43" t="e">
        <f>(LayTable[[#This Row],[LayWin-Commission]])+LayTable[[#This Row],[LayLiability]]</f>
        <v>#VALUE!</v>
      </c>
      <c r="AE1529" s="43"/>
      <c r="AF1529" s="181"/>
    </row>
    <row r="1530" spans="1:32">
      <c r="A1530" s="84"/>
      <c r="B1530" s="39"/>
      <c r="C1530" s="40"/>
      <c r="D1530" s="41"/>
      <c r="E1530" s="40"/>
      <c r="F1530" s="41"/>
      <c r="G1530" s="101"/>
      <c r="H1530" s="38"/>
      <c r="I1530" s="42"/>
      <c r="J1530" s="42"/>
      <c r="K1530" s="43"/>
      <c r="L1530" s="43"/>
      <c r="M1530" s="44" t="str">
        <f>IF(LayTable[[#This Row],[Sport]]="","",LayTable[[#This Row],[LayInnsats]]*(LayTable[[#This Row],[LayOdds]]-1))</f>
        <v/>
      </c>
      <c r="N1530" s="45" t="str">
        <f>IF(LayTable[[#This Row],[Sport]]="","",1/((1/LayTable[[#This Row],[BookieOdds]])+(1/((1/((1+((LayTable[[#This Row],[LayOdds]]-1)*(1+LayTable[[#This Row],[C% Lay]])))-1))+1)))-1)</f>
        <v/>
      </c>
      <c r="Q1530" s="46" t="str">
        <f>IF(LayTable[[#This Row],[Sport]]="","",LayTable[[#This Row],[BookieInnsats]]+LayTable[[#This Row],[LayLiability]])</f>
        <v/>
      </c>
      <c r="R15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0" s="47" t="str">
        <f>IF(LayTable[[#This Row],[Utfall bookie]]="","",LayTable[[#This Row],[WBABack]]+LayTable[[#This Row],[WBALay]]-LayTable[[#This Row],[Total inns]])</f>
        <v/>
      </c>
      <c r="U15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0" s="48" t="str">
        <f>IFERROR(IF(LayTable[[#This Row],[Total inns]]="","",LayTable[[#This Row],[Rback]]/LayTable[[#This Row],[Total inns]]),"")</f>
        <v/>
      </c>
      <c r="X1530" s="48" t="str">
        <f>IFERROR(IF(LayTable[[#This Row],[Total inns]]="","",LayTable[[#This Row],[Rlay]]/LayTable[[#This Row],[Total inns]]),"")</f>
        <v/>
      </c>
      <c r="Y1530" s="48" t="str">
        <f>IFERROR(LayTable[[#This Row],[Faktisk res]]/LayTable[[#This Row],[Total inns]],"")</f>
        <v/>
      </c>
      <c r="Z1530" s="47">
        <f>(LayTable[[#This Row],[BookieInnsats]]*LayTable[[#This Row],[BookieOdds]]-LayTable[[#This Row],[BookieInnsats]])*(1-LayTable[[#This Row],[C% Bookie]])</f>
        <v>0</v>
      </c>
      <c r="AA1530" s="43">
        <f>LayTable[[#This Row],[LayInnsats]]*(1-LayTable[[#This Row],[C% Lay]])</f>
        <v>0</v>
      </c>
      <c r="AB1530" s="43" t="str">
        <f>IFERROR(IF(LayTable[[#This Row],[Sport]]="",AB1529,LayTable[[#This Row],[Faktisk res]]+AB1529),"")</f>
        <v/>
      </c>
      <c r="AC1530" s="43">
        <f>(LayTable[[#This Row],[BackWin-Commission]]+LayTable[[#This Row],[BookieInnsats]])</f>
        <v>0</v>
      </c>
      <c r="AD1530" s="43" t="e">
        <f>(LayTable[[#This Row],[LayWin-Commission]])+LayTable[[#This Row],[LayLiability]]</f>
        <v>#VALUE!</v>
      </c>
      <c r="AE1530" s="43"/>
      <c r="AF1530" s="181"/>
    </row>
    <row r="1531" spans="1:32">
      <c r="A1531" s="84"/>
      <c r="B1531" s="39"/>
      <c r="C1531" s="40"/>
      <c r="D1531" s="41"/>
      <c r="E1531" s="40"/>
      <c r="F1531" s="41"/>
      <c r="G1531" s="101"/>
      <c r="H1531" s="38"/>
      <c r="I1531" s="42"/>
      <c r="J1531" s="42"/>
      <c r="K1531" s="43"/>
      <c r="L1531" s="43"/>
      <c r="M1531" s="44" t="str">
        <f>IF(LayTable[[#This Row],[Sport]]="","",LayTable[[#This Row],[LayInnsats]]*(LayTable[[#This Row],[LayOdds]]-1))</f>
        <v/>
      </c>
      <c r="N1531" s="45" t="str">
        <f>IF(LayTable[[#This Row],[Sport]]="","",1/((1/LayTable[[#This Row],[BookieOdds]])+(1/((1/((1+((LayTable[[#This Row],[LayOdds]]-1)*(1+LayTable[[#This Row],[C% Lay]])))-1))+1)))-1)</f>
        <v/>
      </c>
      <c r="Q1531" s="46" t="str">
        <f>IF(LayTable[[#This Row],[Sport]]="","",LayTable[[#This Row],[BookieInnsats]]+LayTable[[#This Row],[LayLiability]])</f>
        <v/>
      </c>
      <c r="R15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1" s="47" t="str">
        <f>IF(LayTable[[#This Row],[Utfall bookie]]="","",LayTable[[#This Row],[WBABack]]+LayTable[[#This Row],[WBALay]]-LayTable[[#This Row],[Total inns]])</f>
        <v/>
      </c>
      <c r="U15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1" s="48" t="str">
        <f>IFERROR(IF(LayTable[[#This Row],[Total inns]]="","",LayTable[[#This Row],[Rback]]/LayTable[[#This Row],[Total inns]]),"")</f>
        <v/>
      </c>
      <c r="X1531" s="48" t="str">
        <f>IFERROR(IF(LayTable[[#This Row],[Total inns]]="","",LayTable[[#This Row],[Rlay]]/LayTable[[#This Row],[Total inns]]),"")</f>
        <v/>
      </c>
      <c r="Y1531" s="48" t="str">
        <f>IFERROR(LayTable[[#This Row],[Faktisk res]]/LayTable[[#This Row],[Total inns]],"")</f>
        <v/>
      </c>
      <c r="Z1531" s="47">
        <f>(LayTable[[#This Row],[BookieInnsats]]*LayTable[[#This Row],[BookieOdds]]-LayTable[[#This Row],[BookieInnsats]])*(1-LayTable[[#This Row],[C% Bookie]])</f>
        <v>0</v>
      </c>
      <c r="AA1531" s="43">
        <f>LayTable[[#This Row],[LayInnsats]]*(1-LayTable[[#This Row],[C% Lay]])</f>
        <v>0</v>
      </c>
      <c r="AB1531" s="43" t="str">
        <f>IFERROR(IF(LayTable[[#This Row],[Sport]]="",AB1530,LayTable[[#This Row],[Faktisk res]]+AB1530),"")</f>
        <v/>
      </c>
      <c r="AC1531" s="43">
        <f>(LayTable[[#This Row],[BackWin-Commission]]+LayTable[[#This Row],[BookieInnsats]])</f>
        <v>0</v>
      </c>
      <c r="AD1531" s="43" t="e">
        <f>(LayTable[[#This Row],[LayWin-Commission]])+LayTable[[#This Row],[LayLiability]]</f>
        <v>#VALUE!</v>
      </c>
      <c r="AE1531" s="43"/>
      <c r="AF1531" s="181"/>
    </row>
    <row r="1532" spans="1:32">
      <c r="A1532" s="84"/>
      <c r="B1532" s="39"/>
      <c r="C1532" s="40"/>
      <c r="D1532" s="41"/>
      <c r="E1532" s="40"/>
      <c r="F1532" s="41"/>
      <c r="G1532" s="101"/>
      <c r="H1532" s="38"/>
      <c r="I1532" s="42"/>
      <c r="J1532" s="42"/>
      <c r="K1532" s="43"/>
      <c r="L1532" s="43"/>
      <c r="M1532" s="44" t="str">
        <f>IF(LayTable[[#This Row],[Sport]]="","",LayTable[[#This Row],[LayInnsats]]*(LayTable[[#This Row],[LayOdds]]-1))</f>
        <v/>
      </c>
      <c r="N1532" s="45" t="str">
        <f>IF(LayTable[[#This Row],[Sport]]="","",1/((1/LayTable[[#This Row],[BookieOdds]])+(1/((1/((1+((LayTable[[#This Row],[LayOdds]]-1)*(1+LayTable[[#This Row],[C% Lay]])))-1))+1)))-1)</f>
        <v/>
      </c>
      <c r="Q1532" s="46" t="str">
        <f>IF(LayTable[[#This Row],[Sport]]="","",LayTable[[#This Row],[BookieInnsats]]+LayTable[[#This Row],[LayLiability]])</f>
        <v/>
      </c>
      <c r="R15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2" s="47" t="str">
        <f>IF(LayTable[[#This Row],[Utfall bookie]]="","",LayTable[[#This Row],[WBABack]]+LayTable[[#This Row],[WBALay]]-LayTable[[#This Row],[Total inns]])</f>
        <v/>
      </c>
      <c r="U15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2" s="48" t="str">
        <f>IFERROR(IF(LayTable[[#This Row],[Total inns]]="","",LayTable[[#This Row],[Rback]]/LayTable[[#This Row],[Total inns]]),"")</f>
        <v/>
      </c>
      <c r="X1532" s="48" t="str">
        <f>IFERROR(IF(LayTable[[#This Row],[Total inns]]="","",LayTable[[#This Row],[Rlay]]/LayTable[[#This Row],[Total inns]]),"")</f>
        <v/>
      </c>
      <c r="Y1532" s="48" t="str">
        <f>IFERROR(LayTable[[#This Row],[Faktisk res]]/LayTable[[#This Row],[Total inns]],"")</f>
        <v/>
      </c>
      <c r="Z1532" s="47">
        <f>(LayTable[[#This Row],[BookieInnsats]]*LayTable[[#This Row],[BookieOdds]]-LayTable[[#This Row],[BookieInnsats]])*(1-LayTable[[#This Row],[C% Bookie]])</f>
        <v>0</v>
      </c>
      <c r="AA1532" s="43">
        <f>LayTable[[#This Row],[LayInnsats]]*(1-LayTable[[#This Row],[C% Lay]])</f>
        <v>0</v>
      </c>
      <c r="AB1532" s="43" t="str">
        <f>IFERROR(IF(LayTable[[#This Row],[Sport]]="",AB1531,LayTable[[#This Row],[Faktisk res]]+AB1531),"")</f>
        <v/>
      </c>
      <c r="AC1532" s="43">
        <f>(LayTable[[#This Row],[BackWin-Commission]]+LayTable[[#This Row],[BookieInnsats]])</f>
        <v>0</v>
      </c>
      <c r="AD1532" s="43" t="e">
        <f>(LayTable[[#This Row],[LayWin-Commission]])+LayTable[[#This Row],[LayLiability]]</f>
        <v>#VALUE!</v>
      </c>
      <c r="AE1532" s="43"/>
      <c r="AF1532" s="181"/>
    </row>
    <row r="1533" spans="1:32">
      <c r="A1533" s="84"/>
      <c r="B1533" s="39"/>
      <c r="C1533" s="40"/>
      <c r="D1533" s="41"/>
      <c r="E1533" s="40"/>
      <c r="F1533" s="41"/>
      <c r="G1533" s="101"/>
      <c r="H1533" s="38"/>
      <c r="I1533" s="42"/>
      <c r="J1533" s="42"/>
      <c r="K1533" s="43"/>
      <c r="L1533" s="43"/>
      <c r="M1533" s="44" t="str">
        <f>IF(LayTable[[#This Row],[Sport]]="","",LayTable[[#This Row],[LayInnsats]]*(LayTable[[#This Row],[LayOdds]]-1))</f>
        <v/>
      </c>
      <c r="N1533" s="45" t="str">
        <f>IF(LayTable[[#This Row],[Sport]]="","",1/((1/LayTable[[#This Row],[BookieOdds]])+(1/((1/((1+((LayTable[[#This Row],[LayOdds]]-1)*(1+LayTable[[#This Row],[C% Lay]])))-1))+1)))-1)</f>
        <v/>
      </c>
      <c r="Q1533" s="46" t="str">
        <f>IF(LayTable[[#This Row],[Sport]]="","",LayTable[[#This Row],[BookieInnsats]]+LayTable[[#This Row],[LayLiability]])</f>
        <v/>
      </c>
      <c r="R15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3" s="47" t="str">
        <f>IF(LayTable[[#This Row],[Utfall bookie]]="","",LayTable[[#This Row],[WBABack]]+LayTable[[#This Row],[WBALay]]-LayTable[[#This Row],[Total inns]])</f>
        <v/>
      </c>
      <c r="U15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3" s="48" t="str">
        <f>IFERROR(IF(LayTable[[#This Row],[Total inns]]="","",LayTable[[#This Row],[Rback]]/LayTable[[#This Row],[Total inns]]),"")</f>
        <v/>
      </c>
      <c r="X1533" s="48" t="str">
        <f>IFERROR(IF(LayTable[[#This Row],[Total inns]]="","",LayTable[[#This Row],[Rlay]]/LayTable[[#This Row],[Total inns]]),"")</f>
        <v/>
      </c>
      <c r="Y1533" s="48" t="str">
        <f>IFERROR(LayTable[[#This Row],[Faktisk res]]/LayTable[[#This Row],[Total inns]],"")</f>
        <v/>
      </c>
      <c r="Z1533" s="47">
        <f>(LayTable[[#This Row],[BookieInnsats]]*LayTable[[#This Row],[BookieOdds]]-LayTable[[#This Row],[BookieInnsats]])*(1-LayTable[[#This Row],[C% Bookie]])</f>
        <v>0</v>
      </c>
      <c r="AA1533" s="43">
        <f>LayTable[[#This Row],[LayInnsats]]*(1-LayTable[[#This Row],[C% Lay]])</f>
        <v>0</v>
      </c>
      <c r="AB1533" s="43" t="str">
        <f>IFERROR(IF(LayTable[[#This Row],[Sport]]="",AB1532,LayTable[[#This Row],[Faktisk res]]+AB1532),"")</f>
        <v/>
      </c>
      <c r="AC1533" s="43">
        <f>(LayTable[[#This Row],[BackWin-Commission]]+LayTable[[#This Row],[BookieInnsats]])</f>
        <v>0</v>
      </c>
      <c r="AD1533" s="43" t="e">
        <f>(LayTable[[#This Row],[LayWin-Commission]])+LayTable[[#This Row],[LayLiability]]</f>
        <v>#VALUE!</v>
      </c>
      <c r="AE1533" s="43"/>
      <c r="AF1533" s="181"/>
    </row>
    <row r="1534" spans="1:32">
      <c r="A1534" s="84"/>
      <c r="B1534" s="39"/>
      <c r="C1534" s="40"/>
      <c r="D1534" s="41"/>
      <c r="E1534" s="40"/>
      <c r="F1534" s="41"/>
      <c r="G1534" s="101"/>
      <c r="H1534" s="38"/>
      <c r="I1534" s="42"/>
      <c r="J1534" s="42"/>
      <c r="K1534" s="43"/>
      <c r="L1534" s="43"/>
      <c r="M1534" s="44" t="str">
        <f>IF(LayTable[[#This Row],[Sport]]="","",LayTable[[#This Row],[LayInnsats]]*(LayTable[[#This Row],[LayOdds]]-1))</f>
        <v/>
      </c>
      <c r="N1534" s="45" t="str">
        <f>IF(LayTable[[#This Row],[Sport]]="","",1/((1/LayTable[[#This Row],[BookieOdds]])+(1/((1/((1+((LayTable[[#This Row],[LayOdds]]-1)*(1+LayTable[[#This Row],[C% Lay]])))-1))+1)))-1)</f>
        <v/>
      </c>
      <c r="Q1534" s="46" t="str">
        <f>IF(LayTable[[#This Row],[Sport]]="","",LayTable[[#This Row],[BookieInnsats]]+LayTable[[#This Row],[LayLiability]])</f>
        <v/>
      </c>
      <c r="R15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4" s="47" t="str">
        <f>IF(LayTable[[#This Row],[Utfall bookie]]="","",LayTable[[#This Row],[WBABack]]+LayTable[[#This Row],[WBALay]]-LayTable[[#This Row],[Total inns]])</f>
        <v/>
      </c>
      <c r="U15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4" s="48" t="str">
        <f>IFERROR(IF(LayTable[[#This Row],[Total inns]]="","",LayTable[[#This Row],[Rback]]/LayTable[[#This Row],[Total inns]]),"")</f>
        <v/>
      </c>
      <c r="X1534" s="48" t="str">
        <f>IFERROR(IF(LayTable[[#This Row],[Total inns]]="","",LayTable[[#This Row],[Rlay]]/LayTable[[#This Row],[Total inns]]),"")</f>
        <v/>
      </c>
      <c r="Y1534" s="48" t="str">
        <f>IFERROR(LayTable[[#This Row],[Faktisk res]]/LayTable[[#This Row],[Total inns]],"")</f>
        <v/>
      </c>
      <c r="Z1534" s="47">
        <f>(LayTable[[#This Row],[BookieInnsats]]*LayTable[[#This Row],[BookieOdds]]-LayTable[[#This Row],[BookieInnsats]])*(1-LayTable[[#This Row],[C% Bookie]])</f>
        <v>0</v>
      </c>
      <c r="AA1534" s="43">
        <f>LayTable[[#This Row],[LayInnsats]]*(1-LayTable[[#This Row],[C% Lay]])</f>
        <v>0</v>
      </c>
      <c r="AB1534" s="43" t="str">
        <f>IFERROR(IF(LayTable[[#This Row],[Sport]]="",AB1533,LayTable[[#This Row],[Faktisk res]]+AB1533),"")</f>
        <v/>
      </c>
      <c r="AC1534" s="43">
        <f>(LayTable[[#This Row],[BackWin-Commission]]+LayTable[[#This Row],[BookieInnsats]])</f>
        <v>0</v>
      </c>
      <c r="AD1534" s="43" t="e">
        <f>(LayTable[[#This Row],[LayWin-Commission]])+LayTable[[#This Row],[LayLiability]]</f>
        <v>#VALUE!</v>
      </c>
      <c r="AE1534" s="43"/>
      <c r="AF1534" s="181"/>
    </row>
    <row r="1535" spans="1:32">
      <c r="A1535" s="84"/>
      <c r="B1535" s="39"/>
      <c r="C1535" s="40"/>
      <c r="D1535" s="41"/>
      <c r="E1535" s="40"/>
      <c r="F1535" s="41"/>
      <c r="G1535" s="101"/>
      <c r="H1535" s="38"/>
      <c r="I1535" s="42"/>
      <c r="J1535" s="42"/>
      <c r="K1535" s="43"/>
      <c r="L1535" s="43"/>
      <c r="M1535" s="44" t="str">
        <f>IF(LayTable[[#This Row],[Sport]]="","",LayTable[[#This Row],[LayInnsats]]*(LayTable[[#This Row],[LayOdds]]-1))</f>
        <v/>
      </c>
      <c r="N1535" s="45" t="str">
        <f>IF(LayTable[[#This Row],[Sport]]="","",1/((1/LayTable[[#This Row],[BookieOdds]])+(1/((1/((1+((LayTable[[#This Row],[LayOdds]]-1)*(1+LayTable[[#This Row],[C% Lay]])))-1))+1)))-1)</f>
        <v/>
      </c>
      <c r="Q1535" s="46" t="str">
        <f>IF(LayTable[[#This Row],[Sport]]="","",LayTable[[#This Row],[BookieInnsats]]+LayTable[[#This Row],[LayLiability]])</f>
        <v/>
      </c>
      <c r="R15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5" s="47" t="str">
        <f>IF(LayTable[[#This Row],[Utfall bookie]]="","",LayTable[[#This Row],[WBABack]]+LayTable[[#This Row],[WBALay]]-LayTable[[#This Row],[Total inns]])</f>
        <v/>
      </c>
      <c r="U15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5" s="48" t="str">
        <f>IFERROR(IF(LayTable[[#This Row],[Total inns]]="","",LayTable[[#This Row],[Rback]]/LayTable[[#This Row],[Total inns]]),"")</f>
        <v/>
      </c>
      <c r="X1535" s="48" t="str">
        <f>IFERROR(IF(LayTable[[#This Row],[Total inns]]="","",LayTable[[#This Row],[Rlay]]/LayTable[[#This Row],[Total inns]]),"")</f>
        <v/>
      </c>
      <c r="Y1535" s="48" t="str">
        <f>IFERROR(LayTable[[#This Row],[Faktisk res]]/LayTable[[#This Row],[Total inns]],"")</f>
        <v/>
      </c>
      <c r="Z1535" s="47">
        <f>(LayTable[[#This Row],[BookieInnsats]]*LayTable[[#This Row],[BookieOdds]]-LayTable[[#This Row],[BookieInnsats]])*(1-LayTable[[#This Row],[C% Bookie]])</f>
        <v>0</v>
      </c>
      <c r="AA1535" s="43">
        <f>LayTable[[#This Row],[LayInnsats]]*(1-LayTable[[#This Row],[C% Lay]])</f>
        <v>0</v>
      </c>
      <c r="AB1535" s="43" t="str">
        <f>IFERROR(IF(LayTable[[#This Row],[Sport]]="",AB1534,LayTable[[#This Row],[Faktisk res]]+AB1534),"")</f>
        <v/>
      </c>
      <c r="AC1535" s="43">
        <f>(LayTable[[#This Row],[BackWin-Commission]]+LayTable[[#This Row],[BookieInnsats]])</f>
        <v>0</v>
      </c>
      <c r="AD1535" s="43" t="e">
        <f>(LayTable[[#This Row],[LayWin-Commission]])+LayTable[[#This Row],[LayLiability]]</f>
        <v>#VALUE!</v>
      </c>
      <c r="AE1535" s="43"/>
      <c r="AF1535" s="181"/>
    </row>
    <row r="1536" spans="1:32">
      <c r="A1536" s="84"/>
      <c r="B1536" s="39"/>
      <c r="C1536" s="40"/>
      <c r="D1536" s="41"/>
      <c r="E1536" s="40"/>
      <c r="F1536" s="41"/>
      <c r="G1536" s="101"/>
      <c r="H1536" s="38"/>
      <c r="I1536" s="42"/>
      <c r="J1536" s="42"/>
      <c r="K1536" s="43"/>
      <c r="L1536" s="43"/>
      <c r="M1536" s="44" t="str">
        <f>IF(LayTable[[#This Row],[Sport]]="","",LayTable[[#This Row],[LayInnsats]]*(LayTable[[#This Row],[LayOdds]]-1))</f>
        <v/>
      </c>
      <c r="N1536" s="45" t="str">
        <f>IF(LayTable[[#This Row],[Sport]]="","",1/((1/LayTable[[#This Row],[BookieOdds]])+(1/((1/((1+((LayTable[[#This Row],[LayOdds]]-1)*(1+LayTable[[#This Row],[C% Lay]])))-1))+1)))-1)</f>
        <v/>
      </c>
      <c r="Q1536" s="46" t="str">
        <f>IF(LayTable[[#This Row],[Sport]]="","",LayTable[[#This Row],[BookieInnsats]]+LayTable[[#This Row],[LayLiability]])</f>
        <v/>
      </c>
      <c r="R15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6" s="47" t="str">
        <f>IF(LayTable[[#This Row],[Utfall bookie]]="","",LayTable[[#This Row],[WBABack]]+LayTable[[#This Row],[WBALay]]-LayTable[[#This Row],[Total inns]])</f>
        <v/>
      </c>
      <c r="U15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6" s="48" t="str">
        <f>IFERROR(IF(LayTable[[#This Row],[Total inns]]="","",LayTable[[#This Row],[Rback]]/LayTable[[#This Row],[Total inns]]),"")</f>
        <v/>
      </c>
      <c r="X1536" s="48" t="str">
        <f>IFERROR(IF(LayTable[[#This Row],[Total inns]]="","",LayTable[[#This Row],[Rlay]]/LayTable[[#This Row],[Total inns]]),"")</f>
        <v/>
      </c>
      <c r="Y1536" s="48" t="str">
        <f>IFERROR(LayTable[[#This Row],[Faktisk res]]/LayTable[[#This Row],[Total inns]],"")</f>
        <v/>
      </c>
      <c r="Z1536" s="47">
        <f>(LayTable[[#This Row],[BookieInnsats]]*LayTable[[#This Row],[BookieOdds]]-LayTable[[#This Row],[BookieInnsats]])*(1-LayTable[[#This Row],[C% Bookie]])</f>
        <v>0</v>
      </c>
      <c r="AA1536" s="43">
        <f>LayTable[[#This Row],[LayInnsats]]*(1-LayTable[[#This Row],[C% Lay]])</f>
        <v>0</v>
      </c>
      <c r="AB1536" s="43" t="str">
        <f>IFERROR(IF(LayTable[[#This Row],[Sport]]="",AB1535,LayTable[[#This Row],[Faktisk res]]+AB1535),"")</f>
        <v/>
      </c>
      <c r="AC1536" s="43">
        <f>(LayTable[[#This Row],[BackWin-Commission]]+LayTable[[#This Row],[BookieInnsats]])</f>
        <v>0</v>
      </c>
      <c r="AD1536" s="43" t="e">
        <f>(LayTable[[#This Row],[LayWin-Commission]])+LayTable[[#This Row],[LayLiability]]</f>
        <v>#VALUE!</v>
      </c>
      <c r="AE1536" s="43"/>
      <c r="AF1536" s="181"/>
    </row>
    <row r="1537" spans="1:32">
      <c r="A1537" s="84"/>
      <c r="B1537" s="39"/>
      <c r="C1537" s="40"/>
      <c r="D1537" s="41"/>
      <c r="E1537" s="40"/>
      <c r="F1537" s="41"/>
      <c r="G1537" s="101"/>
      <c r="H1537" s="38"/>
      <c r="I1537" s="42"/>
      <c r="J1537" s="42"/>
      <c r="K1537" s="43"/>
      <c r="L1537" s="43"/>
      <c r="M1537" s="44" t="str">
        <f>IF(LayTable[[#This Row],[Sport]]="","",LayTable[[#This Row],[LayInnsats]]*(LayTable[[#This Row],[LayOdds]]-1))</f>
        <v/>
      </c>
      <c r="N1537" s="45" t="str">
        <f>IF(LayTable[[#This Row],[Sport]]="","",1/((1/LayTable[[#This Row],[BookieOdds]])+(1/((1/((1+((LayTable[[#This Row],[LayOdds]]-1)*(1+LayTable[[#This Row],[C% Lay]])))-1))+1)))-1)</f>
        <v/>
      </c>
      <c r="Q1537" s="46" t="str">
        <f>IF(LayTable[[#This Row],[Sport]]="","",LayTable[[#This Row],[BookieInnsats]]+LayTable[[#This Row],[LayLiability]])</f>
        <v/>
      </c>
      <c r="R15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7" s="47" t="str">
        <f>IF(LayTable[[#This Row],[Utfall bookie]]="","",LayTable[[#This Row],[WBABack]]+LayTable[[#This Row],[WBALay]]-LayTable[[#This Row],[Total inns]])</f>
        <v/>
      </c>
      <c r="U15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7" s="48" t="str">
        <f>IFERROR(IF(LayTable[[#This Row],[Total inns]]="","",LayTable[[#This Row],[Rback]]/LayTable[[#This Row],[Total inns]]),"")</f>
        <v/>
      </c>
      <c r="X1537" s="48" t="str">
        <f>IFERROR(IF(LayTable[[#This Row],[Total inns]]="","",LayTable[[#This Row],[Rlay]]/LayTable[[#This Row],[Total inns]]),"")</f>
        <v/>
      </c>
      <c r="Y1537" s="48" t="str">
        <f>IFERROR(LayTable[[#This Row],[Faktisk res]]/LayTable[[#This Row],[Total inns]],"")</f>
        <v/>
      </c>
      <c r="Z1537" s="47">
        <f>(LayTable[[#This Row],[BookieInnsats]]*LayTable[[#This Row],[BookieOdds]]-LayTable[[#This Row],[BookieInnsats]])*(1-LayTable[[#This Row],[C% Bookie]])</f>
        <v>0</v>
      </c>
      <c r="AA1537" s="43">
        <f>LayTable[[#This Row],[LayInnsats]]*(1-LayTable[[#This Row],[C% Lay]])</f>
        <v>0</v>
      </c>
      <c r="AB1537" s="43" t="str">
        <f>IFERROR(IF(LayTable[[#This Row],[Sport]]="",AB1536,LayTable[[#This Row],[Faktisk res]]+AB1536),"")</f>
        <v/>
      </c>
      <c r="AC1537" s="43">
        <f>(LayTable[[#This Row],[BackWin-Commission]]+LayTable[[#This Row],[BookieInnsats]])</f>
        <v>0</v>
      </c>
      <c r="AD1537" s="43" t="e">
        <f>(LayTable[[#This Row],[LayWin-Commission]])+LayTable[[#This Row],[LayLiability]]</f>
        <v>#VALUE!</v>
      </c>
      <c r="AE1537" s="43"/>
      <c r="AF1537" s="181"/>
    </row>
    <row r="1538" spans="1:32">
      <c r="A1538" s="84"/>
      <c r="B1538" s="39"/>
      <c r="C1538" s="40"/>
      <c r="D1538" s="41"/>
      <c r="E1538" s="40"/>
      <c r="F1538" s="41"/>
      <c r="G1538" s="101"/>
      <c r="H1538" s="38"/>
      <c r="I1538" s="42"/>
      <c r="J1538" s="42"/>
      <c r="K1538" s="43"/>
      <c r="L1538" s="43"/>
      <c r="M1538" s="44" t="str">
        <f>IF(LayTable[[#This Row],[Sport]]="","",LayTable[[#This Row],[LayInnsats]]*(LayTable[[#This Row],[LayOdds]]-1))</f>
        <v/>
      </c>
      <c r="N1538" s="45" t="str">
        <f>IF(LayTable[[#This Row],[Sport]]="","",1/((1/LayTable[[#This Row],[BookieOdds]])+(1/((1/((1+((LayTable[[#This Row],[LayOdds]]-1)*(1+LayTable[[#This Row],[C% Lay]])))-1))+1)))-1)</f>
        <v/>
      </c>
      <c r="Q1538" s="46" t="str">
        <f>IF(LayTable[[#This Row],[Sport]]="","",LayTable[[#This Row],[BookieInnsats]]+LayTable[[#This Row],[LayLiability]])</f>
        <v/>
      </c>
      <c r="R15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8" s="47" t="str">
        <f>IF(LayTable[[#This Row],[Utfall bookie]]="","",LayTable[[#This Row],[WBABack]]+LayTable[[#This Row],[WBALay]]-LayTable[[#This Row],[Total inns]])</f>
        <v/>
      </c>
      <c r="U15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8" s="48" t="str">
        <f>IFERROR(IF(LayTable[[#This Row],[Total inns]]="","",LayTable[[#This Row],[Rback]]/LayTable[[#This Row],[Total inns]]),"")</f>
        <v/>
      </c>
      <c r="X1538" s="48" t="str">
        <f>IFERROR(IF(LayTable[[#This Row],[Total inns]]="","",LayTable[[#This Row],[Rlay]]/LayTable[[#This Row],[Total inns]]),"")</f>
        <v/>
      </c>
      <c r="Y1538" s="48" t="str">
        <f>IFERROR(LayTable[[#This Row],[Faktisk res]]/LayTable[[#This Row],[Total inns]],"")</f>
        <v/>
      </c>
      <c r="Z1538" s="47">
        <f>(LayTable[[#This Row],[BookieInnsats]]*LayTable[[#This Row],[BookieOdds]]-LayTable[[#This Row],[BookieInnsats]])*(1-LayTable[[#This Row],[C% Bookie]])</f>
        <v>0</v>
      </c>
      <c r="AA1538" s="43">
        <f>LayTable[[#This Row],[LayInnsats]]*(1-LayTable[[#This Row],[C% Lay]])</f>
        <v>0</v>
      </c>
      <c r="AB1538" s="43" t="str">
        <f>IFERROR(IF(LayTable[[#This Row],[Sport]]="",AB1537,LayTable[[#This Row],[Faktisk res]]+AB1537),"")</f>
        <v/>
      </c>
      <c r="AC1538" s="43">
        <f>(LayTable[[#This Row],[BackWin-Commission]]+LayTable[[#This Row],[BookieInnsats]])</f>
        <v>0</v>
      </c>
      <c r="AD1538" s="43" t="e">
        <f>(LayTable[[#This Row],[LayWin-Commission]])+LayTable[[#This Row],[LayLiability]]</f>
        <v>#VALUE!</v>
      </c>
      <c r="AE1538" s="43"/>
      <c r="AF1538" s="181"/>
    </row>
    <row r="1539" spans="1:32">
      <c r="A1539" s="84"/>
      <c r="B1539" s="39"/>
      <c r="C1539" s="40"/>
      <c r="D1539" s="41"/>
      <c r="E1539" s="40"/>
      <c r="F1539" s="41"/>
      <c r="G1539" s="101"/>
      <c r="H1539" s="38"/>
      <c r="I1539" s="42"/>
      <c r="J1539" s="42"/>
      <c r="K1539" s="43"/>
      <c r="L1539" s="43"/>
      <c r="M1539" s="44" t="str">
        <f>IF(LayTable[[#This Row],[Sport]]="","",LayTable[[#This Row],[LayInnsats]]*(LayTable[[#This Row],[LayOdds]]-1))</f>
        <v/>
      </c>
      <c r="N1539" s="45" t="str">
        <f>IF(LayTable[[#This Row],[Sport]]="","",1/((1/LayTable[[#This Row],[BookieOdds]])+(1/((1/((1+((LayTable[[#This Row],[LayOdds]]-1)*(1+LayTable[[#This Row],[C% Lay]])))-1))+1)))-1)</f>
        <v/>
      </c>
      <c r="Q1539" s="46" t="str">
        <f>IF(LayTable[[#This Row],[Sport]]="","",LayTable[[#This Row],[BookieInnsats]]+LayTable[[#This Row],[LayLiability]])</f>
        <v/>
      </c>
      <c r="R15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39" s="47" t="str">
        <f>IF(LayTable[[#This Row],[Utfall bookie]]="","",LayTable[[#This Row],[WBABack]]+LayTable[[#This Row],[WBALay]]-LayTable[[#This Row],[Total inns]])</f>
        <v/>
      </c>
      <c r="U15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39" s="48" t="str">
        <f>IFERROR(IF(LayTable[[#This Row],[Total inns]]="","",LayTable[[#This Row],[Rback]]/LayTable[[#This Row],[Total inns]]),"")</f>
        <v/>
      </c>
      <c r="X1539" s="48" t="str">
        <f>IFERROR(IF(LayTable[[#This Row],[Total inns]]="","",LayTable[[#This Row],[Rlay]]/LayTable[[#This Row],[Total inns]]),"")</f>
        <v/>
      </c>
      <c r="Y1539" s="48" t="str">
        <f>IFERROR(LayTable[[#This Row],[Faktisk res]]/LayTable[[#This Row],[Total inns]],"")</f>
        <v/>
      </c>
      <c r="Z1539" s="47">
        <f>(LayTable[[#This Row],[BookieInnsats]]*LayTable[[#This Row],[BookieOdds]]-LayTable[[#This Row],[BookieInnsats]])*(1-LayTable[[#This Row],[C% Bookie]])</f>
        <v>0</v>
      </c>
      <c r="AA1539" s="43">
        <f>LayTable[[#This Row],[LayInnsats]]*(1-LayTable[[#This Row],[C% Lay]])</f>
        <v>0</v>
      </c>
      <c r="AB1539" s="43" t="str">
        <f>IFERROR(IF(LayTable[[#This Row],[Sport]]="",AB1538,LayTable[[#This Row],[Faktisk res]]+AB1538),"")</f>
        <v/>
      </c>
      <c r="AC1539" s="43">
        <f>(LayTable[[#This Row],[BackWin-Commission]]+LayTable[[#This Row],[BookieInnsats]])</f>
        <v>0</v>
      </c>
      <c r="AD1539" s="43" t="e">
        <f>(LayTable[[#This Row],[LayWin-Commission]])+LayTable[[#This Row],[LayLiability]]</f>
        <v>#VALUE!</v>
      </c>
      <c r="AE1539" s="43"/>
      <c r="AF1539" s="181"/>
    </row>
    <row r="1540" spans="1:32">
      <c r="A1540" s="84"/>
      <c r="B1540" s="39"/>
      <c r="C1540" s="40"/>
      <c r="D1540" s="41"/>
      <c r="E1540" s="40"/>
      <c r="F1540" s="41"/>
      <c r="G1540" s="101"/>
      <c r="H1540" s="38"/>
      <c r="I1540" s="42"/>
      <c r="J1540" s="42"/>
      <c r="K1540" s="43"/>
      <c r="L1540" s="43"/>
      <c r="M1540" s="44" t="str">
        <f>IF(LayTable[[#This Row],[Sport]]="","",LayTable[[#This Row],[LayInnsats]]*(LayTable[[#This Row],[LayOdds]]-1))</f>
        <v/>
      </c>
      <c r="N1540" s="45" t="str">
        <f>IF(LayTable[[#This Row],[Sport]]="","",1/((1/LayTable[[#This Row],[BookieOdds]])+(1/((1/((1+((LayTable[[#This Row],[LayOdds]]-1)*(1+LayTable[[#This Row],[C% Lay]])))-1))+1)))-1)</f>
        <v/>
      </c>
      <c r="Q1540" s="46" t="str">
        <f>IF(LayTable[[#This Row],[Sport]]="","",LayTable[[#This Row],[BookieInnsats]]+LayTable[[#This Row],[LayLiability]])</f>
        <v/>
      </c>
      <c r="R15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0" s="47" t="str">
        <f>IF(LayTable[[#This Row],[Utfall bookie]]="","",LayTable[[#This Row],[WBABack]]+LayTable[[#This Row],[WBALay]]-LayTable[[#This Row],[Total inns]])</f>
        <v/>
      </c>
      <c r="U15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0" s="48" t="str">
        <f>IFERROR(IF(LayTable[[#This Row],[Total inns]]="","",LayTable[[#This Row],[Rback]]/LayTable[[#This Row],[Total inns]]),"")</f>
        <v/>
      </c>
      <c r="X1540" s="48" t="str">
        <f>IFERROR(IF(LayTable[[#This Row],[Total inns]]="","",LayTable[[#This Row],[Rlay]]/LayTable[[#This Row],[Total inns]]),"")</f>
        <v/>
      </c>
      <c r="Y1540" s="48" t="str">
        <f>IFERROR(LayTable[[#This Row],[Faktisk res]]/LayTable[[#This Row],[Total inns]],"")</f>
        <v/>
      </c>
      <c r="Z1540" s="47">
        <f>(LayTable[[#This Row],[BookieInnsats]]*LayTable[[#This Row],[BookieOdds]]-LayTable[[#This Row],[BookieInnsats]])*(1-LayTable[[#This Row],[C% Bookie]])</f>
        <v>0</v>
      </c>
      <c r="AA1540" s="43">
        <f>LayTable[[#This Row],[LayInnsats]]*(1-LayTable[[#This Row],[C% Lay]])</f>
        <v>0</v>
      </c>
      <c r="AB1540" s="43" t="str">
        <f>IFERROR(IF(LayTable[[#This Row],[Sport]]="",AB1539,LayTable[[#This Row],[Faktisk res]]+AB1539),"")</f>
        <v/>
      </c>
      <c r="AC1540" s="43">
        <f>(LayTable[[#This Row],[BackWin-Commission]]+LayTable[[#This Row],[BookieInnsats]])</f>
        <v>0</v>
      </c>
      <c r="AD1540" s="43" t="e">
        <f>(LayTable[[#This Row],[LayWin-Commission]])+LayTable[[#This Row],[LayLiability]]</f>
        <v>#VALUE!</v>
      </c>
      <c r="AE1540" s="43"/>
      <c r="AF1540" s="181"/>
    </row>
    <row r="1541" spans="1:32">
      <c r="A1541" s="84"/>
      <c r="B1541" s="39"/>
      <c r="C1541" s="40"/>
      <c r="D1541" s="41"/>
      <c r="E1541" s="40"/>
      <c r="F1541" s="41"/>
      <c r="G1541" s="101"/>
      <c r="H1541" s="38"/>
      <c r="I1541" s="42"/>
      <c r="J1541" s="42"/>
      <c r="K1541" s="43"/>
      <c r="L1541" s="43"/>
      <c r="M1541" s="44" t="str">
        <f>IF(LayTable[[#This Row],[Sport]]="","",LayTable[[#This Row],[LayInnsats]]*(LayTable[[#This Row],[LayOdds]]-1))</f>
        <v/>
      </c>
      <c r="N1541" s="45" t="str">
        <f>IF(LayTable[[#This Row],[Sport]]="","",1/((1/LayTable[[#This Row],[BookieOdds]])+(1/((1/((1+((LayTable[[#This Row],[LayOdds]]-1)*(1+LayTable[[#This Row],[C% Lay]])))-1))+1)))-1)</f>
        <v/>
      </c>
      <c r="Q1541" s="46" t="str">
        <f>IF(LayTable[[#This Row],[Sport]]="","",LayTable[[#This Row],[BookieInnsats]]+LayTable[[#This Row],[LayLiability]])</f>
        <v/>
      </c>
      <c r="R15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1" s="47" t="str">
        <f>IF(LayTable[[#This Row],[Utfall bookie]]="","",LayTable[[#This Row],[WBABack]]+LayTable[[#This Row],[WBALay]]-LayTable[[#This Row],[Total inns]])</f>
        <v/>
      </c>
      <c r="U15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1" s="48" t="str">
        <f>IFERROR(IF(LayTable[[#This Row],[Total inns]]="","",LayTable[[#This Row],[Rback]]/LayTable[[#This Row],[Total inns]]),"")</f>
        <v/>
      </c>
      <c r="X1541" s="48" t="str">
        <f>IFERROR(IF(LayTable[[#This Row],[Total inns]]="","",LayTable[[#This Row],[Rlay]]/LayTable[[#This Row],[Total inns]]),"")</f>
        <v/>
      </c>
      <c r="Y1541" s="48" t="str">
        <f>IFERROR(LayTable[[#This Row],[Faktisk res]]/LayTable[[#This Row],[Total inns]],"")</f>
        <v/>
      </c>
      <c r="Z1541" s="47">
        <f>(LayTable[[#This Row],[BookieInnsats]]*LayTable[[#This Row],[BookieOdds]]-LayTable[[#This Row],[BookieInnsats]])*(1-LayTable[[#This Row],[C% Bookie]])</f>
        <v>0</v>
      </c>
      <c r="AA1541" s="43">
        <f>LayTable[[#This Row],[LayInnsats]]*(1-LayTable[[#This Row],[C% Lay]])</f>
        <v>0</v>
      </c>
      <c r="AB1541" s="43" t="str">
        <f>IFERROR(IF(LayTable[[#This Row],[Sport]]="",AB1540,LayTable[[#This Row],[Faktisk res]]+AB1540),"")</f>
        <v/>
      </c>
      <c r="AC1541" s="43">
        <f>(LayTable[[#This Row],[BackWin-Commission]]+LayTable[[#This Row],[BookieInnsats]])</f>
        <v>0</v>
      </c>
      <c r="AD1541" s="43" t="e">
        <f>(LayTable[[#This Row],[LayWin-Commission]])+LayTable[[#This Row],[LayLiability]]</f>
        <v>#VALUE!</v>
      </c>
      <c r="AE1541" s="43"/>
      <c r="AF1541" s="181"/>
    </row>
    <row r="1542" spans="1:32">
      <c r="A1542" s="84"/>
      <c r="B1542" s="39"/>
      <c r="C1542" s="40"/>
      <c r="D1542" s="41"/>
      <c r="E1542" s="40"/>
      <c r="F1542" s="41"/>
      <c r="G1542" s="101"/>
      <c r="H1542" s="38"/>
      <c r="I1542" s="42"/>
      <c r="J1542" s="42"/>
      <c r="K1542" s="43"/>
      <c r="L1542" s="43"/>
      <c r="M1542" s="44" t="str">
        <f>IF(LayTable[[#This Row],[Sport]]="","",LayTable[[#This Row],[LayInnsats]]*(LayTable[[#This Row],[LayOdds]]-1))</f>
        <v/>
      </c>
      <c r="N1542" s="45" t="str">
        <f>IF(LayTable[[#This Row],[Sport]]="","",1/((1/LayTable[[#This Row],[BookieOdds]])+(1/((1/((1+((LayTable[[#This Row],[LayOdds]]-1)*(1+LayTable[[#This Row],[C% Lay]])))-1))+1)))-1)</f>
        <v/>
      </c>
      <c r="Q1542" s="46" t="str">
        <f>IF(LayTable[[#This Row],[Sport]]="","",LayTable[[#This Row],[BookieInnsats]]+LayTable[[#This Row],[LayLiability]])</f>
        <v/>
      </c>
      <c r="R15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2" s="47" t="str">
        <f>IF(LayTable[[#This Row],[Utfall bookie]]="","",LayTable[[#This Row],[WBABack]]+LayTable[[#This Row],[WBALay]]-LayTable[[#This Row],[Total inns]])</f>
        <v/>
      </c>
      <c r="U15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2" s="48" t="str">
        <f>IFERROR(IF(LayTable[[#This Row],[Total inns]]="","",LayTable[[#This Row],[Rback]]/LayTable[[#This Row],[Total inns]]),"")</f>
        <v/>
      </c>
      <c r="X1542" s="48" t="str">
        <f>IFERROR(IF(LayTable[[#This Row],[Total inns]]="","",LayTable[[#This Row],[Rlay]]/LayTable[[#This Row],[Total inns]]),"")</f>
        <v/>
      </c>
      <c r="Y1542" s="48" t="str">
        <f>IFERROR(LayTable[[#This Row],[Faktisk res]]/LayTable[[#This Row],[Total inns]],"")</f>
        <v/>
      </c>
      <c r="Z1542" s="47">
        <f>(LayTable[[#This Row],[BookieInnsats]]*LayTable[[#This Row],[BookieOdds]]-LayTable[[#This Row],[BookieInnsats]])*(1-LayTable[[#This Row],[C% Bookie]])</f>
        <v>0</v>
      </c>
      <c r="AA1542" s="43">
        <f>LayTable[[#This Row],[LayInnsats]]*(1-LayTable[[#This Row],[C% Lay]])</f>
        <v>0</v>
      </c>
      <c r="AB1542" s="43" t="str">
        <f>IFERROR(IF(LayTable[[#This Row],[Sport]]="",AB1541,LayTable[[#This Row],[Faktisk res]]+AB1541),"")</f>
        <v/>
      </c>
      <c r="AC1542" s="43">
        <f>(LayTable[[#This Row],[BackWin-Commission]]+LayTable[[#This Row],[BookieInnsats]])</f>
        <v>0</v>
      </c>
      <c r="AD1542" s="43" t="e">
        <f>(LayTable[[#This Row],[LayWin-Commission]])+LayTable[[#This Row],[LayLiability]]</f>
        <v>#VALUE!</v>
      </c>
      <c r="AE1542" s="43"/>
      <c r="AF1542" s="181"/>
    </row>
    <row r="1543" spans="1:32">
      <c r="A1543" s="84"/>
      <c r="B1543" s="39"/>
      <c r="C1543" s="40"/>
      <c r="D1543" s="41"/>
      <c r="E1543" s="40"/>
      <c r="F1543" s="41"/>
      <c r="G1543" s="101"/>
      <c r="H1543" s="38"/>
      <c r="I1543" s="42"/>
      <c r="J1543" s="42"/>
      <c r="K1543" s="43"/>
      <c r="L1543" s="43"/>
      <c r="M1543" s="44" t="str">
        <f>IF(LayTable[[#This Row],[Sport]]="","",LayTable[[#This Row],[LayInnsats]]*(LayTable[[#This Row],[LayOdds]]-1))</f>
        <v/>
      </c>
      <c r="N1543" s="45" t="str">
        <f>IF(LayTable[[#This Row],[Sport]]="","",1/((1/LayTable[[#This Row],[BookieOdds]])+(1/((1/((1+((LayTable[[#This Row],[LayOdds]]-1)*(1+LayTable[[#This Row],[C% Lay]])))-1))+1)))-1)</f>
        <v/>
      </c>
      <c r="Q1543" s="46" t="str">
        <f>IF(LayTable[[#This Row],[Sport]]="","",LayTable[[#This Row],[BookieInnsats]]+LayTable[[#This Row],[LayLiability]])</f>
        <v/>
      </c>
      <c r="R15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3" s="47" t="str">
        <f>IF(LayTable[[#This Row],[Utfall bookie]]="","",LayTable[[#This Row],[WBABack]]+LayTable[[#This Row],[WBALay]]-LayTable[[#This Row],[Total inns]])</f>
        <v/>
      </c>
      <c r="U15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3" s="48" t="str">
        <f>IFERROR(IF(LayTable[[#This Row],[Total inns]]="","",LayTable[[#This Row],[Rback]]/LayTable[[#This Row],[Total inns]]),"")</f>
        <v/>
      </c>
      <c r="X1543" s="48" t="str">
        <f>IFERROR(IF(LayTable[[#This Row],[Total inns]]="","",LayTable[[#This Row],[Rlay]]/LayTable[[#This Row],[Total inns]]),"")</f>
        <v/>
      </c>
      <c r="Y1543" s="48" t="str">
        <f>IFERROR(LayTable[[#This Row],[Faktisk res]]/LayTable[[#This Row],[Total inns]],"")</f>
        <v/>
      </c>
      <c r="Z1543" s="47">
        <f>(LayTable[[#This Row],[BookieInnsats]]*LayTable[[#This Row],[BookieOdds]]-LayTable[[#This Row],[BookieInnsats]])*(1-LayTable[[#This Row],[C% Bookie]])</f>
        <v>0</v>
      </c>
      <c r="AA1543" s="43">
        <f>LayTable[[#This Row],[LayInnsats]]*(1-LayTable[[#This Row],[C% Lay]])</f>
        <v>0</v>
      </c>
      <c r="AB1543" s="43" t="str">
        <f>IFERROR(IF(LayTable[[#This Row],[Sport]]="",AB1542,LayTable[[#This Row],[Faktisk res]]+AB1542),"")</f>
        <v/>
      </c>
      <c r="AC1543" s="43">
        <f>(LayTable[[#This Row],[BackWin-Commission]]+LayTable[[#This Row],[BookieInnsats]])</f>
        <v>0</v>
      </c>
      <c r="AD1543" s="43" t="e">
        <f>(LayTable[[#This Row],[LayWin-Commission]])+LayTable[[#This Row],[LayLiability]]</f>
        <v>#VALUE!</v>
      </c>
      <c r="AE1543" s="43"/>
      <c r="AF1543" s="181"/>
    </row>
    <row r="1544" spans="1:32">
      <c r="A1544" s="84"/>
      <c r="B1544" s="39"/>
      <c r="C1544" s="40"/>
      <c r="D1544" s="41"/>
      <c r="E1544" s="40"/>
      <c r="F1544" s="41"/>
      <c r="G1544" s="101"/>
      <c r="H1544" s="38"/>
      <c r="I1544" s="42"/>
      <c r="J1544" s="42"/>
      <c r="K1544" s="43"/>
      <c r="L1544" s="43"/>
      <c r="M1544" s="44" t="str">
        <f>IF(LayTable[[#This Row],[Sport]]="","",LayTable[[#This Row],[LayInnsats]]*(LayTable[[#This Row],[LayOdds]]-1))</f>
        <v/>
      </c>
      <c r="N1544" s="45" t="str">
        <f>IF(LayTable[[#This Row],[Sport]]="","",1/((1/LayTable[[#This Row],[BookieOdds]])+(1/((1/((1+((LayTable[[#This Row],[LayOdds]]-1)*(1+LayTable[[#This Row],[C% Lay]])))-1))+1)))-1)</f>
        <v/>
      </c>
      <c r="Q1544" s="46" t="str">
        <f>IF(LayTable[[#This Row],[Sport]]="","",LayTable[[#This Row],[BookieInnsats]]+LayTable[[#This Row],[LayLiability]])</f>
        <v/>
      </c>
      <c r="R15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4" s="47" t="str">
        <f>IF(LayTable[[#This Row],[Utfall bookie]]="","",LayTable[[#This Row],[WBABack]]+LayTable[[#This Row],[WBALay]]-LayTable[[#This Row],[Total inns]])</f>
        <v/>
      </c>
      <c r="U15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4" s="48" t="str">
        <f>IFERROR(IF(LayTable[[#This Row],[Total inns]]="","",LayTable[[#This Row],[Rback]]/LayTable[[#This Row],[Total inns]]),"")</f>
        <v/>
      </c>
      <c r="X1544" s="48" t="str">
        <f>IFERROR(IF(LayTable[[#This Row],[Total inns]]="","",LayTable[[#This Row],[Rlay]]/LayTable[[#This Row],[Total inns]]),"")</f>
        <v/>
      </c>
      <c r="Y1544" s="48" t="str">
        <f>IFERROR(LayTable[[#This Row],[Faktisk res]]/LayTable[[#This Row],[Total inns]],"")</f>
        <v/>
      </c>
      <c r="Z1544" s="47">
        <f>(LayTable[[#This Row],[BookieInnsats]]*LayTable[[#This Row],[BookieOdds]]-LayTable[[#This Row],[BookieInnsats]])*(1-LayTable[[#This Row],[C% Bookie]])</f>
        <v>0</v>
      </c>
      <c r="AA1544" s="43">
        <f>LayTable[[#This Row],[LayInnsats]]*(1-LayTable[[#This Row],[C% Lay]])</f>
        <v>0</v>
      </c>
      <c r="AB1544" s="43" t="str">
        <f>IFERROR(IF(LayTable[[#This Row],[Sport]]="",AB1543,LayTable[[#This Row],[Faktisk res]]+AB1543),"")</f>
        <v/>
      </c>
      <c r="AC1544" s="43">
        <f>(LayTable[[#This Row],[BackWin-Commission]]+LayTable[[#This Row],[BookieInnsats]])</f>
        <v>0</v>
      </c>
      <c r="AD1544" s="43" t="e">
        <f>(LayTable[[#This Row],[LayWin-Commission]])+LayTable[[#This Row],[LayLiability]]</f>
        <v>#VALUE!</v>
      </c>
      <c r="AE1544" s="43"/>
      <c r="AF1544" s="181"/>
    </row>
    <row r="1545" spans="1:32">
      <c r="A1545" s="84"/>
      <c r="B1545" s="39"/>
      <c r="C1545" s="40"/>
      <c r="D1545" s="41"/>
      <c r="E1545" s="40"/>
      <c r="F1545" s="41"/>
      <c r="G1545" s="101"/>
      <c r="H1545" s="38"/>
      <c r="I1545" s="42"/>
      <c r="J1545" s="42"/>
      <c r="K1545" s="43"/>
      <c r="L1545" s="43"/>
      <c r="M1545" s="44" t="str">
        <f>IF(LayTable[[#This Row],[Sport]]="","",LayTable[[#This Row],[LayInnsats]]*(LayTable[[#This Row],[LayOdds]]-1))</f>
        <v/>
      </c>
      <c r="N1545" s="45" t="str">
        <f>IF(LayTable[[#This Row],[Sport]]="","",1/((1/LayTable[[#This Row],[BookieOdds]])+(1/((1/((1+((LayTable[[#This Row],[LayOdds]]-1)*(1+LayTable[[#This Row],[C% Lay]])))-1))+1)))-1)</f>
        <v/>
      </c>
      <c r="Q1545" s="46" t="str">
        <f>IF(LayTable[[#This Row],[Sport]]="","",LayTable[[#This Row],[BookieInnsats]]+LayTable[[#This Row],[LayLiability]])</f>
        <v/>
      </c>
      <c r="R15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5" s="47" t="str">
        <f>IF(LayTable[[#This Row],[Utfall bookie]]="","",LayTable[[#This Row],[WBABack]]+LayTable[[#This Row],[WBALay]]-LayTable[[#This Row],[Total inns]])</f>
        <v/>
      </c>
      <c r="U15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5" s="48" t="str">
        <f>IFERROR(IF(LayTable[[#This Row],[Total inns]]="","",LayTable[[#This Row],[Rback]]/LayTable[[#This Row],[Total inns]]),"")</f>
        <v/>
      </c>
      <c r="X1545" s="48" t="str">
        <f>IFERROR(IF(LayTable[[#This Row],[Total inns]]="","",LayTable[[#This Row],[Rlay]]/LayTable[[#This Row],[Total inns]]),"")</f>
        <v/>
      </c>
      <c r="Y1545" s="48" t="str">
        <f>IFERROR(LayTable[[#This Row],[Faktisk res]]/LayTable[[#This Row],[Total inns]],"")</f>
        <v/>
      </c>
      <c r="Z1545" s="47">
        <f>(LayTable[[#This Row],[BookieInnsats]]*LayTable[[#This Row],[BookieOdds]]-LayTable[[#This Row],[BookieInnsats]])*(1-LayTable[[#This Row],[C% Bookie]])</f>
        <v>0</v>
      </c>
      <c r="AA1545" s="43">
        <f>LayTable[[#This Row],[LayInnsats]]*(1-LayTable[[#This Row],[C% Lay]])</f>
        <v>0</v>
      </c>
      <c r="AB1545" s="43" t="str">
        <f>IFERROR(IF(LayTable[[#This Row],[Sport]]="",AB1544,LayTable[[#This Row],[Faktisk res]]+AB1544),"")</f>
        <v/>
      </c>
      <c r="AC1545" s="43">
        <f>(LayTable[[#This Row],[BackWin-Commission]]+LayTable[[#This Row],[BookieInnsats]])</f>
        <v>0</v>
      </c>
      <c r="AD1545" s="43" t="e">
        <f>(LayTable[[#This Row],[LayWin-Commission]])+LayTable[[#This Row],[LayLiability]]</f>
        <v>#VALUE!</v>
      </c>
      <c r="AE1545" s="43"/>
      <c r="AF1545" s="181"/>
    </row>
    <row r="1546" spans="1:32">
      <c r="A1546" s="84"/>
      <c r="B1546" s="39"/>
      <c r="C1546" s="40"/>
      <c r="D1546" s="41"/>
      <c r="E1546" s="40"/>
      <c r="F1546" s="41"/>
      <c r="G1546" s="101"/>
      <c r="H1546" s="38"/>
      <c r="I1546" s="42"/>
      <c r="J1546" s="42"/>
      <c r="K1546" s="43"/>
      <c r="L1546" s="43"/>
      <c r="M1546" s="44" t="str">
        <f>IF(LayTable[[#This Row],[Sport]]="","",LayTable[[#This Row],[LayInnsats]]*(LayTable[[#This Row],[LayOdds]]-1))</f>
        <v/>
      </c>
      <c r="N1546" s="45" t="str">
        <f>IF(LayTable[[#This Row],[Sport]]="","",1/((1/LayTable[[#This Row],[BookieOdds]])+(1/((1/((1+((LayTable[[#This Row],[LayOdds]]-1)*(1+LayTable[[#This Row],[C% Lay]])))-1))+1)))-1)</f>
        <v/>
      </c>
      <c r="Q1546" s="46" t="str">
        <f>IF(LayTable[[#This Row],[Sport]]="","",LayTable[[#This Row],[BookieInnsats]]+LayTable[[#This Row],[LayLiability]])</f>
        <v/>
      </c>
      <c r="R15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6" s="47" t="str">
        <f>IF(LayTable[[#This Row],[Utfall bookie]]="","",LayTable[[#This Row],[WBABack]]+LayTable[[#This Row],[WBALay]]-LayTable[[#This Row],[Total inns]])</f>
        <v/>
      </c>
      <c r="U15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6" s="48" t="str">
        <f>IFERROR(IF(LayTable[[#This Row],[Total inns]]="","",LayTable[[#This Row],[Rback]]/LayTable[[#This Row],[Total inns]]),"")</f>
        <v/>
      </c>
      <c r="X1546" s="48" t="str">
        <f>IFERROR(IF(LayTable[[#This Row],[Total inns]]="","",LayTable[[#This Row],[Rlay]]/LayTable[[#This Row],[Total inns]]),"")</f>
        <v/>
      </c>
      <c r="Y1546" s="48" t="str">
        <f>IFERROR(LayTable[[#This Row],[Faktisk res]]/LayTable[[#This Row],[Total inns]],"")</f>
        <v/>
      </c>
      <c r="Z1546" s="47">
        <f>(LayTable[[#This Row],[BookieInnsats]]*LayTable[[#This Row],[BookieOdds]]-LayTable[[#This Row],[BookieInnsats]])*(1-LayTable[[#This Row],[C% Bookie]])</f>
        <v>0</v>
      </c>
      <c r="AA1546" s="43">
        <f>LayTable[[#This Row],[LayInnsats]]*(1-LayTable[[#This Row],[C% Lay]])</f>
        <v>0</v>
      </c>
      <c r="AB1546" s="43" t="str">
        <f>IFERROR(IF(LayTable[[#This Row],[Sport]]="",AB1545,LayTable[[#This Row],[Faktisk res]]+AB1545),"")</f>
        <v/>
      </c>
      <c r="AC1546" s="43">
        <f>(LayTable[[#This Row],[BackWin-Commission]]+LayTable[[#This Row],[BookieInnsats]])</f>
        <v>0</v>
      </c>
      <c r="AD1546" s="43" t="e">
        <f>(LayTable[[#This Row],[LayWin-Commission]])+LayTable[[#This Row],[LayLiability]]</f>
        <v>#VALUE!</v>
      </c>
      <c r="AE1546" s="43"/>
      <c r="AF1546" s="181"/>
    </row>
    <row r="1547" spans="1:32">
      <c r="A1547" s="84"/>
      <c r="B1547" s="39"/>
      <c r="C1547" s="40"/>
      <c r="D1547" s="41"/>
      <c r="E1547" s="40"/>
      <c r="F1547" s="41"/>
      <c r="G1547" s="101"/>
      <c r="H1547" s="38"/>
      <c r="I1547" s="42"/>
      <c r="J1547" s="42"/>
      <c r="K1547" s="43"/>
      <c r="L1547" s="43"/>
      <c r="M1547" s="44" t="str">
        <f>IF(LayTable[[#This Row],[Sport]]="","",LayTable[[#This Row],[LayInnsats]]*(LayTable[[#This Row],[LayOdds]]-1))</f>
        <v/>
      </c>
      <c r="N1547" s="45" t="str">
        <f>IF(LayTable[[#This Row],[Sport]]="","",1/((1/LayTable[[#This Row],[BookieOdds]])+(1/((1/((1+((LayTable[[#This Row],[LayOdds]]-1)*(1+LayTable[[#This Row],[C% Lay]])))-1))+1)))-1)</f>
        <v/>
      </c>
      <c r="Q1547" s="46" t="str">
        <f>IF(LayTable[[#This Row],[Sport]]="","",LayTable[[#This Row],[BookieInnsats]]+LayTable[[#This Row],[LayLiability]])</f>
        <v/>
      </c>
      <c r="R15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7" s="47" t="str">
        <f>IF(LayTable[[#This Row],[Utfall bookie]]="","",LayTable[[#This Row],[WBABack]]+LayTable[[#This Row],[WBALay]]-LayTable[[#This Row],[Total inns]])</f>
        <v/>
      </c>
      <c r="U15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7" s="48" t="str">
        <f>IFERROR(IF(LayTable[[#This Row],[Total inns]]="","",LayTable[[#This Row],[Rback]]/LayTable[[#This Row],[Total inns]]),"")</f>
        <v/>
      </c>
      <c r="X1547" s="48" t="str">
        <f>IFERROR(IF(LayTable[[#This Row],[Total inns]]="","",LayTable[[#This Row],[Rlay]]/LayTable[[#This Row],[Total inns]]),"")</f>
        <v/>
      </c>
      <c r="Y1547" s="48" t="str">
        <f>IFERROR(LayTable[[#This Row],[Faktisk res]]/LayTable[[#This Row],[Total inns]],"")</f>
        <v/>
      </c>
      <c r="Z1547" s="47">
        <f>(LayTable[[#This Row],[BookieInnsats]]*LayTable[[#This Row],[BookieOdds]]-LayTable[[#This Row],[BookieInnsats]])*(1-LayTable[[#This Row],[C% Bookie]])</f>
        <v>0</v>
      </c>
      <c r="AA1547" s="43">
        <f>LayTable[[#This Row],[LayInnsats]]*(1-LayTable[[#This Row],[C% Lay]])</f>
        <v>0</v>
      </c>
      <c r="AB1547" s="43" t="str">
        <f>IFERROR(IF(LayTable[[#This Row],[Sport]]="",AB1546,LayTable[[#This Row],[Faktisk res]]+AB1546),"")</f>
        <v/>
      </c>
      <c r="AC1547" s="43">
        <f>(LayTable[[#This Row],[BackWin-Commission]]+LayTable[[#This Row],[BookieInnsats]])</f>
        <v>0</v>
      </c>
      <c r="AD1547" s="43" t="e">
        <f>(LayTable[[#This Row],[LayWin-Commission]])+LayTable[[#This Row],[LayLiability]]</f>
        <v>#VALUE!</v>
      </c>
      <c r="AE1547" s="43"/>
      <c r="AF1547" s="181"/>
    </row>
    <row r="1548" spans="1:32">
      <c r="A1548" s="84"/>
      <c r="B1548" s="39"/>
      <c r="C1548" s="40"/>
      <c r="D1548" s="41"/>
      <c r="E1548" s="40"/>
      <c r="F1548" s="41"/>
      <c r="G1548" s="101"/>
      <c r="H1548" s="38"/>
      <c r="I1548" s="42"/>
      <c r="J1548" s="42"/>
      <c r="K1548" s="43"/>
      <c r="L1548" s="43"/>
      <c r="M1548" s="44" t="str">
        <f>IF(LayTable[[#This Row],[Sport]]="","",LayTable[[#This Row],[LayInnsats]]*(LayTable[[#This Row],[LayOdds]]-1))</f>
        <v/>
      </c>
      <c r="N1548" s="45" t="str">
        <f>IF(LayTable[[#This Row],[Sport]]="","",1/((1/LayTable[[#This Row],[BookieOdds]])+(1/((1/((1+((LayTable[[#This Row],[LayOdds]]-1)*(1+LayTable[[#This Row],[C% Lay]])))-1))+1)))-1)</f>
        <v/>
      </c>
      <c r="Q1548" s="46" t="str">
        <f>IF(LayTable[[#This Row],[Sport]]="","",LayTable[[#This Row],[BookieInnsats]]+LayTable[[#This Row],[LayLiability]])</f>
        <v/>
      </c>
      <c r="R15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8" s="47" t="str">
        <f>IF(LayTable[[#This Row],[Utfall bookie]]="","",LayTable[[#This Row],[WBABack]]+LayTable[[#This Row],[WBALay]]-LayTable[[#This Row],[Total inns]])</f>
        <v/>
      </c>
      <c r="U15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8" s="48" t="str">
        <f>IFERROR(IF(LayTable[[#This Row],[Total inns]]="","",LayTable[[#This Row],[Rback]]/LayTable[[#This Row],[Total inns]]),"")</f>
        <v/>
      </c>
      <c r="X1548" s="48" t="str">
        <f>IFERROR(IF(LayTable[[#This Row],[Total inns]]="","",LayTable[[#This Row],[Rlay]]/LayTable[[#This Row],[Total inns]]),"")</f>
        <v/>
      </c>
      <c r="Y1548" s="48" t="str">
        <f>IFERROR(LayTable[[#This Row],[Faktisk res]]/LayTable[[#This Row],[Total inns]],"")</f>
        <v/>
      </c>
      <c r="Z1548" s="47">
        <f>(LayTable[[#This Row],[BookieInnsats]]*LayTable[[#This Row],[BookieOdds]]-LayTable[[#This Row],[BookieInnsats]])*(1-LayTable[[#This Row],[C% Bookie]])</f>
        <v>0</v>
      </c>
      <c r="AA1548" s="43">
        <f>LayTable[[#This Row],[LayInnsats]]*(1-LayTable[[#This Row],[C% Lay]])</f>
        <v>0</v>
      </c>
      <c r="AB1548" s="43" t="str">
        <f>IFERROR(IF(LayTable[[#This Row],[Sport]]="",AB1547,LayTable[[#This Row],[Faktisk res]]+AB1547),"")</f>
        <v/>
      </c>
      <c r="AC1548" s="43">
        <f>(LayTable[[#This Row],[BackWin-Commission]]+LayTable[[#This Row],[BookieInnsats]])</f>
        <v>0</v>
      </c>
      <c r="AD1548" s="43" t="e">
        <f>(LayTable[[#This Row],[LayWin-Commission]])+LayTable[[#This Row],[LayLiability]]</f>
        <v>#VALUE!</v>
      </c>
      <c r="AE1548" s="43"/>
      <c r="AF1548" s="181"/>
    </row>
    <row r="1549" spans="1:32">
      <c r="A1549" s="84"/>
      <c r="B1549" s="39"/>
      <c r="C1549" s="40"/>
      <c r="D1549" s="41"/>
      <c r="E1549" s="40"/>
      <c r="F1549" s="41"/>
      <c r="G1549" s="101"/>
      <c r="H1549" s="38"/>
      <c r="I1549" s="42"/>
      <c r="J1549" s="42"/>
      <c r="K1549" s="43"/>
      <c r="L1549" s="43"/>
      <c r="M1549" s="44" t="str">
        <f>IF(LayTable[[#This Row],[Sport]]="","",LayTable[[#This Row],[LayInnsats]]*(LayTable[[#This Row],[LayOdds]]-1))</f>
        <v/>
      </c>
      <c r="N1549" s="45" t="str">
        <f>IF(LayTable[[#This Row],[Sport]]="","",1/((1/LayTable[[#This Row],[BookieOdds]])+(1/((1/((1+((LayTable[[#This Row],[LayOdds]]-1)*(1+LayTable[[#This Row],[C% Lay]])))-1))+1)))-1)</f>
        <v/>
      </c>
      <c r="Q1549" s="46" t="str">
        <f>IF(LayTable[[#This Row],[Sport]]="","",LayTable[[#This Row],[BookieInnsats]]+LayTable[[#This Row],[LayLiability]])</f>
        <v/>
      </c>
      <c r="R15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49" s="47" t="str">
        <f>IF(LayTable[[#This Row],[Utfall bookie]]="","",LayTable[[#This Row],[WBABack]]+LayTable[[#This Row],[WBALay]]-LayTable[[#This Row],[Total inns]])</f>
        <v/>
      </c>
      <c r="U15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49" s="48" t="str">
        <f>IFERROR(IF(LayTable[[#This Row],[Total inns]]="","",LayTable[[#This Row],[Rback]]/LayTable[[#This Row],[Total inns]]),"")</f>
        <v/>
      </c>
      <c r="X1549" s="48" t="str">
        <f>IFERROR(IF(LayTable[[#This Row],[Total inns]]="","",LayTable[[#This Row],[Rlay]]/LayTable[[#This Row],[Total inns]]),"")</f>
        <v/>
      </c>
      <c r="Y1549" s="48" t="str">
        <f>IFERROR(LayTable[[#This Row],[Faktisk res]]/LayTable[[#This Row],[Total inns]],"")</f>
        <v/>
      </c>
      <c r="Z1549" s="47">
        <f>(LayTable[[#This Row],[BookieInnsats]]*LayTable[[#This Row],[BookieOdds]]-LayTable[[#This Row],[BookieInnsats]])*(1-LayTable[[#This Row],[C% Bookie]])</f>
        <v>0</v>
      </c>
      <c r="AA1549" s="43">
        <f>LayTable[[#This Row],[LayInnsats]]*(1-LayTable[[#This Row],[C% Lay]])</f>
        <v>0</v>
      </c>
      <c r="AB1549" s="43" t="str">
        <f>IFERROR(IF(LayTable[[#This Row],[Sport]]="",AB1548,LayTable[[#This Row],[Faktisk res]]+AB1548),"")</f>
        <v/>
      </c>
      <c r="AC1549" s="43">
        <f>(LayTable[[#This Row],[BackWin-Commission]]+LayTable[[#This Row],[BookieInnsats]])</f>
        <v>0</v>
      </c>
      <c r="AD1549" s="43" t="e">
        <f>(LayTable[[#This Row],[LayWin-Commission]])+LayTable[[#This Row],[LayLiability]]</f>
        <v>#VALUE!</v>
      </c>
      <c r="AE1549" s="43"/>
      <c r="AF1549" s="181"/>
    </row>
    <row r="1550" spans="1:32">
      <c r="A1550" s="84"/>
      <c r="B1550" s="39"/>
      <c r="C1550" s="40"/>
      <c r="D1550" s="41"/>
      <c r="E1550" s="40"/>
      <c r="F1550" s="41"/>
      <c r="G1550" s="101"/>
      <c r="H1550" s="38"/>
      <c r="I1550" s="42"/>
      <c r="J1550" s="42"/>
      <c r="K1550" s="43"/>
      <c r="L1550" s="43"/>
      <c r="M1550" s="44" t="str">
        <f>IF(LayTable[[#This Row],[Sport]]="","",LayTable[[#This Row],[LayInnsats]]*(LayTable[[#This Row],[LayOdds]]-1))</f>
        <v/>
      </c>
      <c r="N1550" s="45" t="str">
        <f>IF(LayTable[[#This Row],[Sport]]="","",1/((1/LayTable[[#This Row],[BookieOdds]])+(1/((1/((1+((LayTable[[#This Row],[LayOdds]]-1)*(1+LayTable[[#This Row],[C% Lay]])))-1))+1)))-1)</f>
        <v/>
      </c>
      <c r="Q1550" s="46" t="str">
        <f>IF(LayTable[[#This Row],[Sport]]="","",LayTable[[#This Row],[BookieInnsats]]+LayTable[[#This Row],[LayLiability]])</f>
        <v/>
      </c>
      <c r="R15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0" s="47" t="str">
        <f>IF(LayTable[[#This Row],[Utfall bookie]]="","",LayTable[[#This Row],[WBABack]]+LayTable[[#This Row],[WBALay]]-LayTable[[#This Row],[Total inns]])</f>
        <v/>
      </c>
      <c r="U15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0" s="48" t="str">
        <f>IFERROR(IF(LayTable[[#This Row],[Total inns]]="","",LayTable[[#This Row],[Rback]]/LayTable[[#This Row],[Total inns]]),"")</f>
        <v/>
      </c>
      <c r="X1550" s="48" t="str">
        <f>IFERROR(IF(LayTable[[#This Row],[Total inns]]="","",LayTable[[#This Row],[Rlay]]/LayTable[[#This Row],[Total inns]]),"")</f>
        <v/>
      </c>
      <c r="Y1550" s="48" t="str">
        <f>IFERROR(LayTable[[#This Row],[Faktisk res]]/LayTable[[#This Row],[Total inns]],"")</f>
        <v/>
      </c>
      <c r="Z1550" s="47">
        <f>(LayTable[[#This Row],[BookieInnsats]]*LayTable[[#This Row],[BookieOdds]]-LayTable[[#This Row],[BookieInnsats]])*(1-LayTable[[#This Row],[C% Bookie]])</f>
        <v>0</v>
      </c>
      <c r="AA1550" s="43">
        <f>LayTable[[#This Row],[LayInnsats]]*(1-LayTable[[#This Row],[C% Lay]])</f>
        <v>0</v>
      </c>
      <c r="AB1550" s="43" t="str">
        <f>IFERROR(IF(LayTable[[#This Row],[Sport]]="",AB1549,LayTable[[#This Row],[Faktisk res]]+AB1549),"")</f>
        <v/>
      </c>
      <c r="AC1550" s="43">
        <f>(LayTable[[#This Row],[BackWin-Commission]]+LayTable[[#This Row],[BookieInnsats]])</f>
        <v>0</v>
      </c>
      <c r="AD1550" s="43" t="e">
        <f>(LayTable[[#This Row],[LayWin-Commission]])+LayTable[[#This Row],[LayLiability]]</f>
        <v>#VALUE!</v>
      </c>
      <c r="AE1550" s="43"/>
      <c r="AF1550" s="181"/>
    </row>
    <row r="1551" spans="1:32">
      <c r="A1551" s="84"/>
      <c r="B1551" s="39"/>
      <c r="C1551" s="40"/>
      <c r="D1551" s="41"/>
      <c r="E1551" s="40"/>
      <c r="F1551" s="41"/>
      <c r="G1551" s="101"/>
      <c r="H1551" s="38"/>
      <c r="I1551" s="42"/>
      <c r="J1551" s="42"/>
      <c r="K1551" s="43"/>
      <c r="L1551" s="43"/>
      <c r="M1551" s="44" t="str">
        <f>IF(LayTable[[#This Row],[Sport]]="","",LayTable[[#This Row],[LayInnsats]]*(LayTable[[#This Row],[LayOdds]]-1))</f>
        <v/>
      </c>
      <c r="N1551" s="45" t="str">
        <f>IF(LayTable[[#This Row],[Sport]]="","",1/((1/LayTable[[#This Row],[BookieOdds]])+(1/((1/((1+((LayTable[[#This Row],[LayOdds]]-1)*(1+LayTable[[#This Row],[C% Lay]])))-1))+1)))-1)</f>
        <v/>
      </c>
      <c r="Q1551" s="46" t="str">
        <f>IF(LayTable[[#This Row],[Sport]]="","",LayTable[[#This Row],[BookieInnsats]]+LayTable[[#This Row],[LayLiability]])</f>
        <v/>
      </c>
      <c r="R15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1" s="47" t="str">
        <f>IF(LayTable[[#This Row],[Utfall bookie]]="","",LayTable[[#This Row],[WBABack]]+LayTable[[#This Row],[WBALay]]-LayTable[[#This Row],[Total inns]])</f>
        <v/>
      </c>
      <c r="U15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1" s="48" t="str">
        <f>IFERROR(IF(LayTable[[#This Row],[Total inns]]="","",LayTable[[#This Row],[Rback]]/LayTable[[#This Row],[Total inns]]),"")</f>
        <v/>
      </c>
      <c r="X1551" s="48" t="str">
        <f>IFERROR(IF(LayTable[[#This Row],[Total inns]]="","",LayTable[[#This Row],[Rlay]]/LayTable[[#This Row],[Total inns]]),"")</f>
        <v/>
      </c>
      <c r="Y1551" s="48" t="str">
        <f>IFERROR(LayTable[[#This Row],[Faktisk res]]/LayTable[[#This Row],[Total inns]],"")</f>
        <v/>
      </c>
      <c r="Z1551" s="47">
        <f>(LayTable[[#This Row],[BookieInnsats]]*LayTable[[#This Row],[BookieOdds]]-LayTable[[#This Row],[BookieInnsats]])*(1-LayTable[[#This Row],[C% Bookie]])</f>
        <v>0</v>
      </c>
      <c r="AA1551" s="43">
        <f>LayTable[[#This Row],[LayInnsats]]*(1-LayTable[[#This Row],[C% Lay]])</f>
        <v>0</v>
      </c>
      <c r="AB1551" s="43" t="str">
        <f>IFERROR(IF(LayTable[[#This Row],[Sport]]="",AB1550,LayTable[[#This Row],[Faktisk res]]+AB1550),"")</f>
        <v/>
      </c>
      <c r="AC1551" s="43">
        <f>(LayTable[[#This Row],[BackWin-Commission]]+LayTable[[#This Row],[BookieInnsats]])</f>
        <v>0</v>
      </c>
      <c r="AD1551" s="43" t="e">
        <f>(LayTable[[#This Row],[LayWin-Commission]])+LayTable[[#This Row],[LayLiability]]</f>
        <v>#VALUE!</v>
      </c>
      <c r="AE1551" s="43"/>
      <c r="AF1551" s="181"/>
    </row>
    <row r="1552" spans="1:32">
      <c r="A1552" s="84"/>
      <c r="B1552" s="39"/>
      <c r="C1552" s="40"/>
      <c r="D1552" s="41"/>
      <c r="E1552" s="40"/>
      <c r="F1552" s="41"/>
      <c r="G1552" s="101"/>
      <c r="H1552" s="38"/>
      <c r="I1552" s="42"/>
      <c r="J1552" s="42"/>
      <c r="K1552" s="43"/>
      <c r="L1552" s="43"/>
      <c r="M1552" s="44" t="str">
        <f>IF(LayTable[[#This Row],[Sport]]="","",LayTable[[#This Row],[LayInnsats]]*(LayTable[[#This Row],[LayOdds]]-1))</f>
        <v/>
      </c>
      <c r="N1552" s="45" t="str">
        <f>IF(LayTable[[#This Row],[Sport]]="","",1/((1/LayTable[[#This Row],[BookieOdds]])+(1/((1/((1+((LayTable[[#This Row],[LayOdds]]-1)*(1+LayTable[[#This Row],[C% Lay]])))-1))+1)))-1)</f>
        <v/>
      </c>
      <c r="Q1552" s="46" t="str">
        <f>IF(LayTable[[#This Row],[Sport]]="","",LayTable[[#This Row],[BookieInnsats]]+LayTable[[#This Row],[LayLiability]])</f>
        <v/>
      </c>
      <c r="R15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2" s="47" t="str">
        <f>IF(LayTable[[#This Row],[Utfall bookie]]="","",LayTable[[#This Row],[WBABack]]+LayTable[[#This Row],[WBALay]]-LayTable[[#This Row],[Total inns]])</f>
        <v/>
      </c>
      <c r="U15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2" s="48" t="str">
        <f>IFERROR(IF(LayTable[[#This Row],[Total inns]]="","",LayTable[[#This Row],[Rback]]/LayTable[[#This Row],[Total inns]]),"")</f>
        <v/>
      </c>
      <c r="X1552" s="48" t="str">
        <f>IFERROR(IF(LayTable[[#This Row],[Total inns]]="","",LayTable[[#This Row],[Rlay]]/LayTable[[#This Row],[Total inns]]),"")</f>
        <v/>
      </c>
      <c r="Y1552" s="48" t="str">
        <f>IFERROR(LayTable[[#This Row],[Faktisk res]]/LayTable[[#This Row],[Total inns]],"")</f>
        <v/>
      </c>
      <c r="Z1552" s="47">
        <f>(LayTable[[#This Row],[BookieInnsats]]*LayTable[[#This Row],[BookieOdds]]-LayTable[[#This Row],[BookieInnsats]])*(1-LayTable[[#This Row],[C% Bookie]])</f>
        <v>0</v>
      </c>
      <c r="AA1552" s="43">
        <f>LayTable[[#This Row],[LayInnsats]]*(1-LayTable[[#This Row],[C% Lay]])</f>
        <v>0</v>
      </c>
      <c r="AB1552" s="43" t="str">
        <f>IFERROR(IF(LayTable[[#This Row],[Sport]]="",AB1551,LayTable[[#This Row],[Faktisk res]]+AB1551),"")</f>
        <v/>
      </c>
      <c r="AC1552" s="43">
        <f>(LayTable[[#This Row],[BackWin-Commission]]+LayTable[[#This Row],[BookieInnsats]])</f>
        <v>0</v>
      </c>
      <c r="AD1552" s="43" t="e">
        <f>(LayTable[[#This Row],[LayWin-Commission]])+LayTable[[#This Row],[LayLiability]]</f>
        <v>#VALUE!</v>
      </c>
      <c r="AE1552" s="43"/>
      <c r="AF1552" s="181"/>
    </row>
    <row r="1553" spans="1:32">
      <c r="A1553" s="84"/>
      <c r="B1553" s="39"/>
      <c r="C1553" s="40"/>
      <c r="D1553" s="41"/>
      <c r="E1553" s="40"/>
      <c r="F1553" s="41"/>
      <c r="G1553" s="101"/>
      <c r="H1553" s="38"/>
      <c r="I1553" s="42"/>
      <c r="J1553" s="42"/>
      <c r="K1553" s="43"/>
      <c r="L1553" s="43"/>
      <c r="M1553" s="44" t="str">
        <f>IF(LayTable[[#This Row],[Sport]]="","",LayTable[[#This Row],[LayInnsats]]*(LayTable[[#This Row],[LayOdds]]-1))</f>
        <v/>
      </c>
      <c r="N1553" s="45" t="str">
        <f>IF(LayTable[[#This Row],[Sport]]="","",1/((1/LayTable[[#This Row],[BookieOdds]])+(1/((1/((1+((LayTable[[#This Row],[LayOdds]]-1)*(1+LayTable[[#This Row],[C% Lay]])))-1))+1)))-1)</f>
        <v/>
      </c>
      <c r="Q1553" s="46" t="str">
        <f>IF(LayTable[[#This Row],[Sport]]="","",LayTable[[#This Row],[BookieInnsats]]+LayTable[[#This Row],[LayLiability]])</f>
        <v/>
      </c>
      <c r="R15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3" s="47" t="str">
        <f>IF(LayTable[[#This Row],[Utfall bookie]]="","",LayTable[[#This Row],[WBABack]]+LayTable[[#This Row],[WBALay]]-LayTable[[#This Row],[Total inns]])</f>
        <v/>
      </c>
      <c r="U15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3" s="48" t="str">
        <f>IFERROR(IF(LayTable[[#This Row],[Total inns]]="","",LayTable[[#This Row],[Rback]]/LayTable[[#This Row],[Total inns]]),"")</f>
        <v/>
      </c>
      <c r="X1553" s="48" t="str">
        <f>IFERROR(IF(LayTable[[#This Row],[Total inns]]="","",LayTable[[#This Row],[Rlay]]/LayTable[[#This Row],[Total inns]]),"")</f>
        <v/>
      </c>
      <c r="Y1553" s="48" t="str">
        <f>IFERROR(LayTable[[#This Row],[Faktisk res]]/LayTable[[#This Row],[Total inns]],"")</f>
        <v/>
      </c>
      <c r="Z1553" s="47">
        <f>(LayTable[[#This Row],[BookieInnsats]]*LayTable[[#This Row],[BookieOdds]]-LayTable[[#This Row],[BookieInnsats]])*(1-LayTable[[#This Row],[C% Bookie]])</f>
        <v>0</v>
      </c>
      <c r="AA1553" s="43">
        <f>LayTable[[#This Row],[LayInnsats]]*(1-LayTable[[#This Row],[C% Lay]])</f>
        <v>0</v>
      </c>
      <c r="AB1553" s="43" t="str">
        <f>IFERROR(IF(LayTable[[#This Row],[Sport]]="",AB1552,LayTable[[#This Row],[Faktisk res]]+AB1552),"")</f>
        <v/>
      </c>
      <c r="AC1553" s="43">
        <f>(LayTable[[#This Row],[BackWin-Commission]]+LayTable[[#This Row],[BookieInnsats]])</f>
        <v>0</v>
      </c>
      <c r="AD1553" s="43" t="e">
        <f>(LayTable[[#This Row],[LayWin-Commission]])+LayTable[[#This Row],[LayLiability]]</f>
        <v>#VALUE!</v>
      </c>
      <c r="AE1553" s="43"/>
      <c r="AF1553" s="181"/>
    </row>
    <row r="1554" spans="1:32">
      <c r="A1554" s="84"/>
      <c r="B1554" s="39"/>
      <c r="C1554" s="40"/>
      <c r="D1554" s="41"/>
      <c r="E1554" s="40"/>
      <c r="F1554" s="41"/>
      <c r="G1554" s="101"/>
      <c r="H1554" s="38"/>
      <c r="I1554" s="42"/>
      <c r="J1554" s="42"/>
      <c r="K1554" s="43"/>
      <c r="L1554" s="43"/>
      <c r="M1554" s="44" t="str">
        <f>IF(LayTable[[#This Row],[Sport]]="","",LayTable[[#This Row],[LayInnsats]]*(LayTable[[#This Row],[LayOdds]]-1))</f>
        <v/>
      </c>
      <c r="N1554" s="45" t="str">
        <f>IF(LayTable[[#This Row],[Sport]]="","",1/((1/LayTable[[#This Row],[BookieOdds]])+(1/((1/((1+((LayTable[[#This Row],[LayOdds]]-1)*(1+LayTable[[#This Row],[C% Lay]])))-1))+1)))-1)</f>
        <v/>
      </c>
      <c r="Q1554" s="46" t="str">
        <f>IF(LayTable[[#This Row],[Sport]]="","",LayTable[[#This Row],[BookieInnsats]]+LayTable[[#This Row],[LayLiability]])</f>
        <v/>
      </c>
      <c r="R15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4" s="47" t="str">
        <f>IF(LayTable[[#This Row],[Utfall bookie]]="","",LayTable[[#This Row],[WBABack]]+LayTable[[#This Row],[WBALay]]-LayTable[[#This Row],[Total inns]])</f>
        <v/>
      </c>
      <c r="U15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4" s="48" t="str">
        <f>IFERROR(IF(LayTable[[#This Row],[Total inns]]="","",LayTable[[#This Row],[Rback]]/LayTable[[#This Row],[Total inns]]),"")</f>
        <v/>
      </c>
      <c r="X1554" s="48" t="str">
        <f>IFERROR(IF(LayTable[[#This Row],[Total inns]]="","",LayTable[[#This Row],[Rlay]]/LayTable[[#This Row],[Total inns]]),"")</f>
        <v/>
      </c>
      <c r="Y1554" s="48" t="str">
        <f>IFERROR(LayTable[[#This Row],[Faktisk res]]/LayTable[[#This Row],[Total inns]],"")</f>
        <v/>
      </c>
      <c r="Z1554" s="47">
        <f>(LayTable[[#This Row],[BookieInnsats]]*LayTable[[#This Row],[BookieOdds]]-LayTable[[#This Row],[BookieInnsats]])*(1-LayTable[[#This Row],[C% Bookie]])</f>
        <v>0</v>
      </c>
      <c r="AA1554" s="43">
        <f>LayTable[[#This Row],[LayInnsats]]*(1-LayTable[[#This Row],[C% Lay]])</f>
        <v>0</v>
      </c>
      <c r="AB1554" s="43" t="str">
        <f>IFERROR(IF(LayTable[[#This Row],[Sport]]="",AB1553,LayTable[[#This Row],[Faktisk res]]+AB1553),"")</f>
        <v/>
      </c>
      <c r="AC1554" s="43">
        <f>(LayTable[[#This Row],[BackWin-Commission]]+LayTable[[#This Row],[BookieInnsats]])</f>
        <v>0</v>
      </c>
      <c r="AD1554" s="43" t="e">
        <f>(LayTable[[#This Row],[LayWin-Commission]])+LayTable[[#This Row],[LayLiability]]</f>
        <v>#VALUE!</v>
      </c>
      <c r="AE1554" s="43"/>
      <c r="AF1554" s="181"/>
    </row>
    <row r="1555" spans="1:32">
      <c r="A1555" s="84"/>
      <c r="B1555" s="39"/>
      <c r="C1555" s="40"/>
      <c r="D1555" s="41"/>
      <c r="E1555" s="40"/>
      <c r="F1555" s="41"/>
      <c r="G1555" s="101"/>
      <c r="H1555" s="38"/>
      <c r="I1555" s="42"/>
      <c r="J1555" s="42"/>
      <c r="K1555" s="43"/>
      <c r="L1555" s="43"/>
      <c r="M1555" s="44" t="str">
        <f>IF(LayTable[[#This Row],[Sport]]="","",LayTable[[#This Row],[LayInnsats]]*(LayTable[[#This Row],[LayOdds]]-1))</f>
        <v/>
      </c>
      <c r="N1555" s="45" t="str">
        <f>IF(LayTable[[#This Row],[Sport]]="","",1/((1/LayTable[[#This Row],[BookieOdds]])+(1/((1/((1+((LayTable[[#This Row],[LayOdds]]-1)*(1+LayTable[[#This Row],[C% Lay]])))-1))+1)))-1)</f>
        <v/>
      </c>
      <c r="Q1555" s="46" t="str">
        <f>IF(LayTable[[#This Row],[Sport]]="","",LayTable[[#This Row],[BookieInnsats]]+LayTable[[#This Row],[LayLiability]])</f>
        <v/>
      </c>
      <c r="R15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5" s="47" t="str">
        <f>IF(LayTable[[#This Row],[Utfall bookie]]="","",LayTable[[#This Row],[WBABack]]+LayTable[[#This Row],[WBALay]]-LayTable[[#This Row],[Total inns]])</f>
        <v/>
      </c>
      <c r="U15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5" s="48" t="str">
        <f>IFERROR(IF(LayTable[[#This Row],[Total inns]]="","",LayTable[[#This Row],[Rback]]/LayTable[[#This Row],[Total inns]]),"")</f>
        <v/>
      </c>
      <c r="X1555" s="48" t="str">
        <f>IFERROR(IF(LayTable[[#This Row],[Total inns]]="","",LayTable[[#This Row],[Rlay]]/LayTable[[#This Row],[Total inns]]),"")</f>
        <v/>
      </c>
      <c r="Y1555" s="48" t="str">
        <f>IFERROR(LayTable[[#This Row],[Faktisk res]]/LayTable[[#This Row],[Total inns]],"")</f>
        <v/>
      </c>
      <c r="Z1555" s="47">
        <f>(LayTable[[#This Row],[BookieInnsats]]*LayTable[[#This Row],[BookieOdds]]-LayTable[[#This Row],[BookieInnsats]])*(1-LayTable[[#This Row],[C% Bookie]])</f>
        <v>0</v>
      </c>
      <c r="AA1555" s="43">
        <f>LayTable[[#This Row],[LayInnsats]]*(1-LayTable[[#This Row],[C% Lay]])</f>
        <v>0</v>
      </c>
      <c r="AB1555" s="43" t="str">
        <f>IFERROR(IF(LayTable[[#This Row],[Sport]]="",AB1554,LayTable[[#This Row],[Faktisk res]]+AB1554),"")</f>
        <v/>
      </c>
      <c r="AC1555" s="43">
        <f>(LayTable[[#This Row],[BackWin-Commission]]+LayTable[[#This Row],[BookieInnsats]])</f>
        <v>0</v>
      </c>
      <c r="AD1555" s="43" t="e">
        <f>(LayTable[[#This Row],[LayWin-Commission]])+LayTable[[#This Row],[LayLiability]]</f>
        <v>#VALUE!</v>
      </c>
      <c r="AE1555" s="43"/>
      <c r="AF1555" s="181"/>
    </row>
    <row r="1556" spans="1:32">
      <c r="A1556" s="84"/>
      <c r="B1556" s="39"/>
      <c r="C1556" s="40"/>
      <c r="D1556" s="41"/>
      <c r="E1556" s="40"/>
      <c r="F1556" s="41"/>
      <c r="G1556" s="101"/>
      <c r="H1556" s="38"/>
      <c r="I1556" s="42"/>
      <c r="J1556" s="42"/>
      <c r="K1556" s="43"/>
      <c r="L1556" s="43"/>
      <c r="M1556" s="44" t="str">
        <f>IF(LayTable[[#This Row],[Sport]]="","",LayTable[[#This Row],[LayInnsats]]*(LayTable[[#This Row],[LayOdds]]-1))</f>
        <v/>
      </c>
      <c r="N1556" s="45" t="str">
        <f>IF(LayTable[[#This Row],[Sport]]="","",1/((1/LayTable[[#This Row],[BookieOdds]])+(1/((1/((1+((LayTable[[#This Row],[LayOdds]]-1)*(1+LayTable[[#This Row],[C% Lay]])))-1))+1)))-1)</f>
        <v/>
      </c>
      <c r="Q1556" s="46" t="str">
        <f>IF(LayTable[[#This Row],[Sport]]="","",LayTable[[#This Row],[BookieInnsats]]+LayTable[[#This Row],[LayLiability]])</f>
        <v/>
      </c>
      <c r="R15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6" s="47" t="str">
        <f>IF(LayTable[[#This Row],[Utfall bookie]]="","",LayTable[[#This Row],[WBABack]]+LayTable[[#This Row],[WBALay]]-LayTable[[#This Row],[Total inns]])</f>
        <v/>
      </c>
      <c r="U15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6" s="48" t="str">
        <f>IFERROR(IF(LayTable[[#This Row],[Total inns]]="","",LayTable[[#This Row],[Rback]]/LayTable[[#This Row],[Total inns]]),"")</f>
        <v/>
      </c>
      <c r="X1556" s="48" t="str">
        <f>IFERROR(IF(LayTable[[#This Row],[Total inns]]="","",LayTable[[#This Row],[Rlay]]/LayTable[[#This Row],[Total inns]]),"")</f>
        <v/>
      </c>
      <c r="Y1556" s="48" t="str">
        <f>IFERROR(LayTable[[#This Row],[Faktisk res]]/LayTable[[#This Row],[Total inns]],"")</f>
        <v/>
      </c>
      <c r="Z1556" s="47">
        <f>(LayTable[[#This Row],[BookieInnsats]]*LayTable[[#This Row],[BookieOdds]]-LayTable[[#This Row],[BookieInnsats]])*(1-LayTable[[#This Row],[C% Bookie]])</f>
        <v>0</v>
      </c>
      <c r="AA1556" s="43">
        <f>LayTable[[#This Row],[LayInnsats]]*(1-LayTable[[#This Row],[C% Lay]])</f>
        <v>0</v>
      </c>
      <c r="AB1556" s="43" t="str">
        <f>IFERROR(IF(LayTable[[#This Row],[Sport]]="",AB1555,LayTable[[#This Row],[Faktisk res]]+AB1555),"")</f>
        <v/>
      </c>
      <c r="AC1556" s="43">
        <f>(LayTable[[#This Row],[BackWin-Commission]]+LayTable[[#This Row],[BookieInnsats]])</f>
        <v>0</v>
      </c>
      <c r="AD1556" s="43" t="e">
        <f>(LayTable[[#This Row],[LayWin-Commission]])+LayTable[[#This Row],[LayLiability]]</f>
        <v>#VALUE!</v>
      </c>
      <c r="AE1556" s="43"/>
      <c r="AF1556" s="181"/>
    </row>
    <row r="1557" spans="1:32">
      <c r="A1557" s="84"/>
      <c r="B1557" s="39"/>
      <c r="C1557" s="40"/>
      <c r="D1557" s="41"/>
      <c r="E1557" s="40"/>
      <c r="F1557" s="41"/>
      <c r="G1557" s="101"/>
      <c r="H1557" s="38"/>
      <c r="I1557" s="42"/>
      <c r="J1557" s="42"/>
      <c r="K1557" s="43"/>
      <c r="L1557" s="43"/>
      <c r="M1557" s="44" t="str">
        <f>IF(LayTable[[#This Row],[Sport]]="","",LayTable[[#This Row],[LayInnsats]]*(LayTable[[#This Row],[LayOdds]]-1))</f>
        <v/>
      </c>
      <c r="N1557" s="45" t="str">
        <f>IF(LayTable[[#This Row],[Sport]]="","",1/((1/LayTable[[#This Row],[BookieOdds]])+(1/((1/((1+((LayTable[[#This Row],[LayOdds]]-1)*(1+LayTable[[#This Row],[C% Lay]])))-1))+1)))-1)</f>
        <v/>
      </c>
      <c r="Q1557" s="46" t="str">
        <f>IF(LayTable[[#This Row],[Sport]]="","",LayTable[[#This Row],[BookieInnsats]]+LayTable[[#This Row],[LayLiability]])</f>
        <v/>
      </c>
      <c r="R15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7" s="47" t="str">
        <f>IF(LayTable[[#This Row],[Utfall bookie]]="","",LayTable[[#This Row],[WBABack]]+LayTable[[#This Row],[WBALay]]-LayTable[[#This Row],[Total inns]])</f>
        <v/>
      </c>
      <c r="U15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7" s="48" t="str">
        <f>IFERROR(IF(LayTable[[#This Row],[Total inns]]="","",LayTable[[#This Row],[Rback]]/LayTable[[#This Row],[Total inns]]),"")</f>
        <v/>
      </c>
      <c r="X1557" s="48" t="str">
        <f>IFERROR(IF(LayTable[[#This Row],[Total inns]]="","",LayTable[[#This Row],[Rlay]]/LayTable[[#This Row],[Total inns]]),"")</f>
        <v/>
      </c>
      <c r="Y1557" s="48" t="str">
        <f>IFERROR(LayTable[[#This Row],[Faktisk res]]/LayTable[[#This Row],[Total inns]],"")</f>
        <v/>
      </c>
      <c r="Z1557" s="47">
        <f>(LayTable[[#This Row],[BookieInnsats]]*LayTable[[#This Row],[BookieOdds]]-LayTable[[#This Row],[BookieInnsats]])*(1-LayTable[[#This Row],[C% Bookie]])</f>
        <v>0</v>
      </c>
      <c r="AA1557" s="43">
        <f>LayTable[[#This Row],[LayInnsats]]*(1-LayTable[[#This Row],[C% Lay]])</f>
        <v>0</v>
      </c>
      <c r="AB1557" s="43" t="str">
        <f>IFERROR(IF(LayTable[[#This Row],[Sport]]="",AB1556,LayTable[[#This Row],[Faktisk res]]+AB1556),"")</f>
        <v/>
      </c>
      <c r="AC1557" s="43">
        <f>(LayTable[[#This Row],[BackWin-Commission]]+LayTable[[#This Row],[BookieInnsats]])</f>
        <v>0</v>
      </c>
      <c r="AD1557" s="43" t="e">
        <f>(LayTable[[#This Row],[LayWin-Commission]])+LayTable[[#This Row],[LayLiability]]</f>
        <v>#VALUE!</v>
      </c>
      <c r="AE1557" s="43"/>
      <c r="AF1557" s="181"/>
    </row>
    <row r="1558" spans="1:32">
      <c r="A1558" s="84"/>
      <c r="B1558" s="39"/>
      <c r="C1558" s="40"/>
      <c r="D1558" s="41"/>
      <c r="E1558" s="40"/>
      <c r="F1558" s="41"/>
      <c r="G1558" s="101"/>
      <c r="H1558" s="38"/>
      <c r="I1558" s="42"/>
      <c r="J1558" s="42"/>
      <c r="K1558" s="43"/>
      <c r="L1558" s="43"/>
      <c r="M1558" s="44" t="str">
        <f>IF(LayTable[[#This Row],[Sport]]="","",LayTable[[#This Row],[LayInnsats]]*(LayTable[[#This Row],[LayOdds]]-1))</f>
        <v/>
      </c>
      <c r="N1558" s="45" t="str">
        <f>IF(LayTable[[#This Row],[Sport]]="","",1/((1/LayTable[[#This Row],[BookieOdds]])+(1/((1/((1+((LayTable[[#This Row],[LayOdds]]-1)*(1+LayTable[[#This Row],[C% Lay]])))-1))+1)))-1)</f>
        <v/>
      </c>
      <c r="Q1558" s="46" t="str">
        <f>IF(LayTable[[#This Row],[Sport]]="","",LayTable[[#This Row],[BookieInnsats]]+LayTable[[#This Row],[LayLiability]])</f>
        <v/>
      </c>
      <c r="R15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8" s="47" t="str">
        <f>IF(LayTable[[#This Row],[Utfall bookie]]="","",LayTable[[#This Row],[WBABack]]+LayTable[[#This Row],[WBALay]]-LayTable[[#This Row],[Total inns]])</f>
        <v/>
      </c>
      <c r="U15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8" s="48" t="str">
        <f>IFERROR(IF(LayTable[[#This Row],[Total inns]]="","",LayTable[[#This Row],[Rback]]/LayTable[[#This Row],[Total inns]]),"")</f>
        <v/>
      </c>
      <c r="X1558" s="48" t="str">
        <f>IFERROR(IF(LayTable[[#This Row],[Total inns]]="","",LayTable[[#This Row],[Rlay]]/LayTable[[#This Row],[Total inns]]),"")</f>
        <v/>
      </c>
      <c r="Y1558" s="48" t="str">
        <f>IFERROR(LayTable[[#This Row],[Faktisk res]]/LayTable[[#This Row],[Total inns]],"")</f>
        <v/>
      </c>
      <c r="Z1558" s="47">
        <f>(LayTable[[#This Row],[BookieInnsats]]*LayTable[[#This Row],[BookieOdds]]-LayTable[[#This Row],[BookieInnsats]])*(1-LayTable[[#This Row],[C% Bookie]])</f>
        <v>0</v>
      </c>
      <c r="AA1558" s="43">
        <f>LayTable[[#This Row],[LayInnsats]]*(1-LayTable[[#This Row],[C% Lay]])</f>
        <v>0</v>
      </c>
      <c r="AB1558" s="43" t="str">
        <f>IFERROR(IF(LayTable[[#This Row],[Sport]]="",AB1557,LayTable[[#This Row],[Faktisk res]]+AB1557),"")</f>
        <v/>
      </c>
      <c r="AC1558" s="43">
        <f>(LayTable[[#This Row],[BackWin-Commission]]+LayTable[[#This Row],[BookieInnsats]])</f>
        <v>0</v>
      </c>
      <c r="AD1558" s="43" t="e">
        <f>(LayTable[[#This Row],[LayWin-Commission]])+LayTable[[#This Row],[LayLiability]]</f>
        <v>#VALUE!</v>
      </c>
      <c r="AE1558" s="43"/>
      <c r="AF1558" s="181"/>
    </row>
    <row r="1559" spans="1:32">
      <c r="A1559" s="84"/>
      <c r="B1559" s="39"/>
      <c r="C1559" s="40"/>
      <c r="D1559" s="41"/>
      <c r="E1559" s="40"/>
      <c r="F1559" s="41"/>
      <c r="G1559" s="101"/>
      <c r="H1559" s="38"/>
      <c r="I1559" s="42"/>
      <c r="J1559" s="42"/>
      <c r="K1559" s="43"/>
      <c r="L1559" s="43"/>
      <c r="M1559" s="44" t="str">
        <f>IF(LayTable[[#This Row],[Sport]]="","",LayTable[[#This Row],[LayInnsats]]*(LayTable[[#This Row],[LayOdds]]-1))</f>
        <v/>
      </c>
      <c r="N1559" s="45" t="str">
        <f>IF(LayTable[[#This Row],[Sport]]="","",1/((1/LayTable[[#This Row],[BookieOdds]])+(1/((1/((1+((LayTable[[#This Row],[LayOdds]]-1)*(1+LayTable[[#This Row],[C% Lay]])))-1))+1)))-1)</f>
        <v/>
      </c>
      <c r="Q1559" s="46" t="str">
        <f>IF(LayTable[[#This Row],[Sport]]="","",LayTable[[#This Row],[BookieInnsats]]+LayTable[[#This Row],[LayLiability]])</f>
        <v/>
      </c>
      <c r="R15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59" s="47" t="str">
        <f>IF(LayTable[[#This Row],[Utfall bookie]]="","",LayTable[[#This Row],[WBABack]]+LayTable[[#This Row],[WBALay]]-LayTable[[#This Row],[Total inns]])</f>
        <v/>
      </c>
      <c r="U15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59" s="48" t="str">
        <f>IFERROR(IF(LayTable[[#This Row],[Total inns]]="","",LayTable[[#This Row],[Rback]]/LayTable[[#This Row],[Total inns]]),"")</f>
        <v/>
      </c>
      <c r="X1559" s="48" t="str">
        <f>IFERROR(IF(LayTable[[#This Row],[Total inns]]="","",LayTable[[#This Row],[Rlay]]/LayTable[[#This Row],[Total inns]]),"")</f>
        <v/>
      </c>
      <c r="Y1559" s="48" t="str">
        <f>IFERROR(LayTable[[#This Row],[Faktisk res]]/LayTable[[#This Row],[Total inns]],"")</f>
        <v/>
      </c>
      <c r="Z1559" s="47">
        <f>(LayTable[[#This Row],[BookieInnsats]]*LayTable[[#This Row],[BookieOdds]]-LayTable[[#This Row],[BookieInnsats]])*(1-LayTable[[#This Row],[C% Bookie]])</f>
        <v>0</v>
      </c>
      <c r="AA1559" s="43">
        <f>LayTable[[#This Row],[LayInnsats]]*(1-LayTable[[#This Row],[C% Lay]])</f>
        <v>0</v>
      </c>
      <c r="AB1559" s="43" t="str">
        <f>IFERROR(IF(LayTable[[#This Row],[Sport]]="",AB1558,LayTable[[#This Row],[Faktisk res]]+AB1558),"")</f>
        <v/>
      </c>
      <c r="AC1559" s="43">
        <f>(LayTable[[#This Row],[BackWin-Commission]]+LayTable[[#This Row],[BookieInnsats]])</f>
        <v>0</v>
      </c>
      <c r="AD1559" s="43" t="e">
        <f>(LayTable[[#This Row],[LayWin-Commission]])+LayTable[[#This Row],[LayLiability]]</f>
        <v>#VALUE!</v>
      </c>
      <c r="AE1559" s="43"/>
      <c r="AF1559" s="181"/>
    </row>
    <row r="1560" spans="1:32">
      <c r="A1560" s="84"/>
      <c r="B1560" s="39"/>
      <c r="C1560" s="40"/>
      <c r="D1560" s="41"/>
      <c r="E1560" s="40"/>
      <c r="F1560" s="41"/>
      <c r="G1560" s="101"/>
      <c r="H1560" s="38"/>
      <c r="I1560" s="42"/>
      <c r="J1560" s="42"/>
      <c r="K1560" s="43"/>
      <c r="L1560" s="43"/>
      <c r="M1560" s="44" t="str">
        <f>IF(LayTable[[#This Row],[Sport]]="","",LayTable[[#This Row],[LayInnsats]]*(LayTable[[#This Row],[LayOdds]]-1))</f>
        <v/>
      </c>
      <c r="N1560" s="45" t="str">
        <f>IF(LayTable[[#This Row],[Sport]]="","",1/((1/LayTable[[#This Row],[BookieOdds]])+(1/((1/((1+((LayTable[[#This Row],[LayOdds]]-1)*(1+LayTable[[#This Row],[C% Lay]])))-1))+1)))-1)</f>
        <v/>
      </c>
      <c r="Q1560" s="46" t="str">
        <f>IF(LayTable[[#This Row],[Sport]]="","",LayTable[[#This Row],[BookieInnsats]]+LayTable[[#This Row],[LayLiability]])</f>
        <v/>
      </c>
      <c r="R15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0" s="47" t="str">
        <f>IF(LayTable[[#This Row],[Utfall bookie]]="","",LayTable[[#This Row],[WBABack]]+LayTable[[#This Row],[WBALay]]-LayTable[[#This Row],[Total inns]])</f>
        <v/>
      </c>
      <c r="U15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0" s="48" t="str">
        <f>IFERROR(IF(LayTable[[#This Row],[Total inns]]="","",LayTable[[#This Row],[Rback]]/LayTable[[#This Row],[Total inns]]),"")</f>
        <v/>
      </c>
      <c r="X1560" s="48" t="str">
        <f>IFERROR(IF(LayTable[[#This Row],[Total inns]]="","",LayTable[[#This Row],[Rlay]]/LayTable[[#This Row],[Total inns]]),"")</f>
        <v/>
      </c>
      <c r="Y1560" s="48" t="str">
        <f>IFERROR(LayTable[[#This Row],[Faktisk res]]/LayTable[[#This Row],[Total inns]],"")</f>
        <v/>
      </c>
      <c r="Z1560" s="47">
        <f>(LayTable[[#This Row],[BookieInnsats]]*LayTable[[#This Row],[BookieOdds]]-LayTable[[#This Row],[BookieInnsats]])*(1-LayTable[[#This Row],[C% Bookie]])</f>
        <v>0</v>
      </c>
      <c r="AA1560" s="43">
        <f>LayTable[[#This Row],[LayInnsats]]*(1-LayTable[[#This Row],[C% Lay]])</f>
        <v>0</v>
      </c>
      <c r="AB1560" s="43" t="str">
        <f>IFERROR(IF(LayTable[[#This Row],[Sport]]="",AB1559,LayTable[[#This Row],[Faktisk res]]+AB1559),"")</f>
        <v/>
      </c>
      <c r="AC1560" s="43">
        <f>(LayTable[[#This Row],[BackWin-Commission]]+LayTable[[#This Row],[BookieInnsats]])</f>
        <v>0</v>
      </c>
      <c r="AD1560" s="43" t="e">
        <f>(LayTable[[#This Row],[LayWin-Commission]])+LayTable[[#This Row],[LayLiability]]</f>
        <v>#VALUE!</v>
      </c>
      <c r="AE1560" s="43"/>
      <c r="AF1560" s="181"/>
    </row>
    <row r="1561" spans="1:32">
      <c r="A1561" s="84"/>
      <c r="B1561" s="39"/>
      <c r="C1561" s="40"/>
      <c r="D1561" s="41"/>
      <c r="E1561" s="40"/>
      <c r="F1561" s="41"/>
      <c r="G1561" s="101"/>
      <c r="H1561" s="38"/>
      <c r="I1561" s="42"/>
      <c r="J1561" s="42"/>
      <c r="K1561" s="43"/>
      <c r="L1561" s="43"/>
      <c r="M1561" s="44" t="str">
        <f>IF(LayTable[[#This Row],[Sport]]="","",LayTable[[#This Row],[LayInnsats]]*(LayTable[[#This Row],[LayOdds]]-1))</f>
        <v/>
      </c>
      <c r="N1561" s="45" t="str">
        <f>IF(LayTable[[#This Row],[Sport]]="","",1/((1/LayTable[[#This Row],[BookieOdds]])+(1/((1/((1+((LayTable[[#This Row],[LayOdds]]-1)*(1+LayTable[[#This Row],[C% Lay]])))-1))+1)))-1)</f>
        <v/>
      </c>
      <c r="Q1561" s="46" t="str">
        <f>IF(LayTable[[#This Row],[Sport]]="","",LayTable[[#This Row],[BookieInnsats]]+LayTable[[#This Row],[LayLiability]])</f>
        <v/>
      </c>
      <c r="R15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1" s="47" t="str">
        <f>IF(LayTable[[#This Row],[Utfall bookie]]="","",LayTable[[#This Row],[WBABack]]+LayTable[[#This Row],[WBALay]]-LayTable[[#This Row],[Total inns]])</f>
        <v/>
      </c>
      <c r="U15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1" s="48" t="str">
        <f>IFERROR(IF(LayTable[[#This Row],[Total inns]]="","",LayTable[[#This Row],[Rback]]/LayTable[[#This Row],[Total inns]]),"")</f>
        <v/>
      </c>
      <c r="X1561" s="48" t="str">
        <f>IFERROR(IF(LayTable[[#This Row],[Total inns]]="","",LayTable[[#This Row],[Rlay]]/LayTable[[#This Row],[Total inns]]),"")</f>
        <v/>
      </c>
      <c r="Y1561" s="48" t="str">
        <f>IFERROR(LayTable[[#This Row],[Faktisk res]]/LayTable[[#This Row],[Total inns]],"")</f>
        <v/>
      </c>
      <c r="Z1561" s="47">
        <f>(LayTable[[#This Row],[BookieInnsats]]*LayTable[[#This Row],[BookieOdds]]-LayTable[[#This Row],[BookieInnsats]])*(1-LayTable[[#This Row],[C% Bookie]])</f>
        <v>0</v>
      </c>
      <c r="AA1561" s="43">
        <f>LayTable[[#This Row],[LayInnsats]]*(1-LayTable[[#This Row],[C% Lay]])</f>
        <v>0</v>
      </c>
      <c r="AB1561" s="43" t="str">
        <f>IFERROR(IF(LayTable[[#This Row],[Sport]]="",AB1560,LayTable[[#This Row],[Faktisk res]]+AB1560),"")</f>
        <v/>
      </c>
      <c r="AC1561" s="43">
        <f>(LayTable[[#This Row],[BackWin-Commission]]+LayTable[[#This Row],[BookieInnsats]])</f>
        <v>0</v>
      </c>
      <c r="AD1561" s="43" t="e">
        <f>(LayTable[[#This Row],[LayWin-Commission]])+LayTable[[#This Row],[LayLiability]]</f>
        <v>#VALUE!</v>
      </c>
      <c r="AE1561" s="43"/>
      <c r="AF1561" s="181"/>
    </row>
    <row r="1562" spans="1:32">
      <c r="A1562" s="84"/>
      <c r="B1562" s="39"/>
      <c r="C1562" s="40"/>
      <c r="D1562" s="41"/>
      <c r="E1562" s="40"/>
      <c r="F1562" s="41"/>
      <c r="G1562" s="101"/>
      <c r="H1562" s="38"/>
      <c r="I1562" s="42"/>
      <c r="J1562" s="42"/>
      <c r="K1562" s="43"/>
      <c r="L1562" s="43"/>
      <c r="M1562" s="44" t="str">
        <f>IF(LayTable[[#This Row],[Sport]]="","",LayTable[[#This Row],[LayInnsats]]*(LayTable[[#This Row],[LayOdds]]-1))</f>
        <v/>
      </c>
      <c r="N1562" s="45" t="str">
        <f>IF(LayTable[[#This Row],[Sport]]="","",1/((1/LayTable[[#This Row],[BookieOdds]])+(1/((1/((1+((LayTable[[#This Row],[LayOdds]]-1)*(1+LayTable[[#This Row],[C% Lay]])))-1))+1)))-1)</f>
        <v/>
      </c>
      <c r="Q1562" s="46" t="str">
        <f>IF(LayTable[[#This Row],[Sport]]="","",LayTable[[#This Row],[BookieInnsats]]+LayTable[[#This Row],[LayLiability]])</f>
        <v/>
      </c>
      <c r="R15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2" s="47" t="str">
        <f>IF(LayTable[[#This Row],[Utfall bookie]]="","",LayTable[[#This Row],[WBABack]]+LayTable[[#This Row],[WBALay]]-LayTable[[#This Row],[Total inns]])</f>
        <v/>
      </c>
      <c r="U15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2" s="48" t="str">
        <f>IFERROR(IF(LayTable[[#This Row],[Total inns]]="","",LayTable[[#This Row],[Rback]]/LayTable[[#This Row],[Total inns]]),"")</f>
        <v/>
      </c>
      <c r="X1562" s="48" t="str">
        <f>IFERROR(IF(LayTable[[#This Row],[Total inns]]="","",LayTable[[#This Row],[Rlay]]/LayTable[[#This Row],[Total inns]]),"")</f>
        <v/>
      </c>
      <c r="Y1562" s="48" t="str">
        <f>IFERROR(LayTable[[#This Row],[Faktisk res]]/LayTable[[#This Row],[Total inns]],"")</f>
        <v/>
      </c>
      <c r="Z1562" s="47">
        <f>(LayTable[[#This Row],[BookieInnsats]]*LayTable[[#This Row],[BookieOdds]]-LayTable[[#This Row],[BookieInnsats]])*(1-LayTable[[#This Row],[C% Bookie]])</f>
        <v>0</v>
      </c>
      <c r="AA1562" s="43">
        <f>LayTable[[#This Row],[LayInnsats]]*(1-LayTable[[#This Row],[C% Lay]])</f>
        <v>0</v>
      </c>
      <c r="AB1562" s="43" t="str">
        <f>IFERROR(IF(LayTable[[#This Row],[Sport]]="",AB1561,LayTable[[#This Row],[Faktisk res]]+AB1561),"")</f>
        <v/>
      </c>
      <c r="AC1562" s="43">
        <f>(LayTable[[#This Row],[BackWin-Commission]]+LayTable[[#This Row],[BookieInnsats]])</f>
        <v>0</v>
      </c>
      <c r="AD1562" s="43" t="e">
        <f>(LayTable[[#This Row],[LayWin-Commission]])+LayTable[[#This Row],[LayLiability]]</f>
        <v>#VALUE!</v>
      </c>
      <c r="AE1562" s="43"/>
      <c r="AF1562" s="181"/>
    </row>
    <row r="1563" spans="1:32">
      <c r="A1563" s="84"/>
      <c r="B1563" s="39"/>
      <c r="C1563" s="40"/>
      <c r="D1563" s="41"/>
      <c r="E1563" s="40"/>
      <c r="F1563" s="41"/>
      <c r="G1563" s="101"/>
      <c r="H1563" s="38"/>
      <c r="I1563" s="42"/>
      <c r="J1563" s="42"/>
      <c r="K1563" s="43"/>
      <c r="L1563" s="43"/>
      <c r="M1563" s="44" t="str">
        <f>IF(LayTable[[#This Row],[Sport]]="","",LayTable[[#This Row],[LayInnsats]]*(LayTable[[#This Row],[LayOdds]]-1))</f>
        <v/>
      </c>
      <c r="N1563" s="45" t="str">
        <f>IF(LayTable[[#This Row],[Sport]]="","",1/((1/LayTable[[#This Row],[BookieOdds]])+(1/((1/((1+((LayTable[[#This Row],[LayOdds]]-1)*(1+LayTable[[#This Row],[C% Lay]])))-1))+1)))-1)</f>
        <v/>
      </c>
      <c r="Q1563" s="46" t="str">
        <f>IF(LayTable[[#This Row],[Sport]]="","",LayTable[[#This Row],[BookieInnsats]]+LayTable[[#This Row],[LayLiability]])</f>
        <v/>
      </c>
      <c r="R15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3" s="47" t="str">
        <f>IF(LayTable[[#This Row],[Utfall bookie]]="","",LayTable[[#This Row],[WBABack]]+LayTable[[#This Row],[WBALay]]-LayTable[[#This Row],[Total inns]])</f>
        <v/>
      </c>
      <c r="U15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3" s="48" t="str">
        <f>IFERROR(IF(LayTable[[#This Row],[Total inns]]="","",LayTable[[#This Row],[Rback]]/LayTable[[#This Row],[Total inns]]),"")</f>
        <v/>
      </c>
      <c r="X1563" s="48" t="str">
        <f>IFERROR(IF(LayTable[[#This Row],[Total inns]]="","",LayTable[[#This Row],[Rlay]]/LayTable[[#This Row],[Total inns]]),"")</f>
        <v/>
      </c>
      <c r="Y1563" s="48" t="str">
        <f>IFERROR(LayTable[[#This Row],[Faktisk res]]/LayTable[[#This Row],[Total inns]],"")</f>
        <v/>
      </c>
      <c r="Z1563" s="47">
        <f>(LayTable[[#This Row],[BookieInnsats]]*LayTable[[#This Row],[BookieOdds]]-LayTable[[#This Row],[BookieInnsats]])*(1-LayTable[[#This Row],[C% Bookie]])</f>
        <v>0</v>
      </c>
      <c r="AA1563" s="43">
        <f>LayTable[[#This Row],[LayInnsats]]*(1-LayTable[[#This Row],[C% Lay]])</f>
        <v>0</v>
      </c>
      <c r="AB1563" s="43" t="str">
        <f>IFERROR(IF(LayTable[[#This Row],[Sport]]="",AB1562,LayTable[[#This Row],[Faktisk res]]+AB1562),"")</f>
        <v/>
      </c>
      <c r="AC1563" s="43">
        <f>(LayTable[[#This Row],[BackWin-Commission]]+LayTable[[#This Row],[BookieInnsats]])</f>
        <v>0</v>
      </c>
      <c r="AD1563" s="43" t="e">
        <f>(LayTable[[#This Row],[LayWin-Commission]])+LayTable[[#This Row],[LayLiability]]</f>
        <v>#VALUE!</v>
      </c>
      <c r="AE1563" s="43"/>
      <c r="AF1563" s="181"/>
    </row>
    <row r="1564" spans="1:32">
      <c r="A1564" s="84"/>
      <c r="B1564" s="39"/>
      <c r="C1564" s="40"/>
      <c r="D1564" s="41"/>
      <c r="E1564" s="40"/>
      <c r="F1564" s="41"/>
      <c r="G1564" s="101"/>
      <c r="H1564" s="38"/>
      <c r="I1564" s="42"/>
      <c r="J1564" s="42"/>
      <c r="K1564" s="43"/>
      <c r="L1564" s="43"/>
      <c r="M1564" s="44" t="str">
        <f>IF(LayTable[[#This Row],[Sport]]="","",LayTable[[#This Row],[LayInnsats]]*(LayTable[[#This Row],[LayOdds]]-1))</f>
        <v/>
      </c>
      <c r="N1564" s="45" t="str">
        <f>IF(LayTable[[#This Row],[Sport]]="","",1/((1/LayTable[[#This Row],[BookieOdds]])+(1/((1/((1+((LayTable[[#This Row],[LayOdds]]-1)*(1+LayTable[[#This Row],[C% Lay]])))-1))+1)))-1)</f>
        <v/>
      </c>
      <c r="Q1564" s="46" t="str">
        <f>IF(LayTable[[#This Row],[Sport]]="","",LayTable[[#This Row],[BookieInnsats]]+LayTable[[#This Row],[LayLiability]])</f>
        <v/>
      </c>
      <c r="R15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4" s="47" t="str">
        <f>IF(LayTable[[#This Row],[Utfall bookie]]="","",LayTable[[#This Row],[WBABack]]+LayTable[[#This Row],[WBALay]]-LayTable[[#This Row],[Total inns]])</f>
        <v/>
      </c>
      <c r="U15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4" s="48" t="str">
        <f>IFERROR(IF(LayTable[[#This Row],[Total inns]]="","",LayTable[[#This Row],[Rback]]/LayTable[[#This Row],[Total inns]]),"")</f>
        <v/>
      </c>
      <c r="X1564" s="48" t="str">
        <f>IFERROR(IF(LayTable[[#This Row],[Total inns]]="","",LayTable[[#This Row],[Rlay]]/LayTable[[#This Row],[Total inns]]),"")</f>
        <v/>
      </c>
      <c r="Y1564" s="48" t="str">
        <f>IFERROR(LayTable[[#This Row],[Faktisk res]]/LayTable[[#This Row],[Total inns]],"")</f>
        <v/>
      </c>
      <c r="Z1564" s="47">
        <f>(LayTable[[#This Row],[BookieInnsats]]*LayTable[[#This Row],[BookieOdds]]-LayTable[[#This Row],[BookieInnsats]])*(1-LayTable[[#This Row],[C% Bookie]])</f>
        <v>0</v>
      </c>
      <c r="AA1564" s="43">
        <f>LayTable[[#This Row],[LayInnsats]]*(1-LayTable[[#This Row],[C% Lay]])</f>
        <v>0</v>
      </c>
      <c r="AB1564" s="43" t="str">
        <f>IFERROR(IF(LayTable[[#This Row],[Sport]]="",AB1563,LayTable[[#This Row],[Faktisk res]]+AB1563),"")</f>
        <v/>
      </c>
      <c r="AC1564" s="43">
        <f>(LayTable[[#This Row],[BackWin-Commission]]+LayTable[[#This Row],[BookieInnsats]])</f>
        <v>0</v>
      </c>
      <c r="AD1564" s="43" t="e">
        <f>(LayTable[[#This Row],[LayWin-Commission]])+LayTable[[#This Row],[LayLiability]]</f>
        <v>#VALUE!</v>
      </c>
      <c r="AE1564" s="43"/>
      <c r="AF1564" s="181"/>
    </row>
    <row r="1565" spans="1:32">
      <c r="A1565" s="84"/>
      <c r="B1565" s="39"/>
      <c r="C1565" s="40"/>
      <c r="D1565" s="41"/>
      <c r="E1565" s="40"/>
      <c r="F1565" s="41"/>
      <c r="G1565" s="101"/>
      <c r="H1565" s="38"/>
      <c r="I1565" s="42"/>
      <c r="J1565" s="42"/>
      <c r="K1565" s="43"/>
      <c r="L1565" s="43"/>
      <c r="M1565" s="44" t="str">
        <f>IF(LayTable[[#This Row],[Sport]]="","",LayTable[[#This Row],[LayInnsats]]*(LayTable[[#This Row],[LayOdds]]-1))</f>
        <v/>
      </c>
      <c r="N1565" s="45" t="str">
        <f>IF(LayTable[[#This Row],[Sport]]="","",1/((1/LayTable[[#This Row],[BookieOdds]])+(1/((1/((1+((LayTable[[#This Row],[LayOdds]]-1)*(1+LayTable[[#This Row],[C% Lay]])))-1))+1)))-1)</f>
        <v/>
      </c>
      <c r="Q1565" s="46" t="str">
        <f>IF(LayTable[[#This Row],[Sport]]="","",LayTable[[#This Row],[BookieInnsats]]+LayTable[[#This Row],[LayLiability]])</f>
        <v/>
      </c>
      <c r="R15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5" s="47" t="str">
        <f>IF(LayTable[[#This Row],[Utfall bookie]]="","",LayTable[[#This Row],[WBABack]]+LayTable[[#This Row],[WBALay]]-LayTable[[#This Row],[Total inns]])</f>
        <v/>
      </c>
      <c r="U15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5" s="48" t="str">
        <f>IFERROR(IF(LayTable[[#This Row],[Total inns]]="","",LayTable[[#This Row],[Rback]]/LayTable[[#This Row],[Total inns]]),"")</f>
        <v/>
      </c>
      <c r="X1565" s="48" t="str">
        <f>IFERROR(IF(LayTable[[#This Row],[Total inns]]="","",LayTable[[#This Row],[Rlay]]/LayTable[[#This Row],[Total inns]]),"")</f>
        <v/>
      </c>
      <c r="Y1565" s="48" t="str">
        <f>IFERROR(LayTable[[#This Row],[Faktisk res]]/LayTable[[#This Row],[Total inns]],"")</f>
        <v/>
      </c>
      <c r="Z1565" s="47">
        <f>(LayTable[[#This Row],[BookieInnsats]]*LayTable[[#This Row],[BookieOdds]]-LayTable[[#This Row],[BookieInnsats]])*(1-LayTable[[#This Row],[C% Bookie]])</f>
        <v>0</v>
      </c>
      <c r="AA1565" s="43">
        <f>LayTable[[#This Row],[LayInnsats]]*(1-LayTable[[#This Row],[C% Lay]])</f>
        <v>0</v>
      </c>
      <c r="AB1565" s="43" t="str">
        <f>IFERROR(IF(LayTable[[#This Row],[Sport]]="",AB1564,LayTable[[#This Row],[Faktisk res]]+AB1564),"")</f>
        <v/>
      </c>
      <c r="AC1565" s="43">
        <f>(LayTable[[#This Row],[BackWin-Commission]]+LayTable[[#This Row],[BookieInnsats]])</f>
        <v>0</v>
      </c>
      <c r="AD1565" s="43" t="e">
        <f>(LayTable[[#This Row],[LayWin-Commission]])+LayTable[[#This Row],[LayLiability]]</f>
        <v>#VALUE!</v>
      </c>
      <c r="AE1565" s="43"/>
      <c r="AF1565" s="181"/>
    </row>
    <row r="1566" spans="1:32">
      <c r="A1566" s="84"/>
      <c r="B1566" s="39"/>
      <c r="C1566" s="40"/>
      <c r="D1566" s="41"/>
      <c r="E1566" s="40"/>
      <c r="F1566" s="41"/>
      <c r="G1566" s="101"/>
      <c r="H1566" s="38"/>
      <c r="I1566" s="42"/>
      <c r="J1566" s="42"/>
      <c r="K1566" s="43"/>
      <c r="L1566" s="43"/>
      <c r="M1566" s="44" t="str">
        <f>IF(LayTable[[#This Row],[Sport]]="","",LayTable[[#This Row],[LayInnsats]]*(LayTable[[#This Row],[LayOdds]]-1))</f>
        <v/>
      </c>
      <c r="N1566" s="45" t="str">
        <f>IF(LayTable[[#This Row],[Sport]]="","",1/((1/LayTable[[#This Row],[BookieOdds]])+(1/((1/((1+((LayTable[[#This Row],[LayOdds]]-1)*(1+LayTable[[#This Row],[C% Lay]])))-1))+1)))-1)</f>
        <v/>
      </c>
      <c r="Q1566" s="46" t="str">
        <f>IF(LayTable[[#This Row],[Sport]]="","",LayTable[[#This Row],[BookieInnsats]]+LayTable[[#This Row],[LayLiability]])</f>
        <v/>
      </c>
      <c r="R15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6" s="47" t="str">
        <f>IF(LayTable[[#This Row],[Utfall bookie]]="","",LayTable[[#This Row],[WBABack]]+LayTable[[#This Row],[WBALay]]-LayTable[[#This Row],[Total inns]])</f>
        <v/>
      </c>
      <c r="U15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6" s="48" t="str">
        <f>IFERROR(IF(LayTable[[#This Row],[Total inns]]="","",LayTable[[#This Row],[Rback]]/LayTable[[#This Row],[Total inns]]),"")</f>
        <v/>
      </c>
      <c r="X1566" s="48" t="str">
        <f>IFERROR(IF(LayTable[[#This Row],[Total inns]]="","",LayTable[[#This Row],[Rlay]]/LayTable[[#This Row],[Total inns]]),"")</f>
        <v/>
      </c>
      <c r="Y1566" s="48" t="str">
        <f>IFERROR(LayTable[[#This Row],[Faktisk res]]/LayTable[[#This Row],[Total inns]],"")</f>
        <v/>
      </c>
      <c r="Z1566" s="47">
        <f>(LayTable[[#This Row],[BookieInnsats]]*LayTable[[#This Row],[BookieOdds]]-LayTable[[#This Row],[BookieInnsats]])*(1-LayTable[[#This Row],[C% Bookie]])</f>
        <v>0</v>
      </c>
      <c r="AA1566" s="43">
        <f>LayTable[[#This Row],[LayInnsats]]*(1-LayTable[[#This Row],[C% Lay]])</f>
        <v>0</v>
      </c>
      <c r="AB1566" s="43" t="str">
        <f>IFERROR(IF(LayTable[[#This Row],[Sport]]="",AB1565,LayTable[[#This Row],[Faktisk res]]+AB1565),"")</f>
        <v/>
      </c>
      <c r="AC1566" s="43">
        <f>(LayTable[[#This Row],[BackWin-Commission]]+LayTable[[#This Row],[BookieInnsats]])</f>
        <v>0</v>
      </c>
      <c r="AD1566" s="43" t="e">
        <f>(LayTable[[#This Row],[LayWin-Commission]])+LayTable[[#This Row],[LayLiability]]</f>
        <v>#VALUE!</v>
      </c>
      <c r="AE1566" s="43"/>
      <c r="AF1566" s="181"/>
    </row>
    <row r="1567" spans="1:32">
      <c r="A1567" s="84"/>
      <c r="B1567" s="39"/>
      <c r="C1567" s="40"/>
      <c r="D1567" s="41"/>
      <c r="E1567" s="40"/>
      <c r="F1567" s="41"/>
      <c r="G1567" s="101"/>
      <c r="H1567" s="38"/>
      <c r="I1567" s="42"/>
      <c r="J1567" s="42"/>
      <c r="K1567" s="43"/>
      <c r="L1567" s="43"/>
      <c r="M1567" s="44" t="str">
        <f>IF(LayTable[[#This Row],[Sport]]="","",LayTable[[#This Row],[LayInnsats]]*(LayTable[[#This Row],[LayOdds]]-1))</f>
        <v/>
      </c>
      <c r="N1567" s="45" t="str">
        <f>IF(LayTable[[#This Row],[Sport]]="","",1/((1/LayTable[[#This Row],[BookieOdds]])+(1/((1/((1+((LayTable[[#This Row],[LayOdds]]-1)*(1+LayTable[[#This Row],[C% Lay]])))-1))+1)))-1)</f>
        <v/>
      </c>
      <c r="Q1567" s="46" t="str">
        <f>IF(LayTable[[#This Row],[Sport]]="","",LayTable[[#This Row],[BookieInnsats]]+LayTable[[#This Row],[LayLiability]])</f>
        <v/>
      </c>
      <c r="R15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7" s="47" t="str">
        <f>IF(LayTable[[#This Row],[Utfall bookie]]="","",LayTable[[#This Row],[WBABack]]+LayTable[[#This Row],[WBALay]]-LayTable[[#This Row],[Total inns]])</f>
        <v/>
      </c>
      <c r="U15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7" s="48" t="str">
        <f>IFERROR(IF(LayTable[[#This Row],[Total inns]]="","",LayTable[[#This Row],[Rback]]/LayTable[[#This Row],[Total inns]]),"")</f>
        <v/>
      </c>
      <c r="X1567" s="48" t="str">
        <f>IFERROR(IF(LayTable[[#This Row],[Total inns]]="","",LayTable[[#This Row],[Rlay]]/LayTable[[#This Row],[Total inns]]),"")</f>
        <v/>
      </c>
      <c r="Y1567" s="48" t="str">
        <f>IFERROR(LayTable[[#This Row],[Faktisk res]]/LayTable[[#This Row],[Total inns]],"")</f>
        <v/>
      </c>
      <c r="Z1567" s="47">
        <f>(LayTable[[#This Row],[BookieInnsats]]*LayTable[[#This Row],[BookieOdds]]-LayTable[[#This Row],[BookieInnsats]])*(1-LayTable[[#This Row],[C% Bookie]])</f>
        <v>0</v>
      </c>
      <c r="AA1567" s="43">
        <f>LayTable[[#This Row],[LayInnsats]]*(1-LayTable[[#This Row],[C% Lay]])</f>
        <v>0</v>
      </c>
      <c r="AB1567" s="43" t="str">
        <f>IFERROR(IF(LayTable[[#This Row],[Sport]]="",AB1566,LayTable[[#This Row],[Faktisk res]]+AB1566),"")</f>
        <v/>
      </c>
      <c r="AC1567" s="43">
        <f>(LayTable[[#This Row],[BackWin-Commission]]+LayTable[[#This Row],[BookieInnsats]])</f>
        <v>0</v>
      </c>
      <c r="AD1567" s="43" t="e">
        <f>(LayTable[[#This Row],[LayWin-Commission]])+LayTable[[#This Row],[LayLiability]]</f>
        <v>#VALUE!</v>
      </c>
      <c r="AE1567" s="43"/>
      <c r="AF1567" s="181"/>
    </row>
    <row r="1568" spans="1:32">
      <c r="A1568" s="84"/>
      <c r="B1568" s="39"/>
      <c r="C1568" s="40"/>
      <c r="D1568" s="41"/>
      <c r="E1568" s="40"/>
      <c r="F1568" s="41"/>
      <c r="G1568" s="101"/>
      <c r="H1568" s="38"/>
      <c r="I1568" s="42"/>
      <c r="J1568" s="42"/>
      <c r="K1568" s="43"/>
      <c r="L1568" s="43"/>
      <c r="M1568" s="44" t="str">
        <f>IF(LayTable[[#This Row],[Sport]]="","",LayTable[[#This Row],[LayInnsats]]*(LayTable[[#This Row],[LayOdds]]-1))</f>
        <v/>
      </c>
      <c r="N1568" s="45" t="str">
        <f>IF(LayTable[[#This Row],[Sport]]="","",1/((1/LayTable[[#This Row],[BookieOdds]])+(1/((1/((1+((LayTable[[#This Row],[LayOdds]]-1)*(1+LayTable[[#This Row],[C% Lay]])))-1))+1)))-1)</f>
        <v/>
      </c>
      <c r="Q1568" s="46" t="str">
        <f>IF(LayTable[[#This Row],[Sport]]="","",LayTable[[#This Row],[BookieInnsats]]+LayTable[[#This Row],[LayLiability]])</f>
        <v/>
      </c>
      <c r="R15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8" s="47" t="str">
        <f>IF(LayTable[[#This Row],[Utfall bookie]]="","",LayTable[[#This Row],[WBABack]]+LayTable[[#This Row],[WBALay]]-LayTable[[#This Row],[Total inns]])</f>
        <v/>
      </c>
      <c r="U15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8" s="48" t="str">
        <f>IFERROR(IF(LayTable[[#This Row],[Total inns]]="","",LayTable[[#This Row],[Rback]]/LayTable[[#This Row],[Total inns]]),"")</f>
        <v/>
      </c>
      <c r="X1568" s="48" t="str">
        <f>IFERROR(IF(LayTable[[#This Row],[Total inns]]="","",LayTable[[#This Row],[Rlay]]/LayTable[[#This Row],[Total inns]]),"")</f>
        <v/>
      </c>
      <c r="Y1568" s="48" t="str">
        <f>IFERROR(LayTable[[#This Row],[Faktisk res]]/LayTable[[#This Row],[Total inns]],"")</f>
        <v/>
      </c>
      <c r="Z1568" s="47">
        <f>(LayTable[[#This Row],[BookieInnsats]]*LayTable[[#This Row],[BookieOdds]]-LayTable[[#This Row],[BookieInnsats]])*(1-LayTable[[#This Row],[C% Bookie]])</f>
        <v>0</v>
      </c>
      <c r="AA1568" s="43">
        <f>LayTable[[#This Row],[LayInnsats]]*(1-LayTable[[#This Row],[C% Lay]])</f>
        <v>0</v>
      </c>
      <c r="AB1568" s="43" t="str">
        <f>IFERROR(IF(LayTable[[#This Row],[Sport]]="",AB1567,LayTable[[#This Row],[Faktisk res]]+AB1567),"")</f>
        <v/>
      </c>
      <c r="AC1568" s="43">
        <f>(LayTable[[#This Row],[BackWin-Commission]]+LayTable[[#This Row],[BookieInnsats]])</f>
        <v>0</v>
      </c>
      <c r="AD1568" s="43" t="e">
        <f>(LayTable[[#This Row],[LayWin-Commission]])+LayTable[[#This Row],[LayLiability]]</f>
        <v>#VALUE!</v>
      </c>
      <c r="AE1568" s="43"/>
      <c r="AF1568" s="181"/>
    </row>
    <row r="1569" spans="1:32">
      <c r="A1569" s="84"/>
      <c r="B1569" s="39"/>
      <c r="C1569" s="40"/>
      <c r="D1569" s="41"/>
      <c r="E1569" s="40"/>
      <c r="F1569" s="41"/>
      <c r="G1569" s="101"/>
      <c r="H1569" s="38"/>
      <c r="I1569" s="42"/>
      <c r="J1569" s="42"/>
      <c r="K1569" s="43"/>
      <c r="L1569" s="43"/>
      <c r="M1569" s="44" t="str">
        <f>IF(LayTable[[#This Row],[Sport]]="","",LayTable[[#This Row],[LayInnsats]]*(LayTable[[#This Row],[LayOdds]]-1))</f>
        <v/>
      </c>
      <c r="N1569" s="45" t="str">
        <f>IF(LayTable[[#This Row],[Sport]]="","",1/((1/LayTable[[#This Row],[BookieOdds]])+(1/((1/((1+((LayTable[[#This Row],[LayOdds]]-1)*(1+LayTable[[#This Row],[C% Lay]])))-1))+1)))-1)</f>
        <v/>
      </c>
      <c r="Q1569" s="46" t="str">
        <f>IF(LayTable[[#This Row],[Sport]]="","",LayTable[[#This Row],[BookieInnsats]]+LayTable[[#This Row],[LayLiability]])</f>
        <v/>
      </c>
      <c r="R15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69" s="47" t="str">
        <f>IF(LayTable[[#This Row],[Utfall bookie]]="","",LayTable[[#This Row],[WBABack]]+LayTable[[#This Row],[WBALay]]-LayTable[[#This Row],[Total inns]])</f>
        <v/>
      </c>
      <c r="U15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69" s="48" t="str">
        <f>IFERROR(IF(LayTable[[#This Row],[Total inns]]="","",LayTable[[#This Row],[Rback]]/LayTable[[#This Row],[Total inns]]),"")</f>
        <v/>
      </c>
      <c r="X1569" s="48" t="str">
        <f>IFERROR(IF(LayTable[[#This Row],[Total inns]]="","",LayTable[[#This Row],[Rlay]]/LayTable[[#This Row],[Total inns]]),"")</f>
        <v/>
      </c>
      <c r="Y1569" s="48" t="str">
        <f>IFERROR(LayTable[[#This Row],[Faktisk res]]/LayTable[[#This Row],[Total inns]],"")</f>
        <v/>
      </c>
      <c r="Z1569" s="47">
        <f>(LayTable[[#This Row],[BookieInnsats]]*LayTable[[#This Row],[BookieOdds]]-LayTable[[#This Row],[BookieInnsats]])*(1-LayTable[[#This Row],[C% Bookie]])</f>
        <v>0</v>
      </c>
      <c r="AA1569" s="43">
        <f>LayTable[[#This Row],[LayInnsats]]*(1-LayTable[[#This Row],[C% Lay]])</f>
        <v>0</v>
      </c>
      <c r="AB1569" s="43" t="str">
        <f>IFERROR(IF(LayTable[[#This Row],[Sport]]="",AB1568,LayTable[[#This Row],[Faktisk res]]+AB1568),"")</f>
        <v/>
      </c>
      <c r="AC1569" s="43">
        <f>(LayTable[[#This Row],[BackWin-Commission]]+LayTable[[#This Row],[BookieInnsats]])</f>
        <v>0</v>
      </c>
      <c r="AD1569" s="43" t="e">
        <f>(LayTable[[#This Row],[LayWin-Commission]])+LayTable[[#This Row],[LayLiability]]</f>
        <v>#VALUE!</v>
      </c>
      <c r="AE1569" s="43"/>
      <c r="AF1569" s="181"/>
    </row>
    <row r="1570" spans="1:32">
      <c r="A1570" s="84"/>
      <c r="B1570" s="39"/>
      <c r="C1570" s="40"/>
      <c r="D1570" s="41"/>
      <c r="E1570" s="40"/>
      <c r="F1570" s="41"/>
      <c r="G1570" s="101"/>
      <c r="H1570" s="38"/>
      <c r="I1570" s="42"/>
      <c r="J1570" s="42"/>
      <c r="K1570" s="43"/>
      <c r="L1570" s="43"/>
      <c r="M1570" s="44" t="str">
        <f>IF(LayTable[[#This Row],[Sport]]="","",LayTable[[#This Row],[LayInnsats]]*(LayTable[[#This Row],[LayOdds]]-1))</f>
        <v/>
      </c>
      <c r="N1570" s="45" t="str">
        <f>IF(LayTable[[#This Row],[Sport]]="","",1/((1/LayTable[[#This Row],[BookieOdds]])+(1/((1/((1+((LayTable[[#This Row],[LayOdds]]-1)*(1+LayTable[[#This Row],[C% Lay]])))-1))+1)))-1)</f>
        <v/>
      </c>
      <c r="Q1570" s="46" t="str">
        <f>IF(LayTable[[#This Row],[Sport]]="","",LayTable[[#This Row],[BookieInnsats]]+LayTable[[#This Row],[LayLiability]])</f>
        <v/>
      </c>
      <c r="R15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0" s="47" t="str">
        <f>IF(LayTable[[#This Row],[Utfall bookie]]="","",LayTable[[#This Row],[WBABack]]+LayTable[[#This Row],[WBALay]]-LayTable[[#This Row],[Total inns]])</f>
        <v/>
      </c>
      <c r="U15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0" s="48" t="str">
        <f>IFERROR(IF(LayTable[[#This Row],[Total inns]]="","",LayTable[[#This Row],[Rback]]/LayTable[[#This Row],[Total inns]]),"")</f>
        <v/>
      </c>
      <c r="X1570" s="48" t="str">
        <f>IFERROR(IF(LayTable[[#This Row],[Total inns]]="","",LayTable[[#This Row],[Rlay]]/LayTable[[#This Row],[Total inns]]),"")</f>
        <v/>
      </c>
      <c r="Y1570" s="48" t="str">
        <f>IFERROR(LayTable[[#This Row],[Faktisk res]]/LayTable[[#This Row],[Total inns]],"")</f>
        <v/>
      </c>
      <c r="Z1570" s="47">
        <f>(LayTable[[#This Row],[BookieInnsats]]*LayTable[[#This Row],[BookieOdds]]-LayTable[[#This Row],[BookieInnsats]])*(1-LayTable[[#This Row],[C% Bookie]])</f>
        <v>0</v>
      </c>
      <c r="AA1570" s="43">
        <f>LayTable[[#This Row],[LayInnsats]]*(1-LayTable[[#This Row],[C% Lay]])</f>
        <v>0</v>
      </c>
      <c r="AB1570" s="43" t="str">
        <f>IFERROR(IF(LayTable[[#This Row],[Sport]]="",AB1569,LayTable[[#This Row],[Faktisk res]]+AB1569),"")</f>
        <v/>
      </c>
      <c r="AC1570" s="43">
        <f>(LayTable[[#This Row],[BackWin-Commission]]+LayTable[[#This Row],[BookieInnsats]])</f>
        <v>0</v>
      </c>
      <c r="AD1570" s="43" t="e">
        <f>(LayTable[[#This Row],[LayWin-Commission]])+LayTable[[#This Row],[LayLiability]]</f>
        <v>#VALUE!</v>
      </c>
      <c r="AE1570" s="43"/>
      <c r="AF1570" s="181"/>
    </row>
    <row r="1571" spans="1:32">
      <c r="A1571" s="84"/>
      <c r="B1571" s="39"/>
      <c r="C1571" s="40"/>
      <c r="D1571" s="41"/>
      <c r="E1571" s="40"/>
      <c r="F1571" s="41"/>
      <c r="G1571" s="101"/>
      <c r="H1571" s="38"/>
      <c r="I1571" s="42"/>
      <c r="J1571" s="42"/>
      <c r="K1571" s="43"/>
      <c r="L1571" s="43"/>
      <c r="M1571" s="44" t="str">
        <f>IF(LayTable[[#This Row],[Sport]]="","",LayTable[[#This Row],[LayInnsats]]*(LayTable[[#This Row],[LayOdds]]-1))</f>
        <v/>
      </c>
      <c r="N1571" s="45" t="str">
        <f>IF(LayTable[[#This Row],[Sport]]="","",1/((1/LayTable[[#This Row],[BookieOdds]])+(1/((1/((1+((LayTable[[#This Row],[LayOdds]]-1)*(1+LayTable[[#This Row],[C% Lay]])))-1))+1)))-1)</f>
        <v/>
      </c>
      <c r="Q1571" s="46" t="str">
        <f>IF(LayTable[[#This Row],[Sport]]="","",LayTable[[#This Row],[BookieInnsats]]+LayTable[[#This Row],[LayLiability]])</f>
        <v/>
      </c>
      <c r="R15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1" s="47" t="str">
        <f>IF(LayTable[[#This Row],[Utfall bookie]]="","",LayTable[[#This Row],[WBABack]]+LayTable[[#This Row],[WBALay]]-LayTable[[#This Row],[Total inns]])</f>
        <v/>
      </c>
      <c r="U15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1" s="48" t="str">
        <f>IFERROR(IF(LayTable[[#This Row],[Total inns]]="","",LayTable[[#This Row],[Rback]]/LayTable[[#This Row],[Total inns]]),"")</f>
        <v/>
      </c>
      <c r="X1571" s="48" t="str">
        <f>IFERROR(IF(LayTable[[#This Row],[Total inns]]="","",LayTable[[#This Row],[Rlay]]/LayTable[[#This Row],[Total inns]]),"")</f>
        <v/>
      </c>
      <c r="Y1571" s="48" t="str">
        <f>IFERROR(LayTable[[#This Row],[Faktisk res]]/LayTable[[#This Row],[Total inns]],"")</f>
        <v/>
      </c>
      <c r="Z1571" s="47">
        <f>(LayTable[[#This Row],[BookieInnsats]]*LayTable[[#This Row],[BookieOdds]]-LayTable[[#This Row],[BookieInnsats]])*(1-LayTable[[#This Row],[C% Bookie]])</f>
        <v>0</v>
      </c>
      <c r="AA1571" s="43">
        <f>LayTable[[#This Row],[LayInnsats]]*(1-LayTable[[#This Row],[C% Lay]])</f>
        <v>0</v>
      </c>
      <c r="AB1571" s="43" t="str">
        <f>IFERROR(IF(LayTable[[#This Row],[Sport]]="",AB1570,LayTable[[#This Row],[Faktisk res]]+AB1570),"")</f>
        <v/>
      </c>
      <c r="AC1571" s="43">
        <f>(LayTable[[#This Row],[BackWin-Commission]]+LayTable[[#This Row],[BookieInnsats]])</f>
        <v>0</v>
      </c>
      <c r="AD1571" s="43" t="e">
        <f>(LayTable[[#This Row],[LayWin-Commission]])+LayTable[[#This Row],[LayLiability]]</f>
        <v>#VALUE!</v>
      </c>
      <c r="AE1571" s="43"/>
      <c r="AF1571" s="181"/>
    </row>
    <row r="1572" spans="1:32">
      <c r="A1572" s="84"/>
      <c r="B1572" s="39"/>
      <c r="C1572" s="40"/>
      <c r="D1572" s="41"/>
      <c r="E1572" s="40"/>
      <c r="F1572" s="41"/>
      <c r="G1572" s="101"/>
      <c r="H1572" s="38"/>
      <c r="I1572" s="42"/>
      <c r="J1572" s="42"/>
      <c r="K1572" s="43"/>
      <c r="L1572" s="43"/>
      <c r="M1572" s="44" t="str">
        <f>IF(LayTable[[#This Row],[Sport]]="","",LayTable[[#This Row],[LayInnsats]]*(LayTable[[#This Row],[LayOdds]]-1))</f>
        <v/>
      </c>
      <c r="N1572" s="45" t="str">
        <f>IF(LayTable[[#This Row],[Sport]]="","",1/((1/LayTable[[#This Row],[BookieOdds]])+(1/((1/((1+((LayTable[[#This Row],[LayOdds]]-1)*(1+LayTable[[#This Row],[C% Lay]])))-1))+1)))-1)</f>
        <v/>
      </c>
      <c r="Q1572" s="46" t="str">
        <f>IF(LayTable[[#This Row],[Sport]]="","",LayTable[[#This Row],[BookieInnsats]]+LayTable[[#This Row],[LayLiability]])</f>
        <v/>
      </c>
      <c r="R15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2" s="47" t="str">
        <f>IF(LayTable[[#This Row],[Utfall bookie]]="","",LayTable[[#This Row],[WBABack]]+LayTable[[#This Row],[WBALay]]-LayTable[[#This Row],[Total inns]])</f>
        <v/>
      </c>
      <c r="U15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2" s="48" t="str">
        <f>IFERROR(IF(LayTable[[#This Row],[Total inns]]="","",LayTable[[#This Row],[Rback]]/LayTable[[#This Row],[Total inns]]),"")</f>
        <v/>
      </c>
      <c r="X1572" s="48" t="str">
        <f>IFERROR(IF(LayTable[[#This Row],[Total inns]]="","",LayTable[[#This Row],[Rlay]]/LayTable[[#This Row],[Total inns]]),"")</f>
        <v/>
      </c>
      <c r="Y1572" s="48" t="str">
        <f>IFERROR(LayTable[[#This Row],[Faktisk res]]/LayTable[[#This Row],[Total inns]],"")</f>
        <v/>
      </c>
      <c r="Z1572" s="47">
        <f>(LayTable[[#This Row],[BookieInnsats]]*LayTable[[#This Row],[BookieOdds]]-LayTable[[#This Row],[BookieInnsats]])*(1-LayTable[[#This Row],[C% Bookie]])</f>
        <v>0</v>
      </c>
      <c r="AA1572" s="43">
        <f>LayTable[[#This Row],[LayInnsats]]*(1-LayTable[[#This Row],[C% Lay]])</f>
        <v>0</v>
      </c>
      <c r="AB1572" s="43" t="str">
        <f>IFERROR(IF(LayTable[[#This Row],[Sport]]="",AB1571,LayTable[[#This Row],[Faktisk res]]+AB1571),"")</f>
        <v/>
      </c>
      <c r="AC1572" s="43">
        <f>(LayTable[[#This Row],[BackWin-Commission]]+LayTable[[#This Row],[BookieInnsats]])</f>
        <v>0</v>
      </c>
      <c r="AD1572" s="43" t="e">
        <f>(LayTable[[#This Row],[LayWin-Commission]])+LayTable[[#This Row],[LayLiability]]</f>
        <v>#VALUE!</v>
      </c>
      <c r="AE1572" s="43"/>
      <c r="AF1572" s="181"/>
    </row>
    <row r="1573" spans="1:32">
      <c r="A1573" s="84"/>
      <c r="B1573" s="39"/>
      <c r="C1573" s="40"/>
      <c r="D1573" s="41"/>
      <c r="E1573" s="40"/>
      <c r="F1573" s="41"/>
      <c r="G1573" s="101"/>
      <c r="H1573" s="38"/>
      <c r="I1573" s="42"/>
      <c r="J1573" s="42"/>
      <c r="K1573" s="43"/>
      <c r="L1573" s="43"/>
      <c r="M1573" s="44" t="str">
        <f>IF(LayTable[[#This Row],[Sport]]="","",LayTable[[#This Row],[LayInnsats]]*(LayTable[[#This Row],[LayOdds]]-1))</f>
        <v/>
      </c>
      <c r="N1573" s="45" t="str">
        <f>IF(LayTable[[#This Row],[Sport]]="","",1/((1/LayTable[[#This Row],[BookieOdds]])+(1/((1/((1+((LayTable[[#This Row],[LayOdds]]-1)*(1+LayTable[[#This Row],[C% Lay]])))-1))+1)))-1)</f>
        <v/>
      </c>
      <c r="Q1573" s="46" t="str">
        <f>IF(LayTable[[#This Row],[Sport]]="","",LayTable[[#This Row],[BookieInnsats]]+LayTable[[#This Row],[LayLiability]])</f>
        <v/>
      </c>
      <c r="R15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3" s="47" t="str">
        <f>IF(LayTable[[#This Row],[Utfall bookie]]="","",LayTable[[#This Row],[WBABack]]+LayTable[[#This Row],[WBALay]]-LayTable[[#This Row],[Total inns]])</f>
        <v/>
      </c>
      <c r="U15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3" s="48" t="str">
        <f>IFERROR(IF(LayTable[[#This Row],[Total inns]]="","",LayTable[[#This Row],[Rback]]/LayTable[[#This Row],[Total inns]]),"")</f>
        <v/>
      </c>
      <c r="X1573" s="48" t="str">
        <f>IFERROR(IF(LayTable[[#This Row],[Total inns]]="","",LayTable[[#This Row],[Rlay]]/LayTable[[#This Row],[Total inns]]),"")</f>
        <v/>
      </c>
      <c r="Y1573" s="48" t="str">
        <f>IFERROR(LayTable[[#This Row],[Faktisk res]]/LayTable[[#This Row],[Total inns]],"")</f>
        <v/>
      </c>
      <c r="Z1573" s="47">
        <f>(LayTable[[#This Row],[BookieInnsats]]*LayTable[[#This Row],[BookieOdds]]-LayTable[[#This Row],[BookieInnsats]])*(1-LayTable[[#This Row],[C% Bookie]])</f>
        <v>0</v>
      </c>
      <c r="AA1573" s="43">
        <f>LayTable[[#This Row],[LayInnsats]]*(1-LayTable[[#This Row],[C% Lay]])</f>
        <v>0</v>
      </c>
      <c r="AB1573" s="43" t="str">
        <f>IFERROR(IF(LayTable[[#This Row],[Sport]]="",AB1572,LayTable[[#This Row],[Faktisk res]]+AB1572),"")</f>
        <v/>
      </c>
      <c r="AC1573" s="43">
        <f>(LayTable[[#This Row],[BackWin-Commission]]+LayTable[[#This Row],[BookieInnsats]])</f>
        <v>0</v>
      </c>
      <c r="AD1573" s="43" t="e">
        <f>(LayTable[[#This Row],[LayWin-Commission]])+LayTable[[#This Row],[LayLiability]]</f>
        <v>#VALUE!</v>
      </c>
      <c r="AE1573" s="43"/>
      <c r="AF1573" s="181"/>
    </row>
    <row r="1574" spans="1:32">
      <c r="A1574" s="84"/>
      <c r="B1574" s="39"/>
      <c r="C1574" s="40"/>
      <c r="D1574" s="41"/>
      <c r="E1574" s="40"/>
      <c r="F1574" s="41"/>
      <c r="G1574" s="101"/>
      <c r="H1574" s="38"/>
      <c r="I1574" s="42"/>
      <c r="J1574" s="42"/>
      <c r="K1574" s="43"/>
      <c r="L1574" s="43"/>
      <c r="M1574" s="44" t="str">
        <f>IF(LayTable[[#This Row],[Sport]]="","",LayTable[[#This Row],[LayInnsats]]*(LayTable[[#This Row],[LayOdds]]-1))</f>
        <v/>
      </c>
      <c r="N1574" s="45" t="str">
        <f>IF(LayTable[[#This Row],[Sport]]="","",1/((1/LayTable[[#This Row],[BookieOdds]])+(1/((1/((1+((LayTable[[#This Row],[LayOdds]]-1)*(1+LayTable[[#This Row],[C% Lay]])))-1))+1)))-1)</f>
        <v/>
      </c>
      <c r="Q1574" s="46" t="str">
        <f>IF(LayTable[[#This Row],[Sport]]="","",LayTable[[#This Row],[BookieInnsats]]+LayTable[[#This Row],[LayLiability]])</f>
        <v/>
      </c>
      <c r="R15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4" s="47" t="str">
        <f>IF(LayTable[[#This Row],[Utfall bookie]]="","",LayTable[[#This Row],[WBABack]]+LayTable[[#This Row],[WBALay]]-LayTable[[#This Row],[Total inns]])</f>
        <v/>
      </c>
      <c r="U15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4" s="48" t="str">
        <f>IFERROR(IF(LayTable[[#This Row],[Total inns]]="","",LayTable[[#This Row],[Rback]]/LayTable[[#This Row],[Total inns]]),"")</f>
        <v/>
      </c>
      <c r="X1574" s="48" t="str">
        <f>IFERROR(IF(LayTable[[#This Row],[Total inns]]="","",LayTable[[#This Row],[Rlay]]/LayTable[[#This Row],[Total inns]]),"")</f>
        <v/>
      </c>
      <c r="Y1574" s="48" t="str">
        <f>IFERROR(LayTable[[#This Row],[Faktisk res]]/LayTable[[#This Row],[Total inns]],"")</f>
        <v/>
      </c>
      <c r="Z1574" s="47">
        <f>(LayTable[[#This Row],[BookieInnsats]]*LayTable[[#This Row],[BookieOdds]]-LayTable[[#This Row],[BookieInnsats]])*(1-LayTable[[#This Row],[C% Bookie]])</f>
        <v>0</v>
      </c>
      <c r="AA1574" s="43">
        <f>LayTable[[#This Row],[LayInnsats]]*(1-LayTable[[#This Row],[C% Lay]])</f>
        <v>0</v>
      </c>
      <c r="AB1574" s="43" t="str">
        <f>IFERROR(IF(LayTable[[#This Row],[Sport]]="",AB1573,LayTable[[#This Row],[Faktisk res]]+AB1573),"")</f>
        <v/>
      </c>
      <c r="AC1574" s="43">
        <f>(LayTable[[#This Row],[BackWin-Commission]]+LayTable[[#This Row],[BookieInnsats]])</f>
        <v>0</v>
      </c>
      <c r="AD1574" s="43" t="e">
        <f>(LayTable[[#This Row],[LayWin-Commission]])+LayTable[[#This Row],[LayLiability]]</f>
        <v>#VALUE!</v>
      </c>
      <c r="AE1574" s="43"/>
      <c r="AF1574" s="181"/>
    </row>
    <row r="1575" spans="1:32">
      <c r="A1575" s="84"/>
      <c r="B1575" s="39"/>
      <c r="C1575" s="40"/>
      <c r="D1575" s="41"/>
      <c r="E1575" s="40"/>
      <c r="F1575" s="41"/>
      <c r="G1575" s="101"/>
      <c r="H1575" s="38"/>
      <c r="I1575" s="42"/>
      <c r="J1575" s="42"/>
      <c r="K1575" s="43"/>
      <c r="L1575" s="43"/>
      <c r="M1575" s="44" t="str">
        <f>IF(LayTable[[#This Row],[Sport]]="","",LayTable[[#This Row],[LayInnsats]]*(LayTable[[#This Row],[LayOdds]]-1))</f>
        <v/>
      </c>
      <c r="N1575" s="45" t="str">
        <f>IF(LayTable[[#This Row],[Sport]]="","",1/((1/LayTable[[#This Row],[BookieOdds]])+(1/((1/((1+((LayTable[[#This Row],[LayOdds]]-1)*(1+LayTable[[#This Row],[C% Lay]])))-1))+1)))-1)</f>
        <v/>
      </c>
      <c r="Q1575" s="46" t="str">
        <f>IF(LayTable[[#This Row],[Sport]]="","",LayTable[[#This Row],[BookieInnsats]]+LayTable[[#This Row],[LayLiability]])</f>
        <v/>
      </c>
      <c r="R15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5" s="47" t="str">
        <f>IF(LayTable[[#This Row],[Utfall bookie]]="","",LayTable[[#This Row],[WBABack]]+LayTable[[#This Row],[WBALay]]-LayTable[[#This Row],[Total inns]])</f>
        <v/>
      </c>
      <c r="U15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5" s="48" t="str">
        <f>IFERROR(IF(LayTable[[#This Row],[Total inns]]="","",LayTable[[#This Row],[Rback]]/LayTable[[#This Row],[Total inns]]),"")</f>
        <v/>
      </c>
      <c r="X1575" s="48" t="str">
        <f>IFERROR(IF(LayTable[[#This Row],[Total inns]]="","",LayTable[[#This Row],[Rlay]]/LayTable[[#This Row],[Total inns]]),"")</f>
        <v/>
      </c>
      <c r="Y1575" s="48" t="str">
        <f>IFERROR(LayTable[[#This Row],[Faktisk res]]/LayTable[[#This Row],[Total inns]],"")</f>
        <v/>
      </c>
      <c r="Z1575" s="47">
        <f>(LayTable[[#This Row],[BookieInnsats]]*LayTable[[#This Row],[BookieOdds]]-LayTable[[#This Row],[BookieInnsats]])*(1-LayTable[[#This Row],[C% Bookie]])</f>
        <v>0</v>
      </c>
      <c r="AA1575" s="43">
        <f>LayTable[[#This Row],[LayInnsats]]*(1-LayTable[[#This Row],[C% Lay]])</f>
        <v>0</v>
      </c>
      <c r="AB1575" s="43" t="str">
        <f>IFERROR(IF(LayTable[[#This Row],[Sport]]="",AB1574,LayTable[[#This Row],[Faktisk res]]+AB1574),"")</f>
        <v/>
      </c>
      <c r="AC1575" s="43">
        <f>(LayTable[[#This Row],[BackWin-Commission]]+LayTable[[#This Row],[BookieInnsats]])</f>
        <v>0</v>
      </c>
      <c r="AD1575" s="43" t="e">
        <f>(LayTable[[#This Row],[LayWin-Commission]])+LayTable[[#This Row],[LayLiability]]</f>
        <v>#VALUE!</v>
      </c>
      <c r="AE1575" s="43"/>
      <c r="AF1575" s="181"/>
    </row>
    <row r="1576" spans="1:32">
      <c r="A1576" s="84"/>
      <c r="B1576" s="39"/>
      <c r="C1576" s="40"/>
      <c r="D1576" s="41"/>
      <c r="E1576" s="40"/>
      <c r="F1576" s="41"/>
      <c r="G1576" s="101"/>
      <c r="H1576" s="38"/>
      <c r="I1576" s="42"/>
      <c r="J1576" s="42"/>
      <c r="K1576" s="43"/>
      <c r="L1576" s="43"/>
      <c r="M1576" s="44" t="str">
        <f>IF(LayTable[[#This Row],[Sport]]="","",LayTable[[#This Row],[LayInnsats]]*(LayTable[[#This Row],[LayOdds]]-1))</f>
        <v/>
      </c>
      <c r="N1576" s="45" t="str">
        <f>IF(LayTable[[#This Row],[Sport]]="","",1/((1/LayTable[[#This Row],[BookieOdds]])+(1/((1/((1+((LayTable[[#This Row],[LayOdds]]-1)*(1+LayTable[[#This Row],[C% Lay]])))-1))+1)))-1)</f>
        <v/>
      </c>
      <c r="Q1576" s="46" t="str">
        <f>IF(LayTable[[#This Row],[Sport]]="","",LayTable[[#This Row],[BookieInnsats]]+LayTable[[#This Row],[LayLiability]])</f>
        <v/>
      </c>
      <c r="R15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6" s="47" t="str">
        <f>IF(LayTable[[#This Row],[Utfall bookie]]="","",LayTable[[#This Row],[WBABack]]+LayTable[[#This Row],[WBALay]]-LayTable[[#This Row],[Total inns]])</f>
        <v/>
      </c>
      <c r="U15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6" s="48" t="str">
        <f>IFERROR(IF(LayTable[[#This Row],[Total inns]]="","",LayTable[[#This Row],[Rback]]/LayTable[[#This Row],[Total inns]]),"")</f>
        <v/>
      </c>
      <c r="X1576" s="48" t="str">
        <f>IFERROR(IF(LayTable[[#This Row],[Total inns]]="","",LayTable[[#This Row],[Rlay]]/LayTable[[#This Row],[Total inns]]),"")</f>
        <v/>
      </c>
      <c r="Y1576" s="48" t="str">
        <f>IFERROR(LayTable[[#This Row],[Faktisk res]]/LayTable[[#This Row],[Total inns]],"")</f>
        <v/>
      </c>
      <c r="Z1576" s="47">
        <f>(LayTable[[#This Row],[BookieInnsats]]*LayTable[[#This Row],[BookieOdds]]-LayTable[[#This Row],[BookieInnsats]])*(1-LayTable[[#This Row],[C% Bookie]])</f>
        <v>0</v>
      </c>
      <c r="AA1576" s="43">
        <f>LayTable[[#This Row],[LayInnsats]]*(1-LayTable[[#This Row],[C% Lay]])</f>
        <v>0</v>
      </c>
      <c r="AB1576" s="43" t="str">
        <f>IFERROR(IF(LayTable[[#This Row],[Sport]]="",AB1575,LayTable[[#This Row],[Faktisk res]]+AB1575),"")</f>
        <v/>
      </c>
      <c r="AC1576" s="43">
        <f>(LayTable[[#This Row],[BackWin-Commission]]+LayTable[[#This Row],[BookieInnsats]])</f>
        <v>0</v>
      </c>
      <c r="AD1576" s="43" t="e">
        <f>(LayTable[[#This Row],[LayWin-Commission]])+LayTable[[#This Row],[LayLiability]]</f>
        <v>#VALUE!</v>
      </c>
      <c r="AE1576" s="43"/>
      <c r="AF1576" s="181"/>
    </row>
    <row r="1577" spans="1:32">
      <c r="A1577" s="84"/>
      <c r="B1577" s="39"/>
      <c r="C1577" s="40"/>
      <c r="D1577" s="41"/>
      <c r="E1577" s="40"/>
      <c r="F1577" s="41"/>
      <c r="G1577" s="101"/>
      <c r="H1577" s="38"/>
      <c r="I1577" s="42"/>
      <c r="J1577" s="42"/>
      <c r="K1577" s="43"/>
      <c r="L1577" s="43"/>
      <c r="M1577" s="44" t="str">
        <f>IF(LayTable[[#This Row],[Sport]]="","",LayTable[[#This Row],[LayInnsats]]*(LayTable[[#This Row],[LayOdds]]-1))</f>
        <v/>
      </c>
      <c r="N1577" s="45" t="str">
        <f>IF(LayTable[[#This Row],[Sport]]="","",1/((1/LayTable[[#This Row],[BookieOdds]])+(1/((1/((1+((LayTable[[#This Row],[LayOdds]]-1)*(1+LayTable[[#This Row],[C% Lay]])))-1))+1)))-1)</f>
        <v/>
      </c>
      <c r="Q1577" s="46" t="str">
        <f>IF(LayTable[[#This Row],[Sport]]="","",LayTable[[#This Row],[BookieInnsats]]+LayTable[[#This Row],[LayLiability]])</f>
        <v/>
      </c>
      <c r="R15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7" s="47" t="str">
        <f>IF(LayTable[[#This Row],[Utfall bookie]]="","",LayTable[[#This Row],[WBABack]]+LayTable[[#This Row],[WBALay]]-LayTable[[#This Row],[Total inns]])</f>
        <v/>
      </c>
      <c r="U15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7" s="48" t="str">
        <f>IFERROR(IF(LayTable[[#This Row],[Total inns]]="","",LayTable[[#This Row],[Rback]]/LayTable[[#This Row],[Total inns]]),"")</f>
        <v/>
      </c>
      <c r="X1577" s="48" t="str">
        <f>IFERROR(IF(LayTable[[#This Row],[Total inns]]="","",LayTable[[#This Row],[Rlay]]/LayTable[[#This Row],[Total inns]]),"")</f>
        <v/>
      </c>
      <c r="Y1577" s="48" t="str">
        <f>IFERROR(LayTable[[#This Row],[Faktisk res]]/LayTable[[#This Row],[Total inns]],"")</f>
        <v/>
      </c>
      <c r="Z1577" s="47">
        <f>(LayTable[[#This Row],[BookieInnsats]]*LayTable[[#This Row],[BookieOdds]]-LayTable[[#This Row],[BookieInnsats]])*(1-LayTable[[#This Row],[C% Bookie]])</f>
        <v>0</v>
      </c>
      <c r="AA1577" s="43">
        <f>LayTable[[#This Row],[LayInnsats]]*(1-LayTable[[#This Row],[C% Lay]])</f>
        <v>0</v>
      </c>
      <c r="AB1577" s="43" t="str">
        <f>IFERROR(IF(LayTable[[#This Row],[Sport]]="",AB1576,LayTable[[#This Row],[Faktisk res]]+AB1576),"")</f>
        <v/>
      </c>
      <c r="AC1577" s="43">
        <f>(LayTable[[#This Row],[BackWin-Commission]]+LayTable[[#This Row],[BookieInnsats]])</f>
        <v>0</v>
      </c>
      <c r="AD1577" s="43" t="e">
        <f>(LayTable[[#This Row],[LayWin-Commission]])+LayTable[[#This Row],[LayLiability]]</f>
        <v>#VALUE!</v>
      </c>
      <c r="AE1577" s="43"/>
      <c r="AF1577" s="181"/>
    </row>
    <row r="1578" spans="1:32">
      <c r="A1578" s="84"/>
      <c r="B1578" s="39"/>
      <c r="C1578" s="40"/>
      <c r="D1578" s="41"/>
      <c r="E1578" s="40"/>
      <c r="F1578" s="41"/>
      <c r="G1578" s="101"/>
      <c r="H1578" s="38"/>
      <c r="I1578" s="42"/>
      <c r="J1578" s="42"/>
      <c r="K1578" s="43"/>
      <c r="L1578" s="43"/>
      <c r="M1578" s="44" t="str">
        <f>IF(LayTable[[#This Row],[Sport]]="","",LayTable[[#This Row],[LayInnsats]]*(LayTable[[#This Row],[LayOdds]]-1))</f>
        <v/>
      </c>
      <c r="N1578" s="45" t="str">
        <f>IF(LayTable[[#This Row],[Sport]]="","",1/((1/LayTable[[#This Row],[BookieOdds]])+(1/((1/((1+((LayTable[[#This Row],[LayOdds]]-1)*(1+LayTable[[#This Row],[C% Lay]])))-1))+1)))-1)</f>
        <v/>
      </c>
      <c r="Q1578" s="46" t="str">
        <f>IF(LayTable[[#This Row],[Sport]]="","",LayTable[[#This Row],[BookieInnsats]]+LayTable[[#This Row],[LayLiability]])</f>
        <v/>
      </c>
      <c r="R15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8" s="47" t="str">
        <f>IF(LayTable[[#This Row],[Utfall bookie]]="","",LayTable[[#This Row],[WBABack]]+LayTable[[#This Row],[WBALay]]-LayTable[[#This Row],[Total inns]])</f>
        <v/>
      </c>
      <c r="U15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8" s="48" t="str">
        <f>IFERROR(IF(LayTable[[#This Row],[Total inns]]="","",LayTable[[#This Row],[Rback]]/LayTable[[#This Row],[Total inns]]),"")</f>
        <v/>
      </c>
      <c r="X1578" s="48" t="str">
        <f>IFERROR(IF(LayTable[[#This Row],[Total inns]]="","",LayTable[[#This Row],[Rlay]]/LayTable[[#This Row],[Total inns]]),"")</f>
        <v/>
      </c>
      <c r="Y1578" s="48" t="str">
        <f>IFERROR(LayTable[[#This Row],[Faktisk res]]/LayTable[[#This Row],[Total inns]],"")</f>
        <v/>
      </c>
      <c r="Z1578" s="47">
        <f>(LayTable[[#This Row],[BookieInnsats]]*LayTable[[#This Row],[BookieOdds]]-LayTable[[#This Row],[BookieInnsats]])*(1-LayTable[[#This Row],[C% Bookie]])</f>
        <v>0</v>
      </c>
      <c r="AA1578" s="43">
        <f>LayTable[[#This Row],[LayInnsats]]*(1-LayTable[[#This Row],[C% Lay]])</f>
        <v>0</v>
      </c>
      <c r="AB1578" s="43" t="str">
        <f>IFERROR(IF(LayTable[[#This Row],[Sport]]="",AB1577,LayTable[[#This Row],[Faktisk res]]+AB1577),"")</f>
        <v/>
      </c>
      <c r="AC1578" s="43">
        <f>(LayTable[[#This Row],[BackWin-Commission]]+LayTable[[#This Row],[BookieInnsats]])</f>
        <v>0</v>
      </c>
      <c r="AD1578" s="43" t="e">
        <f>(LayTable[[#This Row],[LayWin-Commission]])+LayTable[[#This Row],[LayLiability]]</f>
        <v>#VALUE!</v>
      </c>
      <c r="AE1578" s="43"/>
      <c r="AF1578" s="181"/>
    </row>
    <row r="1579" spans="1:32">
      <c r="A1579" s="84"/>
      <c r="B1579" s="39"/>
      <c r="C1579" s="40"/>
      <c r="D1579" s="41"/>
      <c r="E1579" s="40"/>
      <c r="F1579" s="41"/>
      <c r="G1579" s="101"/>
      <c r="H1579" s="38"/>
      <c r="I1579" s="42"/>
      <c r="J1579" s="42"/>
      <c r="K1579" s="43"/>
      <c r="L1579" s="43"/>
      <c r="M1579" s="44" t="str">
        <f>IF(LayTable[[#This Row],[Sport]]="","",LayTable[[#This Row],[LayInnsats]]*(LayTable[[#This Row],[LayOdds]]-1))</f>
        <v/>
      </c>
      <c r="N1579" s="45" t="str">
        <f>IF(LayTable[[#This Row],[Sport]]="","",1/((1/LayTable[[#This Row],[BookieOdds]])+(1/((1/((1+((LayTable[[#This Row],[LayOdds]]-1)*(1+LayTable[[#This Row],[C% Lay]])))-1))+1)))-1)</f>
        <v/>
      </c>
      <c r="Q1579" s="46" t="str">
        <f>IF(LayTable[[#This Row],[Sport]]="","",LayTable[[#This Row],[BookieInnsats]]+LayTable[[#This Row],[LayLiability]])</f>
        <v/>
      </c>
      <c r="R15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79" s="47" t="str">
        <f>IF(LayTable[[#This Row],[Utfall bookie]]="","",LayTable[[#This Row],[WBABack]]+LayTable[[#This Row],[WBALay]]-LayTable[[#This Row],[Total inns]])</f>
        <v/>
      </c>
      <c r="U15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79" s="48" t="str">
        <f>IFERROR(IF(LayTable[[#This Row],[Total inns]]="","",LayTable[[#This Row],[Rback]]/LayTable[[#This Row],[Total inns]]),"")</f>
        <v/>
      </c>
      <c r="X1579" s="48" t="str">
        <f>IFERROR(IF(LayTable[[#This Row],[Total inns]]="","",LayTable[[#This Row],[Rlay]]/LayTable[[#This Row],[Total inns]]),"")</f>
        <v/>
      </c>
      <c r="Y1579" s="48" t="str">
        <f>IFERROR(LayTable[[#This Row],[Faktisk res]]/LayTable[[#This Row],[Total inns]],"")</f>
        <v/>
      </c>
      <c r="Z1579" s="47">
        <f>(LayTable[[#This Row],[BookieInnsats]]*LayTable[[#This Row],[BookieOdds]]-LayTable[[#This Row],[BookieInnsats]])*(1-LayTable[[#This Row],[C% Bookie]])</f>
        <v>0</v>
      </c>
      <c r="AA1579" s="43">
        <f>LayTable[[#This Row],[LayInnsats]]*(1-LayTable[[#This Row],[C% Lay]])</f>
        <v>0</v>
      </c>
      <c r="AB1579" s="43" t="str">
        <f>IFERROR(IF(LayTable[[#This Row],[Sport]]="",AB1578,LayTable[[#This Row],[Faktisk res]]+AB1578),"")</f>
        <v/>
      </c>
      <c r="AC1579" s="43">
        <f>(LayTable[[#This Row],[BackWin-Commission]]+LayTable[[#This Row],[BookieInnsats]])</f>
        <v>0</v>
      </c>
      <c r="AD1579" s="43" t="e">
        <f>(LayTable[[#This Row],[LayWin-Commission]])+LayTable[[#This Row],[LayLiability]]</f>
        <v>#VALUE!</v>
      </c>
      <c r="AE1579" s="43"/>
      <c r="AF1579" s="181"/>
    </row>
    <row r="1580" spans="1:32">
      <c r="A1580" s="84"/>
      <c r="B1580" s="39"/>
      <c r="C1580" s="40"/>
      <c r="D1580" s="41"/>
      <c r="E1580" s="40"/>
      <c r="F1580" s="41"/>
      <c r="G1580" s="101"/>
      <c r="H1580" s="38"/>
      <c r="I1580" s="42"/>
      <c r="J1580" s="42"/>
      <c r="K1580" s="43"/>
      <c r="L1580" s="43"/>
      <c r="M1580" s="44" t="str">
        <f>IF(LayTable[[#This Row],[Sport]]="","",LayTable[[#This Row],[LayInnsats]]*(LayTable[[#This Row],[LayOdds]]-1))</f>
        <v/>
      </c>
      <c r="N1580" s="45" t="str">
        <f>IF(LayTable[[#This Row],[Sport]]="","",1/((1/LayTable[[#This Row],[BookieOdds]])+(1/((1/((1+((LayTable[[#This Row],[LayOdds]]-1)*(1+LayTable[[#This Row],[C% Lay]])))-1))+1)))-1)</f>
        <v/>
      </c>
      <c r="Q1580" s="46" t="str">
        <f>IF(LayTable[[#This Row],[Sport]]="","",LayTable[[#This Row],[BookieInnsats]]+LayTable[[#This Row],[LayLiability]])</f>
        <v/>
      </c>
      <c r="R15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0" s="47" t="str">
        <f>IF(LayTable[[#This Row],[Utfall bookie]]="","",LayTable[[#This Row],[WBABack]]+LayTable[[#This Row],[WBALay]]-LayTable[[#This Row],[Total inns]])</f>
        <v/>
      </c>
      <c r="U15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0" s="48" t="str">
        <f>IFERROR(IF(LayTable[[#This Row],[Total inns]]="","",LayTable[[#This Row],[Rback]]/LayTable[[#This Row],[Total inns]]),"")</f>
        <v/>
      </c>
      <c r="X1580" s="48" t="str">
        <f>IFERROR(IF(LayTable[[#This Row],[Total inns]]="","",LayTable[[#This Row],[Rlay]]/LayTable[[#This Row],[Total inns]]),"")</f>
        <v/>
      </c>
      <c r="Y1580" s="48" t="str">
        <f>IFERROR(LayTable[[#This Row],[Faktisk res]]/LayTable[[#This Row],[Total inns]],"")</f>
        <v/>
      </c>
      <c r="Z1580" s="47">
        <f>(LayTable[[#This Row],[BookieInnsats]]*LayTable[[#This Row],[BookieOdds]]-LayTable[[#This Row],[BookieInnsats]])*(1-LayTable[[#This Row],[C% Bookie]])</f>
        <v>0</v>
      </c>
      <c r="AA1580" s="43">
        <f>LayTable[[#This Row],[LayInnsats]]*(1-LayTable[[#This Row],[C% Lay]])</f>
        <v>0</v>
      </c>
      <c r="AB1580" s="43" t="str">
        <f>IFERROR(IF(LayTable[[#This Row],[Sport]]="",AB1579,LayTable[[#This Row],[Faktisk res]]+AB1579),"")</f>
        <v/>
      </c>
      <c r="AC1580" s="43">
        <f>(LayTable[[#This Row],[BackWin-Commission]]+LayTable[[#This Row],[BookieInnsats]])</f>
        <v>0</v>
      </c>
      <c r="AD1580" s="43" t="e">
        <f>(LayTable[[#This Row],[LayWin-Commission]])+LayTable[[#This Row],[LayLiability]]</f>
        <v>#VALUE!</v>
      </c>
      <c r="AE1580" s="43"/>
      <c r="AF1580" s="181"/>
    </row>
    <row r="1581" spans="1:32">
      <c r="A1581" s="84"/>
      <c r="B1581" s="39"/>
      <c r="C1581" s="40"/>
      <c r="D1581" s="41"/>
      <c r="E1581" s="40"/>
      <c r="F1581" s="41"/>
      <c r="G1581" s="101"/>
      <c r="H1581" s="38"/>
      <c r="I1581" s="42"/>
      <c r="J1581" s="42"/>
      <c r="K1581" s="43"/>
      <c r="L1581" s="43"/>
      <c r="M1581" s="44" t="str">
        <f>IF(LayTable[[#This Row],[Sport]]="","",LayTable[[#This Row],[LayInnsats]]*(LayTable[[#This Row],[LayOdds]]-1))</f>
        <v/>
      </c>
      <c r="N1581" s="45" t="str">
        <f>IF(LayTable[[#This Row],[Sport]]="","",1/((1/LayTable[[#This Row],[BookieOdds]])+(1/((1/((1+((LayTable[[#This Row],[LayOdds]]-1)*(1+LayTable[[#This Row],[C% Lay]])))-1))+1)))-1)</f>
        <v/>
      </c>
      <c r="Q1581" s="46" t="str">
        <f>IF(LayTable[[#This Row],[Sport]]="","",LayTable[[#This Row],[BookieInnsats]]+LayTable[[#This Row],[LayLiability]])</f>
        <v/>
      </c>
      <c r="R15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1" s="47" t="str">
        <f>IF(LayTable[[#This Row],[Utfall bookie]]="","",LayTable[[#This Row],[WBABack]]+LayTable[[#This Row],[WBALay]]-LayTable[[#This Row],[Total inns]])</f>
        <v/>
      </c>
      <c r="U15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1" s="48" t="str">
        <f>IFERROR(IF(LayTable[[#This Row],[Total inns]]="","",LayTable[[#This Row],[Rback]]/LayTable[[#This Row],[Total inns]]),"")</f>
        <v/>
      </c>
      <c r="X1581" s="48" t="str">
        <f>IFERROR(IF(LayTable[[#This Row],[Total inns]]="","",LayTable[[#This Row],[Rlay]]/LayTable[[#This Row],[Total inns]]),"")</f>
        <v/>
      </c>
      <c r="Y1581" s="48" t="str">
        <f>IFERROR(LayTable[[#This Row],[Faktisk res]]/LayTable[[#This Row],[Total inns]],"")</f>
        <v/>
      </c>
      <c r="Z1581" s="47">
        <f>(LayTable[[#This Row],[BookieInnsats]]*LayTable[[#This Row],[BookieOdds]]-LayTable[[#This Row],[BookieInnsats]])*(1-LayTable[[#This Row],[C% Bookie]])</f>
        <v>0</v>
      </c>
      <c r="AA1581" s="43">
        <f>LayTable[[#This Row],[LayInnsats]]*(1-LayTable[[#This Row],[C% Lay]])</f>
        <v>0</v>
      </c>
      <c r="AB1581" s="43" t="str">
        <f>IFERROR(IF(LayTable[[#This Row],[Sport]]="",AB1580,LayTable[[#This Row],[Faktisk res]]+AB1580),"")</f>
        <v/>
      </c>
      <c r="AC1581" s="43">
        <f>(LayTable[[#This Row],[BackWin-Commission]]+LayTable[[#This Row],[BookieInnsats]])</f>
        <v>0</v>
      </c>
      <c r="AD1581" s="43" t="e">
        <f>(LayTable[[#This Row],[LayWin-Commission]])+LayTable[[#This Row],[LayLiability]]</f>
        <v>#VALUE!</v>
      </c>
      <c r="AE1581" s="43"/>
      <c r="AF1581" s="181"/>
    </row>
    <row r="1582" spans="1:32">
      <c r="A1582" s="84"/>
      <c r="B1582" s="39"/>
      <c r="C1582" s="40"/>
      <c r="D1582" s="41"/>
      <c r="E1582" s="40"/>
      <c r="F1582" s="41"/>
      <c r="G1582" s="101"/>
      <c r="H1582" s="38"/>
      <c r="I1582" s="42"/>
      <c r="J1582" s="42"/>
      <c r="K1582" s="43"/>
      <c r="L1582" s="43"/>
      <c r="M1582" s="44" t="str">
        <f>IF(LayTable[[#This Row],[Sport]]="","",LayTable[[#This Row],[LayInnsats]]*(LayTable[[#This Row],[LayOdds]]-1))</f>
        <v/>
      </c>
      <c r="N1582" s="45" t="str">
        <f>IF(LayTable[[#This Row],[Sport]]="","",1/((1/LayTable[[#This Row],[BookieOdds]])+(1/((1/((1+((LayTable[[#This Row],[LayOdds]]-1)*(1+LayTable[[#This Row],[C% Lay]])))-1))+1)))-1)</f>
        <v/>
      </c>
      <c r="Q1582" s="46" t="str">
        <f>IF(LayTable[[#This Row],[Sport]]="","",LayTable[[#This Row],[BookieInnsats]]+LayTable[[#This Row],[LayLiability]])</f>
        <v/>
      </c>
      <c r="R15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2" s="47" t="str">
        <f>IF(LayTable[[#This Row],[Utfall bookie]]="","",LayTable[[#This Row],[WBABack]]+LayTable[[#This Row],[WBALay]]-LayTable[[#This Row],[Total inns]])</f>
        <v/>
      </c>
      <c r="U15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2" s="48" t="str">
        <f>IFERROR(IF(LayTable[[#This Row],[Total inns]]="","",LayTable[[#This Row],[Rback]]/LayTable[[#This Row],[Total inns]]),"")</f>
        <v/>
      </c>
      <c r="X1582" s="48" t="str">
        <f>IFERROR(IF(LayTable[[#This Row],[Total inns]]="","",LayTable[[#This Row],[Rlay]]/LayTable[[#This Row],[Total inns]]),"")</f>
        <v/>
      </c>
      <c r="Y1582" s="48" t="str">
        <f>IFERROR(LayTable[[#This Row],[Faktisk res]]/LayTable[[#This Row],[Total inns]],"")</f>
        <v/>
      </c>
      <c r="Z1582" s="47">
        <f>(LayTable[[#This Row],[BookieInnsats]]*LayTable[[#This Row],[BookieOdds]]-LayTable[[#This Row],[BookieInnsats]])*(1-LayTable[[#This Row],[C% Bookie]])</f>
        <v>0</v>
      </c>
      <c r="AA1582" s="43">
        <f>LayTable[[#This Row],[LayInnsats]]*(1-LayTable[[#This Row],[C% Lay]])</f>
        <v>0</v>
      </c>
      <c r="AB1582" s="43" t="str">
        <f>IFERROR(IF(LayTable[[#This Row],[Sport]]="",AB1581,LayTable[[#This Row],[Faktisk res]]+AB1581),"")</f>
        <v/>
      </c>
      <c r="AC1582" s="43">
        <f>(LayTable[[#This Row],[BackWin-Commission]]+LayTable[[#This Row],[BookieInnsats]])</f>
        <v>0</v>
      </c>
      <c r="AD1582" s="43" t="e">
        <f>(LayTable[[#This Row],[LayWin-Commission]])+LayTable[[#This Row],[LayLiability]]</f>
        <v>#VALUE!</v>
      </c>
      <c r="AE1582" s="43"/>
      <c r="AF1582" s="181"/>
    </row>
    <row r="1583" spans="1:32">
      <c r="A1583" s="84"/>
      <c r="B1583" s="39"/>
      <c r="C1583" s="40"/>
      <c r="D1583" s="41"/>
      <c r="E1583" s="40"/>
      <c r="F1583" s="41"/>
      <c r="G1583" s="101"/>
      <c r="H1583" s="38"/>
      <c r="I1583" s="42"/>
      <c r="J1583" s="42"/>
      <c r="K1583" s="43"/>
      <c r="L1583" s="43"/>
      <c r="M1583" s="44" t="str">
        <f>IF(LayTable[[#This Row],[Sport]]="","",LayTable[[#This Row],[LayInnsats]]*(LayTable[[#This Row],[LayOdds]]-1))</f>
        <v/>
      </c>
      <c r="N1583" s="45" t="str">
        <f>IF(LayTable[[#This Row],[Sport]]="","",1/((1/LayTable[[#This Row],[BookieOdds]])+(1/((1/((1+((LayTable[[#This Row],[LayOdds]]-1)*(1+LayTable[[#This Row],[C% Lay]])))-1))+1)))-1)</f>
        <v/>
      </c>
      <c r="Q1583" s="46" t="str">
        <f>IF(LayTable[[#This Row],[Sport]]="","",LayTable[[#This Row],[BookieInnsats]]+LayTable[[#This Row],[LayLiability]])</f>
        <v/>
      </c>
      <c r="R15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3" s="47" t="str">
        <f>IF(LayTable[[#This Row],[Utfall bookie]]="","",LayTable[[#This Row],[WBABack]]+LayTable[[#This Row],[WBALay]]-LayTable[[#This Row],[Total inns]])</f>
        <v/>
      </c>
      <c r="U15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3" s="48" t="str">
        <f>IFERROR(IF(LayTable[[#This Row],[Total inns]]="","",LayTable[[#This Row],[Rback]]/LayTable[[#This Row],[Total inns]]),"")</f>
        <v/>
      </c>
      <c r="X1583" s="48" t="str">
        <f>IFERROR(IF(LayTable[[#This Row],[Total inns]]="","",LayTable[[#This Row],[Rlay]]/LayTable[[#This Row],[Total inns]]),"")</f>
        <v/>
      </c>
      <c r="Y1583" s="48" t="str">
        <f>IFERROR(LayTable[[#This Row],[Faktisk res]]/LayTable[[#This Row],[Total inns]],"")</f>
        <v/>
      </c>
      <c r="Z1583" s="47">
        <f>(LayTable[[#This Row],[BookieInnsats]]*LayTable[[#This Row],[BookieOdds]]-LayTable[[#This Row],[BookieInnsats]])*(1-LayTable[[#This Row],[C% Bookie]])</f>
        <v>0</v>
      </c>
      <c r="AA1583" s="43">
        <f>LayTable[[#This Row],[LayInnsats]]*(1-LayTable[[#This Row],[C% Lay]])</f>
        <v>0</v>
      </c>
      <c r="AB1583" s="43" t="str">
        <f>IFERROR(IF(LayTable[[#This Row],[Sport]]="",AB1582,LayTable[[#This Row],[Faktisk res]]+AB1582),"")</f>
        <v/>
      </c>
      <c r="AC1583" s="43">
        <f>(LayTable[[#This Row],[BackWin-Commission]]+LayTable[[#This Row],[BookieInnsats]])</f>
        <v>0</v>
      </c>
      <c r="AD1583" s="43" t="e">
        <f>(LayTable[[#This Row],[LayWin-Commission]])+LayTable[[#This Row],[LayLiability]]</f>
        <v>#VALUE!</v>
      </c>
      <c r="AE1583" s="43"/>
      <c r="AF1583" s="181"/>
    </row>
    <row r="1584" spans="1:32">
      <c r="A1584" s="84"/>
      <c r="B1584" s="39"/>
      <c r="C1584" s="40"/>
      <c r="D1584" s="41"/>
      <c r="E1584" s="40"/>
      <c r="F1584" s="41"/>
      <c r="G1584" s="101"/>
      <c r="H1584" s="38"/>
      <c r="I1584" s="42"/>
      <c r="J1584" s="42"/>
      <c r="K1584" s="43"/>
      <c r="L1584" s="43"/>
      <c r="M1584" s="44" t="str">
        <f>IF(LayTable[[#This Row],[Sport]]="","",LayTable[[#This Row],[LayInnsats]]*(LayTable[[#This Row],[LayOdds]]-1))</f>
        <v/>
      </c>
      <c r="N1584" s="45" t="str">
        <f>IF(LayTable[[#This Row],[Sport]]="","",1/((1/LayTable[[#This Row],[BookieOdds]])+(1/((1/((1+((LayTable[[#This Row],[LayOdds]]-1)*(1+LayTable[[#This Row],[C% Lay]])))-1))+1)))-1)</f>
        <v/>
      </c>
      <c r="Q1584" s="46" t="str">
        <f>IF(LayTable[[#This Row],[Sport]]="","",LayTable[[#This Row],[BookieInnsats]]+LayTable[[#This Row],[LayLiability]])</f>
        <v/>
      </c>
      <c r="R15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4" s="47" t="str">
        <f>IF(LayTable[[#This Row],[Utfall bookie]]="","",LayTable[[#This Row],[WBABack]]+LayTable[[#This Row],[WBALay]]-LayTable[[#This Row],[Total inns]])</f>
        <v/>
      </c>
      <c r="U15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4" s="48" t="str">
        <f>IFERROR(IF(LayTable[[#This Row],[Total inns]]="","",LayTable[[#This Row],[Rback]]/LayTable[[#This Row],[Total inns]]),"")</f>
        <v/>
      </c>
      <c r="X1584" s="48" t="str">
        <f>IFERROR(IF(LayTable[[#This Row],[Total inns]]="","",LayTable[[#This Row],[Rlay]]/LayTable[[#This Row],[Total inns]]),"")</f>
        <v/>
      </c>
      <c r="Y1584" s="48" t="str">
        <f>IFERROR(LayTable[[#This Row],[Faktisk res]]/LayTable[[#This Row],[Total inns]],"")</f>
        <v/>
      </c>
      <c r="Z1584" s="47">
        <f>(LayTable[[#This Row],[BookieInnsats]]*LayTable[[#This Row],[BookieOdds]]-LayTable[[#This Row],[BookieInnsats]])*(1-LayTable[[#This Row],[C% Bookie]])</f>
        <v>0</v>
      </c>
      <c r="AA1584" s="43">
        <f>LayTable[[#This Row],[LayInnsats]]*(1-LayTable[[#This Row],[C% Lay]])</f>
        <v>0</v>
      </c>
      <c r="AB1584" s="43" t="str">
        <f>IFERROR(IF(LayTable[[#This Row],[Sport]]="",AB1583,LayTable[[#This Row],[Faktisk res]]+AB1583),"")</f>
        <v/>
      </c>
      <c r="AC1584" s="43">
        <f>(LayTable[[#This Row],[BackWin-Commission]]+LayTable[[#This Row],[BookieInnsats]])</f>
        <v>0</v>
      </c>
      <c r="AD1584" s="43" t="e">
        <f>(LayTable[[#This Row],[LayWin-Commission]])+LayTable[[#This Row],[LayLiability]]</f>
        <v>#VALUE!</v>
      </c>
      <c r="AE1584" s="43"/>
      <c r="AF1584" s="181"/>
    </row>
    <row r="1585" spans="1:32">
      <c r="A1585" s="84"/>
      <c r="B1585" s="39"/>
      <c r="C1585" s="40"/>
      <c r="D1585" s="41"/>
      <c r="E1585" s="40"/>
      <c r="F1585" s="41"/>
      <c r="G1585" s="101"/>
      <c r="H1585" s="38"/>
      <c r="I1585" s="42"/>
      <c r="J1585" s="42"/>
      <c r="K1585" s="43"/>
      <c r="L1585" s="43"/>
      <c r="M1585" s="44" t="str">
        <f>IF(LayTable[[#This Row],[Sport]]="","",LayTable[[#This Row],[LayInnsats]]*(LayTable[[#This Row],[LayOdds]]-1))</f>
        <v/>
      </c>
      <c r="N1585" s="45" t="str">
        <f>IF(LayTable[[#This Row],[Sport]]="","",1/((1/LayTable[[#This Row],[BookieOdds]])+(1/((1/((1+((LayTable[[#This Row],[LayOdds]]-1)*(1+LayTable[[#This Row],[C% Lay]])))-1))+1)))-1)</f>
        <v/>
      </c>
      <c r="Q1585" s="46" t="str">
        <f>IF(LayTable[[#This Row],[Sport]]="","",LayTable[[#This Row],[BookieInnsats]]+LayTable[[#This Row],[LayLiability]])</f>
        <v/>
      </c>
      <c r="R15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5" s="47" t="str">
        <f>IF(LayTable[[#This Row],[Utfall bookie]]="","",LayTable[[#This Row],[WBABack]]+LayTable[[#This Row],[WBALay]]-LayTable[[#This Row],[Total inns]])</f>
        <v/>
      </c>
      <c r="U15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5" s="48" t="str">
        <f>IFERROR(IF(LayTable[[#This Row],[Total inns]]="","",LayTable[[#This Row],[Rback]]/LayTable[[#This Row],[Total inns]]),"")</f>
        <v/>
      </c>
      <c r="X1585" s="48" t="str">
        <f>IFERROR(IF(LayTable[[#This Row],[Total inns]]="","",LayTable[[#This Row],[Rlay]]/LayTable[[#This Row],[Total inns]]),"")</f>
        <v/>
      </c>
      <c r="Y1585" s="48" t="str">
        <f>IFERROR(LayTable[[#This Row],[Faktisk res]]/LayTable[[#This Row],[Total inns]],"")</f>
        <v/>
      </c>
      <c r="Z1585" s="47">
        <f>(LayTable[[#This Row],[BookieInnsats]]*LayTable[[#This Row],[BookieOdds]]-LayTable[[#This Row],[BookieInnsats]])*(1-LayTable[[#This Row],[C% Bookie]])</f>
        <v>0</v>
      </c>
      <c r="AA1585" s="43">
        <f>LayTable[[#This Row],[LayInnsats]]*(1-LayTable[[#This Row],[C% Lay]])</f>
        <v>0</v>
      </c>
      <c r="AB1585" s="43" t="str">
        <f>IFERROR(IF(LayTable[[#This Row],[Sport]]="",AB1584,LayTable[[#This Row],[Faktisk res]]+AB1584),"")</f>
        <v/>
      </c>
      <c r="AC1585" s="43">
        <f>(LayTable[[#This Row],[BackWin-Commission]]+LayTable[[#This Row],[BookieInnsats]])</f>
        <v>0</v>
      </c>
      <c r="AD1585" s="43" t="e">
        <f>(LayTable[[#This Row],[LayWin-Commission]])+LayTable[[#This Row],[LayLiability]]</f>
        <v>#VALUE!</v>
      </c>
      <c r="AE1585" s="43"/>
      <c r="AF1585" s="181"/>
    </row>
    <row r="1586" spans="1:32">
      <c r="A1586" s="84"/>
      <c r="B1586" s="39"/>
      <c r="C1586" s="40"/>
      <c r="D1586" s="41"/>
      <c r="E1586" s="40"/>
      <c r="F1586" s="41"/>
      <c r="G1586" s="101"/>
      <c r="H1586" s="38"/>
      <c r="I1586" s="42"/>
      <c r="J1586" s="42"/>
      <c r="K1586" s="43"/>
      <c r="L1586" s="43"/>
      <c r="M1586" s="44" t="str">
        <f>IF(LayTable[[#This Row],[Sport]]="","",LayTable[[#This Row],[LayInnsats]]*(LayTable[[#This Row],[LayOdds]]-1))</f>
        <v/>
      </c>
      <c r="N1586" s="45" t="str">
        <f>IF(LayTable[[#This Row],[Sport]]="","",1/((1/LayTable[[#This Row],[BookieOdds]])+(1/((1/((1+((LayTable[[#This Row],[LayOdds]]-1)*(1+LayTable[[#This Row],[C% Lay]])))-1))+1)))-1)</f>
        <v/>
      </c>
      <c r="Q1586" s="46" t="str">
        <f>IF(LayTable[[#This Row],[Sport]]="","",LayTable[[#This Row],[BookieInnsats]]+LayTable[[#This Row],[LayLiability]])</f>
        <v/>
      </c>
      <c r="R15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6" s="47" t="str">
        <f>IF(LayTable[[#This Row],[Utfall bookie]]="","",LayTable[[#This Row],[WBABack]]+LayTable[[#This Row],[WBALay]]-LayTable[[#This Row],[Total inns]])</f>
        <v/>
      </c>
      <c r="U15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6" s="48" t="str">
        <f>IFERROR(IF(LayTable[[#This Row],[Total inns]]="","",LayTable[[#This Row],[Rback]]/LayTable[[#This Row],[Total inns]]),"")</f>
        <v/>
      </c>
      <c r="X1586" s="48" t="str">
        <f>IFERROR(IF(LayTable[[#This Row],[Total inns]]="","",LayTable[[#This Row],[Rlay]]/LayTable[[#This Row],[Total inns]]),"")</f>
        <v/>
      </c>
      <c r="Y1586" s="48" t="str">
        <f>IFERROR(LayTable[[#This Row],[Faktisk res]]/LayTable[[#This Row],[Total inns]],"")</f>
        <v/>
      </c>
      <c r="Z1586" s="47">
        <f>(LayTable[[#This Row],[BookieInnsats]]*LayTable[[#This Row],[BookieOdds]]-LayTable[[#This Row],[BookieInnsats]])*(1-LayTable[[#This Row],[C% Bookie]])</f>
        <v>0</v>
      </c>
      <c r="AA1586" s="43">
        <f>LayTable[[#This Row],[LayInnsats]]*(1-LayTable[[#This Row],[C% Lay]])</f>
        <v>0</v>
      </c>
      <c r="AB1586" s="43" t="str">
        <f>IFERROR(IF(LayTable[[#This Row],[Sport]]="",AB1585,LayTable[[#This Row],[Faktisk res]]+AB1585),"")</f>
        <v/>
      </c>
      <c r="AC1586" s="43">
        <f>(LayTable[[#This Row],[BackWin-Commission]]+LayTable[[#This Row],[BookieInnsats]])</f>
        <v>0</v>
      </c>
      <c r="AD1586" s="43" t="e">
        <f>(LayTable[[#This Row],[LayWin-Commission]])+LayTable[[#This Row],[LayLiability]]</f>
        <v>#VALUE!</v>
      </c>
      <c r="AE1586" s="43"/>
      <c r="AF1586" s="181"/>
    </row>
    <row r="1587" spans="1:32">
      <c r="A1587" s="84"/>
      <c r="B1587" s="39"/>
      <c r="C1587" s="40"/>
      <c r="D1587" s="41"/>
      <c r="E1587" s="40"/>
      <c r="F1587" s="41"/>
      <c r="G1587" s="101"/>
      <c r="H1587" s="38"/>
      <c r="I1587" s="42"/>
      <c r="J1587" s="42"/>
      <c r="K1587" s="43"/>
      <c r="L1587" s="43"/>
      <c r="M1587" s="44" t="str">
        <f>IF(LayTable[[#This Row],[Sport]]="","",LayTable[[#This Row],[LayInnsats]]*(LayTable[[#This Row],[LayOdds]]-1))</f>
        <v/>
      </c>
      <c r="N1587" s="45" t="str">
        <f>IF(LayTable[[#This Row],[Sport]]="","",1/((1/LayTable[[#This Row],[BookieOdds]])+(1/((1/((1+((LayTable[[#This Row],[LayOdds]]-1)*(1+LayTable[[#This Row],[C% Lay]])))-1))+1)))-1)</f>
        <v/>
      </c>
      <c r="Q1587" s="46" t="str">
        <f>IF(LayTable[[#This Row],[Sport]]="","",LayTable[[#This Row],[BookieInnsats]]+LayTable[[#This Row],[LayLiability]])</f>
        <v/>
      </c>
      <c r="R15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7" s="47" t="str">
        <f>IF(LayTable[[#This Row],[Utfall bookie]]="","",LayTable[[#This Row],[WBABack]]+LayTable[[#This Row],[WBALay]]-LayTable[[#This Row],[Total inns]])</f>
        <v/>
      </c>
      <c r="U15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7" s="48" t="str">
        <f>IFERROR(IF(LayTable[[#This Row],[Total inns]]="","",LayTable[[#This Row],[Rback]]/LayTable[[#This Row],[Total inns]]),"")</f>
        <v/>
      </c>
      <c r="X1587" s="48" t="str">
        <f>IFERROR(IF(LayTable[[#This Row],[Total inns]]="","",LayTable[[#This Row],[Rlay]]/LayTable[[#This Row],[Total inns]]),"")</f>
        <v/>
      </c>
      <c r="Y1587" s="48" t="str">
        <f>IFERROR(LayTable[[#This Row],[Faktisk res]]/LayTable[[#This Row],[Total inns]],"")</f>
        <v/>
      </c>
      <c r="Z1587" s="47">
        <f>(LayTable[[#This Row],[BookieInnsats]]*LayTable[[#This Row],[BookieOdds]]-LayTable[[#This Row],[BookieInnsats]])*(1-LayTable[[#This Row],[C% Bookie]])</f>
        <v>0</v>
      </c>
      <c r="AA1587" s="43">
        <f>LayTable[[#This Row],[LayInnsats]]*(1-LayTable[[#This Row],[C% Lay]])</f>
        <v>0</v>
      </c>
      <c r="AB1587" s="43" t="str">
        <f>IFERROR(IF(LayTable[[#This Row],[Sport]]="",AB1586,LayTable[[#This Row],[Faktisk res]]+AB1586),"")</f>
        <v/>
      </c>
      <c r="AC1587" s="43">
        <f>(LayTable[[#This Row],[BackWin-Commission]]+LayTable[[#This Row],[BookieInnsats]])</f>
        <v>0</v>
      </c>
      <c r="AD1587" s="43" t="e">
        <f>(LayTable[[#This Row],[LayWin-Commission]])+LayTable[[#This Row],[LayLiability]]</f>
        <v>#VALUE!</v>
      </c>
      <c r="AE1587" s="43"/>
      <c r="AF1587" s="181"/>
    </row>
    <row r="1588" spans="1:32">
      <c r="A1588" s="84"/>
      <c r="B1588" s="39"/>
      <c r="C1588" s="40"/>
      <c r="D1588" s="41"/>
      <c r="E1588" s="40"/>
      <c r="F1588" s="41"/>
      <c r="G1588" s="101"/>
      <c r="H1588" s="38"/>
      <c r="I1588" s="42"/>
      <c r="J1588" s="42"/>
      <c r="K1588" s="43"/>
      <c r="L1588" s="43"/>
      <c r="M1588" s="44" t="str">
        <f>IF(LayTable[[#This Row],[Sport]]="","",LayTable[[#This Row],[LayInnsats]]*(LayTable[[#This Row],[LayOdds]]-1))</f>
        <v/>
      </c>
      <c r="N1588" s="45" t="str">
        <f>IF(LayTable[[#This Row],[Sport]]="","",1/((1/LayTable[[#This Row],[BookieOdds]])+(1/((1/((1+((LayTable[[#This Row],[LayOdds]]-1)*(1+LayTable[[#This Row],[C% Lay]])))-1))+1)))-1)</f>
        <v/>
      </c>
      <c r="Q1588" s="46" t="str">
        <f>IF(LayTable[[#This Row],[Sport]]="","",LayTable[[#This Row],[BookieInnsats]]+LayTable[[#This Row],[LayLiability]])</f>
        <v/>
      </c>
      <c r="R15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8" s="47" t="str">
        <f>IF(LayTable[[#This Row],[Utfall bookie]]="","",LayTable[[#This Row],[WBABack]]+LayTable[[#This Row],[WBALay]]-LayTable[[#This Row],[Total inns]])</f>
        <v/>
      </c>
      <c r="U15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8" s="48" t="str">
        <f>IFERROR(IF(LayTable[[#This Row],[Total inns]]="","",LayTable[[#This Row],[Rback]]/LayTable[[#This Row],[Total inns]]),"")</f>
        <v/>
      </c>
      <c r="X1588" s="48" t="str">
        <f>IFERROR(IF(LayTable[[#This Row],[Total inns]]="","",LayTable[[#This Row],[Rlay]]/LayTable[[#This Row],[Total inns]]),"")</f>
        <v/>
      </c>
      <c r="Y1588" s="48" t="str">
        <f>IFERROR(LayTable[[#This Row],[Faktisk res]]/LayTable[[#This Row],[Total inns]],"")</f>
        <v/>
      </c>
      <c r="Z1588" s="47">
        <f>(LayTable[[#This Row],[BookieInnsats]]*LayTable[[#This Row],[BookieOdds]]-LayTable[[#This Row],[BookieInnsats]])*(1-LayTable[[#This Row],[C% Bookie]])</f>
        <v>0</v>
      </c>
      <c r="AA1588" s="43">
        <f>LayTable[[#This Row],[LayInnsats]]*(1-LayTable[[#This Row],[C% Lay]])</f>
        <v>0</v>
      </c>
      <c r="AB1588" s="43" t="str">
        <f>IFERROR(IF(LayTable[[#This Row],[Sport]]="",AB1587,LayTable[[#This Row],[Faktisk res]]+AB1587),"")</f>
        <v/>
      </c>
      <c r="AC1588" s="43">
        <f>(LayTable[[#This Row],[BackWin-Commission]]+LayTable[[#This Row],[BookieInnsats]])</f>
        <v>0</v>
      </c>
      <c r="AD1588" s="43" t="e">
        <f>(LayTable[[#This Row],[LayWin-Commission]])+LayTable[[#This Row],[LayLiability]]</f>
        <v>#VALUE!</v>
      </c>
      <c r="AE1588" s="43"/>
      <c r="AF1588" s="181"/>
    </row>
    <row r="1589" spans="1:32">
      <c r="A1589" s="84"/>
      <c r="B1589" s="39"/>
      <c r="C1589" s="40"/>
      <c r="D1589" s="41"/>
      <c r="E1589" s="40"/>
      <c r="F1589" s="41"/>
      <c r="G1589" s="101"/>
      <c r="H1589" s="38"/>
      <c r="I1589" s="42"/>
      <c r="J1589" s="42"/>
      <c r="K1589" s="43"/>
      <c r="L1589" s="43"/>
      <c r="M1589" s="44" t="str">
        <f>IF(LayTable[[#This Row],[Sport]]="","",LayTable[[#This Row],[LayInnsats]]*(LayTable[[#This Row],[LayOdds]]-1))</f>
        <v/>
      </c>
      <c r="N1589" s="45" t="str">
        <f>IF(LayTable[[#This Row],[Sport]]="","",1/((1/LayTable[[#This Row],[BookieOdds]])+(1/((1/((1+((LayTable[[#This Row],[LayOdds]]-1)*(1+LayTable[[#This Row],[C% Lay]])))-1))+1)))-1)</f>
        <v/>
      </c>
      <c r="Q1589" s="46" t="str">
        <f>IF(LayTable[[#This Row],[Sport]]="","",LayTable[[#This Row],[BookieInnsats]]+LayTable[[#This Row],[LayLiability]])</f>
        <v/>
      </c>
      <c r="R15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89" s="47" t="str">
        <f>IF(LayTable[[#This Row],[Utfall bookie]]="","",LayTable[[#This Row],[WBABack]]+LayTable[[#This Row],[WBALay]]-LayTable[[#This Row],[Total inns]])</f>
        <v/>
      </c>
      <c r="U15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89" s="48" t="str">
        <f>IFERROR(IF(LayTable[[#This Row],[Total inns]]="","",LayTable[[#This Row],[Rback]]/LayTable[[#This Row],[Total inns]]),"")</f>
        <v/>
      </c>
      <c r="X1589" s="48" t="str">
        <f>IFERROR(IF(LayTable[[#This Row],[Total inns]]="","",LayTable[[#This Row],[Rlay]]/LayTable[[#This Row],[Total inns]]),"")</f>
        <v/>
      </c>
      <c r="Y1589" s="48" t="str">
        <f>IFERROR(LayTable[[#This Row],[Faktisk res]]/LayTable[[#This Row],[Total inns]],"")</f>
        <v/>
      </c>
      <c r="Z1589" s="47">
        <f>(LayTable[[#This Row],[BookieInnsats]]*LayTable[[#This Row],[BookieOdds]]-LayTable[[#This Row],[BookieInnsats]])*(1-LayTable[[#This Row],[C% Bookie]])</f>
        <v>0</v>
      </c>
      <c r="AA1589" s="43">
        <f>LayTable[[#This Row],[LayInnsats]]*(1-LayTable[[#This Row],[C% Lay]])</f>
        <v>0</v>
      </c>
      <c r="AB1589" s="43" t="str">
        <f>IFERROR(IF(LayTable[[#This Row],[Sport]]="",AB1588,LayTable[[#This Row],[Faktisk res]]+AB1588),"")</f>
        <v/>
      </c>
      <c r="AC1589" s="43">
        <f>(LayTable[[#This Row],[BackWin-Commission]]+LayTable[[#This Row],[BookieInnsats]])</f>
        <v>0</v>
      </c>
      <c r="AD1589" s="43" t="e">
        <f>(LayTable[[#This Row],[LayWin-Commission]])+LayTable[[#This Row],[LayLiability]]</f>
        <v>#VALUE!</v>
      </c>
      <c r="AE1589" s="43"/>
      <c r="AF1589" s="181"/>
    </row>
    <row r="1590" spans="1:32">
      <c r="A1590" s="84"/>
      <c r="B1590" s="39"/>
      <c r="C1590" s="40"/>
      <c r="D1590" s="41"/>
      <c r="E1590" s="40"/>
      <c r="F1590" s="41"/>
      <c r="G1590" s="101"/>
      <c r="H1590" s="38"/>
      <c r="I1590" s="42"/>
      <c r="J1590" s="42"/>
      <c r="K1590" s="43"/>
      <c r="L1590" s="43"/>
      <c r="M1590" s="44" t="str">
        <f>IF(LayTable[[#This Row],[Sport]]="","",LayTable[[#This Row],[LayInnsats]]*(LayTable[[#This Row],[LayOdds]]-1))</f>
        <v/>
      </c>
      <c r="N1590" s="45" t="str">
        <f>IF(LayTable[[#This Row],[Sport]]="","",1/((1/LayTable[[#This Row],[BookieOdds]])+(1/((1/((1+((LayTable[[#This Row],[LayOdds]]-1)*(1+LayTable[[#This Row],[C% Lay]])))-1))+1)))-1)</f>
        <v/>
      </c>
      <c r="Q1590" s="46" t="str">
        <f>IF(LayTable[[#This Row],[Sport]]="","",LayTable[[#This Row],[BookieInnsats]]+LayTable[[#This Row],[LayLiability]])</f>
        <v/>
      </c>
      <c r="R15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0" s="47" t="str">
        <f>IF(LayTable[[#This Row],[Utfall bookie]]="","",LayTable[[#This Row],[WBABack]]+LayTable[[#This Row],[WBALay]]-LayTable[[#This Row],[Total inns]])</f>
        <v/>
      </c>
      <c r="U15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0" s="48" t="str">
        <f>IFERROR(IF(LayTable[[#This Row],[Total inns]]="","",LayTable[[#This Row],[Rback]]/LayTable[[#This Row],[Total inns]]),"")</f>
        <v/>
      </c>
      <c r="X1590" s="48" t="str">
        <f>IFERROR(IF(LayTable[[#This Row],[Total inns]]="","",LayTable[[#This Row],[Rlay]]/LayTable[[#This Row],[Total inns]]),"")</f>
        <v/>
      </c>
      <c r="Y1590" s="48" t="str">
        <f>IFERROR(LayTable[[#This Row],[Faktisk res]]/LayTable[[#This Row],[Total inns]],"")</f>
        <v/>
      </c>
      <c r="Z1590" s="47">
        <f>(LayTable[[#This Row],[BookieInnsats]]*LayTable[[#This Row],[BookieOdds]]-LayTable[[#This Row],[BookieInnsats]])*(1-LayTable[[#This Row],[C% Bookie]])</f>
        <v>0</v>
      </c>
      <c r="AA1590" s="43">
        <f>LayTable[[#This Row],[LayInnsats]]*(1-LayTable[[#This Row],[C% Lay]])</f>
        <v>0</v>
      </c>
      <c r="AB1590" s="43" t="str">
        <f>IFERROR(IF(LayTable[[#This Row],[Sport]]="",AB1589,LayTable[[#This Row],[Faktisk res]]+AB1589),"")</f>
        <v/>
      </c>
      <c r="AC1590" s="43">
        <f>(LayTable[[#This Row],[BackWin-Commission]]+LayTable[[#This Row],[BookieInnsats]])</f>
        <v>0</v>
      </c>
      <c r="AD1590" s="43" t="e">
        <f>(LayTable[[#This Row],[LayWin-Commission]])+LayTable[[#This Row],[LayLiability]]</f>
        <v>#VALUE!</v>
      </c>
      <c r="AE1590" s="43"/>
      <c r="AF1590" s="181"/>
    </row>
    <row r="1591" spans="1:32">
      <c r="A1591" s="84"/>
      <c r="B1591" s="39"/>
      <c r="C1591" s="40"/>
      <c r="D1591" s="41"/>
      <c r="E1591" s="40"/>
      <c r="F1591" s="41"/>
      <c r="G1591" s="101"/>
      <c r="H1591" s="38"/>
      <c r="I1591" s="42"/>
      <c r="J1591" s="42"/>
      <c r="K1591" s="43"/>
      <c r="L1591" s="43"/>
      <c r="M1591" s="44" t="str">
        <f>IF(LayTable[[#This Row],[Sport]]="","",LayTable[[#This Row],[LayInnsats]]*(LayTable[[#This Row],[LayOdds]]-1))</f>
        <v/>
      </c>
      <c r="N1591" s="45" t="str">
        <f>IF(LayTable[[#This Row],[Sport]]="","",1/((1/LayTable[[#This Row],[BookieOdds]])+(1/((1/((1+((LayTable[[#This Row],[LayOdds]]-1)*(1+LayTable[[#This Row],[C% Lay]])))-1))+1)))-1)</f>
        <v/>
      </c>
      <c r="Q1591" s="46" t="str">
        <f>IF(LayTable[[#This Row],[Sport]]="","",LayTable[[#This Row],[BookieInnsats]]+LayTable[[#This Row],[LayLiability]])</f>
        <v/>
      </c>
      <c r="R15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1" s="47" t="str">
        <f>IF(LayTable[[#This Row],[Utfall bookie]]="","",LayTable[[#This Row],[WBABack]]+LayTable[[#This Row],[WBALay]]-LayTable[[#This Row],[Total inns]])</f>
        <v/>
      </c>
      <c r="U15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1" s="48" t="str">
        <f>IFERROR(IF(LayTable[[#This Row],[Total inns]]="","",LayTable[[#This Row],[Rback]]/LayTable[[#This Row],[Total inns]]),"")</f>
        <v/>
      </c>
      <c r="X1591" s="48" t="str">
        <f>IFERROR(IF(LayTable[[#This Row],[Total inns]]="","",LayTable[[#This Row],[Rlay]]/LayTable[[#This Row],[Total inns]]),"")</f>
        <v/>
      </c>
      <c r="Y1591" s="48" t="str">
        <f>IFERROR(LayTable[[#This Row],[Faktisk res]]/LayTable[[#This Row],[Total inns]],"")</f>
        <v/>
      </c>
      <c r="Z1591" s="47">
        <f>(LayTable[[#This Row],[BookieInnsats]]*LayTable[[#This Row],[BookieOdds]]-LayTable[[#This Row],[BookieInnsats]])*(1-LayTable[[#This Row],[C% Bookie]])</f>
        <v>0</v>
      </c>
      <c r="AA1591" s="43">
        <f>LayTable[[#This Row],[LayInnsats]]*(1-LayTable[[#This Row],[C% Lay]])</f>
        <v>0</v>
      </c>
      <c r="AB1591" s="43" t="str">
        <f>IFERROR(IF(LayTable[[#This Row],[Sport]]="",AB1590,LayTable[[#This Row],[Faktisk res]]+AB1590),"")</f>
        <v/>
      </c>
      <c r="AC1591" s="43">
        <f>(LayTable[[#This Row],[BackWin-Commission]]+LayTable[[#This Row],[BookieInnsats]])</f>
        <v>0</v>
      </c>
      <c r="AD1591" s="43" t="e">
        <f>(LayTable[[#This Row],[LayWin-Commission]])+LayTable[[#This Row],[LayLiability]]</f>
        <v>#VALUE!</v>
      </c>
      <c r="AE1591" s="43"/>
      <c r="AF1591" s="181"/>
    </row>
    <row r="1592" spans="1:32">
      <c r="A1592" s="84"/>
      <c r="B1592" s="39"/>
      <c r="C1592" s="40"/>
      <c r="D1592" s="41"/>
      <c r="E1592" s="40"/>
      <c r="F1592" s="41"/>
      <c r="G1592" s="101"/>
      <c r="H1592" s="38"/>
      <c r="I1592" s="42"/>
      <c r="J1592" s="42"/>
      <c r="K1592" s="43"/>
      <c r="L1592" s="43"/>
      <c r="M1592" s="44" t="str">
        <f>IF(LayTable[[#This Row],[Sport]]="","",LayTable[[#This Row],[LayInnsats]]*(LayTable[[#This Row],[LayOdds]]-1))</f>
        <v/>
      </c>
      <c r="N1592" s="45" t="str">
        <f>IF(LayTable[[#This Row],[Sport]]="","",1/((1/LayTable[[#This Row],[BookieOdds]])+(1/((1/((1+((LayTable[[#This Row],[LayOdds]]-1)*(1+LayTable[[#This Row],[C% Lay]])))-1))+1)))-1)</f>
        <v/>
      </c>
      <c r="Q1592" s="46" t="str">
        <f>IF(LayTable[[#This Row],[Sport]]="","",LayTable[[#This Row],[BookieInnsats]]+LayTable[[#This Row],[LayLiability]])</f>
        <v/>
      </c>
      <c r="R15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2" s="47" t="str">
        <f>IF(LayTable[[#This Row],[Utfall bookie]]="","",LayTable[[#This Row],[WBABack]]+LayTable[[#This Row],[WBALay]]-LayTable[[#This Row],[Total inns]])</f>
        <v/>
      </c>
      <c r="U15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2" s="48" t="str">
        <f>IFERROR(IF(LayTable[[#This Row],[Total inns]]="","",LayTable[[#This Row],[Rback]]/LayTable[[#This Row],[Total inns]]),"")</f>
        <v/>
      </c>
      <c r="X1592" s="48" t="str">
        <f>IFERROR(IF(LayTable[[#This Row],[Total inns]]="","",LayTable[[#This Row],[Rlay]]/LayTable[[#This Row],[Total inns]]),"")</f>
        <v/>
      </c>
      <c r="Y1592" s="48" t="str">
        <f>IFERROR(LayTable[[#This Row],[Faktisk res]]/LayTable[[#This Row],[Total inns]],"")</f>
        <v/>
      </c>
      <c r="Z1592" s="47">
        <f>(LayTable[[#This Row],[BookieInnsats]]*LayTable[[#This Row],[BookieOdds]]-LayTable[[#This Row],[BookieInnsats]])*(1-LayTable[[#This Row],[C% Bookie]])</f>
        <v>0</v>
      </c>
      <c r="AA1592" s="43">
        <f>LayTable[[#This Row],[LayInnsats]]*(1-LayTable[[#This Row],[C% Lay]])</f>
        <v>0</v>
      </c>
      <c r="AB1592" s="43" t="str">
        <f>IFERROR(IF(LayTable[[#This Row],[Sport]]="",AB1591,LayTable[[#This Row],[Faktisk res]]+AB1591),"")</f>
        <v/>
      </c>
      <c r="AC1592" s="43">
        <f>(LayTable[[#This Row],[BackWin-Commission]]+LayTable[[#This Row],[BookieInnsats]])</f>
        <v>0</v>
      </c>
      <c r="AD1592" s="43" t="e">
        <f>(LayTable[[#This Row],[LayWin-Commission]])+LayTable[[#This Row],[LayLiability]]</f>
        <v>#VALUE!</v>
      </c>
      <c r="AE1592" s="43"/>
      <c r="AF1592" s="181"/>
    </row>
    <row r="1593" spans="1:32">
      <c r="A1593" s="84"/>
      <c r="B1593" s="39"/>
      <c r="C1593" s="40"/>
      <c r="D1593" s="41"/>
      <c r="E1593" s="40"/>
      <c r="F1593" s="41"/>
      <c r="G1593" s="101"/>
      <c r="H1593" s="38"/>
      <c r="I1593" s="42"/>
      <c r="J1593" s="42"/>
      <c r="K1593" s="43"/>
      <c r="L1593" s="43"/>
      <c r="M1593" s="44" t="str">
        <f>IF(LayTable[[#This Row],[Sport]]="","",LayTable[[#This Row],[LayInnsats]]*(LayTable[[#This Row],[LayOdds]]-1))</f>
        <v/>
      </c>
      <c r="N1593" s="45" t="str">
        <f>IF(LayTable[[#This Row],[Sport]]="","",1/((1/LayTable[[#This Row],[BookieOdds]])+(1/((1/((1+((LayTable[[#This Row],[LayOdds]]-1)*(1+LayTable[[#This Row],[C% Lay]])))-1))+1)))-1)</f>
        <v/>
      </c>
      <c r="Q1593" s="46" t="str">
        <f>IF(LayTable[[#This Row],[Sport]]="","",LayTable[[#This Row],[BookieInnsats]]+LayTable[[#This Row],[LayLiability]])</f>
        <v/>
      </c>
      <c r="R15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3" s="47" t="str">
        <f>IF(LayTable[[#This Row],[Utfall bookie]]="","",LayTable[[#This Row],[WBABack]]+LayTable[[#This Row],[WBALay]]-LayTable[[#This Row],[Total inns]])</f>
        <v/>
      </c>
      <c r="U15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3" s="48" t="str">
        <f>IFERROR(IF(LayTable[[#This Row],[Total inns]]="","",LayTable[[#This Row],[Rback]]/LayTable[[#This Row],[Total inns]]),"")</f>
        <v/>
      </c>
      <c r="X1593" s="48" t="str">
        <f>IFERROR(IF(LayTable[[#This Row],[Total inns]]="","",LayTable[[#This Row],[Rlay]]/LayTable[[#This Row],[Total inns]]),"")</f>
        <v/>
      </c>
      <c r="Y1593" s="48" t="str">
        <f>IFERROR(LayTable[[#This Row],[Faktisk res]]/LayTable[[#This Row],[Total inns]],"")</f>
        <v/>
      </c>
      <c r="Z1593" s="47">
        <f>(LayTable[[#This Row],[BookieInnsats]]*LayTable[[#This Row],[BookieOdds]]-LayTable[[#This Row],[BookieInnsats]])*(1-LayTable[[#This Row],[C% Bookie]])</f>
        <v>0</v>
      </c>
      <c r="AA1593" s="43">
        <f>LayTable[[#This Row],[LayInnsats]]*(1-LayTable[[#This Row],[C% Lay]])</f>
        <v>0</v>
      </c>
      <c r="AB1593" s="43" t="str">
        <f>IFERROR(IF(LayTable[[#This Row],[Sport]]="",AB1592,LayTable[[#This Row],[Faktisk res]]+AB1592),"")</f>
        <v/>
      </c>
      <c r="AC1593" s="43">
        <f>(LayTable[[#This Row],[BackWin-Commission]]+LayTable[[#This Row],[BookieInnsats]])</f>
        <v>0</v>
      </c>
      <c r="AD1593" s="43" t="e">
        <f>(LayTable[[#This Row],[LayWin-Commission]])+LayTable[[#This Row],[LayLiability]]</f>
        <v>#VALUE!</v>
      </c>
      <c r="AE1593" s="43"/>
      <c r="AF1593" s="181"/>
    </row>
    <row r="1594" spans="1:32">
      <c r="A1594" s="84"/>
      <c r="B1594" s="39"/>
      <c r="C1594" s="40"/>
      <c r="D1594" s="41"/>
      <c r="E1594" s="40"/>
      <c r="F1594" s="41"/>
      <c r="G1594" s="101"/>
      <c r="H1594" s="38"/>
      <c r="I1594" s="42"/>
      <c r="J1594" s="42"/>
      <c r="K1594" s="43"/>
      <c r="L1594" s="43"/>
      <c r="M1594" s="44" t="str">
        <f>IF(LayTable[[#This Row],[Sport]]="","",LayTable[[#This Row],[LayInnsats]]*(LayTable[[#This Row],[LayOdds]]-1))</f>
        <v/>
      </c>
      <c r="N1594" s="45" t="str">
        <f>IF(LayTable[[#This Row],[Sport]]="","",1/((1/LayTable[[#This Row],[BookieOdds]])+(1/((1/((1+((LayTable[[#This Row],[LayOdds]]-1)*(1+LayTable[[#This Row],[C% Lay]])))-1))+1)))-1)</f>
        <v/>
      </c>
      <c r="Q1594" s="46" t="str">
        <f>IF(LayTable[[#This Row],[Sport]]="","",LayTable[[#This Row],[BookieInnsats]]+LayTable[[#This Row],[LayLiability]])</f>
        <v/>
      </c>
      <c r="R15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4" s="47" t="str">
        <f>IF(LayTable[[#This Row],[Utfall bookie]]="","",LayTable[[#This Row],[WBABack]]+LayTable[[#This Row],[WBALay]]-LayTable[[#This Row],[Total inns]])</f>
        <v/>
      </c>
      <c r="U15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4" s="48" t="str">
        <f>IFERROR(IF(LayTable[[#This Row],[Total inns]]="","",LayTable[[#This Row],[Rback]]/LayTable[[#This Row],[Total inns]]),"")</f>
        <v/>
      </c>
      <c r="X1594" s="48" t="str">
        <f>IFERROR(IF(LayTable[[#This Row],[Total inns]]="","",LayTable[[#This Row],[Rlay]]/LayTable[[#This Row],[Total inns]]),"")</f>
        <v/>
      </c>
      <c r="Y1594" s="48" t="str">
        <f>IFERROR(LayTable[[#This Row],[Faktisk res]]/LayTable[[#This Row],[Total inns]],"")</f>
        <v/>
      </c>
      <c r="Z1594" s="47">
        <f>(LayTable[[#This Row],[BookieInnsats]]*LayTable[[#This Row],[BookieOdds]]-LayTable[[#This Row],[BookieInnsats]])*(1-LayTable[[#This Row],[C% Bookie]])</f>
        <v>0</v>
      </c>
      <c r="AA1594" s="43">
        <f>LayTable[[#This Row],[LayInnsats]]*(1-LayTable[[#This Row],[C% Lay]])</f>
        <v>0</v>
      </c>
      <c r="AB1594" s="43" t="str">
        <f>IFERROR(IF(LayTable[[#This Row],[Sport]]="",AB1593,LayTable[[#This Row],[Faktisk res]]+AB1593),"")</f>
        <v/>
      </c>
      <c r="AC1594" s="43">
        <f>(LayTable[[#This Row],[BackWin-Commission]]+LayTable[[#This Row],[BookieInnsats]])</f>
        <v>0</v>
      </c>
      <c r="AD1594" s="43" t="e">
        <f>(LayTable[[#This Row],[LayWin-Commission]])+LayTable[[#This Row],[LayLiability]]</f>
        <v>#VALUE!</v>
      </c>
      <c r="AE1594" s="43"/>
      <c r="AF1594" s="181"/>
    </row>
    <row r="1595" spans="1:32">
      <c r="A1595" s="84"/>
      <c r="B1595" s="39"/>
      <c r="C1595" s="40"/>
      <c r="D1595" s="41"/>
      <c r="E1595" s="40"/>
      <c r="F1595" s="41"/>
      <c r="G1595" s="101"/>
      <c r="H1595" s="38"/>
      <c r="I1595" s="42"/>
      <c r="J1595" s="42"/>
      <c r="K1595" s="43"/>
      <c r="L1595" s="43"/>
      <c r="M1595" s="44" t="str">
        <f>IF(LayTable[[#This Row],[Sport]]="","",LayTable[[#This Row],[LayInnsats]]*(LayTable[[#This Row],[LayOdds]]-1))</f>
        <v/>
      </c>
      <c r="N1595" s="45" t="str">
        <f>IF(LayTable[[#This Row],[Sport]]="","",1/((1/LayTable[[#This Row],[BookieOdds]])+(1/((1/((1+((LayTable[[#This Row],[LayOdds]]-1)*(1+LayTable[[#This Row],[C% Lay]])))-1))+1)))-1)</f>
        <v/>
      </c>
      <c r="Q1595" s="46" t="str">
        <f>IF(LayTable[[#This Row],[Sport]]="","",LayTable[[#This Row],[BookieInnsats]]+LayTable[[#This Row],[LayLiability]])</f>
        <v/>
      </c>
      <c r="R15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5" s="47" t="str">
        <f>IF(LayTable[[#This Row],[Utfall bookie]]="","",LayTable[[#This Row],[WBABack]]+LayTable[[#This Row],[WBALay]]-LayTable[[#This Row],[Total inns]])</f>
        <v/>
      </c>
      <c r="U15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5" s="48" t="str">
        <f>IFERROR(IF(LayTable[[#This Row],[Total inns]]="","",LayTable[[#This Row],[Rback]]/LayTable[[#This Row],[Total inns]]),"")</f>
        <v/>
      </c>
      <c r="X1595" s="48" t="str">
        <f>IFERROR(IF(LayTable[[#This Row],[Total inns]]="","",LayTable[[#This Row],[Rlay]]/LayTable[[#This Row],[Total inns]]),"")</f>
        <v/>
      </c>
      <c r="Y1595" s="48" t="str">
        <f>IFERROR(LayTable[[#This Row],[Faktisk res]]/LayTable[[#This Row],[Total inns]],"")</f>
        <v/>
      </c>
      <c r="Z1595" s="47">
        <f>(LayTable[[#This Row],[BookieInnsats]]*LayTable[[#This Row],[BookieOdds]]-LayTable[[#This Row],[BookieInnsats]])*(1-LayTable[[#This Row],[C% Bookie]])</f>
        <v>0</v>
      </c>
      <c r="AA1595" s="43">
        <f>LayTable[[#This Row],[LayInnsats]]*(1-LayTable[[#This Row],[C% Lay]])</f>
        <v>0</v>
      </c>
      <c r="AB1595" s="43" t="str">
        <f>IFERROR(IF(LayTable[[#This Row],[Sport]]="",AB1594,LayTable[[#This Row],[Faktisk res]]+AB1594),"")</f>
        <v/>
      </c>
      <c r="AC1595" s="43">
        <f>(LayTable[[#This Row],[BackWin-Commission]]+LayTable[[#This Row],[BookieInnsats]])</f>
        <v>0</v>
      </c>
      <c r="AD1595" s="43" t="e">
        <f>(LayTable[[#This Row],[LayWin-Commission]])+LayTable[[#This Row],[LayLiability]]</f>
        <v>#VALUE!</v>
      </c>
      <c r="AE1595" s="43"/>
      <c r="AF1595" s="181"/>
    </row>
    <row r="1596" spans="1:32">
      <c r="A1596" s="84"/>
      <c r="B1596" s="39"/>
      <c r="C1596" s="40"/>
      <c r="D1596" s="41"/>
      <c r="E1596" s="40"/>
      <c r="F1596" s="41"/>
      <c r="G1596" s="101"/>
      <c r="H1596" s="38"/>
      <c r="I1596" s="42"/>
      <c r="J1596" s="42"/>
      <c r="K1596" s="43"/>
      <c r="L1596" s="43"/>
      <c r="M1596" s="44" t="str">
        <f>IF(LayTable[[#This Row],[Sport]]="","",LayTable[[#This Row],[LayInnsats]]*(LayTable[[#This Row],[LayOdds]]-1))</f>
        <v/>
      </c>
      <c r="N1596" s="45" t="str">
        <f>IF(LayTable[[#This Row],[Sport]]="","",1/((1/LayTable[[#This Row],[BookieOdds]])+(1/((1/((1+((LayTable[[#This Row],[LayOdds]]-1)*(1+LayTable[[#This Row],[C% Lay]])))-1))+1)))-1)</f>
        <v/>
      </c>
      <c r="Q1596" s="46" t="str">
        <f>IF(LayTable[[#This Row],[Sport]]="","",LayTable[[#This Row],[BookieInnsats]]+LayTable[[#This Row],[LayLiability]])</f>
        <v/>
      </c>
      <c r="R15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6" s="47" t="str">
        <f>IF(LayTable[[#This Row],[Utfall bookie]]="","",LayTable[[#This Row],[WBABack]]+LayTable[[#This Row],[WBALay]]-LayTable[[#This Row],[Total inns]])</f>
        <v/>
      </c>
      <c r="U15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6" s="48" t="str">
        <f>IFERROR(IF(LayTable[[#This Row],[Total inns]]="","",LayTable[[#This Row],[Rback]]/LayTable[[#This Row],[Total inns]]),"")</f>
        <v/>
      </c>
      <c r="X1596" s="48" t="str">
        <f>IFERROR(IF(LayTable[[#This Row],[Total inns]]="","",LayTable[[#This Row],[Rlay]]/LayTable[[#This Row],[Total inns]]),"")</f>
        <v/>
      </c>
      <c r="Y1596" s="48" t="str">
        <f>IFERROR(LayTable[[#This Row],[Faktisk res]]/LayTable[[#This Row],[Total inns]],"")</f>
        <v/>
      </c>
      <c r="Z1596" s="47">
        <f>(LayTable[[#This Row],[BookieInnsats]]*LayTable[[#This Row],[BookieOdds]]-LayTable[[#This Row],[BookieInnsats]])*(1-LayTable[[#This Row],[C% Bookie]])</f>
        <v>0</v>
      </c>
      <c r="AA1596" s="43">
        <f>LayTable[[#This Row],[LayInnsats]]*(1-LayTable[[#This Row],[C% Lay]])</f>
        <v>0</v>
      </c>
      <c r="AB1596" s="43" t="str">
        <f>IFERROR(IF(LayTable[[#This Row],[Sport]]="",AB1595,LayTable[[#This Row],[Faktisk res]]+AB1595),"")</f>
        <v/>
      </c>
      <c r="AC1596" s="43">
        <f>(LayTable[[#This Row],[BackWin-Commission]]+LayTable[[#This Row],[BookieInnsats]])</f>
        <v>0</v>
      </c>
      <c r="AD1596" s="43" t="e">
        <f>(LayTable[[#This Row],[LayWin-Commission]])+LayTable[[#This Row],[LayLiability]]</f>
        <v>#VALUE!</v>
      </c>
      <c r="AE1596" s="43"/>
      <c r="AF1596" s="181"/>
    </row>
    <row r="1597" spans="1:32">
      <c r="A1597" s="84"/>
      <c r="B1597" s="39"/>
      <c r="C1597" s="40"/>
      <c r="D1597" s="41"/>
      <c r="E1597" s="40"/>
      <c r="F1597" s="41"/>
      <c r="G1597" s="101"/>
      <c r="H1597" s="38"/>
      <c r="I1597" s="42"/>
      <c r="J1597" s="42"/>
      <c r="K1597" s="43"/>
      <c r="L1597" s="43"/>
      <c r="M1597" s="44" t="str">
        <f>IF(LayTable[[#This Row],[Sport]]="","",LayTable[[#This Row],[LayInnsats]]*(LayTable[[#This Row],[LayOdds]]-1))</f>
        <v/>
      </c>
      <c r="N1597" s="45" t="str">
        <f>IF(LayTable[[#This Row],[Sport]]="","",1/((1/LayTable[[#This Row],[BookieOdds]])+(1/((1/((1+((LayTable[[#This Row],[LayOdds]]-1)*(1+LayTable[[#This Row],[C% Lay]])))-1))+1)))-1)</f>
        <v/>
      </c>
      <c r="Q1597" s="46" t="str">
        <f>IF(LayTable[[#This Row],[Sport]]="","",LayTable[[#This Row],[BookieInnsats]]+LayTable[[#This Row],[LayLiability]])</f>
        <v/>
      </c>
      <c r="R15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7" s="47" t="str">
        <f>IF(LayTable[[#This Row],[Utfall bookie]]="","",LayTable[[#This Row],[WBABack]]+LayTable[[#This Row],[WBALay]]-LayTable[[#This Row],[Total inns]])</f>
        <v/>
      </c>
      <c r="U15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7" s="48" t="str">
        <f>IFERROR(IF(LayTable[[#This Row],[Total inns]]="","",LayTable[[#This Row],[Rback]]/LayTable[[#This Row],[Total inns]]),"")</f>
        <v/>
      </c>
      <c r="X1597" s="48" t="str">
        <f>IFERROR(IF(LayTable[[#This Row],[Total inns]]="","",LayTable[[#This Row],[Rlay]]/LayTable[[#This Row],[Total inns]]),"")</f>
        <v/>
      </c>
      <c r="Y1597" s="48" t="str">
        <f>IFERROR(LayTable[[#This Row],[Faktisk res]]/LayTable[[#This Row],[Total inns]],"")</f>
        <v/>
      </c>
      <c r="Z1597" s="47">
        <f>(LayTable[[#This Row],[BookieInnsats]]*LayTable[[#This Row],[BookieOdds]]-LayTable[[#This Row],[BookieInnsats]])*(1-LayTable[[#This Row],[C% Bookie]])</f>
        <v>0</v>
      </c>
      <c r="AA1597" s="43">
        <f>LayTable[[#This Row],[LayInnsats]]*(1-LayTable[[#This Row],[C% Lay]])</f>
        <v>0</v>
      </c>
      <c r="AB1597" s="43" t="str">
        <f>IFERROR(IF(LayTable[[#This Row],[Sport]]="",AB1596,LayTable[[#This Row],[Faktisk res]]+AB1596),"")</f>
        <v/>
      </c>
      <c r="AC1597" s="43">
        <f>(LayTable[[#This Row],[BackWin-Commission]]+LayTable[[#This Row],[BookieInnsats]])</f>
        <v>0</v>
      </c>
      <c r="AD1597" s="43" t="e">
        <f>(LayTable[[#This Row],[LayWin-Commission]])+LayTable[[#This Row],[LayLiability]]</f>
        <v>#VALUE!</v>
      </c>
      <c r="AE1597" s="43"/>
      <c r="AF1597" s="181"/>
    </row>
    <row r="1598" spans="1:32">
      <c r="A1598" s="84"/>
      <c r="B1598" s="39"/>
      <c r="C1598" s="40"/>
      <c r="D1598" s="41"/>
      <c r="E1598" s="40"/>
      <c r="F1598" s="41"/>
      <c r="G1598" s="101"/>
      <c r="H1598" s="38"/>
      <c r="I1598" s="42"/>
      <c r="J1598" s="42"/>
      <c r="K1598" s="43"/>
      <c r="L1598" s="43"/>
      <c r="M1598" s="44" t="str">
        <f>IF(LayTable[[#This Row],[Sport]]="","",LayTable[[#This Row],[LayInnsats]]*(LayTable[[#This Row],[LayOdds]]-1))</f>
        <v/>
      </c>
      <c r="N1598" s="45" t="str">
        <f>IF(LayTable[[#This Row],[Sport]]="","",1/((1/LayTable[[#This Row],[BookieOdds]])+(1/((1/((1+((LayTable[[#This Row],[LayOdds]]-1)*(1+LayTable[[#This Row],[C% Lay]])))-1))+1)))-1)</f>
        <v/>
      </c>
      <c r="Q1598" s="46" t="str">
        <f>IF(LayTable[[#This Row],[Sport]]="","",LayTable[[#This Row],[BookieInnsats]]+LayTable[[#This Row],[LayLiability]])</f>
        <v/>
      </c>
      <c r="R15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8" s="47" t="str">
        <f>IF(LayTable[[#This Row],[Utfall bookie]]="","",LayTable[[#This Row],[WBABack]]+LayTable[[#This Row],[WBALay]]-LayTable[[#This Row],[Total inns]])</f>
        <v/>
      </c>
      <c r="U15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8" s="48" t="str">
        <f>IFERROR(IF(LayTable[[#This Row],[Total inns]]="","",LayTable[[#This Row],[Rback]]/LayTable[[#This Row],[Total inns]]),"")</f>
        <v/>
      </c>
      <c r="X1598" s="48" t="str">
        <f>IFERROR(IF(LayTable[[#This Row],[Total inns]]="","",LayTable[[#This Row],[Rlay]]/LayTable[[#This Row],[Total inns]]),"")</f>
        <v/>
      </c>
      <c r="Y1598" s="48" t="str">
        <f>IFERROR(LayTable[[#This Row],[Faktisk res]]/LayTable[[#This Row],[Total inns]],"")</f>
        <v/>
      </c>
      <c r="Z1598" s="47">
        <f>(LayTable[[#This Row],[BookieInnsats]]*LayTable[[#This Row],[BookieOdds]]-LayTable[[#This Row],[BookieInnsats]])*(1-LayTable[[#This Row],[C% Bookie]])</f>
        <v>0</v>
      </c>
      <c r="AA1598" s="43">
        <f>LayTable[[#This Row],[LayInnsats]]*(1-LayTable[[#This Row],[C% Lay]])</f>
        <v>0</v>
      </c>
      <c r="AB1598" s="43" t="str">
        <f>IFERROR(IF(LayTable[[#This Row],[Sport]]="",AB1597,LayTable[[#This Row],[Faktisk res]]+AB1597),"")</f>
        <v/>
      </c>
      <c r="AC1598" s="43">
        <f>(LayTable[[#This Row],[BackWin-Commission]]+LayTable[[#This Row],[BookieInnsats]])</f>
        <v>0</v>
      </c>
      <c r="AD1598" s="43" t="e">
        <f>(LayTable[[#This Row],[LayWin-Commission]])+LayTable[[#This Row],[LayLiability]]</f>
        <v>#VALUE!</v>
      </c>
      <c r="AE1598" s="43"/>
      <c r="AF1598" s="181"/>
    </row>
    <row r="1599" spans="1:32">
      <c r="A1599" s="84"/>
      <c r="B1599" s="39"/>
      <c r="C1599" s="40"/>
      <c r="D1599" s="41"/>
      <c r="E1599" s="40"/>
      <c r="F1599" s="41"/>
      <c r="G1599" s="101"/>
      <c r="H1599" s="38"/>
      <c r="I1599" s="42"/>
      <c r="J1599" s="42"/>
      <c r="K1599" s="43"/>
      <c r="L1599" s="43"/>
      <c r="M1599" s="44" t="str">
        <f>IF(LayTable[[#This Row],[Sport]]="","",LayTable[[#This Row],[LayInnsats]]*(LayTable[[#This Row],[LayOdds]]-1))</f>
        <v/>
      </c>
      <c r="N1599" s="45" t="str">
        <f>IF(LayTable[[#This Row],[Sport]]="","",1/((1/LayTable[[#This Row],[BookieOdds]])+(1/((1/((1+((LayTable[[#This Row],[LayOdds]]-1)*(1+LayTable[[#This Row],[C% Lay]])))-1))+1)))-1)</f>
        <v/>
      </c>
      <c r="Q1599" s="46" t="str">
        <f>IF(LayTable[[#This Row],[Sport]]="","",LayTable[[#This Row],[BookieInnsats]]+LayTable[[#This Row],[LayLiability]])</f>
        <v/>
      </c>
      <c r="R15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5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599" s="47" t="str">
        <f>IF(LayTable[[#This Row],[Utfall bookie]]="","",LayTable[[#This Row],[WBABack]]+LayTable[[#This Row],[WBALay]]-LayTable[[#This Row],[Total inns]])</f>
        <v/>
      </c>
      <c r="U15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5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599" s="48" t="str">
        <f>IFERROR(IF(LayTable[[#This Row],[Total inns]]="","",LayTable[[#This Row],[Rback]]/LayTable[[#This Row],[Total inns]]),"")</f>
        <v/>
      </c>
      <c r="X1599" s="48" t="str">
        <f>IFERROR(IF(LayTable[[#This Row],[Total inns]]="","",LayTable[[#This Row],[Rlay]]/LayTable[[#This Row],[Total inns]]),"")</f>
        <v/>
      </c>
      <c r="Y1599" s="48" t="str">
        <f>IFERROR(LayTable[[#This Row],[Faktisk res]]/LayTable[[#This Row],[Total inns]],"")</f>
        <v/>
      </c>
      <c r="Z1599" s="47">
        <f>(LayTable[[#This Row],[BookieInnsats]]*LayTable[[#This Row],[BookieOdds]]-LayTable[[#This Row],[BookieInnsats]])*(1-LayTable[[#This Row],[C% Bookie]])</f>
        <v>0</v>
      </c>
      <c r="AA1599" s="43">
        <f>LayTable[[#This Row],[LayInnsats]]*(1-LayTable[[#This Row],[C% Lay]])</f>
        <v>0</v>
      </c>
      <c r="AB1599" s="43" t="str">
        <f>IFERROR(IF(LayTable[[#This Row],[Sport]]="",AB1598,LayTable[[#This Row],[Faktisk res]]+AB1598),"")</f>
        <v/>
      </c>
      <c r="AC1599" s="43">
        <f>(LayTable[[#This Row],[BackWin-Commission]]+LayTable[[#This Row],[BookieInnsats]])</f>
        <v>0</v>
      </c>
      <c r="AD1599" s="43" t="e">
        <f>(LayTable[[#This Row],[LayWin-Commission]])+LayTable[[#This Row],[LayLiability]]</f>
        <v>#VALUE!</v>
      </c>
      <c r="AE1599" s="43"/>
      <c r="AF1599" s="181"/>
    </row>
    <row r="1600" spans="1:32">
      <c r="A1600" s="84"/>
      <c r="B1600" s="39"/>
      <c r="C1600" s="40"/>
      <c r="D1600" s="41"/>
      <c r="E1600" s="40"/>
      <c r="F1600" s="41"/>
      <c r="G1600" s="101"/>
      <c r="H1600" s="38"/>
      <c r="I1600" s="42"/>
      <c r="J1600" s="42"/>
      <c r="K1600" s="43"/>
      <c r="L1600" s="43"/>
      <c r="M1600" s="44" t="str">
        <f>IF(LayTable[[#This Row],[Sport]]="","",LayTable[[#This Row],[LayInnsats]]*(LayTable[[#This Row],[LayOdds]]-1))</f>
        <v/>
      </c>
      <c r="N1600" s="45" t="str">
        <f>IF(LayTable[[#This Row],[Sport]]="","",1/((1/LayTable[[#This Row],[BookieOdds]])+(1/((1/((1+((LayTable[[#This Row],[LayOdds]]-1)*(1+LayTable[[#This Row],[C% Lay]])))-1))+1)))-1)</f>
        <v/>
      </c>
      <c r="Q1600" s="46" t="str">
        <f>IF(LayTable[[#This Row],[Sport]]="","",LayTable[[#This Row],[BookieInnsats]]+LayTable[[#This Row],[LayLiability]])</f>
        <v/>
      </c>
      <c r="R16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0" s="47" t="str">
        <f>IF(LayTable[[#This Row],[Utfall bookie]]="","",LayTable[[#This Row],[WBABack]]+LayTable[[#This Row],[WBALay]]-LayTable[[#This Row],[Total inns]])</f>
        <v/>
      </c>
      <c r="U16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0" s="48" t="str">
        <f>IFERROR(IF(LayTable[[#This Row],[Total inns]]="","",LayTable[[#This Row],[Rback]]/LayTable[[#This Row],[Total inns]]),"")</f>
        <v/>
      </c>
      <c r="X1600" s="48" t="str">
        <f>IFERROR(IF(LayTable[[#This Row],[Total inns]]="","",LayTable[[#This Row],[Rlay]]/LayTable[[#This Row],[Total inns]]),"")</f>
        <v/>
      </c>
      <c r="Y1600" s="48" t="str">
        <f>IFERROR(LayTable[[#This Row],[Faktisk res]]/LayTable[[#This Row],[Total inns]],"")</f>
        <v/>
      </c>
      <c r="Z1600" s="47">
        <f>(LayTable[[#This Row],[BookieInnsats]]*LayTable[[#This Row],[BookieOdds]]-LayTable[[#This Row],[BookieInnsats]])*(1-LayTable[[#This Row],[C% Bookie]])</f>
        <v>0</v>
      </c>
      <c r="AA1600" s="43">
        <f>LayTable[[#This Row],[LayInnsats]]*(1-LayTable[[#This Row],[C% Lay]])</f>
        <v>0</v>
      </c>
      <c r="AB1600" s="43" t="str">
        <f>IFERROR(IF(LayTable[[#This Row],[Sport]]="",AB1599,LayTable[[#This Row],[Faktisk res]]+AB1599),"")</f>
        <v/>
      </c>
      <c r="AC1600" s="43">
        <f>(LayTable[[#This Row],[BackWin-Commission]]+LayTable[[#This Row],[BookieInnsats]])</f>
        <v>0</v>
      </c>
      <c r="AD1600" s="43" t="e">
        <f>(LayTable[[#This Row],[LayWin-Commission]])+LayTable[[#This Row],[LayLiability]]</f>
        <v>#VALUE!</v>
      </c>
      <c r="AE1600" s="43"/>
      <c r="AF1600" s="181"/>
    </row>
    <row r="1601" spans="1:32">
      <c r="A1601" s="84"/>
      <c r="B1601" s="39"/>
      <c r="C1601" s="40"/>
      <c r="D1601" s="41"/>
      <c r="E1601" s="40"/>
      <c r="F1601" s="41"/>
      <c r="G1601" s="101"/>
      <c r="H1601" s="38"/>
      <c r="I1601" s="42"/>
      <c r="J1601" s="42"/>
      <c r="K1601" s="43"/>
      <c r="L1601" s="43"/>
      <c r="M1601" s="44" t="str">
        <f>IF(LayTable[[#This Row],[Sport]]="","",LayTable[[#This Row],[LayInnsats]]*(LayTable[[#This Row],[LayOdds]]-1))</f>
        <v/>
      </c>
      <c r="N1601" s="45" t="str">
        <f>IF(LayTable[[#This Row],[Sport]]="","",1/((1/LayTable[[#This Row],[BookieOdds]])+(1/((1/((1+((LayTable[[#This Row],[LayOdds]]-1)*(1+LayTable[[#This Row],[C% Lay]])))-1))+1)))-1)</f>
        <v/>
      </c>
      <c r="Q1601" s="46" t="str">
        <f>IF(LayTable[[#This Row],[Sport]]="","",LayTable[[#This Row],[BookieInnsats]]+LayTable[[#This Row],[LayLiability]])</f>
        <v/>
      </c>
      <c r="R16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1" s="47" t="str">
        <f>IF(LayTable[[#This Row],[Utfall bookie]]="","",LayTable[[#This Row],[WBABack]]+LayTable[[#This Row],[WBALay]]-LayTable[[#This Row],[Total inns]])</f>
        <v/>
      </c>
      <c r="U16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1" s="48" t="str">
        <f>IFERROR(IF(LayTable[[#This Row],[Total inns]]="","",LayTable[[#This Row],[Rback]]/LayTable[[#This Row],[Total inns]]),"")</f>
        <v/>
      </c>
      <c r="X1601" s="48" t="str">
        <f>IFERROR(IF(LayTable[[#This Row],[Total inns]]="","",LayTable[[#This Row],[Rlay]]/LayTable[[#This Row],[Total inns]]),"")</f>
        <v/>
      </c>
      <c r="Y1601" s="48" t="str">
        <f>IFERROR(LayTable[[#This Row],[Faktisk res]]/LayTable[[#This Row],[Total inns]],"")</f>
        <v/>
      </c>
      <c r="Z1601" s="47">
        <f>(LayTable[[#This Row],[BookieInnsats]]*LayTable[[#This Row],[BookieOdds]]-LayTable[[#This Row],[BookieInnsats]])*(1-LayTable[[#This Row],[C% Bookie]])</f>
        <v>0</v>
      </c>
      <c r="AA1601" s="43">
        <f>LayTable[[#This Row],[LayInnsats]]*(1-LayTable[[#This Row],[C% Lay]])</f>
        <v>0</v>
      </c>
      <c r="AB1601" s="43" t="str">
        <f>IFERROR(IF(LayTable[[#This Row],[Sport]]="",AB1600,LayTable[[#This Row],[Faktisk res]]+AB1600),"")</f>
        <v/>
      </c>
      <c r="AC1601" s="43">
        <f>(LayTable[[#This Row],[BackWin-Commission]]+LayTable[[#This Row],[BookieInnsats]])</f>
        <v>0</v>
      </c>
      <c r="AD1601" s="43" t="e">
        <f>(LayTable[[#This Row],[LayWin-Commission]])+LayTable[[#This Row],[LayLiability]]</f>
        <v>#VALUE!</v>
      </c>
      <c r="AE1601" s="43"/>
      <c r="AF1601" s="181"/>
    </row>
    <row r="1602" spans="1:32">
      <c r="A1602" s="84"/>
      <c r="B1602" s="39"/>
      <c r="C1602" s="40"/>
      <c r="D1602" s="41"/>
      <c r="E1602" s="40"/>
      <c r="F1602" s="41"/>
      <c r="G1602" s="101"/>
      <c r="H1602" s="38"/>
      <c r="I1602" s="42"/>
      <c r="J1602" s="42"/>
      <c r="K1602" s="43"/>
      <c r="L1602" s="43"/>
      <c r="M1602" s="44" t="str">
        <f>IF(LayTable[[#This Row],[Sport]]="","",LayTable[[#This Row],[LayInnsats]]*(LayTable[[#This Row],[LayOdds]]-1))</f>
        <v/>
      </c>
      <c r="N1602" s="45" t="str">
        <f>IF(LayTable[[#This Row],[Sport]]="","",1/((1/LayTable[[#This Row],[BookieOdds]])+(1/((1/((1+((LayTable[[#This Row],[LayOdds]]-1)*(1+LayTable[[#This Row],[C% Lay]])))-1))+1)))-1)</f>
        <v/>
      </c>
      <c r="Q1602" s="46" t="str">
        <f>IF(LayTable[[#This Row],[Sport]]="","",LayTable[[#This Row],[BookieInnsats]]+LayTable[[#This Row],[LayLiability]])</f>
        <v/>
      </c>
      <c r="R16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2" s="47" t="str">
        <f>IF(LayTable[[#This Row],[Utfall bookie]]="","",LayTable[[#This Row],[WBABack]]+LayTable[[#This Row],[WBALay]]-LayTable[[#This Row],[Total inns]])</f>
        <v/>
      </c>
      <c r="U16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2" s="48" t="str">
        <f>IFERROR(IF(LayTable[[#This Row],[Total inns]]="","",LayTable[[#This Row],[Rback]]/LayTable[[#This Row],[Total inns]]),"")</f>
        <v/>
      </c>
      <c r="X1602" s="48" t="str">
        <f>IFERROR(IF(LayTable[[#This Row],[Total inns]]="","",LayTable[[#This Row],[Rlay]]/LayTable[[#This Row],[Total inns]]),"")</f>
        <v/>
      </c>
      <c r="Y1602" s="48" t="str">
        <f>IFERROR(LayTable[[#This Row],[Faktisk res]]/LayTable[[#This Row],[Total inns]],"")</f>
        <v/>
      </c>
      <c r="Z1602" s="47">
        <f>(LayTable[[#This Row],[BookieInnsats]]*LayTable[[#This Row],[BookieOdds]]-LayTable[[#This Row],[BookieInnsats]])*(1-LayTable[[#This Row],[C% Bookie]])</f>
        <v>0</v>
      </c>
      <c r="AA1602" s="43">
        <f>LayTable[[#This Row],[LayInnsats]]*(1-LayTable[[#This Row],[C% Lay]])</f>
        <v>0</v>
      </c>
      <c r="AB1602" s="43" t="str">
        <f>IFERROR(IF(LayTable[[#This Row],[Sport]]="",AB1601,LayTable[[#This Row],[Faktisk res]]+AB1601),"")</f>
        <v/>
      </c>
      <c r="AC1602" s="43">
        <f>(LayTable[[#This Row],[BackWin-Commission]]+LayTable[[#This Row],[BookieInnsats]])</f>
        <v>0</v>
      </c>
      <c r="AD1602" s="43" t="e">
        <f>(LayTable[[#This Row],[LayWin-Commission]])+LayTable[[#This Row],[LayLiability]]</f>
        <v>#VALUE!</v>
      </c>
      <c r="AE1602" s="43"/>
      <c r="AF1602" s="181"/>
    </row>
    <row r="1603" spans="1:32">
      <c r="A1603" s="84"/>
      <c r="B1603" s="39"/>
      <c r="C1603" s="40"/>
      <c r="D1603" s="41"/>
      <c r="E1603" s="40"/>
      <c r="F1603" s="41"/>
      <c r="G1603" s="101"/>
      <c r="H1603" s="38"/>
      <c r="I1603" s="42"/>
      <c r="J1603" s="42"/>
      <c r="K1603" s="43"/>
      <c r="L1603" s="43"/>
      <c r="M1603" s="44" t="str">
        <f>IF(LayTable[[#This Row],[Sport]]="","",LayTable[[#This Row],[LayInnsats]]*(LayTable[[#This Row],[LayOdds]]-1))</f>
        <v/>
      </c>
      <c r="N1603" s="45" t="str">
        <f>IF(LayTable[[#This Row],[Sport]]="","",1/((1/LayTable[[#This Row],[BookieOdds]])+(1/((1/((1+((LayTable[[#This Row],[LayOdds]]-1)*(1+LayTable[[#This Row],[C% Lay]])))-1))+1)))-1)</f>
        <v/>
      </c>
      <c r="Q1603" s="46" t="str">
        <f>IF(LayTable[[#This Row],[Sport]]="","",LayTable[[#This Row],[BookieInnsats]]+LayTable[[#This Row],[LayLiability]])</f>
        <v/>
      </c>
      <c r="R16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3" s="47" t="str">
        <f>IF(LayTable[[#This Row],[Utfall bookie]]="","",LayTable[[#This Row],[WBABack]]+LayTable[[#This Row],[WBALay]]-LayTable[[#This Row],[Total inns]])</f>
        <v/>
      </c>
      <c r="U16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3" s="48" t="str">
        <f>IFERROR(IF(LayTable[[#This Row],[Total inns]]="","",LayTable[[#This Row],[Rback]]/LayTable[[#This Row],[Total inns]]),"")</f>
        <v/>
      </c>
      <c r="X1603" s="48" t="str">
        <f>IFERROR(IF(LayTable[[#This Row],[Total inns]]="","",LayTable[[#This Row],[Rlay]]/LayTable[[#This Row],[Total inns]]),"")</f>
        <v/>
      </c>
      <c r="Y1603" s="48" t="str">
        <f>IFERROR(LayTable[[#This Row],[Faktisk res]]/LayTable[[#This Row],[Total inns]],"")</f>
        <v/>
      </c>
      <c r="Z1603" s="47">
        <f>(LayTable[[#This Row],[BookieInnsats]]*LayTable[[#This Row],[BookieOdds]]-LayTable[[#This Row],[BookieInnsats]])*(1-LayTable[[#This Row],[C% Bookie]])</f>
        <v>0</v>
      </c>
      <c r="AA1603" s="43">
        <f>LayTable[[#This Row],[LayInnsats]]*(1-LayTable[[#This Row],[C% Lay]])</f>
        <v>0</v>
      </c>
      <c r="AB1603" s="43" t="str">
        <f>IFERROR(IF(LayTable[[#This Row],[Sport]]="",AB1602,LayTable[[#This Row],[Faktisk res]]+AB1602),"")</f>
        <v/>
      </c>
      <c r="AC1603" s="43">
        <f>(LayTable[[#This Row],[BackWin-Commission]]+LayTable[[#This Row],[BookieInnsats]])</f>
        <v>0</v>
      </c>
      <c r="AD1603" s="43" t="e">
        <f>(LayTable[[#This Row],[LayWin-Commission]])+LayTable[[#This Row],[LayLiability]]</f>
        <v>#VALUE!</v>
      </c>
      <c r="AE1603" s="43"/>
      <c r="AF1603" s="181"/>
    </row>
    <row r="1604" spans="1:32">
      <c r="A1604" s="84"/>
      <c r="B1604" s="39"/>
      <c r="C1604" s="40"/>
      <c r="D1604" s="41"/>
      <c r="E1604" s="40"/>
      <c r="F1604" s="41"/>
      <c r="G1604" s="101"/>
      <c r="H1604" s="38"/>
      <c r="I1604" s="42"/>
      <c r="J1604" s="42"/>
      <c r="K1604" s="43"/>
      <c r="L1604" s="43"/>
      <c r="M1604" s="44" t="str">
        <f>IF(LayTable[[#This Row],[Sport]]="","",LayTable[[#This Row],[LayInnsats]]*(LayTable[[#This Row],[LayOdds]]-1))</f>
        <v/>
      </c>
      <c r="N1604" s="45" t="str">
        <f>IF(LayTable[[#This Row],[Sport]]="","",1/((1/LayTable[[#This Row],[BookieOdds]])+(1/((1/((1+((LayTable[[#This Row],[LayOdds]]-1)*(1+LayTable[[#This Row],[C% Lay]])))-1))+1)))-1)</f>
        <v/>
      </c>
      <c r="Q1604" s="46" t="str">
        <f>IF(LayTable[[#This Row],[Sport]]="","",LayTable[[#This Row],[BookieInnsats]]+LayTable[[#This Row],[LayLiability]])</f>
        <v/>
      </c>
      <c r="R16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4" s="47" t="str">
        <f>IF(LayTable[[#This Row],[Utfall bookie]]="","",LayTable[[#This Row],[WBABack]]+LayTable[[#This Row],[WBALay]]-LayTable[[#This Row],[Total inns]])</f>
        <v/>
      </c>
      <c r="U16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4" s="48" t="str">
        <f>IFERROR(IF(LayTable[[#This Row],[Total inns]]="","",LayTable[[#This Row],[Rback]]/LayTable[[#This Row],[Total inns]]),"")</f>
        <v/>
      </c>
      <c r="X1604" s="48" t="str">
        <f>IFERROR(IF(LayTable[[#This Row],[Total inns]]="","",LayTable[[#This Row],[Rlay]]/LayTable[[#This Row],[Total inns]]),"")</f>
        <v/>
      </c>
      <c r="Y1604" s="48" t="str">
        <f>IFERROR(LayTable[[#This Row],[Faktisk res]]/LayTable[[#This Row],[Total inns]],"")</f>
        <v/>
      </c>
      <c r="Z1604" s="47">
        <f>(LayTable[[#This Row],[BookieInnsats]]*LayTable[[#This Row],[BookieOdds]]-LayTable[[#This Row],[BookieInnsats]])*(1-LayTable[[#This Row],[C% Bookie]])</f>
        <v>0</v>
      </c>
      <c r="AA1604" s="43">
        <f>LayTable[[#This Row],[LayInnsats]]*(1-LayTable[[#This Row],[C% Lay]])</f>
        <v>0</v>
      </c>
      <c r="AB1604" s="43" t="str">
        <f>IFERROR(IF(LayTable[[#This Row],[Sport]]="",AB1603,LayTable[[#This Row],[Faktisk res]]+AB1603),"")</f>
        <v/>
      </c>
      <c r="AC1604" s="43">
        <f>(LayTable[[#This Row],[BackWin-Commission]]+LayTable[[#This Row],[BookieInnsats]])</f>
        <v>0</v>
      </c>
      <c r="AD1604" s="43" t="e">
        <f>(LayTable[[#This Row],[LayWin-Commission]])+LayTable[[#This Row],[LayLiability]]</f>
        <v>#VALUE!</v>
      </c>
      <c r="AE1604" s="43"/>
      <c r="AF1604" s="181"/>
    </row>
    <row r="1605" spans="1:32">
      <c r="A1605" s="84"/>
      <c r="B1605" s="39"/>
      <c r="C1605" s="40"/>
      <c r="D1605" s="41"/>
      <c r="E1605" s="40"/>
      <c r="F1605" s="41"/>
      <c r="G1605" s="101"/>
      <c r="H1605" s="38"/>
      <c r="I1605" s="42"/>
      <c r="J1605" s="42"/>
      <c r="K1605" s="43"/>
      <c r="L1605" s="43"/>
      <c r="M1605" s="44" t="str">
        <f>IF(LayTable[[#This Row],[Sport]]="","",LayTable[[#This Row],[LayInnsats]]*(LayTable[[#This Row],[LayOdds]]-1))</f>
        <v/>
      </c>
      <c r="N1605" s="45" t="str">
        <f>IF(LayTable[[#This Row],[Sport]]="","",1/((1/LayTable[[#This Row],[BookieOdds]])+(1/((1/((1+((LayTable[[#This Row],[LayOdds]]-1)*(1+LayTable[[#This Row],[C% Lay]])))-1))+1)))-1)</f>
        <v/>
      </c>
      <c r="Q1605" s="46" t="str">
        <f>IF(LayTable[[#This Row],[Sport]]="","",LayTable[[#This Row],[BookieInnsats]]+LayTable[[#This Row],[LayLiability]])</f>
        <v/>
      </c>
      <c r="R16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5" s="47" t="str">
        <f>IF(LayTable[[#This Row],[Utfall bookie]]="","",LayTable[[#This Row],[WBABack]]+LayTable[[#This Row],[WBALay]]-LayTable[[#This Row],[Total inns]])</f>
        <v/>
      </c>
      <c r="U16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5" s="48" t="str">
        <f>IFERROR(IF(LayTable[[#This Row],[Total inns]]="","",LayTable[[#This Row],[Rback]]/LayTable[[#This Row],[Total inns]]),"")</f>
        <v/>
      </c>
      <c r="X1605" s="48" t="str">
        <f>IFERROR(IF(LayTable[[#This Row],[Total inns]]="","",LayTable[[#This Row],[Rlay]]/LayTable[[#This Row],[Total inns]]),"")</f>
        <v/>
      </c>
      <c r="Y1605" s="48" t="str">
        <f>IFERROR(LayTable[[#This Row],[Faktisk res]]/LayTable[[#This Row],[Total inns]],"")</f>
        <v/>
      </c>
      <c r="Z1605" s="47">
        <f>(LayTable[[#This Row],[BookieInnsats]]*LayTable[[#This Row],[BookieOdds]]-LayTable[[#This Row],[BookieInnsats]])*(1-LayTable[[#This Row],[C% Bookie]])</f>
        <v>0</v>
      </c>
      <c r="AA1605" s="43">
        <f>LayTable[[#This Row],[LayInnsats]]*(1-LayTable[[#This Row],[C% Lay]])</f>
        <v>0</v>
      </c>
      <c r="AB1605" s="43" t="str">
        <f>IFERROR(IF(LayTable[[#This Row],[Sport]]="",AB1604,LayTable[[#This Row],[Faktisk res]]+AB1604),"")</f>
        <v/>
      </c>
      <c r="AC1605" s="43">
        <f>(LayTable[[#This Row],[BackWin-Commission]]+LayTable[[#This Row],[BookieInnsats]])</f>
        <v>0</v>
      </c>
      <c r="AD1605" s="43" t="e">
        <f>(LayTable[[#This Row],[LayWin-Commission]])+LayTable[[#This Row],[LayLiability]]</f>
        <v>#VALUE!</v>
      </c>
      <c r="AE1605" s="43"/>
      <c r="AF1605" s="181"/>
    </row>
    <row r="1606" spans="1:32">
      <c r="A1606" s="84"/>
      <c r="B1606" s="39"/>
      <c r="C1606" s="40"/>
      <c r="D1606" s="41"/>
      <c r="E1606" s="40"/>
      <c r="F1606" s="41"/>
      <c r="G1606" s="101"/>
      <c r="H1606" s="38"/>
      <c r="I1606" s="42"/>
      <c r="J1606" s="42"/>
      <c r="K1606" s="43"/>
      <c r="L1606" s="43"/>
      <c r="M1606" s="44" t="str">
        <f>IF(LayTable[[#This Row],[Sport]]="","",LayTable[[#This Row],[LayInnsats]]*(LayTable[[#This Row],[LayOdds]]-1))</f>
        <v/>
      </c>
      <c r="N1606" s="45" t="str">
        <f>IF(LayTable[[#This Row],[Sport]]="","",1/((1/LayTable[[#This Row],[BookieOdds]])+(1/((1/((1+((LayTable[[#This Row],[LayOdds]]-1)*(1+LayTable[[#This Row],[C% Lay]])))-1))+1)))-1)</f>
        <v/>
      </c>
      <c r="Q1606" s="46" t="str">
        <f>IF(LayTable[[#This Row],[Sport]]="","",LayTable[[#This Row],[BookieInnsats]]+LayTable[[#This Row],[LayLiability]])</f>
        <v/>
      </c>
      <c r="R16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6" s="47" t="str">
        <f>IF(LayTable[[#This Row],[Utfall bookie]]="","",LayTable[[#This Row],[WBABack]]+LayTable[[#This Row],[WBALay]]-LayTable[[#This Row],[Total inns]])</f>
        <v/>
      </c>
      <c r="U16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6" s="48" t="str">
        <f>IFERROR(IF(LayTable[[#This Row],[Total inns]]="","",LayTable[[#This Row],[Rback]]/LayTable[[#This Row],[Total inns]]),"")</f>
        <v/>
      </c>
      <c r="X1606" s="48" t="str">
        <f>IFERROR(IF(LayTable[[#This Row],[Total inns]]="","",LayTable[[#This Row],[Rlay]]/LayTable[[#This Row],[Total inns]]),"")</f>
        <v/>
      </c>
      <c r="Y1606" s="48" t="str">
        <f>IFERROR(LayTable[[#This Row],[Faktisk res]]/LayTable[[#This Row],[Total inns]],"")</f>
        <v/>
      </c>
      <c r="Z1606" s="47">
        <f>(LayTable[[#This Row],[BookieInnsats]]*LayTable[[#This Row],[BookieOdds]]-LayTable[[#This Row],[BookieInnsats]])*(1-LayTable[[#This Row],[C% Bookie]])</f>
        <v>0</v>
      </c>
      <c r="AA1606" s="43">
        <f>LayTable[[#This Row],[LayInnsats]]*(1-LayTable[[#This Row],[C% Lay]])</f>
        <v>0</v>
      </c>
      <c r="AB1606" s="43" t="str">
        <f>IFERROR(IF(LayTable[[#This Row],[Sport]]="",AB1605,LayTable[[#This Row],[Faktisk res]]+AB1605),"")</f>
        <v/>
      </c>
      <c r="AC1606" s="43">
        <f>(LayTable[[#This Row],[BackWin-Commission]]+LayTable[[#This Row],[BookieInnsats]])</f>
        <v>0</v>
      </c>
      <c r="AD1606" s="43" t="e">
        <f>(LayTable[[#This Row],[LayWin-Commission]])+LayTable[[#This Row],[LayLiability]]</f>
        <v>#VALUE!</v>
      </c>
      <c r="AE1606" s="43"/>
      <c r="AF1606" s="181"/>
    </row>
    <row r="1607" spans="1:32">
      <c r="A1607" s="84"/>
      <c r="B1607" s="39"/>
      <c r="C1607" s="40"/>
      <c r="D1607" s="41"/>
      <c r="E1607" s="40"/>
      <c r="F1607" s="41"/>
      <c r="G1607" s="101"/>
      <c r="H1607" s="38"/>
      <c r="I1607" s="42"/>
      <c r="J1607" s="42"/>
      <c r="K1607" s="43"/>
      <c r="L1607" s="43"/>
      <c r="M1607" s="44" t="str">
        <f>IF(LayTable[[#This Row],[Sport]]="","",LayTable[[#This Row],[LayInnsats]]*(LayTable[[#This Row],[LayOdds]]-1))</f>
        <v/>
      </c>
      <c r="N1607" s="45" t="str">
        <f>IF(LayTable[[#This Row],[Sport]]="","",1/((1/LayTable[[#This Row],[BookieOdds]])+(1/((1/((1+((LayTable[[#This Row],[LayOdds]]-1)*(1+LayTable[[#This Row],[C% Lay]])))-1))+1)))-1)</f>
        <v/>
      </c>
      <c r="Q1607" s="46" t="str">
        <f>IF(LayTable[[#This Row],[Sport]]="","",LayTable[[#This Row],[BookieInnsats]]+LayTable[[#This Row],[LayLiability]])</f>
        <v/>
      </c>
      <c r="R16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7" s="47" t="str">
        <f>IF(LayTable[[#This Row],[Utfall bookie]]="","",LayTable[[#This Row],[WBABack]]+LayTable[[#This Row],[WBALay]]-LayTable[[#This Row],[Total inns]])</f>
        <v/>
      </c>
      <c r="U16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7" s="48" t="str">
        <f>IFERROR(IF(LayTable[[#This Row],[Total inns]]="","",LayTable[[#This Row],[Rback]]/LayTable[[#This Row],[Total inns]]),"")</f>
        <v/>
      </c>
      <c r="X1607" s="48" t="str">
        <f>IFERROR(IF(LayTable[[#This Row],[Total inns]]="","",LayTable[[#This Row],[Rlay]]/LayTable[[#This Row],[Total inns]]),"")</f>
        <v/>
      </c>
      <c r="Y1607" s="48" t="str">
        <f>IFERROR(LayTable[[#This Row],[Faktisk res]]/LayTable[[#This Row],[Total inns]],"")</f>
        <v/>
      </c>
      <c r="Z1607" s="47">
        <f>(LayTable[[#This Row],[BookieInnsats]]*LayTable[[#This Row],[BookieOdds]]-LayTable[[#This Row],[BookieInnsats]])*(1-LayTable[[#This Row],[C% Bookie]])</f>
        <v>0</v>
      </c>
      <c r="AA1607" s="43">
        <f>LayTable[[#This Row],[LayInnsats]]*(1-LayTable[[#This Row],[C% Lay]])</f>
        <v>0</v>
      </c>
      <c r="AB1607" s="43" t="str">
        <f>IFERROR(IF(LayTable[[#This Row],[Sport]]="",AB1606,LayTable[[#This Row],[Faktisk res]]+AB1606),"")</f>
        <v/>
      </c>
      <c r="AC1607" s="43">
        <f>(LayTable[[#This Row],[BackWin-Commission]]+LayTable[[#This Row],[BookieInnsats]])</f>
        <v>0</v>
      </c>
      <c r="AD1607" s="43" t="e">
        <f>(LayTable[[#This Row],[LayWin-Commission]])+LayTable[[#This Row],[LayLiability]]</f>
        <v>#VALUE!</v>
      </c>
      <c r="AE1607" s="43"/>
      <c r="AF1607" s="181"/>
    </row>
    <row r="1608" spans="1:32">
      <c r="A1608" s="84"/>
      <c r="B1608" s="39"/>
      <c r="C1608" s="40"/>
      <c r="D1608" s="41"/>
      <c r="E1608" s="40"/>
      <c r="F1608" s="41"/>
      <c r="G1608" s="101"/>
      <c r="H1608" s="38"/>
      <c r="I1608" s="42"/>
      <c r="J1608" s="42"/>
      <c r="K1608" s="43"/>
      <c r="L1608" s="43"/>
      <c r="M1608" s="44" t="str">
        <f>IF(LayTable[[#This Row],[Sport]]="","",LayTable[[#This Row],[LayInnsats]]*(LayTable[[#This Row],[LayOdds]]-1))</f>
        <v/>
      </c>
      <c r="N1608" s="45" t="str">
        <f>IF(LayTable[[#This Row],[Sport]]="","",1/((1/LayTable[[#This Row],[BookieOdds]])+(1/((1/((1+((LayTable[[#This Row],[LayOdds]]-1)*(1+LayTable[[#This Row],[C% Lay]])))-1))+1)))-1)</f>
        <v/>
      </c>
      <c r="Q1608" s="46" t="str">
        <f>IF(LayTable[[#This Row],[Sport]]="","",LayTable[[#This Row],[BookieInnsats]]+LayTable[[#This Row],[LayLiability]])</f>
        <v/>
      </c>
      <c r="R16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8" s="47" t="str">
        <f>IF(LayTable[[#This Row],[Utfall bookie]]="","",LayTable[[#This Row],[WBABack]]+LayTable[[#This Row],[WBALay]]-LayTable[[#This Row],[Total inns]])</f>
        <v/>
      </c>
      <c r="U16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8" s="48" t="str">
        <f>IFERROR(IF(LayTable[[#This Row],[Total inns]]="","",LayTable[[#This Row],[Rback]]/LayTable[[#This Row],[Total inns]]),"")</f>
        <v/>
      </c>
      <c r="X1608" s="48" t="str">
        <f>IFERROR(IF(LayTable[[#This Row],[Total inns]]="","",LayTable[[#This Row],[Rlay]]/LayTable[[#This Row],[Total inns]]),"")</f>
        <v/>
      </c>
      <c r="Y1608" s="48" t="str">
        <f>IFERROR(LayTable[[#This Row],[Faktisk res]]/LayTable[[#This Row],[Total inns]],"")</f>
        <v/>
      </c>
      <c r="Z1608" s="47">
        <f>(LayTable[[#This Row],[BookieInnsats]]*LayTable[[#This Row],[BookieOdds]]-LayTable[[#This Row],[BookieInnsats]])*(1-LayTable[[#This Row],[C% Bookie]])</f>
        <v>0</v>
      </c>
      <c r="AA1608" s="43">
        <f>LayTable[[#This Row],[LayInnsats]]*(1-LayTable[[#This Row],[C% Lay]])</f>
        <v>0</v>
      </c>
      <c r="AB1608" s="43" t="str">
        <f>IFERROR(IF(LayTable[[#This Row],[Sport]]="",AB1607,LayTable[[#This Row],[Faktisk res]]+AB1607),"")</f>
        <v/>
      </c>
      <c r="AC1608" s="43">
        <f>(LayTable[[#This Row],[BackWin-Commission]]+LayTable[[#This Row],[BookieInnsats]])</f>
        <v>0</v>
      </c>
      <c r="AD1608" s="43" t="e">
        <f>(LayTable[[#This Row],[LayWin-Commission]])+LayTable[[#This Row],[LayLiability]]</f>
        <v>#VALUE!</v>
      </c>
      <c r="AE1608" s="43"/>
      <c r="AF1608" s="181"/>
    </row>
    <row r="1609" spans="1:32">
      <c r="A1609" s="84"/>
      <c r="B1609" s="39"/>
      <c r="C1609" s="40"/>
      <c r="D1609" s="41"/>
      <c r="E1609" s="40"/>
      <c r="F1609" s="41"/>
      <c r="G1609" s="101"/>
      <c r="H1609" s="38"/>
      <c r="I1609" s="42"/>
      <c r="J1609" s="42"/>
      <c r="K1609" s="43"/>
      <c r="L1609" s="43"/>
      <c r="M1609" s="44" t="str">
        <f>IF(LayTable[[#This Row],[Sport]]="","",LayTable[[#This Row],[LayInnsats]]*(LayTable[[#This Row],[LayOdds]]-1))</f>
        <v/>
      </c>
      <c r="N1609" s="45" t="str">
        <f>IF(LayTable[[#This Row],[Sport]]="","",1/((1/LayTable[[#This Row],[BookieOdds]])+(1/((1/((1+((LayTable[[#This Row],[LayOdds]]-1)*(1+LayTable[[#This Row],[C% Lay]])))-1))+1)))-1)</f>
        <v/>
      </c>
      <c r="Q1609" s="46" t="str">
        <f>IF(LayTable[[#This Row],[Sport]]="","",LayTable[[#This Row],[BookieInnsats]]+LayTable[[#This Row],[LayLiability]])</f>
        <v/>
      </c>
      <c r="R16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09" s="47" t="str">
        <f>IF(LayTable[[#This Row],[Utfall bookie]]="","",LayTable[[#This Row],[WBABack]]+LayTable[[#This Row],[WBALay]]-LayTable[[#This Row],[Total inns]])</f>
        <v/>
      </c>
      <c r="U16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09" s="48" t="str">
        <f>IFERROR(IF(LayTable[[#This Row],[Total inns]]="","",LayTable[[#This Row],[Rback]]/LayTable[[#This Row],[Total inns]]),"")</f>
        <v/>
      </c>
      <c r="X1609" s="48" t="str">
        <f>IFERROR(IF(LayTable[[#This Row],[Total inns]]="","",LayTable[[#This Row],[Rlay]]/LayTable[[#This Row],[Total inns]]),"")</f>
        <v/>
      </c>
      <c r="Y1609" s="48" t="str">
        <f>IFERROR(LayTable[[#This Row],[Faktisk res]]/LayTable[[#This Row],[Total inns]],"")</f>
        <v/>
      </c>
      <c r="Z1609" s="47">
        <f>(LayTable[[#This Row],[BookieInnsats]]*LayTable[[#This Row],[BookieOdds]]-LayTable[[#This Row],[BookieInnsats]])*(1-LayTable[[#This Row],[C% Bookie]])</f>
        <v>0</v>
      </c>
      <c r="AA1609" s="43">
        <f>LayTable[[#This Row],[LayInnsats]]*(1-LayTable[[#This Row],[C% Lay]])</f>
        <v>0</v>
      </c>
      <c r="AB1609" s="43" t="str">
        <f>IFERROR(IF(LayTable[[#This Row],[Sport]]="",AB1608,LayTable[[#This Row],[Faktisk res]]+AB1608),"")</f>
        <v/>
      </c>
      <c r="AC1609" s="43">
        <f>(LayTable[[#This Row],[BackWin-Commission]]+LayTable[[#This Row],[BookieInnsats]])</f>
        <v>0</v>
      </c>
      <c r="AD1609" s="43" t="e">
        <f>(LayTable[[#This Row],[LayWin-Commission]])+LayTable[[#This Row],[LayLiability]]</f>
        <v>#VALUE!</v>
      </c>
      <c r="AE1609" s="43"/>
      <c r="AF1609" s="181"/>
    </row>
    <row r="1610" spans="1:32">
      <c r="A1610" s="84"/>
      <c r="B1610" s="39"/>
      <c r="C1610" s="40"/>
      <c r="D1610" s="41"/>
      <c r="E1610" s="40"/>
      <c r="F1610" s="41"/>
      <c r="G1610" s="101"/>
      <c r="H1610" s="38"/>
      <c r="I1610" s="42"/>
      <c r="J1610" s="42"/>
      <c r="K1610" s="43"/>
      <c r="L1610" s="43"/>
      <c r="M1610" s="44" t="str">
        <f>IF(LayTable[[#This Row],[Sport]]="","",LayTable[[#This Row],[LayInnsats]]*(LayTable[[#This Row],[LayOdds]]-1))</f>
        <v/>
      </c>
      <c r="N1610" s="45" t="str">
        <f>IF(LayTable[[#This Row],[Sport]]="","",1/((1/LayTable[[#This Row],[BookieOdds]])+(1/((1/((1+((LayTable[[#This Row],[LayOdds]]-1)*(1+LayTable[[#This Row],[C% Lay]])))-1))+1)))-1)</f>
        <v/>
      </c>
      <c r="Q1610" s="46" t="str">
        <f>IF(LayTable[[#This Row],[Sport]]="","",LayTable[[#This Row],[BookieInnsats]]+LayTable[[#This Row],[LayLiability]])</f>
        <v/>
      </c>
      <c r="R16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0" s="47" t="str">
        <f>IF(LayTable[[#This Row],[Utfall bookie]]="","",LayTable[[#This Row],[WBABack]]+LayTable[[#This Row],[WBALay]]-LayTable[[#This Row],[Total inns]])</f>
        <v/>
      </c>
      <c r="U16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0" s="48" t="str">
        <f>IFERROR(IF(LayTable[[#This Row],[Total inns]]="","",LayTable[[#This Row],[Rback]]/LayTable[[#This Row],[Total inns]]),"")</f>
        <v/>
      </c>
      <c r="X1610" s="48" t="str">
        <f>IFERROR(IF(LayTable[[#This Row],[Total inns]]="","",LayTable[[#This Row],[Rlay]]/LayTable[[#This Row],[Total inns]]),"")</f>
        <v/>
      </c>
      <c r="Y1610" s="48" t="str">
        <f>IFERROR(LayTable[[#This Row],[Faktisk res]]/LayTable[[#This Row],[Total inns]],"")</f>
        <v/>
      </c>
      <c r="Z1610" s="47">
        <f>(LayTable[[#This Row],[BookieInnsats]]*LayTable[[#This Row],[BookieOdds]]-LayTable[[#This Row],[BookieInnsats]])*(1-LayTable[[#This Row],[C% Bookie]])</f>
        <v>0</v>
      </c>
      <c r="AA1610" s="43">
        <f>LayTable[[#This Row],[LayInnsats]]*(1-LayTable[[#This Row],[C% Lay]])</f>
        <v>0</v>
      </c>
      <c r="AB1610" s="43" t="str">
        <f>IFERROR(IF(LayTable[[#This Row],[Sport]]="",AB1609,LayTable[[#This Row],[Faktisk res]]+AB1609),"")</f>
        <v/>
      </c>
      <c r="AC1610" s="43">
        <f>(LayTable[[#This Row],[BackWin-Commission]]+LayTable[[#This Row],[BookieInnsats]])</f>
        <v>0</v>
      </c>
      <c r="AD1610" s="43" t="e">
        <f>(LayTable[[#This Row],[LayWin-Commission]])+LayTable[[#This Row],[LayLiability]]</f>
        <v>#VALUE!</v>
      </c>
      <c r="AE1610" s="43"/>
      <c r="AF1610" s="181"/>
    </row>
    <row r="1611" spans="1:32">
      <c r="A1611" s="84"/>
      <c r="B1611" s="39"/>
      <c r="C1611" s="40"/>
      <c r="D1611" s="41"/>
      <c r="E1611" s="40"/>
      <c r="F1611" s="41"/>
      <c r="G1611" s="101"/>
      <c r="H1611" s="38"/>
      <c r="I1611" s="42"/>
      <c r="J1611" s="42"/>
      <c r="K1611" s="43"/>
      <c r="L1611" s="43"/>
      <c r="M1611" s="44" t="str">
        <f>IF(LayTable[[#This Row],[Sport]]="","",LayTable[[#This Row],[LayInnsats]]*(LayTable[[#This Row],[LayOdds]]-1))</f>
        <v/>
      </c>
      <c r="N1611" s="45" t="str">
        <f>IF(LayTable[[#This Row],[Sport]]="","",1/((1/LayTable[[#This Row],[BookieOdds]])+(1/((1/((1+((LayTable[[#This Row],[LayOdds]]-1)*(1+LayTable[[#This Row],[C% Lay]])))-1))+1)))-1)</f>
        <v/>
      </c>
      <c r="Q1611" s="46" t="str">
        <f>IF(LayTable[[#This Row],[Sport]]="","",LayTable[[#This Row],[BookieInnsats]]+LayTable[[#This Row],[LayLiability]])</f>
        <v/>
      </c>
      <c r="R16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1" s="47" t="str">
        <f>IF(LayTable[[#This Row],[Utfall bookie]]="","",LayTable[[#This Row],[WBABack]]+LayTable[[#This Row],[WBALay]]-LayTable[[#This Row],[Total inns]])</f>
        <v/>
      </c>
      <c r="U16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1" s="48" t="str">
        <f>IFERROR(IF(LayTable[[#This Row],[Total inns]]="","",LayTable[[#This Row],[Rback]]/LayTable[[#This Row],[Total inns]]),"")</f>
        <v/>
      </c>
      <c r="X1611" s="48" t="str">
        <f>IFERROR(IF(LayTable[[#This Row],[Total inns]]="","",LayTable[[#This Row],[Rlay]]/LayTable[[#This Row],[Total inns]]),"")</f>
        <v/>
      </c>
      <c r="Y1611" s="48" t="str">
        <f>IFERROR(LayTable[[#This Row],[Faktisk res]]/LayTable[[#This Row],[Total inns]],"")</f>
        <v/>
      </c>
      <c r="Z1611" s="47">
        <f>(LayTable[[#This Row],[BookieInnsats]]*LayTable[[#This Row],[BookieOdds]]-LayTable[[#This Row],[BookieInnsats]])*(1-LayTable[[#This Row],[C% Bookie]])</f>
        <v>0</v>
      </c>
      <c r="AA1611" s="43">
        <f>LayTable[[#This Row],[LayInnsats]]*(1-LayTable[[#This Row],[C% Lay]])</f>
        <v>0</v>
      </c>
      <c r="AB1611" s="43" t="str">
        <f>IFERROR(IF(LayTable[[#This Row],[Sport]]="",AB1610,LayTable[[#This Row],[Faktisk res]]+AB1610),"")</f>
        <v/>
      </c>
      <c r="AC1611" s="43">
        <f>(LayTable[[#This Row],[BackWin-Commission]]+LayTable[[#This Row],[BookieInnsats]])</f>
        <v>0</v>
      </c>
      <c r="AD1611" s="43" t="e">
        <f>(LayTable[[#This Row],[LayWin-Commission]])+LayTable[[#This Row],[LayLiability]]</f>
        <v>#VALUE!</v>
      </c>
      <c r="AE1611" s="43"/>
      <c r="AF1611" s="181"/>
    </row>
    <row r="1612" spans="1:32">
      <c r="A1612" s="84"/>
      <c r="B1612" s="39"/>
      <c r="C1612" s="40"/>
      <c r="D1612" s="41"/>
      <c r="E1612" s="40"/>
      <c r="F1612" s="41"/>
      <c r="G1612" s="101"/>
      <c r="H1612" s="38"/>
      <c r="I1612" s="42"/>
      <c r="J1612" s="42"/>
      <c r="K1612" s="43"/>
      <c r="L1612" s="43"/>
      <c r="M1612" s="44" t="str">
        <f>IF(LayTable[[#This Row],[Sport]]="","",LayTable[[#This Row],[LayInnsats]]*(LayTable[[#This Row],[LayOdds]]-1))</f>
        <v/>
      </c>
      <c r="N1612" s="45" t="str">
        <f>IF(LayTable[[#This Row],[Sport]]="","",1/((1/LayTable[[#This Row],[BookieOdds]])+(1/((1/((1+((LayTable[[#This Row],[LayOdds]]-1)*(1+LayTable[[#This Row],[C% Lay]])))-1))+1)))-1)</f>
        <v/>
      </c>
      <c r="Q1612" s="46" t="str">
        <f>IF(LayTable[[#This Row],[Sport]]="","",LayTable[[#This Row],[BookieInnsats]]+LayTable[[#This Row],[LayLiability]])</f>
        <v/>
      </c>
      <c r="R16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2" s="47" t="str">
        <f>IF(LayTable[[#This Row],[Utfall bookie]]="","",LayTable[[#This Row],[WBABack]]+LayTable[[#This Row],[WBALay]]-LayTable[[#This Row],[Total inns]])</f>
        <v/>
      </c>
      <c r="U16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2" s="48" t="str">
        <f>IFERROR(IF(LayTable[[#This Row],[Total inns]]="","",LayTable[[#This Row],[Rback]]/LayTable[[#This Row],[Total inns]]),"")</f>
        <v/>
      </c>
      <c r="X1612" s="48" t="str">
        <f>IFERROR(IF(LayTable[[#This Row],[Total inns]]="","",LayTable[[#This Row],[Rlay]]/LayTable[[#This Row],[Total inns]]),"")</f>
        <v/>
      </c>
      <c r="Y1612" s="48" t="str">
        <f>IFERROR(LayTable[[#This Row],[Faktisk res]]/LayTable[[#This Row],[Total inns]],"")</f>
        <v/>
      </c>
      <c r="Z1612" s="47">
        <f>(LayTable[[#This Row],[BookieInnsats]]*LayTable[[#This Row],[BookieOdds]]-LayTable[[#This Row],[BookieInnsats]])*(1-LayTable[[#This Row],[C% Bookie]])</f>
        <v>0</v>
      </c>
      <c r="AA1612" s="43">
        <f>LayTable[[#This Row],[LayInnsats]]*(1-LayTable[[#This Row],[C% Lay]])</f>
        <v>0</v>
      </c>
      <c r="AB1612" s="43" t="str">
        <f>IFERROR(IF(LayTable[[#This Row],[Sport]]="",AB1611,LayTable[[#This Row],[Faktisk res]]+AB1611),"")</f>
        <v/>
      </c>
      <c r="AC1612" s="43">
        <f>(LayTable[[#This Row],[BackWin-Commission]]+LayTable[[#This Row],[BookieInnsats]])</f>
        <v>0</v>
      </c>
      <c r="AD1612" s="43" t="e">
        <f>(LayTable[[#This Row],[LayWin-Commission]])+LayTable[[#This Row],[LayLiability]]</f>
        <v>#VALUE!</v>
      </c>
      <c r="AE1612" s="43"/>
      <c r="AF1612" s="181"/>
    </row>
    <row r="1613" spans="1:32">
      <c r="A1613" s="84"/>
      <c r="B1613" s="39"/>
      <c r="C1613" s="40"/>
      <c r="D1613" s="41"/>
      <c r="E1613" s="40"/>
      <c r="F1613" s="41"/>
      <c r="G1613" s="101"/>
      <c r="H1613" s="38"/>
      <c r="I1613" s="42"/>
      <c r="J1613" s="42"/>
      <c r="K1613" s="43"/>
      <c r="L1613" s="43"/>
      <c r="M1613" s="44" t="str">
        <f>IF(LayTable[[#This Row],[Sport]]="","",LayTable[[#This Row],[LayInnsats]]*(LayTable[[#This Row],[LayOdds]]-1))</f>
        <v/>
      </c>
      <c r="N1613" s="45" t="str">
        <f>IF(LayTable[[#This Row],[Sport]]="","",1/((1/LayTable[[#This Row],[BookieOdds]])+(1/((1/((1+((LayTable[[#This Row],[LayOdds]]-1)*(1+LayTable[[#This Row],[C% Lay]])))-1))+1)))-1)</f>
        <v/>
      </c>
      <c r="Q1613" s="46" t="str">
        <f>IF(LayTable[[#This Row],[Sport]]="","",LayTable[[#This Row],[BookieInnsats]]+LayTable[[#This Row],[LayLiability]])</f>
        <v/>
      </c>
      <c r="R16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3" s="47" t="str">
        <f>IF(LayTable[[#This Row],[Utfall bookie]]="","",LayTable[[#This Row],[WBABack]]+LayTable[[#This Row],[WBALay]]-LayTable[[#This Row],[Total inns]])</f>
        <v/>
      </c>
      <c r="U16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3" s="48" t="str">
        <f>IFERROR(IF(LayTable[[#This Row],[Total inns]]="","",LayTable[[#This Row],[Rback]]/LayTable[[#This Row],[Total inns]]),"")</f>
        <v/>
      </c>
      <c r="X1613" s="48" t="str">
        <f>IFERROR(IF(LayTable[[#This Row],[Total inns]]="","",LayTable[[#This Row],[Rlay]]/LayTable[[#This Row],[Total inns]]),"")</f>
        <v/>
      </c>
      <c r="Y1613" s="48" t="str">
        <f>IFERROR(LayTable[[#This Row],[Faktisk res]]/LayTable[[#This Row],[Total inns]],"")</f>
        <v/>
      </c>
      <c r="Z1613" s="47">
        <f>(LayTable[[#This Row],[BookieInnsats]]*LayTable[[#This Row],[BookieOdds]]-LayTable[[#This Row],[BookieInnsats]])*(1-LayTable[[#This Row],[C% Bookie]])</f>
        <v>0</v>
      </c>
      <c r="AA1613" s="43">
        <f>LayTable[[#This Row],[LayInnsats]]*(1-LayTable[[#This Row],[C% Lay]])</f>
        <v>0</v>
      </c>
      <c r="AB1613" s="43" t="str">
        <f>IFERROR(IF(LayTable[[#This Row],[Sport]]="",AB1612,LayTable[[#This Row],[Faktisk res]]+AB1612),"")</f>
        <v/>
      </c>
      <c r="AC1613" s="43">
        <f>(LayTable[[#This Row],[BackWin-Commission]]+LayTable[[#This Row],[BookieInnsats]])</f>
        <v>0</v>
      </c>
      <c r="AD1613" s="43" t="e">
        <f>(LayTable[[#This Row],[LayWin-Commission]])+LayTable[[#This Row],[LayLiability]]</f>
        <v>#VALUE!</v>
      </c>
      <c r="AE1613" s="43"/>
      <c r="AF1613" s="181"/>
    </row>
    <row r="1614" spans="1:32">
      <c r="A1614" s="84"/>
      <c r="B1614" s="39"/>
      <c r="C1614" s="40"/>
      <c r="D1614" s="41"/>
      <c r="E1614" s="40"/>
      <c r="F1614" s="41"/>
      <c r="G1614" s="101"/>
      <c r="H1614" s="38"/>
      <c r="I1614" s="42"/>
      <c r="J1614" s="42"/>
      <c r="K1614" s="43"/>
      <c r="L1614" s="43"/>
      <c r="M1614" s="44" t="str">
        <f>IF(LayTable[[#This Row],[Sport]]="","",LayTable[[#This Row],[LayInnsats]]*(LayTable[[#This Row],[LayOdds]]-1))</f>
        <v/>
      </c>
      <c r="N1614" s="45" t="str">
        <f>IF(LayTable[[#This Row],[Sport]]="","",1/((1/LayTable[[#This Row],[BookieOdds]])+(1/((1/((1+((LayTable[[#This Row],[LayOdds]]-1)*(1+LayTable[[#This Row],[C% Lay]])))-1))+1)))-1)</f>
        <v/>
      </c>
      <c r="Q1614" s="46" t="str">
        <f>IF(LayTable[[#This Row],[Sport]]="","",LayTable[[#This Row],[BookieInnsats]]+LayTable[[#This Row],[LayLiability]])</f>
        <v/>
      </c>
      <c r="R16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4" s="47" t="str">
        <f>IF(LayTable[[#This Row],[Utfall bookie]]="","",LayTable[[#This Row],[WBABack]]+LayTable[[#This Row],[WBALay]]-LayTable[[#This Row],[Total inns]])</f>
        <v/>
      </c>
      <c r="U16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4" s="48" t="str">
        <f>IFERROR(IF(LayTable[[#This Row],[Total inns]]="","",LayTable[[#This Row],[Rback]]/LayTable[[#This Row],[Total inns]]),"")</f>
        <v/>
      </c>
      <c r="X1614" s="48" t="str">
        <f>IFERROR(IF(LayTable[[#This Row],[Total inns]]="","",LayTable[[#This Row],[Rlay]]/LayTable[[#This Row],[Total inns]]),"")</f>
        <v/>
      </c>
      <c r="Y1614" s="48" t="str">
        <f>IFERROR(LayTable[[#This Row],[Faktisk res]]/LayTable[[#This Row],[Total inns]],"")</f>
        <v/>
      </c>
      <c r="Z1614" s="47">
        <f>(LayTable[[#This Row],[BookieInnsats]]*LayTable[[#This Row],[BookieOdds]]-LayTable[[#This Row],[BookieInnsats]])*(1-LayTable[[#This Row],[C% Bookie]])</f>
        <v>0</v>
      </c>
      <c r="AA1614" s="43">
        <f>LayTable[[#This Row],[LayInnsats]]*(1-LayTable[[#This Row],[C% Lay]])</f>
        <v>0</v>
      </c>
      <c r="AB1614" s="43" t="str">
        <f>IFERROR(IF(LayTable[[#This Row],[Sport]]="",AB1613,LayTable[[#This Row],[Faktisk res]]+AB1613),"")</f>
        <v/>
      </c>
      <c r="AC1614" s="43">
        <f>(LayTable[[#This Row],[BackWin-Commission]]+LayTable[[#This Row],[BookieInnsats]])</f>
        <v>0</v>
      </c>
      <c r="AD1614" s="43" t="e">
        <f>(LayTable[[#This Row],[LayWin-Commission]])+LayTable[[#This Row],[LayLiability]]</f>
        <v>#VALUE!</v>
      </c>
      <c r="AE1614" s="43"/>
      <c r="AF1614" s="181"/>
    </row>
    <row r="1615" spans="1:32">
      <c r="A1615" s="84"/>
      <c r="B1615" s="39"/>
      <c r="C1615" s="40"/>
      <c r="D1615" s="41"/>
      <c r="E1615" s="40"/>
      <c r="F1615" s="41"/>
      <c r="G1615" s="101"/>
      <c r="H1615" s="38"/>
      <c r="I1615" s="42"/>
      <c r="J1615" s="42"/>
      <c r="K1615" s="43"/>
      <c r="L1615" s="43"/>
      <c r="M1615" s="44" t="str">
        <f>IF(LayTable[[#This Row],[Sport]]="","",LayTable[[#This Row],[LayInnsats]]*(LayTable[[#This Row],[LayOdds]]-1))</f>
        <v/>
      </c>
      <c r="N1615" s="45" t="str">
        <f>IF(LayTable[[#This Row],[Sport]]="","",1/((1/LayTable[[#This Row],[BookieOdds]])+(1/((1/((1+((LayTable[[#This Row],[LayOdds]]-1)*(1+LayTable[[#This Row],[C% Lay]])))-1))+1)))-1)</f>
        <v/>
      </c>
      <c r="Q1615" s="46" t="str">
        <f>IF(LayTable[[#This Row],[Sport]]="","",LayTable[[#This Row],[BookieInnsats]]+LayTable[[#This Row],[LayLiability]])</f>
        <v/>
      </c>
      <c r="R16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5" s="47" t="str">
        <f>IF(LayTable[[#This Row],[Utfall bookie]]="","",LayTable[[#This Row],[WBABack]]+LayTable[[#This Row],[WBALay]]-LayTable[[#This Row],[Total inns]])</f>
        <v/>
      </c>
      <c r="U16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5" s="48" t="str">
        <f>IFERROR(IF(LayTable[[#This Row],[Total inns]]="","",LayTable[[#This Row],[Rback]]/LayTable[[#This Row],[Total inns]]),"")</f>
        <v/>
      </c>
      <c r="X1615" s="48" t="str">
        <f>IFERROR(IF(LayTable[[#This Row],[Total inns]]="","",LayTable[[#This Row],[Rlay]]/LayTable[[#This Row],[Total inns]]),"")</f>
        <v/>
      </c>
      <c r="Y1615" s="48" t="str">
        <f>IFERROR(LayTable[[#This Row],[Faktisk res]]/LayTable[[#This Row],[Total inns]],"")</f>
        <v/>
      </c>
      <c r="Z1615" s="47">
        <f>(LayTable[[#This Row],[BookieInnsats]]*LayTable[[#This Row],[BookieOdds]]-LayTable[[#This Row],[BookieInnsats]])*(1-LayTable[[#This Row],[C% Bookie]])</f>
        <v>0</v>
      </c>
      <c r="AA1615" s="43">
        <f>LayTable[[#This Row],[LayInnsats]]*(1-LayTable[[#This Row],[C% Lay]])</f>
        <v>0</v>
      </c>
      <c r="AB1615" s="43" t="str">
        <f>IFERROR(IF(LayTable[[#This Row],[Sport]]="",AB1614,LayTable[[#This Row],[Faktisk res]]+AB1614),"")</f>
        <v/>
      </c>
      <c r="AC1615" s="43">
        <f>(LayTable[[#This Row],[BackWin-Commission]]+LayTable[[#This Row],[BookieInnsats]])</f>
        <v>0</v>
      </c>
      <c r="AD1615" s="43" t="e">
        <f>(LayTable[[#This Row],[LayWin-Commission]])+LayTable[[#This Row],[LayLiability]]</f>
        <v>#VALUE!</v>
      </c>
      <c r="AE1615" s="43"/>
      <c r="AF1615" s="181"/>
    </row>
    <row r="1616" spans="1:32">
      <c r="A1616" s="84"/>
      <c r="B1616" s="39"/>
      <c r="C1616" s="40"/>
      <c r="D1616" s="41"/>
      <c r="E1616" s="40"/>
      <c r="F1616" s="41"/>
      <c r="G1616" s="101"/>
      <c r="H1616" s="38"/>
      <c r="I1616" s="42"/>
      <c r="J1616" s="42"/>
      <c r="K1616" s="43"/>
      <c r="L1616" s="43"/>
      <c r="M1616" s="44" t="str">
        <f>IF(LayTable[[#This Row],[Sport]]="","",LayTable[[#This Row],[LayInnsats]]*(LayTable[[#This Row],[LayOdds]]-1))</f>
        <v/>
      </c>
      <c r="N1616" s="45" t="str">
        <f>IF(LayTable[[#This Row],[Sport]]="","",1/((1/LayTable[[#This Row],[BookieOdds]])+(1/((1/((1+((LayTable[[#This Row],[LayOdds]]-1)*(1+LayTable[[#This Row],[C% Lay]])))-1))+1)))-1)</f>
        <v/>
      </c>
      <c r="Q1616" s="46" t="str">
        <f>IF(LayTable[[#This Row],[Sport]]="","",LayTable[[#This Row],[BookieInnsats]]+LayTable[[#This Row],[LayLiability]])</f>
        <v/>
      </c>
      <c r="R16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6" s="47" t="str">
        <f>IF(LayTable[[#This Row],[Utfall bookie]]="","",LayTable[[#This Row],[WBABack]]+LayTable[[#This Row],[WBALay]]-LayTable[[#This Row],[Total inns]])</f>
        <v/>
      </c>
      <c r="U16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6" s="48" t="str">
        <f>IFERROR(IF(LayTable[[#This Row],[Total inns]]="","",LayTable[[#This Row],[Rback]]/LayTable[[#This Row],[Total inns]]),"")</f>
        <v/>
      </c>
      <c r="X1616" s="48" t="str">
        <f>IFERROR(IF(LayTable[[#This Row],[Total inns]]="","",LayTable[[#This Row],[Rlay]]/LayTable[[#This Row],[Total inns]]),"")</f>
        <v/>
      </c>
      <c r="Y1616" s="48" t="str">
        <f>IFERROR(LayTable[[#This Row],[Faktisk res]]/LayTable[[#This Row],[Total inns]],"")</f>
        <v/>
      </c>
      <c r="Z1616" s="47">
        <f>(LayTable[[#This Row],[BookieInnsats]]*LayTable[[#This Row],[BookieOdds]]-LayTable[[#This Row],[BookieInnsats]])*(1-LayTable[[#This Row],[C% Bookie]])</f>
        <v>0</v>
      </c>
      <c r="AA1616" s="43">
        <f>LayTable[[#This Row],[LayInnsats]]*(1-LayTable[[#This Row],[C% Lay]])</f>
        <v>0</v>
      </c>
      <c r="AB1616" s="43" t="str">
        <f>IFERROR(IF(LayTable[[#This Row],[Sport]]="",AB1615,LayTable[[#This Row],[Faktisk res]]+AB1615),"")</f>
        <v/>
      </c>
      <c r="AC1616" s="43">
        <f>(LayTable[[#This Row],[BackWin-Commission]]+LayTable[[#This Row],[BookieInnsats]])</f>
        <v>0</v>
      </c>
      <c r="AD1616" s="43" t="e">
        <f>(LayTable[[#This Row],[LayWin-Commission]])+LayTable[[#This Row],[LayLiability]]</f>
        <v>#VALUE!</v>
      </c>
      <c r="AE1616" s="43"/>
      <c r="AF1616" s="181"/>
    </row>
    <row r="1617" spans="1:32">
      <c r="A1617" s="84"/>
      <c r="B1617" s="39"/>
      <c r="C1617" s="40"/>
      <c r="D1617" s="41"/>
      <c r="E1617" s="40"/>
      <c r="F1617" s="41"/>
      <c r="G1617" s="101"/>
      <c r="H1617" s="38"/>
      <c r="I1617" s="42"/>
      <c r="J1617" s="42"/>
      <c r="K1617" s="43"/>
      <c r="L1617" s="43"/>
      <c r="M1617" s="44" t="str">
        <f>IF(LayTable[[#This Row],[Sport]]="","",LayTable[[#This Row],[LayInnsats]]*(LayTable[[#This Row],[LayOdds]]-1))</f>
        <v/>
      </c>
      <c r="N1617" s="45" t="str">
        <f>IF(LayTable[[#This Row],[Sport]]="","",1/((1/LayTable[[#This Row],[BookieOdds]])+(1/((1/((1+((LayTable[[#This Row],[LayOdds]]-1)*(1+LayTable[[#This Row],[C% Lay]])))-1))+1)))-1)</f>
        <v/>
      </c>
      <c r="Q1617" s="46" t="str">
        <f>IF(LayTable[[#This Row],[Sport]]="","",LayTable[[#This Row],[BookieInnsats]]+LayTable[[#This Row],[LayLiability]])</f>
        <v/>
      </c>
      <c r="R16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7" s="47" t="str">
        <f>IF(LayTable[[#This Row],[Utfall bookie]]="","",LayTable[[#This Row],[WBABack]]+LayTable[[#This Row],[WBALay]]-LayTable[[#This Row],[Total inns]])</f>
        <v/>
      </c>
      <c r="U16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7" s="48" t="str">
        <f>IFERROR(IF(LayTable[[#This Row],[Total inns]]="","",LayTable[[#This Row],[Rback]]/LayTable[[#This Row],[Total inns]]),"")</f>
        <v/>
      </c>
      <c r="X1617" s="48" t="str">
        <f>IFERROR(IF(LayTable[[#This Row],[Total inns]]="","",LayTable[[#This Row],[Rlay]]/LayTable[[#This Row],[Total inns]]),"")</f>
        <v/>
      </c>
      <c r="Y1617" s="48" t="str">
        <f>IFERROR(LayTable[[#This Row],[Faktisk res]]/LayTable[[#This Row],[Total inns]],"")</f>
        <v/>
      </c>
      <c r="Z1617" s="47">
        <f>(LayTable[[#This Row],[BookieInnsats]]*LayTable[[#This Row],[BookieOdds]]-LayTable[[#This Row],[BookieInnsats]])*(1-LayTable[[#This Row],[C% Bookie]])</f>
        <v>0</v>
      </c>
      <c r="AA1617" s="43">
        <f>LayTable[[#This Row],[LayInnsats]]*(1-LayTable[[#This Row],[C% Lay]])</f>
        <v>0</v>
      </c>
      <c r="AB1617" s="43" t="str">
        <f>IFERROR(IF(LayTable[[#This Row],[Sport]]="",AB1616,LayTable[[#This Row],[Faktisk res]]+AB1616),"")</f>
        <v/>
      </c>
      <c r="AC1617" s="43">
        <f>(LayTable[[#This Row],[BackWin-Commission]]+LayTable[[#This Row],[BookieInnsats]])</f>
        <v>0</v>
      </c>
      <c r="AD1617" s="43" t="e">
        <f>(LayTable[[#This Row],[LayWin-Commission]])+LayTable[[#This Row],[LayLiability]]</f>
        <v>#VALUE!</v>
      </c>
      <c r="AE1617" s="43"/>
      <c r="AF1617" s="181"/>
    </row>
    <row r="1618" spans="1:32">
      <c r="A1618" s="84"/>
      <c r="B1618" s="39"/>
      <c r="C1618" s="40"/>
      <c r="D1618" s="41"/>
      <c r="E1618" s="40"/>
      <c r="F1618" s="41"/>
      <c r="G1618" s="101"/>
      <c r="H1618" s="38"/>
      <c r="I1618" s="42"/>
      <c r="J1618" s="42"/>
      <c r="K1618" s="43"/>
      <c r="L1618" s="43"/>
      <c r="M1618" s="44" t="str">
        <f>IF(LayTable[[#This Row],[Sport]]="","",LayTable[[#This Row],[LayInnsats]]*(LayTable[[#This Row],[LayOdds]]-1))</f>
        <v/>
      </c>
      <c r="N1618" s="45" t="str">
        <f>IF(LayTable[[#This Row],[Sport]]="","",1/((1/LayTable[[#This Row],[BookieOdds]])+(1/((1/((1+((LayTable[[#This Row],[LayOdds]]-1)*(1+LayTable[[#This Row],[C% Lay]])))-1))+1)))-1)</f>
        <v/>
      </c>
      <c r="Q1618" s="46" t="str">
        <f>IF(LayTable[[#This Row],[Sport]]="","",LayTable[[#This Row],[BookieInnsats]]+LayTable[[#This Row],[LayLiability]])</f>
        <v/>
      </c>
      <c r="R16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8" s="47" t="str">
        <f>IF(LayTable[[#This Row],[Utfall bookie]]="","",LayTable[[#This Row],[WBABack]]+LayTable[[#This Row],[WBALay]]-LayTable[[#This Row],[Total inns]])</f>
        <v/>
      </c>
      <c r="U16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8" s="48" t="str">
        <f>IFERROR(IF(LayTable[[#This Row],[Total inns]]="","",LayTable[[#This Row],[Rback]]/LayTable[[#This Row],[Total inns]]),"")</f>
        <v/>
      </c>
      <c r="X1618" s="48" t="str">
        <f>IFERROR(IF(LayTable[[#This Row],[Total inns]]="","",LayTable[[#This Row],[Rlay]]/LayTable[[#This Row],[Total inns]]),"")</f>
        <v/>
      </c>
      <c r="Y1618" s="48" t="str">
        <f>IFERROR(LayTable[[#This Row],[Faktisk res]]/LayTable[[#This Row],[Total inns]],"")</f>
        <v/>
      </c>
      <c r="Z1618" s="47">
        <f>(LayTable[[#This Row],[BookieInnsats]]*LayTable[[#This Row],[BookieOdds]]-LayTable[[#This Row],[BookieInnsats]])*(1-LayTable[[#This Row],[C% Bookie]])</f>
        <v>0</v>
      </c>
      <c r="AA1618" s="43">
        <f>LayTable[[#This Row],[LayInnsats]]*(1-LayTable[[#This Row],[C% Lay]])</f>
        <v>0</v>
      </c>
      <c r="AB1618" s="43" t="str">
        <f>IFERROR(IF(LayTable[[#This Row],[Sport]]="",AB1617,LayTable[[#This Row],[Faktisk res]]+AB1617),"")</f>
        <v/>
      </c>
      <c r="AC1618" s="43">
        <f>(LayTable[[#This Row],[BackWin-Commission]]+LayTable[[#This Row],[BookieInnsats]])</f>
        <v>0</v>
      </c>
      <c r="AD1618" s="43" t="e">
        <f>(LayTable[[#This Row],[LayWin-Commission]])+LayTable[[#This Row],[LayLiability]]</f>
        <v>#VALUE!</v>
      </c>
      <c r="AE1618" s="43"/>
      <c r="AF1618" s="181"/>
    </row>
    <row r="1619" spans="1:32">
      <c r="A1619" s="84"/>
      <c r="B1619" s="39"/>
      <c r="C1619" s="40"/>
      <c r="D1619" s="41"/>
      <c r="E1619" s="40"/>
      <c r="F1619" s="41"/>
      <c r="G1619" s="101"/>
      <c r="H1619" s="38"/>
      <c r="I1619" s="42"/>
      <c r="J1619" s="42"/>
      <c r="K1619" s="43"/>
      <c r="L1619" s="43"/>
      <c r="M1619" s="44" t="str">
        <f>IF(LayTable[[#This Row],[Sport]]="","",LayTable[[#This Row],[LayInnsats]]*(LayTable[[#This Row],[LayOdds]]-1))</f>
        <v/>
      </c>
      <c r="N1619" s="45" t="str">
        <f>IF(LayTable[[#This Row],[Sport]]="","",1/((1/LayTable[[#This Row],[BookieOdds]])+(1/((1/((1+((LayTable[[#This Row],[LayOdds]]-1)*(1+LayTable[[#This Row],[C% Lay]])))-1))+1)))-1)</f>
        <v/>
      </c>
      <c r="Q1619" s="46" t="str">
        <f>IF(LayTable[[#This Row],[Sport]]="","",LayTable[[#This Row],[BookieInnsats]]+LayTable[[#This Row],[LayLiability]])</f>
        <v/>
      </c>
      <c r="R16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19" s="47" t="str">
        <f>IF(LayTable[[#This Row],[Utfall bookie]]="","",LayTable[[#This Row],[WBABack]]+LayTable[[#This Row],[WBALay]]-LayTable[[#This Row],[Total inns]])</f>
        <v/>
      </c>
      <c r="U16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19" s="48" t="str">
        <f>IFERROR(IF(LayTable[[#This Row],[Total inns]]="","",LayTable[[#This Row],[Rback]]/LayTable[[#This Row],[Total inns]]),"")</f>
        <v/>
      </c>
      <c r="X1619" s="48" t="str">
        <f>IFERROR(IF(LayTable[[#This Row],[Total inns]]="","",LayTable[[#This Row],[Rlay]]/LayTable[[#This Row],[Total inns]]),"")</f>
        <v/>
      </c>
      <c r="Y1619" s="48" t="str">
        <f>IFERROR(LayTable[[#This Row],[Faktisk res]]/LayTable[[#This Row],[Total inns]],"")</f>
        <v/>
      </c>
      <c r="Z1619" s="47">
        <f>(LayTable[[#This Row],[BookieInnsats]]*LayTable[[#This Row],[BookieOdds]]-LayTable[[#This Row],[BookieInnsats]])*(1-LayTable[[#This Row],[C% Bookie]])</f>
        <v>0</v>
      </c>
      <c r="AA1619" s="43">
        <f>LayTable[[#This Row],[LayInnsats]]*(1-LayTable[[#This Row],[C% Lay]])</f>
        <v>0</v>
      </c>
      <c r="AB1619" s="43" t="str">
        <f>IFERROR(IF(LayTable[[#This Row],[Sport]]="",AB1618,LayTable[[#This Row],[Faktisk res]]+AB1618),"")</f>
        <v/>
      </c>
      <c r="AC1619" s="43">
        <f>(LayTable[[#This Row],[BackWin-Commission]]+LayTable[[#This Row],[BookieInnsats]])</f>
        <v>0</v>
      </c>
      <c r="AD1619" s="43" t="e">
        <f>(LayTable[[#This Row],[LayWin-Commission]])+LayTable[[#This Row],[LayLiability]]</f>
        <v>#VALUE!</v>
      </c>
      <c r="AE1619" s="43"/>
      <c r="AF1619" s="181"/>
    </row>
    <row r="1620" spans="1:32">
      <c r="A1620" s="84"/>
      <c r="B1620" s="39"/>
      <c r="C1620" s="40"/>
      <c r="D1620" s="41"/>
      <c r="E1620" s="40"/>
      <c r="F1620" s="41"/>
      <c r="G1620" s="101"/>
      <c r="H1620" s="38"/>
      <c r="I1620" s="42"/>
      <c r="J1620" s="42"/>
      <c r="K1620" s="43"/>
      <c r="L1620" s="43"/>
      <c r="M1620" s="44" t="str">
        <f>IF(LayTable[[#This Row],[Sport]]="","",LayTable[[#This Row],[LayInnsats]]*(LayTable[[#This Row],[LayOdds]]-1))</f>
        <v/>
      </c>
      <c r="N1620" s="45" t="str">
        <f>IF(LayTable[[#This Row],[Sport]]="","",1/((1/LayTable[[#This Row],[BookieOdds]])+(1/((1/((1+((LayTable[[#This Row],[LayOdds]]-1)*(1+LayTable[[#This Row],[C% Lay]])))-1))+1)))-1)</f>
        <v/>
      </c>
      <c r="Q1620" s="46" t="str">
        <f>IF(LayTable[[#This Row],[Sport]]="","",LayTable[[#This Row],[BookieInnsats]]+LayTable[[#This Row],[LayLiability]])</f>
        <v/>
      </c>
      <c r="R16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0" s="47" t="str">
        <f>IF(LayTable[[#This Row],[Utfall bookie]]="","",LayTable[[#This Row],[WBABack]]+LayTable[[#This Row],[WBALay]]-LayTable[[#This Row],[Total inns]])</f>
        <v/>
      </c>
      <c r="U16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0" s="48" t="str">
        <f>IFERROR(IF(LayTable[[#This Row],[Total inns]]="","",LayTable[[#This Row],[Rback]]/LayTable[[#This Row],[Total inns]]),"")</f>
        <v/>
      </c>
      <c r="X1620" s="48" t="str">
        <f>IFERROR(IF(LayTable[[#This Row],[Total inns]]="","",LayTable[[#This Row],[Rlay]]/LayTable[[#This Row],[Total inns]]),"")</f>
        <v/>
      </c>
      <c r="Y1620" s="48" t="str">
        <f>IFERROR(LayTable[[#This Row],[Faktisk res]]/LayTable[[#This Row],[Total inns]],"")</f>
        <v/>
      </c>
      <c r="Z1620" s="47">
        <f>(LayTable[[#This Row],[BookieInnsats]]*LayTable[[#This Row],[BookieOdds]]-LayTable[[#This Row],[BookieInnsats]])*(1-LayTable[[#This Row],[C% Bookie]])</f>
        <v>0</v>
      </c>
      <c r="AA1620" s="43">
        <f>LayTable[[#This Row],[LayInnsats]]*(1-LayTable[[#This Row],[C% Lay]])</f>
        <v>0</v>
      </c>
      <c r="AB1620" s="43" t="str">
        <f>IFERROR(IF(LayTable[[#This Row],[Sport]]="",AB1619,LayTable[[#This Row],[Faktisk res]]+AB1619),"")</f>
        <v/>
      </c>
      <c r="AC1620" s="43">
        <f>(LayTable[[#This Row],[BackWin-Commission]]+LayTable[[#This Row],[BookieInnsats]])</f>
        <v>0</v>
      </c>
      <c r="AD1620" s="43" t="e">
        <f>(LayTable[[#This Row],[LayWin-Commission]])+LayTable[[#This Row],[LayLiability]]</f>
        <v>#VALUE!</v>
      </c>
      <c r="AE1620" s="43"/>
      <c r="AF1620" s="181"/>
    </row>
    <row r="1621" spans="1:32">
      <c r="A1621" s="84"/>
      <c r="B1621" s="39"/>
      <c r="C1621" s="40"/>
      <c r="D1621" s="41"/>
      <c r="E1621" s="40"/>
      <c r="F1621" s="41"/>
      <c r="G1621" s="101"/>
      <c r="H1621" s="38"/>
      <c r="I1621" s="42"/>
      <c r="J1621" s="42"/>
      <c r="K1621" s="43"/>
      <c r="L1621" s="43"/>
      <c r="M1621" s="44" t="str">
        <f>IF(LayTable[[#This Row],[Sport]]="","",LayTable[[#This Row],[LayInnsats]]*(LayTable[[#This Row],[LayOdds]]-1))</f>
        <v/>
      </c>
      <c r="N1621" s="45" t="str">
        <f>IF(LayTable[[#This Row],[Sport]]="","",1/((1/LayTable[[#This Row],[BookieOdds]])+(1/((1/((1+((LayTable[[#This Row],[LayOdds]]-1)*(1+LayTable[[#This Row],[C% Lay]])))-1))+1)))-1)</f>
        <v/>
      </c>
      <c r="Q1621" s="46" t="str">
        <f>IF(LayTable[[#This Row],[Sport]]="","",LayTable[[#This Row],[BookieInnsats]]+LayTable[[#This Row],[LayLiability]])</f>
        <v/>
      </c>
      <c r="R16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1" s="47" t="str">
        <f>IF(LayTable[[#This Row],[Utfall bookie]]="","",LayTable[[#This Row],[WBABack]]+LayTable[[#This Row],[WBALay]]-LayTable[[#This Row],[Total inns]])</f>
        <v/>
      </c>
      <c r="U16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1" s="48" t="str">
        <f>IFERROR(IF(LayTable[[#This Row],[Total inns]]="","",LayTable[[#This Row],[Rback]]/LayTable[[#This Row],[Total inns]]),"")</f>
        <v/>
      </c>
      <c r="X1621" s="48" t="str">
        <f>IFERROR(IF(LayTable[[#This Row],[Total inns]]="","",LayTable[[#This Row],[Rlay]]/LayTable[[#This Row],[Total inns]]),"")</f>
        <v/>
      </c>
      <c r="Y1621" s="48" t="str">
        <f>IFERROR(LayTable[[#This Row],[Faktisk res]]/LayTable[[#This Row],[Total inns]],"")</f>
        <v/>
      </c>
      <c r="Z1621" s="47">
        <f>(LayTable[[#This Row],[BookieInnsats]]*LayTable[[#This Row],[BookieOdds]]-LayTable[[#This Row],[BookieInnsats]])*(1-LayTable[[#This Row],[C% Bookie]])</f>
        <v>0</v>
      </c>
      <c r="AA1621" s="43">
        <f>LayTable[[#This Row],[LayInnsats]]*(1-LayTable[[#This Row],[C% Lay]])</f>
        <v>0</v>
      </c>
      <c r="AB1621" s="43" t="str">
        <f>IFERROR(IF(LayTable[[#This Row],[Sport]]="",AB1620,LayTable[[#This Row],[Faktisk res]]+AB1620),"")</f>
        <v/>
      </c>
      <c r="AC1621" s="43">
        <f>(LayTable[[#This Row],[BackWin-Commission]]+LayTable[[#This Row],[BookieInnsats]])</f>
        <v>0</v>
      </c>
      <c r="AD1621" s="43" t="e">
        <f>(LayTable[[#This Row],[LayWin-Commission]])+LayTable[[#This Row],[LayLiability]]</f>
        <v>#VALUE!</v>
      </c>
      <c r="AE1621" s="43"/>
      <c r="AF1621" s="181"/>
    </row>
    <row r="1622" spans="1:32">
      <c r="A1622" s="84"/>
      <c r="B1622" s="39"/>
      <c r="C1622" s="40"/>
      <c r="D1622" s="41"/>
      <c r="E1622" s="40"/>
      <c r="F1622" s="41"/>
      <c r="G1622" s="101"/>
      <c r="H1622" s="38"/>
      <c r="I1622" s="42"/>
      <c r="J1622" s="42"/>
      <c r="K1622" s="43"/>
      <c r="L1622" s="43"/>
      <c r="M1622" s="44" t="str">
        <f>IF(LayTable[[#This Row],[Sport]]="","",LayTable[[#This Row],[LayInnsats]]*(LayTable[[#This Row],[LayOdds]]-1))</f>
        <v/>
      </c>
      <c r="N1622" s="45" t="str">
        <f>IF(LayTable[[#This Row],[Sport]]="","",1/((1/LayTable[[#This Row],[BookieOdds]])+(1/((1/((1+((LayTable[[#This Row],[LayOdds]]-1)*(1+LayTable[[#This Row],[C% Lay]])))-1))+1)))-1)</f>
        <v/>
      </c>
      <c r="Q1622" s="46" t="str">
        <f>IF(LayTable[[#This Row],[Sport]]="","",LayTable[[#This Row],[BookieInnsats]]+LayTable[[#This Row],[LayLiability]])</f>
        <v/>
      </c>
      <c r="R16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2" s="47" t="str">
        <f>IF(LayTable[[#This Row],[Utfall bookie]]="","",LayTable[[#This Row],[WBABack]]+LayTable[[#This Row],[WBALay]]-LayTable[[#This Row],[Total inns]])</f>
        <v/>
      </c>
      <c r="U16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2" s="48" t="str">
        <f>IFERROR(IF(LayTable[[#This Row],[Total inns]]="","",LayTable[[#This Row],[Rback]]/LayTable[[#This Row],[Total inns]]),"")</f>
        <v/>
      </c>
      <c r="X1622" s="48" t="str">
        <f>IFERROR(IF(LayTable[[#This Row],[Total inns]]="","",LayTable[[#This Row],[Rlay]]/LayTable[[#This Row],[Total inns]]),"")</f>
        <v/>
      </c>
      <c r="Y1622" s="48" t="str">
        <f>IFERROR(LayTable[[#This Row],[Faktisk res]]/LayTable[[#This Row],[Total inns]],"")</f>
        <v/>
      </c>
      <c r="Z1622" s="47">
        <f>(LayTable[[#This Row],[BookieInnsats]]*LayTable[[#This Row],[BookieOdds]]-LayTable[[#This Row],[BookieInnsats]])*(1-LayTable[[#This Row],[C% Bookie]])</f>
        <v>0</v>
      </c>
      <c r="AA1622" s="43">
        <f>LayTable[[#This Row],[LayInnsats]]*(1-LayTable[[#This Row],[C% Lay]])</f>
        <v>0</v>
      </c>
      <c r="AB1622" s="43" t="str">
        <f>IFERROR(IF(LayTable[[#This Row],[Sport]]="",AB1621,LayTable[[#This Row],[Faktisk res]]+AB1621),"")</f>
        <v/>
      </c>
      <c r="AC1622" s="43">
        <f>(LayTable[[#This Row],[BackWin-Commission]]+LayTable[[#This Row],[BookieInnsats]])</f>
        <v>0</v>
      </c>
      <c r="AD1622" s="43" t="e">
        <f>(LayTable[[#This Row],[LayWin-Commission]])+LayTable[[#This Row],[LayLiability]]</f>
        <v>#VALUE!</v>
      </c>
      <c r="AE1622" s="43"/>
      <c r="AF1622" s="181"/>
    </row>
    <row r="1623" spans="1:32">
      <c r="A1623" s="84"/>
      <c r="B1623" s="39"/>
      <c r="C1623" s="40"/>
      <c r="D1623" s="41"/>
      <c r="E1623" s="40"/>
      <c r="F1623" s="41"/>
      <c r="G1623" s="101"/>
      <c r="H1623" s="38"/>
      <c r="I1623" s="42"/>
      <c r="J1623" s="42"/>
      <c r="K1623" s="43"/>
      <c r="L1623" s="43"/>
      <c r="M1623" s="44" t="str">
        <f>IF(LayTable[[#This Row],[Sport]]="","",LayTable[[#This Row],[LayInnsats]]*(LayTable[[#This Row],[LayOdds]]-1))</f>
        <v/>
      </c>
      <c r="N1623" s="45" t="str">
        <f>IF(LayTable[[#This Row],[Sport]]="","",1/((1/LayTable[[#This Row],[BookieOdds]])+(1/((1/((1+((LayTable[[#This Row],[LayOdds]]-1)*(1+LayTable[[#This Row],[C% Lay]])))-1))+1)))-1)</f>
        <v/>
      </c>
      <c r="Q1623" s="46" t="str">
        <f>IF(LayTable[[#This Row],[Sport]]="","",LayTable[[#This Row],[BookieInnsats]]+LayTable[[#This Row],[LayLiability]])</f>
        <v/>
      </c>
      <c r="R16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3" s="47" t="str">
        <f>IF(LayTable[[#This Row],[Utfall bookie]]="","",LayTable[[#This Row],[WBABack]]+LayTable[[#This Row],[WBALay]]-LayTable[[#This Row],[Total inns]])</f>
        <v/>
      </c>
      <c r="U16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3" s="48" t="str">
        <f>IFERROR(IF(LayTable[[#This Row],[Total inns]]="","",LayTable[[#This Row],[Rback]]/LayTable[[#This Row],[Total inns]]),"")</f>
        <v/>
      </c>
      <c r="X1623" s="48" t="str">
        <f>IFERROR(IF(LayTable[[#This Row],[Total inns]]="","",LayTable[[#This Row],[Rlay]]/LayTable[[#This Row],[Total inns]]),"")</f>
        <v/>
      </c>
      <c r="Y1623" s="48" t="str">
        <f>IFERROR(LayTable[[#This Row],[Faktisk res]]/LayTable[[#This Row],[Total inns]],"")</f>
        <v/>
      </c>
      <c r="Z1623" s="47">
        <f>(LayTable[[#This Row],[BookieInnsats]]*LayTable[[#This Row],[BookieOdds]]-LayTable[[#This Row],[BookieInnsats]])*(1-LayTable[[#This Row],[C% Bookie]])</f>
        <v>0</v>
      </c>
      <c r="AA1623" s="43">
        <f>LayTable[[#This Row],[LayInnsats]]*(1-LayTable[[#This Row],[C% Lay]])</f>
        <v>0</v>
      </c>
      <c r="AB1623" s="43" t="str">
        <f>IFERROR(IF(LayTable[[#This Row],[Sport]]="",AB1622,LayTable[[#This Row],[Faktisk res]]+AB1622),"")</f>
        <v/>
      </c>
      <c r="AC1623" s="43">
        <f>(LayTable[[#This Row],[BackWin-Commission]]+LayTable[[#This Row],[BookieInnsats]])</f>
        <v>0</v>
      </c>
      <c r="AD1623" s="43" t="e">
        <f>(LayTable[[#This Row],[LayWin-Commission]])+LayTable[[#This Row],[LayLiability]]</f>
        <v>#VALUE!</v>
      </c>
      <c r="AE1623" s="43"/>
      <c r="AF1623" s="181"/>
    </row>
    <row r="1624" spans="1:32">
      <c r="A1624" s="84"/>
      <c r="B1624" s="39"/>
      <c r="C1624" s="40"/>
      <c r="D1624" s="41"/>
      <c r="E1624" s="40"/>
      <c r="F1624" s="41"/>
      <c r="G1624" s="101"/>
      <c r="H1624" s="38"/>
      <c r="I1624" s="42"/>
      <c r="J1624" s="42"/>
      <c r="K1624" s="43"/>
      <c r="L1624" s="43"/>
      <c r="M1624" s="44" t="str">
        <f>IF(LayTable[[#This Row],[Sport]]="","",LayTable[[#This Row],[LayInnsats]]*(LayTable[[#This Row],[LayOdds]]-1))</f>
        <v/>
      </c>
      <c r="N1624" s="45" t="str">
        <f>IF(LayTable[[#This Row],[Sport]]="","",1/((1/LayTable[[#This Row],[BookieOdds]])+(1/((1/((1+((LayTable[[#This Row],[LayOdds]]-1)*(1+LayTable[[#This Row],[C% Lay]])))-1))+1)))-1)</f>
        <v/>
      </c>
      <c r="Q1624" s="46" t="str">
        <f>IF(LayTable[[#This Row],[Sport]]="","",LayTable[[#This Row],[BookieInnsats]]+LayTable[[#This Row],[LayLiability]])</f>
        <v/>
      </c>
      <c r="R16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4" s="47" t="str">
        <f>IF(LayTable[[#This Row],[Utfall bookie]]="","",LayTable[[#This Row],[WBABack]]+LayTable[[#This Row],[WBALay]]-LayTable[[#This Row],[Total inns]])</f>
        <v/>
      </c>
      <c r="U16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4" s="48" t="str">
        <f>IFERROR(IF(LayTable[[#This Row],[Total inns]]="","",LayTable[[#This Row],[Rback]]/LayTable[[#This Row],[Total inns]]),"")</f>
        <v/>
      </c>
      <c r="X1624" s="48" t="str">
        <f>IFERROR(IF(LayTable[[#This Row],[Total inns]]="","",LayTable[[#This Row],[Rlay]]/LayTable[[#This Row],[Total inns]]),"")</f>
        <v/>
      </c>
      <c r="Y1624" s="48" t="str">
        <f>IFERROR(LayTable[[#This Row],[Faktisk res]]/LayTable[[#This Row],[Total inns]],"")</f>
        <v/>
      </c>
      <c r="Z1624" s="47">
        <f>(LayTable[[#This Row],[BookieInnsats]]*LayTable[[#This Row],[BookieOdds]]-LayTable[[#This Row],[BookieInnsats]])*(1-LayTable[[#This Row],[C% Bookie]])</f>
        <v>0</v>
      </c>
      <c r="AA1624" s="43">
        <f>LayTable[[#This Row],[LayInnsats]]*(1-LayTable[[#This Row],[C% Lay]])</f>
        <v>0</v>
      </c>
      <c r="AB1624" s="43" t="str">
        <f>IFERROR(IF(LayTable[[#This Row],[Sport]]="",AB1623,LayTable[[#This Row],[Faktisk res]]+AB1623),"")</f>
        <v/>
      </c>
      <c r="AC1624" s="43">
        <f>(LayTable[[#This Row],[BackWin-Commission]]+LayTable[[#This Row],[BookieInnsats]])</f>
        <v>0</v>
      </c>
      <c r="AD1624" s="43" t="e">
        <f>(LayTable[[#This Row],[LayWin-Commission]])+LayTable[[#This Row],[LayLiability]]</f>
        <v>#VALUE!</v>
      </c>
      <c r="AE1624" s="43"/>
      <c r="AF1624" s="181"/>
    </row>
    <row r="1625" spans="1:32">
      <c r="A1625" s="84"/>
      <c r="B1625" s="39"/>
      <c r="C1625" s="40"/>
      <c r="D1625" s="41"/>
      <c r="E1625" s="40"/>
      <c r="F1625" s="41"/>
      <c r="G1625" s="101"/>
      <c r="H1625" s="38"/>
      <c r="I1625" s="42"/>
      <c r="J1625" s="42"/>
      <c r="K1625" s="43"/>
      <c r="L1625" s="43"/>
      <c r="M1625" s="44" t="str">
        <f>IF(LayTable[[#This Row],[Sport]]="","",LayTable[[#This Row],[LayInnsats]]*(LayTable[[#This Row],[LayOdds]]-1))</f>
        <v/>
      </c>
      <c r="N1625" s="45" t="str">
        <f>IF(LayTable[[#This Row],[Sport]]="","",1/((1/LayTable[[#This Row],[BookieOdds]])+(1/((1/((1+((LayTable[[#This Row],[LayOdds]]-1)*(1+LayTable[[#This Row],[C% Lay]])))-1))+1)))-1)</f>
        <v/>
      </c>
      <c r="Q1625" s="46" t="str">
        <f>IF(LayTable[[#This Row],[Sport]]="","",LayTable[[#This Row],[BookieInnsats]]+LayTable[[#This Row],[LayLiability]])</f>
        <v/>
      </c>
      <c r="R16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5" s="47" t="str">
        <f>IF(LayTable[[#This Row],[Utfall bookie]]="","",LayTable[[#This Row],[WBABack]]+LayTable[[#This Row],[WBALay]]-LayTable[[#This Row],[Total inns]])</f>
        <v/>
      </c>
      <c r="U16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5" s="48" t="str">
        <f>IFERROR(IF(LayTable[[#This Row],[Total inns]]="","",LayTable[[#This Row],[Rback]]/LayTable[[#This Row],[Total inns]]),"")</f>
        <v/>
      </c>
      <c r="X1625" s="48" t="str">
        <f>IFERROR(IF(LayTable[[#This Row],[Total inns]]="","",LayTable[[#This Row],[Rlay]]/LayTable[[#This Row],[Total inns]]),"")</f>
        <v/>
      </c>
      <c r="Y1625" s="48" t="str">
        <f>IFERROR(LayTable[[#This Row],[Faktisk res]]/LayTable[[#This Row],[Total inns]],"")</f>
        <v/>
      </c>
      <c r="Z1625" s="47">
        <f>(LayTable[[#This Row],[BookieInnsats]]*LayTable[[#This Row],[BookieOdds]]-LayTable[[#This Row],[BookieInnsats]])*(1-LayTable[[#This Row],[C% Bookie]])</f>
        <v>0</v>
      </c>
      <c r="AA1625" s="43">
        <f>LayTable[[#This Row],[LayInnsats]]*(1-LayTable[[#This Row],[C% Lay]])</f>
        <v>0</v>
      </c>
      <c r="AB1625" s="43" t="str">
        <f>IFERROR(IF(LayTable[[#This Row],[Sport]]="",AB1624,LayTable[[#This Row],[Faktisk res]]+AB1624),"")</f>
        <v/>
      </c>
      <c r="AC1625" s="43">
        <f>(LayTable[[#This Row],[BackWin-Commission]]+LayTable[[#This Row],[BookieInnsats]])</f>
        <v>0</v>
      </c>
      <c r="AD1625" s="43" t="e">
        <f>(LayTable[[#This Row],[LayWin-Commission]])+LayTable[[#This Row],[LayLiability]]</f>
        <v>#VALUE!</v>
      </c>
      <c r="AE1625" s="43"/>
      <c r="AF1625" s="181"/>
    </row>
    <row r="1626" spans="1:32">
      <c r="A1626" s="84"/>
      <c r="B1626" s="39"/>
      <c r="C1626" s="40"/>
      <c r="D1626" s="41"/>
      <c r="E1626" s="40"/>
      <c r="F1626" s="41"/>
      <c r="G1626" s="101"/>
      <c r="H1626" s="38"/>
      <c r="I1626" s="42"/>
      <c r="J1626" s="42"/>
      <c r="K1626" s="43"/>
      <c r="L1626" s="43"/>
      <c r="M1626" s="44" t="str">
        <f>IF(LayTable[[#This Row],[Sport]]="","",LayTable[[#This Row],[LayInnsats]]*(LayTable[[#This Row],[LayOdds]]-1))</f>
        <v/>
      </c>
      <c r="N1626" s="45" t="str">
        <f>IF(LayTable[[#This Row],[Sport]]="","",1/((1/LayTable[[#This Row],[BookieOdds]])+(1/((1/((1+((LayTable[[#This Row],[LayOdds]]-1)*(1+LayTable[[#This Row],[C% Lay]])))-1))+1)))-1)</f>
        <v/>
      </c>
      <c r="Q1626" s="46" t="str">
        <f>IF(LayTable[[#This Row],[Sport]]="","",LayTable[[#This Row],[BookieInnsats]]+LayTable[[#This Row],[LayLiability]])</f>
        <v/>
      </c>
      <c r="R16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6" s="47" t="str">
        <f>IF(LayTable[[#This Row],[Utfall bookie]]="","",LayTable[[#This Row],[WBABack]]+LayTable[[#This Row],[WBALay]]-LayTable[[#This Row],[Total inns]])</f>
        <v/>
      </c>
      <c r="U16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6" s="48" t="str">
        <f>IFERROR(IF(LayTable[[#This Row],[Total inns]]="","",LayTable[[#This Row],[Rback]]/LayTable[[#This Row],[Total inns]]),"")</f>
        <v/>
      </c>
      <c r="X1626" s="48" t="str">
        <f>IFERROR(IF(LayTable[[#This Row],[Total inns]]="","",LayTable[[#This Row],[Rlay]]/LayTable[[#This Row],[Total inns]]),"")</f>
        <v/>
      </c>
      <c r="Y1626" s="48" t="str">
        <f>IFERROR(LayTable[[#This Row],[Faktisk res]]/LayTable[[#This Row],[Total inns]],"")</f>
        <v/>
      </c>
      <c r="Z1626" s="47">
        <f>(LayTable[[#This Row],[BookieInnsats]]*LayTable[[#This Row],[BookieOdds]]-LayTable[[#This Row],[BookieInnsats]])*(1-LayTable[[#This Row],[C% Bookie]])</f>
        <v>0</v>
      </c>
      <c r="AA1626" s="43">
        <f>LayTable[[#This Row],[LayInnsats]]*(1-LayTable[[#This Row],[C% Lay]])</f>
        <v>0</v>
      </c>
      <c r="AB1626" s="43" t="str">
        <f>IFERROR(IF(LayTable[[#This Row],[Sport]]="",AB1625,LayTable[[#This Row],[Faktisk res]]+AB1625),"")</f>
        <v/>
      </c>
      <c r="AC1626" s="43">
        <f>(LayTable[[#This Row],[BackWin-Commission]]+LayTable[[#This Row],[BookieInnsats]])</f>
        <v>0</v>
      </c>
      <c r="AD1626" s="43" t="e">
        <f>(LayTable[[#This Row],[LayWin-Commission]])+LayTable[[#This Row],[LayLiability]]</f>
        <v>#VALUE!</v>
      </c>
      <c r="AE1626" s="43"/>
      <c r="AF1626" s="181"/>
    </row>
    <row r="1627" spans="1:32">
      <c r="A1627" s="84"/>
      <c r="B1627" s="39"/>
      <c r="C1627" s="40"/>
      <c r="D1627" s="41"/>
      <c r="E1627" s="40"/>
      <c r="F1627" s="41"/>
      <c r="G1627" s="101"/>
      <c r="H1627" s="38"/>
      <c r="I1627" s="42"/>
      <c r="J1627" s="42"/>
      <c r="K1627" s="43"/>
      <c r="L1627" s="43"/>
      <c r="M1627" s="44" t="str">
        <f>IF(LayTable[[#This Row],[Sport]]="","",LayTable[[#This Row],[LayInnsats]]*(LayTable[[#This Row],[LayOdds]]-1))</f>
        <v/>
      </c>
      <c r="N1627" s="45" t="str">
        <f>IF(LayTable[[#This Row],[Sport]]="","",1/((1/LayTable[[#This Row],[BookieOdds]])+(1/((1/((1+((LayTable[[#This Row],[LayOdds]]-1)*(1+LayTable[[#This Row],[C% Lay]])))-1))+1)))-1)</f>
        <v/>
      </c>
      <c r="Q1627" s="46" t="str">
        <f>IF(LayTable[[#This Row],[Sport]]="","",LayTable[[#This Row],[BookieInnsats]]+LayTable[[#This Row],[LayLiability]])</f>
        <v/>
      </c>
      <c r="R16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7" s="47" t="str">
        <f>IF(LayTable[[#This Row],[Utfall bookie]]="","",LayTable[[#This Row],[WBABack]]+LayTable[[#This Row],[WBALay]]-LayTable[[#This Row],[Total inns]])</f>
        <v/>
      </c>
      <c r="U16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7" s="48" t="str">
        <f>IFERROR(IF(LayTable[[#This Row],[Total inns]]="","",LayTable[[#This Row],[Rback]]/LayTable[[#This Row],[Total inns]]),"")</f>
        <v/>
      </c>
      <c r="X1627" s="48" t="str">
        <f>IFERROR(IF(LayTable[[#This Row],[Total inns]]="","",LayTable[[#This Row],[Rlay]]/LayTable[[#This Row],[Total inns]]),"")</f>
        <v/>
      </c>
      <c r="Y1627" s="48" t="str">
        <f>IFERROR(LayTable[[#This Row],[Faktisk res]]/LayTable[[#This Row],[Total inns]],"")</f>
        <v/>
      </c>
      <c r="Z1627" s="47">
        <f>(LayTable[[#This Row],[BookieInnsats]]*LayTable[[#This Row],[BookieOdds]]-LayTable[[#This Row],[BookieInnsats]])*(1-LayTable[[#This Row],[C% Bookie]])</f>
        <v>0</v>
      </c>
      <c r="AA1627" s="43">
        <f>LayTable[[#This Row],[LayInnsats]]*(1-LayTable[[#This Row],[C% Lay]])</f>
        <v>0</v>
      </c>
      <c r="AB1627" s="43" t="str">
        <f>IFERROR(IF(LayTable[[#This Row],[Sport]]="",AB1626,LayTable[[#This Row],[Faktisk res]]+AB1626),"")</f>
        <v/>
      </c>
      <c r="AC1627" s="43">
        <f>(LayTable[[#This Row],[BackWin-Commission]]+LayTable[[#This Row],[BookieInnsats]])</f>
        <v>0</v>
      </c>
      <c r="AD1627" s="43" t="e">
        <f>(LayTable[[#This Row],[LayWin-Commission]])+LayTable[[#This Row],[LayLiability]]</f>
        <v>#VALUE!</v>
      </c>
      <c r="AE1627" s="43"/>
      <c r="AF1627" s="181"/>
    </row>
    <row r="1628" spans="1:32">
      <c r="A1628" s="84"/>
      <c r="B1628" s="39"/>
      <c r="C1628" s="40"/>
      <c r="D1628" s="41"/>
      <c r="E1628" s="40"/>
      <c r="F1628" s="41"/>
      <c r="G1628" s="101"/>
      <c r="H1628" s="38"/>
      <c r="I1628" s="42"/>
      <c r="J1628" s="42"/>
      <c r="K1628" s="43"/>
      <c r="L1628" s="43"/>
      <c r="M1628" s="44" t="str">
        <f>IF(LayTable[[#This Row],[Sport]]="","",LayTable[[#This Row],[LayInnsats]]*(LayTable[[#This Row],[LayOdds]]-1))</f>
        <v/>
      </c>
      <c r="N1628" s="45" t="str">
        <f>IF(LayTable[[#This Row],[Sport]]="","",1/((1/LayTable[[#This Row],[BookieOdds]])+(1/((1/((1+((LayTable[[#This Row],[LayOdds]]-1)*(1+LayTable[[#This Row],[C% Lay]])))-1))+1)))-1)</f>
        <v/>
      </c>
      <c r="Q1628" s="46" t="str">
        <f>IF(LayTable[[#This Row],[Sport]]="","",LayTable[[#This Row],[BookieInnsats]]+LayTable[[#This Row],[LayLiability]])</f>
        <v/>
      </c>
      <c r="R16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8" s="47" t="str">
        <f>IF(LayTable[[#This Row],[Utfall bookie]]="","",LayTable[[#This Row],[WBABack]]+LayTable[[#This Row],[WBALay]]-LayTable[[#This Row],[Total inns]])</f>
        <v/>
      </c>
      <c r="U16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8" s="48" t="str">
        <f>IFERROR(IF(LayTable[[#This Row],[Total inns]]="","",LayTable[[#This Row],[Rback]]/LayTable[[#This Row],[Total inns]]),"")</f>
        <v/>
      </c>
      <c r="X1628" s="48" t="str">
        <f>IFERROR(IF(LayTable[[#This Row],[Total inns]]="","",LayTable[[#This Row],[Rlay]]/LayTable[[#This Row],[Total inns]]),"")</f>
        <v/>
      </c>
      <c r="Y1628" s="48" t="str">
        <f>IFERROR(LayTable[[#This Row],[Faktisk res]]/LayTable[[#This Row],[Total inns]],"")</f>
        <v/>
      </c>
      <c r="Z1628" s="47">
        <f>(LayTable[[#This Row],[BookieInnsats]]*LayTable[[#This Row],[BookieOdds]]-LayTable[[#This Row],[BookieInnsats]])*(1-LayTable[[#This Row],[C% Bookie]])</f>
        <v>0</v>
      </c>
      <c r="AA1628" s="43">
        <f>LayTable[[#This Row],[LayInnsats]]*(1-LayTable[[#This Row],[C% Lay]])</f>
        <v>0</v>
      </c>
      <c r="AB1628" s="43" t="str">
        <f>IFERROR(IF(LayTable[[#This Row],[Sport]]="",AB1627,LayTable[[#This Row],[Faktisk res]]+AB1627),"")</f>
        <v/>
      </c>
      <c r="AC1628" s="43">
        <f>(LayTable[[#This Row],[BackWin-Commission]]+LayTable[[#This Row],[BookieInnsats]])</f>
        <v>0</v>
      </c>
      <c r="AD1628" s="43" t="e">
        <f>(LayTable[[#This Row],[LayWin-Commission]])+LayTable[[#This Row],[LayLiability]]</f>
        <v>#VALUE!</v>
      </c>
      <c r="AE1628" s="43"/>
      <c r="AF1628" s="181"/>
    </row>
    <row r="1629" spans="1:32">
      <c r="A1629" s="84"/>
      <c r="B1629" s="39"/>
      <c r="C1629" s="40"/>
      <c r="D1629" s="41"/>
      <c r="E1629" s="40"/>
      <c r="F1629" s="41"/>
      <c r="G1629" s="101"/>
      <c r="H1629" s="38"/>
      <c r="I1629" s="42"/>
      <c r="J1629" s="42"/>
      <c r="K1629" s="43"/>
      <c r="L1629" s="43"/>
      <c r="M1629" s="44" t="str">
        <f>IF(LayTable[[#This Row],[Sport]]="","",LayTable[[#This Row],[LayInnsats]]*(LayTable[[#This Row],[LayOdds]]-1))</f>
        <v/>
      </c>
      <c r="N1629" s="45" t="str">
        <f>IF(LayTable[[#This Row],[Sport]]="","",1/((1/LayTable[[#This Row],[BookieOdds]])+(1/((1/((1+((LayTable[[#This Row],[LayOdds]]-1)*(1+LayTable[[#This Row],[C% Lay]])))-1))+1)))-1)</f>
        <v/>
      </c>
      <c r="Q1629" s="46" t="str">
        <f>IF(LayTable[[#This Row],[Sport]]="","",LayTable[[#This Row],[BookieInnsats]]+LayTable[[#This Row],[LayLiability]])</f>
        <v/>
      </c>
      <c r="R16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29" s="47" t="str">
        <f>IF(LayTable[[#This Row],[Utfall bookie]]="","",LayTable[[#This Row],[WBABack]]+LayTable[[#This Row],[WBALay]]-LayTable[[#This Row],[Total inns]])</f>
        <v/>
      </c>
      <c r="U16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29" s="48" t="str">
        <f>IFERROR(IF(LayTable[[#This Row],[Total inns]]="","",LayTable[[#This Row],[Rback]]/LayTable[[#This Row],[Total inns]]),"")</f>
        <v/>
      </c>
      <c r="X1629" s="48" t="str">
        <f>IFERROR(IF(LayTable[[#This Row],[Total inns]]="","",LayTable[[#This Row],[Rlay]]/LayTable[[#This Row],[Total inns]]),"")</f>
        <v/>
      </c>
      <c r="Y1629" s="48" t="str">
        <f>IFERROR(LayTable[[#This Row],[Faktisk res]]/LayTable[[#This Row],[Total inns]],"")</f>
        <v/>
      </c>
      <c r="Z1629" s="47">
        <f>(LayTable[[#This Row],[BookieInnsats]]*LayTable[[#This Row],[BookieOdds]]-LayTable[[#This Row],[BookieInnsats]])*(1-LayTable[[#This Row],[C% Bookie]])</f>
        <v>0</v>
      </c>
      <c r="AA1629" s="43">
        <f>LayTable[[#This Row],[LayInnsats]]*(1-LayTable[[#This Row],[C% Lay]])</f>
        <v>0</v>
      </c>
      <c r="AB1629" s="43" t="str">
        <f>IFERROR(IF(LayTable[[#This Row],[Sport]]="",AB1628,LayTable[[#This Row],[Faktisk res]]+AB1628),"")</f>
        <v/>
      </c>
      <c r="AC1629" s="43">
        <f>(LayTable[[#This Row],[BackWin-Commission]]+LayTable[[#This Row],[BookieInnsats]])</f>
        <v>0</v>
      </c>
      <c r="AD1629" s="43" t="e">
        <f>(LayTable[[#This Row],[LayWin-Commission]])+LayTable[[#This Row],[LayLiability]]</f>
        <v>#VALUE!</v>
      </c>
      <c r="AE1629" s="43"/>
      <c r="AF1629" s="181"/>
    </row>
    <row r="1630" spans="1:32">
      <c r="A1630" s="84"/>
      <c r="B1630" s="39"/>
      <c r="C1630" s="40"/>
      <c r="D1630" s="41"/>
      <c r="E1630" s="40"/>
      <c r="F1630" s="41"/>
      <c r="G1630" s="101"/>
      <c r="H1630" s="38"/>
      <c r="I1630" s="42"/>
      <c r="J1630" s="42"/>
      <c r="K1630" s="43"/>
      <c r="L1630" s="43"/>
      <c r="M1630" s="44" t="str">
        <f>IF(LayTable[[#This Row],[Sport]]="","",LayTable[[#This Row],[LayInnsats]]*(LayTable[[#This Row],[LayOdds]]-1))</f>
        <v/>
      </c>
      <c r="N1630" s="45" t="str">
        <f>IF(LayTable[[#This Row],[Sport]]="","",1/((1/LayTable[[#This Row],[BookieOdds]])+(1/((1/((1+((LayTable[[#This Row],[LayOdds]]-1)*(1+LayTable[[#This Row],[C% Lay]])))-1))+1)))-1)</f>
        <v/>
      </c>
      <c r="Q1630" s="46" t="str">
        <f>IF(LayTable[[#This Row],[Sport]]="","",LayTable[[#This Row],[BookieInnsats]]+LayTable[[#This Row],[LayLiability]])</f>
        <v/>
      </c>
      <c r="R16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0" s="47" t="str">
        <f>IF(LayTable[[#This Row],[Utfall bookie]]="","",LayTable[[#This Row],[WBABack]]+LayTable[[#This Row],[WBALay]]-LayTable[[#This Row],[Total inns]])</f>
        <v/>
      </c>
      <c r="U16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0" s="48" t="str">
        <f>IFERROR(IF(LayTable[[#This Row],[Total inns]]="","",LayTable[[#This Row],[Rback]]/LayTable[[#This Row],[Total inns]]),"")</f>
        <v/>
      </c>
      <c r="X1630" s="48" t="str">
        <f>IFERROR(IF(LayTable[[#This Row],[Total inns]]="","",LayTable[[#This Row],[Rlay]]/LayTable[[#This Row],[Total inns]]),"")</f>
        <v/>
      </c>
      <c r="Y1630" s="48" t="str">
        <f>IFERROR(LayTable[[#This Row],[Faktisk res]]/LayTable[[#This Row],[Total inns]],"")</f>
        <v/>
      </c>
      <c r="Z1630" s="47">
        <f>(LayTable[[#This Row],[BookieInnsats]]*LayTable[[#This Row],[BookieOdds]]-LayTable[[#This Row],[BookieInnsats]])*(1-LayTable[[#This Row],[C% Bookie]])</f>
        <v>0</v>
      </c>
      <c r="AA1630" s="43">
        <f>LayTable[[#This Row],[LayInnsats]]*(1-LayTable[[#This Row],[C% Lay]])</f>
        <v>0</v>
      </c>
      <c r="AB1630" s="43" t="str">
        <f>IFERROR(IF(LayTable[[#This Row],[Sport]]="",AB1629,LayTable[[#This Row],[Faktisk res]]+AB1629),"")</f>
        <v/>
      </c>
      <c r="AC1630" s="43">
        <f>(LayTable[[#This Row],[BackWin-Commission]]+LayTable[[#This Row],[BookieInnsats]])</f>
        <v>0</v>
      </c>
      <c r="AD1630" s="43" t="e">
        <f>(LayTable[[#This Row],[LayWin-Commission]])+LayTable[[#This Row],[LayLiability]]</f>
        <v>#VALUE!</v>
      </c>
      <c r="AE1630" s="43"/>
      <c r="AF1630" s="181"/>
    </row>
    <row r="1631" spans="1:32">
      <c r="A1631" s="84"/>
      <c r="B1631" s="39"/>
      <c r="C1631" s="40"/>
      <c r="D1631" s="41"/>
      <c r="E1631" s="40"/>
      <c r="F1631" s="41"/>
      <c r="G1631" s="101"/>
      <c r="H1631" s="38"/>
      <c r="I1631" s="42"/>
      <c r="J1631" s="42"/>
      <c r="K1631" s="43"/>
      <c r="L1631" s="43"/>
      <c r="M1631" s="44" t="str">
        <f>IF(LayTable[[#This Row],[Sport]]="","",LayTable[[#This Row],[LayInnsats]]*(LayTable[[#This Row],[LayOdds]]-1))</f>
        <v/>
      </c>
      <c r="N1631" s="45" t="str">
        <f>IF(LayTable[[#This Row],[Sport]]="","",1/((1/LayTable[[#This Row],[BookieOdds]])+(1/((1/((1+((LayTable[[#This Row],[LayOdds]]-1)*(1+LayTable[[#This Row],[C% Lay]])))-1))+1)))-1)</f>
        <v/>
      </c>
      <c r="Q1631" s="46" t="str">
        <f>IF(LayTable[[#This Row],[Sport]]="","",LayTable[[#This Row],[BookieInnsats]]+LayTable[[#This Row],[LayLiability]])</f>
        <v/>
      </c>
      <c r="R16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1" s="47" t="str">
        <f>IF(LayTable[[#This Row],[Utfall bookie]]="","",LayTable[[#This Row],[WBABack]]+LayTable[[#This Row],[WBALay]]-LayTable[[#This Row],[Total inns]])</f>
        <v/>
      </c>
      <c r="U16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1" s="48" t="str">
        <f>IFERROR(IF(LayTable[[#This Row],[Total inns]]="","",LayTable[[#This Row],[Rback]]/LayTable[[#This Row],[Total inns]]),"")</f>
        <v/>
      </c>
      <c r="X1631" s="48" t="str">
        <f>IFERROR(IF(LayTable[[#This Row],[Total inns]]="","",LayTable[[#This Row],[Rlay]]/LayTable[[#This Row],[Total inns]]),"")</f>
        <v/>
      </c>
      <c r="Y1631" s="48" t="str">
        <f>IFERROR(LayTable[[#This Row],[Faktisk res]]/LayTable[[#This Row],[Total inns]],"")</f>
        <v/>
      </c>
      <c r="Z1631" s="47">
        <f>(LayTable[[#This Row],[BookieInnsats]]*LayTable[[#This Row],[BookieOdds]]-LayTable[[#This Row],[BookieInnsats]])*(1-LayTable[[#This Row],[C% Bookie]])</f>
        <v>0</v>
      </c>
      <c r="AA1631" s="43">
        <f>LayTable[[#This Row],[LayInnsats]]*(1-LayTable[[#This Row],[C% Lay]])</f>
        <v>0</v>
      </c>
      <c r="AB1631" s="43" t="str">
        <f>IFERROR(IF(LayTable[[#This Row],[Sport]]="",AB1630,LayTable[[#This Row],[Faktisk res]]+AB1630),"")</f>
        <v/>
      </c>
      <c r="AC1631" s="43">
        <f>(LayTable[[#This Row],[BackWin-Commission]]+LayTable[[#This Row],[BookieInnsats]])</f>
        <v>0</v>
      </c>
      <c r="AD1631" s="43" t="e">
        <f>(LayTable[[#This Row],[LayWin-Commission]])+LayTable[[#This Row],[LayLiability]]</f>
        <v>#VALUE!</v>
      </c>
      <c r="AE1631" s="43"/>
      <c r="AF1631" s="181"/>
    </row>
    <row r="1632" spans="1:32">
      <c r="A1632" s="84"/>
      <c r="B1632" s="39"/>
      <c r="C1632" s="40"/>
      <c r="D1632" s="41"/>
      <c r="E1632" s="40"/>
      <c r="F1632" s="41"/>
      <c r="G1632" s="101"/>
      <c r="H1632" s="38"/>
      <c r="I1632" s="42"/>
      <c r="J1632" s="42"/>
      <c r="K1632" s="43"/>
      <c r="L1632" s="43"/>
      <c r="M1632" s="44" t="str">
        <f>IF(LayTable[[#This Row],[Sport]]="","",LayTable[[#This Row],[LayInnsats]]*(LayTable[[#This Row],[LayOdds]]-1))</f>
        <v/>
      </c>
      <c r="N1632" s="45" t="str">
        <f>IF(LayTable[[#This Row],[Sport]]="","",1/((1/LayTable[[#This Row],[BookieOdds]])+(1/((1/((1+((LayTable[[#This Row],[LayOdds]]-1)*(1+LayTable[[#This Row],[C% Lay]])))-1))+1)))-1)</f>
        <v/>
      </c>
      <c r="Q1632" s="46" t="str">
        <f>IF(LayTable[[#This Row],[Sport]]="","",LayTable[[#This Row],[BookieInnsats]]+LayTable[[#This Row],[LayLiability]])</f>
        <v/>
      </c>
      <c r="R16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2" s="47" t="str">
        <f>IF(LayTable[[#This Row],[Utfall bookie]]="","",LayTable[[#This Row],[WBABack]]+LayTable[[#This Row],[WBALay]]-LayTable[[#This Row],[Total inns]])</f>
        <v/>
      </c>
      <c r="U16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2" s="48" t="str">
        <f>IFERROR(IF(LayTable[[#This Row],[Total inns]]="","",LayTable[[#This Row],[Rback]]/LayTable[[#This Row],[Total inns]]),"")</f>
        <v/>
      </c>
      <c r="X1632" s="48" t="str">
        <f>IFERROR(IF(LayTable[[#This Row],[Total inns]]="","",LayTable[[#This Row],[Rlay]]/LayTable[[#This Row],[Total inns]]),"")</f>
        <v/>
      </c>
      <c r="Y1632" s="48" t="str">
        <f>IFERROR(LayTable[[#This Row],[Faktisk res]]/LayTable[[#This Row],[Total inns]],"")</f>
        <v/>
      </c>
      <c r="Z1632" s="47">
        <f>(LayTable[[#This Row],[BookieInnsats]]*LayTable[[#This Row],[BookieOdds]]-LayTable[[#This Row],[BookieInnsats]])*(1-LayTable[[#This Row],[C% Bookie]])</f>
        <v>0</v>
      </c>
      <c r="AA1632" s="43">
        <f>LayTable[[#This Row],[LayInnsats]]*(1-LayTable[[#This Row],[C% Lay]])</f>
        <v>0</v>
      </c>
      <c r="AB1632" s="43" t="str">
        <f>IFERROR(IF(LayTable[[#This Row],[Sport]]="",AB1631,LayTable[[#This Row],[Faktisk res]]+AB1631),"")</f>
        <v/>
      </c>
      <c r="AC1632" s="43">
        <f>(LayTable[[#This Row],[BackWin-Commission]]+LayTable[[#This Row],[BookieInnsats]])</f>
        <v>0</v>
      </c>
      <c r="AD1632" s="43" t="e">
        <f>(LayTable[[#This Row],[LayWin-Commission]])+LayTable[[#This Row],[LayLiability]]</f>
        <v>#VALUE!</v>
      </c>
      <c r="AE1632" s="43"/>
      <c r="AF1632" s="181"/>
    </row>
    <row r="1633" spans="1:32">
      <c r="A1633" s="84"/>
      <c r="B1633" s="39"/>
      <c r="C1633" s="40"/>
      <c r="D1633" s="41"/>
      <c r="E1633" s="40"/>
      <c r="F1633" s="41"/>
      <c r="G1633" s="101"/>
      <c r="H1633" s="38"/>
      <c r="I1633" s="42"/>
      <c r="J1633" s="42"/>
      <c r="K1633" s="43"/>
      <c r="L1633" s="43"/>
      <c r="M1633" s="44" t="str">
        <f>IF(LayTable[[#This Row],[Sport]]="","",LayTable[[#This Row],[LayInnsats]]*(LayTable[[#This Row],[LayOdds]]-1))</f>
        <v/>
      </c>
      <c r="N1633" s="45" t="str">
        <f>IF(LayTable[[#This Row],[Sport]]="","",1/((1/LayTable[[#This Row],[BookieOdds]])+(1/((1/((1+((LayTable[[#This Row],[LayOdds]]-1)*(1+LayTable[[#This Row],[C% Lay]])))-1))+1)))-1)</f>
        <v/>
      </c>
      <c r="Q1633" s="46" t="str">
        <f>IF(LayTable[[#This Row],[Sport]]="","",LayTable[[#This Row],[BookieInnsats]]+LayTable[[#This Row],[LayLiability]])</f>
        <v/>
      </c>
      <c r="R16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3" s="47" t="str">
        <f>IF(LayTable[[#This Row],[Utfall bookie]]="","",LayTable[[#This Row],[WBABack]]+LayTable[[#This Row],[WBALay]]-LayTable[[#This Row],[Total inns]])</f>
        <v/>
      </c>
      <c r="U16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3" s="48" t="str">
        <f>IFERROR(IF(LayTable[[#This Row],[Total inns]]="","",LayTable[[#This Row],[Rback]]/LayTable[[#This Row],[Total inns]]),"")</f>
        <v/>
      </c>
      <c r="X1633" s="48" t="str">
        <f>IFERROR(IF(LayTable[[#This Row],[Total inns]]="","",LayTable[[#This Row],[Rlay]]/LayTable[[#This Row],[Total inns]]),"")</f>
        <v/>
      </c>
      <c r="Y1633" s="48" t="str">
        <f>IFERROR(LayTable[[#This Row],[Faktisk res]]/LayTable[[#This Row],[Total inns]],"")</f>
        <v/>
      </c>
      <c r="Z1633" s="47">
        <f>(LayTable[[#This Row],[BookieInnsats]]*LayTable[[#This Row],[BookieOdds]]-LayTable[[#This Row],[BookieInnsats]])*(1-LayTable[[#This Row],[C% Bookie]])</f>
        <v>0</v>
      </c>
      <c r="AA1633" s="43">
        <f>LayTable[[#This Row],[LayInnsats]]*(1-LayTable[[#This Row],[C% Lay]])</f>
        <v>0</v>
      </c>
      <c r="AB1633" s="43" t="str">
        <f>IFERROR(IF(LayTable[[#This Row],[Sport]]="",AB1632,LayTable[[#This Row],[Faktisk res]]+AB1632),"")</f>
        <v/>
      </c>
      <c r="AC1633" s="43">
        <f>(LayTable[[#This Row],[BackWin-Commission]]+LayTable[[#This Row],[BookieInnsats]])</f>
        <v>0</v>
      </c>
      <c r="AD1633" s="43" t="e">
        <f>(LayTable[[#This Row],[LayWin-Commission]])+LayTable[[#This Row],[LayLiability]]</f>
        <v>#VALUE!</v>
      </c>
      <c r="AE1633" s="43"/>
      <c r="AF1633" s="181"/>
    </row>
    <row r="1634" spans="1:32">
      <c r="A1634" s="84"/>
      <c r="B1634" s="39"/>
      <c r="C1634" s="40"/>
      <c r="D1634" s="41"/>
      <c r="E1634" s="40"/>
      <c r="F1634" s="41"/>
      <c r="G1634" s="101"/>
      <c r="H1634" s="38"/>
      <c r="I1634" s="42"/>
      <c r="J1634" s="42"/>
      <c r="K1634" s="43"/>
      <c r="L1634" s="43"/>
      <c r="M1634" s="44" t="str">
        <f>IF(LayTable[[#This Row],[Sport]]="","",LayTable[[#This Row],[LayInnsats]]*(LayTable[[#This Row],[LayOdds]]-1))</f>
        <v/>
      </c>
      <c r="N1634" s="45" t="str">
        <f>IF(LayTable[[#This Row],[Sport]]="","",1/((1/LayTable[[#This Row],[BookieOdds]])+(1/((1/((1+((LayTable[[#This Row],[LayOdds]]-1)*(1+LayTable[[#This Row],[C% Lay]])))-1))+1)))-1)</f>
        <v/>
      </c>
      <c r="Q1634" s="46" t="str">
        <f>IF(LayTable[[#This Row],[Sport]]="","",LayTable[[#This Row],[BookieInnsats]]+LayTable[[#This Row],[LayLiability]])</f>
        <v/>
      </c>
      <c r="R16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4" s="47" t="str">
        <f>IF(LayTable[[#This Row],[Utfall bookie]]="","",LayTable[[#This Row],[WBABack]]+LayTable[[#This Row],[WBALay]]-LayTable[[#This Row],[Total inns]])</f>
        <v/>
      </c>
      <c r="U16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4" s="48" t="str">
        <f>IFERROR(IF(LayTable[[#This Row],[Total inns]]="","",LayTable[[#This Row],[Rback]]/LayTable[[#This Row],[Total inns]]),"")</f>
        <v/>
      </c>
      <c r="X1634" s="48" t="str">
        <f>IFERROR(IF(LayTable[[#This Row],[Total inns]]="","",LayTable[[#This Row],[Rlay]]/LayTable[[#This Row],[Total inns]]),"")</f>
        <v/>
      </c>
      <c r="Y1634" s="48" t="str">
        <f>IFERROR(LayTable[[#This Row],[Faktisk res]]/LayTable[[#This Row],[Total inns]],"")</f>
        <v/>
      </c>
      <c r="Z1634" s="47">
        <f>(LayTable[[#This Row],[BookieInnsats]]*LayTable[[#This Row],[BookieOdds]]-LayTable[[#This Row],[BookieInnsats]])*(1-LayTable[[#This Row],[C% Bookie]])</f>
        <v>0</v>
      </c>
      <c r="AA1634" s="43">
        <f>LayTable[[#This Row],[LayInnsats]]*(1-LayTable[[#This Row],[C% Lay]])</f>
        <v>0</v>
      </c>
      <c r="AB1634" s="43" t="str">
        <f>IFERROR(IF(LayTable[[#This Row],[Sport]]="",AB1633,LayTable[[#This Row],[Faktisk res]]+AB1633),"")</f>
        <v/>
      </c>
      <c r="AC1634" s="43">
        <f>(LayTable[[#This Row],[BackWin-Commission]]+LayTable[[#This Row],[BookieInnsats]])</f>
        <v>0</v>
      </c>
      <c r="AD1634" s="43" t="e">
        <f>(LayTable[[#This Row],[LayWin-Commission]])+LayTable[[#This Row],[LayLiability]]</f>
        <v>#VALUE!</v>
      </c>
      <c r="AE1634" s="43"/>
      <c r="AF1634" s="181"/>
    </row>
    <row r="1635" spans="1:32">
      <c r="A1635" s="84"/>
      <c r="B1635" s="39"/>
      <c r="C1635" s="40"/>
      <c r="D1635" s="41"/>
      <c r="E1635" s="40"/>
      <c r="F1635" s="41"/>
      <c r="G1635" s="101"/>
      <c r="H1635" s="38"/>
      <c r="I1635" s="42"/>
      <c r="J1635" s="42"/>
      <c r="K1635" s="43"/>
      <c r="L1635" s="43"/>
      <c r="M1635" s="44" t="str">
        <f>IF(LayTable[[#This Row],[Sport]]="","",LayTable[[#This Row],[LayInnsats]]*(LayTable[[#This Row],[LayOdds]]-1))</f>
        <v/>
      </c>
      <c r="N1635" s="45" t="str">
        <f>IF(LayTable[[#This Row],[Sport]]="","",1/((1/LayTable[[#This Row],[BookieOdds]])+(1/((1/((1+((LayTable[[#This Row],[LayOdds]]-1)*(1+LayTable[[#This Row],[C% Lay]])))-1))+1)))-1)</f>
        <v/>
      </c>
      <c r="Q1635" s="46" t="str">
        <f>IF(LayTable[[#This Row],[Sport]]="","",LayTable[[#This Row],[BookieInnsats]]+LayTable[[#This Row],[LayLiability]])</f>
        <v/>
      </c>
      <c r="R16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5" s="47" t="str">
        <f>IF(LayTable[[#This Row],[Utfall bookie]]="","",LayTable[[#This Row],[WBABack]]+LayTable[[#This Row],[WBALay]]-LayTable[[#This Row],[Total inns]])</f>
        <v/>
      </c>
      <c r="U16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5" s="48" t="str">
        <f>IFERROR(IF(LayTable[[#This Row],[Total inns]]="","",LayTable[[#This Row],[Rback]]/LayTable[[#This Row],[Total inns]]),"")</f>
        <v/>
      </c>
      <c r="X1635" s="48" t="str">
        <f>IFERROR(IF(LayTable[[#This Row],[Total inns]]="","",LayTable[[#This Row],[Rlay]]/LayTable[[#This Row],[Total inns]]),"")</f>
        <v/>
      </c>
      <c r="Y1635" s="48" t="str">
        <f>IFERROR(LayTable[[#This Row],[Faktisk res]]/LayTable[[#This Row],[Total inns]],"")</f>
        <v/>
      </c>
      <c r="Z1635" s="47">
        <f>(LayTable[[#This Row],[BookieInnsats]]*LayTable[[#This Row],[BookieOdds]]-LayTable[[#This Row],[BookieInnsats]])*(1-LayTable[[#This Row],[C% Bookie]])</f>
        <v>0</v>
      </c>
      <c r="AA1635" s="43">
        <f>LayTable[[#This Row],[LayInnsats]]*(1-LayTable[[#This Row],[C% Lay]])</f>
        <v>0</v>
      </c>
      <c r="AB1635" s="43" t="str">
        <f>IFERROR(IF(LayTable[[#This Row],[Sport]]="",AB1634,LayTable[[#This Row],[Faktisk res]]+AB1634),"")</f>
        <v/>
      </c>
      <c r="AC1635" s="43">
        <f>(LayTable[[#This Row],[BackWin-Commission]]+LayTable[[#This Row],[BookieInnsats]])</f>
        <v>0</v>
      </c>
      <c r="AD1635" s="43" t="e">
        <f>(LayTable[[#This Row],[LayWin-Commission]])+LayTable[[#This Row],[LayLiability]]</f>
        <v>#VALUE!</v>
      </c>
      <c r="AE1635" s="43"/>
      <c r="AF1635" s="181"/>
    </row>
    <row r="1636" spans="1:32">
      <c r="A1636" s="84"/>
      <c r="B1636" s="39"/>
      <c r="C1636" s="40"/>
      <c r="D1636" s="41"/>
      <c r="E1636" s="40"/>
      <c r="F1636" s="41"/>
      <c r="G1636" s="101"/>
      <c r="H1636" s="38"/>
      <c r="I1636" s="42"/>
      <c r="J1636" s="42"/>
      <c r="K1636" s="43"/>
      <c r="L1636" s="43"/>
      <c r="M1636" s="44" t="str">
        <f>IF(LayTable[[#This Row],[Sport]]="","",LayTable[[#This Row],[LayInnsats]]*(LayTable[[#This Row],[LayOdds]]-1))</f>
        <v/>
      </c>
      <c r="N1636" s="45" t="str">
        <f>IF(LayTable[[#This Row],[Sport]]="","",1/((1/LayTable[[#This Row],[BookieOdds]])+(1/((1/((1+((LayTable[[#This Row],[LayOdds]]-1)*(1+LayTable[[#This Row],[C% Lay]])))-1))+1)))-1)</f>
        <v/>
      </c>
      <c r="Q1636" s="46" t="str">
        <f>IF(LayTable[[#This Row],[Sport]]="","",LayTable[[#This Row],[BookieInnsats]]+LayTable[[#This Row],[LayLiability]])</f>
        <v/>
      </c>
      <c r="R16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6" s="47" t="str">
        <f>IF(LayTable[[#This Row],[Utfall bookie]]="","",LayTable[[#This Row],[WBABack]]+LayTable[[#This Row],[WBALay]]-LayTable[[#This Row],[Total inns]])</f>
        <v/>
      </c>
      <c r="U16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6" s="48" t="str">
        <f>IFERROR(IF(LayTable[[#This Row],[Total inns]]="","",LayTable[[#This Row],[Rback]]/LayTable[[#This Row],[Total inns]]),"")</f>
        <v/>
      </c>
      <c r="X1636" s="48" t="str">
        <f>IFERROR(IF(LayTable[[#This Row],[Total inns]]="","",LayTable[[#This Row],[Rlay]]/LayTable[[#This Row],[Total inns]]),"")</f>
        <v/>
      </c>
      <c r="Y1636" s="48" t="str">
        <f>IFERROR(LayTable[[#This Row],[Faktisk res]]/LayTable[[#This Row],[Total inns]],"")</f>
        <v/>
      </c>
      <c r="Z1636" s="47">
        <f>(LayTable[[#This Row],[BookieInnsats]]*LayTable[[#This Row],[BookieOdds]]-LayTable[[#This Row],[BookieInnsats]])*(1-LayTable[[#This Row],[C% Bookie]])</f>
        <v>0</v>
      </c>
      <c r="AA1636" s="43">
        <f>LayTable[[#This Row],[LayInnsats]]*(1-LayTable[[#This Row],[C% Lay]])</f>
        <v>0</v>
      </c>
      <c r="AB1636" s="43" t="str">
        <f>IFERROR(IF(LayTable[[#This Row],[Sport]]="",AB1635,LayTable[[#This Row],[Faktisk res]]+AB1635),"")</f>
        <v/>
      </c>
      <c r="AC1636" s="43">
        <f>(LayTable[[#This Row],[BackWin-Commission]]+LayTable[[#This Row],[BookieInnsats]])</f>
        <v>0</v>
      </c>
      <c r="AD1636" s="43" t="e">
        <f>(LayTable[[#This Row],[LayWin-Commission]])+LayTable[[#This Row],[LayLiability]]</f>
        <v>#VALUE!</v>
      </c>
      <c r="AE1636" s="43"/>
      <c r="AF1636" s="181"/>
    </row>
    <row r="1637" spans="1:32">
      <c r="A1637" s="84"/>
      <c r="B1637" s="39"/>
      <c r="C1637" s="40"/>
      <c r="D1637" s="41"/>
      <c r="E1637" s="40"/>
      <c r="F1637" s="41"/>
      <c r="G1637" s="101"/>
      <c r="H1637" s="38"/>
      <c r="I1637" s="42"/>
      <c r="J1637" s="42"/>
      <c r="K1637" s="43"/>
      <c r="L1637" s="43"/>
      <c r="M1637" s="44" t="str">
        <f>IF(LayTable[[#This Row],[Sport]]="","",LayTable[[#This Row],[LayInnsats]]*(LayTable[[#This Row],[LayOdds]]-1))</f>
        <v/>
      </c>
      <c r="N1637" s="45" t="str">
        <f>IF(LayTable[[#This Row],[Sport]]="","",1/((1/LayTable[[#This Row],[BookieOdds]])+(1/((1/((1+((LayTable[[#This Row],[LayOdds]]-1)*(1+LayTable[[#This Row],[C% Lay]])))-1))+1)))-1)</f>
        <v/>
      </c>
      <c r="Q1637" s="46" t="str">
        <f>IF(LayTable[[#This Row],[Sport]]="","",LayTable[[#This Row],[BookieInnsats]]+LayTable[[#This Row],[LayLiability]])</f>
        <v/>
      </c>
      <c r="R16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7" s="47" t="str">
        <f>IF(LayTable[[#This Row],[Utfall bookie]]="","",LayTable[[#This Row],[WBABack]]+LayTable[[#This Row],[WBALay]]-LayTable[[#This Row],[Total inns]])</f>
        <v/>
      </c>
      <c r="U16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7" s="48" t="str">
        <f>IFERROR(IF(LayTable[[#This Row],[Total inns]]="","",LayTable[[#This Row],[Rback]]/LayTable[[#This Row],[Total inns]]),"")</f>
        <v/>
      </c>
      <c r="X1637" s="48" t="str">
        <f>IFERROR(IF(LayTable[[#This Row],[Total inns]]="","",LayTable[[#This Row],[Rlay]]/LayTable[[#This Row],[Total inns]]),"")</f>
        <v/>
      </c>
      <c r="Y1637" s="48" t="str">
        <f>IFERROR(LayTable[[#This Row],[Faktisk res]]/LayTable[[#This Row],[Total inns]],"")</f>
        <v/>
      </c>
      <c r="Z1637" s="47">
        <f>(LayTable[[#This Row],[BookieInnsats]]*LayTable[[#This Row],[BookieOdds]]-LayTable[[#This Row],[BookieInnsats]])*(1-LayTable[[#This Row],[C% Bookie]])</f>
        <v>0</v>
      </c>
      <c r="AA1637" s="43">
        <f>LayTable[[#This Row],[LayInnsats]]*(1-LayTable[[#This Row],[C% Lay]])</f>
        <v>0</v>
      </c>
      <c r="AB1637" s="43" t="str">
        <f>IFERROR(IF(LayTable[[#This Row],[Sport]]="",AB1636,LayTable[[#This Row],[Faktisk res]]+AB1636),"")</f>
        <v/>
      </c>
      <c r="AC1637" s="43">
        <f>(LayTable[[#This Row],[BackWin-Commission]]+LayTable[[#This Row],[BookieInnsats]])</f>
        <v>0</v>
      </c>
      <c r="AD1637" s="43" t="e">
        <f>(LayTable[[#This Row],[LayWin-Commission]])+LayTable[[#This Row],[LayLiability]]</f>
        <v>#VALUE!</v>
      </c>
      <c r="AE1637" s="43"/>
      <c r="AF1637" s="181"/>
    </row>
    <row r="1638" spans="1:32">
      <c r="A1638" s="84"/>
      <c r="B1638" s="39"/>
      <c r="C1638" s="40"/>
      <c r="D1638" s="41"/>
      <c r="E1638" s="40"/>
      <c r="F1638" s="41"/>
      <c r="G1638" s="101"/>
      <c r="H1638" s="38"/>
      <c r="I1638" s="42"/>
      <c r="J1638" s="42"/>
      <c r="K1638" s="43"/>
      <c r="L1638" s="43"/>
      <c r="M1638" s="44" t="str">
        <f>IF(LayTable[[#This Row],[Sport]]="","",LayTable[[#This Row],[LayInnsats]]*(LayTable[[#This Row],[LayOdds]]-1))</f>
        <v/>
      </c>
      <c r="N1638" s="45" t="str">
        <f>IF(LayTable[[#This Row],[Sport]]="","",1/((1/LayTable[[#This Row],[BookieOdds]])+(1/((1/((1+((LayTable[[#This Row],[LayOdds]]-1)*(1+LayTable[[#This Row],[C% Lay]])))-1))+1)))-1)</f>
        <v/>
      </c>
      <c r="Q1638" s="46" t="str">
        <f>IF(LayTable[[#This Row],[Sport]]="","",LayTable[[#This Row],[BookieInnsats]]+LayTable[[#This Row],[LayLiability]])</f>
        <v/>
      </c>
      <c r="R16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8" s="47" t="str">
        <f>IF(LayTable[[#This Row],[Utfall bookie]]="","",LayTable[[#This Row],[WBABack]]+LayTable[[#This Row],[WBALay]]-LayTable[[#This Row],[Total inns]])</f>
        <v/>
      </c>
      <c r="U16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8" s="48" t="str">
        <f>IFERROR(IF(LayTable[[#This Row],[Total inns]]="","",LayTable[[#This Row],[Rback]]/LayTable[[#This Row],[Total inns]]),"")</f>
        <v/>
      </c>
      <c r="X1638" s="48" t="str">
        <f>IFERROR(IF(LayTable[[#This Row],[Total inns]]="","",LayTable[[#This Row],[Rlay]]/LayTable[[#This Row],[Total inns]]),"")</f>
        <v/>
      </c>
      <c r="Y1638" s="48" t="str">
        <f>IFERROR(LayTable[[#This Row],[Faktisk res]]/LayTable[[#This Row],[Total inns]],"")</f>
        <v/>
      </c>
      <c r="Z1638" s="47">
        <f>(LayTable[[#This Row],[BookieInnsats]]*LayTable[[#This Row],[BookieOdds]]-LayTable[[#This Row],[BookieInnsats]])*(1-LayTable[[#This Row],[C% Bookie]])</f>
        <v>0</v>
      </c>
      <c r="AA1638" s="43">
        <f>LayTable[[#This Row],[LayInnsats]]*(1-LayTable[[#This Row],[C% Lay]])</f>
        <v>0</v>
      </c>
      <c r="AB1638" s="43" t="str">
        <f>IFERROR(IF(LayTable[[#This Row],[Sport]]="",AB1637,LayTable[[#This Row],[Faktisk res]]+AB1637),"")</f>
        <v/>
      </c>
      <c r="AC1638" s="43">
        <f>(LayTable[[#This Row],[BackWin-Commission]]+LayTable[[#This Row],[BookieInnsats]])</f>
        <v>0</v>
      </c>
      <c r="AD1638" s="43" t="e">
        <f>(LayTable[[#This Row],[LayWin-Commission]])+LayTable[[#This Row],[LayLiability]]</f>
        <v>#VALUE!</v>
      </c>
      <c r="AE1638" s="43"/>
      <c r="AF1638" s="181"/>
    </row>
    <row r="1639" spans="1:32">
      <c r="A1639" s="84"/>
      <c r="B1639" s="39"/>
      <c r="C1639" s="40"/>
      <c r="D1639" s="41"/>
      <c r="E1639" s="40"/>
      <c r="F1639" s="41"/>
      <c r="G1639" s="101"/>
      <c r="H1639" s="38"/>
      <c r="I1639" s="42"/>
      <c r="J1639" s="42"/>
      <c r="K1639" s="43"/>
      <c r="L1639" s="43"/>
      <c r="M1639" s="44" t="str">
        <f>IF(LayTable[[#This Row],[Sport]]="","",LayTable[[#This Row],[LayInnsats]]*(LayTable[[#This Row],[LayOdds]]-1))</f>
        <v/>
      </c>
      <c r="N1639" s="45" t="str">
        <f>IF(LayTable[[#This Row],[Sport]]="","",1/((1/LayTable[[#This Row],[BookieOdds]])+(1/((1/((1+((LayTable[[#This Row],[LayOdds]]-1)*(1+LayTable[[#This Row],[C% Lay]])))-1))+1)))-1)</f>
        <v/>
      </c>
      <c r="Q1639" s="46" t="str">
        <f>IF(LayTable[[#This Row],[Sport]]="","",LayTable[[#This Row],[BookieInnsats]]+LayTable[[#This Row],[LayLiability]])</f>
        <v/>
      </c>
      <c r="R16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39" s="47" t="str">
        <f>IF(LayTable[[#This Row],[Utfall bookie]]="","",LayTable[[#This Row],[WBABack]]+LayTable[[#This Row],[WBALay]]-LayTable[[#This Row],[Total inns]])</f>
        <v/>
      </c>
      <c r="U16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39" s="48" t="str">
        <f>IFERROR(IF(LayTable[[#This Row],[Total inns]]="","",LayTable[[#This Row],[Rback]]/LayTable[[#This Row],[Total inns]]),"")</f>
        <v/>
      </c>
      <c r="X1639" s="48" t="str">
        <f>IFERROR(IF(LayTable[[#This Row],[Total inns]]="","",LayTable[[#This Row],[Rlay]]/LayTable[[#This Row],[Total inns]]),"")</f>
        <v/>
      </c>
      <c r="Y1639" s="48" t="str">
        <f>IFERROR(LayTable[[#This Row],[Faktisk res]]/LayTable[[#This Row],[Total inns]],"")</f>
        <v/>
      </c>
      <c r="Z1639" s="47">
        <f>(LayTable[[#This Row],[BookieInnsats]]*LayTable[[#This Row],[BookieOdds]]-LayTable[[#This Row],[BookieInnsats]])*(1-LayTable[[#This Row],[C% Bookie]])</f>
        <v>0</v>
      </c>
      <c r="AA1639" s="43">
        <f>LayTable[[#This Row],[LayInnsats]]*(1-LayTable[[#This Row],[C% Lay]])</f>
        <v>0</v>
      </c>
      <c r="AB1639" s="43" t="str">
        <f>IFERROR(IF(LayTable[[#This Row],[Sport]]="",AB1638,LayTable[[#This Row],[Faktisk res]]+AB1638),"")</f>
        <v/>
      </c>
      <c r="AC1639" s="43">
        <f>(LayTable[[#This Row],[BackWin-Commission]]+LayTable[[#This Row],[BookieInnsats]])</f>
        <v>0</v>
      </c>
      <c r="AD1639" s="43" t="e">
        <f>(LayTable[[#This Row],[LayWin-Commission]])+LayTable[[#This Row],[LayLiability]]</f>
        <v>#VALUE!</v>
      </c>
      <c r="AE1639" s="43"/>
      <c r="AF1639" s="181"/>
    </row>
    <row r="1640" spans="1:32">
      <c r="A1640" s="84"/>
      <c r="B1640" s="39"/>
      <c r="C1640" s="40"/>
      <c r="D1640" s="41"/>
      <c r="E1640" s="40"/>
      <c r="F1640" s="41"/>
      <c r="G1640" s="101"/>
      <c r="H1640" s="38"/>
      <c r="I1640" s="42"/>
      <c r="J1640" s="42"/>
      <c r="K1640" s="43"/>
      <c r="L1640" s="43"/>
      <c r="M1640" s="44" t="str">
        <f>IF(LayTable[[#This Row],[Sport]]="","",LayTable[[#This Row],[LayInnsats]]*(LayTable[[#This Row],[LayOdds]]-1))</f>
        <v/>
      </c>
      <c r="N1640" s="45" t="str">
        <f>IF(LayTable[[#This Row],[Sport]]="","",1/((1/LayTable[[#This Row],[BookieOdds]])+(1/((1/((1+((LayTable[[#This Row],[LayOdds]]-1)*(1+LayTable[[#This Row],[C% Lay]])))-1))+1)))-1)</f>
        <v/>
      </c>
      <c r="Q1640" s="46" t="str">
        <f>IF(LayTable[[#This Row],[Sport]]="","",LayTable[[#This Row],[BookieInnsats]]+LayTable[[#This Row],[LayLiability]])</f>
        <v/>
      </c>
      <c r="R16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0" s="47" t="str">
        <f>IF(LayTable[[#This Row],[Utfall bookie]]="","",LayTable[[#This Row],[WBABack]]+LayTable[[#This Row],[WBALay]]-LayTable[[#This Row],[Total inns]])</f>
        <v/>
      </c>
      <c r="U16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0" s="48" t="str">
        <f>IFERROR(IF(LayTable[[#This Row],[Total inns]]="","",LayTable[[#This Row],[Rback]]/LayTable[[#This Row],[Total inns]]),"")</f>
        <v/>
      </c>
      <c r="X1640" s="48" t="str">
        <f>IFERROR(IF(LayTable[[#This Row],[Total inns]]="","",LayTable[[#This Row],[Rlay]]/LayTable[[#This Row],[Total inns]]),"")</f>
        <v/>
      </c>
      <c r="Y1640" s="48" t="str">
        <f>IFERROR(LayTable[[#This Row],[Faktisk res]]/LayTable[[#This Row],[Total inns]],"")</f>
        <v/>
      </c>
      <c r="Z1640" s="47">
        <f>(LayTable[[#This Row],[BookieInnsats]]*LayTable[[#This Row],[BookieOdds]]-LayTable[[#This Row],[BookieInnsats]])*(1-LayTable[[#This Row],[C% Bookie]])</f>
        <v>0</v>
      </c>
      <c r="AA1640" s="43">
        <f>LayTable[[#This Row],[LayInnsats]]*(1-LayTable[[#This Row],[C% Lay]])</f>
        <v>0</v>
      </c>
      <c r="AB1640" s="43" t="str">
        <f>IFERROR(IF(LayTable[[#This Row],[Sport]]="",AB1639,LayTable[[#This Row],[Faktisk res]]+AB1639),"")</f>
        <v/>
      </c>
      <c r="AC1640" s="43">
        <f>(LayTable[[#This Row],[BackWin-Commission]]+LayTable[[#This Row],[BookieInnsats]])</f>
        <v>0</v>
      </c>
      <c r="AD1640" s="43" t="e">
        <f>(LayTable[[#This Row],[LayWin-Commission]])+LayTable[[#This Row],[LayLiability]]</f>
        <v>#VALUE!</v>
      </c>
      <c r="AE1640" s="43"/>
      <c r="AF1640" s="181"/>
    </row>
    <row r="1641" spans="1:32">
      <c r="A1641" s="84"/>
      <c r="B1641" s="39"/>
      <c r="C1641" s="40"/>
      <c r="D1641" s="41"/>
      <c r="E1641" s="40"/>
      <c r="F1641" s="41"/>
      <c r="G1641" s="101"/>
      <c r="H1641" s="38"/>
      <c r="I1641" s="42"/>
      <c r="J1641" s="42"/>
      <c r="K1641" s="43"/>
      <c r="L1641" s="43"/>
      <c r="M1641" s="44" t="str">
        <f>IF(LayTable[[#This Row],[Sport]]="","",LayTable[[#This Row],[LayInnsats]]*(LayTable[[#This Row],[LayOdds]]-1))</f>
        <v/>
      </c>
      <c r="N1641" s="45" t="str">
        <f>IF(LayTable[[#This Row],[Sport]]="","",1/((1/LayTable[[#This Row],[BookieOdds]])+(1/((1/((1+((LayTable[[#This Row],[LayOdds]]-1)*(1+LayTable[[#This Row],[C% Lay]])))-1))+1)))-1)</f>
        <v/>
      </c>
      <c r="Q1641" s="46" t="str">
        <f>IF(LayTable[[#This Row],[Sport]]="","",LayTable[[#This Row],[BookieInnsats]]+LayTable[[#This Row],[LayLiability]])</f>
        <v/>
      </c>
      <c r="R16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1" s="47" t="str">
        <f>IF(LayTable[[#This Row],[Utfall bookie]]="","",LayTable[[#This Row],[WBABack]]+LayTable[[#This Row],[WBALay]]-LayTable[[#This Row],[Total inns]])</f>
        <v/>
      </c>
      <c r="U16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1" s="48" t="str">
        <f>IFERROR(IF(LayTable[[#This Row],[Total inns]]="","",LayTable[[#This Row],[Rback]]/LayTable[[#This Row],[Total inns]]),"")</f>
        <v/>
      </c>
      <c r="X1641" s="48" t="str">
        <f>IFERROR(IF(LayTable[[#This Row],[Total inns]]="","",LayTable[[#This Row],[Rlay]]/LayTable[[#This Row],[Total inns]]),"")</f>
        <v/>
      </c>
      <c r="Y1641" s="48" t="str">
        <f>IFERROR(LayTable[[#This Row],[Faktisk res]]/LayTable[[#This Row],[Total inns]],"")</f>
        <v/>
      </c>
      <c r="Z1641" s="47">
        <f>(LayTable[[#This Row],[BookieInnsats]]*LayTable[[#This Row],[BookieOdds]]-LayTable[[#This Row],[BookieInnsats]])*(1-LayTable[[#This Row],[C% Bookie]])</f>
        <v>0</v>
      </c>
      <c r="AA1641" s="43">
        <f>LayTable[[#This Row],[LayInnsats]]*(1-LayTable[[#This Row],[C% Lay]])</f>
        <v>0</v>
      </c>
      <c r="AB1641" s="43" t="str">
        <f>IFERROR(IF(LayTable[[#This Row],[Sport]]="",AB1640,LayTable[[#This Row],[Faktisk res]]+AB1640),"")</f>
        <v/>
      </c>
      <c r="AC1641" s="43">
        <f>(LayTable[[#This Row],[BackWin-Commission]]+LayTable[[#This Row],[BookieInnsats]])</f>
        <v>0</v>
      </c>
      <c r="AD1641" s="43" t="e">
        <f>(LayTable[[#This Row],[LayWin-Commission]])+LayTable[[#This Row],[LayLiability]]</f>
        <v>#VALUE!</v>
      </c>
      <c r="AE1641" s="43"/>
      <c r="AF1641" s="181"/>
    </row>
    <row r="1642" spans="1:32">
      <c r="A1642" s="84"/>
      <c r="B1642" s="39"/>
      <c r="C1642" s="40"/>
      <c r="D1642" s="41"/>
      <c r="E1642" s="40"/>
      <c r="F1642" s="41"/>
      <c r="G1642" s="101"/>
      <c r="H1642" s="38"/>
      <c r="I1642" s="42"/>
      <c r="J1642" s="42"/>
      <c r="K1642" s="43"/>
      <c r="L1642" s="43"/>
      <c r="M1642" s="44" t="str">
        <f>IF(LayTable[[#This Row],[Sport]]="","",LayTable[[#This Row],[LayInnsats]]*(LayTable[[#This Row],[LayOdds]]-1))</f>
        <v/>
      </c>
      <c r="N1642" s="45" t="str">
        <f>IF(LayTable[[#This Row],[Sport]]="","",1/((1/LayTable[[#This Row],[BookieOdds]])+(1/((1/((1+((LayTable[[#This Row],[LayOdds]]-1)*(1+LayTable[[#This Row],[C% Lay]])))-1))+1)))-1)</f>
        <v/>
      </c>
      <c r="Q1642" s="46" t="str">
        <f>IF(LayTable[[#This Row],[Sport]]="","",LayTable[[#This Row],[BookieInnsats]]+LayTable[[#This Row],[LayLiability]])</f>
        <v/>
      </c>
      <c r="R16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2" s="47" t="str">
        <f>IF(LayTable[[#This Row],[Utfall bookie]]="","",LayTable[[#This Row],[WBABack]]+LayTable[[#This Row],[WBALay]]-LayTable[[#This Row],[Total inns]])</f>
        <v/>
      </c>
      <c r="U16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2" s="48" t="str">
        <f>IFERROR(IF(LayTable[[#This Row],[Total inns]]="","",LayTable[[#This Row],[Rback]]/LayTable[[#This Row],[Total inns]]),"")</f>
        <v/>
      </c>
      <c r="X1642" s="48" t="str">
        <f>IFERROR(IF(LayTable[[#This Row],[Total inns]]="","",LayTable[[#This Row],[Rlay]]/LayTable[[#This Row],[Total inns]]),"")</f>
        <v/>
      </c>
      <c r="Y1642" s="48" t="str">
        <f>IFERROR(LayTable[[#This Row],[Faktisk res]]/LayTable[[#This Row],[Total inns]],"")</f>
        <v/>
      </c>
      <c r="Z1642" s="47">
        <f>(LayTable[[#This Row],[BookieInnsats]]*LayTable[[#This Row],[BookieOdds]]-LayTable[[#This Row],[BookieInnsats]])*(1-LayTable[[#This Row],[C% Bookie]])</f>
        <v>0</v>
      </c>
      <c r="AA1642" s="43">
        <f>LayTable[[#This Row],[LayInnsats]]*(1-LayTable[[#This Row],[C% Lay]])</f>
        <v>0</v>
      </c>
      <c r="AB1642" s="43" t="str">
        <f>IFERROR(IF(LayTable[[#This Row],[Sport]]="",AB1641,LayTable[[#This Row],[Faktisk res]]+AB1641),"")</f>
        <v/>
      </c>
      <c r="AC1642" s="43">
        <f>(LayTable[[#This Row],[BackWin-Commission]]+LayTable[[#This Row],[BookieInnsats]])</f>
        <v>0</v>
      </c>
      <c r="AD1642" s="43" t="e">
        <f>(LayTable[[#This Row],[LayWin-Commission]])+LayTable[[#This Row],[LayLiability]]</f>
        <v>#VALUE!</v>
      </c>
      <c r="AE1642" s="43"/>
      <c r="AF1642" s="181"/>
    </row>
    <row r="1643" spans="1:32">
      <c r="A1643" s="84"/>
      <c r="B1643" s="39"/>
      <c r="C1643" s="40"/>
      <c r="D1643" s="41"/>
      <c r="E1643" s="40"/>
      <c r="F1643" s="41"/>
      <c r="G1643" s="101"/>
      <c r="H1643" s="38"/>
      <c r="I1643" s="42"/>
      <c r="J1643" s="42"/>
      <c r="K1643" s="43"/>
      <c r="L1643" s="43"/>
      <c r="M1643" s="44" t="str">
        <f>IF(LayTable[[#This Row],[Sport]]="","",LayTable[[#This Row],[LayInnsats]]*(LayTable[[#This Row],[LayOdds]]-1))</f>
        <v/>
      </c>
      <c r="N1643" s="45" t="str">
        <f>IF(LayTable[[#This Row],[Sport]]="","",1/((1/LayTable[[#This Row],[BookieOdds]])+(1/((1/((1+((LayTable[[#This Row],[LayOdds]]-1)*(1+LayTable[[#This Row],[C% Lay]])))-1))+1)))-1)</f>
        <v/>
      </c>
      <c r="Q1643" s="46" t="str">
        <f>IF(LayTable[[#This Row],[Sport]]="","",LayTable[[#This Row],[BookieInnsats]]+LayTable[[#This Row],[LayLiability]])</f>
        <v/>
      </c>
      <c r="R16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3" s="47" t="str">
        <f>IF(LayTable[[#This Row],[Utfall bookie]]="","",LayTable[[#This Row],[WBABack]]+LayTable[[#This Row],[WBALay]]-LayTable[[#This Row],[Total inns]])</f>
        <v/>
      </c>
      <c r="U16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3" s="48" t="str">
        <f>IFERROR(IF(LayTable[[#This Row],[Total inns]]="","",LayTable[[#This Row],[Rback]]/LayTable[[#This Row],[Total inns]]),"")</f>
        <v/>
      </c>
      <c r="X1643" s="48" t="str">
        <f>IFERROR(IF(LayTable[[#This Row],[Total inns]]="","",LayTable[[#This Row],[Rlay]]/LayTable[[#This Row],[Total inns]]),"")</f>
        <v/>
      </c>
      <c r="Y1643" s="48" t="str">
        <f>IFERROR(LayTable[[#This Row],[Faktisk res]]/LayTable[[#This Row],[Total inns]],"")</f>
        <v/>
      </c>
      <c r="Z1643" s="47">
        <f>(LayTable[[#This Row],[BookieInnsats]]*LayTable[[#This Row],[BookieOdds]]-LayTable[[#This Row],[BookieInnsats]])*(1-LayTable[[#This Row],[C% Bookie]])</f>
        <v>0</v>
      </c>
      <c r="AA1643" s="43">
        <f>LayTable[[#This Row],[LayInnsats]]*(1-LayTable[[#This Row],[C% Lay]])</f>
        <v>0</v>
      </c>
      <c r="AB1643" s="43" t="str">
        <f>IFERROR(IF(LayTable[[#This Row],[Sport]]="",AB1642,LayTable[[#This Row],[Faktisk res]]+AB1642),"")</f>
        <v/>
      </c>
      <c r="AC1643" s="43">
        <f>(LayTable[[#This Row],[BackWin-Commission]]+LayTable[[#This Row],[BookieInnsats]])</f>
        <v>0</v>
      </c>
      <c r="AD1643" s="43" t="e">
        <f>(LayTable[[#This Row],[LayWin-Commission]])+LayTable[[#This Row],[LayLiability]]</f>
        <v>#VALUE!</v>
      </c>
      <c r="AE1643" s="43"/>
      <c r="AF1643" s="181"/>
    </row>
    <row r="1644" spans="1:32">
      <c r="A1644" s="84"/>
      <c r="B1644" s="39"/>
      <c r="C1644" s="40"/>
      <c r="D1644" s="41"/>
      <c r="E1644" s="40"/>
      <c r="F1644" s="41"/>
      <c r="G1644" s="101"/>
      <c r="H1644" s="38"/>
      <c r="I1644" s="42"/>
      <c r="J1644" s="42"/>
      <c r="K1644" s="43"/>
      <c r="L1644" s="43"/>
      <c r="M1644" s="44" t="str">
        <f>IF(LayTable[[#This Row],[Sport]]="","",LayTable[[#This Row],[LayInnsats]]*(LayTable[[#This Row],[LayOdds]]-1))</f>
        <v/>
      </c>
      <c r="N1644" s="45" t="str">
        <f>IF(LayTable[[#This Row],[Sport]]="","",1/((1/LayTable[[#This Row],[BookieOdds]])+(1/((1/((1+((LayTable[[#This Row],[LayOdds]]-1)*(1+LayTable[[#This Row],[C% Lay]])))-1))+1)))-1)</f>
        <v/>
      </c>
      <c r="Q1644" s="46" t="str">
        <f>IF(LayTable[[#This Row],[Sport]]="","",LayTable[[#This Row],[BookieInnsats]]+LayTable[[#This Row],[LayLiability]])</f>
        <v/>
      </c>
      <c r="R16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4" s="47" t="str">
        <f>IF(LayTable[[#This Row],[Utfall bookie]]="","",LayTable[[#This Row],[WBABack]]+LayTable[[#This Row],[WBALay]]-LayTable[[#This Row],[Total inns]])</f>
        <v/>
      </c>
      <c r="U16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4" s="48" t="str">
        <f>IFERROR(IF(LayTable[[#This Row],[Total inns]]="","",LayTable[[#This Row],[Rback]]/LayTable[[#This Row],[Total inns]]),"")</f>
        <v/>
      </c>
      <c r="X1644" s="48" t="str">
        <f>IFERROR(IF(LayTable[[#This Row],[Total inns]]="","",LayTable[[#This Row],[Rlay]]/LayTable[[#This Row],[Total inns]]),"")</f>
        <v/>
      </c>
      <c r="Y1644" s="48" t="str">
        <f>IFERROR(LayTable[[#This Row],[Faktisk res]]/LayTable[[#This Row],[Total inns]],"")</f>
        <v/>
      </c>
      <c r="Z1644" s="47">
        <f>(LayTable[[#This Row],[BookieInnsats]]*LayTable[[#This Row],[BookieOdds]]-LayTable[[#This Row],[BookieInnsats]])*(1-LayTable[[#This Row],[C% Bookie]])</f>
        <v>0</v>
      </c>
      <c r="AA1644" s="43">
        <f>LayTable[[#This Row],[LayInnsats]]*(1-LayTable[[#This Row],[C% Lay]])</f>
        <v>0</v>
      </c>
      <c r="AB1644" s="43" t="str">
        <f>IFERROR(IF(LayTable[[#This Row],[Sport]]="",AB1643,LayTable[[#This Row],[Faktisk res]]+AB1643),"")</f>
        <v/>
      </c>
      <c r="AC1644" s="43">
        <f>(LayTable[[#This Row],[BackWin-Commission]]+LayTable[[#This Row],[BookieInnsats]])</f>
        <v>0</v>
      </c>
      <c r="AD1644" s="43" t="e">
        <f>(LayTable[[#This Row],[LayWin-Commission]])+LayTable[[#This Row],[LayLiability]]</f>
        <v>#VALUE!</v>
      </c>
      <c r="AE1644" s="43"/>
      <c r="AF1644" s="181"/>
    </row>
    <row r="1645" spans="1:32">
      <c r="A1645" s="84"/>
      <c r="B1645" s="39"/>
      <c r="C1645" s="40"/>
      <c r="D1645" s="41"/>
      <c r="E1645" s="40"/>
      <c r="F1645" s="41"/>
      <c r="G1645" s="101"/>
      <c r="H1645" s="38"/>
      <c r="I1645" s="42"/>
      <c r="J1645" s="42"/>
      <c r="K1645" s="43"/>
      <c r="L1645" s="43"/>
      <c r="M1645" s="44" t="str">
        <f>IF(LayTable[[#This Row],[Sport]]="","",LayTable[[#This Row],[LayInnsats]]*(LayTable[[#This Row],[LayOdds]]-1))</f>
        <v/>
      </c>
      <c r="N1645" s="45" t="str">
        <f>IF(LayTable[[#This Row],[Sport]]="","",1/((1/LayTable[[#This Row],[BookieOdds]])+(1/((1/((1+((LayTable[[#This Row],[LayOdds]]-1)*(1+LayTable[[#This Row],[C% Lay]])))-1))+1)))-1)</f>
        <v/>
      </c>
      <c r="Q1645" s="46" t="str">
        <f>IF(LayTable[[#This Row],[Sport]]="","",LayTable[[#This Row],[BookieInnsats]]+LayTable[[#This Row],[LayLiability]])</f>
        <v/>
      </c>
      <c r="R16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5" s="47" t="str">
        <f>IF(LayTable[[#This Row],[Utfall bookie]]="","",LayTable[[#This Row],[WBABack]]+LayTable[[#This Row],[WBALay]]-LayTable[[#This Row],[Total inns]])</f>
        <v/>
      </c>
      <c r="U16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5" s="48" t="str">
        <f>IFERROR(IF(LayTable[[#This Row],[Total inns]]="","",LayTable[[#This Row],[Rback]]/LayTable[[#This Row],[Total inns]]),"")</f>
        <v/>
      </c>
      <c r="X1645" s="48" t="str">
        <f>IFERROR(IF(LayTable[[#This Row],[Total inns]]="","",LayTable[[#This Row],[Rlay]]/LayTable[[#This Row],[Total inns]]),"")</f>
        <v/>
      </c>
      <c r="Y1645" s="48" t="str">
        <f>IFERROR(LayTable[[#This Row],[Faktisk res]]/LayTable[[#This Row],[Total inns]],"")</f>
        <v/>
      </c>
      <c r="Z1645" s="47">
        <f>(LayTable[[#This Row],[BookieInnsats]]*LayTable[[#This Row],[BookieOdds]]-LayTable[[#This Row],[BookieInnsats]])*(1-LayTable[[#This Row],[C% Bookie]])</f>
        <v>0</v>
      </c>
      <c r="AA1645" s="43">
        <f>LayTable[[#This Row],[LayInnsats]]*(1-LayTable[[#This Row],[C% Lay]])</f>
        <v>0</v>
      </c>
      <c r="AB1645" s="43" t="str">
        <f>IFERROR(IF(LayTable[[#This Row],[Sport]]="",AB1644,LayTable[[#This Row],[Faktisk res]]+AB1644),"")</f>
        <v/>
      </c>
      <c r="AC1645" s="43">
        <f>(LayTable[[#This Row],[BackWin-Commission]]+LayTable[[#This Row],[BookieInnsats]])</f>
        <v>0</v>
      </c>
      <c r="AD1645" s="43" t="e">
        <f>(LayTable[[#This Row],[LayWin-Commission]])+LayTable[[#This Row],[LayLiability]]</f>
        <v>#VALUE!</v>
      </c>
      <c r="AE1645" s="43"/>
      <c r="AF1645" s="181"/>
    </row>
    <row r="1646" spans="1:32">
      <c r="A1646" s="84"/>
      <c r="B1646" s="39"/>
      <c r="C1646" s="40"/>
      <c r="D1646" s="41"/>
      <c r="E1646" s="40"/>
      <c r="F1646" s="41"/>
      <c r="G1646" s="101"/>
      <c r="H1646" s="38"/>
      <c r="I1646" s="42"/>
      <c r="J1646" s="42"/>
      <c r="K1646" s="43"/>
      <c r="L1646" s="43"/>
      <c r="M1646" s="44" t="str">
        <f>IF(LayTable[[#This Row],[Sport]]="","",LayTable[[#This Row],[LayInnsats]]*(LayTable[[#This Row],[LayOdds]]-1))</f>
        <v/>
      </c>
      <c r="N1646" s="45" t="str">
        <f>IF(LayTable[[#This Row],[Sport]]="","",1/((1/LayTable[[#This Row],[BookieOdds]])+(1/((1/((1+((LayTable[[#This Row],[LayOdds]]-1)*(1+LayTable[[#This Row],[C% Lay]])))-1))+1)))-1)</f>
        <v/>
      </c>
      <c r="Q1646" s="46" t="str">
        <f>IF(LayTable[[#This Row],[Sport]]="","",LayTable[[#This Row],[BookieInnsats]]+LayTable[[#This Row],[LayLiability]])</f>
        <v/>
      </c>
      <c r="R16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6" s="47" t="str">
        <f>IF(LayTable[[#This Row],[Utfall bookie]]="","",LayTable[[#This Row],[WBABack]]+LayTable[[#This Row],[WBALay]]-LayTable[[#This Row],[Total inns]])</f>
        <v/>
      </c>
      <c r="U16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6" s="48" t="str">
        <f>IFERROR(IF(LayTable[[#This Row],[Total inns]]="","",LayTable[[#This Row],[Rback]]/LayTable[[#This Row],[Total inns]]),"")</f>
        <v/>
      </c>
      <c r="X1646" s="48" t="str">
        <f>IFERROR(IF(LayTable[[#This Row],[Total inns]]="","",LayTable[[#This Row],[Rlay]]/LayTable[[#This Row],[Total inns]]),"")</f>
        <v/>
      </c>
      <c r="Y1646" s="48" t="str">
        <f>IFERROR(LayTable[[#This Row],[Faktisk res]]/LayTable[[#This Row],[Total inns]],"")</f>
        <v/>
      </c>
      <c r="Z1646" s="47">
        <f>(LayTable[[#This Row],[BookieInnsats]]*LayTable[[#This Row],[BookieOdds]]-LayTable[[#This Row],[BookieInnsats]])*(1-LayTable[[#This Row],[C% Bookie]])</f>
        <v>0</v>
      </c>
      <c r="AA1646" s="43">
        <f>LayTable[[#This Row],[LayInnsats]]*(1-LayTable[[#This Row],[C% Lay]])</f>
        <v>0</v>
      </c>
      <c r="AB1646" s="43" t="str">
        <f>IFERROR(IF(LayTable[[#This Row],[Sport]]="",AB1645,LayTable[[#This Row],[Faktisk res]]+AB1645),"")</f>
        <v/>
      </c>
      <c r="AC1646" s="43">
        <f>(LayTable[[#This Row],[BackWin-Commission]]+LayTable[[#This Row],[BookieInnsats]])</f>
        <v>0</v>
      </c>
      <c r="AD1646" s="43" t="e">
        <f>(LayTable[[#This Row],[LayWin-Commission]])+LayTable[[#This Row],[LayLiability]]</f>
        <v>#VALUE!</v>
      </c>
      <c r="AE1646" s="43"/>
      <c r="AF1646" s="181"/>
    </row>
    <row r="1647" spans="1:32">
      <c r="A1647" s="84"/>
      <c r="B1647" s="39"/>
      <c r="C1647" s="40"/>
      <c r="D1647" s="41"/>
      <c r="E1647" s="40"/>
      <c r="F1647" s="41"/>
      <c r="G1647" s="101"/>
      <c r="H1647" s="38"/>
      <c r="I1647" s="42"/>
      <c r="J1647" s="42"/>
      <c r="K1647" s="43"/>
      <c r="L1647" s="43"/>
      <c r="M1647" s="44" t="str">
        <f>IF(LayTable[[#This Row],[Sport]]="","",LayTable[[#This Row],[LayInnsats]]*(LayTable[[#This Row],[LayOdds]]-1))</f>
        <v/>
      </c>
      <c r="N1647" s="45" t="str">
        <f>IF(LayTable[[#This Row],[Sport]]="","",1/((1/LayTable[[#This Row],[BookieOdds]])+(1/((1/((1+((LayTable[[#This Row],[LayOdds]]-1)*(1+LayTable[[#This Row],[C% Lay]])))-1))+1)))-1)</f>
        <v/>
      </c>
      <c r="Q1647" s="46" t="str">
        <f>IF(LayTable[[#This Row],[Sport]]="","",LayTable[[#This Row],[BookieInnsats]]+LayTable[[#This Row],[LayLiability]])</f>
        <v/>
      </c>
      <c r="R16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7" s="47" t="str">
        <f>IF(LayTable[[#This Row],[Utfall bookie]]="","",LayTable[[#This Row],[WBABack]]+LayTable[[#This Row],[WBALay]]-LayTable[[#This Row],[Total inns]])</f>
        <v/>
      </c>
      <c r="U16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7" s="48" t="str">
        <f>IFERROR(IF(LayTable[[#This Row],[Total inns]]="","",LayTable[[#This Row],[Rback]]/LayTable[[#This Row],[Total inns]]),"")</f>
        <v/>
      </c>
      <c r="X1647" s="48" t="str">
        <f>IFERROR(IF(LayTable[[#This Row],[Total inns]]="","",LayTable[[#This Row],[Rlay]]/LayTable[[#This Row],[Total inns]]),"")</f>
        <v/>
      </c>
      <c r="Y1647" s="48" t="str">
        <f>IFERROR(LayTable[[#This Row],[Faktisk res]]/LayTable[[#This Row],[Total inns]],"")</f>
        <v/>
      </c>
      <c r="Z1647" s="47">
        <f>(LayTable[[#This Row],[BookieInnsats]]*LayTable[[#This Row],[BookieOdds]]-LayTable[[#This Row],[BookieInnsats]])*(1-LayTable[[#This Row],[C% Bookie]])</f>
        <v>0</v>
      </c>
      <c r="AA1647" s="43">
        <f>LayTable[[#This Row],[LayInnsats]]*(1-LayTable[[#This Row],[C% Lay]])</f>
        <v>0</v>
      </c>
      <c r="AB1647" s="43" t="str">
        <f>IFERROR(IF(LayTable[[#This Row],[Sport]]="",AB1646,LayTable[[#This Row],[Faktisk res]]+AB1646),"")</f>
        <v/>
      </c>
      <c r="AC1647" s="43">
        <f>(LayTable[[#This Row],[BackWin-Commission]]+LayTable[[#This Row],[BookieInnsats]])</f>
        <v>0</v>
      </c>
      <c r="AD1647" s="43" t="e">
        <f>(LayTable[[#This Row],[LayWin-Commission]])+LayTable[[#This Row],[LayLiability]]</f>
        <v>#VALUE!</v>
      </c>
      <c r="AE1647" s="43"/>
      <c r="AF1647" s="181"/>
    </row>
    <row r="1648" spans="1:32">
      <c r="A1648" s="84"/>
      <c r="B1648" s="39"/>
      <c r="C1648" s="40"/>
      <c r="D1648" s="41"/>
      <c r="E1648" s="40"/>
      <c r="F1648" s="41"/>
      <c r="G1648" s="101"/>
      <c r="H1648" s="38"/>
      <c r="I1648" s="42"/>
      <c r="J1648" s="42"/>
      <c r="K1648" s="43"/>
      <c r="L1648" s="43"/>
      <c r="M1648" s="44" t="str">
        <f>IF(LayTable[[#This Row],[Sport]]="","",LayTable[[#This Row],[LayInnsats]]*(LayTable[[#This Row],[LayOdds]]-1))</f>
        <v/>
      </c>
      <c r="N1648" s="45" t="str">
        <f>IF(LayTable[[#This Row],[Sport]]="","",1/((1/LayTable[[#This Row],[BookieOdds]])+(1/((1/((1+((LayTable[[#This Row],[LayOdds]]-1)*(1+LayTable[[#This Row],[C% Lay]])))-1))+1)))-1)</f>
        <v/>
      </c>
      <c r="Q1648" s="46" t="str">
        <f>IF(LayTable[[#This Row],[Sport]]="","",LayTable[[#This Row],[BookieInnsats]]+LayTable[[#This Row],[LayLiability]])</f>
        <v/>
      </c>
      <c r="R16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8" s="47" t="str">
        <f>IF(LayTable[[#This Row],[Utfall bookie]]="","",LayTable[[#This Row],[WBABack]]+LayTable[[#This Row],[WBALay]]-LayTable[[#This Row],[Total inns]])</f>
        <v/>
      </c>
      <c r="U16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8" s="48" t="str">
        <f>IFERROR(IF(LayTable[[#This Row],[Total inns]]="","",LayTable[[#This Row],[Rback]]/LayTable[[#This Row],[Total inns]]),"")</f>
        <v/>
      </c>
      <c r="X1648" s="48" t="str">
        <f>IFERROR(IF(LayTable[[#This Row],[Total inns]]="","",LayTable[[#This Row],[Rlay]]/LayTable[[#This Row],[Total inns]]),"")</f>
        <v/>
      </c>
      <c r="Y1648" s="48" t="str">
        <f>IFERROR(LayTable[[#This Row],[Faktisk res]]/LayTable[[#This Row],[Total inns]],"")</f>
        <v/>
      </c>
      <c r="Z1648" s="47">
        <f>(LayTable[[#This Row],[BookieInnsats]]*LayTable[[#This Row],[BookieOdds]]-LayTable[[#This Row],[BookieInnsats]])*(1-LayTable[[#This Row],[C% Bookie]])</f>
        <v>0</v>
      </c>
      <c r="AA1648" s="43">
        <f>LayTable[[#This Row],[LayInnsats]]*(1-LayTable[[#This Row],[C% Lay]])</f>
        <v>0</v>
      </c>
      <c r="AB1648" s="43" t="str">
        <f>IFERROR(IF(LayTable[[#This Row],[Sport]]="",AB1647,LayTable[[#This Row],[Faktisk res]]+AB1647),"")</f>
        <v/>
      </c>
      <c r="AC1648" s="43">
        <f>(LayTable[[#This Row],[BackWin-Commission]]+LayTable[[#This Row],[BookieInnsats]])</f>
        <v>0</v>
      </c>
      <c r="AD1648" s="43" t="e">
        <f>(LayTable[[#This Row],[LayWin-Commission]])+LayTable[[#This Row],[LayLiability]]</f>
        <v>#VALUE!</v>
      </c>
      <c r="AE1648" s="43"/>
      <c r="AF1648" s="181"/>
    </row>
    <row r="1649" spans="1:32">
      <c r="A1649" s="84"/>
      <c r="B1649" s="39"/>
      <c r="C1649" s="40"/>
      <c r="D1649" s="41"/>
      <c r="E1649" s="40"/>
      <c r="F1649" s="41"/>
      <c r="G1649" s="101"/>
      <c r="H1649" s="38"/>
      <c r="I1649" s="42"/>
      <c r="J1649" s="42"/>
      <c r="K1649" s="43"/>
      <c r="L1649" s="43"/>
      <c r="M1649" s="44" t="str">
        <f>IF(LayTable[[#This Row],[Sport]]="","",LayTable[[#This Row],[LayInnsats]]*(LayTable[[#This Row],[LayOdds]]-1))</f>
        <v/>
      </c>
      <c r="N1649" s="45" t="str">
        <f>IF(LayTable[[#This Row],[Sport]]="","",1/((1/LayTable[[#This Row],[BookieOdds]])+(1/((1/((1+((LayTable[[#This Row],[LayOdds]]-1)*(1+LayTable[[#This Row],[C% Lay]])))-1))+1)))-1)</f>
        <v/>
      </c>
      <c r="Q1649" s="46" t="str">
        <f>IF(LayTable[[#This Row],[Sport]]="","",LayTable[[#This Row],[BookieInnsats]]+LayTable[[#This Row],[LayLiability]])</f>
        <v/>
      </c>
      <c r="R16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49" s="47" t="str">
        <f>IF(LayTable[[#This Row],[Utfall bookie]]="","",LayTable[[#This Row],[WBABack]]+LayTable[[#This Row],[WBALay]]-LayTable[[#This Row],[Total inns]])</f>
        <v/>
      </c>
      <c r="U16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49" s="48" t="str">
        <f>IFERROR(IF(LayTable[[#This Row],[Total inns]]="","",LayTable[[#This Row],[Rback]]/LayTable[[#This Row],[Total inns]]),"")</f>
        <v/>
      </c>
      <c r="X1649" s="48" t="str">
        <f>IFERROR(IF(LayTable[[#This Row],[Total inns]]="","",LayTable[[#This Row],[Rlay]]/LayTable[[#This Row],[Total inns]]),"")</f>
        <v/>
      </c>
      <c r="Y1649" s="48" t="str">
        <f>IFERROR(LayTable[[#This Row],[Faktisk res]]/LayTable[[#This Row],[Total inns]],"")</f>
        <v/>
      </c>
      <c r="Z1649" s="47">
        <f>(LayTable[[#This Row],[BookieInnsats]]*LayTable[[#This Row],[BookieOdds]]-LayTable[[#This Row],[BookieInnsats]])*(1-LayTable[[#This Row],[C% Bookie]])</f>
        <v>0</v>
      </c>
      <c r="AA1649" s="43">
        <f>LayTable[[#This Row],[LayInnsats]]*(1-LayTable[[#This Row],[C% Lay]])</f>
        <v>0</v>
      </c>
      <c r="AB1649" s="43" t="str">
        <f>IFERROR(IF(LayTable[[#This Row],[Sport]]="",AB1648,LayTable[[#This Row],[Faktisk res]]+AB1648),"")</f>
        <v/>
      </c>
      <c r="AC1649" s="43">
        <f>(LayTable[[#This Row],[BackWin-Commission]]+LayTable[[#This Row],[BookieInnsats]])</f>
        <v>0</v>
      </c>
      <c r="AD1649" s="43" t="e">
        <f>(LayTable[[#This Row],[LayWin-Commission]])+LayTable[[#This Row],[LayLiability]]</f>
        <v>#VALUE!</v>
      </c>
      <c r="AE1649" s="43"/>
      <c r="AF1649" s="181"/>
    </row>
    <row r="1650" spans="1:32">
      <c r="A1650" s="84"/>
      <c r="B1650" s="39"/>
      <c r="C1650" s="40"/>
      <c r="D1650" s="41"/>
      <c r="E1650" s="40"/>
      <c r="F1650" s="41"/>
      <c r="G1650" s="101"/>
      <c r="H1650" s="38"/>
      <c r="I1650" s="42"/>
      <c r="J1650" s="42"/>
      <c r="K1650" s="43"/>
      <c r="L1650" s="43"/>
      <c r="M1650" s="44" t="str">
        <f>IF(LayTable[[#This Row],[Sport]]="","",LayTable[[#This Row],[LayInnsats]]*(LayTable[[#This Row],[LayOdds]]-1))</f>
        <v/>
      </c>
      <c r="N1650" s="45" t="str">
        <f>IF(LayTable[[#This Row],[Sport]]="","",1/((1/LayTable[[#This Row],[BookieOdds]])+(1/((1/((1+((LayTable[[#This Row],[LayOdds]]-1)*(1+LayTable[[#This Row],[C% Lay]])))-1))+1)))-1)</f>
        <v/>
      </c>
      <c r="Q1650" s="46" t="str">
        <f>IF(LayTable[[#This Row],[Sport]]="","",LayTable[[#This Row],[BookieInnsats]]+LayTable[[#This Row],[LayLiability]])</f>
        <v/>
      </c>
      <c r="R16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0" s="47" t="str">
        <f>IF(LayTable[[#This Row],[Utfall bookie]]="","",LayTable[[#This Row],[WBABack]]+LayTable[[#This Row],[WBALay]]-LayTable[[#This Row],[Total inns]])</f>
        <v/>
      </c>
      <c r="U16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0" s="48" t="str">
        <f>IFERROR(IF(LayTable[[#This Row],[Total inns]]="","",LayTable[[#This Row],[Rback]]/LayTable[[#This Row],[Total inns]]),"")</f>
        <v/>
      </c>
      <c r="X1650" s="48" t="str">
        <f>IFERROR(IF(LayTable[[#This Row],[Total inns]]="","",LayTable[[#This Row],[Rlay]]/LayTable[[#This Row],[Total inns]]),"")</f>
        <v/>
      </c>
      <c r="Y1650" s="48" t="str">
        <f>IFERROR(LayTable[[#This Row],[Faktisk res]]/LayTable[[#This Row],[Total inns]],"")</f>
        <v/>
      </c>
      <c r="Z1650" s="47">
        <f>(LayTable[[#This Row],[BookieInnsats]]*LayTable[[#This Row],[BookieOdds]]-LayTable[[#This Row],[BookieInnsats]])*(1-LayTable[[#This Row],[C% Bookie]])</f>
        <v>0</v>
      </c>
      <c r="AA1650" s="43">
        <f>LayTable[[#This Row],[LayInnsats]]*(1-LayTable[[#This Row],[C% Lay]])</f>
        <v>0</v>
      </c>
      <c r="AB1650" s="43" t="str">
        <f>IFERROR(IF(LayTable[[#This Row],[Sport]]="",AB1649,LayTable[[#This Row],[Faktisk res]]+AB1649),"")</f>
        <v/>
      </c>
      <c r="AC1650" s="43">
        <f>(LayTable[[#This Row],[BackWin-Commission]]+LayTable[[#This Row],[BookieInnsats]])</f>
        <v>0</v>
      </c>
      <c r="AD1650" s="43" t="e">
        <f>(LayTable[[#This Row],[LayWin-Commission]])+LayTable[[#This Row],[LayLiability]]</f>
        <v>#VALUE!</v>
      </c>
      <c r="AE1650" s="43"/>
      <c r="AF1650" s="181"/>
    </row>
    <row r="1651" spans="1:32">
      <c r="A1651" s="84"/>
      <c r="B1651" s="39"/>
      <c r="C1651" s="40"/>
      <c r="D1651" s="41"/>
      <c r="E1651" s="40"/>
      <c r="F1651" s="41"/>
      <c r="G1651" s="101"/>
      <c r="H1651" s="38"/>
      <c r="I1651" s="42"/>
      <c r="J1651" s="42"/>
      <c r="K1651" s="43"/>
      <c r="L1651" s="43"/>
      <c r="M1651" s="44" t="str">
        <f>IF(LayTable[[#This Row],[Sport]]="","",LayTable[[#This Row],[LayInnsats]]*(LayTable[[#This Row],[LayOdds]]-1))</f>
        <v/>
      </c>
      <c r="N1651" s="45" t="str">
        <f>IF(LayTable[[#This Row],[Sport]]="","",1/((1/LayTable[[#This Row],[BookieOdds]])+(1/((1/((1+((LayTable[[#This Row],[LayOdds]]-1)*(1+LayTable[[#This Row],[C% Lay]])))-1))+1)))-1)</f>
        <v/>
      </c>
      <c r="Q1651" s="46" t="str">
        <f>IF(LayTable[[#This Row],[Sport]]="","",LayTable[[#This Row],[BookieInnsats]]+LayTable[[#This Row],[LayLiability]])</f>
        <v/>
      </c>
      <c r="R16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1" s="47" t="str">
        <f>IF(LayTable[[#This Row],[Utfall bookie]]="","",LayTable[[#This Row],[WBABack]]+LayTable[[#This Row],[WBALay]]-LayTable[[#This Row],[Total inns]])</f>
        <v/>
      </c>
      <c r="U16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1" s="48" t="str">
        <f>IFERROR(IF(LayTable[[#This Row],[Total inns]]="","",LayTable[[#This Row],[Rback]]/LayTable[[#This Row],[Total inns]]),"")</f>
        <v/>
      </c>
      <c r="X1651" s="48" t="str">
        <f>IFERROR(IF(LayTable[[#This Row],[Total inns]]="","",LayTable[[#This Row],[Rlay]]/LayTable[[#This Row],[Total inns]]),"")</f>
        <v/>
      </c>
      <c r="Y1651" s="48" t="str">
        <f>IFERROR(LayTable[[#This Row],[Faktisk res]]/LayTable[[#This Row],[Total inns]],"")</f>
        <v/>
      </c>
      <c r="Z1651" s="47">
        <f>(LayTable[[#This Row],[BookieInnsats]]*LayTable[[#This Row],[BookieOdds]]-LayTable[[#This Row],[BookieInnsats]])*(1-LayTable[[#This Row],[C% Bookie]])</f>
        <v>0</v>
      </c>
      <c r="AA1651" s="43">
        <f>LayTable[[#This Row],[LayInnsats]]*(1-LayTable[[#This Row],[C% Lay]])</f>
        <v>0</v>
      </c>
      <c r="AB1651" s="43" t="str">
        <f>IFERROR(IF(LayTable[[#This Row],[Sport]]="",AB1650,LayTable[[#This Row],[Faktisk res]]+AB1650),"")</f>
        <v/>
      </c>
      <c r="AC1651" s="43">
        <f>(LayTable[[#This Row],[BackWin-Commission]]+LayTable[[#This Row],[BookieInnsats]])</f>
        <v>0</v>
      </c>
      <c r="AD1651" s="43" t="e">
        <f>(LayTable[[#This Row],[LayWin-Commission]])+LayTable[[#This Row],[LayLiability]]</f>
        <v>#VALUE!</v>
      </c>
      <c r="AE1651" s="43"/>
      <c r="AF1651" s="181"/>
    </row>
    <row r="1652" spans="1:32">
      <c r="A1652" s="84"/>
      <c r="B1652" s="39"/>
      <c r="C1652" s="40"/>
      <c r="D1652" s="41"/>
      <c r="E1652" s="40"/>
      <c r="F1652" s="41"/>
      <c r="G1652" s="101"/>
      <c r="H1652" s="38"/>
      <c r="I1652" s="42"/>
      <c r="J1652" s="42"/>
      <c r="K1652" s="43"/>
      <c r="L1652" s="43"/>
      <c r="M1652" s="44" t="str">
        <f>IF(LayTable[[#This Row],[Sport]]="","",LayTable[[#This Row],[LayInnsats]]*(LayTable[[#This Row],[LayOdds]]-1))</f>
        <v/>
      </c>
      <c r="N1652" s="45" t="str">
        <f>IF(LayTable[[#This Row],[Sport]]="","",1/((1/LayTable[[#This Row],[BookieOdds]])+(1/((1/((1+((LayTable[[#This Row],[LayOdds]]-1)*(1+LayTable[[#This Row],[C% Lay]])))-1))+1)))-1)</f>
        <v/>
      </c>
      <c r="Q1652" s="46" t="str">
        <f>IF(LayTable[[#This Row],[Sport]]="","",LayTable[[#This Row],[BookieInnsats]]+LayTable[[#This Row],[LayLiability]])</f>
        <v/>
      </c>
      <c r="R16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2" s="47" t="str">
        <f>IF(LayTable[[#This Row],[Utfall bookie]]="","",LayTable[[#This Row],[WBABack]]+LayTable[[#This Row],[WBALay]]-LayTable[[#This Row],[Total inns]])</f>
        <v/>
      </c>
      <c r="U16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2" s="48" t="str">
        <f>IFERROR(IF(LayTable[[#This Row],[Total inns]]="","",LayTable[[#This Row],[Rback]]/LayTable[[#This Row],[Total inns]]),"")</f>
        <v/>
      </c>
      <c r="X1652" s="48" t="str">
        <f>IFERROR(IF(LayTable[[#This Row],[Total inns]]="","",LayTable[[#This Row],[Rlay]]/LayTable[[#This Row],[Total inns]]),"")</f>
        <v/>
      </c>
      <c r="Y1652" s="48" t="str">
        <f>IFERROR(LayTable[[#This Row],[Faktisk res]]/LayTable[[#This Row],[Total inns]],"")</f>
        <v/>
      </c>
      <c r="Z1652" s="47">
        <f>(LayTable[[#This Row],[BookieInnsats]]*LayTable[[#This Row],[BookieOdds]]-LayTable[[#This Row],[BookieInnsats]])*(1-LayTable[[#This Row],[C% Bookie]])</f>
        <v>0</v>
      </c>
      <c r="AA1652" s="43">
        <f>LayTable[[#This Row],[LayInnsats]]*(1-LayTable[[#This Row],[C% Lay]])</f>
        <v>0</v>
      </c>
      <c r="AB1652" s="43" t="str">
        <f>IFERROR(IF(LayTable[[#This Row],[Sport]]="",AB1651,LayTable[[#This Row],[Faktisk res]]+AB1651),"")</f>
        <v/>
      </c>
      <c r="AC1652" s="43">
        <f>(LayTable[[#This Row],[BackWin-Commission]]+LayTable[[#This Row],[BookieInnsats]])</f>
        <v>0</v>
      </c>
      <c r="AD1652" s="43" t="e">
        <f>(LayTable[[#This Row],[LayWin-Commission]])+LayTable[[#This Row],[LayLiability]]</f>
        <v>#VALUE!</v>
      </c>
      <c r="AE1652" s="43"/>
      <c r="AF1652" s="181"/>
    </row>
    <row r="1653" spans="1:32">
      <c r="A1653" s="84"/>
      <c r="B1653" s="39"/>
      <c r="C1653" s="40"/>
      <c r="D1653" s="41"/>
      <c r="E1653" s="40"/>
      <c r="F1653" s="41"/>
      <c r="G1653" s="101"/>
      <c r="H1653" s="38"/>
      <c r="I1653" s="42"/>
      <c r="J1653" s="42"/>
      <c r="K1653" s="43"/>
      <c r="L1653" s="43"/>
      <c r="M1653" s="44" t="str">
        <f>IF(LayTable[[#This Row],[Sport]]="","",LayTable[[#This Row],[LayInnsats]]*(LayTable[[#This Row],[LayOdds]]-1))</f>
        <v/>
      </c>
      <c r="N1653" s="45" t="str">
        <f>IF(LayTable[[#This Row],[Sport]]="","",1/((1/LayTable[[#This Row],[BookieOdds]])+(1/((1/((1+((LayTable[[#This Row],[LayOdds]]-1)*(1+LayTable[[#This Row],[C% Lay]])))-1))+1)))-1)</f>
        <v/>
      </c>
      <c r="Q1653" s="46" t="str">
        <f>IF(LayTable[[#This Row],[Sport]]="","",LayTable[[#This Row],[BookieInnsats]]+LayTable[[#This Row],[LayLiability]])</f>
        <v/>
      </c>
      <c r="R16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3" s="47" t="str">
        <f>IF(LayTable[[#This Row],[Utfall bookie]]="","",LayTable[[#This Row],[WBABack]]+LayTable[[#This Row],[WBALay]]-LayTable[[#This Row],[Total inns]])</f>
        <v/>
      </c>
      <c r="U16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3" s="48" t="str">
        <f>IFERROR(IF(LayTable[[#This Row],[Total inns]]="","",LayTable[[#This Row],[Rback]]/LayTable[[#This Row],[Total inns]]),"")</f>
        <v/>
      </c>
      <c r="X1653" s="48" t="str">
        <f>IFERROR(IF(LayTable[[#This Row],[Total inns]]="","",LayTable[[#This Row],[Rlay]]/LayTable[[#This Row],[Total inns]]),"")</f>
        <v/>
      </c>
      <c r="Y1653" s="48" t="str">
        <f>IFERROR(LayTable[[#This Row],[Faktisk res]]/LayTable[[#This Row],[Total inns]],"")</f>
        <v/>
      </c>
      <c r="Z1653" s="47">
        <f>(LayTable[[#This Row],[BookieInnsats]]*LayTable[[#This Row],[BookieOdds]]-LayTable[[#This Row],[BookieInnsats]])*(1-LayTable[[#This Row],[C% Bookie]])</f>
        <v>0</v>
      </c>
      <c r="AA1653" s="43">
        <f>LayTable[[#This Row],[LayInnsats]]*(1-LayTable[[#This Row],[C% Lay]])</f>
        <v>0</v>
      </c>
      <c r="AB1653" s="43" t="str">
        <f>IFERROR(IF(LayTable[[#This Row],[Sport]]="",AB1652,LayTable[[#This Row],[Faktisk res]]+AB1652),"")</f>
        <v/>
      </c>
      <c r="AC1653" s="43">
        <f>(LayTable[[#This Row],[BackWin-Commission]]+LayTable[[#This Row],[BookieInnsats]])</f>
        <v>0</v>
      </c>
      <c r="AD1653" s="43" t="e">
        <f>(LayTable[[#This Row],[LayWin-Commission]])+LayTable[[#This Row],[LayLiability]]</f>
        <v>#VALUE!</v>
      </c>
      <c r="AE1653" s="43"/>
      <c r="AF1653" s="181"/>
    </row>
    <row r="1654" spans="1:32">
      <c r="A1654" s="84"/>
      <c r="B1654" s="39"/>
      <c r="C1654" s="40"/>
      <c r="D1654" s="41"/>
      <c r="E1654" s="40"/>
      <c r="F1654" s="41"/>
      <c r="G1654" s="101"/>
      <c r="H1654" s="38"/>
      <c r="I1654" s="42"/>
      <c r="J1654" s="42"/>
      <c r="K1654" s="43"/>
      <c r="L1654" s="43"/>
      <c r="M1654" s="44" t="str">
        <f>IF(LayTable[[#This Row],[Sport]]="","",LayTable[[#This Row],[LayInnsats]]*(LayTable[[#This Row],[LayOdds]]-1))</f>
        <v/>
      </c>
      <c r="N1654" s="45" t="str">
        <f>IF(LayTable[[#This Row],[Sport]]="","",1/((1/LayTable[[#This Row],[BookieOdds]])+(1/((1/((1+((LayTable[[#This Row],[LayOdds]]-1)*(1+LayTable[[#This Row],[C% Lay]])))-1))+1)))-1)</f>
        <v/>
      </c>
      <c r="Q1654" s="46" t="str">
        <f>IF(LayTable[[#This Row],[Sport]]="","",LayTable[[#This Row],[BookieInnsats]]+LayTable[[#This Row],[LayLiability]])</f>
        <v/>
      </c>
      <c r="R16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4" s="47" t="str">
        <f>IF(LayTable[[#This Row],[Utfall bookie]]="","",LayTable[[#This Row],[WBABack]]+LayTable[[#This Row],[WBALay]]-LayTable[[#This Row],[Total inns]])</f>
        <v/>
      </c>
      <c r="U16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4" s="48" t="str">
        <f>IFERROR(IF(LayTable[[#This Row],[Total inns]]="","",LayTable[[#This Row],[Rback]]/LayTable[[#This Row],[Total inns]]),"")</f>
        <v/>
      </c>
      <c r="X1654" s="48" t="str">
        <f>IFERROR(IF(LayTable[[#This Row],[Total inns]]="","",LayTable[[#This Row],[Rlay]]/LayTable[[#This Row],[Total inns]]),"")</f>
        <v/>
      </c>
      <c r="Y1654" s="48" t="str">
        <f>IFERROR(LayTable[[#This Row],[Faktisk res]]/LayTable[[#This Row],[Total inns]],"")</f>
        <v/>
      </c>
      <c r="Z1654" s="47">
        <f>(LayTable[[#This Row],[BookieInnsats]]*LayTable[[#This Row],[BookieOdds]]-LayTable[[#This Row],[BookieInnsats]])*(1-LayTable[[#This Row],[C% Bookie]])</f>
        <v>0</v>
      </c>
      <c r="AA1654" s="43">
        <f>LayTable[[#This Row],[LayInnsats]]*(1-LayTable[[#This Row],[C% Lay]])</f>
        <v>0</v>
      </c>
      <c r="AB1654" s="43" t="str">
        <f>IFERROR(IF(LayTable[[#This Row],[Sport]]="",AB1653,LayTable[[#This Row],[Faktisk res]]+AB1653),"")</f>
        <v/>
      </c>
      <c r="AC1654" s="43">
        <f>(LayTable[[#This Row],[BackWin-Commission]]+LayTable[[#This Row],[BookieInnsats]])</f>
        <v>0</v>
      </c>
      <c r="AD1654" s="43" t="e">
        <f>(LayTable[[#This Row],[LayWin-Commission]])+LayTable[[#This Row],[LayLiability]]</f>
        <v>#VALUE!</v>
      </c>
      <c r="AE1654" s="43"/>
      <c r="AF1654" s="181"/>
    </row>
    <row r="1655" spans="1:32">
      <c r="A1655" s="84"/>
      <c r="B1655" s="39"/>
      <c r="C1655" s="40"/>
      <c r="D1655" s="41"/>
      <c r="E1655" s="40"/>
      <c r="F1655" s="41"/>
      <c r="G1655" s="101"/>
      <c r="H1655" s="38"/>
      <c r="I1655" s="42"/>
      <c r="J1655" s="42"/>
      <c r="K1655" s="43"/>
      <c r="L1655" s="43"/>
      <c r="M1655" s="44" t="str">
        <f>IF(LayTable[[#This Row],[Sport]]="","",LayTable[[#This Row],[LayInnsats]]*(LayTable[[#This Row],[LayOdds]]-1))</f>
        <v/>
      </c>
      <c r="N1655" s="45" t="str">
        <f>IF(LayTable[[#This Row],[Sport]]="","",1/((1/LayTable[[#This Row],[BookieOdds]])+(1/((1/((1+((LayTable[[#This Row],[LayOdds]]-1)*(1+LayTable[[#This Row],[C% Lay]])))-1))+1)))-1)</f>
        <v/>
      </c>
      <c r="Q1655" s="46" t="str">
        <f>IF(LayTable[[#This Row],[Sport]]="","",LayTable[[#This Row],[BookieInnsats]]+LayTable[[#This Row],[LayLiability]])</f>
        <v/>
      </c>
      <c r="R16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5" s="47" t="str">
        <f>IF(LayTable[[#This Row],[Utfall bookie]]="","",LayTable[[#This Row],[WBABack]]+LayTable[[#This Row],[WBALay]]-LayTable[[#This Row],[Total inns]])</f>
        <v/>
      </c>
      <c r="U16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5" s="48" t="str">
        <f>IFERROR(IF(LayTable[[#This Row],[Total inns]]="","",LayTable[[#This Row],[Rback]]/LayTable[[#This Row],[Total inns]]),"")</f>
        <v/>
      </c>
      <c r="X1655" s="48" t="str">
        <f>IFERROR(IF(LayTable[[#This Row],[Total inns]]="","",LayTable[[#This Row],[Rlay]]/LayTable[[#This Row],[Total inns]]),"")</f>
        <v/>
      </c>
      <c r="Y1655" s="48" t="str">
        <f>IFERROR(LayTable[[#This Row],[Faktisk res]]/LayTable[[#This Row],[Total inns]],"")</f>
        <v/>
      </c>
      <c r="Z1655" s="47">
        <f>(LayTable[[#This Row],[BookieInnsats]]*LayTable[[#This Row],[BookieOdds]]-LayTable[[#This Row],[BookieInnsats]])*(1-LayTable[[#This Row],[C% Bookie]])</f>
        <v>0</v>
      </c>
      <c r="AA1655" s="43">
        <f>LayTable[[#This Row],[LayInnsats]]*(1-LayTable[[#This Row],[C% Lay]])</f>
        <v>0</v>
      </c>
      <c r="AB1655" s="43" t="str">
        <f>IFERROR(IF(LayTable[[#This Row],[Sport]]="",AB1654,LayTable[[#This Row],[Faktisk res]]+AB1654),"")</f>
        <v/>
      </c>
      <c r="AC1655" s="43">
        <f>(LayTable[[#This Row],[BackWin-Commission]]+LayTable[[#This Row],[BookieInnsats]])</f>
        <v>0</v>
      </c>
      <c r="AD1655" s="43" t="e">
        <f>(LayTable[[#This Row],[LayWin-Commission]])+LayTable[[#This Row],[LayLiability]]</f>
        <v>#VALUE!</v>
      </c>
      <c r="AE1655" s="43"/>
      <c r="AF1655" s="181"/>
    </row>
    <row r="1656" spans="1:32">
      <c r="A1656" s="84"/>
      <c r="B1656" s="39"/>
      <c r="C1656" s="40"/>
      <c r="D1656" s="41"/>
      <c r="E1656" s="40"/>
      <c r="F1656" s="41"/>
      <c r="G1656" s="101"/>
      <c r="H1656" s="38"/>
      <c r="I1656" s="42"/>
      <c r="J1656" s="42"/>
      <c r="K1656" s="43"/>
      <c r="L1656" s="43"/>
      <c r="M1656" s="44" t="str">
        <f>IF(LayTable[[#This Row],[Sport]]="","",LayTable[[#This Row],[LayInnsats]]*(LayTable[[#This Row],[LayOdds]]-1))</f>
        <v/>
      </c>
      <c r="N1656" s="45" t="str">
        <f>IF(LayTable[[#This Row],[Sport]]="","",1/((1/LayTable[[#This Row],[BookieOdds]])+(1/((1/((1+((LayTable[[#This Row],[LayOdds]]-1)*(1+LayTable[[#This Row],[C% Lay]])))-1))+1)))-1)</f>
        <v/>
      </c>
      <c r="Q1656" s="46" t="str">
        <f>IF(LayTable[[#This Row],[Sport]]="","",LayTable[[#This Row],[BookieInnsats]]+LayTable[[#This Row],[LayLiability]])</f>
        <v/>
      </c>
      <c r="R16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6" s="47" t="str">
        <f>IF(LayTable[[#This Row],[Utfall bookie]]="","",LayTable[[#This Row],[WBABack]]+LayTable[[#This Row],[WBALay]]-LayTable[[#This Row],[Total inns]])</f>
        <v/>
      </c>
      <c r="U16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6" s="48" t="str">
        <f>IFERROR(IF(LayTable[[#This Row],[Total inns]]="","",LayTable[[#This Row],[Rback]]/LayTable[[#This Row],[Total inns]]),"")</f>
        <v/>
      </c>
      <c r="X1656" s="48" t="str">
        <f>IFERROR(IF(LayTable[[#This Row],[Total inns]]="","",LayTable[[#This Row],[Rlay]]/LayTable[[#This Row],[Total inns]]),"")</f>
        <v/>
      </c>
      <c r="Y1656" s="48" t="str">
        <f>IFERROR(LayTable[[#This Row],[Faktisk res]]/LayTable[[#This Row],[Total inns]],"")</f>
        <v/>
      </c>
      <c r="Z1656" s="47">
        <f>(LayTable[[#This Row],[BookieInnsats]]*LayTable[[#This Row],[BookieOdds]]-LayTable[[#This Row],[BookieInnsats]])*(1-LayTable[[#This Row],[C% Bookie]])</f>
        <v>0</v>
      </c>
      <c r="AA1656" s="43">
        <f>LayTable[[#This Row],[LayInnsats]]*(1-LayTable[[#This Row],[C% Lay]])</f>
        <v>0</v>
      </c>
      <c r="AB1656" s="43" t="str">
        <f>IFERROR(IF(LayTable[[#This Row],[Sport]]="",AB1655,LayTable[[#This Row],[Faktisk res]]+AB1655),"")</f>
        <v/>
      </c>
      <c r="AC1656" s="43">
        <f>(LayTable[[#This Row],[BackWin-Commission]]+LayTable[[#This Row],[BookieInnsats]])</f>
        <v>0</v>
      </c>
      <c r="AD1656" s="43" t="e">
        <f>(LayTable[[#This Row],[LayWin-Commission]])+LayTable[[#This Row],[LayLiability]]</f>
        <v>#VALUE!</v>
      </c>
      <c r="AE1656" s="43"/>
      <c r="AF1656" s="181"/>
    </row>
    <row r="1657" spans="1:32">
      <c r="A1657" s="84"/>
      <c r="B1657" s="39"/>
      <c r="C1657" s="40"/>
      <c r="D1657" s="41"/>
      <c r="E1657" s="40"/>
      <c r="F1657" s="41"/>
      <c r="G1657" s="101"/>
      <c r="H1657" s="38"/>
      <c r="I1657" s="42"/>
      <c r="J1657" s="42"/>
      <c r="K1657" s="43"/>
      <c r="L1657" s="43"/>
      <c r="M1657" s="44" t="str">
        <f>IF(LayTable[[#This Row],[Sport]]="","",LayTable[[#This Row],[LayInnsats]]*(LayTable[[#This Row],[LayOdds]]-1))</f>
        <v/>
      </c>
      <c r="N1657" s="45" t="str">
        <f>IF(LayTable[[#This Row],[Sport]]="","",1/((1/LayTable[[#This Row],[BookieOdds]])+(1/((1/((1+((LayTable[[#This Row],[LayOdds]]-1)*(1+LayTable[[#This Row],[C% Lay]])))-1))+1)))-1)</f>
        <v/>
      </c>
      <c r="Q1657" s="46" t="str">
        <f>IF(LayTable[[#This Row],[Sport]]="","",LayTable[[#This Row],[BookieInnsats]]+LayTable[[#This Row],[LayLiability]])</f>
        <v/>
      </c>
      <c r="R16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7" s="47" t="str">
        <f>IF(LayTable[[#This Row],[Utfall bookie]]="","",LayTable[[#This Row],[WBABack]]+LayTable[[#This Row],[WBALay]]-LayTable[[#This Row],[Total inns]])</f>
        <v/>
      </c>
      <c r="U16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7" s="48" t="str">
        <f>IFERROR(IF(LayTable[[#This Row],[Total inns]]="","",LayTable[[#This Row],[Rback]]/LayTable[[#This Row],[Total inns]]),"")</f>
        <v/>
      </c>
      <c r="X1657" s="48" t="str">
        <f>IFERROR(IF(LayTable[[#This Row],[Total inns]]="","",LayTable[[#This Row],[Rlay]]/LayTable[[#This Row],[Total inns]]),"")</f>
        <v/>
      </c>
      <c r="Y1657" s="48" t="str">
        <f>IFERROR(LayTable[[#This Row],[Faktisk res]]/LayTable[[#This Row],[Total inns]],"")</f>
        <v/>
      </c>
      <c r="Z1657" s="47">
        <f>(LayTable[[#This Row],[BookieInnsats]]*LayTable[[#This Row],[BookieOdds]]-LayTable[[#This Row],[BookieInnsats]])*(1-LayTable[[#This Row],[C% Bookie]])</f>
        <v>0</v>
      </c>
      <c r="AA1657" s="43">
        <f>LayTable[[#This Row],[LayInnsats]]*(1-LayTable[[#This Row],[C% Lay]])</f>
        <v>0</v>
      </c>
      <c r="AB1657" s="43" t="str">
        <f>IFERROR(IF(LayTable[[#This Row],[Sport]]="",AB1656,LayTable[[#This Row],[Faktisk res]]+AB1656),"")</f>
        <v/>
      </c>
      <c r="AC1657" s="43">
        <f>(LayTable[[#This Row],[BackWin-Commission]]+LayTable[[#This Row],[BookieInnsats]])</f>
        <v>0</v>
      </c>
      <c r="AD1657" s="43" t="e">
        <f>(LayTable[[#This Row],[LayWin-Commission]])+LayTable[[#This Row],[LayLiability]]</f>
        <v>#VALUE!</v>
      </c>
      <c r="AE1657" s="43"/>
      <c r="AF1657" s="181"/>
    </row>
    <row r="1658" spans="1:32">
      <c r="A1658" s="84"/>
      <c r="B1658" s="39"/>
      <c r="C1658" s="40"/>
      <c r="D1658" s="41"/>
      <c r="E1658" s="40"/>
      <c r="F1658" s="41"/>
      <c r="G1658" s="101"/>
      <c r="H1658" s="38"/>
      <c r="I1658" s="42"/>
      <c r="J1658" s="42"/>
      <c r="K1658" s="43"/>
      <c r="L1658" s="43"/>
      <c r="M1658" s="44" t="str">
        <f>IF(LayTable[[#This Row],[Sport]]="","",LayTable[[#This Row],[LayInnsats]]*(LayTable[[#This Row],[LayOdds]]-1))</f>
        <v/>
      </c>
      <c r="N1658" s="45" t="str">
        <f>IF(LayTable[[#This Row],[Sport]]="","",1/((1/LayTable[[#This Row],[BookieOdds]])+(1/((1/((1+((LayTable[[#This Row],[LayOdds]]-1)*(1+LayTable[[#This Row],[C% Lay]])))-1))+1)))-1)</f>
        <v/>
      </c>
      <c r="Q1658" s="46" t="str">
        <f>IF(LayTable[[#This Row],[Sport]]="","",LayTable[[#This Row],[BookieInnsats]]+LayTable[[#This Row],[LayLiability]])</f>
        <v/>
      </c>
      <c r="R16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8" s="47" t="str">
        <f>IF(LayTable[[#This Row],[Utfall bookie]]="","",LayTable[[#This Row],[WBABack]]+LayTable[[#This Row],[WBALay]]-LayTable[[#This Row],[Total inns]])</f>
        <v/>
      </c>
      <c r="U16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8" s="48" t="str">
        <f>IFERROR(IF(LayTable[[#This Row],[Total inns]]="","",LayTable[[#This Row],[Rback]]/LayTable[[#This Row],[Total inns]]),"")</f>
        <v/>
      </c>
      <c r="X1658" s="48" t="str">
        <f>IFERROR(IF(LayTable[[#This Row],[Total inns]]="","",LayTable[[#This Row],[Rlay]]/LayTable[[#This Row],[Total inns]]),"")</f>
        <v/>
      </c>
      <c r="Y1658" s="48" t="str">
        <f>IFERROR(LayTable[[#This Row],[Faktisk res]]/LayTable[[#This Row],[Total inns]],"")</f>
        <v/>
      </c>
      <c r="Z1658" s="47">
        <f>(LayTable[[#This Row],[BookieInnsats]]*LayTable[[#This Row],[BookieOdds]]-LayTable[[#This Row],[BookieInnsats]])*(1-LayTable[[#This Row],[C% Bookie]])</f>
        <v>0</v>
      </c>
      <c r="AA1658" s="43">
        <f>LayTable[[#This Row],[LayInnsats]]*(1-LayTable[[#This Row],[C% Lay]])</f>
        <v>0</v>
      </c>
      <c r="AB1658" s="43" t="str">
        <f>IFERROR(IF(LayTable[[#This Row],[Sport]]="",AB1657,LayTable[[#This Row],[Faktisk res]]+AB1657),"")</f>
        <v/>
      </c>
      <c r="AC1658" s="43">
        <f>(LayTable[[#This Row],[BackWin-Commission]]+LayTable[[#This Row],[BookieInnsats]])</f>
        <v>0</v>
      </c>
      <c r="AD1658" s="43" t="e">
        <f>(LayTable[[#This Row],[LayWin-Commission]])+LayTable[[#This Row],[LayLiability]]</f>
        <v>#VALUE!</v>
      </c>
      <c r="AE1658" s="43"/>
      <c r="AF1658" s="181"/>
    </row>
    <row r="1659" spans="1:32">
      <c r="A1659" s="84"/>
      <c r="B1659" s="39"/>
      <c r="C1659" s="40"/>
      <c r="D1659" s="41"/>
      <c r="E1659" s="40"/>
      <c r="F1659" s="41"/>
      <c r="G1659" s="101"/>
      <c r="H1659" s="38"/>
      <c r="I1659" s="42"/>
      <c r="J1659" s="42"/>
      <c r="K1659" s="43"/>
      <c r="L1659" s="43"/>
      <c r="M1659" s="44" t="str">
        <f>IF(LayTable[[#This Row],[Sport]]="","",LayTable[[#This Row],[LayInnsats]]*(LayTable[[#This Row],[LayOdds]]-1))</f>
        <v/>
      </c>
      <c r="N1659" s="45" t="str">
        <f>IF(LayTable[[#This Row],[Sport]]="","",1/((1/LayTable[[#This Row],[BookieOdds]])+(1/((1/((1+((LayTable[[#This Row],[LayOdds]]-1)*(1+LayTable[[#This Row],[C% Lay]])))-1))+1)))-1)</f>
        <v/>
      </c>
      <c r="Q1659" s="46" t="str">
        <f>IF(LayTable[[#This Row],[Sport]]="","",LayTable[[#This Row],[BookieInnsats]]+LayTable[[#This Row],[LayLiability]])</f>
        <v/>
      </c>
      <c r="R16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59" s="47" t="str">
        <f>IF(LayTable[[#This Row],[Utfall bookie]]="","",LayTable[[#This Row],[WBABack]]+LayTable[[#This Row],[WBALay]]-LayTable[[#This Row],[Total inns]])</f>
        <v/>
      </c>
      <c r="U16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59" s="48" t="str">
        <f>IFERROR(IF(LayTable[[#This Row],[Total inns]]="","",LayTable[[#This Row],[Rback]]/LayTable[[#This Row],[Total inns]]),"")</f>
        <v/>
      </c>
      <c r="X1659" s="48" t="str">
        <f>IFERROR(IF(LayTable[[#This Row],[Total inns]]="","",LayTable[[#This Row],[Rlay]]/LayTable[[#This Row],[Total inns]]),"")</f>
        <v/>
      </c>
      <c r="Y1659" s="48" t="str">
        <f>IFERROR(LayTable[[#This Row],[Faktisk res]]/LayTable[[#This Row],[Total inns]],"")</f>
        <v/>
      </c>
      <c r="Z1659" s="47">
        <f>(LayTable[[#This Row],[BookieInnsats]]*LayTable[[#This Row],[BookieOdds]]-LayTable[[#This Row],[BookieInnsats]])*(1-LayTable[[#This Row],[C% Bookie]])</f>
        <v>0</v>
      </c>
      <c r="AA1659" s="43">
        <f>LayTable[[#This Row],[LayInnsats]]*(1-LayTable[[#This Row],[C% Lay]])</f>
        <v>0</v>
      </c>
      <c r="AB1659" s="43" t="str">
        <f>IFERROR(IF(LayTable[[#This Row],[Sport]]="",AB1658,LayTable[[#This Row],[Faktisk res]]+AB1658),"")</f>
        <v/>
      </c>
      <c r="AC1659" s="43">
        <f>(LayTable[[#This Row],[BackWin-Commission]]+LayTable[[#This Row],[BookieInnsats]])</f>
        <v>0</v>
      </c>
      <c r="AD1659" s="43" t="e">
        <f>(LayTable[[#This Row],[LayWin-Commission]])+LayTable[[#This Row],[LayLiability]]</f>
        <v>#VALUE!</v>
      </c>
      <c r="AE1659" s="43"/>
      <c r="AF1659" s="181"/>
    </row>
    <row r="1660" spans="1:32">
      <c r="A1660" s="84"/>
      <c r="B1660" s="39"/>
      <c r="C1660" s="40"/>
      <c r="D1660" s="41"/>
      <c r="E1660" s="40"/>
      <c r="F1660" s="41"/>
      <c r="G1660" s="101"/>
      <c r="H1660" s="38"/>
      <c r="I1660" s="42"/>
      <c r="J1660" s="42"/>
      <c r="K1660" s="43"/>
      <c r="L1660" s="43"/>
      <c r="M1660" s="44" t="str">
        <f>IF(LayTable[[#This Row],[Sport]]="","",LayTable[[#This Row],[LayInnsats]]*(LayTable[[#This Row],[LayOdds]]-1))</f>
        <v/>
      </c>
      <c r="N1660" s="45" t="str">
        <f>IF(LayTable[[#This Row],[Sport]]="","",1/((1/LayTable[[#This Row],[BookieOdds]])+(1/((1/((1+((LayTable[[#This Row],[LayOdds]]-1)*(1+LayTable[[#This Row],[C% Lay]])))-1))+1)))-1)</f>
        <v/>
      </c>
      <c r="Q1660" s="46" t="str">
        <f>IF(LayTable[[#This Row],[Sport]]="","",LayTable[[#This Row],[BookieInnsats]]+LayTable[[#This Row],[LayLiability]])</f>
        <v/>
      </c>
      <c r="R16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0" s="47" t="str">
        <f>IF(LayTable[[#This Row],[Utfall bookie]]="","",LayTable[[#This Row],[WBABack]]+LayTable[[#This Row],[WBALay]]-LayTable[[#This Row],[Total inns]])</f>
        <v/>
      </c>
      <c r="U16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0" s="48" t="str">
        <f>IFERROR(IF(LayTable[[#This Row],[Total inns]]="","",LayTable[[#This Row],[Rback]]/LayTable[[#This Row],[Total inns]]),"")</f>
        <v/>
      </c>
      <c r="X1660" s="48" t="str">
        <f>IFERROR(IF(LayTable[[#This Row],[Total inns]]="","",LayTable[[#This Row],[Rlay]]/LayTable[[#This Row],[Total inns]]),"")</f>
        <v/>
      </c>
      <c r="Y1660" s="48" t="str">
        <f>IFERROR(LayTable[[#This Row],[Faktisk res]]/LayTable[[#This Row],[Total inns]],"")</f>
        <v/>
      </c>
      <c r="Z1660" s="47">
        <f>(LayTable[[#This Row],[BookieInnsats]]*LayTable[[#This Row],[BookieOdds]]-LayTable[[#This Row],[BookieInnsats]])*(1-LayTable[[#This Row],[C% Bookie]])</f>
        <v>0</v>
      </c>
      <c r="AA1660" s="43">
        <f>LayTable[[#This Row],[LayInnsats]]*(1-LayTable[[#This Row],[C% Lay]])</f>
        <v>0</v>
      </c>
      <c r="AB1660" s="43" t="str">
        <f>IFERROR(IF(LayTable[[#This Row],[Sport]]="",AB1659,LayTable[[#This Row],[Faktisk res]]+AB1659),"")</f>
        <v/>
      </c>
      <c r="AC1660" s="43">
        <f>(LayTable[[#This Row],[BackWin-Commission]]+LayTable[[#This Row],[BookieInnsats]])</f>
        <v>0</v>
      </c>
      <c r="AD1660" s="43" t="e">
        <f>(LayTable[[#This Row],[LayWin-Commission]])+LayTable[[#This Row],[LayLiability]]</f>
        <v>#VALUE!</v>
      </c>
      <c r="AE1660" s="43"/>
      <c r="AF1660" s="181"/>
    </row>
    <row r="1661" spans="1:32">
      <c r="A1661" s="84"/>
      <c r="B1661" s="39"/>
      <c r="C1661" s="40"/>
      <c r="D1661" s="41"/>
      <c r="E1661" s="40"/>
      <c r="F1661" s="41"/>
      <c r="G1661" s="101"/>
      <c r="H1661" s="38"/>
      <c r="I1661" s="42"/>
      <c r="J1661" s="42"/>
      <c r="K1661" s="43"/>
      <c r="L1661" s="43"/>
      <c r="M1661" s="44" t="str">
        <f>IF(LayTable[[#This Row],[Sport]]="","",LayTable[[#This Row],[LayInnsats]]*(LayTable[[#This Row],[LayOdds]]-1))</f>
        <v/>
      </c>
      <c r="N1661" s="45" t="str">
        <f>IF(LayTable[[#This Row],[Sport]]="","",1/((1/LayTable[[#This Row],[BookieOdds]])+(1/((1/((1+((LayTable[[#This Row],[LayOdds]]-1)*(1+LayTable[[#This Row],[C% Lay]])))-1))+1)))-1)</f>
        <v/>
      </c>
      <c r="Q1661" s="46" t="str">
        <f>IF(LayTable[[#This Row],[Sport]]="","",LayTable[[#This Row],[BookieInnsats]]+LayTable[[#This Row],[LayLiability]])</f>
        <v/>
      </c>
      <c r="R16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1" s="47" t="str">
        <f>IF(LayTable[[#This Row],[Utfall bookie]]="","",LayTable[[#This Row],[WBABack]]+LayTable[[#This Row],[WBALay]]-LayTable[[#This Row],[Total inns]])</f>
        <v/>
      </c>
      <c r="U16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1" s="48" t="str">
        <f>IFERROR(IF(LayTable[[#This Row],[Total inns]]="","",LayTable[[#This Row],[Rback]]/LayTable[[#This Row],[Total inns]]),"")</f>
        <v/>
      </c>
      <c r="X1661" s="48" t="str">
        <f>IFERROR(IF(LayTable[[#This Row],[Total inns]]="","",LayTable[[#This Row],[Rlay]]/LayTable[[#This Row],[Total inns]]),"")</f>
        <v/>
      </c>
      <c r="Y1661" s="48" t="str">
        <f>IFERROR(LayTable[[#This Row],[Faktisk res]]/LayTable[[#This Row],[Total inns]],"")</f>
        <v/>
      </c>
      <c r="Z1661" s="47">
        <f>(LayTable[[#This Row],[BookieInnsats]]*LayTable[[#This Row],[BookieOdds]]-LayTable[[#This Row],[BookieInnsats]])*(1-LayTable[[#This Row],[C% Bookie]])</f>
        <v>0</v>
      </c>
      <c r="AA1661" s="43">
        <f>LayTable[[#This Row],[LayInnsats]]*(1-LayTable[[#This Row],[C% Lay]])</f>
        <v>0</v>
      </c>
      <c r="AB1661" s="43" t="str">
        <f>IFERROR(IF(LayTable[[#This Row],[Sport]]="",AB1660,LayTable[[#This Row],[Faktisk res]]+AB1660),"")</f>
        <v/>
      </c>
      <c r="AC1661" s="43">
        <f>(LayTable[[#This Row],[BackWin-Commission]]+LayTable[[#This Row],[BookieInnsats]])</f>
        <v>0</v>
      </c>
      <c r="AD1661" s="43" t="e">
        <f>(LayTable[[#This Row],[LayWin-Commission]])+LayTable[[#This Row],[LayLiability]]</f>
        <v>#VALUE!</v>
      </c>
      <c r="AE1661" s="43"/>
      <c r="AF1661" s="181"/>
    </row>
    <row r="1662" spans="1:32">
      <c r="A1662" s="84"/>
      <c r="B1662" s="39"/>
      <c r="C1662" s="40"/>
      <c r="D1662" s="41"/>
      <c r="E1662" s="40"/>
      <c r="F1662" s="41"/>
      <c r="G1662" s="101"/>
      <c r="H1662" s="38"/>
      <c r="I1662" s="42"/>
      <c r="J1662" s="42"/>
      <c r="K1662" s="43"/>
      <c r="L1662" s="43"/>
      <c r="M1662" s="44" t="str">
        <f>IF(LayTable[[#This Row],[Sport]]="","",LayTable[[#This Row],[LayInnsats]]*(LayTable[[#This Row],[LayOdds]]-1))</f>
        <v/>
      </c>
      <c r="N1662" s="45" t="str">
        <f>IF(LayTable[[#This Row],[Sport]]="","",1/((1/LayTable[[#This Row],[BookieOdds]])+(1/((1/((1+((LayTable[[#This Row],[LayOdds]]-1)*(1+LayTable[[#This Row],[C% Lay]])))-1))+1)))-1)</f>
        <v/>
      </c>
      <c r="Q1662" s="46" t="str">
        <f>IF(LayTable[[#This Row],[Sport]]="","",LayTable[[#This Row],[BookieInnsats]]+LayTable[[#This Row],[LayLiability]])</f>
        <v/>
      </c>
      <c r="R16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2" s="47" t="str">
        <f>IF(LayTable[[#This Row],[Utfall bookie]]="","",LayTable[[#This Row],[WBABack]]+LayTable[[#This Row],[WBALay]]-LayTable[[#This Row],[Total inns]])</f>
        <v/>
      </c>
      <c r="U16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2" s="48" t="str">
        <f>IFERROR(IF(LayTable[[#This Row],[Total inns]]="","",LayTable[[#This Row],[Rback]]/LayTable[[#This Row],[Total inns]]),"")</f>
        <v/>
      </c>
      <c r="X1662" s="48" t="str">
        <f>IFERROR(IF(LayTable[[#This Row],[Total inns]]="","",LayTable[[#This Row],[Rlay]]/LayTable[[#This Row],[Total inns]]),"")</f>
        <v/>
      </c>
      <c r="Y1662" s="48" t="str">
        <f>IFERROR(LayTable[[#This Row],[Faktisk res]]/LayTable[[#This Row],[Total inns]],"")</f>
        <v/>
      </c>
      <c r="Z1662" s="47">
        <f>(LayTable[[#This Row],[BookieInnsats]]*LayTable[[#This Row],[BookieOdds]]-LayTable[[#This Row],[BookieInnsats]])*(1-LayTable[[#This Row],[C% Bookie]])</f>
        <v>0</v>
      </c>
      <c r="AA1662" s="43">
        <f>LayTable[[#This Row],[LayInnsats]]*(1-LayTable[[#This Row],[C% Lay]])</f>
        <v>0</v>
      </c>
      <c r="AB1662" s="43" t="str">
        <f>IFERROR(IF(LayTable[[#This Row],[Sport]]="",AB1661,LayTable[[#This Row],[Faktisk res]]+AB1661),"")</f>
        <v/>
      </c>
      <c r="AC1662" s="43">
        <f>(LayTable[[#This Row],[BackWin-Commission]]+LayTable[[#This Row],[BookieInnsats]])</f>
        <v>0</v>
      </c>
      <c r="AD1662" s="43" t="e">
        <f>(LayTable[[#This Row],[LayWin-Commission]])+LayTable[[#This Row],[LayLiability]]</f>
        <v>#VALUE!</v>
      </c>
      <c r="AE1662" s="43"/>
      <c r="AF1662" s="181"/>
    </row>
    <row r="1663" spans="1:32">
      <c r="A1663" s="84"/>
      <c r="B1663" s="39"/>
      <c r="C1663" s="40"/>
      <c r="D1663" s="41"/>
      <c r="E1663" s="40"/>
      <c r="F1663" s="41"/>
      <c r="G1663" s="101"/>
      <c r="H1663" s="38"/>
      <c r="I1663" s="42"/>
      <c r="J1663" s="42"/>
      <c r="K1663" s="43"/>
      <c r="L1663" s="43"/>
      <c r="M1663" s="44" t="str">
        <f>IF(LayTable[[#This Row],[Sport]]="","",LayTable[[#This Row],[LayInnsats]]*(LayTable[[#This Row],[LayOdds]]-1))</f>
        <v/>
      </c>
      <c r="N1663" s="45" t="str">
        <f>IF(LayTable[[#This Row],[Sport]]="","",1/((1/LayTable[[#This Row],[BookieOdds]])+(1/((1/((1+((LayTable[[#This Row],[LayOdds]]-1)*(1+LayTable[[#This Row],[C% Lay]])))-1))+1)))-1)</f>
        <v/>
      </c>
      <c r="Q1663" s="46" t="str">
        <f>IF(LayTable[[#This Row],[Sport]]="","",LayTable[[#This Row],[BookieInnsats]]+LayTable[[#This Row],[LayLiability]])</f>
        <v/>
      </c>
      <c r="R16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3" s="47" t="str">
        <f>IF(LayTable[[#This Row],[Utfall bookie]]="","",LayTable[[#This Row],[WBABack]]+LayTable[[#This Row],[WBALay]]-LayTable[[#This Row],[Total inns]])</f>
        <v/>
      </c>
      <c r="U16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3" s="48" t="str">
        <f>IFERROR(IF(LayTable[[#This Row],[Total inns]]="","",LayTable[[#This Row],[Rback]]/LayTable[[#This Row],[Total inns]]),"")</f>
        <v/>
      </c>
      <c r="X1663" s="48" t="str">
        <f>IFERROR(IF(LayTable[[#This Row],[Total inns]]="","",LayTable[[#This Row],[Rlay]]/LayTable[[#This Row],[Total inns]]),"")</f>
        <v/>
      </c>
      <c r="Y1663" s="48" t="str">
        <f>IFERROR(LayTable[[#This Row],[Faktisk res]]/LayTable[[#This Row],[Total inns]],"")</f>
        <v/>
      </c>
      <c r="Z1663" s="47">
        <f>(LayTable[[#This Row],[BookieInnsats]]*LayTable[[#This Row],[BookieOdds]]-LayTable[[#This Row],[BookieInnsats]])*(1-LayTable[[#This Row],[C% Bookie]])</f>
        <v>0</v>
      </c>
      <c r="AA1663" s="43">
        <f>LayTable[[#This Row],[LayInnsats]]*(1-LayTable[[#This Row],[C% Lay]])</f>
        <v>0</v>
      </c>
      <c r="AB1663" s="43" t="str">
        <f>IFERROR(IF(LayTable[[#This Row],[Sport]]="",AB1662,LayTable[[#This Row],[Faktisk res]]+AB1662),"")</f>
        <v/>
      </c>
      <c r="AC1663" s="43">
        <f>(LayTable[[#This Row],[BackWin-Commission]]+LayTable[[#This Row],[BookieInnsats]])</f>
        <v>0</v>
      </c>
      <c r="AD1663" s="43" t="e">
        <f>(LayTable[[#This Row],[LayWin-Commission]])+LayTable[[#This Row],[LayLiability]]</f>
        <v>#VALUE!</v>
      </c>
      <c r="AE1663" s="43"/>
      <c r="AF1663" s="181"/>
    </row>
    <row r="1664" spans="1:32">
      <c r="A1664" s="84"/>
      <c r="B1664" s="39"/>
      <c r="C1664" s="40"/>
      <c r="D1664" s="41"/>
      <c r="E1664" s="40"/>
      <c r="F1664" s="41"/>
      <c r="G1664" s="101"/>
      <c r="H1664" s="38"/>
      <c r="I1664" s="42"/>
      <c r="J1664" s="42"/>
      <c r="K1664" s="43"/>
      <c r="L1664" s="43"/>
      <c r="M1664" s="44" t="str">
        <f>IF(LayTable[[#This Row],[Sport]]="","",LayTable[[#This Row],[LayInnsats]]*(LayTable[[#This Row],[LayOdds]]-1))</f>
        <v/>
      </c>
      <c r="N1664" s="45" t="str">
        <f>IF(LayTable[[#This Row],[Sport]]="","",1/((1/LayTable[[#This Row],[BookieOdds]])+(1/((1/((1+((LayTable[[#This Row],[LayOdds]]-1)*(1+LayTable[[#This Row],[C% Lay]])))-1))+1)))-1)</f>
        <v/>
      </c>
      <c r="Q1664" s="46" t="str">
        <f>IF(LayTable[[#This Row],[Sport]]="","",LayTable[[#This Row],[BookieInnsats]]+LayTable[[#This Row],[LayLiability]])</f>
        <v/>
      </c>
      <c r="R16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4" s="47" t="str">
        <f>IF(LayTable[[#This Row],[Utfall bookie]]="","",LayTable[[#This Row],[WBABack]]+LayTable[[#This Row],[WBALay]]-LayTable[[#This Row],[Total inns]])</f>
        <v/>
      </c>
      <c r="U16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4" s="48" t="str">
        <f>IFERROR(IF(LayTable[[#This Row],[Total inns]]="","",LayTable[[#This Row],[Rback]]/LayTable[[#This Row],[Total inns]]),"")</f>
        <v/>
      </c>
      <c r="X1664" s="48" t="str">
        <f>IFERROR(IF(LayTable[[#This Row],[Total inns]]="","",LayTable[[#This Row],[Rlay]]/LayTable[[#This Row],[Total inns]]),"")</f>
        <v/>
      </c>
      <c r="Y1664" s="48" t="str">
        <f>IFERROR(LayTable[[#This Row],[Faktisk res]]/LayTable[[#This Row],[Total inns]],"")</f>
        <v/>
      </c>
      <c r="Z1664" s="47">
        <f>(LayTable[[#This Row],[BookieInnsats]]*LayTable[[#This Row],[BookieOdds]]-LayTable[[#This Row],[BookieInnsats]])*(1-LayTable[[#This Row],[C% Bookie]])</f>
        <v>0</v>
      </c>
      <c r="AA1664" s="43">
        <f>LayTable[[#This Row],[LayInnsats]]*(1-LayTable[[#This Row],[C% Lay]])</f>
        <v>0</v>
      </c>
      <c r="AB1664" s="43" t="str">
        <f>IFERROR(IF(LayTable[[#This Row],[Sport]]="",AB1663,LayTable[[#This Row],[Faktisk res]]+AB1663),"")</f>
        <v/>
      </c>
      <c r="AC1664" s="43">
        <f>(LayTable[[#This Row],[BackWin-Commission]]+LayTable[[#This Row],[BookieInnsats]])</f>
        <v>0</v>
      </c>
      <c r="AD1664" s="43" t="e">
        <f>(LayTable[[#This Row],[LayWin-Commission]])+LayTable[[#This Row],[LayLiability]]</f>
        <v>#VALUE!</v>
      </c>
      <c r="AE1664" s="43"/>
      <c r="AF1664" s="181"/>
    </row>
    <row r="1665" spans="1:32">
      <c r="A1665" s="84"/>
      <c r="B1665" s="39"/>
      <c r="C1665" s="40"/>
      <c r="D1665" s="41"/>
      <c r="E1665" s="40"/>
      <c r="F1665" s="41"/>
      <c r="G1665" s="101"/>
      <c r="H1665" s="38"/>
      <c r="I1665" s="42"/>
      <c r="J1665" s="42"/>
      <c r="K1665" s="43"/>
      <c r="L1665" s="43"/>
      <c r="M1665" s="44" t="str">
        <f>IF(LayTable[[#This Row],[Sport]]="","",LayTable[[#This Row],[LayInnsats]]*(LayTable[[#This Row],[LayOdds]]-1))</f>
        <v/>
      </c>
      <c r="N1665" s="45" t="str">
        <f>IF(LayTable[[#This Row],[Sport]]="","",1/((1/LayTable[[#This Row],[BookieOdds]])+(1/((1/((1+((LayTable[[#This Row],[LayOdds]]-1)*(1+LayTable[[#This Row],[C% Lay]])))-1))+1)))-1)</f>
        <v/>
      </c>
      <c r="Q1665" s="46" t="str">
        <f>IF(LayTable[[#This Row],[Sport]]="","",LayTable[[#This Row],[BookieInnsats]]+LayTable[[#This Row],[LayLiability]])</f>
        <v/>
      </c>
      <c r="R16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5" s="47" t="str">
        <f>IF(LayTable[[#This Row],[Utfall bookie]]="","",LayTable[[#This Row],[WBABack]]+LayTable[[#This Row],[WBALay]]-LayTable[[#This Row],[Total inns]])</f>
        <v/>
      </c>
      <c r="U16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5" s="48" t="str">
        <f>IFERROR(IF(LayTable[[#This Row],[Total inns]]="","",LayTable[[#This Row],[Rback]]/LayTable[[#This Row],[Total inns]]),"")</f>
        <v/>
      </c>
      <c r="X1665" s="48" t="str">
        <f>IFERROR(IF(LayTable[[#This Row],[Total inns]]="","",LayTable[[#This Row],[Rlay]]/LayTable[[#This Row],[Total inns]]),"")</f>
        <v/>
      </c>
      <c r="Y1665" s="48" t="str">
        <f>IFERROR(LayTable[[#This Row],[Faktisk res]]/LayTable[[#This Row],[Total inns]],"")</f>
        <v/>
      </c>
      <c r="Z1665" s="47">
        <f>(LayTable[[#This Row],[BookieInnsats]]*LayTable[[#This Row],[BookieOdds]]-LayTable[[#This Row],[BookieInnsats]])*(1-LayTable[[#This Row],[C% Bookie]])</f>
        <v>0</v>
      </c>
      <c r="AA1665" s="43">
        <f>LayTable[[#This Row],[LayInnsats]]*(1-LayTable[[#This Row],[C% Lay]])</f>
        <v>0</v>
      </c>
      <c r="AB1665" s="43" t="str">
        <f>IFERROR(IF(LayTable[[#This Row],[Sport]]="",AB1664,LayTable[[#This Row],[Faktisk res]]+AB1664),"")</f>
        <v/>
      </c>
      <c r="AC1665" s="43">
        <f>(LayTable[[#This Row],[BackWin-Commission]]+LayTable[[#This Row],[BookieInnsats]])</f>
        <v>0</v>
      </c>
      <c r="AD1665" s="43" t="e">
        <f>(LayTable[[#This Row],[LayWin-Commission]])+LayTable[[#This Row],[LayLiability]]</f>
        <v>#VALUE!</v>
      </c>
      <c r="AE1665" s="43"/>
      <c r="AF1665" s="181"/>
    </row>
    <row r="1666" spans="1:32">
      <c r="A1666" s="84"/>
      <c r="B1666" s="39"/>
      <c r="C1666" s="40"/>
      <c r="D1666" s="41"/>
      <c r="E1666" s="40"/>
      <c r="F1666" s="41"/>
      <c r="G1666" s="101"/>
      <c r="H1666" s="38"/>
      <c r="I1666" s="42"/>
      <c r="J1666" s="42"/>
      <c r="K1666" s="43"/>
      <c r="L1666" s="43"/>
      <c r="M1666" s="44" t="str">
        <f>IF(LayTable[[#This Row],[Sport]]="","",LayTable[[#This Row],[LayInnsats]]*(LayTable[[#This Row],[LayOdds]]-1))</f>
        <v/>
      </c>
      <c r="N1666" s="45" t="str">
        <f>IF(LayTable[[#This Row],[Sport]]="","",1/((1/LayTable[[#This Row],[BookieOdds]])+(1/((1/((1+((LayTable[[#This Row],[LayOdds]]-1)*(1+LayTable[[#This Row],[C% Lay]])))-1))+1)))-1)</f>
        <v/>
      </c>
      <c r="Q1666" s="46" t="str">
        <f>IF(LayTable[[#This Row],[Sport]]="","",LayTable[[#This Row],[BookieInnsats]]+LayTable[[#This Row],[LayLiability]])</f>
        <v/>
      </c>
      <c r="R16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6" s="47" t="str">
        <f>IF(LayTable[[#This Row],[Utfall bookie]]="","",LayTable[[#This Row],[WBABack]]+LayTable[[#This Row],[WBALay]]-LayTable[[#This Row],[Total inns]])</f>
        <v/>
      </c>
      <c r="U16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6" s="48" t="str">
        <f>IFERROR(IF(LayTable[[#This Row],[Total inns]]="","",LayTable[[#This Row],[Rback]]/LayTable[[#This Row],[Total inns]]),"")</f>
        <v/>
      </c>
      <c r="X1666" s="48" t="str">
        <f>IFERROR(IF(LayTable[[#This Row],[Total inns]]="","",LayTable[[#This Row],[Rlay]]/LayTable[[#This Row],[Total inns]]),"")</f>
        <v/>
      </c>
      <c r="Y1666" s="48" t="str">
        <f>IFERROR(LayTable[[#This Row],[Faktisk res]]/LayTable[[#This Row],[Total inns]],"")</f>
        <v/>
      </c>
      <c r="Z1666" s="47">
        <f>(LayTable[[#This Row],[BookieInnsats]]*LayTable[[#This Row],[BookieOdds]]-LayTable[[#This Row],[BookieInnsats]])*(1-LayTable[[#This Row],[C% Bookie]])</f>
        <v>0</v>
      </c>
      <c r="AA1666" s="43">
        <f>LayTable[[#This Row],[LayInnsats]]*(1-LayTable[[#This Row],[C% Lay]])</f>
        <v>0</v>
      </c>
      <c r="AB1666" s="43" t="str">
        <f>IFERROR(IF(LayTable[[#This Row],[Sport]]="",AB1665,LayTable[[#This Row],[Faktisk res]]+AB1665),"")</f>
        <v/>
      </c>
      <c r="AC1666" s="43">
        <f>(LayTable[[#This Row],[BackWin-Commission]]+LayTable[[#This Row],[BookieInnsats]])</f>
        <v>0</v>
      </c>
      <c r="AD1666" s="43" t="e">
        <f>(LayTable[[#This Row],[LayWin-Commission]])+LayTable[[#This Row],[LayLiability]]</f>
        <v>#VALUE!</v>
      </c>
      <c r="AE1666" s="43"/>
      <c r="AF1666" s="181"/>
    </row>
    <row r="1667" spans="1:32">
      <c r="A1667" s="84"/>
      <c r="B1667" s="39"/>
      <c r="C1667" s="40"/>
      <c r="D1667" s="41"/>
      <c r="E1667" s="40"/>
      <c r="F1667" s="41"/>
      <c r="G1667" s="101"/>
      <c r="H1667" s="38"/>
      <c r="I1667" s="42"/>
      <c r="J1667" s="42"/>
      <c r="K1667" s="43"/>
      <c r="L1667" s="43"/>
      <c r="M1667" s="44" t="str">
        <f>IF(LayTable[[#This Row],[Sport]]="","",LayTable[[#This Row],[LayInnsats]]*(LayTable[[#This Row],[LayOdds]]-1))</f>
        <v/>
      </c>
      <c r="N1667" s="45" t="str">
        <f>IF(LayTable[[#This Row],[Sport]]="","",1/((1/LayTable[[#This Row],[BookieOdds]])+(1/((1/((1+((LayTable[[#This Row],[LayOdds]]-1)*(1+LayTable[[#This Row],[C% Lay]])))-1))+1)))-1)</f>
        <v/>
      </c>
      <c r="Q1667" s="46" t="str">
        <f>IF(LayTable[[#This Row],[Sport]]="","",LayTable[[#This Row],[BookieInnsats]]+LayTable[[#This Row],[LayLiability]])</f>
        <v/>
      </c>
      <c r="R16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7" s="47" t="str">
        <f>IF(LayTable[[#This Row],[Utfall bookie]]="","",LayTable[[#This Row],[WBABack]]+LayTable[[#This Row],[WBALay]]-LayTable[[#This Row],[Total inns]])</f>
        <v/>
      </c>
      <c r="U16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7" s="48" t="str">
        <f>IFERROR(IF(LayTable[[#This Row],[Total inns]]="","",LayTable[[#This Row],[Rback]]/LayTable[[#This Row],[Total inns]]),"")</f>
        <v/>
      </c>
      <c r="X1667" s="48" t="str">
        <f>IFERROR(IF(LayTable[[#This Row],[Total inns]]="","",LayTable[[#This Row],[Rlay]]/LayTable[[#This Row],[Total inns]]),"")</f>
        <v/>
      </c>
      <c r="Y1667" s="48" t="str">
        <f>IFERROR(LayTable[[#This Row],[Faktisk res]]/LayTable[[#This Row],[Total inns]],"")</f>
        <v/>
      </c>
      <c r="Z1667" s="47">
        <f>(LayTable[[#This Row],[BookieInnsats]]*LayTable[[#This Row],[BookieOdds]]-LayTable[[#This Row],[BookieInnsats]])*(1-LayTable[[#This Row],[C% Bookie]])</f>
        <v>0</v>
      </c>
      <c r="AA1667" s="43">
        <f>LayTable[[#This Row],[LayInnsats]]*(1-LayTable[[#This Row],[C% Lay]])</f>
        <v>0</v>
      </c>
      <c r="AB1667" s="43" t="str">
        <f>IFERROR(IF(LayTable[[#This Row],[Sport]]="",AB1666,LayTable[[#This Row],[Faktisk res]]+AB1666),"")</f>
        <v/>
      </c>
      <c r="AC1667" s="43">
        <f>(LayTable[[#This Row],[BackWin-Commission]]+LayTable[[#This Row],[BookieInnsats]])</f>
        <v>0</v>
      </c>
      <c r="AD1667" s="43" t="e">
        <f>(LayTable[[#This Row],[LayWin-Commission]])+LayTable[[#This Row],[LayLiability]]</f>
        <v>#VALUE!</v>
      </c>
      <c r="AE1667" s="43"/>
      <c r="AF1667" s="181"/>
    </row>
    <row r="1668" spans="1:32">
      <c r="A1668" s="84"/>
      <c r="B1668" s="39"/>
      <c r="C1668" s="40"/>
      <c r="D1668" s="41"/>
      <c r="E1668" s="40"/>
      <c r="F1668" s="41"/>
      <c r="G1668" s="101"/>
      <c r="H1668" s="38"/>
      <c r="I1668" s="42"/>
      <c r="J1668" s="42"/>
      <c r="K1668" s="43"/>
      <c r="L1668" s="43"/>
      <c r="M1668" s="44" t="str">
        <f>IF(LayTable[[#This Row],[Sport]]="","",LayTable[[#This Row],[LayInnsats]]*(LayTable[[#This Row],[LayOdds]]-1))</f>
        <v/>
      </c>
      <c r="N1668" s="45" t="str">
        <f>IF(LayTable[[#This Row],[Sport]]="","",1/((1/LayTable[[#This Row],[BookieOdds]])+(1/((1/((1+((LayTable[[#This Row],[LayOdds]]-1)*(1+LayTable[[#This Row],[C% Lay]])))-1))+1)))-1)</f>
        <v/>
      </c>
      <c r="Q1668" s="46" t="str">
        <f>IF(LayTable[[#This Row],[Sport]]="","",LayTable[[#This Row],[BookieInnsats]]+LayTable[[#This Row],[LayLiability]])</f>
        <v/>
      </c>
      <c r="R16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8" s="47" t="str">
        <f>IF(LayTable[[#This Row],[Utfall bookie]]="","",LayTable[[#This Row],[WBABack]]+LayTable[[#This Row],[WBALay]]-LayTable[[#This Row],[Total inns]])</f>
        <v/>
      </c>
      <c r="U16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8" s="48" t="str">
        <f>IFERROR(IF(LayTable[[#This Row],[Total inns]]="","",LayTable[[#This Row],[Rback]]/LayTable[[#This Row],[Total inns]]),"")</f>
        <v/>
      </c>
      <c r="X1668" s="48" t="str">
        <f>IFERROR(IF(LayTable[[#This Row],[Total inns]]="","",LayTable[[#This Row],[Rlay]]/LayTable[[#This Row],[Total inns]]),"")</f>
        <v/>
      </c>
      <c r="Y1668" s="48" t="str">
        <f>IFERROR(LayTable[[#This Row],[Faktisk res]]/LayTable[[#This Row],[Total inns]],"")</f>
        <v/>
      </c>
      <c r="Z1668" s="47">
        <f>(LayTable[[#This Row],[BookieInnsats]]*LayTable[[#This Row],[BookieOdds]]-LayTable[[#This Row],[BookieInnsats]])*(1-LayTable[[#This Row],[C% Bookie]])</f>
        <v>0</v>
      </c>
      <c r="AA1668" s="43">
        <f>LayTable[[#This Row],[LayInnsats]]*(1-LayTable[[#This Row],[C% Lay]])</f>
        <v>0</v>
      </c>
      <c r="AB1668" s="43" t="str">
        <f>IFERROR(IF(LayTable[[#This Row],[Sport]]="",AB1667,LayTable[[#This Row],[Faktisk res]]+AB1667),"")</f>
        <v/>
      </c>
      <c r="AC1668" s="43">
        <f>(LayTable[[#This Row],[BackWin-Commission]]+LayTable[[#This Row],[BookieInnsats]])</f>
        <v>0</v>
      </c>
      <c r="AD1668" s="43" t="e">
        <f>(LayTable[[#This Row],[LayWin-Commission]])+LayTable[[#This Row],[LayLiability]]</f>
        <v>#VALUE!</v>
      </c>
      <c r="AE1668" s="43"/>
      <c r="AF1668" s="181"/>
    </row>
    <row r="1669" spans="1:32">
      <c r="A1669" s="84"/>
      <c r="B1669" s="39"/>
      <c r="C1669" s="40"/>
      <c r="D1669" s="41"/>
      <c r="E1669" s="40"/>
      <c r="F1669" s="41"/>
      <c r="G1669" s="101"/>
      <c r="H1669" s="38"/>
      <c r="I1669" s="42"/>
      <c r="J1669" s="42"/>
      <c r="K1669" s="43"/>
      <c r="L1669" s="43"/>
      <c r="M1669" s="44" t="str">
        <f>IF(LayTable[[#This Row],[Sport]]="","",LayTable[[#This Row],[LayInnsats]]*(LayTable[[#This Row],[LayOdds]]-1))</f>
        <v/>
      </c>
      <c r="N1669" s="45" t="str">
        <f>IF(LayTable[[#This Row],[Sport]]="","",1/((1/LayTable[[#This Row],[BookieOdds]])+(1/((1/((1+((LayTable[[#This Row],[LayOdds]]-1)*(1+LayTable[[#This Row],[C% Lay]])))-1))+1)))-1)</f>
        <v/>
      </c>
      <c r="Q1669" s="46" t="str">
        <f>IF(LayTable[[#This Row],[Sport]]="","",LayTable[[#This Row],[BookieInnsats]]+LayTable[[#This Row],[LayLiability]])</f>
        <v/>
      </c>
      <c r="R16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69" s="47" t="str">
        <f>IF(LayTable[[#This Row],[Utfall bookie]]="","",LayTable[[#This Row],[WBABack]]+LayTable[[#This Row],[WBALay]]-LayTable[[#This Row],[Total inns]])</f>
        <v/>
      </c>
      <c r="U16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69" s="48" t="str">
        <f>IFERROR(IF(LayTable[[#This Row],[Total inns]]="","",LayTable[[#This Row],[Rback]]/LayTable[[#This Row],[Total inns]]),"")</f>
        <v/>
      </c>
      <c r="X1669" s="48" t="str">
        <f>IFERROR(IF(LayTable[[#This Row],[Total inns]]="","",LayTable[[#This Row],[Rlay]]/LayTable[[#This Row],[Total inns]]),"")</f>
        <v/>
      </c>
      <c r="Y1669" s="48" t="str">
        <f>IFERROR(LayTable[[#This Row],[Faktisk res]]/LayTable[[#This Row],[Total inns]],"")</f>
        <v/>
      </c>
      <c r="Z1669" s="47">
        <f>(LayTable[[#This Row],[BookieInnsats]]*LayTable[[#This Row],[BookieOdds]]-LayTable[[#This Row],[BookieInnsats]])*(1-LayTable[[#This Row],[C% Bookie]])</f>
        <v>0</v>
      </c>
      <c r="AA1669" s="43">
        <f>LayTable[[#This Row],[LayInnsats]]*(1-LayTable[[#This Row],[C% Lay]])</f>
        <v>0</v>
      </c>
      <c r="AB1669" s="43" t="str">
        <f>IFERROR(IF(LayTable[[#This Row],[Sport]]="",AB1668,LayTable[[#This Row],[Faktisk res]]+AB1668),"")</f>
        <v/>
      </c>
      <c r="AC1669" s="43">
        <f>(LayTable[[#This Row],[BackWin-Commission]]+LayTable[[#This Row],[BookieInnsats]])</f>
        <v>0</v>
      </c>
      <c r="AD1669" s="43" t="e">
        <f>(LayTable[[#This Row],[LayWin-Commission]])+LayTable[[#This Row],[LayLiability]]</f>
        <v>#VALUE!</v>
      </c>
      <c r="AE1669" s="43"/>
      <c r="AF1669" s="181"/>
    </row>
    <row r="1670" spans="1:32">
      <c r="A1670" s="84"/>
      <c r="B1670" s="39"/>
      <c r="C1670" s="40"/>
      <c r="D1670" s="41"/>
      <c r="E1670" s="40"/>
      <c r="F1670" s="41"/>
      <c r="G1670" s="101"/>
      <c r="H1670" s="38"/>
      <c r="I1670" s="42"/>
      <c r="J1670" s="42"/>
      <c r="K1670" s="43"/>
      <c r="L1670" s="43"/>
      <c r="M1670" s="44" t="str">
        <f>IF(LayTable[[#This Row],[Sport]]="","",LayTable[[#This Row],[LayInnsats]]*(LayTable[[#This Row],[LayOdds]]-1))</f>
        <v/>
      </c>
      <c r="N1670" s="45" t="str">
        <f>IF(LayTable[[#This Row],[Sport]]="","",1/((1/LayTable[[#This Row],[BookieOdds]])+(1/((1/((1+((LayTable[[#This Row],[LayOdds]]-1)*(1+LayTable[[#This Row],[C% Lay]])))-1))+1)))-1)</f>
        <v/>
      </c>
      <c r="Q1670" s="46" t="str">
        <f>IF(LayTable[[#This Row],[Sport]]="","",LayTable[[#This Row],[BookieInnsats]]+LayTable[[#This Row],[LayLiability]])</f>
        <v/>
      </c>
      <c r="R16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0" s="47" t="str">
        <f>IF(LayTable[[#This Row],[Utfall bookie]]="","",LayTable[[#This Row],[WBABack]]+LayTable[[#This Row],[WBALay]]-LayTable[[#This Row],[Total inns]])</f>
        <v/>
      </c>
      <c r="U16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0" s="48" t="str">
        <f>IFERROR(IF(LayTable[[#This Row],[Total inns]]="","",LayTable[[#This Row],[Rback]]/LayTable[[#This Row],[Total inns]]),"")</f>
        <v/>
      </c>
      <c r="X1670" s="48" t="str">
        <f>IFERROR(IF(LayTable[[#This Row],[Total inns]]="","",LayTable[[#This Row],[Rlay]]/LayTable[[#This Row],[Total inns]]),"")</f>
        <v/>
      </c>
      <c r="Y1670" s="48" t="str">
        <f>IFERROR(LayTable[[#This Row],[Faktisk res]]/LayTable[[#This Row],[Total inns]],"")</f>
        <v/>
      </c>
      <c r="Z1670" s="47">
        <f>(LayTable[[#This Row],[BookieInnsats]]*LayTable[[#This Row],[BookieOdds]]-LayTable[[#This Row],[BookieInnsats]])*(1-LayTable[[#This Row],[C% Bookie]])</f>
        <v>0</v>
      </c>
      <c r="AA1670" s="43">
        <f>LayTable[[#This Row],[LayInnsats]]*(1-LayTable[[#This Row],[C% Lay]])</f>
        <v>0</v>
      </c>
      <c r="AB1670" s="43" t="str">
        <f>IFERROR(IF(LayTable[[#This Row],[Sport]]="",AB1669,LayTable[[#This Row],[Faktisk res]]+AB1669),"")</f>
        <v/>
      </c>
      <c r="AC1670" s="43">
        <f>(LayTable[[#This Row],[BackWin-Commission]]+LayTable[[#This Row],[BookieInnsats]])</f>
        <v>0</v>
      </c>
      <c r="AD1670" s="43" t="e">
        <f>(LayTable[[#This Row],[LayWin-Commission]])+LayTable[[#This Row],[LayLiability]]</f>
        <v>#VALUE!</v>
      </c>
      <c r="AE1670" s="43"/>
      <c r="AF1670" s="181"/>
    </row>
    <row r="1671" spans="1:32">
      <c r="A1671" s="84"/>
      <c r="B1671" s="39"/>
      <c r="C1671" s="40"/>
      <c r="D1671" s="41"/>
      <c r="E1671" s="40"/>
      <c r="F1671" s="41"/>
      <c r="G1671" s="101"/>
      <c r="H1671" s="38"/>
      <c r="I1671" s="42"/>
      <c r="J1671" s="42"/>
      <c r="K1671" s="43"/>
      <c r="L1671" s="43"/>
      <c r="M1671" s="44" t="str">
        <f>IF(LayTable[[#This Row],[Sport]]="","",LayTable[[#This Row],[LayInnsats]]*(LayTable[[#This Row],[LayOdds]]-1))</f>
        <v/>
      </c>
      <c r="N1671" s="45" t="str">
        <f>IF(LayTable[[#This Row],[Sport]]="","",1/((1/LayTable[[#This Row],[BookieOdds]])+(1/((1/((1+((LayTable[[#This Row],[LayOdds]]-1)*(1+LayTable[[#This Row],[C% Lay]])))-1))+1)))-1)</f>
        <v/>
      </c>
      <c r="Q1671" s="46" t="str">
        <f>IF(LayTable[[#This Row],[Sport]]="","",LayTable[[#This Row],[BookieInnsats]]+LayTable[[#This Row],[LayLiability]])</f>
        <v/>
      </c>
      <c r="R16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1" s="47" t="str">
        <f>IF(LayTable[[#This Row],[Utfall bookie]]="","",LayTable[[#This Row],[WBABack]]+LayTable[[#This Row],[WBALay]]-LayTable[[#This Row],[Total inns]])</f>
        <v/>
      </c>
      <c r="U16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1" s="48" t="str">
        <f>IFERROR(IF(LayTable[[#This Row],[Total inns]]="","",LayTable[[#This Row],[Rback]]/LayTable[[#This Row],[Total inns]]),"")</f>
        <v/>
      </c>
      <c r="X1671" s="48" t="str">
        <f>IFERROR(IF(LayTable[[#This Row],[Total inns]]="","",LayTable[[#This Row],[Rlay]]/LayTable[[#This Row],[Total inns]]),"")</f>
        <v/>
      </c>
      <c r="Y1671" s="48" t="str">
        <f>IFERROR(LayTable[[#This Row],[Faktisk res]]/LayTable[[#This Row],[Total inns]],"")</f>
        <v/>
      </c>
      <c r="Z1671" s="47">
        <f>(LayTable[[#This Row],[BookieInnsats]]*LayTable[[#This Row],[BookieOdds]]-LayTable[[#This Row],[BookieInnsats]])*(1-LayTable[[#This Row],[C% Bookie]])</f>
        <v>0</v>
      </c>
      <c r="AA1671" s="43">
        <f>LayTable[[#This Row],[LayInnsats]]*(1-LayTable[[#This Row],[C% Lay]])</f>
        <v>0</v>
      </c>
      <c r="AB1671" s="43" t="str">
        <f>IFERROR(IF(LayTable[[#This Row],[Sport]]="",AB1670,LayTable[[#This Row],[Faktisk res]]+AB1670),"")</f>
        <v/>
      </c>
      <c r="AC1671" s="43">
        <f>(LayTable[[#This Row],[BackWin-Commission]]+LayTable[[#This Row],[BookieInnsats]])</f>
        <v>0</v>
      </c>
      <c r="AD1671" s="43" t="e">
        <f>(LayTable[[#This Row],[LayWin-Commission]])+LayTable[[#This Row],[LayLiability]]</f>
        <v>#VALUE!</v>
      </c>
      <c r="AE1671" s="43"/>
      <c r="AF1671" s="181"/>
    </row>
    <row r="1672" spans="1:32">
      <c r="A1672" s="84"/>
      <c r="B1672" s="39"/>
      <c r="C1672" s="40"/>
      <c r="D1672" s="41"/>
      <c r="E1672" s="40"/>
      <c r="F1672" s="41"/>
      <c r="G1672" s="101"/>
      <c r="H1672" s="38"/>
      <c r="I1672" s="42"/>
      <c r="J1672" s="42"/>
      <c r="K1672" s="43"/>
      <c r="L1672" s="43"/>
      <c r="M1672" s="44" t="str">
        <f>IF(LayTable[[#This Row],[Sport]]="","",LayTable[[#This Row],[LayInnsats]]*(LayTable[[#This Row],[LayOdds]]-1))</f>
        <v/>
      </c>
      <c r="N1672" s="45" t="str">
        <f>IF(LayTable[[#This Row],[Sport]]="","",1/((1/LayTable[[#This Row],[BookieOdds]])+(1/((1/((1+((LayTable[[#This Row],[LayOdds]]-1)*(1+LayTable[[#This Row],[C% Lay]])))-1))+1)))-1)</f>
        <v/>
      </c>
      <c r="Q1672" s="46" t="str">
        <f>IF(LayTable[[#This Row],[Sport]]="","",LayTable[[#This Row],[BookieInnsats]]+LayTable[[#This Row],[LayLiability]])</f>
        <v/>
      </c>
      <c r="R16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2" s="47" t="str">
        <f>IF(LayTable[[#This Row],[Utfall bookie]]="","",LayTable[[#This Row],[WBABack]]+LayTable[[#This Row],[WBALay]]-LayTable[[#This Row],[Total inns]])</f>
        <v/>
      </c>
      <c r="U16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2" s="48" t="str">
        <f>IFERROR(IF(LayTable[[#This Row],[Total inns]]="","",LayTable[[#This Row],[Rback]]/LayTable[[#This Row],[Total inns]]),"")</f>
        <v/>
      </c>
      <c r="X1672" s="48" t="str">
        <f>IFERROR(IF(LayTable[[#This Row],[Total inns]]="","",LayTable[[#This Row],[Rlay]]/LayTable[[#This Row],[Total inns]]),"")</f>
        <v/>
      </c>
      <c r="Y1672" s="48" t="str">
        <f>IFERROR(LayTable[[#This Row],[Faktisk res]]/LayTable[[#This Row],[Total inns]],"")</f>
        <v/>
      </c>
      <c r="Z1672" s="47">
        <f>(LayTable[[#This Row],[BookieInnsats]]*LayTable[[#This Row],[BookieOdds]]-LayTable[[#This Row],[BookieInnsats]])*(1-LayTable[[#This Row],[C% Bookie]])</f>
        <v>0</v>
      </c>
      <c r="AA1672" s="43">
        <f>LayTable[[#This Row],[LayInnsats]]*(1-LayTable[[#This Row],[C% Lay]])</f>
        <v>0</v>
      </c>
      <c r="AB1672" s="43" t="str">
        <f>IFERROR(IF(LayTable[[#This Row],[Sport]]="",AB1671,LayTable[[#This Row],[Faktisk res]]+AB1671),"")</f>
        <v/>
      </c>
      <c r="AC1672" s="43">
        <f>(LayTable[[#This Row],[BackWin-Commission]]+LayTable[[#This Row],[BookieInnsats]])</f>
        <v>0</v>
      </c>
      <c r="AD1672" s="43" t="e">
        <f>(LayTable[[#This Row],[LayWin-Commission]])+LayTable[[#This Row],[LayLiability]]</f>
        <v>#VALUE!</v>
      </c>
      <c r="AE1672" s="43"/>
      <c r="AF1672" s="181"/>
    </row>
    <row r="1673" spans="1:32">
      <c r="A1673" s="84"/>
      <c r="B1673" s="39"/>
      <c r="C1673" s="40"/>
      <c r="D1673" s="41"/>
      <c r="E1673" s="40"/>
      <c r="F1673" s="41"/>
      <c r="G1673" s="101"/>
      <c r="H1673" s="38"/>
      <c r="I1673" s="42"/>
      <c r="J1673" s="42"/>
      <c r="K1673" s="43"/>
      <c r="L1673" s="43"/>
      <c r="M1673" s="44" t="str">
        <f>IF(LayTable[[#This Row],[Sport]]="","",LayTable[[#This Row],[LayInnsats]]*(LayTable[[#This Row],[LayOdds]]-1))</f>
        <v/>
      </c>
      <c r="N1673" s="45" t="str">
        <f>IF(LayTable[[#This Row],[Sport]]="","",1/((1/LayTable[[#This Row],[BookieOdds]])+(1/((1/((1+((LayTable[[#This Row],[LayOdds]]-1)*(1+LayTable[[#This Row],[C% Lay]])))-1))+1)))-1)</f>
        <v/>
      </c>
      <c r="Q1673" s="46" t="str">
        <f>IF(LayTable[[#This Row],[Sport]]="","",LayTable[[#This Row],[BookieInnsats]]+LayTable[[#This Row],[LayLiability]])</f>
        <v/>
      </c>
      <c r="R16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3" s="47" t="str">
        <f>IF(LayTable[[#This Row],[Utfall bookie]]="","",LayTable[[#This Row],[WBABack]]+LayTable[[#This Row],[WBALay]]-LayTable[[#This Row],[Total inns]])</f>
        <v/>
      </c>
      <c r="U16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3" s="48" t="str">
        <f>IFERROR(IF(LayTable[[#This Row],[Total inns]]="","",LayTable[[#This Row],[Rback]]/LayTable[[#This Row],[Total inns]]),"")</f>
        <v/>
      </c>
      <c r="X1673" s="48" t="str">
        <f>IFERROR(IF(LayTable[[#This Row],[Total inns]]="","",LayTable[[#This Row],[Rlay]]/LayTable[[#This Row],[Total inns]]),"")</f>
        <v/>
      </c>
      <c r="Y1673" s="48" t="str">
        <f>IFERROR(LayTable[[#This Row],[Faktisk res]]/LayTable[[#This Row],[Total inns]],"")</f>
        <v/>
      </c>
      <c r="Z1673" s="47">
        <f>(LayTable[[#This Row],[BookieInnsats]]*LayTable[[#This Row],[BookieOdds]]-LayTable[[#This Row],[BookieInnsats]])*(1-LayTable[[#This Row],[C% Bookie]])</f>
        <v>0</v>
      </c>
      <c r="AA1673" s="43">
        <f>LayTable[[#This Row],[LayInnsats]]*(1-LayTable[[#This Row],[C% Lay]])</f>
        <v>0</v>
      </c>
      <c r="AB1673" s="43" t="str">
        <f>IFERROR(IF(LayTable[[#This Row],[Sport]]="",AB1672,LayTable[[#This Row],[Faktisk res]]+AB1672),"")</f>
        <v/>
      </c>
      <c r="AC1673" s="43">
        <f>(LayTable[[#This Row],[BackWin-Commission]]+LayTable[[#This Row],[BookieInnsats]])</f>
        <v>0</v>
      </c>
      <c r="AD1673" s="43" t="e">
        <f>(LayTable[[#This Row],[LayWin-Commission]])+LayTable[[#This Row],[LayLiability]]</f>
        <v>#VALUE!</v>
      </c>
      <c r="AE1673" s="43"/>
      <c r="AF1673" s="181"/>
    </row>
    <row r="1674" spans="1:32">
      <c r="A1674" s="84"/>
      <c r="B1674" s="39"/>
      <c r="C1674" s="40"/>
      <c r="D1674" s="41"/>
      <c r="E1674" s="40"/>
      <c r="F1674" s="41"/>
      <c r="G1674" s="101"/>
      <c r="H1674" s="38"/>
      <c r="I1674" s="42"/>
      <c r="J1674" s="42"/>
      <c r="K1674" s="43"/>
      <c r="L1674" s="43"/>
      <c r="M1674" s="44" t="str">
        <f>IF(LayTable[[#This Row],[Sport]]="","",LayTable[[#This Row],[LayInnsats]]*(LayTable[[#This Row],[LayOdds]]-1))</f>
        <v/>
      </c>
      <c r="N1674" s="45" t="str">
        <f>IF(LayTable[[#This Row],[Sport]]="","",1/((1/LayTable[[#This Row],[BookieOdds]])+(1/((1/((1+((LayTable[[#This Row],[LayOdds]]-1)*(1+LayTable[[#This Row],[C% Lay]])))-1))+1)))-1)</f>
        <v/>
      </c>
      <c r="Q1674" s="46" t="str">
        <f>IF(LayTable[[#This Row],[Sport]]="","",LayTable[[#This Row],[BookieInnsats]]+LayTable[[#This Row],[LayLiability]])</f>
        <v/>
      </c>
      <c r="R16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4" s="47" t="str">
        <f>IF(LayTable[[#This Row],[Utfall bookie]]="","",LayTable[[#This Row],[WBABack]]+LayTable[[#This Row],[WBALay]]-LayTable[[#This Row],[Total inns]])</f>
        <v/>
      </c>
      <c r="U16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4" s="48" t="str">
        <f>IFERROR(IF(LayTable[[#This Row],[Total inns]]="","",LayTable[[#This Row],[Rback]]/LayTable[[#This Row],[Total inns]]),"")</f>
        <v/>
      </c>
      <c r="X1674" s="48" t="str">
        <f>IFERROR(IF(LayTable[[#This Row],[Total inns]]="","",LayTable[[#This Row],[Rlay]]/LayTable[[#This Row],[Total inns]]),"")</f>
        <v/>
      </c>
      <c r="Y1674" s="48" t="str">
        <f>IFERROR(LayTable[[#This Row],[Faktisk res]]/LayTable[[#This Row],[Total inns]],"")</f>
        <v/>
      </c>
      <c r="Z1674" s="47">
        <f>(LayTable[[#This Row],[BookieInnsats]]*LayTable[[#This Row],[BookieOdds]]-LayTable[[#This Row],[BookieInnsats]])*(1-LayTable[[#This Row],[C% Bookie]])</f>
        <v>0</v>
      </c>
      <c r="AA1674" s="43">
        <f>LayTable[[#This Row],[LayInnsats]]*(1-LayTable[[#This Row],[C% Lay]])</f>
        <v>0</v>
      </c>
      <c r="AB1674" s="43" t="str">
        <f>IFERROR(IF(LayTable[[#This Row],[Sport]]="",AB1673,LayTable[[#This Row],[Faktisk res]]+AB1673),"")</f>
        <v/>
      </c>
      <c r="AC1674" s="43">
        <f>(LayTable[[#This Row],[BackWin-Commission]]+LayTable[[#This Row],[BookieInnsats]])</f>
        <v>0</v>
      </c>
      <c r="AD1674" s="43" t="e">
        <f>(LayTable[[#This Row],[LayWin-Commission]])+LayTable[[#This Row],[LayLiability]]</f>
        <v>#VALUE!</v>
      </c>
      <c r="AE1674" s="43"/>
      <c r="AF1674" s="181"/>
    </row>
    <row r="1675" spans="1:32">
      <c r="A1675" s="84"/>
      <c r="B1675" s="39"/>
      <c r="C1675" s="40"/>
      <c r="D1675" s="41"/>
      <c r="E1675" s="40"/>
      <c r="F1675" s="41"/>
      <c r="G1675" s="101"/>
      <c r="H1675" s="38"/>
      <c r="I1675" s="42"/>
      <c r="J1675" s="42"/>
      <c r="K1675" s="43"/>
      <c r="L1675" s="43"/>
      <c r="M1675" s="44" t="str">
        <f>IF(LayTable[[#This Row],[Sport]]="","",LayTable[[#This Row],[LayInnsats]]*(LayTable[[#This Row],[LayOdds]]-1))</f>
        <v/>
      </c>
      <c r="N1675" s="45" t="str">
        <f>IF(LayTable[[#This Row],[Sport]]="","",1/((1/LayTable[[#This Row],[BookieOdds]])+(1/((1/((1+((LayTable[[#This Row],[LayOdds]]-1)*(1+LayTable[[#This Row],[C% Lay]])))-1))+1)))-1)</f>
        <v/>
      </c>
      <c r="Q1675" s="46" t="str">
        <f>IF(LayTable[[#This Row],[Sport]]="","",LayTable[[#This Row],[BookieInnsats]]+LayTable[[#This Row],[LayLiability]])</f>
        <v/>
      </c>
      <c r="R16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5" s="47" t="str">
        <f>IF(LayTable[[#This Row],[Utfall bookie]]="","",LayTable[[#This Row],[WBABack]]+LayTable[[#This Row],[WBALay]]-LayTable[[#This Row],[Total inns]])</f>
        <v/>
      </c>
      <c r="U16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5" s="48" t="str">
        <f>IFERROR(IF(LayTable[[#This Row],[Total inns]]="","",LayTable[[#This Row],[Rback]]/LayTable[[#This Row],[Total inns]]),"")</f>
        <v/>
      </c>
      <c r="X1675" s="48" t="str">
        <f>IFERROR(IF(LayTable[[#This Row],[Total inns]]="","",LayTable[[#This Row],[Rlay]]/LayTable[[#This Row],[Total inns]]),"")</f>
        <v/>
      </c>
      <c r="Y1675" s="48" t="str">
        <f>IFERROR(LayTable[[#This Row],[Faktisk res]]/LayTable[[#This Row],[Total inns]],"")</f>
        <v/>
      </c>
      <c r="Z1675" s="47">
        <f>(LayTable[[#This Row],[BookieInnsats]]*LayTable[[#This Row],[BookieOdds]]-LayTable[[#This Row],[BookieInnsats]])*(1-LayTable[[#This Row],[C% Bookie]])</f>
        <v>0</v>
      </c>
      <c r="AA1675" s="43">
        <f>LayTable[[#This Row],[LayInnsats]]*(1-LayTable[[#This Row],[C% Lay]])</f>
        <v>0</v>
      </c>
      <c r="AB1675" s="43" t="str">
        <f>IFERROR(IF(LayTable[[#This Row],[Sport]]="",AB1674,LayTable[[#This Row],[Faktisk res]]+AB1674),"")</f>
        <v/>
      </c>
      <c r="AC1675" s="43">
        <f>(LayTable[[#This Row],[BackWin-Commission]]+LayTable[[#This Row],[BookieInnsats]])</f>
        <v>0</v>
      </c>
      <c r="AD1675" s="43" t="e">
        <f>(LayTable[[#This Row],[LayWin-Commission]])+LayTable[[#This Row],[LayLiability]]</f>
        <v>#VALUE!</v>
      </c>
      <c r="AE1675" s="43"/>
      <c r="AF1675" s="181"/>
    </row>
    <row r="1676" spans="1:32">
      <c r="A1676" s="84"/>
      <c r="B1676" s="39"/>
      <c r="C1676" s="40"/>
      <c r="D1676" s="41"/>
      <c r="E1676" s="40"/>
      <c r="F1676" s="41"/>
      <c r="G1676" s="101"/>
      <c r="H1676" s="38"/>
      <c r="I1676" s="42"/>
      <c r="J1676" s="42"/>
      <c r="K1676" s="43"/>
      <c r="L1676" s="43"/>
      <c r="M1676" s="44" t="str">
        <f>IF(LayTable[[#This Row],[Sport]]="","",LayTable[[#This Row],[LayInnsats]]*(LayTable[[#This Row],[LayOdds]]-1))</f>
        <v/>
      </c>
      <c r="N1676" s="45" t="str">
        <f>IF(LayTable[[#This Row],[Sport]]="","",1/((1/LayTable[[#This Row],[BookieOdds]])+(1/((1/((1+((LayTable[[#This Row],[LayOdds]]-1)*(1+LayTable[[#This Row],[C% Lay]])))-1))+1)))-1)</f>
        <v/>
      </c>
      <c r="Q1676" s="46" t="str">
        <f>IF(LayTable[[#This Row],[Sport]]="","",LayTable[[#This Row],[BookieInnsats]]+LayTable[[#This Row],[LayLiability]])</f>
        <v/>
      </c>
      <c r="R16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6" s="47" t="str">
        <f>IF(LayTable[[#This Row],[Utfall bookie]]="","",LayTable[[#This Row],[WBABack]]+LayTable[[#This Row],[WBALay]]-LayTable[[#This Row],[Total inns]])</f>
        <v/>
      </c>
      <c r="U16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6" s="48" t="str">
        <f>IFERROR(IF(LayTable[[#This Row],[Total inns]]="","",LayTable[[#This Row],[Rback]]/LayTable[[#This Row],[Total inns]]),"")</f>
        <v/>
      </c>
      <c r="X1676" s="48" t="str">
        <f>IFERROR(IF(LayTable[[#This Row],[Total inns]]="","",LayTable[[#This Row],[Rlay]]/LayTable[[#This Row],[Total inns]]),"")</f>
        <v/>
      </c>
      <c r="Y1676" s="48" t="str">
        <f>IFERROR(LayTable[[#This Row],[Faktisk res]]/LayTable[[#This Row],[Total inns]],"")</f>
        <v/>
      </c>
      <c r="Z1676" s="47">
        <f>(LayTable[[#This Row],[BookieInnsats]]*LayTable[[#This Row],[BookieOdds]]-LayTable[[#This Row],[BookieInnsats]])*(1-LayTable[[#This Row],[C% Bookie]])</f>
        <v>0</v>
      </c>
      <c r="AA1676" s="43">
        <f>LayTable[[#This Row],[LayInnsats]]*(1-LayTable[[#This Row],[C% Lay]])</f>
        <v>0</v>
      </c>
      <c r="AB1676" s="43" t="str">
        <f>IFERROR(IF(LayTable[[#This Row],[Sport]]="",AB1675,LayTable[[#This Row],[Faktisk res]]+AB1675),"")</f>
        <v/>
      </c>
      <c r="AC1676" s="43">
        <f>(LayTable[[#This Row],[BackWin-Commission]]+LayTable[[#This Row],[BookieInnsats]])</f>
        <v>0</v>
      </c>
      <c r="AD1676" s="43" t="e">
        <f>(LayTable[[#This Row],[LayWin-Commission]])+LayTable[[#This Row],[LayLiability]]</f>
        <v>#VALUE!</v>
      </c>
      <c r="AE1676" s="43"/>
      <c r="AF1676" s="181"/>
    </row>
    <row r="1677" spans="1:32">
      <c r="A1677" s="84"/>
      <c r="B1677" s="39"/>
      <c r="C1677" s="40"/>
      <c r="D1677" s="41"/>
      <c r="E1677" s="40"/>
      <c r="F1677" s="41"/>
      <c r="G1677" s="101"/>
      <c r="H1677" s="38"/>
      <c r="I1677" s="42"/>
      <c r="J1677" s="42"/>
      <c r="K1677" s="43"/>
      <c r="L1677" s="43"/>
      <c r="M1677" s="44" t="str">
        <f>IF(LayTable[[#This Row],[Sport]]="","",LayTable[[#This Row],[LayInnsats]]*(LayTable[[#This Row],[LayOdds]]-1))</f>
        <v/>
      </c>
      <c r="N1677" s="45" t="str">
        <f>IF(LayTable[[#This Row],[Sport]]="","",1/((1/LayTable[[#This Row],[BookieOdds]])+(1/((1/((1+((LayTable[[#This Row],[LayOdds]]-1)*(1+LayTable[[#This Row],[C% Lay]])))-1))+1)))-1)</f>
        <v/>
      </c>
      <c r="Q1677" s="46" t="str">
        <f>IF(LayTable[[#This Row],[Sport]]="","",LayTable[[#This Row],[BookieInnsats]]+LayTable[[#This Row],[LayLiability]])</f>
        <v/>
      </c>
      <c r="R16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7" s="47" t="str">
        <f>IF(LayTable[[#This Row],[Utfall bookie]]="","",LayTable[[#This Row],[WBABack]]+LayTable[[#This Row],[WBALay]]-LayTable[[#This Row],[Total inns]])</f>
        <v/>
      </c>
      <c r="U16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7" s="48" t="str">
        <f>IFERROR(IF(LayTable[[#This Row],[Total inns]]="","",LayTable[[#This Row],[Rback]]/LayTable[[#This Row],[Total inns]]),"")</f>
        <v/>
      </c>
      <c r="X1677" s="48" t="str">
        <f>IFERROR(IF(LayTable[[#This Row],[Total inns]]="","",LayTable[[#This Row],[Rlay]]/LayTable[[#This Row],[Total inns]]),"")</f>
        <v/>
      </c>
      <c r="Y1677" s="48" t="str">
        <f>IFERROR(LayTable[[#This Row],[Faktisk res]]/LayTable[[#This Row],[Total inns]],"")</f>
        <v/>
      </c>
      <c r="Z1677" s="47">
        <f>(LayTable[[#This Row],[BookieInnsats]]*LayTable[[#This Row],[BookieOdds]]-LayTable[[#This Row],[BookieInnsats]])*(1-LayTable[[#This Row],[C% Bookie]])</f>
        <v>0</v>
      </c>
      <c r="AA1677" s="43">
        <f>LayTable[[#This Row],[LayInnsats]]*(1-LayTable[[#This Row],[C% Lay]])</f>
        <v>0</v>
      </c>
      <c r="AB1677" s="43" t="str">
        <f>IFERROR(IF(LayTable[[#This Row],[Sport]]="",AB1676,LayTable[[#This Row],[Faktisk res]]+AB1676),"")</f>
        <v/>
      </c>
      <c r="AC1677" s="43">
        <f>(LayTable[[#This Row],[BackWin-Commission]]+LayTable[[#This Row],[BookieInnsats]])</f>
        <v>0</v>
      </c>
      <c r="AD1677" s="43" t="e">
        <f>(LayTable[[#This Row],[LayWin-Commission]])+LayTable[[#This Row],[LayLiability]]</f>
        <v>#VALUE!</v>
      </c>
      <c r="AE1677" s="43"/>
      <c r="AF1677" s="181"/>
    </row>
    <row r="1678" spans="1:32">
      <c r="A1678" s="84"/>
      <c r="B1678" s="39"/>
      <c r="C1678" s="40"/>
      <c r="D1678" s="41"/>
      <c r="E1678" s="40"/>
      <c r="F1678" s="41"/>
      <c r="G1678" s="101"/>
      <c r="H1678" s="38"/>
      <c r="I1678" s="42"/>
      <c r="J1678" s="42"/>
      <c r="K1678" s="43"/>
      <c r="L1678" s="43"/>
      <c r="M1678" s="44" t="str">
        <f>IF(LayTable[[#This Row],[Sport]]="","",LayTable[[#This Row],[LayInnsats]]*(LayTable[[#This Row],[LayOdds]]-1))</f>
        <v/>
      </c>
      <c r="N1678" s="45" t="str">
        <f>IF(LayTable[[#This Row],[Sport]]="","",1/((1/LayTable[[#This Row],[BookieOdds]])+(1/((1/((1+((LayTable[[#This Row],[LayOdds]]-1)*(1+LayTable[[#This Row],[C% Lay]])))-1))+1)))-1)</f>
        <v/>
      </c>
      <c r="Q1678" s="46" t="str">
        <f>IF(LayTable[[#This Row],[Sport]]="","",LayTable[[#This Row],[BookieInnsats]]+LayTable[[#This Row],[LayLiability]])</f>
        <v/>
      </c>
      <c r="R16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8" s="47" t="str">
        <f>IF(LayTable[[#This Row],[Utfall bookie]]="","",LayTable[[#This Row],[WBABack]]+LayTable[[#This Row],[WBALay]]-LayTable[[#This Row],[Total inns]])</f>
        <v/>
      </c>
      <c r="U16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8" s="48" t="str">
        <f>IFERROR(IF(LayTable[[#This Row],[Total inns]]="","",LayTable[[#This Row],[Rback]]/LayTable[[#This Row],[Total inns]]),"")</f>
        <v/>
      </c>
      <c r="X1678" s="48" t="str">
        <f>IFERROR(IF(LayTable[[#This Row],[Total inns]]="","",LayTable[[#This Row],[Rlay]]/LayTable[[#This Row],[Total inns]]),"")</f>
        <v/>
      </c>
      <c r="Y1678" s="48" t="str">
        <f>IFERROR(LayTable[[#This Row],[Faktisk res]]/LayTable[[#This Row],[Total inns]],"")</f>
        <v/>
      </c>
      <c r="Z1678" s="47">
        <f>(LayTable[[#This Row],[BookieInnsats]]*LayTable[[#This Row],[BookieOdds]]-LayTable[[#This Row],[BookieInnsats]])*(1-LayTable[[#This Row],[C% Bookie]])</f>
        <v>0</v>
      </c>
      <c r="AA1678" s="43">
        <f>LayTable[[#This Row],[LayInnsats]]*(1-LayTable[[#This Row],[C% Lay]])</f>
        <v>0</v>
      </c>
      <c r="AB1678" s="43" t="str">
        <f>IFERROR(IF(LayTable[[#This Row],[Sport]]="",AB1677,LayTable[[#This Row],[Faktisk res]]+AB1677),"")</f>
        <v/>
      </c>
      <c r="AC1678" s="43">
        <f>(LayTable[[#This Row],[BackWin-Commission]]+LayTable[[#This Row],[BookieInnsats]])</f>
        <v>0</v>
      </c>
      <c r="AD1678" s="43" t="e">
        <f>(LayTable[[#This Row],[LayWin-Commission]])+LayTable[[#This Row],[LayLiability]]</f>
        <v>#VALUE!</v>
      </c>
      <c r="AE1678" s="43"/>
      <c r="AF1678" s="181"/>
    </row>
    <row r="1679" spans="1:32">
      <c r="A1679" s="84"/>
      <c r="B1679" s="39"/>
      <c r="C1679" s="40"/>
      <c r="D1679" s="41"/>
      <c r="E1679" s="40"/>
      <c r="F1679" s="41"/>
      <c r="G1679" s="101"/>
      <c r="H1679" s="38"/>
      <c r="I1679" s="42"/>
      <c r="J1679" s="42"/>
      <c r="K1679" s="43"/>
      <c r="L1679" s="43"/>
      <c r="M1679" s="44" t="str">
        <f>IF(LayTable[[#This Row],[Sport]]="","",LayTable[[#This Row],[LayInnsats]]*(LayTable[[#This Row],[LayOdds]]-1))</f>
        <v/>
      </c>
      <c r="N1679" s="45" t="str">
        <f>IF(LayTable[[#This Row],[Sport]]="","",1/((1/LayTable[[#This Row],[BookieOdds]])+(1/((1/((1+((LayTable[[#This Row],[LayOdds]]-1)*(1+LayTable[[#This Row],[C% Lay]])))-1))+1)))-1)</f>
        <v/>
      </c>
      <c r="Q1679" s="46" t="str">
        <f>IF(LayTable[[#This Row],[Sport]]="","",LayTable[[#This Row],[BookieInnsats]]+LayTable[[#This Row],[LayLiability]])</f>
        <v/>
      </c>
      <c r="R16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79" s="47" t="str">
        <f>IF(LayTable[[#This Row],[Utfall bookie]]="","",LayTable[[#This Row],[WBABack]]+LayTable[[#This Row],[WBALay]]-LayTable[[#This Row],[Total inns]])</f>
        <v/>
      </c>
      <c r="U16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79" s="48" t="str">
        <f>IFERROR(IF(LayTable[[#This Row],[Total inns]]="","",LayTable[[#This Row],[Rback]]/LayTable[[#This Row],[Total inns]]),"")</f>
        <v/>
      </c>
      <c r="X1679" s="48" t="str">
        <f>IFERROR(IF(LayTable[[#This Row],[Total inns]]="","",LayTable[[#This Row],[Rlay]]/LayTable[[#This Row],[Total inns]]),"")</f>
        <v/>
      </c>
      <c r="Y1679" s="48" t="str">
        <f>IFERROR(LayTable[[#This Row],[Faktisk res]]/LayTable[[#This Row],[Total inns]],"")</f>
        <v/>
      </c>
      <c r="Z1679" s="47">
        <f>(LayTable[[#This Row],[BookieInnsats]]*LayTable[[#This Row],[BookieOdds]]-LayTable[[#This Row],[BookieInnsats]])*(1-LayTable[[#This Row],[C% Bookie]])</f>
        <v>0</v>
      </c>
      <c r="AA1679" s="43">
        <f>LayTable[[#This Row],[LayInnsats]]*(1-LayTable[[#This Row],[C% Lay]])</f>
        <v>0</v>
      </c>
      <c r="AB1679" s="43" t="str">
        <f>IFERROR(IF(LayTable[[#This Row],[Sport]]="",AB1678,LayTable[[#This Row],[Faktisk res]]+AB1678),"")</f>
        <v/>
      </c>
      <c r="AC1679" s="43">
        <f>(LayTable[[#This Row],[BackWin-Commission]]+LayTable[[#This Row],[BookieInnsats]])</f>
        <v>0</v>
      </c>
      <c r="AD1679" s="43" t="e">
        <f>(LayTable[[#This Row],[LayWin-Commission]])+LayTable[[#This Row],[LayLiability]]</f>
        <v>#VALUE!</v>
      </c>
      <c r="AE1679" s="43"/>
      <c r="AF1679" s="181"/>
    </row>
    <row r="1680" spans="1:32">
      <c r="A1680" s="84"/>
      <c r="B1680" s="39"/>
      <c r="C1680" s="40"/>
      <c r="D1680" s="41"/>
      <c r="E1680" s="40"/>
      <c r="F1680" s="41"/>
      <c r="G1680" s="101"/>
      <c r="H1680" s="38"/>
      <c r="I1680" s="42"/>
      <c r="J1680" s="42"/>
      <c r="K1680" s="43"/>
      <c r="L1680" s="43"/>
      <c r="M1680" s="44" t="str">
        <f>IF(LayTable[[#This Row],[Sport]]="","",LayTable[[#This Row],[LayInnsats]]*(LayTable[[#This Row],[LayOdds]]-1))</f>
        <v/>
      </c>
      <c r="N1680" s="45" t="str">
        <f>IF(LayTable[[#This Row],[Sport]]="","",1/((1/LayTable[[#This Row],[BookieOdds]])+(1/((1/((1+((LayTable[[#This Row],[LayOdds]]-1)*(1+LayTable[[#This Row],[C% Lay]])))-1))+1)))-1)</f>
        <v/>
      </c>
      <c r="Q1680" s="46" t="str">
        <f>IF(LayTable[[#This Row],[Sport]]="","",LayTable[[#This Row],[BookieInnsats]]+LayTable[[#This Row],[LayLiability]])</f>
        <v/>
      </c>
      <c r="R16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0" s="47" t="str">
        <f>IF(LayTable[[#This Row],[Utfall bookie]]="","",LayTable[[#This Row],[WBABack]]+LayTable[[#This Row],[WBALay]]-LayTable[[#This Row],[Total inns]])</f>
        <v/>
      </c>
      <c r="U16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0" s="48" t="str">
        <f>IFERROR(IF(LayTable[[#This Row],[Total inns]]="","",LayTable[[#This Row],[Rback]]/LayTable[[#This Row],[Total inns]]),"")</f>
        <v/>
      </c>
      <c r="X1680" s="48" t="str">
        <f>IFERROR(IF(LayTable[[#This Row],[Total inns]]="","",LayTable[[#This Row],[Rlay]]/LayTable[[#This Row],[Total inns]]),"")</f>
        <v/>
      </c>
      <c r="Y1680" s="48" t="str">
        <f>IFERROR(LayTable[[#This Row],[Faktisk res]]/LayTable[[#This Row],[Total inns]],"")</f>
        <v/>
      </c>
      <c r="Z1680" s="47">
        <f>(LayTable[[#This Row],[BookieInnsats]]*LayTable[[#This Row],[BookieOdds]]-LayTable[[#This Row],[BookieInnsats]])*(1-LayTable[[#This Row],[C% Bookie]])</f>
        <v>0</v>
      </c>
      <c r="AA1680" s="43">
        <f>LayTable[[#This Row],[LayInnsats]]*(1-LayTable[[#This Row],[C% Lay]])</f>
        <v>0</v>
      </c>
      <c r="AB1680" s="43" t="str">
        <f>IFERROR(IF(LayTable[[#This Row],[Sport]]="",AB1679,LayTable[[#This Row],[Faktisk res]]+AB1679),"")</f>
        <v/>
      </c>
      <c r="AC1680" s="43">
        <f>(LayTable[[#This Row],[BackWin-Commission]]+LayTable[[#This Row],[BookieInnsats]])</f>
        <v>0</v>
      </c>
      <c r="AD1680" s="43" t="e">
        <f>(LayTable[[#This Row],[LayWin-Commission]])+LayTable[[#This Row],[LayLiability]]</f>
        <v>#VALUE!</v>
      </c>
      <c r="AE1680" s="43"/>
      <c r="AF1680" s="181"/>
    </row>
    <row r="1681" spans="1:32">
      <c r="A1681" s="84"/>
      <c r="B1681" s="39"/>
      <c r="C1681" s="40"/>
      <c r="D1681" s="41"/>
      <c r="E1681" s="40"/>
      <c r="F1681" s="41"/>
      <c r="G1681" s="101"/>
      <c r="H1681" s="38"/>
      <c r="I1681" s="42"/>
      <c r="J1681" s="42"/>
      <c r="K1681" s="43"/>
      <c r="L1681" s="43"/>
      <c r="M1681" s="44" t="str">
        <f>IF(LayTable[[#This Row],[Sport]]="","",LayTable[[#This Row],[LayInnsats]]*(LayTable[[#This Row],[LayOdds]]-1))</f>
        <v/>
      </c>
      <c r="N1681" s="45" t="str">
        <f>IF(LayTable[[#This Row],[Sport]]="","",1/((1/LayTable[[#This Row],[BookieOdds]])+(1/((1/((1+((LayTable[[#This Row],[LayOdds]]-1)*(1+LayTable[[#This Row],[C% Lay]])))-1))+1)))-1)</f>
        <v/>
      </c>
      <c r="Q1681" s="46" t="str">
        <f>IF(LayTable[[#This Row],[Sport]]="","",LayTable[[#This Row],[BookieInnsats]]+LayTable[[#This Row],[LayLiability]])</f>
        <v/>
      </c>
      <c r="R16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1" s="47" t="str">
        <f>IF(LayTable[[#This Row],[Utfall bookie]]="","",LayTable[[#This Row],[WBABack]]+LayTable[[#This Row],[WBALay]]-LayTable[[#This Row],[Total inns]])</f>
        <v/>
      </c>
      <c r="U16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1" s="48" t="str">
        <f>IFERROR(IF(LayTable[[#This Row],[Total inns]]="","",LayTable[[#This Row],[Rback]]/LayTable[[#This Row],[Total inns]]),"")</f>
        <v/>
      </c>
      <c r="X1681" s="48" t="str">
        <f>IFERROR(IF(LayTable[[#This Row],[Total inns]]="","",LayTable[[#This Row],[Rlay]]/LayTable[[#This Row],[Total inns]]),"")</f>
        <v/>
      </c>
      <c r="Y1681" s="48" t="str">
        <f>IFERROR(LayTable[[#This Row],[Faktisk res]]/LayTable[[#This Row],[Total inns]],"")</f>
        <v/>
      </c>
      <c r="Z1681" s="47">
        <f>(LayTable[[#This Row],[BookieInnsats]]*LayTable[[#This Row],[BookieOdds]]-LayTable[[#This Row],[BookieInnsats]])*(1-LayTable[[#This Row],[C% Bookie]])</f>
        <v>0</v>
      </c>
      <c r="AA1681" s="43">
        <f>LayTable[[#This Row],[LayInnsats]]*(1-LayTable[[#This Row],[C% Lay]])</f>
        <v>0</v>
      </c>
      <c r="AB1681" s="43" t="str">
        <f>IFERROR(IF(LayTable[[#This Row],[Sport]]="",AB1680,LayTable[[#This Row],[Faktisk res]]+AB1680),"")</f>
        <v/>
      </c>
      <c r="AC1681" s="43">
        <f>(LayTable[[#This Row],[BackWin-Commission]]+LayTable[[#This Row],[BookieInnsats]])</f>
        <v>0</v>
      </c>
      <c r="AD1681" s="43" t="e">
        <f>(LayTable[[#This Row],[LayWin-Commission]])+LayTable[[#This Row],[LayLiability]]</f>
        <v>#VALUE!</v>
      </c>
      <c r="AE1681" s="43"/>
      <c r="AF1681" s="181"/>
    </row>
    <row r="1682" spans="1:32">
      <c r="A1682" s="84"/>
      <c r="B1682" s="39"/>
      <c r="C1682" s="40"/>
      <c r="D1682" s="41"/>
      <c r="E1682" s="40"/>
      <c r="F1682" s="41"/>
      <c r="G1682" s="101"/>
      <c r="H1682" s="38"/>
      <c r="I1682" s="42"/>
      <c r="J1682" s="42"/>
      <c r="K1682" s="43"/>
      <c r="L1682" s="43"/>
      <c r="M1682" s="44" t="str">
        <f>IF(LayTable[[#This Row],[Sport]]="","",LayTable[[#This Row],[LayInnsats]]*(LayTable[[#This Row],[LayOdds]]-1))</f>
        <v/>
      </c>
      <c r="N1682" s="45" t="str">
        <f>IF(LayTable[[#This Row],[Sport]]="","",1/((1/LayTable[[#This Row],[BookieOdds]])+(1/((1/((1+((LayTable[[#This Row],[LayOdds]]-1)*(1+LayTable[[#This Row],[C% Lay]])))-1))+1)))-1)</f>
        <v/>
      </c>
      <c r="Q1682" s="46" t="str">
        <f>IF(LayTable[[#This Row],[Sport]]="","",LayTable[[#This Row],[BookieInnsats]]+LayTable[[#This Row],[LayLiability]])</f>
        <v/>
      </c>
      <c r="R16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2" s="47" t="str">
        <f>IF(LayTable[[#This Row],[Utfall bookie]]="","",LayTable[[#This Row],[WBABack]]+LayTable[[#This Row],[WBALay]]-LayTable[[#This Row],[Total inns]])</f>
        <v/>
      </c>
      <c r="U16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2" s="48" t="str">
        <f>IFERROR(IF(LayTable[[#This Row],[Total inns]]="","",LayTable[[#This Row],[Rback]]/LayTable[[#This Row],[Total inns]]),"")</f>
        <v/>
      </c>
      <c r="X1682" s="48" t="str">
        <f>IFERROR(IF(LayTable[[#This Row],[Total inns]]="","",LayTable[[#This Row],[Rlay]]/LayTable[[#This Row],[Total inns]]),"")</f>
        <v/>
      </c>
      <c r="Y1682" s="48" t="str">
        <f>IFERROR(LayTable[[#This Row],[Faktisk res]]/LayTable[[#This Row],[Total inns]],"")</f>
        <v/>
      </c>
      <c r="Z1682" s="47">
        <f>(LayTable[[#This Row],[BookieInnsats]]*LayTable[[#This Row],[BookieOdds]]-LayTable[[#This Row],[BookieInnsats]])*(1-LayTable[[#This Row],[C% Bookie]])</f>
        <v>0</v>
      </c>
      <c r="AA1682" s="43">
        <f>LayTable[[#This Row],[LayInnsats]]*(1-LayTable[[#This Row],[C% Lay]])</f>
        <v>0</v>
      </c>
      <c r="AB1682" s="43" t="str">
        <f>IFERROR(IF(LayTable[[#This Row],[Sport]]="",AB1681,LayTable[[#This Row],[Faktisk res]]+AB1681),"")</f>
        <v/>
      </c>
      <c r="AC1682" s="43">
        <f>(LayTable[[#This Row],[BackWin-Commission]]+LayTable[[#This Row],[BookieInnsats]])</f>
        <v>0</v>
      </c>
      <c r="AD1682" s="43" t="e">
        <f>(LayTable[[#This Row],[LayWin-Commission]])+LayTable[[#This Row],[LayLiability]]</f>
        <v>#VALUE!</v>
      </c>
      <c r="AE1682" s="43"/>
      <c r="AF1682" s="181"/>
    </row>
    <row r="1683" spans="1:32">
      <c r="A1683" s="84"/>
      <c r="B1683" s="39"/>
      <c r="C1683" s="40"/>
      <c r="D1683" s="41"/>
      <c r="E1683" s="40"/>
      <c r="F1683" s="41"/>
      <c r="G1683" s="101"/>
      <c r="H1683" s="38"/>
      <c r="I1683" s="42"/>
      <c r="J1683" s="42"/>
      <c r="K1683" s="43"/>
      <c r="L1683" s="43"/>
      <c r="M1683" s="44" t="str">
        <f>IF(LayTable[[#This Row],[Sport]]="","",LayTable[[#This Row],[LayInnsats]]*(LayTable[[#This Row],[LayOdds]]-1))</f>
        <v/>
      </c>
      <c r="N1683" s="45" t="str">
        <f>IF(LayTable[[#This Row],[Sport]]="","",1/((1/LayTable[[#This Row],[BookieOdds]])+(1/((1/((1+((LayTable[[#This Row],[LayOdds]]-1)*(1+LayTable[[#This Row],[C% Lay]])))-1))+1)))-1)</f>
        <v/>
      </c>
      <c r="Q1683" s="46" t="str">
        <f>IF(LayTable[[#This Row],[Sport]]="","",LayTable[[#This Row],[BookieInnsats]]+LayTable[[#This Row],[LayLiability]])</f>
        <v/>
      </c>
      <c r="R16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3" s="47" t="str">
        <f>IF(LayTable[[#This Row],[Utfall bookie]]="","",LayTable[[#This Row],[WBABack]]+LayTable[[#This Row],[WBALay]]-LayTable[[#This Row],[Total inns]])</f>
        <v/>
      </c>
      <c r="U16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3" s="48" t="str">
        <f>IFERROR(IF(LayTable[[#This Row],[Total inns]]="","",LayTable[[#This Row],[Rback]]/LayTable[[#This Row],[Total inns]]),"")</f>
        <v/>
      </c>
      <c r="X1683" s="48" t="str">
        <f>IFERROR(IF(LayTable[[#This Row],[Total inns]]="","",LayTable[[#This Row],[Rlay]]/LayTable[[#This Row],[Total inns]]),"")</f>
        <v/>
      </c>
      <c r="Y1683" s="48" t="str">
        <f>IFERROR(LayTable[[#This Row],[Faktisk res]]/LayTable[[#This Row],[Total inns]],"")</f>
        <v/>
      </c>
      <c r="Z1683" s="47">
        <f>(LayTable[[#This Row],[BookieInnsats]]*LayTable[[#This Row],[BookieOdds]]-LayTable[[#This Row],[BookieInnsats]])*(1-LayTable[[#This Row],[C% Bookie]])</f>
        <v>0</v>
      </c>
      <c r="AA1683" s="43">
        <f>LayTable[[#This Row],[LayInnsats]]*(1-LayTable[[#This Row],[C% Lay]])</f>
        <v>0</v>
      </c>
      <c r="AB1683" s="43" t="str">
        <f>IFERROR(IF(LayTable[[#This Row],[Sport]]="",AB1682,LayTable[[#This Row],[Faktisk res]]+AB1682),"")</f>
        <v/>
      </c>
      <c r="AC1683" s="43">
        <f>(LayTable[[#This Row],[BackWin-Commission]]+LayTable[[#This Row],[BookieInnsats]])</f>
        <v>0</v>
      </c>
      <c r="AD1683" s="43" t="e">
        <f>(LayTable[[#This Row],[LayWin-Commission]])+LayTable[[#This Row],[LayLiability]]</f>
        <v>#VALUE!</v>
      </c>
      <c r="AE1683" s="43"/>
      <c r="AF1683" s="181"/>
    </row>
    <row r="1684" spans="1:32">
      <c r="A1684" s="84"/>
      <c r="B1684" s="39"/>
      <c r="C1684" s="40"/>
      <c r="D1684" s="41"/>
      <c r="E1684" s="40"/>
      <c r="F1684" s="41"/>
      <c r="G1684" s="101"/>
      <c r="H1684" s="38"/>
      <c r="I1684" s="42"/>
      <c r="J1684" s="42"/>
      <c r="K1684" s="43"/>
      <c r="L1684" s="43"/>
      <c r="M1684" s="44" t="str">
        <f>IF(LayTable[[#This Row],[Sport]]="","",LayTable[[#This Row],[LayInnsats]]*(LayTable[[#This Row],[LayOdds]]-1))</f>
        <v/>
      </c>
      <c r="N1684" s="45" t="str">
        <f>IF(LayTable[[#This Row],[Sport]]="","",1/((1/LayTable[[#This Row],[BookieOdds]])+(1/((1/((1+((LayTable[[#This Row],[LayOdds]]-1)*(1+LayTable[[#This Row],[C% Lay]])))-1))+1)))-1)</f>
        <v/>
      </c>
      <c r="Q1684" s="46" t="str">
        <f>IF(LayTable[[#This Row],[Sport]]="","",LayTable[[#This Row],[BookieInnsats]]+LayTable[[#This Row],[LayLiability]])</f>
        <v/>
      </c>
      <c r="R16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4" s="47" t="str">
        <f>IF(LayTable[[#This Row],[Utfall bookie]]="","",LayTable[[#This Row],[WBABack]]+LayTable[[#This Row],[WBALay]]-LayTable[[#This Row],[Total inns]])</f>
        <v/>
      </c>
      <c r="U16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4" s="48" t="str">
        <f>IFERROR(IF(LayTable[[#This Row],[Total inns]]="","",LayTable[[#This Row],[Rback]]/LayTable[[#This Row],[Total inns]]),"")</f>
        <v/>
      </c>
      <c r="X1684" s="48" t="str">
        <f>IFERROR(IF(LayTable[[#This Row],[Total inns]]="","",LayTable[[#This Row],[Rlay]]/LayTable[[#This Row],[Total inns]]),"")</f>
        <v/>
      </c>
      <c r="Y1684" s="48" t="str">
        <f>IFERROR(LayTable[[#This Row],[Faktisk res]]/LayTable[[#This Row],[Total inns]],"")</f>
        <v/>
      </c>
      <c r="Z1684" s="47">
        <f>(LayTable[[#This Row],[BookieInnsats]]*LayTable[[#This Row],[BookieOdds]]-LayTable[[#This Row],[BookieInnsats]])*(1-LayTable[[#This Row],[C% Bookie]])</f>
        <v>0</v>
      </c>
      <c r="AA1684" s="43">
        <f>LayTable[[#This Row],[LayInnsats]]*(1-LayTable[[#This Row],[C% Lay]])</f>
        <v>0</v>
      </c>
      <c r="AB1684" s="43" t="str">
        <f>IFERROR(IF(LayTable[[#This Row],[Sport]]="",AB1683,LayTable[[#This Row],[Faktisk res]]+AB1683),"")</f>
        <v/>
      </c>
      <c r="AC1684" s="43">
        <f>(LayTable[[#This Row],[BackWin-Commission]]+LayTable[[#This Row],[BookieInnsats]])</f>
        <v>0</v>
      </c>
      <c r="AD1684" s="43" t="e">
        <f>(LayTable[[#This Row],[LayWin-Commission]])+LayTable[[#This Row],[LayLiability]]</f>
        <v>#VALUE!</v>
      </c>
      <c r="AE1684" s="43"/>
      <c r="AF1684" s="181"/>
    </row>
    <row r="1685" spans="1:32">
      <c r="A1685" s="84"/>
      <c r="B1685" s="39"/>
      <c r="C1685" s="40"/>
      <c r="D1685" s="41"/>
      <c r="E1685" s="40"/>
      <c r="F1685" s="41"/>
      <c r="G1685" s="101"/>
      <c r="H1685" s="38"/>
      <c r="I1685" s="42"/>
      <c r="J1685" s="42"/>
      <c r="K1685" s="43"/>
      <c r="L1685" s="43"/>
      <c r="M1685" s="44" t="str">
        <f>IF(LayTable[[#This Row],[Sport]]="","",LayTable[[#This Row],[LayInnsats]]*(LayTable[[#This Row],[LayOdds]]-1))</f>
        <v/>
      </c>
      <c r="N1685" s="45" t="str">
        <f>IF(LayTable[[#This Row],[Sport]]="","",1/((1/LayTable[[#This Row],[BookieOdds]])+(1/((1/((1+((LayTable[[#This Row],[LayOdds]]-1)*(1+LayTable[[#This Row],[C% Lay]])))-1))+1)))-1)</f>
        <v/>
      </c>
      <c r="Q1685" s="46" t="str">
        <f>IF(LayTable[[#This Row],[Sport]]="","",LayTable[[#This Row],[BookieInnsats]]+LayTable[[#This Row],[LayLiability]])</f>
        <v/>
      </c>
      <c r="R16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5" s="47" t="str">
        <f>IF(LayTable[[#This Row],[Utfall bookie]]="","",LayTable[[#This Row],[WBABack]]+LayTable[[#This Row],[WBALay]]-LayTable[[#This Row],[Total inns]])</f>
        <v/>
      </c>
      <c r="U16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5" s="48" t="str">
        <f>IFERROR(IF(LayTable[[#This Row],[Total inns]]="","",LayTable[[#This Row],[Rback]]/LayTable[[#This Row],[Total inns]]),"")</f>
        <v/>
      </c>
      <c r="X1685" s="48" t="str">
        <f>IFERROR(IF(LayTable[[#This Row],[Total inns]]="","",LayTable[[#This Row],[Rlay]]/LayTable[[#This Row],[Total inns]]),"")</f>
        <v/>
      </c>
      <c r="Y1685" s="48" t="str">
        <f>IFERROR(LayTable[[#This Row],[Faktisk res]]/LayTable[[#This Row],[Total inns]],"")</f>
        <v/>
      </c>
      <c r="Z1685" s="47">
        <f>(LayTable[[#This Row],[BookieInnsats]]*LayTable[[#This Row],[BookieOdds]]-LayTable[[#This Row],[BookieInnsats]])*(1-LayTable[[#This Row],[C% Bookie]])</f>
        <v>0</v>
      </c>
      <c r="AA1685" s="43">
        <f>LayTable[[#This Row],[LayInnsats]]*(1-LayTable[[#This Row],[C% Lay]])</f>
        <v>0</v>
      </c>
      <c r="AB1685" s="43" t="str">
        <f>IFERROR(IF(LayTable[[#This Row],[Sport]]="",AB1684,LayTable[[#This Row],[Faktisk res]]+AB1684),"")</f>
        <v/>
      </c>
      <c r="AC1685" s="43">
        <f>(LayTable[[#This Row],[BackWin-Commission]]+LayTable[[#This Row],[BookieInnsats]])</f>
        <v>0</v>
      </c>
      <c r="AD1685" s="43" t="e">
        <f>(LayTable[[#This Row],[LayWin-Commission]])+LayTable[[#This Row],[LayLiability]]</f>
        <v>#VALUE!</v>
      </c>
      <c r="AE1685" s="43"/>
      <c r="AF1685" s="181"/>
    </row>
    <row r="1686" spans="1:32">
      <c r="A1686" s="84"/>
      <c r="B1686" s="39"/>
      <c r="C1686" s="40"/>
      <c r="D1686" s="41"/>
      <c r="E1686" s="40"/>
      <c r="F1686" s="41"/>
      <c r="G1686" s="101"/>
      <c r="H1686" s="38"/>
      <c r="I1686" s="42"/>
      <c r="J1686" s="42"/>
      <c r="K1686" s="43"/>
      <c r="L1686" s="43"/>
      <c r="M1686" s="44" t="str">
        <f>IF(LayTable[[#This Row],[Sport]]="","",LayTable[[#This Row],[LayInnsats]]*(LayTable[[#This Row],[LayOdds]]-1))</f>
        <v/>
      </c>
      <c r="N1686" s="45" t="str">
        <f>IF(LayTable[[#This Row],[Sport]]="","",1/((1/LayTable[[#This Row],[BookieOdds]])+(1/((1/((1+((LayTable[[#This Row],[LayOdds]]-1)*(1+LayTable[[#This Row],[C% Lay]])))-1))+1)))-1)</f>
        <v/>
      </c>
      <c r="Q1686" s="46" t="str">
        <f>IF(LayTable[[#This Row],[Sport]]="","",LayTable[[#This Row],[BookieInnsats]]+LayTable[[#This Row],[LayLiability]])</f>
        <v/>
      </c>
      <c r="R16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6" s="47" t="str">
        <f>IF(LayTable[[#This Row],[Utfall bookie]]="","",LayTable[[#This Row],[WBABack]]+LayTable[[#This Row],[WBALay]]-LayTable[[#This Row],[Total inns]])</f>
        <v/>
      </c>
      <c r="U16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6" s="48" t="str">
        <f>IFERROR(IF(LayTable[[#This Row],[Total inns]]="","",LayTable[[#This Row],[Rback]]/LayTable[[#This Row],[Total inns]]),"")</f>
        <v/>
      </c>
      <c r="X1686" s="48" t="str">
        <f>IFERROR(IF(LayTable[[#This Row],[Total inns]]="","",LayTable[[#This Row],[Rlay]]/LayTable[[#This Row],[Total inns]]),"")</f>
        <v/>
      </c>
      <c r="Y1686" s="48" t="str">
        <f>IFERROR(LayTable[[#This Row],[Faktisk res]]/LayTable[[#This Row],[Total inns]],"")</f>
        <v/>
      </c>
      <c r="Z1686" s="47">
        <f>(LayTable[[#This Row],[BookieInnsats]]*LayTable[[#This Row],[BookieOdds]]-LayTable[[#This Row],[BookieInnsats]])*(1-LayTable[[#This Row],[C% Bookie]])</f>
        <v>0</v>
      </c>
      <c r="AA1686" s="43">
        <f>LayTable[[#This Row],[LayInnsats]]*(1-LayTable[[#This Row],[C% Lay]])</f>
        <v>0</v>
      </c>
      <c r="AB1686" s="43" t="str">
        <f>IFERROR(IF(LayTable[[#This Row],[Sport]]="",AB1685,LayTable[[#This Row],[Faktisk res]]+AB1685),"")</f>
        <v/>
      </c>
      <c r="AC1686" s="43">
        <f>(LayTable[[#This Row],[BackWin-Commission]]+LayTable[[#This Row],[BookieInnsats]])</f>
        <v>0</v>
      </c>
      <c r="AD1686" s="43" t="e">
        <f>(LayTable[[#This Row],[LayWin-Commission]])+LayTable[[#This Row],[LayLiability]]</f>
        <v>#VALUE!</v>
      </c>
      <c r="AE1686" s="43"/>
      <c r="AF1686" s="181"/>
    </row>
    <row r="1687" spans="1:32">
      <c r="A1687" s="84"/>
      <c r="B1687" s="39"/>
      <c r="C1687" s="40"/>
      <c r="D1687" s="41"/>
      <c r="E1687" s="40"/>
      <c r="F1687" s="41"/>
      <c r="G1687" s="101"/>
      <c r="H1687" s="38"/>
      <c r="I1687" s="42"/>
      <c r="J1687" s="42"/>
      <c r="K1687" s="43"/>
      <c r="L1687" s="43"/>
      <c r="M1687" s="44" t="str">
        <f>IF(LayTable[[#This Row],[Sport]]="","",LayTable[[#This Row],[LayInnsats]]*(LayTable[[#This Row],[LayOdds]]-1))</f>
        <v/>
      </c>
      <c r="N1687" s="45" t="str">
        <f>IF(LayTable[[#This Row],[Sport]]="","",1/((1/LayTable[[#This Row],[BookieOdds]])+(1/((1/((1+((LayTable[[#This Row],[LayOdds]]-1)*(1+LayTable[[#This Row],[C% Lay]])))-1))+1)))-1)</f>
        <v/>
      </c>
      <c r="Q1687" s="46" t="str">
        <f>IF(LayTable[[#This Row],[Sport]]="","",LayTable[[#This Row],[BookieInnsats]]+LayTable[[#This Row],[LayLiability]])</f>
        <v/>
      </c>
      <c r="R16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7" s="47" t="str">
        <f>IF(LayTable[[#This Row],[Utfall bookie]]="","",LayTable[[#This Row],[WBABack]]+LayTable[[#This Row],[WBALay]]-LayTable[[#This Row],[Total inns]])</f>
        <v/>
      </c>
      <c r="U16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7" s="48" t="str">
        <f>IFERROR(IF(LayTable[[#This Row],[Total inns]]="","",LayTable[[#This Row],[Rback]]/LayTable[[#This Row],[Total inns]]),"")</f>
        <v/>
      </c>
      <c r="X1687" s="48" t="str">
        <f>IFERROR(IF(LayTable[[#This Row],[Total inns]]="","",LayTable[[#This Row],[Rlay]]/LayTable[[#This Row],[Total inns]]),"")</f>
        <v/>
      </c>
      <c r="Y1687" s="48" t="str">
        <f>IFERROR(LayTable[[#This Row],[Faktisk res]]/LayTable[[#This Row],[Total inns]],"")</f>
        <v/>
      </c>
      <c r="Z1687" s="47">
        <f>(LayTable[[#This Row],[BookieInnsats]]*LayTable[[#This Row],[BookieOdds]]-LayTable[[#This Row],[BookieInnsats]])*(1-LayTable[[#This Row],[C% Bookie]])</f>
        <v>0</v>
      </c>
      <c r="AA1687" s="43">
        <f>LayTable[[#This Row],[LayInnsats]]*(1-LayTable[[#This Row],[C% Lay]])</f>
        <v>0</v>
      </c>
      <c r="AB1687" s="43" t="str">
        <f>IFERROR(IF(LayTable[[#This Row],[Sport]]="",AB1686,LayTable[[#This Row],[Faktisk res]]+AB1686),"")</f>
        <v/>
      </c>
      <c r="AC1687" s="43">
        <f>(LayTable[[#This Row],[BackWin-Commission]]+LayTable[[#This Row],[BookieInnsats]])</f>
        <v>0</v>
      </c>
      <c r="AD1687" s="43" t="e">
        <f>(LayTable[[#This Row],[LayWin-Commission]])+LayTable[[#This Row],[LayLiability]]</f>
        <v>#VALUE!</v>
      </c>
      <c r="AE1687" s="43"/>
      <c r="AF1687" s="181"/>
    </row>
    <row r="1688" spans="1:32">
      <c r="A1688" s="84"/>
      <c r="B1688" s="39"/>
      <c r="C1688" s="40"/>
      <c r="D1688" s="41"/>
      <c r="E1688" s="40"/>
      <c r="F1688" s="41"/>
      <c r="G1688" s="101"/>
      <c r="H1688" s="38"/>
      <c r="I1688" s="42"/>
      <c r="J1688" s="42"/>
      <c r="K1688" s="43"/>
      <c r="L1688" s="43"/>
      <c r="M1688" s="44" t="str">
        <f>IF(LayTable[[#This Row],[Sport]]="","",LayTable[[#This Row],[LayInnsats]]*(LayTable[[#This Row],[LayOdds]]-1))</f>
        <v/>
      </c>
      <c r="N1688" s="45" t="str">
        <f>IF(LayTable[[#This Row],[Sport]]="","",1/((1/LayTable[[#This Row],[BookieOdds]])+(1/((1/((1+((LayTable[[#This Row],[LayOdds]]-1)*(1+LayTable[[#This Row],[C% Lay]])))-1))+1)))-1)</f>
        <v/>
      </c>
      <c r="Q1688" s="46" t="str">
        <f>IF(LayTable[[#This Row],[Sport]]="","",LayTable[[#This Row],[BookieInnsats]]+LayTable[[#This Row],[LayLiability]])</f>
        <v/>
      </c>
      <c r="R16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8" s="47" t="str">
        <f>IF(LayTable[[#This Row],[Utfall bookie]]="","",LayTable[[#This Row],[WBABack]]+LayTable[[#This Row],[WBALay]]-LayTable[[#This Row],[Total inns]])</f>
        <v/>
      </c>
      <c r="U16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8" s="48" t="str">
        <f>IFERROR(IF(LayTable[[#This Row],[Total inns]]="","",LayTable[[#This Row],[Rback]]/LayTable[[#This Row],[Total inns]]),"")</f>
        <v/>
      </c>
      <c r="X1688" s="48" t="str">
        <f>IFERROR(IF(LayTable[[#This Row],[Total inns]]="","",LayTable[[#This Row],[Rlay]]/LayTable[[#This Row],[Total inns]]),"")</f>
        <v/>
      </c>
      <c r="Y1688" s="48" t="str">
        <f>IFERROR(LayTable[[#This Row],[Faktisk res]]/LayTable[[#This Row],[Total inns]],"")</f>
        <v/>
      </c>
      <c r="Z1688" s="47">
        <f>(LayTable[[#This Row],[BookieInnsats]]*LayTable[[#This Row],[BookieOdds]]-LayTable[[#This Row],[BookieInnsats]])*(1-LayTable[[#This Row],[C% Bookie]])</f>
        <v>0</v>
      </c>
      <c r="AA1688" s="43">
        <f>LayTable[[#This Row],[LayInnsats]]*(1-LayTable[[#This Row],[C% Lay]])</f>
        <v>0</v>
      </c>
      <c r="AB1688" s="43" t="str">
        <f>IFERROR(IF(LayTable[[#This Row],[Sport]]="",AB1687,LayTable[[#This Row],[Faktisk res]]+AB1687),"")</f>
        <v/>
      </c>
      <c r="AC1688" s="43">
        <f>(LayTable[[#This Row],[BackWin-Commission]]+LayTable[[#This Row],[BookieInnsats]])</f>
        <v>0</v>
      </c>
      <c r="AD1688" s="43" t="e">
        <f>(LayTable[[#This Row],[LayWin-Commission]])+LayTable[[#This Row],[LayLiability]]</f>
        <v>#VALUE!</v>
      </c>
      <c r="AE1688" s="43"/>
      <c r="AF1688" s="181"/>
    </row>
    <row r="1689" spans="1:32">
      <c r="A1689" s="84"/>
      <c r="B1689" s="39"/>
      <c r="C1689" s="40"/>
      <c r="D1689" s="41"/>
      <c r="E1689" s="40"/>
      <c r="F1689" s="41"/>
      <c r="G1689" s="101"/>
      <c r="H1689" s="38"/>
      <c r="I1689" s="42"/>
      <c r="J1689" s="42"/>
      <c r="K1689" s="43"/>
      <c r="L1689" s="43"/>
      <c r="M1689" s="44" t="str">
        <f>IF(LayTable[[#This Row],[Sport]]="","",LayTable[[#This Row],[LayInnsats]]*(LayTable[[#This Row],[LayOdds]]-1))</f>
        <v/>
      </c>
      <c r="N1689" s="45" t="str">
        <f>IF(LayTable[[#This Row],[Sport]]="","",1/((1/LayTable[[#This Row],[BookieOdds]])+(1/((1/((1+((LayTable[[#This Row],[LayOdds]]-1)*(1+LayTable[[#This Row],[C% Lay]])))-1))+1)))-1)</f>
        <v/>
      </c>
      <c r="Q1689" s="46" t="str">
        <f>IF(LayTable[[#This Row],[Sport]]="","",LayTable[[#This Row],[BookieInnsats]]+LayTable[[#This Row],[LayLiability]])</f>
        <v/>
      </c>
      <c r="R16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89" s="47" t="str">
        <f>IF(LayTable[[#This Row],[Utfall bookie]]="","",LayTable[[#This Row],[WBABack]]+LayTable[[#This Row],[WBALay]]-LayTable[[#This Row],[Total inns]])</f>
        <v/>
      </c>
      <c r="U16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89" s="48" t="str">
        <f>IFERROR(IF(LayTable[[#This Row],[Total inns]]="","",LayTable[[#This Row],[Rback]]/LayTable[[#This Row],[Total inns]]),"")</f>
        <v/>
      </c>
      <c r="X1689" s="48" t="str">
        <f>IFERROR(IF(LayTable[[#This Row],[Total inns]]="","",LayTable[[#This Row],[Rlay]]/LayTable[[#This Row],[Total inns]]),"")</f>
        <v/>
      </c>
      <c r="Y1689" s="48" t="str">
        <f>IFERROR(LayTable[[#This Row],[Faktisk res]]/LayTable[[#This Row],[Total inns]],"")</f>
        <v/>
      </c>
      <c r="Z1689" s="47">
        <f>(LayTable[[#This Row],[BookieInnsats]]*LayTable[[#This Row],[BookieOdds]]-LayTable[[#This Row],[BookieInnsats]])*(1-LayTable[[#This Row],[C% Bookie]])</f>
        <v>0</v>
      </c>
      <c r="AA1689" s="43">
        <f>LayTable[[#This Row],[LayInnsats]]*(1-LayTable[[#This Row],[C% Lay]])</f>
        <v>0</v>
      </c>
      <c r="AB1689" s="43" t="str">
        <f>IFERROR(IF(LayTable[[#This Row],[Sport]]="",AB1688,LayTable[[#This Row],[Faktisk res]]+AB1688),"")</f>
        <v/>
      </c>
      <c r="AC1689" s="43">
        <f>(LayTable[[#This Row],[BackWin-Commission]]+LayTable[[#This Row],[BookieInnsats]])</f>
        <v>0</v>
      </c>
      <c r="AD1689" s="43" t="e">
        <f>(LayTable[[#This Row],[LayWin-Commission]])+LayTable[[#This Row],[LayLiability]]</f>
        <v>#VALUE!</v>
      </c>
      <c r="AE1689" s="43"/>
      <c r="AF1689" s="181"/>
    </row>
    <row r="1690" spans="1:32">
      <c r="A1690" s="84"/>
      <c r="B1690" s="39"/>
      <c r="C1690" s="40"/>
      <c r="D1690" s="41"/>
      <c r="E1690" s="40"/>
      <c r="F1690" s="41"/>
      <c r="G1690" s="101"/>
      <c r="H1690" s="38"/>
      <c r="I1690" s="42"/>
      <c r="J1690" s="42"/>
      <c r="K1690" s="43"/>
      <c r="L1690" s="43"/>
      <c r="M1690" s="44" t="str">
        <f>IF(LayTable[[#This Row],[Sport]]="","",LayTable[[#This Row],[LayInnsats]]*(LayTable[[#This Row],[LayOdds]]-1))</f>
        <v/>
      </c>
      <c r="N1690" s="45" t="str">
        <f>IF(LayTable[[#This Row],[Sport]]="","",1/((1/LayTable[[#This Row],[BookieOdds]])+(1/((1/((1+((LayTable[[#This Row],[LayOdds]]-1)*(1+LayTable[[#This Row],[C% Lay]])))-1))+1)))-1)</f>
        <v/>
      </c>
      <c r="Q1690" s="46" t="str">
        <f>IF(LayTable[[#This Row],[Sport]]="","",LayTable[[#This Row],[BookieInnsats]]+LayTable[[#This Row],[LayLiability]])</f>
        <v/>
      </c>
      <c r="R16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0" s="47" t="str">
        <f>IF(LayTable[[#This Row],[Utfall bookie]]="","",LayTable[[#This Row],[WBABack]]+LayTable[[#This Row],[WBALay]]-LayTable[[#This Row],[Total inns]])</f>
        <v/>
      </c>
      <c r="U16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0" s="48" t="str">
        <f>IFERROR(IF(LayTable[[#This Row],[Total inns]]="","",LayTable[[#This Row],[Rback]]/LayTable[[#This Row],[Total inns]]),"")</f>
        <v/>
      </c>
      <c r="X1690" s="48" t="str">
        <f>IFERROR(IF(LayTable[[#This Row],[Total inns]]="","",LayTable[[#This Row],[Rlay]]/LayTable[[#This Row],[Total inns]]),"")</f>
        <v/>
      </c>
      <c r="Y1690" s="48" t="str">
        <f>IFERROR(LayTable[[#This Row],[Faktisk res]]/LayTable[[#This Row],[Total inns]],"")</f>
        <v/>
      </c>
      <c r="Z1690" s="47">
        <f>(LayTable[[#This Row],[BookieInnsats]]*LayTable[[#This Row],[BookieOdds]]-LayTable[[#This Row],[BookieInnsats]])*(1-LayTable[[#This Row],[C% Bookie]])</f>
        <v>0</v>
      </c>
      <c r="AA1690" s="43">
        <f>LayTable[[#This Row],[LayInnsats]]*(1-LayTable[[#This Row],[C% Lay]])</f>
        <v>0</v>
      </c>
      <c r="AB1690" s="43" t="str">
        <f>IFERROR(IF(LayTable[[#This Row],[Sport]]="",AB1689,LayTable[[#This Row],[Faktisk res]]+AB1689),"")</f>
        <v/>
      </c>
      <c r="AC1690" s="43">
        <f>(LayTable[[#This Row],[BackWin-Commission]]+LayTable[[#This Row],[BookieInnsats]])</f>
        <v>0</v>
      </c>
      <c r="AD1690" s="43" t="e">
        <f>(LayTable[[#This Row],[LayWin-Commission]])+LayTable[[#This Row],[LayLiability]]</f>
        <v>#VALUE!</v>
      </c>
      <c r="AE1690" s="43"/>
      <c r="AF1690" s="181"/>
    </row>
    <row r="1691" spans="1:32">
      <c r="A1691" s="84"/>
      <c r="B1691" s="39"/>
      <c r="C1691" s="40"/>
      <c r="D1691" s="41"/>
      <c r="E1691" s="40"/>
      <c r="F1691" s="41"/>
      <c r="G1691" s="101"/>
      <c r="H1691" s="38"/>
      <c r="I1691" s="42"/>
      <c r="J1691" s="42"/>
      <c r="K1691" s="43"/>
      <c r="L1691" s="43"/>
      <c r="M1691" s="44" t="str">
        <f>IF(LayTable[[#This Row],[Sport]]="","",LayTable[[#This Row],[LayInnsats]]*(LayTable[[#This Row],[LayOdds]]-1))</f>
        <v/>
      </c>
      <c r="N1691" s="45" t="str">
        <f>IF(LayTable[[#This Row],[Sport]]="","",1/((1/LayTable[[#This Row],[BookieOdds]])+(1/((1/((1+((LayTable[[#This Row],[LayOdds]]-1)*(1+LayTable[[#This Row],[C% Lay]])))-1))+1)))-1)</f>
        <v/>
      </c>
      <c r="Q1691" s="46" t="str">
        <f>IF(LayTable[[#This Row],[Sport]]="","",LayTable[[#This Row],[BookieInnsats]]+LayTable[[#This Row],[LayLiability]])</f>
        <v/>
      </c>
      <c r="R16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1" s="47" t="str">
        <f>IF(LayTable[[#This Row],[Utfall bookie]]="","",LayTable[[#This Row],[WBABack]]+LayTable[[#This Row],[WBALay]]-LayTable[[#This Row],[Total inns]])</f>
        <v/>
      </c>
      <c r="U16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1" s="48" t="str">
        <f>IFERROR(IF(LayTable[[#This Row],[Total inns]]="","",LayTable[[#This Row],[Rback]]/LayTable[[#This Row],[Total inns]]),"")</f>
        <v/>
      </c>
      <c r="X1691" s="48" t="str">
        <f>IFERROR(IF(LayTable[[#This Row],[Total inns]]="","",LayTable[[#This Row],[Rlay]]/LayTable[[#This Row],[Total inns]]),"")</f>
        <v/>
      </c>
      <c r="Y1691" s="48" t="str">
        <f>IFERROR(LayTable[[#This Row],[Faktisk res]]/LayTable[[#This Row],[Total inns]],"")</f>
        <v/>
      </c>
      <c r="Z1691" s="47">
        <f>(LayTable[[#This Row],[BookieInnsats]]*LayTable[[#This Row],[BookieOdds]]-LayTable[[#This Row],[BookieInnsats]])*(1-LayTable[[#This Row],[C% Bookie]])</f>
        <v>0</v>
      </c>
      <c r="AA1691" s="43">
        <f>LayTable[[#This Row],[LayInnsats]]*(1-LayTable[[#This Row],[C% Lay]])</f>
        <v>0</v>
      </c>
      <c r="AB1691" s="43" t="str">
        <f>IFERROR(IF(LayTable[[#This Row],[Sport]]="",AB1690,LayTable[[#This Row],[Faktisk res]]+AB1690),"")</f>
        <v/>
      </c>
      <c r="AC1691" s="43">
        <f>(LayTable[[#This Row],[BackWin-Commission]]+LayTable[[#This Row],[BookieInnsats]])</f>
        <v>0</v>
      </c>
      <c r="AD1691" s="43" t="e">
        <f>(LayTable[[#This Row],[LayWin-Commission]])+LayTable[[#This Row],[LayLiability]]</f>
        <v>#VALUE!</v>
      </c>
      <c r="AE1691" s="43"/>
      <c r="AF1691" s="181"/>
    </row>
    <row r="1692" spans="1:32">
      <c r="A1692" s="84"/>
      <c r="B1692" s="39"/>
      <c r="C1692" s="40"/>
      <c r="D1692" s="41"/>
      <c r="E1692" s="40"/>
      <c r="F1692" s="41"/>
      <c r="G1692" s="101"/>
      <c r="H1692" s="38"/>
      <c r="I1692" s="42"/>
      <c r="J1692" s="42"/>
      <c r="K1692" s="43"/>
      <c r="L1692" s="43"/>
      <c r="M1692" s="44" t="str">
        <f>IF(LayTable[[#This Row],[Sport]]="","",LayTable[[#This Row],[LayInnsats]]*(LayTable[[#This Row],[LayOdds]]-1))</f>
        <v/>
      </c>
      <c r="N1692" s="45" t="str">
        <f>IF(LayTable[[#This Row],[Sport]]="","",1/((1/LayTable[[#This Row],[BookieOdds]])+(1/((1/((1+((LayTable[[#This Row],[LayOdds]]-1)*(1+LayTable[[#This Row],[C% Lay]])))-1))+1)))-1)</f>
        <v/>
      </c>
      <c r="Q1692" s="46" t="str">
        <f>IF(LayTable[[#This Row],[Sport]]="","",LayTable[[#This Row],[BookieInnsats]]+LayTable[[#This Row],[LayLiability]])</f>
        <v/>
      </c>
      <c r="R16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2" s="47" t="str">
        <f>IF(LayTable[[#This Row],[Utfall bookie]]="","",LayTable[[#This Row],[WBABack]]+LayTable[[#This Row],[WBALay]]-LayTable[[#This Row],[Total inns]])</f>
        <v/>
      </c>
      <c r="U16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2" s="48" t="str">
        <f>IFERROR(IF(LayTable[[#This Row],[Total inns]]="","",LayTable[[#This Row],[Rback]]/LayTable[[#This Row],[Total inns]]),"")</f>
        <v/>
      </c>
      <c r="X1692" s="48" t="str">
        <f>IFERROR(IF(LayTable[[#This Row],[Total inns]]="","",LayTable[[#This Row],[Rlay]]/LayTable[[#This Row],[Total inns]]),"")</f>
        <v/>
      </c>
      <c r="Y1692" s="48" t="str">
        <f>IFERROR(LayTable[[#This Row],[Faktisk res]]/LayTable[[#This Row],[Total inns]],"")</f>
        <v/>
      </c>
      <c r="Z1692" s="47">
        <f>(LayTable[[#This Row],[BookieInnsats]]*LayTable[[#This Row],[BookieOdds]]-LayTable[[#This Row],[BookieInnsats]])*(1-LayTable[[#This Row],[C% Bookie]])</f>
        <v>0</v>
      </c>
      <c r="AA1692" s="43">
        <f>LayTable[[#This Row],[LayInnsats]]*(1-LayTable[[#This Row],[C% Lay]])</f>
        <v>0</v>
      </c>
      <c r="AB1692" s="43" t="str">
        <f>IFERROR(IF(LayTable[[#This Row],[Sport]]="",AB1691,LayTable[[#This Row],[Faktisk res]]+AB1691),"")</f>
        <v/>
      </c>
      <c r="AC1692" s="43">
        <f>(LayTable[[#This Row],[BackWin-Commission]]+LayTable[[#This Row],[BookieInnsats]])</f>
        <v>0</v>
      </c>
      <c r="AD1692" s="43" t="e">
        <f>(LayTable[[#This Row],[LayWin-Commission]])+LayTable[[#This Row],[LayLiability]]</f>
        <v>#VALUE!</v>
      </c>
      <c r="AE1692" s="43"/>
      <c r="AF1692" s="181"/>
    </row>
    <row r="1693" spans="1:32">
      <c r="A1693" s="84"/>
      <c r="B1693" s="39"/>
      <c r="C1693" s="40"/>
      <c r="D1693" s="41"/>
      <c r="E1693" s="40"/>
      <c r="F1693" s="41"/>
      <c r="G1693" s="101"/>
      <c r="H1693" s="38"/>
      <c r="I1693" s="42"/>
      <c r="J1693" s="42"/>
      <c r="K1693" s="43"/>
      <c r="L1693" s="43"/>
      <c r="M1693" s="44" t="str">
        <f>IF(LayTable[[#This Row],[Sport]]="","",LayTable[[#This Row],[LayInnsats]]*(LayTable[[#This Row],[LayOdds]]-1))</f>
        <v/>
      </c>
      <c r="N1693" s="45" t="str">
        <f>IF(LayTable[[#This Row],[Sport]]="","",1/((1/LayTable[[#This Row],[BookieOdds]])+(1/((1/((1+((LayTable[[#This Row],[LayOdds]]-1)*(1+LayTable[[#This Row],[C% Lay]])))-1))+1)))-1)</f>
        <v/>
      </c>
      <c r="Q1693" s="46" t="str">
        <f>IF(LayTable[[#This Row],[Sport]]="","",LayTable[[#This Row],[BookieInnsats]]+LayTable[[#This Row],[LayLiability]])</f>
        <v/>
      </c>
      <c r="R16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3" s="47" t="str">
        <f>IF(LayTable[[#This Row],[Utfall bookie]]="","",LayTable[[#This Row],[WBABack]]+LayTable[[#This Row],[WBALay]]-LayTable[[#This Row],[Total inns]])</f>
        <v/>
      </c>
      <c r="U16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3" s="48" t="str">
        <f>IFERROR(IF(LayTable[[#This Row],[Total inns]]="","",LayTable[[#This Row],[Rback]]/LayTable[[#This Row],[Total inns]]),"")</f>
        <v/>
      </c>
      <c r="X1693" s="48" t="str">
        <f>IFERROR(IF(LayTable[[#This Row],[Total inns]]="","",LayTable[[#This Row],[Rlay]]/LayTable[[#This Row],[Total inns]]),"")</f>
        <v/>
      </c>
      <c r="Y1693" s="48" t="str">
        <f>IFERROR(LayTable[[#This Row],[Faktisk res]]/LayTable[[#This Row],[Total inns]],"")</f>
        <v/>
      </c>
      <c r="Z1693" s="47">
        <f>(LayTable[[#This Row],[BookieInnsats]]*LayTable[[#This Row],[BookieOdds]]-LayTable[[#This Row],[BookieInnsats]])*(1-LayTable[[#This Row],[C% Bookie]])</f>
        <v>0</v>
      </c>
      <c r="AA1693" s="43">
        <f>LayTable[[#This Row],[LayInnsats]]*(1-LayTable[[#This Row],[C% Lay]])</f>
        <v>0</v>
      </c>
      <c r="AB1693" s="43" t="str">
        <f>IFERROR(IF(LayTable[[#This Row],[Sport]]="",AB1692,LayTable[[#This Row],[Faktisk res]]+AB1692),"")</f>
        <v/>
      </c>
      <c r="AC1693" s="43">
        <f>(LayTable[[#This Row],[BackWin-Commission]]+LayTable[[#This Row],[BookieInnsats]])</f>
        <v>0</v>
      </c>
      <c r="AD1693" s="43" t="e">
        <f>(LayTable[[#This Row],[LayWin-Commission]])+LayTable[[#This Row],[LayLiability]]</f>
        <v>#VALUE!</v>
      </c>
      <c r="AE1693" s="43"/>
      <c r="AF1693" s="181"/>
    </row>
    <row r="1694" spans="1:32">
      <c r="A1694" s="84"/>
      <c r="B1694" s="39"/>
      <c r="C1694" s="40"/>
      <c r="D1694" s="41"/>
      <c r="E1694" s="40"/>
      <c r="F1694" s="41"/>
      <c r="G1694" s="101"/>
      <c r="H1694" s="38"/>
      <c r="I1694" s="42"/>
      <c r="J1694" s="42"/>
      <c r="K1694" s="43"/>
      <c r="L1694" s="43"/>
      <c r="M1694" s="44" t="str">
        <f>IF(LayTable[[#This Row],[Sport]]="","",LayTable[[#This Row],[LayInnsats]]*(LayTable[[#This Row],[LayOdds]]-1))</f>
        <v/>
      </c>
      <c r="N1694" s="45" t="str">
        <f>IF(LayTable[[#This Row],[Sport]]="","",1/((1/LayTable[[#This Row],[BookieOdds]])+(1/((1/((1+((LayTable[[#This Row],[LayOdds]]-1)*(1+LayTable[[#This Row],[C% Lay]])))-1))+1)))-1)</f>
        <v/>
      </c>
      <c r="Q1694" s="46" t="str">
        <f>IF(LayTable[[#This Row],[Sport]]="","",LayTable[[#This Row],[BookieInnsats]]+LayTable[[#This Row],[LayLiability]])</f>
        <v/>
      </c>
      <c r="R16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4" s="47" t="str">
        <f>IF(LayTable[[#This Row],[Utfall bookie]]="","",LayTable[[#This Row],[WBABack]]+LayTable[[#This Row],[WBALay]]-LayTable[[#This Row],[Total inns]])</f>
        <v/>
      </c>
      <c r="U16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4" s="48" t="str">
        <f>IFERROR(IF(LayTable[[#This Row],[Total inns]]="","",LayTable[[#This Row],[Rback]]/LayTable[[#This Row],[Total inns]]),"")</f>
        <v/>
      </c>
      <c r="X1694" s="48" t="str">
        <f>IFERROR(IF(LayTable[[#This Row],[Total inns]]="","",LayTable[[#This Row],[Rlay]]/LayTable[[#This Row],[Total inns]]),"")</f>
        <v/>
      </c>
      <c r="Y1694" s="48" t="str">
        <f>IFERROR(LayTable[[#This Row],[Faktisk res]]/LayTable[[#This Row],[Total inns]],"")</f>
        <v/>
      </c>
      <c r="Z1694" s="47">
        <f>(LayTable[[#This Row],[BookieInnsats]]*LayTable[[#This Row],[BookieOdds]]-LayTable[[#This Row],[BookieInnsats]])*(1-LayTable[[#This Row],[C% Bookie]])</f>
        <v>0</v>
      </c>
      <c r="AA1694" s="43">
        <f>LayTable[[#This Row],[LayInnsats]]*(1-LayTable[[#This Row],[C% Lay]])</f>
        <v>0</v>
      </c>
      <c r="AB1694" s="43" t="str">
        <f>IFERROR(IF(LayTable[[#This Row],[Sport]]="",AB1693,LayTable[[#This Row],[Faktisk res]]+AB1693),"")</f>
        <v/>
      </c>
      <c r="AC1694" s="43">
        <f>(LayTable[[#This Row],[BackWin-Commission]]+LayTable[[#This Row],[BookieInnsats]])</f>
        <v>0</v>
      </c>
      <c r="AD1694" s="43" t="e">
        <f>(LayTable[[#This Row],[LayWin-Commission]])+LayTable[[#This Row],[LayLiability]]</f>
        <v>#VALUE!</v>
      </c>
      <c r="AE1694" s="43"/>
      <c r="AF1694" s="181"/>
    </row>
    <row r="1695" spans="1:32">
      <c r="A1695" s="84"/>
      <c r="B1695" s="39"/>
      <c r="C1695" s="40"/>
      <c r="D1695" s="41"/>
      <c r="E1695" s="40"/>
      <c r="F1695" s="41"/>
      <c r="G1695" s="101"/>
      <c r="H1695" s="38"/>
      <c r="I1695" s="42"/>
      <c r="J1695" s="42"/>
      <c r="K1695" s="43"/>
      <c r="L1695" s="43"/>
      <c r="M1695" s="44" t="str">
        <f>IF(LayTable[[#This Row],[Sport]]="","",LayTable[[#This Row],[LayInnsats]]*(LayTable[[#This Row],[LayOdds]]-1))</f>
        <v/>
      </c>
      <c r="N1695" s="45" t="str">
        <f>IF(LayTable[[#This Row],[Sport]]="","",1/((1/LayTable[[#This Row],[BookieOdds]])+(1/((1/((1+((LayTable[[#This Row],[LayOdds]]-1)*(1+LayTable[[#This Row],[C% Lay]])))-1))+1)))-1)</f>
        <v/>
      </c>
      <c r="Q1695" s="46" t="str">
        <f>IF(LayTable[[#This Row],[Sport]]="","",LayTable[[#This Row],[BookieInnsats]]+LayTable[[#This Row],[LayLiability]])</f>
        <v/>
      </c>
      <c r="R16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5" s="47" t="str">
        <f>IF(LayTable[[#This Row],[Utfall bookie]]="","",LayTable[[#This Row],[WBABack]]+LayTable[[#This Row],[WBALay]]-LayTable[[#This Row],[Total inns]])</f>
        <v/>
      </c>
      <c r="U16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5" s="48" t="str">
        <f>IFERROR(IF(LayTable[[#This Row],[Total inns]]="","",LayTable[[#This Row],[Rback]]/LayTable[[#This Row],[Total inns]]),"")</f>
        <v/>
      </c>
      <c r="X1695" s="48" t="str">
        <f>IFERROR(IF(LayTable[[#This Row],[Total inns]]="","",LayTable[[#This Row],[Rlay]]/LayTable[[#This Row],[Total inns]]),"")</f>
        <v/>
      </c>
      <c r="Y1695" s="48" t="str">
        <f>IFERROR(LayTable[[#This Row],[Faktisk res]]/LayTable[[#This Row],[Total inns]],"")</f>
        <v/>
      </c>
      <c r="Z1695" s="47">
        <f>(LayTable[[#This Row],[BookieInnsats]]*LayTable[[#This Row],[BookieOdds]]-LayTable[[#This Row],[BookieInnsats]])*(1-LayTable[[#This Row],[C% Bookie]])</f>
        <v>0</v>
      </c>
      <c r="AA1695" s="43">
        <f>LayTable[[#This Row],[LayInnsats]]*(1-LayTable[[#This Row],[C% Lay]])</f>
        <v>0</v>
      </c>
      <c r="AB1695" s="43" t="str">
        <f>IFERROR(IF(LayTable[[#This Row],[Sport]]="",AB1694,LayTable[[#This Row],[Faktisk res]]+AB1694),"")</f>
        <v/>
      </c>
      <c r="AC1695" s="43">
        <f>(LayTable[[#This Row],[BackWin-Commission]]+LayTable[[#This Row],[BookieInnsats]])</f>
        <v>0</v>
      </c>
      <c r="AD1695" s="43" t="e">
        <f>(LayTable[[#This Row],[LayWin-Commission]])+LayTable[[#This Row],[LayLiability]]</f>
        <v>#VALUE!</v>
      </c>
      <c r="AE1695" s="43"/>
      <c r="AF1695" s="181"/>
    </row>
    <row r="1696" spans="1:32">
      <c r="A1696" s="84"/>
      <c r="B1696" s="39"/>
      <c r="C1696" s="40"/>
      <c r="D1696" s="41"/>
      <c r="E1696" s="40"/>
      <c r="F1696" s="41"/>
      <c r="G1696" s="101"/>
      <c r="H1696" s="38"/>
      <c r="I1696" s="42"/>
      <c r="J1696" s="42"/>
      <c r="K1696" s="43"/>
      <c r="L1696" s="43"/>
      <c r="M1696" s="44" t="str">
        <f>IF(LayTable[[#This Row],[Sport]]="","",LayTable[[#This Row],[LayInnsats]]*(LayTable[[#This Row],[LayOdds]]-1))</f>
        <v/>
      </c>
      <c r="N1696" s="45" t="str">
        <f>IF(LayTable[[#This Row],[Sport]]="","",1/((1/LayTable[[#This Row],[BookieOdds]])+(1/((1/((1+((LayTable[[#This Row],[LayOdds]]-1)*(1+LayTable[[#This Row],[C% Lay]])))-1))+1)))-1)</f>
        <v/>
      </c>
      <c r="Q1696" s="46" t="str">
        <f>IF(LayTable[[#This Row],[Sport]]="","",LayTable[[#This Row],[BookieInnsats]]+LayTable[[#This Row],[LayLiability]])</f>
        <v/>
      </c>
      <c r="R16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6" s="47" t="str">
        <f>IF(LayTable[[#This Row],[Utfall bookie]]="","",LayTable[[#This Row],[WBABack]]+LayTable[[#This Row],[WBALay]]-LayTable[[#This Row],[Total inns]])</f>
        <v/>
      </c>
      <c r="U16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6" s="48" t="str">
        <f>IFERROR(IF(LayTable[[#This Row],[Total inns]]="","",LayTable[[#This Row],[Rback]]/LayTable[[#This Row],[Total inns]]),"")</f>
        <v/>
      </c>
      <c r="X1696" s="48" t="str">
        <f>IFERROR(IF(LayTable[[#This Row],[Total inns]]="","",LayTable[[#This Row],[Rlay]]/LayTable[[#This Row],[Total inns]]),"")</f>
        <v/>
      </c>
      <c r="Y1696" s="48" t="str">
        <f>IFERROR(LayTable[[#This Row],[Faktisk res]]/LayTable[[#This Row],[Total inns]],"")</f>
        <v/>
      </c>
      <c r="Z1696" s="47">
        <f>(LayTable[[#This Row],[BookieInnsats]]*LayTable[[#This Row],[BookieOdds]]-LayTable[[#This Row],[BookieInnsats]])*(1-LayTable[[#This Row],[C% Bookie]])</f>
        <v>0</v>
      </c>
      <c r="AA1696" s="43">
        <f>LayTable[[#This Row],[LayInnsats]]*(1-LayTable[[#This Row],[C% Lay]])</f>
        <v>0</v>
      </c>
      <c r="AB1696" s="43" t="str">
        <f>IFERROR(IF(LayTable[[#This Row],[Sport]]="",AB1695,LayTable[[#This Row],[Faktisk res]]+AB1695),"")</f>
        <v/>
      </c>
      <c r="AC1696" s="43">
        <f>(LayTable[[#This Row],[BackWin-Commission]]+LayTable[[#This Row],[BookieInnsats]])</f>
        <v>0</v>
      </c>
      <c r="AD1696" s="43" t="e">
        <f>(LayTable[[#This Row],[LayWin-Commission]])+LayTable[[#This Row],[LayLiability]]</f>
        <v>#VALUE!</v>
      </c>
      <c r="AE1696" s="43"/>
      <c r="AF1696" s="181"/>
    </row>
    <row r="1697" spans="1:32">
      <c r="A1697" s="84"/>
      <c r="B1697" s="39"/>
      <c r="C1697" s="40"/>
      <c r="D1697" s="41"/>
      <c r="E1697" s="40"/>
      <c r="F1697" s="41"/>
      <c r="G1697" s="101"/>
      <c r="H1697" s="38"/>
      <c r="I1697" s="42"/>
      <c r="J1697" s="42"/>
      <c r="K1697" s="43"/>
      <c r="L1697" s="43"/>
      <c r="M1697" s="44" t="str">
        <f>IF(LayTable[[#This Row],[Sport]]="","",LayTable[[#This Row],[LayInnsats]]*(LayTable[[#This Row],[LayOdds]]-1))</f>
        <v/>
      </c>
      <c r="N1697" s="45" t="str">
        <f>IF(LayTable[[#This Row],[Sport]]="","",1/((1/LayTable[[#This Row],[BookieOdds]])+(1/((1/((1+((LayTable[[#This Row],[LayOdds]]-1)*(1+LayTable[[#This Row],[C% Lay]])))-1))+1)))-1)</f>
        <v/>
      </c>
      <c r="Q1697" s="46" t="str">
        <f>IF(LayTable[[#This Row],[Sport]]="","",LayTable[[#This Row],[BookieInnsats]]+LayTable[[#This Row],[LayLiability]])</f>
        <v/>
      </c>
      <c r="R16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7" s="47" t="str">
        <f>IF(LayTable[[#This Row],[Utfall bookie]]="","",LayTable[[#This Row],[WBABack]]+LayTable[[#This Row],[WBALay]]-LayTable[[#This Row],[Total inns]])</f>
        <v/>
      </c>
      <c r="U16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7" s="48" t="str">
        <f>IFERROR(IF(LayTable[[#This Row],[Total inns]]="","",LayTable[[#This Row],[Rback]]/LayTable[[#This Row],[Total inns]]),"")</f>
        <v/>
      </c>
      <c r="X1697" s="48" t="str">
        <f>IFERROR(IF(LayTable[[#This Row],[Total inns]]="","",LayTable[[#This Row],[Rlay]]/LayTable[[#This Row],[Total inns]]),"")</f>
        <v/>
      </c>
      <c r="Y1697" s="48" t="str">
        <f>IFERROR(LayTable[[#This Row],[Faktisk res]]/LayTable[[#This Row],[Total inns]],"")</f>
        <v/>
      </c>
      <c r="Z1697" s="47">
        <f>(LayTable[[#This Row],[BookieInnsats]]*LayTable[[#This Row],[BookieOdds]]-LayTable[[#This Row],[BookieInnsats]])*(1-LayTable[[#This Row],[C% Bookie]])</f>
        <v>0</v>
      </c>
      <c r="AA1697" s="43">
        <f>LayTable[[#This Row],[LayInnsats]]*(1-LayTable[[#This Row],[C% Lay]])</f>
        <v>0</v>
      </c>
      <c r="AB1697" s="43" t="str">
        <f>IFERROR(IF(LayTable[[#This Row],[Sport]]="",AB1696,LayTable[[#This Row],[Faktisk res]]+AB1696),"")</f>
        <v/>
      </c>
      <c r="AC1697" s="43">
        <f>(LayTable[[#This Row],[BackWin-Commission]]+LayTable[[#This Row],[BookieInnsats]])</f>
        <v>0</v>
      </c>
      <c r="AD1697" s="43" t="e">
        <f>(LayTable[[#This Row],[LayWin-Commission]])+LayTable[[#This Row],[LayLiability]]</f>
        <v>#VALUE!</v>
      </c>
      <c r="AE1697" s="43"/>
      <c r="AF1697" s="181"/>
    </row>
    <row r="1698" spans="1:32">
      <c r="A1698" s="84"/>
      <c r="B1698" s="39"/>
      <c r="C1698" s="40"/>
      <c r="D1698" s="41"/>
      <c r="E1698" s="40"/>
      <c r="F1698" s="41"/>
      <c r="G1698" s="101"/>
      <c r="H1698" s="38"/>
      <c r="I1698" s="42"/>
      <c r="J1698" s="42"/>
      <c r="K1698" s="43"/>
      <c r="L1698" s="43"/>
      <c r="M1698" s="44" t="str">
        <f>IF(LayTable[[#This Row],[Sport]]="","",LayTable[[#This Row],[LayInnsats]]*(LayTable[[#This Row],[LayOdds]]-1))</f>
        <v/>
      </c>
      <c r="N1698" s="45" t="str">
        <f>IF(LayTable[[#This Row],[Sport]]="","",1/((1/LayTable[[#This Row],[BookieOdds]])+(1/((1/((1+((LayTable[[#This Row],[LayOdds]]-1)*(1+LayTable[[#This Row],[C% Lay]])))-1))+1)))-1)</f>
        <v/>
      </c>
      <c r="Q1698" s="46" t="str">
        <f>IF(LayTable[[#This Row],[Sport]]="","",LayTable[[#This Row],[BookieInnsats]]+LayTable[[#This Row],[LayLiability]])</f>
        <v/>
      </c>
      <c r="R16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8" s="47" t="str">
        <f>IF(LayTable[[#This Row],[Utfall bookie]]="","",LayTable[[#This Row],[WBABack]]+LayTable[[#This Row],[WBALay]]-LayTable[[#This Row],[Total inns]])</f>
        <v/>
      </c>
      <c r="U16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8" s="48" t="str">
        <f>IFERROR(IF(LayTable[[#This Row],[Total inns]]="","",LayTable[[#This Row],[Rback]]/LayTable[[#This Row],[Total inns]]),"")</f>
        <v/>
      </c>
      <c r="X1698" s="48" t="str">
        <f>IFERROR(IF(LayTable[[#This Row],[Total inns]]="","",LayTable[[#This Row],[Rlay]]/LayTable[[#This Row],[Total inns]]),"")</f>
        <v/>
      </c>
      <c r="Y1698" s="48" t="str">
        <f>IFERROR(LayTable[[#This Row],[Faktisk res]]/LayTable[[#This Row],[Total inns]],"")</f>
        <v/>
      </c>
      <c r="Z1698" s="47">
        <f>(LayTable[[#This Row],[BookieInnsats]]*LayTable[[#This Row],[BookieOdds]]-LayTable[[#This Row],[BookieInnsats]])*(1-LayTable[[#This Row],[C% Bookie]])</f>
        <v>0</v>
      </c>
      <c r="AA1698" s="43">
        <f>LayTable[[#This Row],[LayInnsats]]*(1-LayTable[[#This Row],[C% Lay]])</f>
        <v>0</v>
      </c>
      <c r="AB1698" s="43" t="str">
        <f>IFERROR(IF(LayTable[[#This Row],[Sport]]="",AB1697,LayTable[[#This Row],[Faktisk res]]+AB1697),"")</f>
        <v/>
      </c>
      <c r="AC1698" s="43">
        <f>(LayTable[[#This Row],[BackWin-Commission]]+LayTable[[#This Row],[BookieInnsats]])</f>
        <v>0</v>
      </c>
      <c r="AD1698" s="43" t="e">
        <f>(LayTable[[#This Row],[LayWin-Commission]])+LayTable[[#This Row],[LayLiability]]</f>
        <v>#VALUE!</v>
      </c>
      <c r="AE1698" s="43"/>
      <c r="AF1698" s="181"/>
    </row>
    <row r="1699" spans="1:32">
      <c r="A1699" s="84"/>
      <c r="B1699" s="39"/>
      <c r="C1699" s="40"/>
      <c r="D1699" s="41"/>
      <c r="E1699" s="40"/>
      <c r="F1699" s="41"/>
      <c r="G1699" s="101"/>
      <c r="H1699" s="38"/>
      <c r="I1699" s="42"/>
      <c r="J1699" s="42"/>
      <c r="K1699" s="43"/>
      <c r="L1699" s="43"/>
      <c r="M1699" s="44" t="str">
        <f>IF(LayTable[[#This Row],[Sport]]="","",LayTable[[#This Row],[LayInnsats]]*(LayTable[[#This Row],[LayOdds]]-1))</f>
        <v/>
      </c>
      <c r="N1699" s="45" t="str">
        <f>IF(LayTable[[#This Row],[Sport]]="","",1/((1/LayTable[[#This Row],[BookieOdds]])+(1/((1/((1+((LayTable[[#This Row],[LayOdds]]-1)*(1+LayTable[[#This Row],[C% Lay]])))-1))+1)))-1)</f>
        <v/>
      </c>
      <c r="Q1699" s="46" t="str">
        <f>IF(LayTable[[#This Row],[Sport]]="","",LayTable[[#This Row],[BookieInnsats]]+LayTable[[#This Row],[LayLiability]])</f>
        <v/>
      </c>
      <c r="R16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6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699" s="47" t="str">
        <f>IF(LayTable[[#This Row],[Utfall bookie]]="","",LayTable[[#This Row],[WBABack]]+LayTable[[#This Row],[WBALay]]-LayTable[[#This Row],[Total inns]])</f>
        <v/>
      </c>
      <c r="U16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6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699" s="48" t="str">
        <f>IFERROR(IF(LayTable[[#This Row],[Total inns]]="","",LayTable[[#This Row],[Rback]]/LayTable[[#This Row],[Total inns]]),"")</f>
        <v/>
      </c>
      <c r="X1699" s="48" t="str">
        <f>IFERROR(IF(LayTable[[#This Row],[Total inns]]="","",LayTable[[#This Row],[Rlay]]/LayTable[[#This Row],[Total inns]]),"")</f>
        <v/>
      </c>
      <c r="Y1699" s="48" t="str">
        <f>IFERROR(LayTable[[#This Row],[Faktisk res]]/LayTable[[#This Row],[Total inns]],"")</f>
        <v/>
      </c>
      <c r="Z1699" s="47">
        <f>(LayTable[[#This Row],[BookieInnsats]]*LayTable[[#This Row],[BookieOdds]]-LayTable[[#This Row],[BookieInnsats]])*(1-LayTable[[#This Row],[C% Bookie]])</f>
        <v>0</v>
      </c>
      <c r="AA1699" s="43">
        <f>LayTable[[#This Row],[LayInnsats]]*(1-LayTable[[#This Row],[C% Lay]])</f>
        <v>0</v>
      </c>
      <c r="AB1699" s="43" t="str">
        <f>IFERROR(IF(LayTable[[#This Row],[Sport]]="",AB1698,LayTable[[#This Row],[Faktisk res]]+AB1698),"")</f>
        <v/>
      </c>
      <c r="AC1699" s="43">
        <f>(LayTable[[#This Row],[BackWin-Commission]]+LayTable[[#This Row],[BookieInnsats]])</f>
        <v>0</v>
      </c>
      <c r="AD1699" s="43" t="e">
        <f>(LayTable[[#This Row],[LayWin-Commission]])+LayTable[[#This Row],[LayLiability]]</f>
        <v>#VALUE!</v>
      </c>
      <c r="AE1699" s="43"/>
      <c r="AF1699" s="181"/>
    </row>
    <row r="1700" spans="1:32">
      <c r="A1700" s="84"/>
      <c r="B1700" s="39"/>
      <c r="C1700" s="40"/>
      <c r="D1700" s="41"/>
      <c r="E1700" s="40"/>
      <c r="F1700" s="41"/>
      <c r="G1700" s="101"/>
      <c r="H1700" s="38"/>
      <c r="I1700" s="42"/>
      <c r="J1700" s="42"/>
      <c r="K1700" s="43"/>
      <c r="L1700" s="43"/>
      <c r="M1700" s="44" t="str">
        <f>IF(LayTable[[#This Row],[Sport]]="","",LayTable[[#This Row],[LayInnsats]]*(LayTable[[#This Row],[LayOdds]]-1))</f>
        <v/>
      </c>
      <c r="N1700" s="45" t="str">
        <f>IF(LayTable[[#This Row],[Sport]]="","",1/((1/LayTable[[#This Row],[BookieOdds]])+(1/((1/((1+((LayTable[[#This Row],[LayOdds]]-1)*(1+LayTable[[#This Row],[C% Lay]])))-1))+1)))-1)</f>
        <v/>
      </c>
      <c r="Q1700" s="46" t="str">
        <f>IF(LayTable[[#This Row],[Sport]]="","",LayTable[[#This Row],[BookieInnsats]]+LayTable[[#This Row],[LayLiability]])</f>
        <v/>
      </c>
      <c r="R17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0" s="47" t="str">
        <f>IF(LayTable[[#This Row],[Utfall bookie]]="","",LayTable[[#This Row],[WBABack]]+LayTable[[#This Row],[WBALay]]-LayTable[[#This Row],[Total inns]])</f>
        <v/>
      </c>
      <c r="U17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0" s="48" t="str">
        <f>IFERROR(IF(LayTable[[#This Row],[Total inns]]="","",LayTable[[#This Row],[Rback]]/LayTable[[#This Row],[Total inns]]),"")</f>
        <v/>
      </c>
      <c r="X1700" s="48" t="str">
        <f>IFERROR(IF(LayTable[[#This Row],[Total inns]]="","",LayTable[[#This Row],[Rlay]]/LayTable[[#This Row],[Total inns]]),"")</f>
        <v/>
      </c>
      <c r="Y1700" s="48" t="str">
        <f>IFERROR(LayTable[[#This Row],[Faktisk res]]/LayTable[[#This Row],[Total inns]],"")</f>
        <v/>
      </c>
      <c r="Z1700" s="47">
        <f>(LayTable[[#This Row],[BookieInnsats]]*LayTable[[#This Row],[BookieOdds]]-LayTable[[#This Row],[BookieInnsats]])*(1-LayTable[[#This Row],[C% Bookie]])</f>
        <v>0</v>
      </c>
      <c r="AA1700" s="43">
        <f>LayTable[[#This Row],[LayInnsats]]*(1-LayTable[[#This Row],[C% Lay]])</f>
        <v>0</v>
      </c>
      <c r="AB1700" s="43" t="str">
        <f>IFERROR(IF(LayTable[[#This Row],[Sport]]="",AB1699,LayTable[[#This Row],[Faktisk res]]+AB1699),"")</f>
        <v/>
      </c>
      <c r="AC1700" s="43">
        <f>(LayTable[[#This Row],[BackWin-Commission]]+LayTable[[#This Row],[BookieInnsats]])</f>
        <v>0</v>
      </c>
      <c r="AD1700" s="43" t="e">
        <f>(LayTable[[#This Row],[LayWin-Commission]])+LayTable[[#This Row],[LayLiability]]</f>
        <v>#VALUE!</v>
      </c>
      <c r="AE1700" s="43"/>
      <c r="AF1700" s="181"/>
    </row>
    <row r="1701" spans="1:32">
      <c r="A1701" s="84"/>
      <c r="B1701" s="39"/>
      <c r="C1701" s="40"/>
      <c r="D1701" s="41"/>
      <c r="E1701" s="40"/>
      <c r="F1701" s="41"/>
      <c r="G1701" s="101"/>
      <c r="H1701" s="38"/>
      <c r="I1701" s="42"/>
      <c r="J1701" s="42"/>
      <c r="K1701" s="43"/>
      <c r="L1701" s="43"/>
      <c r="M1701" s="44" t="str">
        <f>IF(LayTable[[#This Row],[Sport]]="","",LayTable[[#This Row],[LayInnsats]]*(LayTable[[#This Row],[LayOdds]]-1))</f>
        <v/>
      </c>
      <c r="N1701" s="45" t="str">
        <f>IF(LayTable[[#This Row],[Sport]]="","",1/((1/LayTable[[#This Row],[BookieOdds]])+(1/((1/((1+((LayTable[[#This Row],[LayOdds]]-1)*(1+LayTable[[#This Row],[C% Lay]])))-1))+1)))-1)</f>
        <v/>
      </c>
      <c r="Q1701" s="46" t="str">
        <f>IF(LayTable[[#This Row],[Sport]]="","",LayTable[[#This Row],[BookieInnsats]]+LayTable[[#This Row],[LayLiability]])</f>
        <v/>
      </c>
      <c r="R17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1" s="47" t="str">
        <f>IF(LayTable[[#This Row],[Utfall bookie]]="","",LayTable[[#This Row],[WBABack]]+LayTable[[#This Row],[WBALay]]-LayTable[[#This Row],[Total inns]])</f>
        <v/>
      </c>
      <c r="U17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1" s="48" t="str">
        <f>IFERROR(IF(LayTable[[#This Row],[Total inns]]="","",LayTable[[#This Row],[Rback]]/LayTable[[#This Row],[Total inns]]),"")</f>
        <v/>
      </c>
      <c r="X1701" s="48" t="str">
        <f>IFERROR(IF(LayTable[[#This Row],[Total inns]]="","",LayTable[[#This Row],[Rlay]]/LayTable[[#This Row],[Total inns]]),"")</f>
        <v/>
      </c>
      <c r="Y1701" s="48" t="str">
        <f>IFERROR(LayTable[[#This Row],[Faktisk res]]/LayTable[[#This Row],[Total inns]],"")</f>
        <v/>
      </c>
      <c r="Z1701" s="47">
        <f>(LayTable[[#This Row],[BookieInnsats]]*LayTable[[#This Row],[BookieOdds]]-LayTable[[#This Row],[BookieInnsats]])*(1-LayTable[[#This Row],[C% Bookie]])</f>
        <v>0</v>
      </c>
      <c r="AA1701" s="43">
        <f>LayTable[[#This Row],[LayInnsats]]*(1-LayTable[[#This Row],[C% Lay]])</f>
        <v>0</v>
      </c>
      <c r="AB1701" s="43" t="str">
        <f>IFERROR(IF(LayTable[[#This Row],[Sport]]="",AB1700,LayTable[[#This Row],[Faktisk res]]+AB1700),"")</f>
        <v/>
      </c>
      <c r="AC1701" s="43">
        <f>(LayTable[[#This Row],[BackWin-Commission]]+LayTable[[#This Row],[BookieInnsats]])</f>
        <v>0</v>
      </c>
      <c r="AD1701" s="43" t="e">
        <f>(LayTable[[#This Row],[LayWin-Commission]])+LayTable[[#This Row],[LayLiability]]</f>
        <v>#VALUE!</v>
      </c>
      <c r="AE1701" s="43"/>
      <c r="AF1701" s="181"/>
    </row>
    <row r="1702" spans="1:32">
      <c r="A1702" s="84"/>
      <c r="B1702" s="39"/>
      <c r="C1702" s="40"/>
      <c r="D1702" s="41"/>
      <c r="E1702" s="40"/>
      <c r="F1702" s="41"/>
      <c r="G1702" s="101"/>
      <c r="H1702" s="38"/>
      <c r="I1702" s="42"/>
      <c r="J1702" s="42"/>
      <c r="K1702" s="43"/>
      <c r="L1702" s="43"/>
      <c r="M1702" s="44" t="str">
        <f>IF(LayTable[[#This Row],[Sport]]="","",LayTable[[#This Row],[LayInnsats]]*(LayTable[[#This Row],[LayOdds]]-1))</f>
        <v/>
      </c>
      <c r="N1702" s="45" t="str">
        <f>IF(LayTable[[#This Row],[Sport]]="","",1/((1/LayTable[[#This Row],[BookieOdds]])+(1/((1/((1+((LayTable[[#This Row],[LayOdds]]-1)*(1+LayTable[[#This Row],[C% Lay]])))-1))+1)))-1)</f>
        <v/>
      </c>
      <c r="Q1702" s="46" t="str">
        <f>IF(LayTable[[#This Row],[Sport]]="","",LayTable[[#This Row],[BookieInnsats]]+LayTable[[#This Row],[LayLiability]])</f>
        <v/>
      </c>
      <c r="R17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2" s="47" t="str">
        <f>IF(LayTable[[#This Row],[Utfall bookie]]="","",LayTable[[#This Row],[WBABack]]+LayTable[[#This Row],[WBALay]]-LayTable[[#This Row],[Total inns]])</f>
        <v/>
      </c>
      <c r="U17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2" s="48" t="str">
        <f>IFERROR(IF(LayTable[[#This Row],[Total inns]]="","",LayTable[[#This Row],[Rback]]/LayTable[[#This Row],[Total inns]]),"")</f>
        <v/>
      </c>
      <c r="X1702" s="48" t="str">
        <f>IFERROR(IF(LayTable[[#This Row],[Total inns]]="","",LayTable[[#This Row],[Rlay]]/LayTable[[#This Row],[Total inns]]),"")</f>
        <v/>
      </c>
      <c r="Y1702" s="48" t="str">
        <f>IFERROR(LayTable[[#This Row],[Faktisk res]]/LayTable[[#This Row],[Total inns]],"")</f>
        <v/>
      </c>
      <c r="Z1702" s="47">
        <f>(LayTable[[#This Row],[BookieInnsats]]*LayTable[[#This Row],[BookieOdds]]-LayTable[[#This Row],[BookieInnsats]])*(1-LayTable[[#This Row],[C% Bookie]])</f>
        <v>0</v>
      </c>
      <c r="AA1702" s="43">
        <f>LayTable[[#This Row],[LayInnsats]]*(1-LayTable[[#This Row],[C% Lay]])</f>
        <v>0</v>
      </c>
      <c r="AB1702" s="43" t="str">
        <f>IFERROR(IF(LayTable[[#This Row],[Sport]]="",AB1701,LayTable[[#This Row],[Faktisk res]]+AB1701),"")</f>
        <v/>
      </c>
      <c r="AC1702" s="43">
        <f>(LayTable[[#This Row],[BackWin-Commission]]+LayTable[[#This Row],[BookieInnsats]])</f>
        <v>0</v>
      </c>
      <c r="AD1702" s="43" t="e">
        <f>(LayTable[[#This Row],[LayWin-Commission]])+LayTable[[#This Row],[LayLiability]]</f>
        <v>#VALUE!</v>
      </c>
      <c r="AE1702" s="43"/>
      <c r="AF1702" s="181"/>
    </row>
    <row r="1703" spans="1:32">
      <c r="A1703" s="84"/>
      <c r="B1703" s="39"/>
      <c r="C1703" s="40"/>
      <c r="D1703" s="41"/>
      <c r="E1703" s="40"/>
      <c r="F1703" s="41"/>
      <c r="G1703" s="101"/>
      <c r="H1703" s="38"/>
      <c r="I1703" s="42"/>
      <c r="J1703" s="42"/>
      <c r="K1703" s="43"/>
      <c r="L1703" s="43"/>
      <c r="M1703" s="44" t="str">
        <f>IF(LayTable[[#This Row],[Sport]]="","",LayTable[[#This Row],[LayInnsats]]*(LayTable[[#This Row],[LayOdds]]-1))</f>
        <v/>
      </c>
      <c r="N1703" s="45" t="str">
        <f>IF(LayTable[[#This Row],[Sport]]="","",1/((1/LayTable[[#This Row],[BookieOdds]])+(1/((1/((1+((LayTable[[#This Row],[LayOdds]]-1)*(1+LayTable[[#This Row],[C% Lay]])))-1))+1)))-1)</f>
        <v/>
      </c>
      <c r="Q1703" s="46" t="str">
        <f>IF(LayTable[[#This Row],[Sport]]="","",LayTable[[#This Row],[BookieInnsats]]+LayTable[[#This Row],[LayLiability]])</f>
        <v/>
      </c>
      <c r="R17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3" s="47" t="str">
        <f>IF(LayTable[[#This Row],[Utfall bookie]]="","",LayTable[[#This Row],[WBABack]]+LayTable[[#This Row],[WBALay]]-LayTable[[#This Row],[Total inns]])</f>
        <v/>
      </c>
      <c r="U17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3" s="48" t="str">
        <f>IFERROR(IF(LayTable[[#This Row],[Total inns]]="","",LayTable[[#This Row],[Rback]]/LayTable[[#This Row],[Total inns]]),"")</f>
        <v/>
      </c>
      <c r="X1703" s="48" t="str">
        <f>IFERROR(IF(LayTable[[#This Row],[Total inns]]="","",LayTable[[#This Row],[Rlay]]/LayTable[[#This Row],[Total inns]]),"")</f>
        <v/>
      </c>
      <c r="Y1703" s="48" t="str">
        <f>IFERROR(LayTable[[#This Row],[Faktisk res]]/LayTable[[#This Row],[Total inns]],"")</f>
        <v/>
      </c>
      <c r="Z1703" s="47">
        <f>(LayTable[[#This Row],[BookieInnsats]]*LayTable[[#This Row],[BookieOdds]]-LayTable[[#This Row],[BookieInnsats]])*(1-LayTable[[#This Row],[C% Bookie]])</f>
        <v>0</v>
      </c>
      <c r="AA1703" s="43">
        <f>LayTable[[#This Row],[LayInnsats]]*(1-LayTable[[#This Row],[C% Lay]])</f>
        <v>0</v>
      </c>
      <c r="AB1703" s="43" t="str">
        <f>IFERROR(IF(LayTable[[#This Row],[Sport]]="",AB1702,LayTable[[#This Row],[Faktisk res]]+AB1702),"")</f>
        <v/>
      </c>
      <c r="AC1703" s="43">
        <f>(LayTable[[#This Row],[BackWin-Commission]]+LayTable[[#This Row],[BookieInnsats]])</f>
        <v>0</v>
      </c>
      <c r="AD1703" s="43" t="e">
        <f>(LayTable[[#This Row],[LayWin-Commission]])+LayTable[[#This Row],[LayLiability]]</f>
        <v>#VALUE!</v>
      </c>
      <c r="AE1703" s="43"/>
      <c r="AF1703" s="181"/>
    </row>
    <row r="1704" spans="1:32">
      <c r="A1704" s="84"/>
      <c r="B1704" s="39"/>
      <c r="C1704" s="40"/>
      <c r="D1704" s="41"/>
      <c r="E1704" s="40"/>
      <c r="F1704" s="41"/>
      <c r="G1704" s="101"/>
      <c r="H1704" s="38"/>
      <c r="I1704" s="42"/>
      <c r="J1704" s="42"/>
      <c r="K1704" s="43"/>
      <c r="L1704" s="43"/>
      <c r="M1704" s="44" t="str">
        <f>IF(LayTable[[#This Row],[Sport]]="","",LayTable[[#This Row],[LayInnsats]]*(LayTable[[#This Row],[LayOdds]]-1))</f>
        <v/>
      </c>
      <c r="N1704" s="45" t="str">
        <f>IF(LayTable[[#This Row],[Sport]]="","",1/((1/LayTable[[#This Row],[BookieOdds]])+(1/((1/((1+((LayTable[[#This Row],[LayOdds]]-1)*(1+LayTable[[#This Row],[C% Lay]])))-1))+1)))-1)</f>
        <v/>
      </c>
      <c r="Q1704" s="46" t="str">
        <f>IF(LayTable[[#This Row],[Sport]]="","",LayTable[[#This Row],[BookieInnsats]]+LayTable[[#This Row],[LayLiability]])</f>
        <v/>
      </c>
      <c r="R17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4" s="47" t="str">
        <f>IF(LayTable[[#This Row],[Utfall bookie]]="","",LayTable[[#This Row],[WBABack]]+LayTable[[#This Row],[WBALay]]-LayTable[[#This Row],[Total inns]])</f>
        <v/>
      </c>
      <c r="U17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4" s="48" t="str">
        <f>IFERROR(IF(LayTable[[#This Row],[Total inns]]="","",LayTable[[#This Row],[Rback]]/LayTable[[#This Row],[Total inns]]),"")</f>
        <v/>
      </c>
      <c r="X1704" s="48" t="str">
        <f>IFERROR(IF(LayTable[[#This Row],[Total inns]]="","",LayTable[[#This Row],[Rlay]]/LayTable[[#This Row],[Total inns]]),"")</f>
        <v/>
      </c>
      <c r="Y1704" s="48" t="str">
        <f>IFERROR(LayTable[[#This Row],[Faktisk res]]/LayTable[[#This Row],[Total inns]],"")</f>
        <v/>
      </c>
      <c r="Z1704" s="47">
        <f>(LayTable[[#This Row],[BookieInnsats]]*LayTable[[#This Row],[BookieOdds]]-LayTable[[#This Row],[BookieInnsats]])*(1-LayTable[[#This Row],[C% Bookie]])</f>
        <v>0</v>
      </c>
      <c r="AA1704" s="43">
        <f>LayTable[[#This Row],[LayInnsats]]*(1-LayTable[[#This Row],[C% Lay]])</f>
        <v>0</v>
      </c>
      <c r="AB1704" s="43" t="str">
        <f>IFERROR(IF(LayTable[[#This Row],[Sport]]="",AB1703,LayTable[[#This Row],[Faktisk res]]+AB1703),"")</f>
        <v/>
      </c>
      <c r="AC1704" s="43">
        <f>(LayTable[[#This Row],[BackWin-Commission]]+LayTable[[#This Row],[BookieInnsats]])</f>
        <v>0</v>
      </c>
      <c r="AD1704" s="43" t="e">
        <f>(LayTable[[#This Row],[LayWin-Commission]])+LayTable[[#This Row],[LayLiability]]</f>
        <v>#VALUE!</v>
      </c>
      <c r="AE1704" s="43"/>
      <c r="AF1704" s="181"/>
    </row>
    <row r="1705" spans="1:32">
      <c r="A1705" s="84"/>
      <c r="B1705" s="39"/>
      <c r="C1705" s="40"/>
      <c r="D1705" s="41"/>
      <c r="E1705" s="40"/>
      <c r="F1705" s="41"/>
      <c r="G1705" s="101"/>
      <c r="H1705" s="38"/>
      <c r="I1705" s="42"/>
      <c r="J1705" s="42"/>
      <c r="K1705" s="43"/>
      <c r="L1705" s="43"/>
      <c r="M1705" s="44" t="str">
        <f>IF(LayTable[[#This Row],[Sport]]="","",LayTable[[#This Row],[LayInnsats]]*(LayTable[[#This Row],[LayOdds]]-1))</f>
        <v/>
      </c>
      <c r="N1705" s="45" t="str">
        <f>IF(LayTable[[#This Row],[Sport]]="","",1/((1/LayTable[[#This Row],[BookieOdds]])+(1/((1/((1+((LayTable[[#This Row],[LayOdds]]-1)*(1+LayTable[[#This Row],[C% Lay]])))-1))+1)))-1)</f>
        <v/>
      </c>
      <c r="Q1705" s="46" t="str">
        <f>IF(LayTable[[#This Row],[Sport]]="","",LayTable[[#This Row],[BookieInnsats]]+LayTable[[#This Row],[LayLiability]])</f>
        <v/>
      </c>
      <c r="R17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5" s="47" t="str">
        <f>IF(LayTable[[#This Row],[Utfall bookie]]="","",LayTable[[#This Row],[WBABack]]+LayTable[[#This Row],[WBALay]]-LayTable[[#This Row],[Total inns]])</f>
        <v/>
      </c>
      <c r="U17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5" s="48" t="str">
        <f>IFERROR(IF(LayTable[[#This Row],[Total inns]]="","",LayTable[[#This Row],[Rback]]/LayTable[[#This Row],[Total inns]]),"")</f>
        <v/>
      </c>
      <c r="X1705" s="48" t="str">
        <f>IFERROR(IF(LayTable[[#This Row],[Total inns]]="","",LayTable[[#This Row],[Rlay]]/LayTable[[#This Row],[Total inns]]),"")</f>
        <v/>
      </c>
      <c r="Y1705" s="48" t="str">
        <f>IFERROR(LayTable[[#This Row],[Faktisk res]]/LayTable[[#This Row],[Total inns]],"")</f>
        <v/>
      </c>
      <c r="Z1705" s="47">
        <f>(LayTable[[#This Row],[BookieInnsats]]*LayTable[[#This Row],[BookieOdds]]-LayTable[[#This Row],[BookieInnsats]])*(1-LayTable[[#This Row],[C% Bookie]])</f>
        <v>0</v>
      </c>
      <c r="AA1705" s="43">
        <f>LayTable[[#This Row],[LayInnsats]]*(1-LayTable[[#This Row],[C% Lay]])</f>
        <v>0</v>
      </c>
      <c r="AB1705" s="43" t="str">
        <f>IFERROR(IF(LayTable[[#This Row],[Sport]]="",AB1704,LayTable[[#This Row],[Faktisk res]]+AB1704),"")</f>
        <v/>
      </c>
      <c r="AC1705" s="43">
        <f>(LayTable[[#This Row],[BackWin-Commission]]+LayTable[[#This Row],[BookieInnsats]])</f>
        <v>0</v>
      </c>
      <c r="AD1705" s="43" t="e">
        <f>(LayTable[[#This Row],[LayWin-Commission]])+LayTable[[#This Row],[LayLiability]]</f>
        <v>#VALUE!</v>
      </c>
      <c r="AE1705" s="43"/>
      <c r="AF1705" s="181"/>
    </row>
    <row r="1706" spans="1:32">
      <c r="A1706" s="84"/>
      <c r="B1706" s="39"/>
      <c r="C1706" s="40"/>
      <c r="D1706" s="41"/>
      <c r="E1706" s="40"/>
      <c r="F1706" s="41"/>
      <c r="G1706" s="101"/>
      <c r="H1706" s="38"/>
      <c r="I1706" s="42"/>
      <c r="J1706" s="42"/>
      <c r="K1706" s="43"/>
      <c r="L1706" s="43"/>
      <c r="M1706" s="44" t="str">
        <f>IF(LayTable[[#This Row],[Sport]]="","",LayTable[[#This Row],[LayInnsats]]*(LayTable[[#This Row],[LayOdds]]-1))</f>
        <v/>
      </c>
      <c r="N1706" s="45" t="str">
        <f>IF(LayTable[[#This Row],[Sport]]="","",1/((1/LayTable[[#This Row],[BookieOdds]])+(1/((1/((1+((LayTable[[#This Row],[LayOdds]]-1)*(1+LayTable[[#This Row],[C% Lay]])))-1))+1)))-1)</f>
        <v/>
      </c>
      <c r="Q1706" s="46" t="str">
        <f>IF(LayTable[[#This Row],[Sport]]="","",LayTable[[#This Row],[BookieInnsats]]+LayTable[[#This Row],[LayLiability]])</f>
        <v/>
      </c>
      <c r="R17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6" s="47" t="str">
        <f>IF(LayTable[[#This Row],[Utfall bookie]]="","",LayTable[[#This Row],[WBABack]]+LayTable[[#This Row],[WBALay]]-LayTable[[#This Row],[Total inns]])</f>
        <v/>
      </c>
      <c r="U17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6" s="48" t="str">
        <f>IFERROR(IF(LayTable[[#This Row],[Total inns]]="","",LayTable[[#This Row],[Rback]]/LayTable[[#This Row],[Total inns]]),"")</f>
        <v/>
      </c>
      <c r="X1706" s="48" t="str">
        <f>IFERROR(IF(LayTable[[#This Row],[Total inns]]="","",LayTable[[#This Row],[Rlay]]/LayTable[[#This Row],[Total inns]]),"")</f>
        <v/>
      </c>
      <c r="Y1706" s="48" t="str">
        <f>IFERROR(LayTable[[#This Row],[Faktisk res]]/LayTable[[#This Row],[Total inns]],"")</f>
        <v/>
      </c>
      <c r="Z1706" s="47">
        <f>(LayTable[[#This Row],[BookieInnsats]]*LayTable[[#This Row],[BookieOdds]]-LayTable[[#This Row],[BookieInnsats]])*(1-LayTable[[#This Row],[C% Bookie]])</f>
        <v>0</v>
      </c>
      <c r="AA1706" s="43">
        <f>LayTable[[#This Row],[LayInnsats]]*(1-LayTable[[#This Row],[C% Lay]])</f>
        <v>0</v>
      </c>
      <c r="AB1706" s="43" t="str">
        <f>IFERROR(IF(LayTable[[#This Row],[Sport]]="",AB1705,LayTable[[#This Row],[Faktisk res]]+AB1705),"")</f>
        <v/>
      </c>
      <c r="AC1706" s="43">
        <f>(LayTable[[#This Row],[BackWin-Commission]]+LayTable[[#This Row],[BookieInnsats]])</f>
        <v>0</v>
      </c>
      <c r="AD1706" s="43" t="e">
        <f>(LayTable[[#This Row],[LayWin-Commission]])+LayTable[[#This Row],[LayLiability]]</f>
        <v>#VALUE!</v>
      </c>
      <c r="AE1706" s="43"/>
      <c r="AF1706" s="181"/>
    </row>
    <row r="1707" spans="1:32">
      <c r="A1707" s="84"/>
      <c r="B1707" s="39"/>
      <c r="C1707" s="40"/>
      <c r="D1707" s="41"/>
      <c r="E1707" s="40"/>
      <c r="F1707" s="41"/>
      <c r="G1707" s="101"/>
      <c r="H1707" s="38"/>
      <c r="I1707" s="42"/>
      <c r="J1707" s="42"/>
      <c r="K1707" s="43"/>
      <c r="L1707" s="43"/>
      <c r="M1707" s="44" t="str">
        <f>IF(LayTable[[#This Row],[Sport]]="","",LayTable[[#This Row],[LayInnsats]]*(LayTable[[#This Row],[LayOdds]]-1))</f>
        <v/>
      </c>
      <c r="N1707" s="45" t="str">
        <f>IF(LayTable[[#This Row],[Sport]]="","",1/((1/LayTable[[#This Row],[BookieOdds]])+(1/((1/((1+((LayTable[[#This Row],[LayOdds]]-1)*(1+LayTable[[#This Row],[C% Lay]])))-1))+1)))-1)</f>
        <v/>
      </c>
      <c r="Q1707" s="46" t="str">
        <f>IF(LayTable[[#This Row],[Sport]]="","",LayTable[[#This Row],[BookieInnsats]]+LayTable[[#This Row],[LayLiability]])</f>
        <v/>
      </c>
      <c r="R17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7" s="47" t="str">
        <f>IF(LayTable[[#This Row],[Utfall bookie]]="","",LayTable[[#This Row],[WBABack]]+LayTable[[#This Row],[WBALay]]-LayTable[[#This Row],[Total inns]])</f>
        <v/>
      </c>
      <c r="U17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7" s="48" t="str">
        <f>IFERROR(IF(LayTable[[#This Row],[Total inns]]="","",LayTable[[#This Row],[Rback]]/LayTable[[#This Row],[Total inns]]),"")</f>
        <v/>
      </c>
      <c r="X1707" s="48" t="str">
        <f>IFERROR(IF(LayTable[[#This Row],[Total inns]]="","",LayTable[[#This Row],[Rlay]]/LayTable[[#This Row],[Total inns]]),"")</f>
        <v/>
      </c>
      <c r="Y1707" s="48" t="str">
        <f>IFERROR(LayTable[[#This Row],[Faktisk res]]/LayTable[[#This Row],[Total inns]],"")</f>
        <v/>
      </c>
      <c r="Z1707" s="47">
        <f>(LayTable[[#This Row],[BookieInnsats]]*LayTable[[#This Row],[BookieOdds]]-LayTable[[#This Row],[BookieInnsats]])*(1-LayTable[[#This Row],[C% Bookie]])</f>
        <v>0</v>
      </c>
      <c r="AA1707" s="43">
        <f>LayTable[[#This Row],[LayInnsats]]*(1-LayTable[[#This Row],[C% Lay]])</f>
        <v>0</v>
      </c>
      <c r="AB1707" s="43" t="str">
        <f>IFERROR(IF(LayTable[[#This Row],[Sport]]="",AB1706,LayTable[[#This Row],[Faktisk res]]+AB1706),"")</f>
        <v/>
      </c>
      <c r="AC1707" s="43">
        <f>(LayTable[[#This Row],[BackWin-Commission]]+LayTable[[#This Row],[BookieInnsats]])</f>
        <v>0</v>
      </c>
      <c r="AD1707" s="43" t="e">
        <f>(LayTable[[#This Row],[LayWin-Commission]])+LayTable[[#This Row],[LayLiability]]</f>
        <v>#VALUE!</v>
      </c>
      <c r="AE1707" s="43"/>
      <c r="AF1707" s="181"/>
    </row>
    <row r="1708" spans="1:32">
      <c r="A1708" s="84"/>
      <c r="B1708" s="39"/>
      <c r="C1708" s="40"/>
      <c r="D1708" s="41"/>
      <c r="E1708" s="40"/>
      <c r="F1708" s="41"/>
      <c r="G1708" s="101"/>
      <c r="H1708" s="38"/>
      <c r="I1708" s="42"/>
      <c r="J1708" s="42"/>
      <c r="K1708" s="43"/>
      <c r="L1708" s="43"/>
      <c r="M1708" s="44" t="str">
        <f>IF(LayTable[[#This Row],[Sport]]="","",LayTable[[#This Row],[LayInnsats]]*(LayTable[[#This Row],[LayOdds]]-1))</f>
        <v/>
      </c>
      <c r="N1708" s="45" t="str">
        <f>IF(LayTable[[#This Row],[Sport]]="","",1/((1/LayTable[[#This Row],[BookieOdds]])+(1/((1/((1+((LayTable[[#This Row],[LayOdds]]-1)*(1+LayTable[[#This Row],[C% Lay]])))-1))+1)))-1)</f>
        <v/>
      </c>
      <c r="Q1708" s="46" t="str">
        <f>IF(LayTable[[#This Row],[Sport]]="","",LayTable[[#This Row],[BookieInnsats]]+LayTable[[#This Row],[LayLiability]])</f>
        <v/>
      </c>
      <c r="R17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8" s="47" t="str">
        <f>IF(LayTable[[#This Row],[Utfall bookie]]="","",LayTable[[#This Row],[WBABack]]+LayTable[[#This Row],[WBALay]]-LayTable[[#This Row],[Total inns]])</f>
        <v/>
      </c>
      <c r="U17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8" s="48" t="str">
        <f>IFERROR(IF(LayTable[[#This Row],[Total inns]]="","",LayTable[[#This Row],[Rback]]/LayTable[[#This Row],[Total inns]]),"")</f>
        <v/>
      </c>
      <c r="X1708" s="48" t="str">
        <f>IFERROR(IF(LayTable[[#This Row],[Total inns]]="","",LayTable[[#This Row],[Rlay]]/LayTable[[#This Row],[Total inns]]),"")</f>
        <v/>
      </c>
      <c r="Y1708" s="48" t="str">
        <f>IFERROR(LayTable[[#This Row],[Faktisk res]]/LayTable[[#This Row],[Total inns]],"")</f>
        <v/>
      </c>
      <c r="Z1708" s="47">
        <f>(LayTable[[#This Row],[BookieInnsats]]*LayTable[[#This Row],[BookieOdds]]-LayTable[[#This Row],[BookieInnsats]])*(1-LayTable[[#This Row],[C% Bookie]])</f>
        <v>0</v>
      </c>
      <c r="AA1708" s="43">
        <f>LayTable[[#This Row],[LayInnsats]]*(1-LayTable[[#This Row],[C% Lay]])</f>
        <v>0</v>
      </c>
      <c r="AB1708" s="43" t="str">
        <f>IFERROR(IF(LayTable[[#This Row],[Sport]]="",AB1707,LayTable[[#This Row],[Faktisk res]]+AB1707),"")</f>
        <v/>
      </c>
      <c r="AC1708" s="43">
        <f>(LayTable[[#This Row],[BackWin-Commission]]+LayTable[[#This Row],[BookieInnsats]])</f>
        <v>0</v>
      </c>
      <c r="AD1708" s="43" t="e">
        <f>(LayTable[[#This Row],[LayWin-Commission]])+LayTable[[#This Row],[LayLiability]]</f>
        <v>#VALUE!</v>
      </c>
      <c r="AE1708" s="43"/>
      <c r="AF1708" s="181"/>
    </row>
    <row r="1709" spans="1:32">
      <c r="A1709" s="84"/>
      <c r="B1709" s="39"/>
      <c r="C1709" s="40"/>
      <c r="D1709" s="41"/>
      <c r="E1709" s="40"/>
      <c r="F1709" s="41"/>
      <c r="G1709" s="101"/>
      <c r="H1709" s="38"/>
      <c r="I1709" s="42"/>
      <c r="J1709" s="42"/>
      <c r="K1709" s="43"/>
      <c r="L1709" s="43"/>
      <c r="M1709" s="44" t="str">
        <f>IF(LayTable[[#This Row],[Sport]]="","",LayTable[[#This Row],[LayInnsats]]*(LayTable[[#This Row],[LayOdds]]-1))</f>
        <v/>
      </c>
      <c r="N1709" s="45" t="str">
        <f>IF(LayTable[[#This Row],[Sport]]="","",1/((1/LayTable[[#This Row],[BookieOdds]])+(1/((1/((1+((LayTable[[#This Row],[LayOdds]]-1)*(1+LayTable[[#This Row],[C% Lay]])))-1))+1)))-1)</f>
        <v/>
      </c>
      <c r="Q1709" s="46" t="str">
        <f>IF(LayTable[[#This Row],[Sport]]="","",LayTable[[#This Row],[BookieInnsats]]+LayTable[[#This Row],[LayLiability]])</f>
        <v/>
      </c>
      <c r="R17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09" s="47" t="str">
        <f>IF(LayTable[[#This Row],[Utfall bookie]]="","",LayTable[[#This Row],[WBABack]]+LayTable[[#This Row],[WBALay]]-LayTable[[#This Row],[Total inns]])</f>
        <v/>
      </c>
      <c r="U17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09" s="48" t="str">
        <f>IFERROR(IF(LayTable[[#This Row],[Total inns]]="","",LayTable[[#This Row],[Rback]]/LayTable[[#This Row],[Total inns]]),"")</f>
        <v/>
      </c>
      <c r="X1709" s="48" t="str">
        <f>IFERROR(IF(LayTable[[#This Row],[Total inns]]="","",LayTable[[#This Row],[Rlay]]/LayTable[[#This Row],[Total inns]]),"")</f>
        <v/>
      </c>
      <c r="Y1709" s="48" t="str">
        <f>IFERROR(LayTable[[#This Row],[Faktisk res]]/LayTable[[#This Row],[Total inns]],"")</f>
        <v/>
      </c>
      <c r="Z1709" s="47">
        <f>(LayTable[[#This Row],[BookieInnsats]]*LayTable[[#This Row],[BookieOdds]]-LayTable[[#This Row],[BookieInnsats]])*(1-LayTable[[#This Row],[C% Bookie]])</f>
        <v>0</v>
      </c>
      <c r="AA1709" s="43">
        <f>LayTable[[#This Row],[LayInnsats]]*(1-LayTable[[#This Row],[C% Lay]])</f>
        <v>0</v>
      </c>
      <c r="AB1709" s="43" t="str">
        <f>IFERROR(IF(LayTable[[#This Row],[Sport]]="",AB1708,LayTable[[#This Row],[Faktisk res]]+AB1708),"")</f>
        <v/>
      </c>
      <c r="AC1709" s="43">
        <f>(LayTable[[#This Row],[BackWin-Commission]]+LayTable[[#This Row],[BookieInnsats]])</f>
        <v>0</v>
      </c>
      <c r="AD1709" s="43" t="e">
        <f>(LayTable[[#This Row],[LayWin-Commission]])+LayTable[[#This Row],[LayLiability]]</f>
        <v>#VALUE!</v>
      </c>
      <c r="AE1709" s="43"/>
      <c r="AF1709" s="181"/>
    </row>
    <row r="1710" spans="1:32">
      <c r="A1710" s="84"/>
      <c r="B1710" s="39"/>
      <c r="C1710" s="40"/>
      <c r="D1710" s="41"/>
      <c r="E1710" s="40"/>
      <c r="F1710" s="41"/>
      <c r="G1710" s="101"/>
      <c r="H1710" s="38"/>
      <c r="I1710" s="42"/>
      <c r="J1710" s="42"/>
      <c r="K1710" s="43"/>
      <c r="L1710" s="43"/>
      <c r="M1710" s="44" t="str">
        <f>IF(LayTable[[#This Row],[Sport]]="","",LayTable[[#This Row],[LayInnsats]]*(LayTable[[#This Row],[LayOdds]]-1))</f>
        <v/>
      </c>
      <c r="N1710" s="45" t="str">
        <f>IF(LayTable[[#This Row],[Sport]]="","",1/((1/LayTable[[#This Row],[BookieOdds]])+(1/((1/((1+((LayTable[[#This Row],[LayOdds]]-1)*(1+LayTable[[#This Row],[C% Lay]])))-1))+1)))-1)</f>
        <v/>
      </c>
      <c r="Q1710" s="46" t="str">
        <f>IF(LayTable[[#This Row],[Sport]]="","",LayTable[[#This Row],[BookieInnsats]]+LayTable[[#This Row],[LayLiability]])</f>
        <v/>
      </c>
      <c r="R17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0" s="47" t="str">
        <f>IF(LayTable[[#This Row],[Utfall bookie]]="","",LayTable[[#This Row],[WBABack]]+LayTable[[#This Row],[WBALay]]-LayTable[[#This Row],[Total inns]])</f>
        <v/>
      </c>
      <c r="U17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0" s="48" t="str">
        <f>IFERROR(IF(LayTable[[#This Row],[Total inns]]="","",LayTable[[#This Row],[Rback]]/LayTable[[#This Row],[Total inns]]),"")</f>
        <v/>
      </c>
      <c r="X1710" s="48" t="str">
        <f>IFERROR(IF(LayTable[[#This Row],[Total inns]]="","",LayTable[[#This Row],[Rlay]]/LayTable[[#This Row],[Total inns]]),"")</f>
        <v/>
      </c>
      <c r="Y1710" s="48" t="str">
        <f>IFERROR(LayTable[[#This Row],[Faktisk res]]/LayTable[[#This Row],[Total inns]],"")</f>
        <v/>
      </c>
      <c r="Z1710" s="47">
        <f>(LayTable[[#This Row],[BookieInnsats]]*LayTable[[#This Row],[BookieOdds]]-LayTable[[#This Row],[BookieInnsats]])*(1-LayTable[[#This Row],[C% Bookie]])</f>
        <v>0</v>
      </c>
      <c r="AA1710" s="43">
        <f>LayTable[[#This Row],[LayInnsats]]*(1-LayTable[[#This Row],[C% Lay]])</f>
        <v>0</v>
      </c>
      <c r="AB1710" s="43" t="str">
        <f>IFERROR(IF(LayTable[[#This Row],[Sport]]="",AB1709,LayTable[[#This Row],[Faktisk res]]+AB1709),"")</f>
        <v/>
      </c>
      <c r="AC1710" s="43">
        <f>(LayTable[[#This Row],[BackWin-Commission]]+LayTable[[#This Row],[BookieInnsats]])</f>
        <v>0</v>
      </c>
      <c r="AD1710" s="43" t="e">
        <f>(LayTable[[#This Row],[LayWin-Commission]])+LayTable[[#This Row],[LayLiability]]</f>
        <v>#VALUE!</v>
      </c>
      <c r="AE1710" s="43"/>
      <c r="AF1710" s="181"/>
    </row>
    <row r="1711" spans="1:32">
      <c r="A1711" s="84"/>
      <c r="B1711" s="39"/>
      <c r="C1711" s="40"/>
      <c r="D1711" s="41"/>
      <c r="E1711" s="40"/>
      <c r="F1711" s="41"/>
      <c r="G1711" s="101"/>
      <c r="H1711" s="38"/>
      <c r="I1711" s="42"/>
      <c r="J1711" s="42"/>
      <c r="K1711" s="43"/>
      <c r="L1711" s="43"/>
      <c r="M1711" s="44" t="str">
        <f>IF(LayTable[[#This Row],[Sport]]="","",LayTable[[#This Row],[LayInnsats]]*(LayTable[[#This Row],[LayOdds]]-1))</f>
        <v/>
      </c>
      <c r="N1711" s="45" t="str">
        <f>IF(LayTable[[#This Row],[Sport]]="","",1/((1/LayTable[[#This Row],[BookieOdds]])+(1/((1/((1+((LayTable[[#This Row],[LayOdds]]-1)*(1+LayTable[[#This Row],[C% Lay]])))-1))+1)))-1)</f>
        <v/>
      </c>
      <c r="Q1711" s="46" t="str">
        <f>IF(LayTable[[#This Row],[Sport]]="","",LayTable[[#This Row],[BookieInnsats]]+LayTable[[#This Row],[LayLiability]])</f>
        <v/>
      </c>
      <c r="R17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1" s="47" t="str">
        <f>IF(LayTable[[#This Row],[Utfall bookie]]="","",LayTable[[#This Row],[WBABack]]+LayTable[[#This Row],[WBALay]]-LayTable[[#This Row],[Total inns]])</f>
        <v/>
      </c>
      <c r="U17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1" s="48" t="str">
        <f>IFERROR(IF(LayTable[[#This Row],[Total inns]]="","",LayTable[[#This Row],[Rback]]/LayTable[[#This Row],[Total inns]]),"")</f>
        <v/>
      </c>
      <c r="X1711" s="48" t="str">
        <f>IFERROR(IF(LayTable[[#This Row],[Total inns]]="","",LayTable[[#This Row],[Rlay]]/LayTable[[#This Row],[Total inns]]),"")</f>
        <v/>
      </c>
      <c r="Y1711" s="48" t="str">
        <f>IFERROR(LayTable[[#This Row],[Faktisk res]]/LayTable[[#This Row],[Total inns]],"")</f>
        <v/>
      </c>
      <c r="Z1711" s="47">
        <f>(LayTable[[#This Row],[BookieInnsats]]*LayTable[[#This Row],[BookieOdds]]-LayTable[[#This Row],[BookieInnsats]])*(1-LayTable[[#This Row],[C% Bookie]])</f>
        <v>0</v>
      </c>
      <c r="AA1711" s="43">
        <f>LayTable[[#This Row],[LayInnsats]]*(1-LayTable[[#This Row],[C% Lay]])</f>
        <v>0</v>
      </c>
      <c r="AB1711" s="43" t="str">
        <f>IFERROR(IF(LayTable[[#This Row],[Sport]]="",AB1710,LayTable[[#This Row],[Faktisk res]]+AB1710),"")</f>
        <v/>
      </c>
      <c r="AC1711" s="43">
        <f>(LayTable[[#This Row],[BackWin-Commission]]+LayTable[[#This Row],[BookieInnsats]])</f>
        <v>0</v>
      </c>
      <c r="AD1711" s="43" t="e">
        <f>(LayTable[[#This Row],[LayWin-Commission]])+LayTable[[#This Row],[LayLiability]]</f>
        <v>#VALUE!</v>
      </c>
      <c r="AE1711" s="43"/>
      <c r="AF1711" s="181"/>
    </row>
    <row r="1712" spans="1:32">
      <c r="A1712" s="84"/>
      <c r="B1712" s="39"/>
      <c r="C1712" s="40"/>
      <c r="D1712" s="41"/>
      <c r="E1712" s="40"/>
      <c r="F1712" s="41"/>
      <c r="G1712" s="101"/>
      <c r="H1712" s="38"/>
      <c r="I1712" s="42"/>
      <c r="J1712" s="42"/>
      <c r="K1712" s="43"/>
      <c r="L1712" s="43"/>
      <c r="M1712" s="44" t="str">
        <f>IF(LayTable[[#This Row],[Sport]]="","",LayTable[[#This Row],[LayInnsats]]*(LayTable[[#This Row],[LayOdds]]-1))</f>
        <v/>
      </c>
      <c r="N1712" s="45" t="str">
        <f>IF(LayTable[[#This Row],[Sport]]="","",1/((1/LayTable[[#This Row],[BookieOdds]])+(1/((1/((1+((LayTable[[#This Row],[LayOdds]]-1)*(1+LayTable[[#This Row],[C% Lay]])))-1))+1)))-1)</f>
        <v/>
      </c>
      <c r="Q1712" s="46" t="str">
        <f>IF(LayTable[[#This Row],[Sport]]="","",LayTable[[#This Row],[BookieInnsats]]+LayTable[[#This Row],[LayLiability]])</f>
        <v/>
      </c>
      <c r="R17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2" s="47" t="str">
        <f>IF(LayTable[[#This Row],[Utfall bookie]]="","",LayTable[[#This Row],[WBABack]]+LayTable[[#This Row],[WBALay]]-LayTable[[#This Row],[Total inns]])</f>
        <v/>
      </c>
      <c r="U17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2" s="48" t="str">
        <f>IFERROR(IF(LayTable[[#This Row],[Total inns]]="","",LayTable[[#This Row],[Rback]]/LayTable[[#This Row],[Total inns]]),"")</f>
        <v/>
      </c>
      <c r="X1712" s="48" t="str">
        <f>IFERROR(IF(LayTable[[#This Row],[Total inns]]="","",LayTable[[#This Row],[Rlay]]/LayTable[[#This Row],[Total inns]]),"")</f>
        <v/>
      </c>
      <c r="Y1712" s="48" t="str">
        <f>IFERROR(LayTable[[#This Row],[Faktisk res]]/LayTable[[#This Row],[Total inns]],"")</f>
        <v/>
      </c>
      <c r="Z1712" s="47">
        <f>(LayTable[[#This Row],[BookieInnsats]]*LayTable[[#This Row],[BookieOdds]]-LayTable[[#This Row],[BookieInnsats]])*(1-LayTable[[#This Row],[C% Bookie]])</f>
        <v>0</v>
      </c>
      <c r="AA1712" s="43">
        <f>LayTable[[#This Row],[LayInnsats]]*(1-LayTable[[#This Row],[C% Lay]])</f>
        <v>0</v>
      </c>
      <c r="AB1712" s="43" t="str">
        <f>IFERROR(IF(LayTable[[#This Row],[Sport]]="",AB1711,LayTable[[#This Row],[Faktisk res]]+AB1711),"")</f>
        <v/>
      </c>
      <c r="AC1712" s="43">
        <f>(LayTable[[#This Row],[BackWin-Commission]]+LayTable[[#This Row],[BookieInnsats]])</f>
        <v>0</v>
      </c>
      <c r="AD1712" s="43" t="e">
        <f>(LayTable[[#This Row],[LayWin-Commission]])+LayTable[[#This Row],[LayLiability]]</f>
        <v>#VALUE!</v>
      </c>
      <c r="AE1712" s="43"/>
      <c r="AF1712" s="181"/>
    </row>
    <row r="1713" spans="1:32">
      <c r="A1713" s="84"/>
      <c r="B1713" s="39"/>
      <c r="C1713" s="40"/>
      <c r="D1713" s="41"/>
      <c r="E1713" s="40"/>
      <c r="F1713" s="41"/>
      <c r="G1713" s="101"/>
      <c r="H1713" s="38"/>
      <c r="I1713" s="42"/>
      <c r="J1713" s="42"/>
      <c r="K1713" s="43"/>
      <c r="L1713" s="43"/>
      <c r="M1713" s="44" t="str">
        <f>IF(LayTable[[#This Row],[Sport]]="","",LayTable[[#This Row],[LayInnsats]]*(LayTable[[#This Row],[LayOdds]]-1))</f>
        <v/>
      </c>
      <c r="N1713" s="45" t="str">
        <f>IF(LayTable[[#This Row],[Sport]]="","",1/((1/LayTable[[#This Row],[BookieOdds]])+(1/((1/((1+((LayTable[[#This Row],[LayOdds]]-1)*(1+LayTable[[#This Row],[C% Lay]])))-1))+1)))-1)</f>
        <v/>
      </c>
      <c r="Q1713" s="46" t="str">
        <f>IF(LayTable[[#This Row],[Sport]]="","",LayTable[[#This Row],[BookieInnsats]]+LayTable[[#This Row],[LayLiability]])</f>
        <v/>
      </c>
      <c r="R17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3" s="47" t="str">
        <f>IF(LayTable[[#This Row],[Utfall bookie]]="","",LayTable[[#This Row],[WBABack]]+LayTable[[#This Row],[WBALay]]-LayTable[[#This Row],[Total inns]])</f>
        <v/>
      </c>
      <c r="U17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3" s="48" t="str">
        <f>IFERROR(IF(LayTable[[#This Row],[Total inns]]="","",LayTable[[#This Row],[Rback]]/LayTable[[#This Row],[Total inns]]),"")</f>
        <v/>
      </c>
      <c r="X1713" s="48" t="str">
        <f>IFERROR(IF(LayTable[[#This Row],[Total inns]]="","",LayTable[[#This Row],[Rlay]]/LayTable[[#This Row],[Total inns]]),"")</f>
        <v/>
      </c>
      <c r="Y1713" s="48" t="str">
        <f>IFERROR(LayTable[[#This Row],[Faktisk res]]/LayTable[[#This Row],[Total inns]],"")</f>
        <v/>
      </c>
      <c r="Z1713" s="47">
        <f>(LayTable[[#This Row],[BookieInnsats]]*LayTable[[#This Row],[BookieOdds]]-LayTable[[#This Row],[BookieInnsats]])*(1-LayTable[[#This Row],[C% Bookie]])</f>
        <v>0</v>
      </c>
      <c r="AA1713" s="43">
        <f>LayTable[[#This Row],[LayInnsats]]*(1-LayTable[[#This Row],[C% Lay]])</f>
        <v>0</v>
      </c>
      <c r="AB1713" s="43" t="str">
        <f>IFERROR(IF(LayTable[[#This Row],[Sport]]="",AB1712,LayTable[[#This Row],[Faktisk res]]+AB1712),"")</f>
        <v/>
      </c>
      <c r="AC1713" s="43">
        <f>(LayTable[[#This Row],[BackWin-Commission]]+LayTable[[#This Row],[BookieInnsats]])</f>
        <v>0</v>
      </c>
      <c r="AD1713" s="43" t="e">
        <f>(LayTable[[#This Row],[LayWin-Commission]])+LayTable[[#This Row],[LayLiability]]</f>
        <v>#VALUE!</v>
      </c>
      <c r="AE1713" s="43"/>
      <c r="AF1713" s="181"/>
    </row>
    <row r="1714" spans="1:32">
      <c r="A1714" s="84"/>
      <c r="B1714" s="39"/>
      <c r="C1714" s="40"/>
      <c r="D1714" s="41"/>
      <c r="E1714" s="40"/>
      <c r="F1714" s="41"/>
      <c r="G1714" s="101"/>
      <c r="H1714" s="38"/>
      <c r="I1714" s="42"/>
      <c r="J1714" s="42"/>
      <c r="K1714" s="43"/>
      <c r="L1714" s="43"/>
      <c r="M1714" s="44" t="str">
        <f>IF(LayTable[[#This Row],[Sport]]="","",LayTable[[#This Row],[LayInnsats]]*(LayTable[[#This Row],[LayOdds]]-1))</f>
        <v/>
      </c>
      <c r="N1714" s="45" t="str">
        <f>IF(LayTable[[#This Row],[Sport]]="","",1/((1/LayTable[[#This Row],[BookieOdds]])+(1/((1/((1+((LayTable[[#This Row],[LayOdds]]-1)*(1+LayTable[[#This Row],[C% Lay]])))-1))+1)))-1)</f>
        <v/>
      </c>
      <c r="Q1714" s="46" t="str">
        <f>IF(LayTable[[#This Row],[Sport]]="","",LayTable[[#This Row],[BookieInnsats]]+LayTable[[#This Row],[LayLiability]])</f>
        <v/>
      </c>
      <c r="R17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4" s="47" t="str">
        <f>IF(LayTable[[#This Row],[Utfall bookie]]="","",LayTable[[#This Row],[WBABack]]+LayTable[[#This Row],[WBALay]]-LayTable[[#This Row],[Total inns]])</f>
        <v/>
      </c>
      <c r="U17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4" s="48" t="str">
        <f>IFERROR(IF(LayTable[[#This Row],[Total inns]]="","",LayTable[[#This Row],[Rback]]/LayTable[[#This Row],[Total inns]]),"")</f>
        <v/>
      </c>
      <c r="X1714" s="48" t="str">
        <f>IFERROR(IF(LayTable[[#This Row],[Total inns]]="","",LayTable[[#This Row],[Rlay]]/LayTable[[#This Row],[Total inns]]),"")</f>
        <v/>
      </c>
      <c r="Y1714" s="48" t="str">
        <f>IFERROR(LayTable[[#This Row],[Faktisk res]]/LayTable[[#This Row],[Total inns]],"")</f>
        <v/>
      </c>
      <c r="Z1714" s="47">
        <f>(LayTable[[#This Row],[BookieInnsats]]*LayTable[[#This Row],[BookieOdds]]-LayTable[[#This Row],[BookieInnsats]])*(1-LayTable[[#This Row],[C% Bookie]])</f>
        <v>0</v>
      </c>
      <c r="AA1714" s="43">
        <f>LayTable[[#This Row],[LayInnsats]]*(1-LayTable[[#This Row],[C% Lay]])</f>
        <v>0</v>
      </c>
      <c r="AB1714" s="43" t="str">
        <f>IFERROR(IF(LayTable[[#This Row],[Sport]]="",AB1713,LayTable[[#This Row],[Faktisk res]]+AB1713),"")</f>
        <v/>
      </c>
      <c r="AC1714" s="43">
        <f>(LayTable[[#This Row],[BackWin-Commission]]+LayTable[[#This Row],[BookieInnsats]])</f>
        <v>0</v>
      </c>
      <c r="AD1714" s="43" t="e">
        <f>(LayTable[[#This Row],[LayWin-Commission]])+LayTable[[#This Row],[LayLiability]]</f>
        <v>#VALUE!</v>
      </c>
      <c r="AE1714" s="43"/>
      <c r="AF1714" s="181"/>
    </row>
    <row r="1715" spans="1:32">
      <c r="A1715" s="84"/>
      <c r="B1715" s="39"/>
      <c r="C1715" s="40"/>
      <c r="D1715" s="41"/>
      <c r="E1715" s="40"/>
      <c r="F1715" s="41"/>
      <c r="G1715" s="101"/>
      <c r="H1715" s="38"/>
      <c r="I1715" s="42"/>
      <c r="J1715" s="42"/>
      <c r="K1715" s="43"/>
      <c r="L1715" s="43"/>
      <c r="M1715" s="44" t="str">
        <f>IF(LayTable[[#This Row],[Sport]]="","",LayTable[[#This Row],[LayInnsats]]*(LayTable[[#This Row],[LayOdds]]-1))</f>
        <v/>
      </c>
      <c r="N1715" s="45" t="str">
        <f>IF(LayTable[[#This Row],[Sport]]="","",1/((1/LayTable[[#This Row],[BookieOdds]])+(1/((1/((1+((LayTable[[#This Row],[LayOdds]]-1)*(1+LayTable[[#This Row],[C% Lay]])))-1))+1)))-1)</f>
        <v/>
      </c>
      <c r="Q1715" s="46" t="str">
        <f>IF(LayTable[[#This Row],[Sport]]="","",LayTable[[#This Row],[BookieInnsats]]+LayTable[[#This Row],[LayLiability]])</f>
        <v/>
      </c>
      <c r="R17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5" s="47" t="str">
        <f>IF(LayTable[[#This Row],[Utfall bookie]]="","",LayTable[[#This Row],[WBABack]]+LayTable[[#This Row],[WBALay]]-LayTable[[#This Row],[Total inns]])</f>
        <v/>
      </c>
      <c r="U17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5" s="48" t="str">
        <f>IFERROR(IF(LayTable[[#This Row],[Total inns]]="","",LayTable[[#This Row],[Rback]]/LayTable[[#This Row],[Total inns]]),"")</f>
        <v/>
      </c>
      <c r="X1715" s="48" t="str">
        <f>IFERROR(IF(LayTable[[#This Row],[Total inns]]="","",LayTable[[#This Row],[Rlay]]/LayTable[[#This Row],[Total inns]]),"")</f>
        <v/>
      </c>
      <c r="Y1715" s="48" t="str">
        <f>IFERROR(LayTable[[#This Row],[Faktisk res]]/LayTable[[#This Row],[Total inns]],"")</f>
        <v/>
      </c>
      <c r="Z1715" s="47">
        <f>(LayTable[[#This Row],[BookieInnsats]]*LayTable[[#This Row],[BookieOdds]]-LayTable[[#This Row],[BookieInnsats]])*(1-LayTable[[#This Row],[C% Bookie]])</f>
        <v>0</v>
      </c>
      <c r="AA1715" s="43">
        <f>LayTable[[#This Row],[LayInnsats]]*(1-LayTable[[#This Row],[C% Lay]])</f>
        <v>0</v>
      </c>
      <c r="AB1715" s="43" t="str">
        <f>IFERROR(IF(LayTable[[#This Row],[Sport]]="",AB1714,LayTable[[#This Row],[Faktisk res]]+AB1714),"")</f>
        <v/>
      </c>
      <c r="AC1715" s="43">
        <f>(LayTable[[#This Row],[BackWin-Commission]]+LayTable[[#This Row],[BookieInnsats]])</f>
        <v>0</v>
      </c>
      <c r="AD1715" s="43" t="e">
        <f>(LayTable[[#This Row],[LayWin-Commission]])+LayTable[[#This Row],[LayLiability]]</f>
        <v>#VALUE!</v>
      </c>
      <c r="AE1715" s="43"/>
      <c r="AF1715" s="181"/>
    </row>
    <row r="1716" spans="1:32">
      <c r="A1716" s="84"/>
      <c r="B1716" s="39"/>
      <c r="C1716" s="40"/>
      <c r="D1716" s="41"/>
      <c r="E1716" s="40"/>
      <c r="F1716" s="41"/>
      <c r="G1716" s="101"/>
      <c r="H1716" s="38"/>
      <c r="I1716" s="42"/>
      <c r="J1716" s="42"/>
      <c r="K1716" s="43"/>
      <c r="L1716" s="43"/>
      <c r="M1716" s="44" t="str">
        <f>IF(LayTable[[#This Row],[Sport]]="","",LayTable[[#This Row],[LayInnsats]]*(LayTable[[#This Row],[LayOdds]]-1))</f>
        <v/>
      </c>
      <c r="N1716" s="45" t="str">
        <f>IF(LayTable[[#This Row],[Sport]]="","",1/((1/LayTable[[#This Row],[BookieOdds]])+(1/((1/((1+((LayTable[[#This Row],[LayOdds]]-1)*(1+LayTable[[#This Row],[C% Lay]])))-1))+1)))-1)</f>
        <v/>
      </c>
      <c r="Q1716" s="46" t="str">
        <f>IF(LayTable[[#This Row],[Sport]]="","",LayTable[[#This Row],[BookieInnsats]]+LayTable[[#This Row],[LayLiability]])</f>
        <v/>
      </c>
      <c r="R17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6" s="47" t="str">
        <f>IF(LayTable[[#This Row],[Utfall bookie]]="","",LayTable[[#This Row],[WBABack]]+LayTable[[#This Row],[WBALay]]-LayTable[[#This Row],[Total inns]])</f>
        <v/>
      </c>
      <c r="U17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6" s="48" t="str">
        <f>IFERROR(IF(LayTable[[#This Row],[Total inns]]="","",LayTable[[#This Row],[Rback]]/LayTable[[#This Row],[Total inns]]),"")</f>
        <v/>
      </c>
      <c r="X1716" s="48" t="str">
        <f>IFERROR(IF(LayTable[[#This Row],[Total inns]]="","",LayTable[[#This Row],[Rlay]]/LayTable[[#This Row],[Total inns]]),"")</f>
        <v/>
      </c>
      <c r="Y1716" s="48" t="str">
        <f>IFERROR(LayTable[[#This Row],[Faktisk res]]/LayTable[[#This Row],[Total inns]],"")</f>
        <v/>
      </c>
      <c r="Z1716" s="47">
        <f>(LayTable[[#This Row],[BookieInnsats]]*LayTable[[#This Row],[BookieOdds]]-LayTable[[#This Row],[BookieInnsats]])*(1-LayTable[[#This Row],[C% Bookie]])</f>
        <v>0</v>
      </c>
      <c r="AA1716" s="43">
        <f>LayTable[[#This Row],[LayInnsats]]*(1-LayTable[[#This Row],[C% Lay]])</f>
        <v>0</v>
      </c>
      <c r="AB1716" s="43" t="str">
        <f>IFERROR(IF(LayTable[[#This Row],[Sport]]="",AB1715,LayTable[[#This Row],[Faktisk res]]+AB1715),"")</f>
        <v/>
      </c>
      <c r="AC1716" s="43">
        <f>(LayTable[[#This Row],[BackWin-Commission]]+LayTable[[#This Row],[BookieInnsats]])</f>
        <v>0</v>
      </c>
      <c r="AD1716" s="43" t="e">
        <f>(LayTable[[#This Row],[LayWin-Commission]])+LayTable[[#This Row],[LayLiability]]</f>
        <v>#VALUE!</v>
      </c>
      <c r="AE1716" s="43"/>
      <c r="AF1716" s="181"/>
    </row>
    <row r="1717" spans="1:32">
      <c r="A1717" s="84"/>
      <c r="B1717" s="39"/>
      <c r="C1717" s="40"/>
      <c r="D1717" s="41"/>
      <c r="E1717" s="40"/>
      <c r="F1717" s="41"/>
      <c r="G1717" s="101"/>
      <c r="H1717" s="38"/>
      <c r="I1717" s="42"/>
      <c r="J1717" s="42"/>
      <c r="K1717" s="43"/>
      <c r="L1717" s="43"/>
      <c r="M1717" s="44" t="str">
        <f>IF(LayTable[[#This Row],[Sport]]="","",LayTable[[#This Row],[LayInnsats]]*(LayTable[[#This Row],[LayOdds]]-1))</f>
        <v/>
      </c>
      <c r="N1717" s="45" t="str">
        <f>IF(LayTable[[#This Row],[Sport]]="","",1/((1/LayTable[[#This Row],[BookieOdds]])+(1/((1/((1+((LayTable[[#This Row],[LayOdds]]-1)*(1+LayTable[[#This Row],[C% Lay]])))-1))+1)))-1)</f>
        <v/>
      </c>
      <c r="Q1717" s="46" t="str">
        <f>IF(LayTable[[#This Row],[Sport]]="","",LayTable[[#This Row],[BookieInnsats]]+LayTable[[#This Row],[LayLiability]])</f>
        <v/>
      </c>
      <c r="R17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7" s="47" t="str">
        <f>IF(LayTable[[#This Row],[Utfall bookie]]="","",LayTable[[#This Row],[WBABack]]+LayTable[[#This Row],[WBALay]]-LayTable[[#This Row],[Total inns]])</f>
        <v/>
      </c>
      <c r="U17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7" s="48" t="str">
        <f>IFERROR(IF(LayTable[[#This Row],[Total inns]]="","",LayTable[[#This Row],[Rback]]/LayTable[[#This Row],[Total inns]]),"")</f>
        <v/>
      </c>
      <c r="X1717" s="48" t="str">
        <f>IFERROR(IF(LayTable[[#This Row],[Total inns]]="","",LayTable[[#This Row],[Rlay]]/LayTable[[#This Row],[Total inns]]),"")</f>
        <v/>
      </c>
      <c r="Y1717" s="48" t="str">
        <f>IFERROR(LayTable[[#This Row],[Faktisk res]]/LayTable[[#This Row],[Total inns]],"")</f>
        <v/>
      </c>
      <c r="Z1717" s="47">
        <f>(LayTable[[#This Row],[BookieInnsats]]*LayTable[[#This Row],[BookieOdds]]-LayTable[[#This Row],[BookieInnsats]])*(1-LayTable[[#This Row],[C% Bookie]])</f>
        <v>0</v>
      </c>
      <c r="AA1717" s="43">
        <f>LayTable[[#This Row],[LayInnsats]]*(1-LayTable[[#This Row],[C% Lay]])</f>
        <v>0</v>
      </c>
      <c r="AB1717" s="43" t="str">
        <f>IFERROR(IF(LayTable[[#This Row],[Sport]]="",AB1716,LayTable[[#This Row],[Faktisk res]]+AB1716),"")</f>
        <v/>
      </c>
      <c r="AC1717" s="43">
        <f>(LayTable[[#This Row],[BackWin-Commission]]+LayTable[[#This Row],[BookieInnsats]])</f>
        <v>0</v>
      </c>
      <c r="AD1717" s="43" t="e">
        <f>(LayTable[[#This Row],[LayWin-Commission]])+LayTable[[#This Row],[LayLiability]]</f>
        <v>#VALUE!</v>
      </c>
      <c r="AE1717" s="43"/>
      <c r="AF1717" s="181"/>
    </row>
    <row r="1718" spans="1:32">
      <c r="A1718" s="84"/>
      <c r="B1718" s="39"/>
      <c r="C1718" s="40"/>
      <c r="D1718" s="41"/>
      <c r="E1718" s="40"/>
      <c r="F1718" s="41"/>
      <c r="G1718" s="101"/>
      <c r="H1718" s="38"/>
      <c r="I1718" s="42"/>
      <c r="J1718" s="42"/>
      <c r="K1718" s="43"/>
      <c r="L1718" s="43"/>
      <c r="M1718" s="44" t="str">
        <f>IF(LayTable[[#This Row],[Sport]]="","",LayTable[[#This Row],[LayInnsats]]*(LayTable[[#This Row],[LayOdds]]-1))</f>
        <v/>
      </c>
      <c r="N1718" s="45" t="str">
        <f>IF(LayTable[[#This Row],[Sport]]="","",1/((1/LayTable[[#This Row],[BookieOdds]])+(1/((1/((1+((LayTable[[#This Row],[LayOdds]]-1)*(1+LayTable[[#This Row],[C% Lay]])))-1))+1)))-1)</f>
        <v/>
      </c>
      <c r="Q1718" s="46" t="str">
        <f>IF(LayTable[[#This Row],[Sport]]="","",LayTable[[#This Row],[BookieInnsats]]+LayTable[[#This Row],[LayLiability]])</f>
        <v/>
      </c>
      <c r="R17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8" s="47" t="str">
        <f>IF(LayTable[[#This Row],[Utfall bookie]]="","",LayTable[[#This Row],[WBABack]]+LayTable[[#This Row],[WBALay]]-LayTable[[#This Row],[Total inns]])</f>
        <v/>
      </c>
      <c r="U17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8" s="48" t="str">
        <f>IFERROR(IF(LayTable[[#This Row],[Total inns]]="","",LayTable[[#This Row],[Rback]]/LayTable[[#This Row],[Total inns]]),"")</f>
        <v/>
      </c>
      <c r="X1718" s="48" t="str">
        <f>IFERROR(IF(LayTable[[#This Row],[Total inns]]="","",LayTable[[#This Row],[Rlay]]/LayTable[[#This Row],[Total inns]]),"")</f>
        <v/>
      </c>
      <c r="Y1718" s="48" t="str">
        <f>IFERROR(LayTable[[#This Row],[Faktisk res]]/LayTable[[#This Row],[Total inns]],"")</f>
        <v/>
      </c>
      <c r="Z1718" s="47">
        <f>(LayTable[[#This Row],[BookieInnsats]]*LayTable[[#This Row],[BookieOdds]]-LayTable[[#This Row],[BookieInnsats]])*(1-LayTable[[#This Row],[C% Bookie]])</f>
        <v>0</v>
      </c>
      <c r="AA1718" s="43">
        <f>LayTable[[#This Row],[LayInnsats]]*(1-LayTable[[#This Row],[C% Lay]])</f>
        <v>0</v>
      </c>
      <c r="AB1718" s="43" t="str">
        <f>IFERROR(IF(LayTable[[#This Row],[Sport]]="",AB1717,LayTable[[#This Row],[Faktisk res]]+AB1717),"")</f>
        <v/>
      </c>
      <c r="AC1718" s="43">
        <f>(LayTable[[#This Row],[BackWin-Commission]]+LayTable[[#This Row],[BookieInnsats]])</f>
        <v>0</v>
      </c>
      <c r="AD1718" s="43" t="e">
        <f>(LayTable[[#This Row],[LayWin-Commission]])+LayTable[[#This Row],[LayLiability]]</f>
        <v>#VALUE!</v>
      </c>
      <c r="AE1718" s="43"/>
      <c r="AF1718" s="181"/>
    </row>
    <row r="1719" spans="1:32">
      <c r="A1719" s="84"/>
      <c r="B1719" s="39"/>
      <c r="C1719" s="40"/>
      <c r="D1719" s="41"/>
      <c r="E1719" s="40"/>
      <c r="F1719" s="41"/>
      <c r="G1719" s="101"/>
      <c r="H1719" s="38"/>
      <c r="I1719" s="42"/>
      <c r="J1719" s="42"/>
      <c r="K1719" s="43"/>
      <c r="L1719" s="43"/>
      <c r="M1719" s="44" t="str">
        <f>IF(LayTable[[#This Row],[Sport]]="","",LayTable[[#This Row],[LayInnsats]]*(LayTable[[#This Row],[LayOdds]]-1))</f>
        <v/>
      </c>
      <c r="N1719" s="45" t="str">
        <f>IF(LayTable[[#This Row],[Sport]]="","",1/((1/LayTable[[#This Row],[BookieOdds]])+(1/((1/((1+((LayTable[[#This Row],[LayOdds]]-1)*(1+LayTable[[#This Row],[C% Lay]])))-1))+1)))-1)</f>
        <v/>
      </c>
      <c r="Q1719" s="46" t="str">
        <f>IF(LayTable[[#This Row],[Sport]]="","",LayTable[[#This Row],[BookieInnsats]]+LayTable[[#This Row],[LayLiability]])</f>
        <v/>
      </c>
      <c r="R17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19" s="47" t="str">
        <f>IF(LayTable[[#This Row],[Utfall bookie]]="","",LayTable[[#This Row],[WBABack]]+LayTable[[#This Row],[WBALay]]-LayTable[[#This Row],[Total inns]])</f>
        <v/>
      </c>
      <c r="U17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19" s="48" t="str">
        <f>IFERROR(IF(LayTable[[#This Row],[Total inns]]="","",LayTable[[#This Row],[Rback]]/LayTable[[#This Row],[Total inns]]),"")</f>
        <v/>
      </c>
      <c r="X1719" s="48" t="str">
        <f>IFERROR(IF(LayTable[[#This Row],[Total inns]]="","",LayTable[[#This Row],[Rlay]]/LayTable[[#This Row],[Total inns]]),"")</f>
        <v/>
      </c>
      <c r="Y1719" s="48" t="str">
        <f>IFERROR(LayTable[[#This Row],[Faktisk res]]/LayTable[[#This Row],[Total inns]],"")</f>
        <v/>
      </c>
      <c r="Z1719" s="47">
        <f>(LayTable[[#This Row],[BookieInnsats]]*LayTable[[#This Row],[BookieOdds]]-LayTable[[#This Row],[BookieInnsats]])*(1-LayTable[[#This Row],[C% Bookie]])</f>
        <v>0</v>
      </c>
      <c r="AA1719" s="43">
        <f>LayTable[[#This Row],[LayInnsats]]*(1-LayTable[[#This Row],[C% Lay]])</f>
        <v>0</v>
      </c>
      <c r="AB1719" s="43" t="str">
        <f>IFERROR(IF(LayTable[[#This Row],[Sport]]="",AB1718,LayTable[[#This Row],[Faktisk res]]+AB1718),"")</f>
        <v/>
      </c>
      <c r="AC1719" s="43">
        <f>(LayTable[[#This Row],[BackWin-Commission]]+LayTable[[#This Row],[BookieInnsats]])</f>
        <v>0</v>
      </c>
      <c r="AD1719" s="43" t="e">
        <f>(LayTable[[#This Row],[LayWin-Commission]])+LayTable[[#This Row],[LayLiability]]</f>
        <v>#VALUE!</v>
      </c>
      <c r="AE1719" s="43"/>
      <c r="AF1719" s="181"/>
    </row>
    <row r="1720" spans="1:32">
      <c r="A1720" s="84"/>
      <c r="B1720" s="39"/>
      <c r="C1720" s="40"/>
      <c r="D1720" s="41"/>
      <c r="E1720" s="40"/>
      <c r="F1720" s="41"/>
      <c r="G1720" s="101"/>
      <c r="H1720" s="38"/>
      <c r="I1720" s="42"/>
      <c r="J1720" s="42"/>
      <c r="K1720" s="43"/>
      <c r="L1720" s="43"/>
      <c r="M1720" s="44" t="str">
        <f>IF(LayTable[[#This Row],[Sport]]="","",LayTable[[#This Row],[LayInnsats]]*(LayTable[[#This Row],[LayOdds]]-1))</f>
        <v/>
      </c>
      <c r="N1720" s="45" t="str">
        <f>IF(LayTable[[#This Row],[Sport]]="","",1/((1/LayTable[[#This Row],[BookieOdds]])+(1/((1/((1+((LayTable[[#This Row],[LayOdds]]-1)*(1+LayTable[[#This Row],[C% Lay]])))-1))+1)))-1)</f>
        <v/>
      </c>
      <c r="Q1720" s="46" t="str">
        <f>IF(LayTable[[#This Row],[Sport]]="","",LayTable[[#This Row],[BookieInnsats]]+LayTable[[#This Row],[LayLiability]])</f>
        <v/>
      </c>
      <c r="R17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0" s="47" t="str">
        <f>IF(LayTable[[#This Row],[Utfall bookie]]="","",LayTable[[#This Row],[WBABack]]+LayTable[[#This Row],[WBALay]]-LayTable[[#This Row],[Total inns]])</f>
        <v/>
      </c>
      <c r="U17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0" s="48" t="str">
        <f>IFERROR(IF(LayTable[[#This Row],[Total inns]]="","",LayTable[[#This Row],[Rback]]/LayTable[[#This Row],[Total inns]]),"")</f>
        <v/>
      </c>
      <c r="X1720" s="48" t="str">
        <f>IFERROR(IF(LayTable[[#This Row],[Total inns]]="","",LayTable[[#This Row],[Rlay]]/LayTable[[#This Row],[Total inns]]),"")</f>
        <v/>
      </c>
      <c r="Y1720" s="48" t="str">
        <f>IFERROR(LayTable[[#This Row],[Faktisk res]]/LayTable[[#This Row],[Total inns]],"")</f>
        <v/>
      </c>
      <c r="Z1720" s="47">
        <f>(LayTable[[#This Row],[BookieInnsats]]*LayTable[[#This Row],[BookieOdds]]-LayTable[[#This Row],[BookieInnsats]])*(1-LayTable[[#This Row],[C% Bookie]])</f>
        <v>0</v>
      </c>
      <c r="AA1720" s="43">
        <f>LayTable[[#This Row],[LayInnsats]]*(1-LayTable[[#This Row],[C% Lay]])</f>
        <v>0</v>
      </c>
      <c r="AB1720" s="43" t="str">
        <f>IFERROR(IF(LayTable[[#This Row],[Sport]]="",AB1719,LayTable[[#This Row],[Faktisk res]]+AB1719),"")</f>
        <v/>
      </c>
      <c r="AC1720" s="43">
        <f>(LayTable[[#This Row],[BackWin-Commission]]+LayTable[[#This Row],[BookieInnsats]])</f>
        <v>0</v>
      </c>
      <c r="AD1720" s="43" t="e">
        <f>(LayTable[[#This Row],[LayWin-Commission]])+LayTable[[#This Row],[LayLiability]]</f>
        <v>#VALUE!</v>
      </c>
      <c r="AE1720" s="43"/>
      <c r="AF1720" s="181"/>
    </row>
    <row r="1721" spans="1:32">
      <c r="A1721" s="84"/>
      <c r="B1721" s="39"/>
      <c r="C1721" s="40"/>
      <c r="D1721" s="41"/>
      <c r="E1721" s="40"/>
      <c r="F1721" s="41"/>
      <c r="G1721" s="101"/>
      <c r="H1721" s="38"/>
      <c r="I1721" s="42"/>
      <c r="J1721" s="42"/>
      <c r="K1721" s="43"/>
      <c r="L1721" s="43"/>
      <c r="M1721" s="44" t="str">
        <f>IF(LayTable[[#This Row],[Sport]]="","",LayTable[[#This Row],[LayInnsats]]*(LayTable[[#This Row],[LayOdds]]-1))</f>
        <v/>
      </c>
      <c r="N1721" s="45" t="str">
        <f>IF(LayTable[[#This Row],[Sport]]="","",1/((1/LayTable[[#This Row],[BookieOdds]])+(1/((1/((1+((LayTable[[#This Row],[LayOdds]]-1)*(1+LayTable[[#This Row],[C% Lay]])))-1))+1)))-1)</f>
        <v/>
      </c>
      <c r="Q1721" s="46" t="str">
        <f>IF(LayTable[[#This Row],[Sport]]="","",LayTable[[#This Row],[BookieInnsats]]+LayTable[[#This Row],[LayLiability]])</f>
        <v/>
      </c>
      <c r="R17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1" s="47" t="str">
        <f>IF(LayTable[[#This Row],[Utfall bookie]]="","",LayTable[[#This Row],[WBABack]]+LayTable[[#This Row],[WBALay]]-LayTable[[#This Row],[Total inns]])</f>
        <v/>
      </c>
      <c r="U17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1" s="48" t="str">
        <f>IFERROR(IF(LayTable[[#This Row],[Total inns]]="","",LayTable[[#This Row],[Rback]]/LayTable[[#This Row],[Total inns]]),"")</f>
        <v/>
      </c>
      <c r="X1721" s="48" t="str">
        <f>IFERROR(IF(LayTable[[#This Row],[Total inns]]="","",LayTable[[#This Row],[Rlay]]/LayTable[[#This Row],[Total inns]]),"")</f>
        <v/>
      </c>
      <c r="Y1721" s="48" t="str">
        <f>IFERROR(LayTable[[#This Row],[Faktisk res]]/LayTable[[#This Row],[Total inns]],"")</f>
        <v/>
      </c>
      <c r="Z1721" s="47">
        <f>(LayTable[[#This Row],[BookieInnsats]]*LayTable[[#This Row],[BookieOdds]]-LayTable[[#This Row],[BookieInnsats]])*(1-LayTable[[#This Row],[C% Bookie]])</f>
        <v>0</v>
      </c>
      <c r="AA1721" s="43">
        <f>LayTable[[#This Row],[LayInnsats]]*(1-LayTable[[#This Row],[C% Lay]])</f>
        <v>0</v>
      </c>
      <c r="AB1721" s="43" t="str">
        <f>IFERROR(IF(LayTable[[#This Row],[Sport]]="",AB1720,LayTable[[#This Row],[Faktisk res]]+AB1720),"")</f>
        <v/>
      </c>
      <c r="AC1721" s="43">
        <f>(LayTable[[#This Row],[BackWin-Commission]]+LayTable[[#This Row],[BookieInnsats]])</f>
        <v>0</v>
      </c>
      <c r="AD1721" s="43" t="e">
        <f>(LayTable[[#This Row],[LayWin-Commission]])+LayTable[[#This Row],[LayLiability]]</f>
        <v>#VALUE!</v>
      </c>
      <c r="AE1721" s="43"/>
      <c r="AF1721" s="181"/>
    </row>
    <row r="1722" spans="1:32">
      <c r="A1722" s="84"/>
      <c r="B1722" s="39"/>
      <c r="C1722" s="40"/>
      <c r="D1722" s="41"/>
      <c r="E1722" s="40"/>
      <c r="F1722" s="41"/>
      <c r="G1722" s="101"/>
      <c r="H1722" s="38"/>
      <c r="I1722" s="42"/>
      <c r="J1722" s="42"/>
      <c r="K1722" s="43"/>
      <c r="L1722" s="43"/>
      <c r="M1722" s="44" t="str">
        <f>IF(LayTable[[#This Row],[Sport]]="","",LayTable[[#This Row],[LayInnsats]]*(LayTable[[#This Row],[LayOdds]]-1))</f>
        <v/>
      </c>
      <c r="N1722" s="45" t="str">
        <f>IF(LayTable[[#This Row],[Sport]]="","",1/((1/LayTable[[#This Row],[BookieOdds]])+(1/((1/((1+((LayTable[[#This Row],[LayOdds]]-1)*(1+LayTable[[#This Row],[C% Lay]])))-1))+1)))-1)</f>
        <v/>
      </c>
      <c r="Q1722" s="46" t="str">
        <f>IF(LayTable[[#This Row],[Sport]]="","",LayTable[[#This Row],[BookieInnsats]]+LayTable[[#This Row],[LayLiability]])</f>
        <v/>
      </c>
      <c r="R17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2" s="47" t="str">
        <f>IF(LayTable[[#This Row],[Utfall bookie]]="","",LayTable[[#This Row],[WBABack]]+LayTable[[#This Row],[WBALay]]-LayTable[[#This Row],[Total inns]])</f>
        <v/>
      </c>
      <c r="U17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2" s="48" t="str">
        <f>IFERROR(IF(LayTable[[#This Row],[Total inns]]="","",LayTable[[#This Row],[Rback]]/LayTable[[#This Row],[Total inns]]),"")</f>
        <v/>
      </c>
      <c r="X1722" s="48" t="str">
        <f>IFERROR(IF(LayTable[[#This Row],[Total inns]]="","",LayTable[[#This Row],[Rlay]]/LayTable[[#This Row],[Total inns]]),"")</f>
        <v/>
      </c>
      <c r="Y1722" s="48" t="str">
        <f>IFERROR(LayTable[[#This Row],[Faktisk res]]/LayTable[[#This Row],[Total inns]],"")</f>
        <v/>
      </c>
      <c r="Z1722" s="47">
        <f>(LayTable[[#This Row],[BookieInnsats]]*LayTable[[#This Row],[BookieOdds]]-LayTable[[#This Row],[BookieInnsats]])*(1-LayTable[[#This Row],[C% Bookie]])</f>
        <v>0</v>
      </c>
      <c r="AA1722" s="43">
        <f>LayTable[[#This Row],[LayInnsats]]*(1-LayTable[[#This Row],[C% Lay]])</f>
        <v>0</v>
      </c>
      <c r="AB1722" s="43" t="str">
        <f>IFERROR(IF(LayTable[[#This Row],[Sport]]="",AB1721,LayTable[[#This Row],[Faktisk res]]+AB1721),"")</f>
        <v/>
      </c>
      <c r="AC1722" s="43">
        <f>(LayTable[[#This Row],[BackWin-Commission]]+LayTable[[#This Row],[BookieInnsats]])</f>
        <v>0</v>
      </c>
      <c r="AD1722" s="43" t="e">
        <f>(LayTable[[#This Row],[LayWin-Commission]])+LayTable[[#This Row],[LayLiability]]</f>
        <v>#VALUE!</v>
      </c>
      <c r="AE1722" s="43"/>
      <c r="AF1722" s="181"/>
    </row>
    <row r="1723" spans="1:32">
      <c r="A1723" s="84"/>
      <c r="B1723" s="39"/>
      <c r="C1723" s="40"/>
      <c r="D1723" s="41"/>
      <c r="E1723" s="40"/>
      <c r="F1723" s="41"/>
      <c r="G1723" s="101"/>
      <c r="H1723" s="38"/>
      <c r="I1723" s="42"/>
      <c r="J1723" s="42"/>
      <c r="K1723" s="43"/>
      <c r="L1723" s="43"/>
      <c r="M1723" s="44" t="str">
        <f>IF(LayTable[[#This Row],[Sport]]="","",LayTable[[#This Row],[LayInnsats]]*(LayTable[[#This Row],[LayOdds]]-1))</f>
        <v/>
      </c>
      <c r="N1723" s="45" t="str">
        <f>IF(LayTable[[#This Row],[Sport]]="","",1/((1/LayTable[[#This Row],[BookieOdds]])+(1/((1/((1+((LayTable[[#This Row],[LayOdds]]-1)*(1+LayTable[[#This Row],[C% Lay]])))-1))+1)))-1)</f>
        <v/>
      </c>
      <c r="Q1723" s="46" t="str">
        <f>IF(LayTable[[#This Row],[Sport]]="","",LayTable[[#This Row],[BookieInnsats]]+LayTable[[#This Row],[LayLiability]])</f>
        <v/>
      </c>
      <c r="R17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3" s="47" t="str">
        <f>IF(LayTable[[#This Row],[Utfall bookie]]="","",LayTable[[#This Row],[WBABack]]+LayTable[[#This Row],[WBALay]]-LayTable[[#This Row],[Total inns]])</f>
        <v/>
      </c>
      <c r="U17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3" s="48" t="str">
        <f>IFERROR(IF(LayTable[[#This Row],[Total inns]]="","",LayTable[[#This Row],[Rback]]/LayTable[[#This Row],[Total inns]]),"")</f>
        <v/>
      </c>
      <c r="X1723" s="48" t="str">
        <f>IFERROR(IF(LayTable[[#This Row],[Total inns]]="","",LayTable[[#This Row],[Rlay]]/LayTable[[#This Row],[Total inns]]),"")</f>
        <v/>
      </c>
      <c r="Y1723" s="48" t="str">
        <f>IFERROR(LayTable[[#This Row],[Faktisk res]]/LayTable[[#This Row],[Total inns]],"")</f>
        <v/>
      </c>
      <c r="Z1723" s="47">
        <f>(LayTable[[#This Row],[BookieInnsats]]*LayTable[[#This Row],[BookieOdds]]-LayTable[[#This Row],[BookieInnsats]])*(1-LayTable[[#This Row],[C% Bookie]])</f>
        <v>0</v>
      </c>
      <c r="AA1723" s="43">
        <f>LayTable[[#This Row],[LayInnsats]]*(1-LayTable[[#This Row],[C% Lay]])</f>
        <v>0</v>
      </c>
      <c r="AB1723" s="43" t="str">
        <f>IFERROR(IF(LayTable[[#This Row],[Sport]]="",AB1722,LayTable[[#This Row],[Faktisk res]]+AB1722),"")</f>
        <v/>
      </c>
      <c r="AC1723" s="43">
        <f>(LayTable[[#This Row],[BackWin-Commission]]+LayTable[[#This Row],[BookieInnsats]])</f>
        <v>0</v>
      </c>
      <c r="AD1723" s="43" t="e">
        <f>(LayTable[[#This Row],[LayWin-Commission]])+LayTable[[#This Row],[LayLiability]]</f>
        <v>#VALUE!</v>
      </c>
      <c r="AE1723" s="43"/>
      <c r="AF1723" s="181"/>
    </row>
    <row r="1724" spans="1:32">
      <c r="A1724" s="84"/>
      <c r="B1724" s="39"/>
      <c r="C1724" s="40"/>
      <c r="D1724" s="41"/>
      <c r="E1724" s="40"/>
      <c r="F1724" s="41"/>
      <c r="G1724" s="101"/>
      <c r="H1724" s="38"/>
      <c r="I1724" s="42"/>
      <c r="J1724" s="42"/>
      <c r="K1724" s="43"/>
      <c r="L1724" s="43"/>
      <c r="M1724" s="44" t="str">
        <f>IF(LayTable[[#This Row],[Sport]]="","",LayTable[[#This Row],[LayInnsats]]*(LayTable[[#This Row],[LayOdds]]-1))</f>
        <v/>
      </c>
      <c r="N1724" s="45" t="str">
        <f>IF(LayTable[[#This Row],[Sport]]="","",1/((1/LayTable[[#This Row],[BookieOdds]])+(1/((1/((1+((LayTable[[#This Row],[LayOdds]]-1)*(1+LayTable[[#This Row],[C% Lay]])))-1))+1)))-1)</f>
        <v/>
      </c>
      <c r="Q1724" s="46" t="str">
        <f>IF(LayTable[[#This Row],[Sport]]="","",LayTable[[#This Row],[BookieInnsats]]+LayTable[[#This Row],[LayLiability]])</f>
        <v/>
      </c>
      <c r="R17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4" s="47" t="str">
        <f>IF(LayTable[[#This Row],[Utfall bookie]]="","",LayTable[[#This Row],[WBABack]]+LayTable[[#This Row],[WBALay]]-LayTable[[#This Row],[Total inns]])</f>
        <v/>
      </c>
      <c r="U17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4" s="48" t="str">
        <f>IFERROR(IF(LayTable[[#This Row],[Total inns]]="","",LayTable[[#This Row],[Rback]]/LayTable[[#This Row],[Total inns]]),"")</f>
        <v/>
      </c>
      <c r="X1724" s="48" t="str">
        <f>IFERROR(IF(LayTable[[#This Row],[Total inns]]="","",LayTable[[#This Row],[Rlay]]/LayTable[[#This Row],[Total inns]]),"")</f>
        <v/>
      </c>
      <c r="Y1724" s="48" t="str">
        <f>IFERROR(LayTable[[#This Row],[Faktisk res]]/LayTable[[#This Row],[Total inns]],"")</f>
        <v/>
      </c>
      <c r="Z1724" s="47">
        <f>(LayTable[[#This Row],[BookieInnsats]]*LayTable[[#This Row],[BookieOdds]]-LayTable[[#This Row],[BookieInnsats]])*(1-LayTable[[#This Row],[C% Bookie]])</f>
        <v>0</v>
      </c>
      <c r="AA1724" s="43">
        <f>LayTable[[#This Row],[LayInnsats]]*(1-LayTable[[#This Row],[C% Lay]])</f>
        <v>0</v>
      </c>
      <c r="AB1724" s="43" t="str">
        <f>IFERROR(IF(LayTable[[#This Row],[Sport]]="",AB1723,LayTable[[#This Row],[Faktisk res]]+AB1723),"")</f>
        <v/>
      </c>
      <c r="AC1724" s="43">
        <f>(LayTable[[#This Row],[BackWin-Commission]]+LayTable[[#This Row],[BookieInnsats]])</f>
        <v>0</v>
      </c>
      <c r="AD1724" s="43" t="e">
        <f>(LayTable[[#This Row],[LayWin-Commission]])+LayTable[[#This Row],[LayLiability]]</f>
        <v>#VALUE!</v>
      </c>
      <c r="AE1724" s="43"/>
      <c r="AF1724" s="181"/>
    </row>
    <row r="1725" spans="1:32">
      <c r="A1725" s="84"/>
      <c r="B1725" s="39"/>
      <c r="C1725" s="40"/>
      <c r="D1725" s="41"/>
      <c r="E1725" s="40"/>
      <c r="F1725" s="41"/>
      <c r="G1725" s="101"/>
      <c r="H1725" s="38"/>
      <c r="I1725" s="42"/>
      <c r="J1725" s="42"/>
      <c r="K1725" s="43"/>
      <c r="L1725" s="43"/>
      <c r="M1725" s="44" t="str">
        <f>IF(LayTable[[#This Row],[Sport]]="","",LayTable[[#This Row],[LayInnsats]]*(LayTable[[#This Row],[LayOdds]]-1))</f>
        <v/>
      </c>
      <c r="N1725" s="45" t="str">
        <f>IF(LayTable[[#This Row],[Sport]]="","",1/((1/LayTable[[#This Row],[BookieOdds]])+(1/((1/((1+((LayTable[[#This Row],[LayOdds]]-1)*(1+LayTable[[#This Row],[C% Lay]])))-1))+1)))-1)</f>
        <v/>
      </c>
      <c r="Q1725" s="46" t="str">
        <f>IF(LayTable[[#This Row],[Sport]]="","",LayTable[[#This Row],[BookieInnsats]]+LayTable[[#This Row],[LayLiability]])</f>
        <v/>
      </c>
      <c r="R17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5" s="47" t="str">
        <f>IF(LayTable[[#This Row],[Utfall bookie]]="","",LayTable[[#This Row],[WBABack]]+LayTable[[#This Row],[WBALay]]-LayTable[[#This Row],[Total inns]])</f>
        <v/>
      </c>
      <c r="U17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5" s="48" t="str">
        <f>IFERROR(IF(LayTable[[#This Row],[Total inns]]="","",LayTable[[#This Row],[Rback]]/LayTable[[#This Row],[Total inns]]),"")</f>
        <v/>
      </c>
      <c r="X1725" s="48" t="str">
        <f>IFERROR(IF(LayTable[[#This Row],[Total inns]]="","",LayTable[[#This Row],[Rlay]]/LayTable[[#This Row],[Total inns]]),"")</f>
        <v/>
      </c>
      <c r="Y1725" s="48" t="str">
        <f>IFERROR(LayTable[[#This Row],[Faktisk res]]/LayTable[[#This Row],[Total inns]],"")</f>
        <v/>
      </c>
      <c r="Z1725" s="47">
        <f>(LayTable[[#This Row],[BookieInnsats]]*LayTable[[#This Row],[BookieOdds]]-LayTable[[#This Row],[BookieInnsats]])*(1-LayTable[[#This Row],[C% Bookie]])</f>
        <v>0</v>
      </c>
      <c r="AA1725" s="43">
        <f>LayTable[[#This Row],[LayInnsats]]*(1-LayTable[[#This Row],[C% Lay]])</f>
        <v>0</v>
      </c>
      <c r="AB1725" s="43" t="str">
        <f>IFERROR(IF(LayTable[[#This Row],[Sport]]="",AB1724,LayTable[[#This Row],[Faktisk res]]+AB1724),"")</f>
        <v/>
      </c>
      <c r="AC1725" s="43">
        <f>(LayTable[[#This Row],[BackWin-Commission]]+LayTable[[#This Row],[BookieInnsats]])</f>
        <v>0</v>
      </c>
      <c r="AD1725" s="43" t="e">
        <f>(LayTable[[#This Row],[LayWin-Commission]])+LayTable[[#This Row],[LayLiability]]</f>
        <v>#VALUE!</v>
      </c>
      <c r="AE1725" s="43"/>
      <c r="AF1725" s="181"/>
    </row>
    <row r="1726" spans="1:32">
      <c r="A1726" s="84"/>
      <c r="B1726" s="39"/>
      <c r="C1726" s="40"/>
      <c r="D1726" s="41"/>
      <c r="E1726" s="40"/>
      <c r="F1726" s="41"/>
      <c r="G1726" s="101"/>
      <c r="H1726" s="38"/>
      <c r="I1726" s="42"/>
      <c r="J1726" s="42"/>
      <c r="K1726" s="43"/>
      <c r="L1726" s="43"/>
      <c r="M1726" s="44" t="str">
        <f>IF(LayTable[[#This Row],[Sport]]="","",LayTable[[#This Row],[LayInnsats]]*(LayTable[[#This Row],[LayOdds]]-1))</f>
        <v/>
      </c>
      <c r="N1726" s="45" t="str">
        <f>IF(LayTable[[#This Row],[Sport]]="","",1/((1/LayTable[[#This Row],[BookieOdds]])+(1/((1/((1+((LayTable[[#This Row],[LayOdds]]-1)*(1+LayTable[[#This Row],[C% Lay]])))-1))+1)))-1)</f>
        <v/>
      </c>
      <c r="Q1726" s="46" t="str">
        <f>IF(LayTable[[#This Row],[Sport]]="","",LayTable[[#This Row],[BookieInnsats]]+LayTable[[#This Row],[LayLiability]])</f>
        <v/>
      </c>
      <c r="R17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6" s="47" t="str">
        <f>IF(LayTable[[#This Row],[Utfall bookie]]="","",LayTable[[#This Row],[WBABack]]+LayTable[[#This Row],[WBALay]]-LayTable[[#This Row],[Total inns]])</f>
        <v/>
      </c>
      <c r="U17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6" s="48" t="str">
        <f>IFERROR(IF(LayTable[[#This Row],[Total inns]]="","",LayTable[[#This Row],[Rback]]/LayTable[[#This Row],[Total inns]]),"")</f>
        <v/>
      </c>
      <c r="X1726" s="48" t="str">
        <f>IFERROR(IF(LayTable[[#This Row],[Total inns]]="","",LayTable[[#This Row],[Rlay]]/LayTable[[#This Row],[Total inns]]),"")</f>
        <v/>
      </c>
      <c r="Y1726" s="48" t="str">
        <f>IFERROR(LayTable[[#This Row],[Faktisk res]]/LayTable[[#This Row],[Total inns]],"")</f>
        <v/>
      </c>
      <c r="Z1726" s="47">
        <f>(LayTable[[#This Row],[BookieInnsats]]*LayTable[[#This Row],[BookieOdds]]-LayTable[[#This Row],[BookieInnsats]])*(1-LayTable[[#This Row],[C% Bookie]])</f>
        <v>0</v>
      </c>
      <c r="AA1726" s="43">
        <f>LayTable[[#This Row],[LayInnsats]]*(1-LayTable[[#This Row],[C% Lay]])</f>
        <v>0</v>
      </c>
      <c r="AB1726" s="43" t="str">
        <f>IFERROR(IF(LayTable[[#This Row],[Sport]]="",AB1725,LayTable[[#This Row],[Faktisk res]]+AB1725),"")</f>
        <v/>
      </c>
      <c r="AC1726" s="43">
        <f>(LayTable[[#This Row],[BackWin-Commission]]+LayTable[[#This Row],[BookieInnsats]])</f>
        <v>0</v>
      </c>
      <c r="AD1726" s="43" t="e">
        <f>(LayTable[[#This Row],[LayWin-Commission]])+LayTable[[#This Row],[LayLiability]]</f>
        <v>#VALUE!</v>
      </c>
      <c r="AE1726" s="43"/>
      <c r="AF1726" s="181"/>
    </row>
    <row r="1727" spans="1:32">
      <c r="A1727" s="84"/>
      <c r="B1727" s="39"/>
      <c r="C1727" s="40"/>
      <c r="D1727" s="41"/>
      <c r="E1727" s="40"/>
      <c r="F1727" s="41"/>
      <c r="G1727" s="101"/>
      <c r="H1727" s="38"/>
      <c r="I1727" s="42"/>
      <c r="J1727" s="42"/>
      <c r="K1727" s="43"/>
      <c r="L1727" s="43"/>
      <c r="M1727" s="44" t="str">
        <f>IF(LayTable[[#This Row],[Sport]]="","",LayTable[[#This Row],[LayInnsats]]*(LayTable[[#This Row],[LayOdds]]-1))</f>
        <v/>
      </c>
      <c r="N1727" s="45" t="str">
        <f>IF(LayTable[[#This Row],[Sport]]="","",1/((1/LayTable[[#This Row],[BookieOdds]])+(1/((1/((1+((LayTable[[#This Row],[LayOdds]]-1)*(1+LayTable[[#This Row],[C% Lay]])))-1))+1)))-1)</f>
        <v/>
      </c>
      <c r="Q1727" s="46" t="str">
        <f>IF(LayTable[[#This Row],[Sport]]="","",LayTable[[#This Row],[BookieInnsats]]+LayTable[[#This Row],[LayLiability]])</f>
        <v/>
      </c>
      <c r="R17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7" s="47" t="str">
        <f>IF(LayTable[[#This Row],[Utfall bookie]]="","",LayTable[[#This Row],[WBABack]]+LayTable[[#This Row],[WBALay]]-LayTable[[#This Row],[Total inns]])</f>
        <v/>
      </c>
      <c r="U17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7" s="48" t="str">
        <f>IFERROR(IF(LayTable[[#This Row],[Total inns]]="","",LayTable[[#This Row],[Rback]]/LayTable[[#This Row],[Total inns]]),"")</f>
        <v/>
      </c>
      <c r="X1727" s="48" t="str">
        <f>IFERROR(IF(LayTable[[#This Row],[Total inns]]="","",LayTable[[#This Row],[Rlay]]/LayTable[[#This Row],[Total inns]]),"")</f>
        <v/>
      </c>
      <c r="Y1727" s="48" t="str">
        <f>IFERROR(LayTable[[#This Row],[Faktisk res]]/LayTable[[#This Row],[Total inns]],"")</f>
        <v/>
      </c>
      <c r="Z1727" s="47">
        <f>(LayTable[[#This Row],[BookieInnsats]]*LayTable[[#This Row],[BookieOdds]]-LayTable[[#This Row],[BookieInnsats]])*(1-LayTable[[#This Row],[C% Bookie]])</f>
        <v>0</v>
      </c>
      <c r="AA1727" s="43">
        <f>LayTable[[#This Row],[LayInnsats]]*(1-LayTable[[#This Row],[C% Lay]])</f>
        <v>0</v>
      </c>
      <c r="AB1727" s="43" t="str">
        <f>IFERROR(IF(LayTable[[#This Row],[Sport]]="",AB1726,LayTable[[#This Row],[Faktisk res]]+AB1726),"")</f>
        <v/>
      </c>
      <c r="AC1727" s="43">
        <f>(LayTable[[#This Row],[BackWin-Commission]]+LayTable[[#This Row],[BookieInnsats]])</f>
        <v>0</v>
      </c>
      <c r="AD1727" s="43" t="e">
        <f>(LayTable[[#This Row],[LayWin-Commission]])+LayTable[[#This Row],[LayLiability]]</f>
        <v>#VALUE!</v>
      </c>
      <c r="AE1727" s="43"/>
      <c r="AF1727" s="181"/>
    </row>
    <row r="1728" spans="1:32">
      <c r="A1728" s="84"/>
      <c r="B1728" s="39"/>
      <c r="C1728" s="40"/>
      <c r="D1728" s="41"/>
      <c r="E1728" s="40"/>
      <c r="F1728" s="41"/>
      <c r="G1728" s="101"/>
      <c r="H1728" s="38"/>
      <c r="I1728" s="42"/>
      <c r="J1728" s="42"/>
      <c r="K1728" s="43"/>
      <c r="L1728" s="43"/>
      <c r="M1728" s="44" t="str">
        <f>IF(LayTable[[#This Row],[Sport]]="","",LayTable[[#This Row],[LayInnsats]]*(LayTable[[#This Row],[LayOdds]]-1))</f>
        <v/>
      </c>
      <c r="N1728" s="45" t="str">
        <f>IF(LayTable[[#This Row],[Sport]]="","",1/((1/LayTable[[#This Row],[BookieOdds]])+(1/((1/((1+((LayTable[[#This Row],[LayOdds]]-1)*(1+LayTable[[#This Row],[C% Lay]])))-1))+1)))-1)</f>
        <v/>
      </c>
      <c r="Q1728" s="46" t="str">
        <f>IF(LayTable[[#This Row],[Sport]]="","",LayTable[[#This Row],[BookieInnsats]]+LayTable[[#This Row],[LayLiability]])</f>
        <v/>
      </c>
      <c r="R17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8" s="47" t="str">
        <f>IF(LayTable[[#This Row],[Utfall bookie]]="","",LayTable[[#This Row],[WBABack]]+LayTable[[#This Row],[WBALay]]-LayTable[[#This Row],[Total inns]])</f>
        <v/>
      </c>
      <c r="U17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8" s="48" t="str">
        <f>IFERROR(IF(LayTable[[#This Row],[Total inns]]="","",LayTable[[#This Row],[Rback]]/LayTable[[#This Row],[Total inns]]),"")</f>
        <v/>
      </c>
      <c r="X1728" s="48" t="str">
        <f>IFERROR(IF(LayTable[[#This Row],[Total inns]]="","",LayTable[[#This Row],[Rlay]]/LayTable[[#This Row],[Total inns]]),"")</f>
        <v/>
      </c>
      <c r="Y1728" s="48" t="str">
        <f>IFERROR(LayTable[[#This Row],[Faktisk res]]/LayTable[[#This Row],[Total inns]],"")</f>
        <v/>
      </c>
      <c r="Z1728" s="47">
        <f>(LayTable[[#This Row],[BookieInnsats]]*LayTable[[#This Row],[BookieOdds]]-LayTable[[#This Row],[BookieInnsats]])*(1-LayTable[[#This Row],[C% Bookie]])</f>
        <v>0</v>
      </c>
      <c r="AA1728" s="43">
        <f>LayTable[[#This Row],[LayInnsats]]*(1-LayTable[[#This Row],[C% Lay]])</f>
        <v>0</v>
      </c>
      <c r="AB1728" s="43" t="str">
        <f>IFERROR(IF(LayTable[[#This Row],[Sport]]="",AB1727,LayTable[[#This Row],[Faktisk res]]+AB1727),"")</f>
        <v/>
      </c>
      <c r="AC1728" s="43">
        <f>(LayTable[[#This Row],[BackWin-Commission]]+LayTable[[#This Row],[BookieInnsats]])</f>
        <v>0</v>
      </c>
      <c r="AD1728" s="43" t="e">
        <f>(LayTable[[#This Row],[LayWin-Commission]])+LayTable[[#This Row],[LayLiability]]</f>
        <v>#VALUE!</v>
      </c>
      <c r="AE1728" s="43"/>
      <c r="AF1728" s="181"/>
    </row>
    <row r="1729" spans="1:32">
      <c r="A1729" s="84"/>
      <c r="B1729" s="39"/>
      <c r="C1729" s="40"/>
      <c r="D1729" s="41"/>
      <c r="E1729" s="40"/>
      <c r="F1729" s="41"/>
      <c r="G1729" s="101"/>
      <c r="H1729" s="38"/>
      <c r="I1729" s="42"/>
      <c r="J1729" s="42"/>
      <c r="K1729" s="43"/>
      <c r="L1729" s="43"/>
      <c r="M1729" s="44" t="str">
        <f>IF(LayTable[[#This Row],[Sport]]="","",LayTable[[#This Row],[LayInnsats]]*(LayTable[[#This Row],[LayOdds]]-1))</f>
        <v/>
      </c>
      <c r="N1729" s="45" t="str">
        <f>IF(LayTable[[#This Row],[Sport]]="","",1/((1/LayTable[[#This Row],[BookieOdds]])+(1/((1/((1+((LayTable[[#This Row],[LayOdds]]-1)*(1+LayTable[[#This Row],[C% Lay]])))-1))+1)))-1)</f>
        <v/>
      </c>
      <c r="Q1729" s="46" t="str">
        <f>IF(LayTable[[#This Row],[Sport]]="","",LayTable[[#This Row],[BookieInnsats]]+LayTable[[#This Row],[LayLiability]])</f>
        <v/>
      </c>
      <c r="R17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29" s="47" t="str">
        <f>IF(LayTable[[#This Row],[Utfall bookie]]="","",LayTable[[#This Row],[WBABack]]+LayTable[[#This Row],[WBALay]]-LayTable[[#This Row],[Total inns]])</f>
        <v/>
      </c>
      <c r="U17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29" s="48" t="str">
        <f>IFERROR(IF(LayTable[[#This Row],[Total inns]]="","",LayTable[[#This Row],[Rback]]/LayTable[[#This Row],[Total inns]]),"")</f>
        <v/>
      </c>
      <c r="X1729" s="48" t="str">
        <f>IFERROR(IF(LayTable[[#This Row],[Total inns]]="","",LayTable[[#This Row],[Rlay]]/LayTable[[#This Row],[Total inns]]),"")</f>
        <v/>
      </c>
      <c r="Y1729" s="48" t="str">
        <f>IFERROR(LayTable[[#This Row],[Faktisk res]]/LayTable[[#This Row],[Total inns]],"")</f>
        <v/>
      </c>
      <c r="Z1729" s="47">
        <f>(LayTable[[#This Row],[BookieInnsats]]*LayTable[[#This Row],[BookieOdds]]-LayTable[[#This Row],[BookieInnsats]])*(1-LayTable[[#This Row],[C% Bookie]])</f>
        <v>0</v>
      </c>
      <c r="AA1729" s="43">
        <f>LayTable[[#This Row],[LayInnsats]]*(1-LayTable[[#This Row],[C% Lay]])</f>
        <v>0</v>
      </c>
      <c r="AB1729" s="43" t="str">
        <f>IFERROR(IF(LayTable[[#This Row],[Sport]]="",AB1728,LayTable[[#This Row],[Faktisk res]]+AB1728),"")</f>
        <v/>
      </c>
      <c r="AC1729" s="43">
        <f>(LayTable[[#This Row],[BackWin-Commission]]+LayTable[[#This Row],[BookieInnsats]])</f>
        <v>0</v>
      </c>
      <c r="AD1729" s="43" t="e">
        <f>(LayTable[[#This Row],[LayWin-Commission]])+LayTable[[#This Row],[LayLiability]]</f>
        <v>#VALUE!</v>
      </c>
      <c r="AE1729" s="43"/>
      <c r="AF1729" s="181"/>
    </row>
    <row r="1730" spans="1:32">
      <c r="A1730" s="84"/>
      <c r="B1730" s="39"/>
      <c r="C1730" s="40"/>
      <c r="D1730" s="41"/>
      <c r="E1730" s="40"/>
      <c r="F1730" s="41"/>
      <c r="G1730" s="101"/>
      <c r="H1730" s="38"/>
      <c r="I1730" s="42"/>
      <c r="J1730" s="42"/>
      <c r="K1730" s="43"/>
      <c r="L1730" s="43"/>
      <c r="M1730" s="44" t="str">
        <f>IF(LayTable[[#This Row],[Sport]]="","",LayTable[[#This Row],[LayInnsats]]*(LayTable[[#This Row],[LayOdds]]-1))</f>
        <v/>
      </c>
      <c r="N1730" s="45" t="str">
        <f>IF(LayTable[[#This Row],[Sport]]="","",1/((1/LayTable[[#This Row],[BookieOdds]])+(1/((1/((1+((LayTable[[#This Row],[LayOdds]]-1)*(1+LayTable[[#This Row],[C% Lay]])))-1))+1)))-1)</f>
        <v/>
      </c>
      <c r="Q1730" s="46" t="str">
        <f>IF(LayTable[[#This Row],[Sport]]="","",LayTable[[#This Row],[BookieInnsats]]+LayTable[[#This Row],[LayLiability]])</f>
        <v/>
      </c>
      <c r="R17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0" s="47" t="str">
        <f>IF(LayTable[[#This Row],[Utfall bookie]]="","",LayTable[[#This Row],[WBABack]]+LayTable[[#This Row],[WBALay]]-LayTable[[#This Row],[Total inns]])</f>
        <v/>
      </c>
      <c r="U17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0" s="48" t="str">
        <f>IFERROR(IF(LayTable[[#This Row],[Total inns]]="","",LayTable[[#This Row],[Rback]]/LayTable[[#This Row],[Total inns]]),"")</f>
        <v/>
      </c>
      <c r="X1730" s="48" t="str">
        <f>IFERROR(IF(LayTable[[#This Row],[Total inns]]="","",LayTable[[#This Row],[Rlay]]/LayTable[[#This Row],[Total inns]]),"")</f>
        <v/>
      </c>
      <c r="Y1730" s="48" t="str">
        <f>IFERROR(LayTable[[#This Row],[Faktisk res]]/LayTable[[#This Row],[Total inns]],"")</f>
        <v/>
      </c>
      <c r="Z1730" s="47">
        <f>(LayTable[[#This Row],[BookieInnsats]]*LayTable[[#This Row],[BookieOdds]]-LayTable[[#This Row],[BookieInnsats]])*(1-LayTable[[#This Row],[C% Bookie]])</f>
        <v>0</v>
      </c>
      <c r="AA1730" s="43">
        <f>LayTable[[#This Row],[LayInnsats]]*(1-LayTable[[#This Row],[C% Lay]])</f>
        <v>0</v>
      </c>
      <c r="AB1730" s="43" t="str">
        <f>IFERROR(IF(LayTable[[#This Row],[Sport]]="",AB1729,LayTable[[#This Row],[Faktisk res]]+AB1729),"")</f>
        <v/>
      </c>
      <c r="AC1730" s="43">
        <f>(LayTable[[#This Row],[BackWin-Commission]]+LayTable[[#This Row],[BookieInnsats]])</f>
        <v>0</v>
      </c>
      <c r="AD1730" s="43" t="e">
        <f>(LayTable[[#This Row],[LayWin-Commission]])+LayTable[[#This Row],[LayLiability]]</f>
        <v>#VALUE!</v>
      </c>
      <c r="AE1730" s="43"/>
      <c r="AF1730" s="181"/>
    </row>
    <row r="1731" spans="1:32">
      <c r="A1731" s="84"/>
      <c r="B1731" s="39"/>
      <c r="C1731" s="40"/>
      <c r="D1731" s="41"/>
      <c r="E1731" s="40"/>
      <c r="F1731" s="41"/>
      <c r="G1731" s="101"/>
      <c r="H1731" s="38"/>
      <c r="I1731" s="42"/>
      <c r="J1731" s="42"/>
      <c r="K1731" s="43"/>
      <c r="L1731" s="43"/>
      <c r="M1731" s="44" t="str">
        <f>IF(LayTable[[#This Row],[Sport]]="","",LayTable[[#This Row],[LayInnsats]]*(LayTable[[#This Row],[LayOdds]]-1))</f>
        <v/>
      </c>
      <c r="N1731" s="45" t="str">
        <f>IF(LayTable[[#This Row],[Sport]]="","",1/((1/LayTable[[#This Row],[BookieOdds]])+(1/((1/((1+((LayTable[[#This Row],[LayOdds]]-1)*(1+LayTable[[#This Row],[C% Lay]])))-1))+1)))-1)</f>
        <v/>
      </c>
      <c r="Q1731" s="46" t="str">
        <f>IF(LayTable[[#This Row],[Sport]]="","",LayTable[[#This Row],[BookieInnsats]]+LayTable[[#This Row],[LayLiability]])</f>
        <v/>
      </c>
      <c r="R17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1" s="47" t="str">
        <f>IF(LayTable[[#This Row],[Utfall bookie]]="","",LayTable[[#This Row],[WBABack]]+LayTable[[#This Row],[WBALay]]-LayTable[[#This Row],[Total inns]])</f>
        <v/>
      </c>
      <c r="U17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1" s="48" t="str">
        <f>IFERROR(IF(LayTable[[#This Row],[Total inns]]="","",LayTable[[#This Row],[Rback]]/LayTable[[#This Row],[Total inns]]),"")</f>
        <v/>
      </c>
      <c r="X1731" s="48" t="str">
        <f>IFERROR(IF(LayTable[[#This Row],[Total inns]]="","",LayTable[[#This Row],[Rlay]]/LayTable[[#This Row],[Total inns]]),"")</f>
        <v/>
      </c>
      <c r="Y1731" s="48" t="str">
        <f>IFERROR(LayTable[[#This Row],[Faktisk res]]/LayTable[[#This Row],[Total inns]],"")</f>
        <v/>
      </c>
      <c r="Z1731" s="47">
        <f>(LayTable[[#This Row],[BookieInnsats]]*LayTable[[#This Row],[BookieOdds]]-LayTable[[#This Row],[BookieInnsats]])*(1-LayTable[[#This Row],[C% Bookie]])</f>
        <v>0</v>
      </c>
      <c r="AA1731" s="43">
        <f>LayTable[[#This Row],[LayInnsats]]*(1-LayTable[[#This Row],[C% Lay]])</f>
        <v>0</v>
      </c>
      <c r="AB1731" s="43" t="str">
        <f>IFERROR(IF(LayTable[[#This Row],[Sport]]="",AB1730,LayTable[[#This Row],[Faktisk res]]+AB1730),"")</f>
        <v/>
      </c>
      <c r="AC1731" s="43">
        <f>(LayTable[[#This Row],[BackWin-Commission]]+LayTable[[#This Row],[BookieInnsats]])</f>
        <v>0</v>
      </c>
      <c r="AD1731" s="43" t="e">
        <f>(LayTable[[#This Row],[LayWin-Commission]])+LayTable[[#This Row],[LayLiability]]</f>
        <v>#VALUE!</v>
      </c>
      <c r="AE1731" s="43"/>
      <c r="AF1731" s="181"/>
    </row>
    <row r="1732" spans="1:32">
      <c r="A1732" s="84"/>
      <c r="B1732" s="39"/>
      <c r="C1732" s="40"/>
      <c r="D1732" s="41"/>
      <c r="E1732" s="40"/>
      <c r="F1732" s="41"/>
      <c r="G1732" s="101"/>
      <c r="H1732" s="38"/>
      <c r="I1732" s="42"/>
      <c r="J1732" s="42"/>
      <c r="K1732" s="43"/>
      <c r="L1732" s="43"/>
      <c r="M1732" s="44" t="str">
        <f>IF(LayTable[[#This Row],[Sport]]="","",LayTable[[#This Row],[LayInnsats]]*(LayTable[[#This Row],[LayOdds]]-1))</f>
        <v/>
      </c>
      <c r="N1732" s="45" t="str">
        <f>IF(LayTable[[#This Row],[Sport]]="","",1/((1/LayTable[[#This Row],[BookieOdds]])+(1/((1/((1+((LayTable[[#This Row],[LayOdds]]-1)*(1+LayTable[[#This Row],[C% Lay]])))-1))+1)))-1)</f>
        <v/>
      </c>
      <c r="Q1732" s="46" t="str">
        <f>IF(LayTable[[#This Row],[Sport]]="","",LayTable[[#This Row],[BookieInnsats]]+LayTable[[#This Row],[LayLiability]])</f>
        <v/>
      </c>
      <c r="R17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2" s="47" t="str">
        <f>IF(LayTable[[#This Row],[Utfall bookie]]="","",LayTable[[#This Row],[WBABack]]+LayTable[[#This Row],[WBALay]]-LayTable[[#This Row],[Total inns]])</f>
        <v/>
      </c>
      <c r="U17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2" s="48" t="str">
        <f>IFERROR(IF(LayTable[[#This Row],[Total inns]]="","",LayTable[[#This Row],[Rback]]/LayTable[[#This Row],[Total inns]]),"")</f>
        <v/>
      </c>
      <c r="X1732" s="48" t="str">
        <f>IFERROR(IF(LayTable[[#This Row],[Total inns]]="","",LayTable[[#This Row],[Rlay]]/LayTable[[#This Row],[Total inns]]),"")</f>
        <v/>
      </c>
      <c r="Y1732" s="48" t="str">
        <f>IFERROR(LayTable[[#This Row],[Faktisk res]]/LayTable[[#This Row],[Total inns]],"")</f>
        <v/>
      </c>
      <c r="Z1732" s="47">
        <f>(LayTable[[#This Row],[BookieInnsats]]*LayTable[[#This Row],[BookieOdds]]-LayTable[[#This Row],[BookieInnsats]])*(1-LayTable[[#This Row],[C% Bookie]])</f>
        <v>0</v>
      </c>
      <c r="AA1732" s="43">
        <f>LayTable[[#This Row],[LayInnsats]]*(1-LayTable[[#This Row],[C% Lay]])</f>
        <v>0</v>
      </c>
      <c r="AB1732" s="43" t="str">
        <f>IFERROR(IF(LayTable[[#This Row],[Sport]]="",AB1731,LayTable[[#This Row],[Faktisk res]]+AB1731),"")</f>
        <v/>
      </c>
      <c r="AC1732" s="43">
        <f>(LayTable[[#This Row],[BackWin-Commission]]+LayTable[[#This Row],[BookieInnsats]])</f>
        <v>0</v>
      </c>
      <c r="AD1732" s="43" t="e">
        <f>(LayTable[[#This Row],[LayWin-Commission]])+LayTable[[#This Row],[LayLiability]]</f>
        <v>#VALUE!</v>
      </c>
      <c r="AE1732" s="43"/>
      <c r="AF1732" s="181"/>
    </row>
    <row r="1733" spans="1:32">
      <c r="A1733" s="84"/>
      <c r="B1733" s="39"/>
      <c r="C1733" s="40"/>
      <c r="D1733" s="41"/>
      <c r="E1733" s="40"/>
      <c r="F1733" s="41"/>
      <c r="G1733" s="101"/>
      <c r="H1733" s="38"/>
      <c r="I1733" s="42"/>
      <c r="J1733" s="42"/>
      <c r="K1733" s="43"/>
      <c r="L1733" s="43"/>
      <c r="M1733" s="44" t="str">
        <f>IF(LayTable[[#This Row],[Sport]]="","",LayTable[[#This Row],[LayInnsats]]*(LayTable[[#This Row],[LayOdds]]-1))</f>
        <v/>
      </c>
      <c r="N1733" s="45" t="str">
        <f>IF(LayTable[[#This Row],[Sport]]="","",1/((1/LayTable[[#This Row],[BookieOdds]])+(1/((1/((1+((LayTable[[#This Row],[LayOdds]]-1)*(1+LayTable[[#This Row],[C% Lay]])))-1))+1)))-1)</f>
        <v/>
      </c>
      <c r="Q1733" s="46" t="str">
        <f>IF(LayTable[[#This Row],[Sport]]="","",LayTable[[#This Row],[BookieInnsats]]+LayTable[[#This Row],[LayLiability]])</f>
        <v/>
      </c>
      <c r="R17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3" s="47" t="str">
        <f>IF(LayTable[[#This Row],[Utfall bookie]]="","",LayTable[[#This Row],[WBABack]]+LayTable[[#This Row],[WBALay]]-LayTable[[#This Row],[Total inns]])</f>
        <v/>
      </c>
      <c r="U17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3" s="48" t="str">
        <f>IFERROR(IF(LayTable[[#This Row],[Total inns]]="","",LayTable[[#This Row],[Rback]]/LayTable[[#This Row],[Total inns]]),"")</f>
        <v/>
      </c>
      <c r="X1733" s="48" t="str">
        <f>IFERROR(IF(LayTable[[#This Row],[Total inns]]="","",LayTable[[#This Row],[Rlay]]/LayTable[[#This Row],[Total inns]]),"")</f>
        <v/>
      </c>
      <c r="Y1733" s="48" t="str">
        <f>IFERROR(LayTable[[#This Row],[Faktisk res]]/LayTable[[#This Row],[Total inns]],"")</f>
        <v/>
      </c>
      <c r="Z1733" s="47">
        <f>(LayTable[[#This Row],[BookieInnsats]]*LayTable[[#This Row],[BookieOdds]]-LayTable[[#This Row],[BookieInnsats]])*(1-LayTable[[#This Row],[C% Bookie]])</f>
        <v>0</v>
      </c>
      <c r="AA1733" s="43">
        <f>LayTable[[#This Row],[LayInnsats]]*(1-LayTable[[#This Row],[C% Lay]])</f>
        <v>0</v>
      </c>
      <c r="AB1733" s="43" t="str">
        <f>IFERROR(IF(LayTable[[#This Row],[Sport]]="",AB1732,LayTable[[#This Row],[Faktisk res]]+AB1732),"")</f>
        <v/>
      </c>
      <c r="AC1733" s="43">
        <f>(LayTable[[#This Row],[BackWin-Commission]]+LayTable[[#This Row],[BookieInnsats]])</f>
        <v>0</v>
      </c>
      <c r="AD1733" s="43" t="e">
        <f>(LayTable[[#This Row],[LayWin-Commission]])+LayTable[[#This Row],[LayLiability]]</f>
        <v>#VALUE!</v>
      </c>
      <c r="AE1733" s="43"/>
      <c r="AF1733" s="181"/>
    </row>
    <row r="1734" spans="1:32">
      <c r="A1734" s="84"/>
      <c r="B1734" s="39"/>
      <c r="C1734" s="40"/>
      <c r="D1734" s="41"/>
      <c r="E1734" s="40"/>
      <c r="F1734" s="41"/>
      <c r="G1734" s="101"/>
      <c r="H1734" s="38"/>
      <c r="I1734" s="42"/>
      <c r="J1734" s="42"/>
      <c r="K1734" s="43"/>
      <c r="L1734" s="43"/>
      <c r="M1734" s="44" t="str">
        <f>IF(LayTable[[#This Row],[Sport]]="","",LayTable[[#This Row],[LayInnsats]]*(LayTable[[#This Row],[LayOdds]]-1))</f>
        <v/>
      </c>
      <c r="N1734" s="45" t="str">
        <f>IF(LayTable[[#This Row],[Sport]]="","",1/((1/LayTable[[#This Row],[BookieOdds]])+(1/((1/((1+((LayTable[[#This Row],[LayOdds]]-1)*(1+LayTable[[#This Row],[C% Lay]])))-1))+1)))-1)</f>
        <v/>
      </c>
      <c r="Q1734" s="46" t="str">
        <f>IF(LayTable[[#This Row],[Sport]]="","",LayTable[[#This Row],[BookieInnsats]]+LayTable[[#This Row],[LayLiability]])</f>
        <v/>
      </c>
      <c r="R17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4" s="47" t="str">
        <f>IF(LayTable[[#This Row],[Utfall bookie]]="","",LayTable[[#This Row],[WBABack]]+LayTable[[#This Row],[WBALay]]-LayTable[[#This Row],[Total inns]])</f>
        <v/>
      </c>
      <c r="U17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4" s="48" t="str">
        <f>IFERROR(IF(LayTable[[#This Row],[Total inns]]="","",LayTable[[#This Row],[Rback]]/LayTable[[#This Row],[Total inns]]),"")</f>
        <v/>
      </c>
      <c r="X1734" s="48" t="str">
        <f>IFERROR(IF(LayTable[[#This Row],[Total inns]]="","",LayTable[[#This Row],[Rlay]]/LayTable[[#This Row],[Total inns]]),"")</f>
        <v/>
      </c>
      <c r="Y1734" s="48" t="str">
        <f>IFERROR(LayTable[[#This Row],[Faktisk res]]/LayTable[[#This Row],[Total inns]],"")</f>
        <v/>
      </c>
      <c r="Z1734" s="47">
        <f>(LayTable[[#This Row],[BookieInnsats]]*LayTable[[#This Row],[BookieOdds]]-LayTable[[#This Row],[BookieInnsats]])*(1-LayTable[[#This Row],[C% Bookie]])</f>
        <v>0</v>
      </c>
      <c r="AA1734" s="43">
        <f>LayTable[[#This Row],[LayInnsats]]*(1-LayTable[[#This Row],[C% Lay]])</f>
        <v>0</v>
      </c>
      <c r="AB1734" s="43" t="str">
        <f>IFERROR(IF(LayTable[[#This Row],[Sport]]="",AB1733,LayTable[[#This Row],[Faktisk res]]+AB1733),"")</f>
        <v/>
      </c>
      <c r="AC1734" s="43">
        <f>(LayTable[[#This Row],[BackWin-Commission]]+LayTable[[#This Row],[BookieInnsats]])</f>
        <v>0</v>
      </c>
      <c r="AD1734" s="43" t="e">
        <f>(LayTable[[#This Row],[LayWin-Commission]])+LayTable[[#This Row],[LayLiability]]</f>
        <v>#VALUE!</v>
      </c>
      <c r="AE1734" s="43"/>
      <c r="AF1734" s="181"/>
    </row>
    <row r="1735" spans="1:32">
      <c r="A1735" s="84"/>
      <c r="B1735" s="39"/>
      <c r="C1735" s="40"/>
      <c r="D1735" s="41"/>
      <c r="E1735" s="40"/>
      <c r="F1735" s="41"/>
      <c r="G1735" s="101"/>
      <c r="H1735" s="38"/>
      <c r="I1735" s="42"/>
      <c r="J1735" s="42"/>
      <c r="K1735" s="43"/>
      <c r="L1735" s="43"/>
      <c r="M1735" s="44" t="str">
        <f>IF(LayTable[[#This Row],[Sport]]="","",LayTable[[#This Row],[LayInnsats]]*(LayTable[[#This Row],[LayOdds]]-1))</f>
        <v/>
      </c>
      <c r="N1735" s="45" t="str">
        <f>IF(LayTable[[#This Row],[Sport]]="","",1/((1/LayTable[[#This Row],[BookieOdds]])+(1/((1/((1+((LayTable[[#This Row],[LayOdds]]-1)*(1+LayTable[[#This Row],[C% Lay]])))-1))+1)))-1)</f>
        <v/>
      </c>
      <c r="Q1735" s="46" t="str">
        <f>IF(LayTable[[#This Row],[Sport]]="","",LayTable[[#This Row],[BookieInnsats]]+LayTable[[#This Row],[LayLiability]])</f>
        <v/>
      </c>
      <c r="R17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5" s="47" t="str">
        <f>IF(LayTable[[#This Row],[Utfall bookie]]="","",LayTable[[#This Row],[WBABack]]+LayTable[[#This Row],[WBALay]]-LayTable[[#This Row],[Total inns]])</f>
        <v/>
      </c>
      <c r="U17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5" s="48" t="str">
        <f>IFERROR(IF(LayTable[[#This Row],[Total inns]]="","",LayTable[[#This Row],[Rback]]/LayTable[[#This Row],[Total inns]]),"")</f>
        <v/>
      </c>
      <c r="X1735" s="48" t="str">
        <f>IFERROR(IF(LayTable[[#This Row],[Total inns]]="","",LayTable[[#This Row],[Rlay]]/LayTable[[#This Row],[Total inns]]),"")</f>
        <v/>
      </c>
      <c r="Y1735" s="48" t="str">
        <f>IFERROR(LayTable[[#This Row],[Faktisk res]]/LayTable[[#This Row],[Total inns]],"")</f>
        <v/>
      </c>
      <c r="Z1735" s="47">
        <f>(LayTable[[#This Row],[BookieInnsats]]*LayTable[[#This Row],[BookieOdds]]-LayTable[[#This Row],[BookieInnsats]])*(1-LayTable[[#This Row],[C% Bookie]])</f>
        <v>0</v>
      </c>
      <c r="AA1735" s="43">
        <f>LayTable[[#This Row],[LayInnsats]]*(1-LayTable[[#This Row],[C% Lay]])</f>
        <v>0</v>
      </c>
      <c r="AB1735" s="43" t="str">
        <f>IFERROR(IF(LayTable[[#This Row],[Sport]]="",AB1734,LayTable[[#This Row],[Faktisk res]]+AB1734),"")</f>
        <v/>
      </c>
      <c r="AC1735" s="43">
        <f>(LayTable[[#This Row],[BackWin-Commission]]+LayTable[[#This Row],[BookieInnsats]])</f>
        <v>0</v>
      </c>
      <c r="AD1735" s="43" t="e">
        <f>(LayTable[[#This Row],[LayWin-Commission]])+LayTable[[#This Row],[LayLiability]]</f>
        <v>#VALUE!</v>
      </c>
      <c r="AE1735" s="43"/>
      <c r="AF1735" s="181"/>
    </row>
    <row r="1736" spans="1:32">
      <c r="A1736" s="84"/>
      <c r="B1736" s="39"/>
      <c r="C1736" s="40"/>
      <c r="D1736" s="41"/>
      <c r="E1736" s="40"/>
      <c r="F1736" s="41"/>
      <c r="G1736" s="101"/>
      <c r="H1736" s="38"/>
      <c r="I1736" s="42"/>
      <c r="J1736" s="42"/>
      <c r="K1736" s="43"/>
      <c r="L1736" s="43"/>
      <c r="M1736" s="44" t="str">
        <f>IF(LayTable[[#This Row],[Sport]]="","",LayTable[[#This Row],[LayInnsats]]*(LayTable[[#This Row],[LayOdds]]-1))</f>
        <v/>
      </c>
      <c r="N1736" s="45" t="str">
        <f>IF(LayTable[[#This Row],[Sport]]="","",1/((1/LayTable[[#This Row],[BookieOdds]])+(1/((1/((1+((LayTable[[#This Row],[LayOdds]]-1)*(1+LayTable[[#This Row],[C% Lay]])))-1))+1)))-1)</f>
        <v/>
      </c>
      <c r="Q1736" s="46" t="str">
        <f>IF(LayTable[[#This Row],[Sport]]="","",LayTable[[#This Row],[BookieInnsats]]+LayTable[[#This Row],[LayLiability]])</f>
        <v/>
      </c>
      <c r="R17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6" s="47" t="str">
        <f>IF(LayTable[[#This Row],[Utfall bookie]]="","",LayTable[[#This Row],[WBABack]]+LayTable[[#This Row],[WBALay]]-LayTable[[#This Row],[Total inns]])</f>
        <v/>
      </c>
      <c r="U17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6" s="48" t="str">
        <f>IFERROR(IF(LayTable[[#This Row],[Total inns]]="","",LayTable[[#This Row],[Rback]]/LayTable[[#This Row],[Total inns]]),"")</f>
        <v/>
      </c>
      <c r="X1736" s="48" t="str">
        <f>IFERROR(IF(LayTable[[#This Row],[Total inns]]="","",LayTable[[#This Row],[Rlay]]/LayTable[[#This Row],[Total inns]]),"")</f>
        <v/>
      </c>
      <c r="Y1736" s="48" t="str">
        <f>IFERROR(LayTable[[#This Row],[Faktisk res]]/LayTable[[#This Row],[Total inns]],"")</f>
        <v/>
      </c>
      <c r="Z1736" s="47">
        <f>(LayTable[[#This Row],[BookieInnsats]]*LayTable[[#This Row],[BookieOdds]]-LayTable[[#This Row],[BookieInnsats]])*(1-LayTable[[#This Row],[C% Bookie]])</f>
        <v>0</v>
      </c>
      <c r="AA1736" s="43">
        <f>LayTable[[#This Row],[LayInnsats]]*(1-LayTable[[#This Row],[C% Lay]])</f>
        <v>0</v>
      </c>
      <c r="AB1736" s="43" t="str">
        <f>IFERROR(IF(LayTable[[#This Row],[Sport]]="",AB1735,LayTable[[#This Row],[Faktisk res]]+AB1735),"")</f>
        <v/>
      </c>
      <c r="AC1736" s="43">
        <f>(LayTable[[#This Row],[BackWin-Commission]]+LayTable[[#This Row],[BookieInnsats]])</f>
        <v>0</v>
      </c>
      <c r="AD1736" s="43" t="e">
        <f>(LayTable[[#This Row],[LayWin-Commission]])+LayTable[[#This Row],[LayLiability]]</f>
        <v>#VALUE!</v>
      </c>
      <c r="AE1736" s="43"/>
      <c r="AF1736" s="181"/>
    </row>
    <row r="1737" spans="1:32">
      <c r="A1737" s="84"/>
      <c r="B1737" s="39"/>
      <c r="C1737" s="40"/>
      <c r="D1737" s="41"/>
      <c r="E1737" s="40"/>
      <c r="F1737" s="41"/>
      <c r="G1737" s="101"/>
      <c r="H1737" s="38"/>
      <c r="I1737" s="42"/>
      <c r="J1737" s="42"/>
      <c r="K1737" s="43"/>
      <c r="L1737" s="43"/>
      <c r="M1737" s="44" t="str">
        <f>IF(LayTable[[#This Row],[Sport]]="","",LayTable[[#This Row],[LayInnsats]]*(LayTable[[#This Row],[LayOdds]]-1))</f>
        <v/>
      </c>
      <c r="N1737" s="45" t="str">
        <f>IF(LayTable[[#This Row],[Sport]]="","",1/((1/LayTable[[#This Row],[BookieOdds]])+(1/((1/((1+((LayTable[[#This Row],[LayOdds]]-1)*(1+LayTable[[#This Row],[C% Lay]])))-1))+1)))-1)</f>
        <v/>
      </c>
      <c r="Q1737" s="46" t="str">
        <f>IF(LayTable[[#This Row],[Sport]]="","",LayTable[[#This Row],[BookieInnsats]]+LayTable[[#This Row],[LayLiability]])</f>
        <v/>
      </c>
      <c r="R17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7" s="47" t="str">
        <f>IF(LayTable[[#This Row],[Utfall bookie]]="","",LayTable[[#This Row],[WBABack]]+LayTable[[#This Row],[WBALay]]-LayTable[[#This Row],[Total inns]])</f>
        <v/>
      </c>
      <c r="U17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7" s="48" t="str">
        <f>IFERROR(IF(LayTable[[#This Row],[Total inns]]="","",LayTable[[#This Row],[Rback]]/LayTable[[#This Row],[Total inns]]),"")</f>
        <v/>
      </c>
      <c r="X1737" s="48" t="str">
        <f>IFERROR(IF(LayTable[[#This Row],[Total inns]]="","",LayTable[[#This Row],[Rlay]]/LayTable[[#This Row],[Total inns]]),"")</f>
        <v/>
      </c>
      <c r="Y1737" s="48" t="str">
        <f>IFERROR(LayTable[[#This Row],[Faktisk res]]/LayTable[[#This Row],[Total inns]],"")</f>
        <v/>
      </c>
      <c r="Z1737" s="47">
        <f>(LayTable[[#This Row],[BookieInnsats]]*LayTable[[#This Row],[BookieOdds]]-LayTable[[#This Row],[BookieInnsats]])*(1-LayTable[[#This Row],[C% Bookie]])</f>
        <v>0</v>
      </c>
      <c r="AA1737" s="43">
        <f>LayTable[[#This Row],[LayInnsats]]*(1-LayTable[[#This Row],[C% Lay]])</f>
        <v>0</v>
      </c>
      <c r="AB1737" s="43" t="str">
        <f>IFERROR(IF(LayTable[[#This Row],[Sport]]="",AB1736,LayTable[[#This Row],[Faktisk res]]+AB1736),"")</f>
        <v/>
      </c>
      <c r="AC1737" s="43">
        <f>(LayTable[[#This Row],[BackWin-Commission]]+LayTable[[#This Row],[BookieInnsats]])</f>
        <v>0</v>
      </c>
      <c r="AD1737" s="43" t="e">
        <f>(LayTable[[#This Row],[LayWin-Commission]])+LayTable[[#This Row],[LayLiability]]</f>
        <v>#VALUE!</v>
      </c>
      <c r="AE1737" s="43"/>
      <c r="AF1737" s="181"/>
    </row>
    <row r="1738" spans="1:32">
      <c r="A1738" s="84"/>
      <c r="B1738" s="39"/>
      <c r="C1738" s="40"/>
      <c r="D1738" s="41"/>
      <c r="E1738" s="40"/>
      <c r="F1738" s="41"/>
      <c r="G1738" s="101"/>
      <c r="H1738" s="38"/>
      <c r="I1738" s="42"/>
      <c r="J1738" s="42"/>
      <c r="K1738" s="43"/>
      <c r="L1738" s="43"/>
      <c r="M1738" s="44" t="str">
        <f>IF(LayTable[[#This Row],[Sport]]="","",LayTable[[#This Row],[LayInnsats]]*(LayTable[[#This Row],[LayOdds]]-1))</f>
        <v/>
      </c>
      <c r="N1738" s="45" t="str">
        <f>IF(LayTable[[#This Row],[Sport]]="","",1/((1/LayTable[[#This Row],[BookieOdds]])+(1/((1/((1+((LayTable[[#This Row],[LayOdds]]-1)*(1+LayTable[[#This Row],[C% Lay]])))-1))+1)))-1)</f>
        <v/>
      </c>
      <c r="Q1738" s="46" t="str">
        <f>IF(LayTable[[#This Row],[Sport]]="","",LayTable[[#This Row],[BookieInnsats]]+LayTable[[#This Row],[LayLiability]])</f>
        <v/>
      </c>
      <c r="R17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8" s="47" t="str">
        <f>IF(LayTable[[#This Row],[Utfall bookie]]="","",LayTable[[#This Row],[WBABack]]+LayTable[[#This Row],[WBALay]]-LayTable[[#This Row],[Total inns]])</f>
        <v/>
      </c>
      <c r="U17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8" s="48" t="str">
        <f>IFERROR(IF(LayTable[[#This Row],[Total inns]]="","",LayTable[[#This Row],[Rback]]/LayTable[[#This Row],[Total inns]]),"")</f>
        <v/>
      </c>
      <c r="X1738" s="48" t="str">
        <f>IFERROR(IF(LayTable[[#This Row],[Total inns]]="","",LayTable[[#This Row],[Rlay]]/LayTable[[#This Row],[Total inns]]),"")</f>
        <v/>
      </c>
      <c r="Y1738" s="48" t="str">
        <f>IFERROR(LayTable[[#This Row],[Faktisk res]]/LayTable[[#This Row],[Total inns]],"")</f>
        <v/>
      </c>
      <c r="Z1738" s="47">
        <f>(LayTable[[#This Row],[BookieInnsats]]*LayTable[[#This Row],[BookieOdds]]-LayTable[[#This Row],[BookieInnsats]])*(1-LayTable[[#This Row],[C% Bookie]])</f>
        <v>0</v>
      </c>
      <c r="AA1738" s="43">
        <f>LayTable[[#This Row],[LayInnsats]]*(1-LayTable[[#This Row],[C% Lay]])</f>
        <v>0</v>
      </c>
      <c r="AB1738" s="43" t="str">
        <f>IFERROR(IF(LayTable[[#This Row],[Sport]]="",AB1737,LayTable[[#This Row],[Faktisk res]]+AB1737),"")</f>
        <v/>
      </c>
      <c r="AC1738" s="43">
        <f>(LayTable[[#This Row],[BackWin-Commission]]+LayTable[[#This Row],[BookieInnsats]])</f>
        <v>0</v>
      </c>
      <c r="AD1738" s="43" t="e">
        <f>(LayTable[[#This Row],[LayWin-Commission]])+LayTable[[#This Row],[LayLiability]]</f>
        <v>#VALUE!</v>
      </c>
      <c r="AE1738" s="43"/>
      <c r="AF1738" s="181"/>
    </row>
    <row r="1739" spans="1:32">
      <c r="A1739" s="84"/>
      <c r="B1739" s="39"/>
      <c r="C1739" s="40"/>
      <c r="D1739" s="41"/>
      <c r="E1739" s="40"/>
      <c r="F1739" s="41"/>
      <c r="G1739" s="101"/>
      <c r="H1739" s="38"/>
      <c r="I1739" s="42"/>
      <c r="J1739" s="42"/>
      <c r="K1739" s="43"/>
      <c r="L1739" s="43"/>
      <c r="M1739" s="44" t="str">
        <f>IF(LayTable[[#This Row],[Sport]]="","",LayTable[[#This Row],[LayInnsats]]*(LayTable[[#This Row],[LayOdds]]-1))</f>
        <v/>
      </c>
      <c r="N1739" s="45" t="str">
        <f>IF(LayTable[[#This Row],[Sport]]="","",1/((1/LayTable[[#This Row],[BookieOdds]])+(1/((1/((1+((LayTable[[#This Row],[LayOdds]]-1)*(1+LayTable[[#This Row],[C% Lay]])))-1))+1)))-1)</f>
        <v/>
      </c>
      <c r="Q1739" s="46" t="str">
        <f>IF(LayTable[[#This Row],[Sport]]="","",LayTable[[#This Row],[BookieInnsats]]+LayTable[[#This Row],[LayLiability]])</f>
        <v/>
      </c>
      <c r="R17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39" s="47" t="str">
        <f>IF(LayTable[[#This Row],[Utfall bookie]]="","",LayTable[[#This Row],[WBABack]]+LayTable[[#This Row],[WBALay]]-LayTable[[#This Row],[Total inns]])</f>
        <v/>
      </c>
      <c r="U17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39" s="48" t="str">
        <f>IFERROR(IF(LayTable[[#This Row],[Total inns]]="","",LayTable[[#This Row],[Rback]]/LayTable[[#This Row],[Total inns]]),"")</f>
        <v/>
      </c>
      <c r="X1739" s="48" t="str">
        <f>IFERROR(IF(LayTable[[#This Row],[Total inns]]="","",LayTable[[#This Row],[Rlay]]/LayTable[[#This Row],[Total inns]]),"")</f>
        <v/>
      </c>
      <c r="Y1739" s="48" t="str">
        <f>IFERROR(LayTable[[#This Row],[Faktisk res]]/LayTable[[#This Row],[Total inns]],"")</f>
        <v/>
      </c>
      <c r="Z1739" s="47">
        <f>(LayTable[[#This Row],[BookieInnsats]]*LayTable[[#This Row],[BookieOdds]]-LayTable[[#This Row],[BookieInnsats]])*(1-LayTable[[#This Row],[C% Bookie]])</f>
        <v>0</v>
      </c>
      <c r="AA1739" s="43">
        <f>LayTable[[#This Row],[LayInnsats]]*(1-LayTable[[#This Row],[C% Lay]])</f>
        <v>0</v>
      </c>
      <c r="AB1739" s="43" t="str">
        <f>IFERROR(IF(LayTable[[#This Row],[Sport]]="",AB1738,LayTable[[#This Row],[Faktisk res]]+AB1738),"")</f>
        <v/>
      </c>
      <c r="AC1739" s="43">
        <f>(LayTable[[#This Row],[BackWin-Commission]]+LayTable[[#This Row],[BookieInnsats]])</f>
        <v>0</v>
      </c>
      <c r="AD1739" s="43" t="e">
        <f>(LayTable[[#This Row],[LayWin-Commission]])+LayTable[[#This Row],[LayLiability]]</f>
        <v>#VALUE!</v>
      </c>
      <c r="AE1739" s="43"/>
      <c r="AF1739" s="181"/>
    </row>
    <row r="1740" spans="1:32">
      <c r="A1740" s="84"/>
      <c r="B1740" s="39"/>
      <c r="C1740" s="40"/>
      <c r="D1740" s="41"/>
      <c r="E1740" s="40"/>
      <c r="F1740" s="41"/>
      <c r="G1740" s="101"/>
      <c r="H1740" s="38"/>
      <c r="I1740" s="42"/>
      <c r="J1740" s="42"/>
      <c r="K1740" s="43"/>
      <c r="L1740" s="43"/>
      <c r="M1740" s="44" t="str">
        <f>IF(LayTable[[#This Row],[Sport]]="","",LayTable[[#This Row],[LayInnsats]]*(LayTable[[#This Row],[LayOdds]]-1))</f>
        <v/>
      </c>
      <c r="N1740" s="45" t="str">
        <f>IF(LayTable[[#This Row],[Sport]]="","",1/((1/LayTable[[#This Row],[BookieOdds]])+(1/((1/((1+((LayTable[[#This Row],[LayOdds]]-1)*(1+LayTable[[#This Row],[C% Lay]])))-1))+1)))-1)</f>
        <v/>
      </c>
      <c r="Q1740" s="46" t="str">
        <f>IF(LayTable[[#This Row],[Sport]]="","",LayTable[[#This Row],[BookieInnsats]]+LayTable[[#This Row],[LayLiability]])</f>
        <v/>
      </c>
      <c r="R17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0" s="47" t="str">
        <f>IF(LayTable[[#This Row],[Utfall bookie]]="","",LayTable[[#This Row],[WBABack]]+LayTable[[#This Row],[WBALay]]-LayTable[[#This Row],[Total inns]])</f>
        <v/>
      </c>
      <c r="U17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0" s="48" t="str">
        <f>IFERROR(IF(LayTable[[#This Row],[Total inns]]="","",LayTable[[#This Row],[Rback]]/LayTable[[#This Row],[Total inns]]),"")</f>
        <v/>
      </c>
      <c r="X1740" s="48" t="str">
        <f>IFERROR(IF(LayTable[[#This Row],[Total inns]]="","",LayTable[[#This Row],[Rlay]]/LayTable[[#This Row],[Total inns]]),"")</f>
        <v/>
      </c>
      <c r="Y1740" s="48" t="str">
        <f>IFERROR(LayTable[[#This Row],[Faktisk res]]/LayTable[[#This Row],[Total inns]],"")</f>
        <v/>
      </c>
      <c r="Z1740" s="47">
        <f>(LayTable[[#This Row],[BookieInnsats]]*LayTable[[#This Row],[BookieOdds]]-LayTable[[#This Row],[BookieInnsats]])*(1-LayTable[[#This Row],[C% Bookie]])</f>
        <v>0</v>
      </c>
      <c r="AA1740" s="43">
        <f>LayTable[[#This Row],[LayInnsats]]*(1-LayTable[[#This Row],[C% Lay]])</f>
        <v>0</v>
      </c>
      <c r="AB1740" s="43" t="str">
        <f>IFERROR(IF(LayTable[[#This Row],[Sport]]="",AB1739,LayTable[[#This Row],[Faktisk res]]+AB1739),"")</f>
        <v/>
      </c>
      <c r="AC1740" s="43">
        <f>(LayTable[[#This Row],[BackWin-Commission]]+LayTable[[#This Row],[BookieInnsats]])</f>
        <v>0</v>
      </c>
      <c r="AD1740" s="43" t="e">
        <f>(LayTable[[#This Row],[LayWin-Commission]])+LayTable[[#This Row],[LayLiability]]</f>
        <v>#VALUE!</v>
      </c>
      <c r="AE1740" s="43"/>
      <c r="AF1740" s="181"/>
    </row>
    <row r="1741" spans="1:32">
      <c r="A1741" s="84"/>
      <c r="B1741" s="39"/>
      <c r="C1741" s="40"/>
      <c r="D1741" s="41"/>
      <c r="E1741" s="40"/>
      <c r="F1741" s="41"/>
      <c r="G1741" s="101"/>
      <c r="H1741" s="38"/>
      <c r="I1741" s="42"/>
      <c r="J1741" s="42"/>
      <c r="K1741" s="43"/>
      <c r="L1741" s="43"/>
      <c r="M1741" s="44" t="str">
        <f>IF(LayTable[[#This Row],[Sport]]="","",LayTable[[#This Row],[LayInnsats]]*(LayTable[[#This Row],[LayOdds]]-1))</f>
        <v/>
      </c>
      <c r="N1741" s="45" t="str">
        <f>IF(LayTable[[#This Row],[Sport]]="","",1/((1/LayTable[[#This Row],[BookieOdds]])+(1/((1/((1+((LayTable[[#This Row],[LayOdds]]-1)*(1+LayTable[[#This Row],[C% Lay]])))-1))+1)))-1)</f>
        <v/>
      </c>
      <c r="Q1741" s="46" t="str">
        <f>IF(LayTable[[#This Row],[Sport]]="","",LayTable[[#This Row],[BookieInnsats]]+LayTable[[#This Row],[LayLiability]])</f>
        <v/>
      </c>
      <c r="R17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1" s="47" t="str">
        <f>IF(LayTable[[#This Row],[Utfall bookie]]="","",LayTable[[#This Row],[WBABack]]+LayTable[[#This Row],[WBALay]]-LayTable[[#This Row],[Total inns]])</f>
        <v/>
      </c>
      <c r="U17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1" s="48" t="str">
        <f>IFERROR(IF(LayTable[[#This Row],[Total inns]]="","",LayTable[[#This Row],[Rback]]/LayTable[[#This Row],[Total inns]]),"")</f>
        <v/>
      </c>
      <c r="X1741" s="48" t="str">
        <f>IFERROR(IF(LayTable[[#This Row],[Total inns]]="","",LayTable[[#This Row],[Rlay]]/LayTable[[#This Row],[Total inns]]),"")</f>
        <v/>
      </c>
      <c r="Y1741" s="48" t="str">
        <f>IFERROR(LayTable[[#This Row],[Faktisk res]]/LayTable[[#This Row],[Total inns]],"")</f>
        <v/>
      </c>
      <c r="Z1741" s="47">
        <f>(LayTable[[#This Row],[BookieInnsats]]*LayTable[[#This Row],[BookieOdds]]-LayTable[[#This Row],[BookieInnsats]])*(1-LayTable[[#This Row],[C% Bookie]])</f>
        <v>0</v>
      </c>
      <c r="AA1741" s="43">
        <f>LayTable[[#This Row],[LayInnsats]]*(1-LayTable[[#This Row],[C% Lay]])</f>
        <v>0</v>
      </c>
      <c r="AB1741" s="43" t="str">
        <f>IFERROR(IF(LayTable[[#This Row],[Sport]]="",AB1740,LayTable[[#This Row],[Faktisk res]]+AB1740),"")</f>
        <v/>
      </c>
      <c r="AC1741" s="43">
        <f>(LayTable[[#This Row],[BackWin-Commission]]+LayTable[[#This Row],[BookieInnsats]])</f>
        <v>0</v>
      </c>
      <c r="AD1741" s="43" t="e">
        <f>(LayTable[[#This Row],[LayWin-Commission]])+LayTable[[#This Row],[LayLiability]]</f>
        <v>#VALUE!</v>
      </c>
      <c r="AE1741" s="43"/>
      <c r="AF1741" s="181"/>
    </row>
    <row r="1742" spans="1:32">
      <c r="A1742" s="84"/>
      <c r="B1742" s="39"/>
      <c r="C1742" s="40"/>
      <c r="D1742" s="41"/>
      <c r="E1742" s="40"/>
      <c r="F1742" s="41"/>
      <c r="G1742" s="101"/>
      <c r="H1742" s="38"/>
      <c r="I1742" s="42"/>
      <c r="J1742" s="42"/>
      <c r="K1742" s="43"/>
      <c r="L1742" s="43"/>
      <c r="M1742" s="44" t="str">
        <f>IF(LayTable[[#This Row],[Sport]]="","",LayTable[[#This Row],[LayInnsats]]*(LayTable[[#This Row],[LayOdds]]-1))</f>
        <v/>
      </c>
      <c r="N1742" s="45" t="str">
        <f>IF(LayTable[[#This Row],[Sport]]="","",1/((1/LayTable[[#This Row],[BookieOdds]])+(1/((1/((1+((LayTable[[#This Row],[LayOdds]]-1)*(1+LayTable[[#This Row],[C% Lay]])))-1))+1)))-1)</f>
        <v/>
      </c>
      <c r="Q1742" s="46" t="str">
        <f>IF(LayTable[[#This Row],[Sport]]="","",LayTable[[#This Row],[BookieInnsats]]+LayTable[[#This Row],[LayLiability]])</f>
        <v/>
      </c>
      <c r="R17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2" s="47" t="str">
        <f>IF(LayTable[[#This Row],[Utfall bookie]]="","",LayTable[[#This Row],[WBABack]]+LayTable[[#This Row],[WBALay]]-LayTable[[#This Row],[Total inns]])</f>
        <v/>
      </c>
      <c r="U17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2" s="48" t="str">
        <f>IFERROR(IF(LayTable[[#This Row],[Total inns]]="","",LayTable[[#This Row],[Rback]]/LayTable[[#This Row],[Total inns]]),"")</f>
        <v/>
      </c>
      <c r="X1742" s="48" t="str">
        <f>IFERROR(IF(LayTable[[#This Row],[Total inns]]="","",LayTable[[#This Row],[Rlay]]/LayTable[[#This Row],[Total inns]]),"")</f>
        <v/>
      </c>
      <c r="Y1742" s="48" t="str">
        <f>IFERROR(LayTable[[#This Row],[Faktisk res]]/LayTable[[#This Row],[Total inns]],"")</f>
        <v/>
      </c>
      <c r="Z1742" s="47">
        <f>(LayTable[[#This Row],[BookieInnsats]]*LayTable[[#This Row],[BookieOdds]]-LayTable[[#This Row],[BookieInnsats]])*(1-LayTable[[#This Row],[C% Bookie]])</f>
        <v>0</v>
      </c>
      <c r="AA1742" s="43">
        <f>LayTable[[#This Row],[LayInnsats]]*(1-LayTable[[#This Row],[C% Lay]])</f>
        <v>0</v>
      </c>
      <c r="AB1742" s="43" t="str">
        <f>IFERROR(IF(LayTable[[#This Row],[Sport]]="",AB1741,LayTable[[#This Row],[Faktisk res]]+AB1741),"")</f>
        <v/>
      </c>
      <c r="AC1742" s="43">
        <f>(LayTable[[#This Row],[BackWin-Commission]]+LayTable[[#This Row],[BookieInnsats]])</f>
        <v>0</v>
      </c>
      <c r="AD1742" s="43" t="e">
        <f>(LayTable[[#This Row],[LayWin-Commission]])+LayTable[[#This Row],[LayLiability]]</f>
        <v>#VALUE!</v>
      </c>
      <c r="AE1742" s="43"/>
      <c r="AF1742" s="181"/>
    </row>
    <row r="1743" spans="1:32">
      <c r="A1743" s="84"/>
      <c r="B1743" s="39"/>
      <c r="C1743" s="40"/>
      <c r="D1743" s="41"/>
      <c r="E1743" s="40"/>
      <c r="F1743" s="41"/>
      <c r="G1743" s="101"/>
      <c r="H1743" s="38"/>
      <c r="I1743" s="42"/>
      <c r="J1743" s="42"/>
      <c r="K1743" s="43"/>
      <c r="L1743" s="43"/>
      <c r="M1743" s="44" t="str">
        <f>IF(LayTable[[#This Row],[Sport]]="","",LayTable[[#This Row],[LayInnsats]]*(LayTable[[#This Row],[LayOdds]]-1))</f>
        <v/>
      </c>
      <c r="N1743" s="45" t="str">
        <f>IF(LayTable[[#This Row],[Sport]]="","",1/((1/LayTable[[#This Row],[BookieOdds]])+(1/((1/((1+((LayTable[[#This Row],[LayOdds]]-1)*(1+LayTable[[#This Row],[C% Lay]])))-1))+1)))-1)</f>
        <v/>
      </c>
      <c r="Q1743" s="46" t="str">
        <f>IF(LayTable[[#This Row],[Sport]]="","",LayTable[[#This Row],[BookieInnsats]]+LayTable[[#This Row],[LayLiability]])</f>
        <v/>
      </c>
      <c r="R17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3" s="47" t="str">
        <f>IF(LayTable[[#This Row],[Utfall bookie]]="","",LayTable[[#This Row],[WBABack]]+LayTable[[#This Row],[WBALay]]-LayTable[[#This Row],[Total inns]])</f>
        <v/>
      </c>
      <c r="U17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3" s="48" t="str">
        <f>IFERROR(IF(LayTable[[#This Row],[Total inns]]="","",LayTable[[#This Row],[Rback]]/LayTable[[#This Row],[Total inns]]),"")</f>
        <v/>
      </c>
      <c r="X1743" s="48" t="str">
        <f>IFERROR(IF(LayTable[[#This Row],[Total inns]]="","",LayTable[[#This Row],[Rlay]]/LayTable[[#This Row],[Total inns]]),"")</f>
        <v/>
      </c>
      <c r="Y1743" s="48" t="str">
        <f>IFERROR(LayTable[[#This Row],[Faktisk res]]/LayTable[[#This Row],[Total inns]],"")</f>
        <v/>
      </c>
      <c r="Z1743" s="47">
        <f>(LayTable[[#This Row],[BookieInnsats]]*LayTable[[#This Row],[BookieOdds]]-LayTable[[#This Row],[BookieInnsats]])*(1-LayTable[[#This Row],[C% Bookie]])</f>
        <v>0</v>
      </c>
      <c r="AA1743" s="43">
        <f>LayTable[[#This Row],[LayInnsats]]*(1-LayTable[[#This Row],[C% Lay]])</f>
        <v>0</v>
      </c>
      <c r="AB1743" s="43" t="str">
        <f>IFERROR(IF(LayTable[[#This Row],[Sport]]="",AB1742,LayTable[[#This Row],[Faktisk res]]+AB1742),"")</f>
        <v/>
      </c>
      <c r="AC1743" s="43">
        <f>(LayTable[[#This Row],[BackWin-Commission]]+LayTable[[#This Row],[BookieInnsats]])</f>
        <v>0</v>
      </c>
      <c r="AD1743" s="43" t="e">
        <f>(LayTable[[#This Row],[LayWin-Commission]])+LayTable[[#This Row],[LayLiability]]</f>
        <v>#VALUE!</v>
      </c>
      <c r="AE1743" s="43"/>
      <c r="AF1743" s="181"/>
    </row>
    <row r="1744" spans="1:32">
      <c r="A1744" s="84"/>
      <c r="B1744" s="39"/>
      <c r="C1744" s="40"/>
      <c r="D1744" s="41"/>
      <c r="E1744" s="40"/>
      <c r="F1744" s="41"/>
      <c r="G1744" s="101"/>
      <c r="H1744" s="38"/>
      <c r="I1744" s="42"/>
      <c r="J1744" s="42"/>
      <c r="K1744" s="43"/>
      <c r="L1744" s="43"/>
      <c r="M1744" s="44" t="str">
        <f>IF(LayTable[[#This Row],[Sport]]="","",LayTable[[#This Row],[LayInnsats]]*(LayTable[[#This Row],[LayOdds]]-1))</f>
        <v/>
      </c>
      <c r="N1744" s="45" t="str">
        <f>IF(LayTable[[#This Row],[Sport]]="","",1/((1/LayTable[[#This Row],[BookieOdds]])+(1/((1/((1+((LayTable[[#This Row],[LayOdds]]-1)*(1+LayTable[[#This Row],[C% Lay]])))-1))+1)))-1)</f>
        <v/>
      </c>
      <c r="Q1744" s="46" t="str">
        <f>IF(LayTable[[#This Row],[Sport]]="","",LayTable[[#This Row],[BookieInnsats]]+LayTable[[#This Row],[LayLiability]])</f>
        <v/>
      </c>
      <c r="R17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4" s="47" t="str">
        <f>IF(LayTable[[#This Row],[Utfall bookie]]="","",LayTable[[#This Row],[WBABack]]+LayTable[[#This Row],[WBALay]]-LayTable[[#This Row],[Total inns]])</f>
        <v/>
      </c>
      <c r="U17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4" s="48" t="str">
        <f>IFERROR(IF(LayTable[[#This Row],[Total inns]]="","",LayTable[[#This Row],[Rback]]/LayTable[[#This Row],[Total inns]]),"")</f>
        <v/>
      </c>
      <c r="X1744" s="48" t="str">
        <f>IFERROR(IF(LayTable[[#This Row],[Total inns]]="","",LayTable[[#This Row],[Rlay]]/LayTable[[#This Row],[Total inns]]),"")</f>
        <v/>
      </c>
      <c r="Y1744" s="48" t="str">
        <f>IFERROR(LayTable[[#This Row],[Faktisk res]]/LayTable[[#This Row],[Total inns]],"")</f>
        <v/>
      </c>
      <c r="Z1744" s="47">
        <f>(LayTable[[#This Row],[BookieInnsats]]*LayTable[[#This Row],[BookieOdds]]-LayTable[[#This Row],[BookieInnsats]])*(1-LayTable[[#This Row],[C% Bookie]])</f>
        <v>0</v>
      </c>
      <c r="AA1744" s="43">
        <f>LayTable[[#This Row],[LayInnsats]]*(1-LayTable[[#This Row],[C% Lay]])</f>
        <v>0</v>
      </c>
      <c r="AB1744" s="43" t="str">
        <f>IFERROR(IF(LayTable[[#This Row],[Sport]]="",AB1743,LayTable[[#This Row],[Faktisk res]]+AB1743),"")</f>
        <v/>
      </c>
      <c r="AC1744" s="43">
        <f>(LayTable[[#This Row],[BackWin-Commission]]+LayTable[[#This Row],[BookieInnsats]])</f>
        <v>0</v>
      </c>
      <c r="AD1744" s="43" t="e">
        <f>(LayTable[[#This Row],[LayWin-Commission]])+LayTable[[#This Row],[LayLiability]]</f>
        <v>#VALUE!</v>
      </c>
      <c r="AE1744" s="43"/>
      <c r="AF1744" s="181"/>
    </row>
    <row r="1745" spans="1:32">
      <c r="A1745" s="84"/>
      <c r="B1745" s="39"/>
      <c r="C1745" s="40"/>
      <c r="D1745" s="41"/>
      <c r="E1745" s="40"/>
      <c r="F1745" s="41"/>
      <c r="G1745" s="101"/>
      <c r="H1745" s="38"/>
      <c r="I1745" s="42"/>
      <c r="J1745" s="42"/>
      <c r="K1745" s="43"/>
      <c r="L1745" s="43"/>
      <c r="M1745" s="44" t="str">
        <f>IF(LayTable[[#This Row],[Sport]]="","",LayTable[[#This Row],[LayInnsats]]*(LayTable[[#This Row],[LayOdds]]-1))</f>
        <v/>
      </c>
      <c r="N1745" s="45" t="str">
        <f>IF(LayTable[[#This Row],[Sport]]="","",1/((1/LayTable[[#This Row],[BookieOdds]])+(1/((1/((1+((LayTable[[#This Row],[LayOdds]]-1)*(1+LayTable[[#This Row],[C% Lay]])))-1))+1)))-1)</f>
        <v/>
      </c>
      <c r="Q1745" s="46" t="str">
        <f>IF(LayTable[[#This Row],[Sport]]="","",LayTable[[#This Row],[BookieInnsats]]+LayTable[[#This Row],[LayLiability]])</f>
        <v/>
      </c>
      <c r="R17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5" s="47" t="str">
        <f>IF(LayTable[[#This Row],[Utfall bookie]]="","",LayTable[[#This Row],[WBABack]]+LayTable[[#This Row],[WBALay]]-LayTable[[#This Row],[Total inns]])</f>
        <v/>
      </c>
      <c r="U17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5" s="48" t="str">
        <f>IFERROR(IF(LayTable[[#This Row],[Total inns]]="","",LayTable[[#This Row],[Rback]]/LayTable[[#This Row],[Total inns]]),"")</f>
        <v/>
      </c>
      <c r="X1745" s="48" t="str">
        <f>IFERROR(IF(LayTable[[#This Row],[Total inns]]="","",LayTable[[#This Row],[Rlay]]/LayTable[[#This Row],[Total inns]]),"")</f>
        <v/>
      </c>
      <c r="Y1745" s="48" t="str">
        <f>IFERROR(LayTable[[#This Row],[Faktisk res]]/LayTable[[#This Row],[Total inns]],"")</f>
        <v/>
      </c>
      <c r="Z1745" s="47">
        <f>(LayTable[[#This Row],[BookieInnsats]]*LayTable[[#This Row],[BookieOdds]]-LayTable[[#This Row],[BookieInnsats]])*(1-LayTable[[#This Row],[C% Bookie]])</f>
        <v>0</v>
      </c>
      <c r="AA1745" s="43">
        <f>LayTable[[#This Row],[LayInnsats]]*(1-LayTable[[#This Row],[C% Lay]])</f>
        <v>0</v>
      </c>
      <c r="AB1745" s="43" t="str">
        <f>IFERROR(IF(LayTable[[#This Row],[Sport]]="",AB1744,LayTable[[#This Row],[Faktisk res]]+AB1744),"")</f>
        <v/>
      </c>
      <c r="AC1745" s="43">
        <f>(LayTable[[#This Row],[BackWin-Commission]]+LayTable[[#This Row],[BookieInnsats]])</f>
        <v>0</v>
      </c>
      <c r="AD1745" s="43" t="e">
        <f>(LayTable[[#This Row],[LayWin-Commission]])+LayTable[[#This Row],[LayLiability]]</f>
        <v>#VALUE!</v>
      </c>
      <c r="AE1745" s="43"/>
      <c r="AF1745" s="181"/>
    </row>
    <row r="1746" spans="1:32">
      <c r="A1746" s="84"/>
      <c r="B1746" s="39"/>
      <c r="C1746" s="40"/>
      <c r="D1746" s="41"/>
      <c r="E1746" s="40"/>
      <c r="F1746" s="41"/>
      <c r="G1746" s="101"/>
      <c r="H1746" s="38"/>
      <c r="I1746" s="42"/>
      <c r="J1746" s="42"/>
      <c r="K1746" s="43"/>
      <c r="L1746" s="43"/>
      <c r="M1746" s="44" t="str">
        <f>IF(LayTable[[#This Row],[Sport]]="","",LayTable[[#This Row],[LayInnsats]]*(LayTable[[#This Row],[LayOdds]]-1))</f>
        <v/>
      </c>
      <c r="N1746" s="45" t="str">
        <f>IF(LayTable[[#This Row],[Sport]]="","",1/((1/LayTable[[#This Row],[BookieOdds]])+(1/((1/((1+((LayTable[[#This Row],[LayOdds]]-1)*(1+LayTable[[#This Row],[C% Lay]])))-1))+1)))-1)</f>
        <v/>
      </c>
      <c r="Q1746" s="46" t="str">
        <f>IF(LayTable[[#This Row],[Sport]]="","",LayTable[[#This Row],[BookieInnsats]]+LayTable[[#This Row],[LayLiability]])</f>
        <v/>
      </c>
      <c r="R17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6" s="47" t="str">
        <f>IF(LayTable[[#This Row],[Utfall bookie]]="","",LayTable[[#This Row],[WBABack]]+LayTable[[#This Row],[WBALay]]-LayTable[[#This Row],[Total inns]])</f>
        <v/>
      </c>
      <c r="U17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6" s="48" t="str">
        <f>IFERROR(IF(LayTable[[#This Row],[Total inns]]="","",LayTable[[#This Row],[Rback]]/LayTable[[#This Row],[Total inns]]),"")</f>
        <v/>
      </c>
      <c r="X1746" s="48" t="str">
        <f>IFERROR(IF(LayTable[[#This Row],[Total inns]]="","",LayTable[[#This Row],[Rlay]]/LayTable[[#This Row],[Total inns]]),"")</f>
        <v/>
      </c>
      <c r="Y1746" s="48" t="str">
        <f>IFERROR(LayTable[[#This Row],[Faktisk res]]/LayTable[[#This Row],[Total inns]],"")</f>
        <v/>
      </c>
      <c r="Z1746" s="47">
        <f>(LayTable[[#This Row],[BookieInnsats]]*LayTable[[#This Row],[BookieOdds]]-LayTable[[#This Row],[BookieInnsats]])*(1-LayTable[[#This Row],[C% Bookie]])</f>
        <v>0</v>
      </c>
      <c r="AA1746" s="43">
        <f>LayTable[[#This Row],[LayInnsats]]*(1-LayTable[[#This Row],[C% Lay]])</f>
        <v>0</v>
      </c>
      <c r="AB1746" s="43" t="str">
        <f>IFERROR(IF(LayTable[[#This Row],[Sport]]="",AB1745,LayTable[[#This Row],[Faktisk res]]+AB1745),"")</f>
        <v/>
      </c>
      <c r="AC1746" s="43">
        <f>(LayTable[[#This Row],[BackWin-Commission]]+LayTable[[#This Row],[BookieInnsats]])</f>
        <v>0</v>
      </c>
      <c r="AD1746" s="43" t="e">
        <f>(LayTable[[#This Row],[LayWin-Commission]])+LayTable[[#This Row],[LayLiability]]</f>
        <v>#VALUE!</v>
      </c>
      <c r="AE1746" s="43"/>
      <c r="AF1746" s="181"/>
    </row>
    <row r="1747" spans="1:32">
      <c r="A1747" s="84"/>
      <c r="B1747" s="39"/>
      <c r="C1747" s="40"/>
      <c r="D1747" s="41"/>
      <c r="E1747" s="40"/>
      <c r="F1747" s="41"/>
      <c r="G1747" s="101"/>
      <c r="H1747" s="38"/>
      <c r="I1747" s="42"/>
      <c r="J1747" s="42"/>
      <c r="K1747" s="43"/>
      <c r="L1747" s="43"/>
      <c r="M1747" s="44" t="str">
        <f>IF(LayTable[[#This Row],[Sport]]="","",LayTable[[#This Row],[LayInnsats]]*(LayTable[[#This Row],[LayOdds]]-1))</f>
        <v/>
      </c>
      <c r="N1747" s="45" t="str">
        <f>IF(LayTable[[#This Row],[Sport]]="","",1/((1/LayTable[[#This Row],[BookieOdds]])+(1/((1/((1+((LayTable[[#This Row],[LayOdds]]-1)*(1+LayTable[[#This Row],[C% Lay]])))-1))+1)))-1)</f>
        <v/>
      </c>
      <c r="Q1747" s="46" t="str">
        <f>IF(LayTable[[#This Row],[Sport]]="","",LayTable[[#This Row],[BookieInnsats]]+LayTable[[#This Row],[LayLiability]])</f>
        <v/>
      </c>
      <c r="R17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7" s="47" t="str">
        <f>IF(LayTable[[#This Row],[Utfall bookie]]="","",LayTable[[#This Row],[WBABack]]+LayTable[[#This Row],[WBALay]]-LayTable[[#This Row],[Total inns]])</f>
        <v/>
      </c>
      <c r="U17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7" s="48" t="str">
        <f>IFERROR(IF(LayTable[[#This Row],[Total inns]]="","",LayTable[[#This Row],[Rback]]/LayTable[[#This Row],[Total inns]]),"")</f>
        <v/>
      </c>
      <c r="X1747" s="48" t="str">
        <f>IFERROR(IF(LayTable[[#This Row],[Total inns]]="","",LayTable[[#This Row],[Rlay]]/LayTable[[#This Row],[Total inns]]),"")</f>
        <v/>
      </c>
      <c r="Y1747" s="48" t="str">
        <f>IFERROR(LayTable[[#This Row],[Faktisk res]]/LayTable[[#This Row],[Total inns]],"")</f>
        <v/>
      </c>
      <c r="Z1747" s="47">
        <f>(LayTable[[#This Row],[BookieInnsats]]*LayTable[[#This Row],[BookieOdds]]-LayTable[[#This Row],[BookieInnsats]])*(1-LayTable[[#This Row],[C% Bookie]])</f>
        <v>0</v>
      </c>
      <c r="AA1747" s="43">
        <f>LayTable[[#This Row],[LayInnsats]]*(1-LayTable[[#This Row],[C% Lay]])</f>
        <v>0</v>
      </c>
      <c r="AB1747" s="43" t="str">
        <f>IFERROR(IF(LayTable[[#This Row],[Sport]]="",AB1746,LayTable[[#This Row],[Faktisk res]]+AB1746),"")</f>
        <v/>
      </c>
      <c r="AC1747" s="43">
        <f>(LayTable[[#This Row],[BackWin-Commission]]+LayTable[[#This Row],[BookieInnsats]])</f>
        <v>0</v>
      </c>
      <c r="AD1747" s="43" t="e">
        <f>(LayTable[[#This Row],[LayWin-Commission]])+LayTable[[#This Row],[LayLiability]]</f>
        <v>#VALUE!</v>
      </c>
      <c r="AE1747" s="43"/>
      <c r="AF1747" s="181"/>
    </row>
    <row r="1748" spans="1:32">
      <c r="A1748" s="84"/>
      <c r="B1748" s="39"/>
      <c r="C1748" s="40"/>
      <c r="D1748" s="41"/>
      <c r="E1748" s="40"/>
      <c r="F1748" s="41"/>
      <c r="G1748" s="101"/>
      <c r="H1748" s="38"/>
      <c r="I1748" s="42"/>
      <c r="J1748" s="42"/>
      <c r="K1748" s="43"/>
      <c r="L1748" s="43"/>
      <c r="M1748" s="44" t="str">
        <f>IF(LayTable[[#This Row],[Sport]]="","",LayTable[[#This Row],[LayInnsats]]*(LayTable[[#This Row],[LayOdds]]-1))</f>
        <v/>
      </c>
      <c r="N1748" s="45" t="str">
        <f>IF(LayTable[[#This Row],[Sport]]="","",1/((1/LayTable[[#This Row],[BookieOdds]])+(1/((1/((1+((LayTable[[#This Row],[LayOdds]]-1)*(1+LayTable[[#This Row],[C% Lay]])))-1))+1)))-1)</f>
        <v/>
      </c>
      <c r="Q1748" s="46" t="str">
        <f>IF(LayTable[[#This Row],[Sport]]="","",LayTable[[#This Row],[BookieInnsats]]+LayTable[[#This Row],[LayLiability]])</f>
        <v/>
      </c>
      <c r="R17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8" s="47" t="str">
        <f>IF(LayTable[[#This Row],[Utfall bookie]]="","",LayTable[[#This Row],[WBABack]]+LayTable[[#This Row],[WBALay]]-LayTable[[#This Row],[Total inns]])</f>
        <v/>
      </c>
      <c r="U17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8" s="48" t="str">
        <f>IFERROR(IF(LayTable[[#This Row],[Total inns]]="","",LayTable[[#This Row],[Rback]]/LayTable[[#This Row],[Total inns]]),"")</f>
        <v/>
      </c>
      <c r="X1748" s="48" t="str">
        <f>IFERROR(IF(LayTable[[#This Row],[Total inns]]="","",LayTable[[#This Row],[Rlay]]/LayTable[[#This Row],[Total inns]]),"")</f>
        <v/>
      </c>
      <c r="Y1748" s="48" t="str">
        <f>IFERROR(LayTable[[#This Row],[Faktisk res]]/LayTable[[#This Row],[Total inns]],"")</f>
        <v/>
      </c>
      <c r="Z1748" s="47">
        <f>(LayTable[[#This Row],[BookieInnsats]]*LayTable[[#This Row],[BookieOdds]]-LayTable[[#This Row],[BookieInnsats]])*(1-LayTable[[#This Row],[C% Bookie]])</f>
        <v>0</v>
      </c>
      <c r="AA1748" s="43">
        <f>LayTable[[#This Row],[LayInnsats]]*(1-LayTable[[#This Row],[C% Lay]])</f>
        <v>0</v>
      </c>
      <c r="AB1748" s="43" t="str">
        <f>IFERROR(IF(LayTable[[#This Row],[Sport]]="",AB1747,LayTable[[#This Row],[Faktisk res]]+AB1747),"")</f>
        <v/>
      </c>
      <c r="AC1748" s="43">
        <f>(LayTable[[#This Row],[BackWin-Commission]]+LayTable[[#This Row],[BookieInnsats]])</f>
        <v>0</v>
      </c>
      <c r="AD1748" s="43" t="e">
        <f>(LayTable[[#This Row],[LayWin-Commission]])+LayTable[[#This Row],[LayLiability]]</f>
        <v>#VALUE!</v>
      </c>
      <c r="AE1748" s="43"/>
      <c r="AF1748" s="181"/>
    </row>
    <row r="1749" spans="1:32">
      <c r="A1749" s="84"/>
      <c r="B1749" s="39"/>
      <c r="C1749" s="40"/>
      <c r="D1749" s="41"/>
      <c r="E1749" s="40"/>
      <c r="F1749" s="41"/>
      <c r="G1749" s="101"/>
      <c r="H1749" s="38"/>
      <c r="I1749" s="42"/>
      <c r="J1749" s="42"/>
      <c r="K1749" s="43"/>
      <c r="L1749" s="43"/>
      <c r="M1749" s="44" t="str">
        <f>IF(LayTable[[#This Row],[Sport]]="","",LayTable[[#This Row],[LayInnsats]]*(LayTable[[#This Row],[LayOdds]]-1))</f>
        <v/>
      </c>
      <c r="N1749" s="45" t="str">
        <f>IF(LayTable[[#This Row],[Sport]]="","",1/((1/LayTable[[#This Row],[BookieOdds]])+(1/((1/((1+((LayTable[[#This Row],[LayOdds]]-1)*(1+LayTable[[#This Row],[C% Lay]])))-1))+1)))-1)</f>
        <v/>
      </c>
      <c r="Q1749" s="46" t="str">
        <f>IF(LayTable[[#This Row],[Sport]]="","",LayTable[[#This Row],[BookieInnsats]]+LayTable[[#This Row],[LayLiability]])</f>
        <v/>
      </c>
      <c r="R17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49" s="47" t="str">
        <f>IF(LayTable[[#This Row],[Utfall bookie]]="","",LayTable[[#This Row],[WBABack]]+LayTable[[#This Row],[WBALay]]-LayTable[[#This Row],[Total inns]])</f>
        <v/>
      </c>
      <c r="U17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49" s="48" t="str">
        <f>IFERROR(IF(LayTable[[#This Row],[Total inns]]="","",LayTable[[#This Row],[Rback]]/LayTable[[#This Row],[Total inns]]),"")</f>
        <v/>
      </c>
      <c r="X1749" s="48" t="str">
        <f>IFERROR(IF(LayTable[[#This Row],[Total inns]]="","",LayTable[[#This Row],[Rlay]]/LayTable[[#This Row],[Total inns]]),"")</f>
        <v/>
      </c>
      <c r="Y1749" s="48" t="str">
        <f>IFERROR(LayTable[[#This Row],[Faktisk res]]/LayTable[[#This Row],[Total inns]],"")</f>
        <v/>
      </c>
      <c r="Z1749" s="47">
        <f>(LayTable[[#This Row],[BookieInnsats]]*LayTable[[#This Row],[BookieOdds]]-LayTable[[#This Row],[BookieInnsats]])*(1-LayTable[[#This Row],[C% Bookie]])</f>
        <v>0</v>
      </c>
      <c r="AA1749" s="43">
        <f>LayTable[[#This Row],[LayInnsats]]*(1-LayTable[[#This Row],[C% Lay]])</f>
        <v>0</v>
      </c>
      <c r="AB1749" s="43" t="str">
        <f>IFERROR(IF(LayTable[[#This Row],[Sport]]="",AB1748,LayTable[[#This Row],[Faktisk res]]+AB1748),"")</f>
        <v/>
      </c>
      <c r="AC1749" s="43">
        <f>(LayTable[[#This Row],[BackWin-Commission]]+LayTable[[#This Row],[BookieInnsats]])</f>
        <v>0</v>
      </c>
      <c r="AD1749" s="43" t="e">
        <f>(LayTable[[#This Row],[LayWin-Commission]])+LayTable[[#This Row],[LayLiability]]</f>
        <v>#VALUE!</v>
      </c>
      <c r="AE1749" s="43"/>
      <c r="AF1749" s="181"/>
    </row>
    <row r="1750" spans="1:32">
      <c r="A1750" s="84"/>
      <c r="B1750" s="39"/>
      <c r="C1750" s="40"/>
      <c r="D1750" s="41"/>
      <c r="E1750" s="40"/>
      <c r="F1750" s="41"/>
      <c r="G1750" s="101"/>
      <c r="H1750" s="38"/>
      <c r="I1750" s="42"/>
      <c r="J1750" s="42"/>
      <c r="K1750" s="43"/>
      <c r="L1750" s="43"/>
      <c r="M1750" s="44" t="str">
        <f>IF(LayTable[[#This Row],[Sport]]="","",LayTable[[#This Row],[LayInnsats]]*(LayTable[[#This Row],[LayOdds]]-1))</f>
        <v/>
      </c>
      <c r="N1750" s="45" t="str">
        <f>IF(LayTable[[#This Row],[Sport]]="","",1/((1/LayTable[[#This Row],[BookieOdds]])+(1/((1/((1+((LayTable[[#This Row],[LayOdds]]-1)*(1+LayTable[[#This Row],[C% Lay]])))-1))+1)))-1)</f>
        <v/>
      </c>
      <c r="Q1750" s="46" t="str">
        <f>IF(LayTable[[#This Row],[Sport]]="","",LayTable[[#This Row],[BookieInnsats]]+LayTable[[#This Row],[LayLiability]])</f>
        <v/>
      </c>
      <c r="R17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0" s="47" t="str">
        <f>IF(LayTable[[#This Row],[Utfall bookie]]="","",LayTable[[#This Row],[WBABack]]+LayTable[[#This Row],[WBALay]]-LayTable[[#This Row],[Total inns]])</f>
        <v/>
      </c>
      <c r="U17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0" s="48" t="str">
        <f>IFERROR(IF(LayTable[[#This Row],[Total inns]]="","",LayTable[[#This Row],[Rback]]/LayTable[[#This Row],[Total inns]]),"")</f>
        <v/>
      </c>
      <c r="X1750" s="48" t="str">
        <f>IFERROR(IF(LayTable[[#This Row],[Total inns]]="","",LayTable[[#This Row],[Rlay]]/LayTable[[#This Row],[Total inns]]),"")</f>
        <v/>
      </c>
      <c r="Y1750" s="48" t="str">
        <f>IFERROR(LayTable[[#This Row],[Faktisk res]]/LayTable[[#This Row],[Total inns]],"")</f>
        <v/>
      </c>
      <c r="Z1750" s="47">
        <f>(LayTable[[#This Row],[BookieInnsats]]*LayTable[[#This Row],[BookieOdds]]-LayTable[[#This Row],[BookieInnsats]])*(1-LayTable[[#This Row],[C% Bookie]])</f>
        <v>0</v>
      </c>
      <c r="AA1750" s="43">
        <f>LayTable[[#This Row],[LayInnsats]]*(1-LayTable[[#This Row],[C% Lay]])</f>
        <v>0</v>
      </c>
      <c r="AB1750" s="43" t="str">
        <f>IFERROR(IF(LayTable[[#This Row],[Sport]]="",AB1749,LayTable[[#This Row],[Faktisk res]]+AB1749),"")</f>
        <v/>
      </c>
      <c r="AC1750" s="43">
        <f>(LayTable[[#This Row],[BackWin-Commission]]+LayTable[[#This Row],[BookieInnsats]])</f>
        <v>0</v>
      </c>
      <c r="AD1750" s="43" t="e">
        <f>(LayTable[[#This Row],[LayWin-Commission]])+LayTable[[#This Row],[LayLiability]]</f>
        <v>#VALUE!</v>
      </c>
      <c r="AE1750" s="43"/>
      <c r="AF1750" s="181"/>
    </row>
    <row r="1751" spans="1:32">
      <c r="A1751" s="84"/>
      <c r="B1751" s="39"/>
      <c r="C1751" s="40"/>
      <c r="D1751" s="41"/>
      <c r="E1751" s="40"/>
      <c r="F1751" s="41"/>
      <c r="G1751" s="101"/>
      <c r="H1751" s="38"/>
      <c r="I1751" s="42"/>
      <c r="J1751" s="42"/>
      <c r="K1751" s="43"/>
      <c r="L1751" s="43"/>
      <c r="M1751" s="44" t="str">
        <f>IF(LayTable[[#This Row],[Sport]]="","",LayTable[[#This Row],[LayInnsats]]*(LayTable[[#This Row],[LayOdds]]-1))</f>
        <v/>
      </c>
      <c r="N1751" s="45" t="str">
        <f>IF(LayTable[[#This Row],[Sport]]="","",1/((1/LayTable[[#This Row],[BookieOdds]])+(1/((1/((1+((LayTable[[#This Row],[LayOdds]]-1)*(1+LayTable[[#This Row],[C% Lay]])))-1))+1)))-1)</f>
        <v/>
      </c>
      <c r="Q1751" s="46" t="str">
        <f>IF(LayTable[[#This Row],[Sport]]="","",LayTable[[#This Row],[BookieInnsats]]+LayTable[[#This Row],[LayLiability]])</f>
        <v/>
      </c>
      <c r="R17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1" s="47" t="str">
        <f>IF(LayTable[[#This Row],[Utfall bookie]]="","",LayTable[[#This Row],[WBABack]]+LayTable[[#This Row],[WBALay]]-LayTable[[#This Row],[Total inns]])</f>
        <v/>
      </c>
      <c r="U17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1" s="48" t="str">
        <f>IFERROR(IF(LayTable[[#This Row],[Total inns]]="","",LayTable[[#This Row],[Rback]]/LayTable[[#This Row],[Total inns]]),"")</f>
        <v/>
      </c>
      <c r="X1751" s="48" t="str">
        <f>IFERROR(IF(LayTable[[#This Row],[Total inns]]="","",LayTable[[#This Row],[Rlay]]/LayTable[[#This Row],[Total inns]]),"")</f>
        <v/>
      </c>
      <c r="Y1751" s="48" t="str">
        <f>IFERROR(LayTable[[#This Row],[Faktisk res]]/LayTable[[#This Row],[Total inns]],"")</f>
        <v/>
      </c>
      <c r="Z1751" s="47">
        <f>(LayTable[[#This Row],[BookieInnsats]]*LayTable[[#This Row],[BookieOdds]]-LayTable[[#This Row],[BookieInnsats]])*(1-LayTable[[#This Row],[C% Bookie]])</f>
        <v>0</v>
      </c>
      <c r="AA1751" s="43">
        <f>LayTable[[#This Row],[LayInnsats]]*(1-LayTable[[#This Row],[C% Lay]])</f>
        <v>0</v>
      </c>
      <c r="AB1751" s="43" t="str">
        <f>IFERROR(IF(LayTable[[#This Row],[Sport]]="",AB1750,LayTable[[#This Row],[Faktisk res]]+AB1750),"")</f>
        <v/>
      </c>
      <c r="AC1751" s="43">
        <f>(LayTable[[#This Row],[BackWin-Commission]]+LayTable[[#This Row],[BookieInnsats]])</f>
        <v>0</v>
      </c>
      <c r="AD1751" s="43" t="e">
        <f>(LayTable[[#This Row],[LayWin-Commission]])+LayTable[[#This Row],[LayLiability]]</f>
        <v>#VALUE!</v>
      </c>
      <c r="AE1751" s="43"/>
      <c r="AF1751" s="181"/>
    </row>
    <row r="1752" spans="1:32">
      <c r="A1752" s="84"/>
      <c r="B1752" s="39"/>
      <c r="C1752" s="40"/>
      <c r="D1752" s="41"/>
      <c r="E1752" s="40"/>
      <c r="F1752" s="41"/>
      <c r="G1752" s="101"/>
      <c r="H1752" s="38"/>
      <c r="I1752" s="42"/>
      <c r="J1752" s="42"/>
      <c r="K1752" s="43"/>
      <c r="L1752" s="43"/>
      <c r="M1752" s="44" t="str">
        <f>IF(LayTable[[#This Row],[Sport]]="","",LayTable[[#This Row],[LayInnsats]]*(LayTable[[#This Row],[LayOdds]]-1))</f>
        <v/>
      </c>
      <c r="N1752" s="45" t="str">
        <f>IF(LayTable[[#This Row],[Sport]]="","",1/((1/LayTable[[#This Row],[BookieOdds]])+(1/((1/((1+((LayTable[[#This Row],[LayOdds]]-1)*(1+LayTable[[#This Row],[C% Lay]])))-1))+1)))-1)</f>
        <v/>
      </c>
      <c r="Q1752" s="46" t="str">
        <f>IF(LayTable[[#This Row],[Sport]]="","",LayTable[[#This Row],[BookieInnsats]]+LayTable[[#This Row],[LayLiability]])</f>
        <v/>
      </c>
      <c r="R17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2" s="47" t="str">
        <f>IF(LayTable[[#This Row],[Utfall bookie]]="","",LayTable[[#This Row],[WBABack]]+LayTable[[#This Row],[WBALay]]-LayTable[[#This Row],[Total inns]])</f>
        <v/>
      </c>
      <c r="U17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2" s="48" t="str">
        <f>IFERROR(IF(LayTable[[#This Row],[Total inns]]="","",LayTable[[#This Row],[Rback]]/LayTable[[#This Row],[Total inns]]),"")</f>
        <v/>
      </c>
      <c r="X1752" s="48" t="str">
        <f>IFERROR(IF(LayTable[[#This Row],[Total inns]]="","",LayTable[[#This Row],[Rlay]]/LayTable[[#This Row],[Total inns]]),"")</f>
        <v/>
      </c>
      <c r="Y1752" s="48" t="str">
        <f>IFERROR(LayTable[[#This Row],[Faktisk res]]/LayTable[[#This Row],[Total inns]],"")</f>
        <v/>
      </c>
      <c r="Z1752" s="47">
        <f>(LayTable[[#This Row],[BookieInnsats]]*LayTable[[#This Row],[BookieOdds]]-LayTable[[#This Row],[BookieInnsats]])*(1-LayTable[[#This Row],[C% Bookie]])</f>
        <v>0</v>
      </c>
      <c r="AA1752" s="43">
        <f>LayTable[[#This Row],[LayInnsats]]*(1-LayTable[[#This Row],[C% Lay]])</f>
        <v>0</v>
      </c>
      <c r="AB1752" s="43" t="str">
        <f>IFERROR(IF(LayTable[[#This Row],[Sport]]="",AB1751,LayTable[[#This Row],[Faktisk res]]+AB1751),"")</f>
        <v/>
      </c>
      <c r="AC1752" s="43">
        <f>(LayTable[[#This Row],[BackWin-Commission]]+LayTable[[#This Row],[BookieInnsats]])</f>
        <v>0</v>
      </c>
      <c r="AD1752" s="43" t="e">
        <f>(LayTable[[#This Row],[LayWin-Commission]])+LayTable[[#This Row],[LayLiability]]</f>
        <v>#VALUE!</v>
      </c>
      <c r="AE1752" s="43"/>
      <c r="AF1752" s="181"/>
    </row>
    <row r="1753" spans="1:32">
      <c r="A1753" s="84"/>
      <c r="B1753" s="39"/>
      <c r="C1753" s="40"/>
      <c r="D1753" s="41"/>
      <c r="E1753" s="40"/>
      <c r="F1753" s="41"/>
      <c r="G1753" s="101"/>
      <c r="H1753" s="38"/>
      <c r="I1753" s="42"/>
      <c r="J1753" s="42"/>
      <c r="K1753" s="43"/>
      <c r="L1753" s="43"/>
      <c r="M1753" s="44" t="str">
        <f>IF(LayTable[[#This Row],[Sport]]="","",LayTable[[#This Row],[LayInnsats]]*(LayTable[[#This Row],[LayOdds]]-1))</f>
        <v/>
      </c>
      <c r="N1753" s="45" t="str">
        <f>IF(LayTable[[#This Row],[Sport]]="","",1/((1/LayTable[[#This Row],[BookieOdds]])+(1/((1/((1+((LayTable[[#This Row],[LayOdds]]-1)*(1+LayTable[[#This Row],[C% Lay]])))-1))+1)))-1)</f>
        <v/>
      </c>
      <c r="Q1753" s="46" t="str">
        <f>IF(LayTable[[#This Row],[Sport]]="","",LayTable[[#This Row],[BookieInnsats]]+LayTable[[#This Row],[LayLiability]])</f>
        <v/>
      </c>
      <c r="R17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3" s="47" t="str">
        <f>IF(LayTable[[#This Row],[Utfall bookie]]="","",LayTable[[#This Row],[WBABack]]+LayTable[[#This Row],[WBALay]]-LayTable[[#This Row],[Total inns]])</f>
        <v/>
      </c>
      <c r="U17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3" s="48" t="str">
        <f>IFERROR(IF(LayTable[[#This Row],[Total inns]]="","",LayTable[[#This Row],[Rback]]/LayTable[[#This Row],[Total inns]]),"")</f>
        <v/>
      </c>
      <c r="X1753" s="48" t="str">
        <f>IFERROR(IF(LayTable[[#This Row],[Total inns]]="","",LayTable[[#This Row],[Rlay]]/LayTable[[#This Row],[Total inns]]),"")</f>
        <v/>
      </c>
      <c r="Y1753" s="48" t="str">
        <f>IFERROR(LayTable[[#This Row],[Faktisk res]]/LayTable[[#This Row],[Total inns]],"")</f>
        <v/>
      </c>
      <c r="Z1753" s="47">
        <f>(LayTable[[#This Row],[BookieInnsats]]*LayTable[[#This Row],[BookieOdds]]-LayTable[[#This Row],[BookieInnsats]])*(1-LayTable[[#This Row],[C% Bookie]])</f>
        <v>0</v>
      </c>
      <c r="AA1753" s="43">
        <f>LayTable[[#This Row],[LayInnsats]]*(1-LayTable[[#This Row],[C% Lay]])</f>
        <v>0</v>
      </c>
      <c r="AB1753" s="43" t="str">
        <f>IFERROR(IF(LayTable[[#This Row],[Sport]]="",AB1752,LayTable[[#This Row],[Faktisk res]]+AB1752),"")</f>
        <v/>
      </c>
      <c r="AC1753" s="43">
        <f>(LayTable[[#This Row],[BackWin-Commission]]+LayTable[[#This Row],[BookieInnsats]])</f>
        <v>0</v>
      </c>
      <c r="AD1753" s="43" t="e">
        <f>(LayTable[[#This Row],[LayWin-Commission]])+LayTable[[#This Row],[LayLiability]]</f>
        <v>#VALUE!</v>
      </c>
      <c r="AE1753" s="43"/>
      <c r="AF1753" s="181"/>
    </row>
    <row r="1754" spans="1:32">
      <c r="A1754" s="84"/>
      <c r="B1754" s="39"/>
      <c r="C1754" s="40"/>
      <c r="D1754" s="41"/>
      <c r="E1754" s="40"/>
      <c r="F1754" s="41"/>
      <c r="G1754" s="101"/>
      <c r="H1754" s="38"/>
      <c r="I1754" s="42"/>
      <c r="J1754" s="42"/>
      <c r="K1754" s="43"/>
      <c r="L1754" s="43"/>
      <c r="M1754" s="44" t="str">
        <f>IF(LayTable[[#This Row],[Sport]]="","",LayTable[[#This Row],[LayInnsats]]*(LayTable[[#This Row],[LayOdds]]-1))</f>
        <v/>
      </c>
      <c r="N1754" s="45" t="str">
        <f>IF(LayTable[[#This Row],[Sport]]="","",1/((1/LayTable[[#This Row],[BookieOdds]])+(1/((1/((1+((LayTable[[#This Row],[LayOdds]]-1)*(1+LayTable[[#This Row],[C% Lay]])))-1))+1)))-1)</f>
        <v/>
      </c>
      <c r="Q1754" s="46" t="str">
        <f>IF(LayTable[[#This Row],[Sport]]="","",LayTable[[#This Row],[BookieInnsats]]+LayTable[[#This Row],[LayLiability]])</f>
        <v/>
      </c>
      <c r="R17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4" s="47" t="str">
        <f>IF(LayTable[[#This Row],[Utfall bookie]]="","",LayTable[[#This Row],[WBABack]]+LayTable[[#This Row],[WBALay]]-LayTable[[#This Row],[Total inns]])</f>
        <v/>
      </c>
      <c r="U17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4" s="48" t="str">
        <f>IFERROR(IF(LayTable[[#This Row],[Total inns]]="","",LayTable[[#This Row],[Rback]]/LayTable[[#This Row],[Total inns]]),"")</f>
        <v/>
      </c>
      <c r="X1754" s="48" t="str">
        <f>IFERROR(IF(LayTable[[#This Row],[Total inns]]="","",LayTable[[#This Row],[Rlay]]/LayTable[[#This Row],[Total inns]]),"")</f>
        <v/>
      </c>
      <c r="Y1754" s="48" t="str">
        <f>IFERROR(LayTable[[#This Row],[Faktisk res]]/LayTable[[#This Row],[Total inns]],"")</f>
        <v/>
      </c>
      <c r="Z1754" s="47">
        <f>(LayTable[[#This Row],[BookieInnsats]]*LayTable[[#This Row],[BookieOdds]]-LayTable[[#This Row],[BookieInnsats]])*(1-LayTable[[#This Row],[C% Bookie]])</f>
        <v>0</v>
      </c>
      <c r="AA1754" s="43">
        <f>LayTable[[#This Row],[LayInnsats]]*(1-LayTable[[#This Row],[C% Lay]])</f>
        <v>0</v>
      </c>
      <c r="AB1754" s="43" t="str">
        <f>IFERROR(IF(LayTable[[#This Row],[Sport]]="",AB1753,LayTable[[#This Row],[Faktisk res]]+AB1753),"")</f>
        <v/>
      </c>
      <c r="AC1754" s="43">
        <f>(LayTable[[#This Row],[BackWin-Commission]]+LayTable[[#This Row],[BookieInnsats]])</f>
        <v>0</v>
      </c>
      <c r="AD1754" s="43" t="e">
        <f>(LayTable[[#This Row],[LayWin-Commission]])+LayTable[[#This Row],[LayLiability]]</f>
        <v>#VALUE!</v>
      </c>
      <c r="AE1754" s="43"/>
      <c r="AF1754" s="181"/>
    </row>
    <row r="1755" spans="1:32">
      <c r="A1755" s="84"/>
      <c r="B1755" s="39"/>
      <c r="C1755" s="40"/>
      <c r="D1755" s="41"/>
      <c r="E1755" s="40"/>
      <c r="F1755" s="41"/>
      <c r="G1755" s="101"/>
      <c r="H1755" s="38"/>
      <c r="I1755" s="42"/>
      <c r="J1755" s="42"/>
      <c r="K1755" s="43"/>
      <c r="L1755" s="43"/>
      <c r="M1755" s="44" t="str">
        <f>IF(LayTable[[#This Row],[Sport]]="","",LayTable[[#This Row],[LayInnsats]]*(LayTable[[#This Row],[LayOdds]]-1))</f>
        <v/>
      </c>
      <c r="N1755" s="45" t="str">
        <f>IF(LayTable[[#This Row],[Sport]]="","",1/((1/LayTable[[#This Row],[BookieOdds]])+(1/((1/((1+((LayTable[[#This Row],[LayOdds]]-1)*(1+LayTable[[#This Row],[C% Lay]])))-1))+1)))-1)</f>
        <v/>
      </c>
      <c r="Q1755" s="46" t="str">
        <f>IF(LayTable[[#This Row],[Sport]]="","",LayTable[[#This Row],[BookieInnsats]]+LayTable[[#This Row],[LayLiability]])</f>
        <v/>
      </c>
      <c r="R17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5" s="47" t="str">
        <f>IF(LayTable[[#This Row],[Utfall bookie]]="","",LayTable[[#This Row],[WBABack]]+LayTable[[#This Row],[WBALay]]-LayTable[[#This Row],[Total inns]])</f>
        <v/>
      </c>
      <c r="U17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5" s="48" t="str">
        <f>IFERROR(IF(LayTable[[#This Row],[Total inns]]="","",LayTable[[#This Row],[Rback]]/LayTable[[#This Row],[Total inns]]),"")</f>
        <v/>
      </c>
      <c r="X1755" s="48" t="str">
        <f>IFERROR(IF(LayTable[[#This Row],[Total inns]]="","",LayTable[[#This Row],[Rlay]]/LayTable[[#This Row],[Total inns]]),"")</f>
        <v/>
      </c>
      <c r="Y1755" s="48" t="str">
        <f>IFERROR(LayTable[[#This Row],[Faktisk res]]/LayTable[[#This Row],[Total inns]],"")</f>
        <v/>
      </c>
      <c r="Z1755" s="47">
        <f>(LayTable[[#This Row],[BookieInnsats]]*LayTable[[#This Row],[BookieOdds]]-LayTable[[#This Row],[BookieInnsats]])*(1-LayTable[[#This Row],[C% Bookie]])</f>
        <v>0</v>
      </c>
      <c r="AA1755" s="43">
        <f>LayTable[[#This Row],[LayInnsats]]*(1-LayTable[[#This Row],[C% Lay]])</f>
        <v>0</v>
      </c>
      <c r="AB1755" s="43" t="str">
        <f>IFERROR(IF(LayTable[[#This Row],[Sport]]="",AB1754,LayTable[[#This Row],[Faktisk res]]+AB1754),"")</f>
        <v/>
      </c>
      <c r="AC1755" s="43">
        <f>(LayTable[[#This Row],[BackWin-Commission]]+LayTable[[#This Row],[BookieInnsats]])</f>
        <v>0</v>
      </c>
      <c r="AD1755" s="43" t="e">
        <f>(LayTable[[#This Row],[LayWin-Commission]])+LayTable[[#This Row],[LayLiability]]</f>
        <v>#VALUE!</v>
      </c>
      <c r="AE1755" s="43"/>
      <c r="AF1755" s="181"/>
    </row>
    <row r="1756" spans="1:32">
      <c r="A1756" s="84"/>
      <c r="B1756" s="39"/>
      <c r="C1756" s="40"/>
      <c r="D1756" s="41"/>
      <c r="E1756" s="40"/>
      <c r="F1756" s="41"/>
      <c r="G1756" s="101"/>
      <c r="H1756" s="38"/>
      <c r="I1756" s="42"/>
      <c r="J1756" s="42"/>
      <c r="K1756" s="43"/>
      <c r="L1756" s="43"/>
      <c r="M1756" s="44" t="str">
        <f>IF(LayTable[[#This Row],[Sport]]="","",LayTable[[#This Row],[LayInnsats]]*(LayTable[[#This Row],[LayOdds]]-1))</f>
        <v/>
      </c>
      <c r="N1756" s="45" t="str">
        <f>IF(LayTable[[#This Row],[Sport]]="","",1/((1/LayTable[[#This Row],[BookieOdds]])+(1/((1/((1+((LayTable[[#This Row],[LayOdds]]-1)*(1+LayTable[[#This Row],[C% Lay]])))-1))+1)))-1)</f>
        <v/>
      </c>
      <c r="Q1756" s="46" t="str">
        <f>IF(LayTable[[#This Row],[Sport]]="","",LayTable[[#This Row],[BookieInnsats]]+LayTable[[#This Row],[LayLiability]])</f>
        <v/>
      </c>
      <c r="R17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6" s="47" t="str">
        <f>IF(LayTable[[#This Row],[Utfall bookie]]="","",LayTable[[#This Row],[WBABack]]+LayTable[[#This Row],[WBALay]]-LayTable[[#This Row],[Total inns]])</f>
        <v/>
      </c>
      <c r="U17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6" s="48" t="str">
        <f>IFERROR(IF(LayTable[[#This Row],[Total inns]]="","",LayTable[[#This Row],[Rback]]/LayTable[[#This Row],[Total inns]]),"")</f>
        <v/>
      </c>
      <c r="X1756" s="48" t="str">
        <f>IFERROR(IF(LayTable[[#This Row],[Total inns]]="","",LayTable[[#This Row],[Rlay]]/LayTable[[#This Row],[Total inns]]),"")</f>
        <v/>
      </c>
      <c r="Y1756" s="48" t="str">
        <f>IFERROR(LayTable[[#This Row],[Faktisk res]]/LayTable[[#This Row],[Total inns]],"")</f>
        <v/>
      </c>
      <c r="Z1756" s="47">
        <f>(LayTable[[#This Row],[BookieInnsats]]*LayTable[[#This Row],[BookieOdds]]-LayTable[[#This Row],[BookieInnsats]])*(1-LayTable[[#This Row],[C% Bookie]])</f>
        <v>0</v>
      </c>
      <c r="AA1756" s="43">
        <f>LayTable[[#This Row],[LayInnsats]]*(1-LayTable[[#This Row],[C% Lay]])</f>
        <v>0</v>
      </c>
      <c r="AB1756" s="43" t="str">
        <f>IFERROR(IF(LayTable[[#This Row],[Sport]]="",AB1755,LayTable[[#This Row],[Faktisk res]]+AB1755),"")</f>
        <v/>
      </c>
      <c r="AC1756" s="43">
        <f>(LayTable[[#This Row],[BackWin-Commission]]+LayTable[[#This Row],[BookieInnsats]])</f>
        <v>0</v>
      </c>
      <c r="AD1756" s="43" t="e">
        <f>(LayTable[[#This Row],[LayWin-Commission]])+LayTable[[#This Row],[LayLiability]]</f>
        <v>#VALUE!</v>
      </c>
      <c r="AE1756" s="43"/>
      <c r="AF1756" s="181"/>
    </row>
    <row r="1757" spans="1:32">
      <c r="A1757" s="84"/>
      <c r="B1757" s="39"/>
      <c r="C1757" s="40"/>
      <c r="D1757" s="41"/>
      <c r="E1757" s="40"/>
      <c r="F1757" s="41"/>
      <c r="G1757" s="101"/>
      <c r="H1757" s="38"/>
      <c r="I1757" s="42"/>
      <c r="J1757" s="42"/>
      <c r="K1757" s="43"/>
      <c r="L1757" s="43"/>
      <c r="M1757" s="44" t="str">
        <f>IF(LayTable[[#This Row],[Sport]]="","",LayTable[[#This Row],[LayInnsats]]*(LayTable[[#This Row],[LayOdds]]-1))</f>
        <v/>
      </c>
      <c r="N1757" s="45" t="str">
        <f>IF(LayTable[[#This Row],[Sport]]="","",1/((1/LayTable[[#This Row],[BookieOdds]])+(1/((1/((1+((LayTable[[#This Row],[LayOdds]]-1)*(1+LayTable[[#This Row],[C% Lay]])))-1))+1)))-1)</f>
        <v/>
      </c>
      <c r="Q1757" s="46" t="str">
        <f>IF(LayTable[[#This Row],[Sport]]="","",LayTable[[#This Row],[BookieInnsats]]+LayTable[[#This Row],[LayLiability]])</f>
        <v/>
      </c>
      <c r="R17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7" s="47" t="str">
        <f>IF(LayTable[[#This Row],[Utfall bookie]]="","",LayTable[[#This Row],[WBABack]]+LayTable[[#This Row],[WBALay]]-LayTable[[#This Row],[Total inns]])</f>
        <v/>
      </c>
      <c r="U17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7" s="48" t="str">
        <f>IFERROR(IF(LayTable[[#This Row],[Total inns]]="","",LayTable[[#This Row],[Rback]]/LayTable[[#This Row],[Total inns]]),"")</f>
        <v/>
      </c>
      <c r="X1757" s="48" t="str">
        <f>IFERROR(IF(LayTable[[#This Row],[Total inns]]="","",LayTable[[#This Row],[Rlay]]/LayTable[[#This Row],[Total inns]]),"")</f>
        <v/>
      </c>
      <c r="Y1757" s="48" t="str">
        <f>IFERROR(LayTable[[#This Row],[Faktisk res]]/LayTable[[#This Row],[Total inns]],"")</f>
        <v/>
      </c>
      <c r="Z1757" s="47">
        <f>(LayTable[[#This Row],[BookieInnsats]]*LayTable[[#This Row],[BookieOdds]]-LayTable[[#This Row],[BookieInnsats]])*(1-LayTable[[#This Row],[C% Bookie]])</f>
        <v>0</v>
      </c>
      <c r="AA1757" s="43">
        <f>LayTable[[#This Row],[LayInnsats]]*(1-LayTable[[#This Row],[C% Lay]])</f>
        <v>0</v>
      </c>
      <c r="AB1757" s="43" t="str">
        <f>IFERROR(IF(LayTable[[#This Row],[Sport]]="",AB1756,LayTable[[#This Row],[Faktisk res]]+AB1756),"")</f>
        <v/>
      </c>
      <c r="AC1757" s="43">
        <f>(LayTable[[#This Row],[BackWin-Commission]]+LayTable[[#This Row],[BookieInnsats]])</f>
        <v>0</v>
      </c>
      <c r="AD1757" s="43" t="e">
        <f>(LayTable[[#This Row],[LayWin-Commission]])+LayTable[[#This Row],[LayLiability]]</f>
        <v>#VALUE!</v>
      </c>
      <c r="AE1757" s="43"/>
      <c r="AF1757" s="181"/>
    </row>
    <row r="1758" spans="1:32">
      <c r="A1758" s="84"/>
      <c r="B1758" s="39"/>
      <c r="C1758" s="40"/>
      <c r="D1758" s="41"/>
      <c r="E1758" s="40"/>
      <c r="F1758" s="41"/>
      <c r="G1758" s="101"/>
      <c r="H1758" s="38"/>
      <c r="I1758" s="42"/>
      <c r="J1758" s="42"/>
      <c r="K1758" s="43"/>
      <c r="L1758" s="43"/>
      <c r="M1758" s="44" t="str">
        <f>IF(LayTable[[#This Row],[Sport]]="","",LayTable[[#This Row],[LayInnsats]]*(LayTable[[#This Row],[LayOdds]]-1))</f>
        <v/>
      </c>
      <c r="N1758" s="45" t="str">
        <f>IF(LayTable[[#This Row],[Sport]]="","",1/((1/LayTable[[#This Row],[BookieOdds]])+(1/((1/((1+((LayTable[[#This Row],[LayOdds]]-1)*(1+LayTable[[#This Row],[C% Lay]])))-1))+1)))-1)</f>
        <v/>
      </c>
      <c r="Q1758" s="46" t="str">
        <f>IF(LayTable[[#This Row],[Sport]]="","",LayTable[[#This Row],[BookieInnsats]]+LayTable[[#This Row],[LayLiability]])</f>
        <v/>
      </c>
      <c r="R17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8" s="47" t="str">
        <f>IF(LayTable[[#This Row],[Utfall bookie]]="","",LayTable[[#This Row],[WBABack]]+LayTable[[#This Row],[WBALay]]-LayTable[[#This Row],[Total inns]])</f>
        <v/>
      </c>
      <c r="U17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8" s="48" t="str">
        <f>IFERROR(IF(LayTable[[#This Row],[Total inns]]="","",LayTable[[#This Row],[Rback]]/LayTable[[#This Row],[Total inns]]),"")</f>
        <v/>
      </c>
      <c r="X1758" s="48" t="str">
        <f>IFERROR(IF(LayTable[[#This Row],[Total inns]]="","",LayTable[[#This Row],[Rlay]]/LayTable[[#This Row],[Total inns]]),"")</f>
        <v/>
      </c>
      <c r="Y1758" s="48" t="str">
        <f>IFERROR(LayTable[[#This Row],[Faktisk res]]/LayTable[[#This Row],[Total inns]],"")</f>
        <v/>
      </c>
      <c r="Z1758" s="47">
        <f>(LayTable[[#This Row],[BookieInnsats]]*LayTable[[#This Row],[BookieOdds]]-LayTable[[#This Row],[BookieInnsats]])*(1-LayTable[[#This Row],[C% Bookie]])</f>
        <v>0</v>
      </c>
      <c r="AA1758" s="43">
        <f>LayTable[[#This Row],[LayInnsats]]*(1-LayTable[[#This Row],[C% Lay]])</f>
        <v>0</v>
      </c>
      <c r="AB1758" s="43" t="str">
        <f>IFERROR(IF(LayTable[[#This Row],[Sport]]="",AB1757,LayTable[[#This Row],[Faktisk res]]+AB1757),"")</f>
        <v/>
      </c>
      <c r="AC1758" s="43">
        <f>(LayTable[[#This Row],[BackWin-Commission]]+LayTable[[#This Row],[BookieInnsats]])</f>
        <v>0</v>
      </c>
      <c r="AD1758" s="43" t="e">
        <f>(LayTable[[#This Row],[LayWin-Commission]])+LayTable[[#This Row],[LayLiability]]</f>
        <v>#VALUE!</v>
      </c>
      <c r="AE1758" s="43"/>
      <c r="AF1758" s="181"/>
    </row>
    <row r="1759" spans="1:32">
      <c r="A1759" s="84"/>
      <c r="B1759" s="39"/>
      <c r="C1759" s="40"/>
      <c r="D1759" s="41"/>
      <c r="E1759" s="40"/>
      <c r="F1759" s="41"/>
      <c r="G1759" s="101"/>
      <c r="H1759" s="38"/>
      <c r="I1759" s="42"/>
      <c r="J1759" s="42"/>
      <c r="K1759" s="43"/>
      <c r="L1759" s="43"/>
      <c r="M1759" s="44" t="str">
        <f>IF(LayTable[[#This Row],[Sport]]="","",LayTable[[#This Row],[LayInnsats]]*(LayTable[[#This Row],[LayOdds]]-1))</f>
        <v/>
      </c>
      <c r="N1759" s="45" t="str">
        <f>IF(LayTable[[#This Row],[Sport]]="","",1/((1/LayTable[[#This Row],[BookieOdds]])+(1/((1/((1+((LayTable[[#This Row],[LayOdds]]-1)*(1+LayTable[[#This Row],[C% Lay]])))-1))+1)))-1)</f>
        <v/>
      </c>
      <c r="Q1759" s="46" t="str">
        <f>IF(LayTable[[#This Row],[Sport]]="","",LayTable[[#This Row],[BookieInnsats]]+LayTable[[#This Row],[LayLiability]])</f>
        <v/>
      </c>
      <c r="R17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59" s="47" t="str">
        <f>IF(LayTable[[#This Row],[Utfall bookie]]="","",LayTable[[#This Row],[WBABack]]+LayTable[[#This Row],[WBALay]]-LayTable[[#This Row],[Total inns]])</f>
        <v/>
      </c>
      <c r="U17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59" s="48" t="str">
        <f>IFERROR(IF(LayTable[[#This Row],[Total inns]]="","",LayTable[[#This Row],[Rback]]/LayTable[[#This Row],[Total inns]]),"")</f>
        <v/>
      </c>
      <c r="X1759" s="48" t="str">
        <f>IFERROR(IF(LayTable[[#This Row],[Total inns]]="","",LayTable[[#This Row],[Rlay]]/LayTable[[#This Row],[Total inns]]),"")</f>
        <v/>
      </c>
      <c r="Y1759" s="48" t="str">
        <f>IFERROR(LayTable[[#This Row],[Faktisk res]]/LayTable[[#This Row],[Total inns]],"")</f>
        <v/>
      </c>
      <c r="Z1759" s="47">
        <f>(LayTable[[#This Row],[BookieInnsats]]*LayTable[[#This Row],[BookieOdds]]-LayTable[[#This Row],[BookieInnsats]])*(1-LayTable[[#This Row],[C% Bookie]])</f>
        <v>0</v>
      </c>
      <c r="AA1759" s="43">
        <f>LayTable[[#This Row],[LayInnsats]]*(1-LayTable[[#This Row],[C% Lay]])</f>
        <v>0</v>
      </c>
      <c r="AB1759" s="43" t="str">
        <f>IFERROR(IF(LayTable[[#This Row],[Sport]]="",AB1758,LayTable[[#This Row],[Faktisk res]]+AB1758),"")</f>
        <v/>
      </c>
      <c r="AC1759" s="43">
        <f>(LayTable[[#This Row],[BackWin-Commission]]+LayTable[[#This Row],[BookieInnsats]])</f>
        <v>0</v>
      </c>
      <c r="AD1759" s="43" t="e">
        <f>(LayTable[[#This Row],[LayWin-Commission]])+LayTable[[#This Row],[LayLiability]]</f>
        <v>#VALUE!</v>
      </c>
      <c r="AE1759" s="43"/>
      <c r="AF1759" s="181"/>
    </row>
    <row r="1760" spans="1:32">
      <c r="A1760" s="84"/>
      <c r="B1760" s="39"/>
      <c r="C1760" s="40"/>
      <c r="D1760" s="41"/>
      <c r="E1760" s="40"/>
      <c r="F1760" s="41"/>
      <c r="G1760" s="101"/>
      <c r="H1760" s="38"/>
      <c r="I1760" s="42"/>
      <c r="J1760" s="42"/>
      <c r="K1760" s="43"/>
      <c r="L1760" s="43"/>
      <c r="M1760" s="44" t="str">
        <f>IF(LayTable[[#This Row],[Sport]]="","",LayTable[[#This Row],[LayInnsats]]*(LayTable[[#This Row],[LayOdds]]-1))</f>
        <v/>
      </c>
      <c r="N1760" s="45" t="str">
        <f>IF(LayTable[[#This Row],[Sport]]="","",1/((1/LayTable[[#This Row],[BookieOdds]])+(1/((1/((1+((LayTable[[#This Row],[LayOdds]]-1)*(1+LayTable[[#This Row],[C% Lay]])))-1))+1)))-1)</f>
        <v/>
      </c>
      <c r="Q1760" s="46" t="str">
        <f>IF(LayTable[[#This Row],[Sport]]="","",LayTable[[#This Row],[BookieInnsats]]+LayTable[[#This Row],[LayLiability]])</f>
        <v/>
      </c>
      <c r="R17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0" s="47" t="str">
        <f>IF(LayTable[[#This Row],[Utfall bookie]]="","",LayTable[[#This Row],[WBABack]]+LayTable[[#This Row],[WBALay]]-LayTable[[#This Row],[Total inns]])</f>
        <v/>
      </c>
      <c r="U17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0" s="48" t="str">
        <f>IFERROR(IF(LayTable[[#This Row],[Total inns]]="","",LayTable[[#This Row],[Rback]]/LayTable[[#This Row],[Total inns]]),"")</f>
        <v/>
      </c>
      <c r="X1760" s="48" t="str">
        <f>IFERROR(IF(LayTable[[#This Row],[Total inns]]="","",LayTable[[#This Row],[Rlay]]/LayTable[[#This Row],[Total inns]]),"")</f>
        <v/>
      </c>
      <c r="Y1760" s="48" t="str">
        <f>IFERROR(LayTable[[#This Row],[Faktisk res]]/LayTable[[#This Row],[Total inns]],"")</f>
        <v/>
      </c>
      <c r="Z1760" s="47">
        <f>(LayTable[[#This Row],[BookieInnsats]]*LayTable[[#This Row],[BookieOdds]]-LayTable[[#This Row],[BookieInnsats]])*(1-LayTable[[#This Row],[C% Bookie]])</f>
        <v>0</v>
      </c>
      <c r="AA1760" s="43">
        <f>LayTable[[#This Row],[LayInnsats]]*(1-LayTable[[#This Row],[C% Lay]])</f>
        <v>0</v>
      </c>
      <c r="AB1760" s="43" t="str">
        <f>IFERROR(IF(LayTable[[#This Row],[Sport]]="",AB1759,LayTable[[#This Row],[Faktisk res]]+AB1759),"")</f>
        <v/>
      </c>
      <c r="AC1760" s="43">
        <f>(LayTable[[#This Row],[BackWin-Commission]]+LayTable[[#This Row],[BookieInnsats]])</f>
        <v>0</v>
      </c>
      <c r="AD1760" s="43" t="e">
        <f>(LayTable[[#This Row],[LayWin-Commission]])+LayTable[[#This Row],[LayLiability]]</f>
        <v>#VALUE!</v>
      </c>
      <c r="AE1760" s="43"/>
      <c r="AF1760" s="181"/>
    </row>
    <row r="1761" spans="1:32">
      <c r="A1761" s="84"/>
      <c r="B1761" s="39"/>
      <c r="C1761" s="40"/>
      <c r="D1761" s="41"/>
      <c r="E1761" s="40"/>
      <c r="F1761" s="41"/>
      <c r="G1761" s="101"/>
      <c r="H1761" s="38"/>
      <c r="I1761" s="42"/>
      <c r="J1761" s="42"/>
      <c r="K1761" s="43"/>
      <c r="L1761" s="43"/>
      <c r="M1761" s="44" t="str">
        <f>IF(LayTable[[#This Row],[Sport]]="","",LayTable[[#This Row],[LayInnsats]]*(LayTable[[#This Row],[LayOdds]]-1))</f>
        <v/>
      </c>
      <c r="N1761" s="45" t="str">
        <f>IF(LayTable[[#This Row],[Sport]]="","",1/((1/LayTable[[#This Row],[BookieOdds]])+(1/((1/((1+((LayTable[[#This Row],[LayOdds]]-1)*(1+LayTable[[#This Row],[C% Lay]])))-1))+1)))-1)</f>
        <v/>
      </c>
      <c r="Q1761" s="46" t="str">
        <f>IF(LayTable[[#This Row],[Sport]]="","",LayTable[[#This Row],[BookieInnsats]]+LayTable[[#This Row],[LayLiability]])</f>
        <v/>
      </c>
      <c r="R17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1" s="47" t="str">
        <f>IF(LayTable[[#This Row],[Utfall bookie]]="","",LayTable[[#This Row],[WBABack]]+LayTable[[#This Row],[WBALay]]-LayTable[[#This Row],[Total inns]])</f>
        <v/>
      </c>
      <c r="U17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1" s="48" t="str">
        <f>IFERROR(IF(LayTable[[#This Row],[Total inns]]="","",LayTable[[#This Row],[Rback]]/LayTable[[#This Row],[Total inns]]),"")</f>
        <v/>
      </c>
      <c r="X1761" s="48" t="str">
        <f>IFERROR(IF(LayTable[[#This Row],[Total inns]]="","",LayTable[[#This Row],[Rlay]]/LayTable[[#This Row],[Total inns]]),"")</f>
        <v/>
      </c>
      <c r="Y1761" s="48" t="str">
        <f>IFERROR(LayTable[[#This Row],[Faktisk res]]/LayTable[[#This Row],[Total inns]],"")</f>
        <v/>
      </c>
      <c r="Z1761" s="47">
        <f>(LayTable[[#This Row],[BookieInnsats]]*LayTable[[#This Row],[BookieOdds]]-LayTable[[#This Row],[BookieInnsats]])*(1-LayTable[[#This Row],[C% Bookie]])</f>
        <v>0</v>
      </c>
      <c r="AA1761" s="43">
        <f>LayTable[[#This Row],[LayInnsats]]*(1-LayTable[[#This Row],[C% Lay]])</f>
        <v>0</v>
      </c>
      <c r="AB1761" s="43" t="str">
        <f>IFERROR(IF(LayTable[[#This Row],[Sport]]="",AB1760,LayTable[[#This Row],[Faktisk res]]+AB1760),"")</f>
        <v/>
      </c>
      <c r="AC1761" s="43">
        <f>(LayTable[[#This Row],[BackWin-Commission]]+LayTable[[#This Row],[BookieInnsats]])</f>
        <v>0</v>
      </c>
      <c r="AD1761" s="43" t="e">
        <f>(LayTable[[#This Row],[LayWin-Commission]])+LayTable[[#This Row],[LayLiability]]</f>
        <v>#VALUE!</v>
      </c>
      <c r="AE1761" s="43"/>
      <c r="AF1761" s="181"/>
    </row>
    <row r="1762" spans="1:32">
      <c r="A1762" s="84"/>
      <c r="B1762" s="39"/>
      <c r="C1762" s="40"/>
      <c r="D1762" s="41"/>
      <c r="E1762" s="40"/>
      <c r="F1762" s="41"/>
      <c r="G1762" s="101"/>
      <c r="H1762" s="38"/>
      <c r="I1762" s="42"/>
      <c r="J1762" s="42"/>
      <c r="K1762" s="43"/>
      <c r="L1762" s="43"/>
      <c r="M1762" s="44" t="str">
        <f>IF(LayTable[[#This Row],[Sport]]="","",LayTable[[#This Row],[LayInnsats]]*(LayTable[[#This Row],[LayOdds]]-1))</f>
        <v/>
      </c>
      <c r="N1762" s="45" t="str">
        <f>IF(LayTable[[#This Row],[Sport]]="","",1/((1/LayTable[[#This Row],[BookieOdds]])+(1/((1/((1+((LayTable[[#This Row],[LayOdds]]-1)*(1+LayTable[[#This Row],[C% Lay]])))-1))+1)))-1)</f>
        <v/>
      </c>
      <c r="Q1762" s="46" t="str">
        <f>IF(LayTable[[#This Row],[Sport]]="","",LayTable[[#This Row],[BookieInnsats]]+LayTable[[#This Row],[LayLiability]])</f>
        <v/>
      </c>
      <c r="R17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2" s="47" t="str">
        <f>IF(LayTable[[#This Row],[Utfall bookie]]="","",LayTable[[#This Row],[WBABack]]+LayTable[[#This Row],[WBALay]]-LayTable[[#This Row],[Total inns]])</f>
        <v/>
      </c>
      <c r="U17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2" s="48" t="str">
        <f>IFERROR(IF(LayTable[[#This Row],[Total inns]]="","",LayTable[[#This Row],[Rback]]/LayTable[[#This Row],[Total inns]]),"")</f>
        <v/>
      </c>
      <c r="X1762" s="48" t="str">
        <f>IFERROR(IF(LayTable[[#This Row],[Total inns]]="","",LayTable[[#This Row],[Rlay]]/LayTable[[#This Row],[Total inns]]),"")</f>
        <v/>
      </c>
      <c r="Y1762" s="48" t="str">
        <f>IFERROR(LayTable[[#This Row],[Faktisk res]]/LayTable[[#This Row],[Total inns]],"")</f>
        <v/>
      </c>
      <c r="Z1762" s="47">
        <f>(LayTable[[#This Row],[BookieInnsats]]*LayTable[[#This Row],[BookieOdds]]-LayTable[[#This Row],[BookieInnsats]])*(1-LayTable[[#This Row],[C% Bookie]])</f>
        <v>0</v>
      </c>
      <c r="AA1762" s="43">
        <f>LayTable[[#This Row],[LayInnsats]]*(1-LayTable[[#This Row],[C% Lay]])</f>
        <v>0</v>
      </c>
      <c r="AB1762" s="43" t="str">
        <f>IFERROR(IF(LayTable[[#This Row],[Sport]]="",AB1761,LayTable[[#This Row],[Faktisk res]]+AB1761),"")</f>
        <v/>
      </c>
      <c r="AC1762" s="43">
        <f>(LayTable[[#This Row],[BackWin-Commission]]+LayTable[[#This Row],[BookieInnsats]])</f>
        <v>0</v>
      </c>
      <c r="AD1762" s="43" t="e">
        <f>(LayTable[[#This Row],[LayWin-Commission]])+LayTable[[#This Row],[LayLiability]]</f>
        <v>#VALUE!</v>
      </c>
      <c r="AE1762" s="43"/>
      <c r="AF1762" s="181"/>
    </row>
    <row r="1763" spans="1:32">
      <c r="A1763" s="84"/>
      <c r="B1763" s="39"/>
      <c r="C1763" s="40"/>
      <c r="D1763" s="41"/>
      <c r="E1763" s="40"/>
      <c r="F1763" s="41"/>
      <c r="G1763" s="101"/>
      <c r="H1763" s="38"/>
      <c r="I1763" s="42"/>
      <c r="J1763" s="42"/>
      <c r="K1763" s="43"/>
      <c r="L1763" s="43"/>
      <c r="M1763" s="44" t="str">
        <f>IF(LayTable[[#This Row],[Sport]]="","",LayTable[[#This Row],[LayInnsats]]*(LayTable[[#This Row],[LayOdds]]-1))</f>
        <v/>
      </c>
      <c r="N1763" s="45" t="str">
        <f>IF(LayTable[[#This Row],[Sport]]="","",1/((1/LayTable[[#This Row],[BookieOdds]])+(1/((1/((1+((LayTable[[#This Row],[LayOdds]]-1)*(1+LayTable[[#This Row],[C% Lay]])))-1))+1)))-1)</f>
        <v/>
      </c>
      <c r="Q1763" s="46" t="str">
        <f>IF(LayTable[[#This Row],[Sport]]="","",LayTable[[#This Row],[BookieInnsats]]+LayTable[[#This Row],[LayLiability]])</f>
        <v/>
      </c>
      <c r="R17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3" s="47" t="str">
        <f>IF(LayTable[[#This Row],[Utfall bookie]]="","",LayTable[[#This Row],[WBABack]]+LayTable[[#This Row],[WBALay]]-LayTable[[#This Row],[Total inns]])</f>
        <v/>
      </c>
      <c r="U17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3" s="48" t="str">
        <f>IFERROR(IF(LayTable[[#This Row],[Total inns]]="","",LayTable[[#This Row],[Rback]]/LayTable[[#This Row],[Total inns]]),"")</f>
        <v/>
      </c>
      <c r="X1763" s="48" t="str">
        <f>IFERROR(IF(LayTable[[#This Row],[Total inns]]="","",LayTable[[#This Row],[Rlay]]/LayTable[[#This Row],[Total inns]]),"")</f>
        <v/>
      </c>
      <c r="Y1763" s="48" t="str">
        <f>IFERROR(LayTable[[#This Row],[Faktisk res]]/LayTable[[#This Row],[Total inns]],"")</f>
        <v/>
      </c>
      <c r="Z1763" s="47">
        <f>(LayTable[[#This Row],[BookieInnsats]]*LayTable[[#This Row],[BookieOdds]]-LayTable[[#This Row],[BookieInnsats]])*(1-LayTable[[#This Row],[C% Bookie]])</f>
        <v>0</v>
      </c>
      <c r="AA1763" s="43">
        <f>LayTable[[#This Row],[LayInnsats]]*(1-LayTable[[#This Row],[C% Lay]])</f>
        <v>0</v>
      </c>
      <c r="AB1763" s="43" t="str">
        <f>IFERROR(IF(LayTable[[#This Row],[Sport]]="",AB1762,LayTable[[#This Row],[Faktisk res]]+AB1762),"")</f>
        <v/>
      </c>
      <c r="AC1763" s="43">
        <f>(LayTable[[#This Row],[BackWin-Commission]]+LayTable[[#This Row],[BookieInnsats]])</f>
        <v>0</v>
      </c>
      <c r="AD1763" s="43" t="e">
        <f>(LayTable[[#This Row],[LayWin-Commission]])+LayTable[[#This Row],[LayLiability]]</f>
        <v>#VALUE!</v>
      </c>
      <c r="AE1763" s="43"/>
      <c r="AF1763" s="181"/>
    </row>
    <row r="1764" spans="1:32">
      <c r="A1764" s="84"/>
      <c r="B1764" s="39"/>
      <c r="C1764" s="40"/>
      <c r="D1764" s="41"/>
      <c r="E1764" s="40"/>
      <c r="F1764" s="41"/>
      <c r="G1764" s="101"/>
      <c r="H1764" s="38"/>
      <c r="I1764" s="42"/>
      <c r="J1764" s="42"/>
      <c r="K1764" s="43"/>
      <c r="L1764" s="43"/>
      <c r="M1764" s="44" t="str">
        <f>IF(LayTable[[#This Row],[Sport]]="","",LayTable[[#This Row],[LayInnsats]]*(LayTable[[#This Row],[LayOdds]]-1))</f>
        <v/>
      </c>
      <c r="N1764" s="45" t="str">
        <f>IF(LayTable[[#This Row],[Sport]]="","",1/((1/LayTable[[#This Row],[BookieOdds]])+(1/((1/((1+((LayTable[[#This Row],[LayOdds]]-1)*(1+LayTable[[#This Row],[C% Lay]])))-1))+1)))-1)</f>
        <v/>
      </c>
      <c r="Q1764" s="46" t="str">
        <f>IF(LayTable[[#This Row],[Sport]]="","",LayTable[[#This Row],[BookieInnsats]]+LayTable[[#This Row],[LayLiability]])</f>
        <v/>
      </c>
      <c r="R17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4" s="47" t="str">
        <f>IF(LayTable[[#This Row],[Utfall bookie]]="","",LayTable[[#This Row],[WBABack]]+LayTable[[#This Row],[WBALay]]-LayTable[[#This Row],[Total inns]])</f>
        <v/>
      </c>
      <c r="U17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4" s="48" t="str">
        <f>IFERROR(IF(LayTable[[#This Row],[Total inns]]="","",LayTable[[#This Row],[Rback]]/LayTable[[#This Row],[Total inns]]),"")</f>
        <v/>
      </c>
      <c r="X1764" s="48" t="str">
        <f>IFERROR(IF(LayTable[[#This Row],[Total inns]]="","",LayTable[[#This Row],[Rlay]]/LayTable[[#This Row],[Total inns]]),"")</f>
        <v/>
      </c>
      <c r="Y1764" s="48" t="str">
        <f>IFERROR(LayTable[[#This Row],[Faktisk res]]/LayTable[[#This Row],[Total inns]],"")</f>
        <v/>
      </c>
      <c r="Z1764" s="47">
        <f>(LayTable[[#This Row],[BookieInnsats]]*LayTable[[#This Row],[BookieOdds]]-LayTable[[#This Row],[BookieInnsats]])*(1-LayTable[[#This Row],[C% Bookie]])</f>
        <v>0</v>
      </c>
      <c r="AA1764" s="43">
        <f>LayTable[[#This Row],[LayInnsats]]*(1-LayTable[[#This Row],[C% Lay]])</f>
        <v>0</v>
      </c>
      <c r="AB1764" s="43" t="str">
        <f>IFERROR(IF(LayTable[[#This Row],[Sport]]="",AB1763,LayTable[[#This Row],[Faktisk res]]+AB1763),"")</f>
        <v/>
      </c>
      <c r="AC1764" s="43">
        <f>(LayTable[[#This Row],[BackWin-Commission]]+LayTable[[#This Row],[BookieInnsats]])</f>
        <v>0</v>
      </c>
      <c r="AD1764" s="43" t="e">
        <f>(LayTable[[#This Row],[LayWin-Commission]])+LayTable[[#This Row],[LayLiability]]</f>
        <v>#VALUE!</v>
      </c>
      <c r="AE1764" s="43"/>
      <c r="AF1764" s="181"/>
    </row>
    <row r="1765" spans="1:32">
      <c r="A1765" s="84"/>
      <c r="B1765" s="39"/>
      <c r="C1765" s="40"/>
      <c r="D1765" s="41"/>
      <c r="E1765" s="40"/>
      <c r="F1765" s="41"/>
      <c r="G1765" s="101"/>
      <c r="H1765" s="38"/>
      <c r="I1765" s="42"/>
      <c r="J1765" s="42"/>
      <c r="K1765" s="43"/>
      <c r="L1765" s="43"/>
      <c r="M1765" s="44" t="str">
        <f>IF(LayTable[[#This Row],[Sport]]="","",LayTable[[#This Row],[LayInnsats]]*(LayTable[[#This Row],[LayOdds]]-1))</f>
        <v/>
      </c>
      <c r="N1765" s="45" t="str">
        <f>IF(LayTable[[#This Row],[Sport]]="","",1/((1/LayTable[[#This Row],[BookieOdds]])+(1/((1/((1+((LayTable[[#This Row],[LayOdds]]-1)*(1+LayTable[[#This Row],[C% Lay]])))-1))+1)))-1)</f>
        <v/>
      </c>
      <c r="Q1765" s="46" t="str">
        <f>IF(LayTable[[#This Row],[Sport]]="","",LayTable[[#This Row],[BookieInnsats]]+LayTable[[#This Row],[LayLiability]])</f>
        <v/>
      </c>
      <c r="R17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5" s="47" t="str">
        <f>IF(LayTable[[#This Row],[Utfall bookie]]="","",LayTable[[#This Row],[WBABack]]+LayTable[[#This Row],[WBALay]]-LayTable[[#This Row],[Total inns]])</f>
        <v/>
      </c>
      <c r="U17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5" s="48" t="str">
        <f>IFERROR(IF(LayTable[[#This Row],[Total inns]]="","",LayTable[[#This Row],[Rback]]/LayTable[[#This Row],[Total inns]]),"")</f>
        <v/>
      </c>
      <c r="X1765" s="48" t="str">
        <f>IFERROR(IF(LayTable[[#This Row],[Total inns]]="","",LayTable[[#This Row],[Rlay]]/LayTable[[#This Row],[Total inns]]),"")</f>
        <v/>
      </c>
      <c r="Y1765" s="48" t="str">
        <f>IFERROR(LayTable[[#This Row],[Faktisk res]]/LayTable[[#This Row],[Total inns]],"")</f>
        <v/>
      </c>
      <c r="Z1765" s="47">
        <f>(LayTable[[#This Row],[BookieInnsats]]*LayTable[[#This Row],[BookieOdds]]-LayTable[[#This Row],[BookieInnsats]])*(1-LayTable[[#This Row],[C% Bookie]])</f>
        <v>0</v>
      </c>
      <c r="AA1765" s="43">
        <f>LayTable[[#This Row],[LayInnsats]]*(1-LayTable[[#This Row],[C% Lay]])</f>
        <v>0</v>
      </c>
      <c r="AB1765" s="43" t="str">
        <f>IFERROR(IF(LayTable[[#This Row],[Sport]]="",AB1764,LayTable[[#This Row],[Faktisk res]]+AB1764),"")</f>
        <v/>
      </c>
      <c r="AC1765" s="43">
        <f>(LayTable[[#This Row],[BackWin-Commission]]+LayTable[[#This Row],[BookieInnsats]])</f>
        <v>0</v>
      </c>
      <c r="AD1765" s="43" t="e">
        <f>(LayTable[[#This Row],[LayWin-Commission]])+LayTable[[#This Row],[LayLiability]]</f>
        <v>#VALUE!</v>
      </c>
      <c r="AE1765" s="43"/>
      <c r="AF1765" s="181"/>
    </row>
    <row r="1766" spans="1:32">
      <c r="A1766" s="84"/>
      <c r="B1766" s="39"/>
      <c r="C1766" s="40"/>
      <c r="D1766" s="41"/>
      <c r="E1766" s="40"/>
      <c r="F1766" s="41"/>
      <c r="G1766" s="101"/>
      <c r="H1766" s="38"/>
      <c r="I1766" s="42"/>
      <c r="J1766" s="42"/>
      <c r="K1766" s="43"/>
      <c r="L1766" s="43"/>
      <c r="M1766" s="44" t="str">
        <f>IF(LayTable[[#This Row],[Sport]]="","",LayTable[[#This Row],[LayInnsats]]*(LayTable[[#This Row],[LayOdds]]-1))</f>
        <v/>
      </c>
      <c r="N1766" s="45" t="str">
        <f>IF(LayTable[[#This Row],[Sport]]="","",1/((1/LayTable[[#This Row],[BookieOdds]])+(1/((1/((1+((LayTable[[#This Row],[LayOdds]]-1)*(1+LayTable[[#This Row],[C% Lay]])))-1))+1)))-1)</f>
        <v/>
      </c>
      <c r="Q1766" s="46" t="str">
        <f>IF(LayTable[[#This Row],[Sport]]="","",LayTable[[#This Row],[BookieInnsats]]+LayTable[[#This Row],[LayLiability]])</f>
        <v/>
      </c>
      <c r="R17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6" s="47" t="str">
        <f>IF(LayTable[[#This Row],[Utfall bookie]]="","",LayTable[[#This Row],[WBABack]]+LayTable[[#This Row],[WBALay]]-LayTable[[#This Row],[Total inns]])</f>
        <v/>
      </c>
      <c r="U17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6" s="48" t="str">
        <f>IFERROR(IF(LayTable[[#This Row],[Total inns]]="","",LayTable[[#This Row],[Rback]]/LayTable[[#This Row],[Total inns]]),"")</f>
        <v/>
      </c>
      <c r="X1766" s="48" t="str">
        <f>IFERROR(IF(LayTable[[#This Row],[Total inns]]="","",LayTable[[#This Row],[Rlay]]/LayTable[[#This Row],[Total inns]]),"")</f>
        <v/>
      </c>
      <c r="Y1766" s="48" t="str">
        <f>IFERROR(LayTable[[#This Row],[Faktisk res]]/LayTable[[#This Row],[Total inns]],"")</f>
        <v/>
      </c>
      <c r="Z1766" s="47">
        <f>(LayTable[[#This Row],[BookieInnsats]]*LayTable[[#This Row],[BookieOdds]]-LayTable[[#This Row],[BookieInnsats]])*(1-LayTable[[#This Row],[C% Bookie]])</f>
        <v>0</v>
      </c>
      <c r="AA1766" s="43">
        <f>LayTable[[#This Row],[LayInnsats]]*(1-LayTable[[#This Row],[C% Lay]])</f>
        <v>0</v>
      </c>
      <c r="AB1766" s="43" t="str">
        <f>IFERROR(IF(LayTable[[#This Row],[Sport]]="",AB1765,LayTable[[#This Row],[Faktisk res]]+AB1765),"")</f>
        <v/>
      </c>
      <c r="AC1766" s="43">
        <f>(LayTable[[#This Row],[BackWin-Commission]]+LayTable[[#This Row],[BookieInnsats]])</f>
        <v>0</v>
      </c>
      <c r="AD1766" s="43" t="e">
        <f>(LayTable[[#This Row],[LayWin-Commission]])+LayTable[[#This Row],[LayLiability]]</f>
        <v>#VALUE!</v>
      </c>
      <c r="AE1766" s="43"/>
      <c r="AF1766" s="181"/>
    </row>
    <row r="1767" spans="1:32">
      <c r="A1767" s="84"/>
      <c r="B1767" s="39"/>
      <c r="C1767" s="40"/>
      <c r="D1767" s="41"/>
      <c r="E1767" s="40"/>
      <c r="F1767" s="41"/>
      <c r="G1767" s="101"/>
      <c r="H1767" s="38"/>
      <c r="I1767" s="42"/>
      <c r="J1767" s="42"/>
      <c r="K1767" s="43"/>
      <c r="L1767" s="43"/>
      <c r="M1767" s="44" t="str">
        <f>IF(LayTable[[#This Row],[Sport]]="","",LayTable[[#This Row],[LayInnsats]]*(LayTable[[#This Row],[LayOdds]]-1))</f>
        <v/>
      </c>
      <c r="N1767" s="45" t="str">
        <f>IF(LayTable[[#This Row],[Sport]]="","",1/((1/LayTable[[#This Row],[BookieOdds]])+(1/((1/((1+((LayTable[[#This Row],[LayOdds]]-1)*(1+LayTable[[#This Row],[C% Lay]])))-1))+1)))-1)</f>
        <v/>
      </c>
      <c r="Q1767" s="46" t="str">
        <f>IF(LayTable[[#This Row],[Sport]]="","",LayTable[[#This Row],[BookieInnsats]]+LayTable[[#This Row],[LayLiability]])</f>
        <v/>
      </c>
      <c r="R17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7" s="47" t="str">
        <f>IF(LayTable[[#This Row],[Utfall bookie]]="","",LayTable[[#This Row],[WBABack]]+LayTable[[#This Row],[WBALay]]-LayTable[[#This Row],[Total inns]])</f>
        <v/>
      </c>
      <c r="U17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7" s="48" t="str">
        <f>IFERROR(IF(LayTable[[#This Row],[Total inns]]="","",LayTable[[#This Row],[Rback]]/LayTable[[#This Row],[Total inns]]),"")</f>
        <v/>
      </c>
      <c r="X1767" s="48" t="str">
        <f>IFERROR(IF(LayTable[[#This Row],[Total inns]]="","",LayTable[[#This Row],[Rlay]]/LayTable[[#This Row],[Total inns]]),"")</f>
        <v/>
      </c>
      <c r="Y1767" s="48" t="str">
        <f>IFERROR(LayTable[[#This Row],[Faktisk res]]/LayTable[[#This Row],[Total inns]],"")</f>
        <v/>
      </c>
      <c r="Z1767" s="47">
        <f>(LayTable[[#This Row],[BookieInnsats]]*LayTable[[#This Row],[BookieOdds]]-LayTable[[#This Row],[BookieInnsats]])*(1-LayTable[[#This Row],[C% Bookie]])</f>
        <v>0</v>
      </c>
      <c r="AA1767" s="43">
        <f>LayTable[[#This Row],[LayInnsats]]*(1-LayTable[[#This Row],[C% Lay]])</f>
        <v>0</v>
      </c>
      <c r="AB1767" s="43" t="str">
        <f>IFERROR(IF(LayTable[[#This Row],[Sport]]="",AB1766,LayTable[[#This Row],[Faktisk res]]+AB1766),"")</f>
        <v/>
      </c>
      <c r="AC1767" s="43">
        <f>(LayTable[[#This Row],[BackWin-Commission]]+LayTable[[#This Row],[BookieInnsats]])</f>
        <v>0</v>
      </c>
      <c r="AD1767" s="43" t="e">
        <f>(LayTable[[#This Row],[LayWin-Commission]])+LayTable[[#This Row],[LayLiability]]</f>
        <v>#VALUE!</v>
      </c>
      <c r="AE1767" s="43"/>
      <c r="AF1767" s="181"/>
    </row>
    <row r="1768" spans="1:32">
      <c r="A1768" s="84"/>
      <c r="B1768" s="39"/>
      <c r="C1768" s="40"/>
      <c r="D1768" s="41"/>
      <c r="E1768" s="40"/>
      <c r="F1768" s="41"/>
      <c r="G1768" s="101"/>
      <c r="H1768" s="38"/>
      <c r="I1768" s="42"/>
      <c r="J1768" s="42"/>
      <c r="K1768" s="43"/>
      <c r="L1768" s="43"/>
      <c r="M1768" s="44" t="str">
        <f>IF(LayTable[[#This Row],[Sport]]="","",LayTable[[#This Row],[LayInnsats]]*(LayTable[[#This Row],[LayOdds]]-1))</f>
        <v/>
      </c>
      <c r="N1768" s="45" t="str">
        <f>IF(LayTable[[#This Row],[Sport]]="","",1/((1/LayTable[[#This Row],[BookieOdds]])+(1/((1/((1+((LayTable[[#This Row],[LayOdds]]-1)*(1+LayTable[[#This Row],[C% Lay]])))-1))+1)))-1)</f>
        <v/>
      </c>
      <c r="Q1768" s="46" t="str">
        <f>IF(LayTable[[#This Row],[Sport]]="","",LayTable[[#This Row],[BookieInnsats]]+LayTable[[#This Row],[LayLiability]])</f>
        <v/>
      </c>
      <c r="R17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8" s="47" t="str">
        <f>IF(LayTable[[#This Row],[Utfall bookie]]="","",LayTable[[#This Row],[WBABack]]+LayTable[[#This Row],[WBALay]]-LayTable[[#This Row],[Total inns]])</f>
        <v/>
      </c>
      <c r="U17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8" s="48" t="str">
        <f>IFERROR(IF(LayTable[[#This Row],[Total inns]]="","",LayTable[[#This Row],[Rback]]/LayTable[[#This Row],[Total inns]]),"")</f>
        <v/>
      </c>
      <c r="X1768" s="48" t="str">
        <f>IFERROR(IF(LayTable[[#This Row],[Total inns]]="","",LayTable[[#This Row],[Rlay]]/LayTable[[#This Row],[Total inns]]),"")</f>
        <v/>
      </c>
      <c r="Y1768" s="48" t="str">
        <f>IFERROR(LayTable[[#This Row],[Faktisk res]]/LayTable[[#This Row],[Total inns]],"")</f>
        <v/>
      </c>
      <c r="Z1768" s="47">
        <f>(LayTable[[#This Row],[BookieInnsats]]*LayTable[[#This Row],[BookieOdds]]-LayTable[[#This Row],[BookieInnsats]])*(1-LayTable[[#This Row],[C% Bookie]])</f>
        <v>0</v>
      </c>
      <c r="AA1768" s="43">
        <f>LayTable[[#This Row],[LayInnsats]]*(1-LayTable[[#This Row],[C% Lay]])</f>
        <v>0</v>
      </c>
      <c r="AB1768" s="43" t="str">
        <f>IFERROR(IF(LayTable[[#This Row],[Sport]]="",AB1767,LayTable[[#This Row],[Faktisk res]]+AB1767),"")</f>
        <v/>
      </c>
      <c r="AC1768" s="43">
        <f>(LayTable[[#This Row],[BackWin-Commission]]+LayTable[[#This Row],[BookieInnsats]])</f>
        <v>0</v>
      </c>
      <c r="AD1768" s="43" t="e">
        <f>(LayTable[[#This Row],[LayWin-Commission]])+LayTable[[#This Row],[LayLiability]]</f>
        <v>#VALUE!</v>
      </c>
      <c r="AE1768" s="43"/>
      <c r="AF1768" s="181"/>
    </row>
    <row r="1769" spans="1:32">
      <c r="A1769" s="84"/>
      <c r="B1769" s="39"/>
      <c r="C1769" s="40"/>
      <c r="D1769" s="41"/>
      <c r="E1769" s="40"/>
      <c r="F1769" s="41"/>
      <c r="G1769" s="101"/>
      <c r="H1769" s="38"/>
      <c r="I1769" s="42"/>
      <c r="J1769" s="42"/>
      <c r="K1769" s="43"/>
      <c r="L1769" s="43"/>
      <c r="M1769" s="44" t="str">
        <f>IF(LayTable[[#This Row],[Sport]]="","",LayTable[[#This Row],[LayInnsats]]*(LayTable[[#This Row],[LayOdds]]-1))</f>
        <v/>
      </c>
      <c r="N1769" s="45" t="str">
        <f>IF(LayTable[[#This Row],[Sport]]="","",1/((1/LayTable[[#This Row],[BookieOdds]])+(1/((1/((1+((LayTable[[#This Row],[LayOdds]]-1)*(1+LayTable[[#This Row],[C% Lay]])))-1))+1)))-1)</f>
        <v/>
      </c>
      <c r="Q1769" s="46" t="str">
        <f>IF(LayTable[[#This Row],[Sport]]="","",LayTable[[#This Row],[BookieInnsats]]+LayTable[[#This Row],[LayLiability]])</f>
        <v/>
      </c>
      <c r="R17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69" s="47" t="str">
        <f>IF(LayTable[[#This Row],[Utfall bookie]]="","",LayTable[[#This Row],[WBABack]]+LayTable[[#This Row],[WBALay]]-LayTable[[#This Row],[Total inns]])</f>
        <v/>
      </c>
      <c r="U17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69" s="48" t="str">
        <f>IFERROR(IF(LayTable[[#This Row],[Total inns]]="","",LayTable[[#This Row],[Rback]]/LayTable[[#This Row],[Total inns]]),"")</f>
        <v/>
      </c>
      <c r="X1769" s="48" t="str">
        <f>IFERROR(IF(LayTable[[#This Row],[Total inns]]="","",LayTable[[#This Row],[Rlay]]/LayTable[[#This Row],[Total inns]]),"")</f>
        <v/>
      </c>
      <c r="Y1769" s="48" t="str">
        <f>IFERROR(LayTable[[#This Row],[Faktisk res]]/LayTable[[#This Row],[Total inns]],"")</f>
        <v/>
      </c>
      <c r="Z1769" s="47">
        <f>(LayTable[[#This Row],[BookieInnsats]]*LayTable[[#This Row],[BookieOdds]]-LayTable[[#This Row],[BookieInnsats]])*(1-LayTable[[#This Row],[C% Bookie]])</f>
        <v>0</v>
      </c>
      <c r="AA1769" s="43">
        <f>LayTable[[#This Row],[LayInnsats]]*(1-LayTable[[#This Row],[C% Lay]])</f>
        <v>0</v>
      </c>
      <c r="AB1769" s="43" t="str">
        <f>IFERROR(IF(LayTable[[#This Row],[Sport]]="",AB1768,LayTable[[#This Row],[Faktisk res]]+AB1768),"")</f>
        <v/>
      </c>
      <c r="AC1769" s="43">
        <f>(LayTable[[#This Row],[BackWin-Commission]]+LayTable[[#This Row],[BookieInnsats]])</f>
        <v>0</v>
      </c>
      <c r="AD1769" s="43" t="e">
        <f>(LayTable[[#This Row],[LayWin-Commission]])+LayTable[[#This Row],[LayLiability]]</f>
        <v>#VALUE!</v>
      </c>
      <c r="AE1769" s="43"/>
      <c r="AF1769" s="181"/>
    </row>
    <row r="1770" spans="1:32">
      <c r="A1770" s="84"/>
      <c r="B1770" s="39"/>
      <c r="C1770" s="40"/>
      <c r="D1770" s="41"/>
      <c r="E1770" s="40"/>
      <c r="F1770" s="41"/>
      <c r="G1770" s="101"/>
      <c r="H1770" s="38"/>
      <c r="I1770" s="42"/>
      <c r="J1770" s="42"/>
      <c r="K1770" s="43"/>
      <c r="L1770" s="43"/>
      <c r="M1770" s="44" t="str">
        <f>IF(LayTable[[#This Row],[Sport]]="","",LayTable[[#This Row],[LayInnsats]]*(LayTable[[#This Row],[LayOdds]]-1))</f>
        <v/>
      </c>
      <c r="N1770" s="45" t="str">
        <f>IF(LayTable[[#This Row],[Sport]]="","",1/((1/LayTable[[#This Row],[BookieOdds]])+(1/((1/((1+((LayTable[[#This Row],[LayOdds]]-1)*(1+LayTable[[#This Row],[C% Lay]])))-1))+1)))-1)</f>
        <v/>
      </c>
      <c r="Q1770" s="46" t="str">
        <f>IF(LayTable[[#This Row],[Sport]]="","",LayTable[[#This Row],[BookieInnsats]]+LayTable[[#This Row],[LayLiability]])</f>
        <v/>
      </c>
      <c r="R17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0" s="47" t="str">
        <f>IF(LayTable[[#This Row],[Utfall bookie]]="","",LayTable[[#This Row],[WBABack]]+LayTable[[#This Row],[WBALay]]-LayTable[[#This Row],[Total inns]])</f>
        <v/>
      </c>
      <c r="U17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0" s="48" t="str">
        <f>IFERROR(IF(LayTable[[#This Row],[Total inns]]="","",LayTable[[#This Row],[Rback]]/LayTable[[#This Row],[Total inns]]),"")</f>
        <v/>
      </c>
      <c r="X1770" s="48" t="str">
        <f>IFERROR(IF(LayTable[[#This Row],[Total inns]]="","",LayTable[[#This Row],[Rlay]]/LayTable[[#This Row],[Total inns]]),"")</f>
        <v/>
      </c>
      <c r="Y1770" s="48" t="str">
        <f>IFERROR(LayTable[[#This Row],[Faktisk res]]/LayTable[[#This Row],[Total inns]],"")</f>
        <v/>
      </c>
      <c r="Z1770" s="47">
        <f>(LayTable[[#This Row],[BookieInnsats]]*LayTable[[#This Row],[BookieOdds]]-LayTable[[#This Row],[BookieInnsats]])*(1-LayTable[[#This Row],[C% Bookie]])</f>
        <v>0</v>
      </c>
      <c r="AA1770" s="43">
        <f>LayTable[[#This Row],[LayInnsats]]*(1-LayTable[[#This Row],[C% Lay]])</f>
        <v>0</v>
      </c>
      <c r="AB1770" s="43" t="str">
        <f>IFERROR(IF(LayTable[[#This Row],[Sport]]="",AB1769,LayTable[[#This Row],[Faktisk res]]+AB1769),"")</f>
        <v/>
      </c>
      <c r="AC1770" s="43">
        <f>(LayTable[[#This Row],[BackWin-Commission]]+LayTable[[#This Row],[BookieInnsats]])</f>
        <v>0</v>
      </c>
      <c r="AD1770" s="43" t="e">
        <f>(LayTable[[#This Row],[LayWin-Commission]])+LayTable[[#This Row],[LayLiability]]</f>
        <v>#VALUE!</v>
      </c>
      <c r="AE1770" s="43"/>
      <c r="AF1770" s="181"/>
    </row>
    <row r="1771" spans="1:32">
      <c r="A1771" s="84"/>
      <c r="B1771" s="39"/>
      <c r="C1771" s="40"/>
      <c r="D1771" s="41"/>
      <c r="E1771" s="40"/>
      <c r="F1771" s="41"/>
      <c r="G1771" s="101"/>
      <c r="H1771" s="38"/>
      <c r="I1771" s="42"/>
      <c r="J1771" s="42"/>
      <c r="K1771" s="43"/>
      <c r="L1771" s="43"/>
      <c r="M1771" s="44" t="str">
        <f>IF(LayTable[[#This Row],[Sport]]="","",LayTable[[#This Row],[LayInnsats]]*(LayTable[[#This Row],[LayOdds]]-1))</f>
        <v/>
      </c>
      <c r="N1771" s="45" t="str">
        <f>IF(LayTable[[#This Row],[Sport]]="","",1/((1/LayTable[[#This Row],[BookieOdds]])+(1/((1/((1+((LayTable[[#This Row],[LayOdds]]-1)*(1+LayTable[[#This Row],[C% Lay]])))-1))+1)))-1)</f>
        <v/>
      </c>
      <c r="Q1771" s="46" t="str">
        <f>IF(LayTable[[#This Row],[Sport]]="","",LayTable[[#This Row],[BookieInnsats]]+LayTable[[#This Row],[LayLiability]])</f>
        <v/>
      </c>
      <c r="R17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1" s="47" t="str">
        <f>IF(LayTable[[#This Row],[Utfall bookie]]="","",LayTable[[#This Row],[WBABack]]+LayTable[[#This Row],[WBALay]]-LayTable[[#This Row],[Total inns]])</f>
        <v/>
      </c>
      <c r="U17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1" s="48" t="str">
        <f>IFERROR(IF(LayTable[[#This Row],[Total inns]]="","",LayTable[[#This Row],[Rback]]/LayTable[[#This Row],[Total inns]]),"")</f>
        <v/>
      </c>
      <c r="X1771" s="48" t="str">
        <f>IFERROR(IF(LayTable[[#This Row],[Total inns]]="","",LayTable[[#This Row],[Rlay]]/LayTable[[#This Row],[Total inns]]),"")</f>
        <v/>
      </c>
      <c r="Y1771" s="48" t="str">
        <f>IFERROR(LayTable[[#This Row],[Faktisk res]]/LayTable[[#This Row],[Total inns]],"")</f>
        <v/>
      </c>
      <c r="Z1771" s="47">
        <f>(LayTable[[#This Row],[BookieInnsats]]*LayTable[[#This Row],[BookieOdds]]-LayTable[[#This Row],[BookieInnsats]])*(1-LayTable[[#This Row],[C% Bookie]])</f>
        <v>0</v>
      </c>
      <c r="AA1771" s="43">
        <f>LayTable[[#This Row],[LayInnsats]]*(1-LayTable[[#This Row],[C% Lay]])</f>
        <v>0</v>
      </c>
      <c r="AB1771" s="43" t="str">
        <f>IFERROR(IF(LayTable[[#This Row],[Sport]]="",AB1770,LayTable[[#This Row],[Faktisk res]]+AB1770),"")</f>
        <v/>
      </c>
      <c r="AC1771" s="43">
        <f>(LayTable[[#This Row],[BackWin-Commission]]+LayTable[[#This Row],[BookieInnsats]])</f>
        <v>0</v>
      </c>
      <c r="AD1771" s="43" t="e">
        <f>(LayTable[[#This Row],[LayWin-Commission]])+LayTable[[#This Row],[LayLiability]]</f>
        <v>#VALUE!</v>
      </c>
      <c r="AE1771" s="43"/>
      <c r="AF1771" s="181"/>
    </row>
    <row r="1772" spans="1:32">
      <c r="A1772" s="84"/>
      <c r="B1772" s="39"/>
      <c r="C1772" s="40"/>
      <c r="D1772" s="41"/>
      <c r="E1772" s="40"/>
      <c r="F1772" s="41"/>
      <c r="G1772" s="101"/>
      <c r="H1772" s="38"/>
      <c r="I1772" s="42"/>
      <c r="J1772" s="42"/>
      <c r="K1772" s="43"/>
      <c r="L1772" s="43"/>
      <c r="M1772" s="44" t="str">
        <f>IF(LayTable[[#This Row],[Sport]]="","",LayTable[[#This Row],[LayInnsats]]*(LayTable[[#This Row],[LayOdds]]-1))</f>
        <v/>
      </c>
      <c r="N1772" s="45" t="str">
        <f>IF(LayTable[[#This Row],[Sport]]="","",1/((1/LayTable[[#This Row],[BookieOdds]])+(1/((1/((1+((LayTable[[#This Row],[LayOdds]]-1)*(1+LayTable[[#This Row],[C% Lay]])))-1))+1)))-1)</f>
        <v/>
      </c>
      <c r="Q1772" s="46" t="str">
        <f>IF(LayTable[[#This Row],[Sport]]="","",LayTable[[#This Row],[BookieInnsats]]+LayTable[[#This Row],[LayLiability]])</f>
        <v/>
      </c>
      <c r="R17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2" s="47" t="str">
        <f>IF(LayTable[[#This Row],[Utfall bookie]]="","",LayTable[[#This Row],[WBABack]]+LayTable[[#This Row],[WBALay]]-LayTable[[#This Row],[Total inns]])</f>
        <v/>
      </c>
      <c r="U17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2" s="48" t="str">
        <f>IFERROR(IF(LayTable[[#This Row],[Total inns]]="","",LayTable[[#This Row],[Rback]]/LayTable[[#This Row],[Total inns]]),"")</f>
        <v/>
      </c>
      <c r="X1772" s="48" t="str">
        <f>IFERROR(IF(LayTable[[#This Row],[Total inns]]="","",LayTable[[#This Row],[Rlay]]/LayTable[[#This Row],[Total inns]]),"")</f>
        <v/>
      </c>
      <c r="Y1772" s="48" t="str">
        <f>IFERROR(LayTable[[#This Row],[Faktisk res]]/LayTable[[#This Row],[Total inns]],"")</f>
        <v/>
      </c>
      <c r="Z1772" s="47">
        <f>(LayTable[[#This Row],[BookieInnsats]]*LayTable[[#This Row],[BookieOdds]]-LayTable[[#This Row],[BookieInnsats]])*(1-LayTable[[#This Row],[C% Bookie]])</f>
        <v>0</v>
      </c>
      <c r="AA1772" s="43">
        <f>LayTable[[#This Row],[LayInnsats]]*(1-LayTable[[#This Row],[C% Lay]])</f>
        <v>0</v>
      </c>
      <c r="AB1772" s="43" t="str">
        <f>IFERROR(IF(LayTable[[#This Row],[Sport]]="",AB1771,LayTable[[#This Row],[Faktisk res]]+AB1771),"")</f>
        <v/>
      </c>
      <c r="AC1772" s="43">
        <f>(LayTable[[#This Row],[BackWin-Commission]]+LayTable[[#This Row],[BookieInnsats]])</f>
        <v>0</v>
      </c>
      <c r="AD1772" s="43" t="e">
        <f>(LayTable[[#This Row],[LayWin-Commission]])+LayTable[[#This Row],[LayLiability]]</f>
        <v>#VALUE!</v>
      </c>
      <c r="AE1772" s="43"/>
      <c r="AF1772" s="181"/>
    </row>
    <row r="1773" spans="1:32">
      <c r="A1773" s="84"/>
      <c r="B1773" s="39"/>
      <c r="C1773" s="40"/>
      <c r="D1773" s="41"/>
      <c r="E1773" s="40"/>
      <c r="F1773" s="41"/>
      <c r="G1773" s="101"/>
      <c r="H1773" s="38"/>
      <c r="I1773" s="42"/>
      <c r="J1773" s="42"/>
      <c r="K1773" s="43"/>
      <c r="L1773" s="43"/>
      <c r="M1773" s="44" t="str">
        <f>IF(LayTable[[#This Row],[Sport]]="","",LayTable[[#This Row],[LayInnsats]]*(LayTable[[#This Row],[LayOdds]]-1))</f>
        <v/>
      </c>
      <c r="N1773" s="45" t="str">
        <f>IF(LayTable[[#This Row],[Sport]]="","",1/((1/LayTable[[#This Row],[BookieOdds]])+(1/((1/((1+((LayTable[[#This Row],[LayOdds]]-1)*(1+LayTable[[#This Row],[C% Lay]])))-1))+1)))-1)</f>
        <v/>
      </c>
      <c r="Q1773" s="46" t="str">
        <f>IF(LayTable[[#This Row],[Sport]]="","",LayTable[[#This Row],[BookieInnsats]]+LayTable[[#This Row],[LayLiability]])</f>
        <v/>
      </c>
      <c r="R17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3" s="47" t="str">
        <f>IF(LayTable[[#This Row],[Utfall bookie]]="","",LayTable[[#This Row],[WBABack]]+LayTable[[#This Row],[WBALay]]-LayTable[[#This Row],[Total inns]])</f>
        <v/>
      </c>
      <c r="U17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3" s="48" t="str">
        <f>IFERROR(IF(LayTable[[#This Row],[Total inns]]="","",LayTable[[#This Row],[Rback]]/LayTable[[#This Row],[Total inns]]),"")</f>
        <v/>
      </c>
      <c r="X1773" s="48" t="str">
        <f>IFERROR(IF(LayTable[[#This Row],[Total inns]]="","",LayTable[[#This Row],[Rlay]]/LayTable[[#This Row],[Total inns]]),"")</f>
        <v/>
      </c>
      <c r="Y1773" s="48" t="str">
        <f>IFERROR(LayTable[[#This Row],[Faktisk res]]/LayTable[[#This Row],[Total inns]],"")</f>
        <v/>
      </c>
      <c r="Z1773" s="47">
        <f>(LayTable[[#This Row],[BookieInnsats]]*LayTable[[#This Row],[BookieOdds]]-LayTable[[#This Row],[BookieInnsats]])*(1-LayTable[[#This Row],[C% Bookie]])</f>
        <v>0</v>
      </c>
      <c r="AA1773" s="43">
        <f>LayTable[[#This Row],[LayInnsats]]*(1-LayTable[[#This Row],[C% Lay]])</f>
        <v>0</v>
      </c>
      <c r="AB1773" s="43" t="str">
        <f>IFERROR(IF(LayTable[[#This Row],[Sport]]="",AB1772,LayTable[[#This Row],[Faktisk res]]+AB1772),"")</f>
        <v/>
      </c>
      <c r="AC1773" s="43">
        <f>(LayTable[[#This Row],[BackWin-Commission]]+LayTable[[#This Row],[BookieInnsats]])</f>
        <v>0</v>
      </c>
      <c r="AD1773" s="43" t="e">
        <f>(LayTable[[#This Row],[LayWin-Commission]])+LayTable[[#This Row],[LayLiability]]</f>
        <v>#VALUE!</v>
      </c>
      <c r="AE1773" s="43"/>
      <c r="AF1773" s="181"/>
    </row>
    <row r="1774" spans="1:32">
      <c r="A1774" s="84"/>
      <c r="B1774" s="39"/>
      <c r="C1774" s="40"/>
      <c r="D1774" s="41"/>
      <c r="E1774" s="40"/>
      <c r="F1774" s="41"/>
      <c r="G1774" s="101"/>
      <c r="H1774" s="38"/>
      <c r="I1774" s="42"/>
      <c r="J1774" s="42"/>
      <c r="K1774" s="43"/>
      <c r="L1774" s="43"/>
      <c r="M1774" s="44" t="str">
        <f>IF(LayTable[[#This Row],[Sport]]="","",LayTable[[#This Row],[LayInnsats]]*(LayTable[[#This Row],[LayOdds]]-1))</f>
        <v/>
      </c>
      <c r="N1774" s="45" t="str">
        <f>IF(LayTable[[#This Row],[Sport]]="","",1/((1/LayTable[[#This Row],[BookieOdds]])+(1/((1/((1+((LayTable[[#This Row],[LayOdds]]-1)*(1+LayTable[[#This Row],[C% Lay]])))-1))+1)))-1)</f>
        <v/>
      </c>
      <c r="Q1774" s="46" t="str">
        <f>IF(LayTable[[#This Row],[Sport]]="","",LayTable[[#This Row],[BookieInnsats]]+LayTable[[#This Row],[LayLiability]])</f>
        <v/>
      </c>
      <c r="R17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4" s="47" t="str">
        <f>IF(LayTable[[#This Row],[Utfall bookie]]="","",LayTable[[#This Row],[WBABack]]+LayTable[[#This Row],[WBALay]]-LayTable[[#This Row],[Total inns]])</f>
        <v/>
      </c>
      <c r="U17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4" s="48" t="str">
        <f>IFERROR(IF(LayTable[[#This Row],[Total inns]]="","",LayTable[[#This Row],[Rback]]/LayTable[[#This Row],[Total inns]]),"")</f>
        <v/>
      </c>
      <c r="X1774" s="48" t="str">
        <f>IFERROR(IF(LayTable[[#This Row],[Total inns]]="","",LayTable[[#This Row],[Rlay]]/LayTable[[#This Row],[Total inns]]),"")</f>
        <v/>
      </c>
      <c r="Y1774" s="48" t="str">
        <f>IFERROR(LayTable[[#This Row],[Faktisk res]]/LayTable[[#This Row],[Total inns]],"")</f>
        <v/>
      </c>
      <c r="Z1774" s="47">
        <f>(LayTable[[#This Row],[BookieInnsats]]*LayTable[[#This Row],[BookieOdds]]-LayTable[[#This Row],[BookieInnsats]])*(1-LayTable[[#This Row],[C% Bookie]])</f>
        <v>0</v>
      </c>
      <c r="AA1774" s="43">
        <f>LayTable[[#This Row],[LayInnsats]]*(1-LayTable[[#This Row],[C% Lay]])</f>
        <v>0</v>
      </c>
      <c r="AB1774" s="43" t="str">
        <f>IFERROR(IF(LayTable[[#This Row],[Sport]]="",AB1773,LayTable[[#This Row],[Faktisk res]]+AB1773),"")</f>
        <v/>
      </c>
      <c r="AC1774" s="43">
        <f>(LayTable[[#This Row],[BackWin-Commission]]+LayTable[[#This Row],[BookieInnsats]])</f>
        <v>0</v>
      </c>
      <c r="AD1774" s="43" t="e">
        <f>(LayTable[[#This Row],[LayWin-Commission]])+LayTable[[#This Row],[LayLiability]]</f>
        <v>#VALUE!</v>
      </c>
      <c r="AE1774" s="43"/>
      <c r="AF1774" s="181"/>
    </row>
    <row r="1775" spans="1:32">
      <c r="A1775" s="84"/>
      <c r="B1775" s="39"/>
      <c r="C1775" s="40"/>
      <c r="D1775" s="41"/>
      <c r="E1775" s="40"/>
      <c r="F1775" s="41"/>
      <c r="G1775" s="101"/>
      <c r="H1775" s="38"/>
      <c r="I1775" s="42"/>
      <c r="J1775" s="42"/>
      <c r="K1775" s="43"/>
      <c r="L1775" s="43"/>
      <c r="M1775" s="44" t="str">
        <f>IF(LayTable[[#This Row],[Sport]]="","",LayTable[[#This Row],[LayInnsats]]*(LayTable[[#This Row],[LayOdds]]-1))</f>
        <v/>
      </c>
      <c r="N1775" s="45" t="str">
        <f>IF(LayTable[[#This Row],[Sport]]="","",1/((1/LayTable[[#This Row],[BookieOdds]])+(1/((1/((1+((LayTable[[#This Row],[LayOdds]]-1)*(1+LayTable[[#This Row],[C% Lay]])))-1))+1)))-1)</f>
        <v/>
      </c>
      <c r="Q1775" s="46" t="str">
        <f>IF(LayTable[[#This Row],[Sport]]="","",LayTable[[#This Row],[BookieInnsats]]+LayTable[[#This Row],[LayLiability]])</f>
        <v/>
      </c>
      <c r="R17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5" s="47" t="str">
        <f>IF(LayTable[[#This Row],[Utfall bookie]]="","",LayTable[[#This Row],[WBABack]]+LayTable[[#This Row],[WBALay]]-LayTable[[#This Row],[Total inns]])</f>
        <v/>
      </c>
      <c r="U17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5" s="48" t="str">
        <f>IFERROR(IF(LayTable[[#This Row],[Total inns]]="","",LayTable[[#This Row],[Rback]]/LayTable[[#This Row],[Total inns]]),"")</f>
        <v/>
      </c>
      <c r="X1775" s="48" t="str">
        <f>IFERROR(IF(LayTable[[#This Row],[Total inns]]="","",LayTable[[#This Row],[Rlay]]/LayTable[[#This Row],[Total inns]]),"")</f>
        <v/>
      </c>
      <c r="Y1775" s="48" t="str">
        <f>IFERROR(LayTable[[#This Row],[Faktisk res]]/LayTable[[#This Row],[Total inns]],"")</f>
        <v/>
      </c>
      <c r="Z1775" s="47">
        <f>(LayTable[[#This Row],[BookieInnsats]]*LayTable[[#This Row],[BookieOdds]]-LayTable[[#This Row],[BookieInnsats]])*(1-LayTable[[#This Row],[C% Bookie]])</f>
        <v>0</v>
      </c>
      <c r="AA1775" s="43">
        <f>LayTable[[#This Row],[LayInnsats]]*(1-LayTable[[#This Row],[C% Lay]])</f>
        <v>0</v>
      </c>
      <c r="AB1775" s="43" t="str">
        <f>IFERROR(IF(LayTable[[#This Row],[Sport]]="",AB1774,LayTable[[#This Row],[Faktisk res]]+AB1774),"")</f>
        <v/>
      </c>
      <c r="AC1775" s="43">
        <f>(LayTable[[#This Row],[BackWin-Commission]]+LayTable[[#This Row],[BookieInnsats]])</f>
        <v>0</v>
      </c>
      <c r="AD1775" s="43" t="e">
        <f>(LayTable[[#This Row],[LayWin-Commission]])+LayTable[[#This Row],[LayLiability]]</f>
        <v>#VALUE!</v>
      </c>
      <c r="AE1775" s="43"/>
      <c r="AF1775" s="181"/>
    </row>
    <row r="1776" spans="1:32">
      <c r="A1776" s="84"/>
      <c r="B1776" s="39"/>
      <c r="C1776" s="40"/>
      <c r="D1776" s="41"/>
      <c r="E1776" s="40"/>
      <c r="F1776" s="41"/>
      <c r="G1776" s="101"/>
      <c r="H1776" s="38"/>
      <c r="I1776" s="42"/>
      <c r="J1776" s="42"/>
      <c r="K1776" s="43"/>
      <c r="L1776" s="43"/>
      <c r="M1776" s="44" t="str">
        <f>IF(LayTable[[#This Row],[Sport]]="","",LayTable[[#This Row],[LayInnsats]]*(LayTable[[#This Row],[LayOdds]]-1))</f>
        <v/>
      </c>
      <c r="N1776" s="45" t="str">
        <f>IF(LayTable[[#This Row],[Sport]]="","",1/((1/LayTable[[#This Row],[BookieOdds]])+(1/((1/((1+((LayTable[[#This Row],[LayOdds]]-1)*(1+LayTable[[#This Row],[C% Lay]])))-1))+1)))-1)</f>
        <v/>
      </c>
      <c r="Q1776" s="46" t="str">
        <f>IF(LayTable[[#This Row],[Sport]]="","",LayTable[[#This Row],[BookieInnsats]]+LayTable[[#This Row],[LayLiability]])</f>
        <v/>
      </c>
      <c r="R17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6" s="47" t="str">
        <f>IF(LayTable[[#This Row],[Utfall bookie]]="","",LayTable[[#This Row],[WBABack]]+LayTable[[#This Row],[WBALay]]-LayTable[[#This Row],[Total inns]])</f>
        <v/>
      </c>
      <c r="U17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6" s="48" t="str">
        <f>IFERROR(IF(LayTable[[#This Row],[Total inns]]="","",LayTable[[#This Row],[Rback]]/LayTable[[#This Row],[Total inns]]),"")</f>
        <v/>
      </c>
      <c r="X1776" s="48" t="str">
        <f>IFERROR(IF(LayTable[[#This Row],[Total inns]]="","",LayTable[[#This Row],[Rlay]]/LayTable[[#This Row],[Total inns]]),"")</f>
        <v/>
      </c>
      <c r="Y1776" s="48" t="str">
        <f>IFERROR(LayTable[[#This Row],[Faktisk res]]/LayTable[[#This Row],[Total inns]],"")</f>
        <v/>
      </c>
      <c r="Z1776" s="47">
        <f>(LayTable[[#This Row],[BookieInnsats]]*LayTable[[#This Row],[BookieOdds]]-LayTable[[#This Row],[BookieInnsats]])*(1-LayTable[[#This Row],[C% Bookie]])</f>
        <v>0</v>
      </c>
      <c r="AA1776" s="43">
        <f>LayTable[[#This Row],[LayInnsats]]*(1-LayTable[[#This Row],[C% Lay]])</f>
        <v>0</v>
      </c>
      <c r="AB1776" s="43" t="str">
        <f>IFERROR(IF(LayTable[[#This Row],[Sport]]="",AB1775,LayTable[[#This Row],[Faktisk res]]+AB1775),"")</f>
        <v/>
      </c>
      <c r="AC1776" s="43">
        <f>(LayTable[[#This Row],[BackWin-Commission]]+LayTable[[#This Row],[BookieInnsats]])</f>
        <v>0</v>
      </c>
      <c r="AD1776" s="43" t="e">
        <f>(LayTable[[#This Row],[LayWin-Commission]])+LayTable[[#This Row],[LayLiability]]</f>
        <v>#VALUE!</v>
      </c>
      <c r="AE1776" s="43"/>
      <c r="AF1776" s="181"/>
    </row>
    <row r="1777" spans="1:32">
      <c r="A1777" s="84"/>
      <c r="B1777" s="39"/>
      <c r="C1777" s="40"/>
      <c r="D1777" s="41"/>
      <c r="E1777" s="40"/>
      <c r="F1777" s="41"/>
      <c r="G1777" s="101"/>
      <c r="H1777" s="38"/>
      <c r="I1777" s="42"/>
      <c r="J1777" s="42"/>
      <c r="K1777" s="43"/>
      <c r="L1777" s="43"/>
      <c r="M1777" s="44" t="str">
        <f>IF(LayTable[[#This Row],[Sport]]="","",LayTable[[#This Row],[LayInnsats]]*(LayTable[[#This Row],[LayOdds]]-1))</f>
        <v/>
      </c>
      <c r="N1777" s="45" t="str">
        <f>IF(LayTable[[#This Row],[Sport]]="","",1/((1/LayTable[[#This Row],[BookieOdds]])+(1/((1/((1+((LayTable[[#This Row],[LayOdds]]-1)*(1+LayTable[[#This Row],[C% Lay]])))-1))+1)))-1)</f>
        <v/>
      </c>
      <c r="Q1777" s="46" t="str">
        <f>IF(LayTable[[#This Row],[Sport]]="","",LayTable[[#This Row],[BookieInnsats]]+LayTable[[#This Row],[LayLiability]])</f>
        <v/>
      </c>
      <c r="R17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7" s="47" t="str">
        <f>IF(LayTable[[#This Row],[Utfall bookie]]="","",LayTable[[#This Row],[WBABack]]+LayTable[[#This Row],[WBALay]]-LayTable[[#This Row],[Total inns]])</f>
        <v/>
      </c>
      <c r="U17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7" s="48" t="str">
        <f>IFERROR(IF(LayTable[[#This Row],[Total inns]]="","",LayTable[[#This Row],[Rback]]/LayTable[[#This Row],[Total inns]]),"")</f>
        <v/>
      </c>
      <c r="X1777" s="48" t="str">
        <f>IFERROR(IF(LayTable[[#This Row],[Total inns]]="","",LayTable[[#This Row],[Rlay]]/LayTable[[#This Row],[Total inns]]),"")</f>
        <v/>
      </c>
      <c r="Y1777" s="48" t="str">
        <f>IFERROR(LayTable[[#This Row],[Faktisk res]]/LayTable[[#This Row],[Total inns]],"")</f>
        <v/>
      </c>
      <c r="Z1777" s="47">
        <f>(LayTable[[#This Row],[BookieInnsats]]*LayTable[[#This Row],[BookieOdds]]-LayTable[[#This Row],[BookieInnsats]])*(1-LayTable[[#This Row],[C% Bookie]])</f>
        <v>0</v>
      </c>
      <c r="AA1777" s="43">
        <f>LayTable[[#This Row],[LayInnsats]]*(1-LayTable[[#This Row],[C% Lay]])</f>
        <v>0</v>
      </c>
      <c r="AB1777" s="43" t="str">
        <f>IFERROR(IF(LayTable[[#This Row],[Sport]]="",AB1776,LayTable[[#This Row],[Faktisk res]]+AB1776),"")</f>
        <v/>
      </c>
      <c r="AC1777" s="43">
        <f>(LayTable[[#This Row],[BackWin-Commission]]+LayTable[[#This Row],[BookieInnsats]])</f>
        <v>0</v>
      </c>
      <c r="AD1777" s="43" t="e">
        <f>(LayTable[[#This Row],[LayWin-Commission]])+LayTable[[#This Row],[LayLiability]]</f>
        <v>#VALUE!</v>
      </c>
      <c r="AE1777" s="43"/>
      <c r="AF1777" s="181"/>
    </row>
    <row r="1778" spans="1:32">
      <c r="A1778" s="84"/>
      <c r="B1778" s="39"/>
      <c r="C1778" s="40"/>
      <c r="D1778" s="41"/>
      <c r="E1778" s="40"/>
      <c r="F1778" s="41"/>
      <c r="G1778" s="101"/>
      <c r="H1778" s="38"/>
      <c r="I1778" s="42"/>
      <c r="J1778" s="42"/>
      <c r="K1778" s="43"/>
      <c r="L1778" s="43"/>
      <c r="M1778" s="44" t="str">
        <f>IF(LayTable[[#This Row],[Sport]]="","",LayTable[[#This Row],[LayInnsats]]*(LayTable[[#This Row],[LayOdds]]-1))</f>
        <v/>
      </c>
      <c r="N1778" s="45" t="str">
        <f>IF(LayTable[[#This Row],[Sport]]="","",1/((1/LayTable[[#This Row],[BookieOdds]])+(1/((1/((1+((LayTable[[#This Row],[LayOdds]]-1)*(1+LayTable[[#This Row],[C% Lay]])))-1))+1)))-1)</f>
        <v/>
      </c>
      <c r="Q1778" s="46" t="str">
        <f>IF(LayTable[[#This Row],[Sport]]="","",LayTable[[#This Row],[BookieInnsats]]+LayTable[[#This Row],[LayLiability]])</f>
        <v/>
      </c>
      <c r="R17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8" s="47" t="str">
        <f>IF(LayTable[[#This Row],[Utfall bookie]]="","",LayTable[[#This Row],[WBABack]]+LayTable[[#This Row],[WBALay]]-LayTable[[#This Row],[Total inns]])</f>
        <v/>
      </c>
      <c r="U17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8" s="48" t="str">
        <f>IFERROR(IF(LayTable[[#This Row],[Total inns]]="","",LayTable[[#This Row],[Rback]]/LayTable[[#This Row],[Total inns]]),"")</f>
        <v/>
      </c>
      <c r="X1778" s="48" t="str">
        <f>IFERROR(IF(LayTable[[#This Row],[Total inns]]="","",LayTable[[#This Row],[Rlay]]/LayTable[[#This Row],[Total inns]]),"")</f>
        <v/>
      </c>
      <c r="Y1778" s="48" t="str">
        <f>IFERROR(LayTable[[#This Row],[Faktisk res]]/LayTable[[#This Row],[Total inns]],"")</f>
        <v/>
      </c>
      <c r="Z1778" s="47">
        <f>(LayTable[[#This Row],[BookieInnsats]]*LayTable[[#This Row],[BookieOdds]]-LayTable[[#This Row],[BookieInnsats]])*(1-LayTable[[#This Row],[C% Bookie]])</f>
        <v>0</v>
      </c>
      <c r="AA1778" s="43">
        <f>LayTable[[#This Row],[LayInnsats]]*(1-LayTable[[#This Row],[C% Lay]])</f>
        <v>0</v>
      </c>
      <c r="AB1778" s="43" t="str">
        <f>IFERROR(IF(LayTable[[#This Row],[Sport]]="",AB1777,LayTable[[#This Row],[Faktisk res]]+AB1777),"")</f>
        <v/>
      </c>
      <c r="AC1778" s="43">
        <f>(LayTable[[#This Row],[BackWin-Commission]]+LayTable[[#This Row],[BookieInnsats]])</f>
        <v>0</v>
      </c>
      <c r="AD1778" s="43" t="e">
        <f>(LayTable[[#This Row],[LayWin-Commission]])+LayTable[[#This Row],[LayLiability]]</f>
        <v>#VALUE!</v>
      </c>
      <c r="AE1778" s="43"/>
      <c r="AF1778" s="181"/>
    </row>
    <row r="1779" spans="1:32">
      <c r="A1779" s="84"/>
      <c r="B1779" s="39"/>
      <c r="C1779" s="40"/>
      <c r="D1779" s="41"/>
      <c r="E1779" s="40"/>
      <c r="F1779" s="41"/>
      <c r="G1779" s="101"/>
      <c r="H1779" s="38"/>
      <c r="I1779" s="42"/>
      <c r="J1779" s="42"/>
      <c r="K1779" s="43"/>
      <c r="L1779" s="43"/>
      <c r="M1779" s="44" t="str">
        <f>IF(LayTable[[#This Row],[Sport]]="","",LayTable[[#This Row],[LayInnsats]]*(LayTable[[#This Row],[LayOdds]]-1))</f>
        <v/>
      </c>
      <c r="N1779" s="45" t="str">
        <f>IF(LayTable[[#This Row],[Sport]]="","",1/((1/LayTable[[#This Row],[BookieOdds]])+(1/((1/((1+((LayTable[[#This Row],[LayOdds]]-1)*(1+LayTable[[#This Row],[C% Lay]])))-1))+1)))-1)</f>
        <v/>
      </c>
      <c r="Q1779" s="46" t="str">
        <f>IF(LayTable[[#This Row],[Sport]]="","",LayTable[[#This Row],[BookieInnsats]]+LayTable[[#This Row],[LayLiability]])</f>
        <v/>
      </c>
      <c r="R17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79" s="47" t="str">
        <f>IF(LayTable[[#This Row],[Utfall bookie]]="","",LayTable[[#This Row],[WBABack]]+LayTable[[#This Row],[WBALay]]-LayTable[[#This Row],[Total inns]])</f>
        <v/>
      </c>
      <c r="U17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79" s="48" t="str">
        <f>IFERROR(IF(LayTable[[#This Row],[Total inns]]="","",LayTable[[#This Row],[Rback]]/LayTable[[#This Row],[Total inns]]),"")</f>
        <v/>
      </c>
      <c r="X1779" s="48" t="str">
        <f>IFERROR(IF(LayTable[[#This Row],[Total inns]]="","",LayTable[[#This Row],[Rlay]]/LayTable[[#This Row],[Total inns]]),"")</f>
        <v/>
      </c>
      <c r="Y1779" s="48" t="str">
        <f>IFERROR(LayTable[[#This Row],[Faktisk res]]/LayTable[[#This Row],[Total inns]],"")</f>
        <v/>
      </c>
      <c r="Z1779" s="47">
        <f>(LayTable[[#This Row],[BookieInnsats]]*LayTable[[#This Row],[BookieOdds]]-LayTable[[#This Row],[BookieInnsats]])*(1-LayTable[[#This Row],[C% Bookie]])</f>
        <v>0</v>
      </c>
      <c r="AA1779" s="43">
        <f>LayTable[[#This Row],[LayInnsats]]*(1-LayTable[[#This Row],[C% Lay]])</f>
        <v>0</v>
      </c>
      <c r="AB1779" s="43" t="str">
        <f>IFERROR(IF(LayTable[[#This Row],[Sport]]="",AB1778,LayTable[[#This Row],[Faktisk res]]+AB1778),"")</f>
        <v/>
      </c>
      <c r="AC1779" s="43">
        <f>(LayTable[[#This Row],[BackWin-Commission]]+LayTable[[#This Row],[BookieInnsats]])</f>
        <v>0</v>
      </c>
      <c r="AD1779" s="43" t="e">
        <f>(LayTable[[#This Row],[LayWin-Commission]])+LayTable[[#This Row],[LayLiability]]</f>
        <v>#VALUE!</v>
      </c>
      <c r="AE1779" s="43"/>
      <c r="AF1779" s="181"/>
    </row>
    <row r="1780" spans="1:32">
      <c r="A1780" s="84"/>
      <c r="B1780" s="39"/>
      <c r="C1780" s="40"/>
      <c r="D1780" s="41"/>
      <c r="E1780" s="40"/>
      <c r="F1780" s="41"/>
      <c r="G1780" s="101"/>
      <c r="H1780" s="38"/>
      <c r="I1780" s="42"/>
      <c r="J1780" s="42"/>
      <c r="K1780" s="43"/>
      <c r="L1780" s="43"/>
      <c r="M1780" s="44" t="str">
        <f>IF(LayTable[[#This Row],[Sport]]="","",LayTable[[#This Row],[LayInnsats]]*(LayTable[[#This Row],[LayOdds]]-1))</f>
        <v/>
      </c>
      <c r="N1780" s="45" t="str">
        <f>IF(LayTable[[#This Row],[Sport]]="","",1/((1/LayTable[[#This Row],[BookieOdds]])+(1/((1/((1+((LayTable[[#This Row],[LayOdds]]-1)*(1+LayTable[[#This Row],[C% Lay]])))-1))+1)))-1)</f>
        <v/>
      </c>
      <c r="Q1780" s="46" t="str">
        <f>IF(LayTable[[#This Row],[Sport]]="","",LayTable[[#This Row],[BookieInnsats]]+LayTable[[#This Row],[LayLiability]])</f>
        <v/>
      </c>
      <c r="R17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0" s="47" t="str">
        <f>IF(LayTable[[#This Row],[Utfall bookie]]="","",LayTable[[#This Row],[WBABack]]+LayTable[[#This Row],[WBALay]]-LayTable[[#This Row],[Total inns]])</f>
        <v/>
      </c>
      <c r="U17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0" s="48" t="str">
        <f>IFERROR(IF(LayTable[[#This Row],[Total inns]]="","",LayTable[[#This Row],[Rback]]/LayTable[[#This Row],[Total inns]]),"")</f>
        <v/>
      </c>
      <c r="X1780" s="48" t="str">
        <f>IFERROR(IF(LayTable[[#This Row],[Total inns]]="","",LayTable[[#This Row],[Rlay]]/LayTable[[#This Row],[Total inns]]),"")</f>
        <v/>
      </c>
      <c r="Y1780" s="48" t="str">
        <f>IFERROR(LayTable[[#This Row],[Faktisk res]]/LayTable[[#This Row],[Total inns]],"")</f>
        <v/>
      </c>
      <c r="Z1780" s="47">
        <f>(LayTable[[#This Row],[BookieInnsats]]*LayTable[[#This Row],[BookieOdds]]-LayTable[[#This Row],[BookieInnsats]])*(1-LayTable[[#This Row],[C% Bookie]])</f>
        <v>0</v>
      </c>
      <c r="AA1780" s="43">
        <f>LayTable[[#This Row],[LayInnsats]]*(1-LayTable[[#This Row],[C% Lay]])</f>
        <v>0</v>
      </c>
      <c r="AB1780" s="43" t="str">
        <f>IFERROR(IF(LayTable[[#This Row],[Sport]]="",AB1779,LayTable[[#This Row],[Faktisk res]]+AB1779),"")</f>
        <v/>
      </c>
      <c r="AC1780" s="43">
        <f>(LayTable[[#This Row],[BackWin-Commission]]+LayTable[[#This Row],[BookieInnsats]])</f>
        <v>0</v>
      </c>
      <c r="AD1780" s="43" t="e">
        <f>(LayTable[[#This Row],[LayWin-Commission]])+LayTable[[#This Row],[LayLiability]]</f>
        <v>#VALUE!</v>
      </c>
      <c r="AE1780" s="43"/>
      <c r="AF1780" s="181"/>
    </row>
    <row r="1781" spans="1:32">
      <c r="A1781" s="84"/>
      <c r="B1781" s="39"/>
      <c r="C1781" s="40"/>
      <c r="D1781" s="41"/>
      <c r="E1781" s="40"/>
      <c r="F1781" s="41"/>
      <c r="G1781" s="101"/>
      <c r="H1781" s="38"/>
      <c r="I1781" s="42"/>
      <c r="J1781" s="42"/>
      <c r="K1781" s="43"/>
      <c r="L1781" s="43"/>
      <c r="M1781" s="44" t="str">
        <f>IF(LayTable[[#This Row],[Sport]]="","",LayTable[[#This Row],[LayInnsats]]*(LayTable[[#This Row],[LayOdds]]-1))</f>
        <v/>
      </c>
      <c r="N1781" s="45" t="str">
        <f>IF(LayTable[[#This Row],[Sport]]="","",1/((1/LayTable[[#This Row],[BookieOdds]])+(1/((1/((1+((LayTable[[#This Row],[LayOdds]]-1)*(1+LayTable[[#This Row],[C% Lay]])))-1))+1)))-1)</f>
        <v/>
      </c>
      <c r="Q1781" s="46" t="str">
        <f>IF(LayTable[[#This Row],[Sport]]="","",LayTable[[#This Row],[BookieInnsats]]+LayTable[[#This Row],[LayLiability]])</f>
        <v/>
      </c>
      <c r="R17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1" s="47" t="str">
        <f>IF(LayTable[[#This Row],[Utfall bookie]]="","",LayTable[[#This Row],[WBABack]]+LayTable[[#This Row],[WBALay]]-LayTable[[#This Row],[Total inns]])</f>
        <v/>
      </c>
      <c r="U17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1" s="48" t="str">
        <f>IFERROR(IF(LayTable[[#This Row],[Total inns]]="","",LayTable[[#This Row],[Rback]]/LayTable[[#This Row],[Total inns]]),"")</f>
        <v/>
      </c>
      <c r="X1781" s="48" t="str">
        <f>IFERROR(IF(LayTable[[#This Row],[Total inns]]="","",LayTable[[#This Row],[Rlay]]/LayTable[[#This Row],[Total inns]]),"")</f>
        <v/>
      </c>
      <c r="Y1781" s="48" t="str">
        <f>IFERROR(LayTable[[#This Row],[Faktisk res]]/LayTable[[#This Row],[Total inns]],"")</f>
        <v/>
      </c>
      <c r="Z1781" s="47">
        <f>(LayTable[[#This Row],[BookieInnsats]]*LayTable[[#This Row],[BookieOdds]]-LayTable[[#This Row],[BookieInnsats]])*(1-LayTable[[#This Row],[C% Bookie]])</f>
        <v>0</v>
      </c>
      <c r="AA1781" s="43">
        <f>LayTable[[#This Row],[LayInnsats]]*(1-LayTable[[#This Row],[C% Lay]])</f>
        <v>0</v>
      </c>
      <c r="AB1781" s="43" t="str">
        <f>IFERROR(IF(LayTable[[#This Row],[Sport]]="",AB1780,LayTable[[#This Row],[Faktisk res]]+AB1780),"")</f>
        <v/>
      </c>
      <c r="AC1781" s="43">
        <f>(LayTable[[#This Row],[BackWin-Commission]]+LayTable[[#This Row],[BookieInnsats]])</f>
        <v>0</v>
      </c>
      <c r="AD1781" s="43" t="e">
        <f>(LayTable[[#This Row],[LayWin-Commission]])+LayTable[[#This Row],[LayLiability]]</f>
        <v>#VALUE!</v>
      </c>
      <c r="AE1781" s="43"/>
      <c r="AF1781" s="181"/>
    </row>
    <row r="1782" spans="1:32">
      <c r="A1782" s="84"/>
      <c r="B1782" s="39"/>
      <c r="C1782" s="40"/>
      <c r="D1782" s="41"/>
      <c r="E1782" s="40"/>
      <c r="F1782" s="41"/>
      <c r="G1782" s="101"/>
      <c r="H1782" s="38"/>
      <c r="I1782" s="42"/>
      <c r="J1782" s="42"/>
      <c r="K1782" s="43"/>
      <c r="L1782" s="43"/>
      <c r="M1782" s="44" t="str">
        <f>IF(LayTable[[#This Row],[Sport]]="","",LayTable[[#This Row],[LayInnsats]]*(LayTable[[#This Row],[LayOdds]]-1))</f>
        <v/>
      </c>
      <c r="N1782" s="45" t="str">
        <f>IF(LayTable[[#This Row],[Sport]]="","",1/((1/LayTable[[#This Row],[BookieOdds]])+(1/((1/((1+((LayTable[[#This Row],[LayOdds]]-1)*(1+LayTable[[#This Row],[C% Lay]])))-1))+1)))-1)</f>
        <v/>
      </c>
      <c r="Q1782" s="46" t="str">
        <f>IF(LayTable[[#This Row],[Sport]]="","",LayTable[[#This Row],[BookieInnsats]]+LayTable[[#This Row],[LayLiability]])</f>
        <v/>
      </c>
      <c r="R17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2" s="47" t="str">
        <f>IF(LayTable[[#This Row],[Utfall bookie]]="","",LayTable[[#This Row],[WBABack]]+LayTable[[#This Row],[WBALay]]-LayTable[[#This Row],[Total inns]])</f>
        <v/>
      </c>
      <c r="U17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2" s="48" t="str">
        <f>IFERROR(IF(LayTable[[#This Row],[Total inns]]="","",LayTable[[#This Row],[Rback]]/LayTable[[#This Row],[Total inns]]),"")</f>
        <v/>
      </c>
      <c r="X1782" s="48" t="str">
        <f>IFERROR(IF(LayTable[[#This Row],[Total inns]]="","",LayTable[[#This Row],[Rlay]]/LayTable[[#This Row],[Total inns]]),"")</f>
        <v/>
      </c>
      <c r="Y1782" s="48" t="str">
        <f>IFERROR(LayTable[[#This Row],[Faktisk res]]/LayTable[[#This Row],[Total inns]],"")</f>
        <v/>
      </c>
      <c r="Z1782" s="47">
        <f>(LayTable[[#This Row],[BookieInnsats]]*LayTable[[#This Row],[BookieOdds]]-LayTable[[#This Row],[BookieInnsats]])*(1-LayTable[[#This Row],[C% Bookie]])</f>
        <v>0</v>
      </c>
      <c r="AA1782" s="43">
        <f>LayTable[[#This Row],[LayInnsats]]*(1-LayTable[[#This Row],[C% Lay]])</f>
        <v>0</v>
      </c>
      <c r="AB1782" s="43" t="str">
        <f>IFERROR(IF(LayTable[[#This Row],[Sport]]="",AB1781,LayTable[[#This Row],[Faktisk res]]+AB1781),"")</f>
        <v/>
      </c>
      <c r="AC1782" s="43">
        <f>(LayTable[[#This Row],[BackWin-Commission]]+LayTable[[#This Row],[BookieInnsats]])</f>
        <v>0</v>
      </c>
      <c r="AD1782" s="43" t="e">
        <f>(LayTable[[#This Row],[LayWin-Commission]])+LayTable[[#This Row],[LayLiability]]</f>
        <v>#VALUE!</v>
      </c>
      <c r="AE1782" s="43"/>
      <c r="AF1782" s="181"/>
    </row>
    <row r="1783" spans="1:32">
      <c r="A1783" s="84"/>
      <c r="B1783" s="39"/>
      <c r="C1783" s="40"/>
      <c r="D1783" s="41"/>
      <c r="E1783" s="40"/>
      <c r="F1783" s="41"/>
      <c r="G1783" s="101"/>
      <c r="H1783" s="38"/>
      <c r="I1783" s="42"/>
      <c r="J1783" s="42"/>
      <c r="K1783" s="43"/>
      <c r="L1783" s="43"/>
      <c r="M1783" s="44" t="str">
        <f>IF(LayTable[[#This Row],[Sport]]="","",LayTable[[#This Row],[LayInnsats]]*(LayTable[[#This Row],[LayOdds]]-1))</f>
        <v/>
      </c>
      <c r="N1783" s="45" t="str">
        <f>IF(LayTable[[#This Row],[Sport]]="","",1/((1/LayTable[[#This Row],[BookieOdds]])+(1/((1/((1+((LayTable[[#This Row],[LayOdds]]-1)*(1+LayTable[[#This Row],[C% Lay]])))-1))+1)))-1)</f>
        <v/>
      </c>
      <c r="Q1783" s="46" t="str">
        <f>IF(LayTable[[#This Row],[Sport]]="","",LayTable[[#This Row],[BookieInnsats]]+LayTable[[#This Row],[LayLiability]])</f>
        <v/>
      </c>
      <c r="R17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3" s="47" t="str">
        <f>IF(LayTable[[#This Row],[Utfall bookie]]="","",LayTable[[#This Row],[WBABack]]+LayTable[[#This Row],[WBALay]]-LayTable[[#This Row],[Total inns]])</f>
        <v/>
      </c>
      <c r="U17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3" s="48" t="str">
        <f>IFERROR(IF(LayTable[[#This Row],[Total inns]]="","",LayTable[[#This Row],[Rback]]/LayTable[[#This Row],[Total inns]]),"")</f>
        <v/>
      </c>
      <c r="X1783" s="48" t="str">
        <f>IFERROR(IF(LayTable[[#This Row],[Total inns]]="","",LayTable[[#This Row],[Rlay]]/LayTable[[#This Row],[Total inns]]),"")</f>
        <v/>
      </c>
      <c r="Y1783" s="48" t="str">
        <f>IFERROR(LayTable[[#This Row],[Faktisk res]]/LayTable[[#This Row],[Total inns]],"")</f>
        <v/>
      </c>
      <c r="Z1783" s="47">
        <f>(LayTable[[#This Row],[BookieInnsats]]*LayTable[[#This Row],[BookieOdds]]-LayTable[[#This Row],[BookieInnsats]])*(1-LayTable[[#This Row],[C% Bookie]])</f>
        <v>0</v>
      </c>
      <c r="AA1783" s="43">
        <f>LayTable[[#This Row],[LayInnsats]]*(1-LayTable[[#This Row],[C% Lay]])</f>
        <v>0</v>
      </c>
      <c r="AB1783" s="43" t="str">
        <f>IFERROR(IF(LayTable[[#This Row],[Sport]]="",AB1782,LayTable[[#This Row],[Faktisk res]]+AB1782),"")</f>
        <v/>
      </c>
      <c r="AC1783" s="43">
        <f>(LayTable[[#This Row],[BackWin-Commission]]+LayTable[[#This Row],[BookieInnsats]])</f>
        <v>0</v>
      </c>
      <c r="AD1783" s="43" t="e">
        <f>(LayTable[[#This Row],[LayWin-Commission]])+LayTable[[#This Row],[LayLiability]]</f>
        <v>#VALUE!</v>
      </c>
      <c r="AE1783" s="43"/>
      <c r="AF1783" s="181"/>
    </row>
    <row r="1784" spans="1:32">
      <c r="A1784" s="84"/>
      <c r="B1784" s="39"/>
      <c r="C1784" s="40"/>
      <c r="D1784" s="41"/>
      <c r="E1784" s="40"/>
      <c r="F1784" s="41"/>
      <c r="G1784" s="101"/>
      <c r="H1784" s="38"/>
      <c r="I1784" s="42"/>
      <c r="J1784" s="42"/>
      <c r="K1784" s="43"/>
      <c r="L1784" s="43"/>
      <c r="M1784" s="44" t="str">
        <f>IF(LayTable[[#This Row],[Sport]]="","",LayTable[[#This Row],[LayInnsats]]*(LayTable[[#This Row],[LayOdds]]-1))</f>
        <v/>
      </c>
      <c r="N1784" s="45" t="str">
        <f>IF(LayTable[[#This Row],[Sport]]="","",1/((1/LayTable[[#This Row],[BookieOdds]])+(1/((1/((1+((LayTable[[#This Row],[LayOdds]]-1)*(1+LayTable[[#This Row],[C% Lay]])))-1))+1)))-1)</f>
        <v/>
      </c>
      <c r="Q1784" s="46" t="str">
        <f>IF(LayTable[[#This Row],[Sport]]="","",LayTable[[#This Row],[BookieInnsats]]+LayTable[[#This Row],[LayLiability]])</f>
        <v/>
      </c>
      <c r="R17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4" s="47" t="str">
        <f>IF(LayTable[[#This Row],[Utfall bookie]]="","",LayTable[[#This Row],[WBABack]]+LayTable[[#This Row],[WBALay]]-LayTable[[#This Row],[Total inns]])</f>
        <v/>
      </c>
      <c r="U17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4" s="48" t="str">
        <f>IFERROR(IF(LayTable[[#This Row],[Total inns]]="","",LayTable[[#This Row],[Rback]]/LayTable[[#This Row],[Total inns]]),"")</f>
        <v/>
      </c>
      <c r="X1784" s="48" t="str">
        <f>IFERROR(IF(LayTable[[#This Row],[Total inns]]="","",LayTable[[#This Row],[Rlay]]/LayTable[[#This Row],[Total inns]]),"")</f>
        <v/>
      </c>
      <c r="Y1784" s="48" t="str">
        <f>IFERROR(LayTable[[#This Row],[Faktisk res]]/LayTable[[#This Row],[Total inns]],"")</f>
        <v/>
      </c>
      <c r="Z1784" s="47">
        <f>(LayTable[[#This Row],[BookieInnsats]]*LayTable[[#This Row],[BookieOdds]]-LayTable[[#This Row],[BookieInnsats]])*(1-LayTable[[#This Row],[C% Bookie]])</f>
        <v>0</v>
      </c>
      <c r="AA1784" s="43">
        <f>LayTable[[#This Row],[LayInnsats]]*(1-LayTable[[#This Row],[C% Lay]])</f>
        <v>0</v>
      </c>
      <c r="AB1784" s="43" t="str">
        <f>IFERROR(IF(LayTable[[#This Row],[Sport]]="",AB1783,LayTable[[#This Row],[Faktisk res]]+AB1783),"")</f>
        <v/>
      </c>
      <c r="AC1784" s="43">
        <f>(LayTable[[#This Row],[BackWin-Commission]]+LayTable[[#This Row],[BookieInnsats]])</f>
        <v>0</v>
      </c>
      <c r="AD1784" s="43" t="e">
        <f>(LayTable[[#This Row],[LayWin-Commission]])+LayTable[[#This Row],[LayLiability]]</f>
        <v>#VALUE!</v>
      </c>
      <c r="AE1784" s="43"/>
      <c r="AF1784" s="181"/>
    </row>
    <row r="1785" spans="1:32">
      <c r="A1785" s="84"/>
      <c r="B1785" s="39"/>
      <c r="C1785" s="40"/>
      <c r="D1785" s="41"/>
      <c r="E1785" s="40"/>
      <c r="F1785" s="41"/>
      <c r="G1785" s="101"/>
      <c r="H1785" s="38"/>
      <c r="I1785" s="42"/>
      <c r="J1785" s="42"/>
      <c r="K1785" s="43"/>
      <c r="L1785" s="43"/>
      <c r="M1785" s="44" t="str">
        <f>IF(LayTable[[#This Row],[Sport]]="","",LayTable[[#This Row],[LayInnsats]]*(LayTable[[#This Row],[LayOdds]]-1))</f>
        <v/>
      </c>
      <c r="N1785" s="45" t="str">
        <f>IF(LayTable[[#This Row],[Sport]]="","",1/((1/LayTable[[#This Row],[BookieOdds]])+(1/((1/((1+((LayTable[[#This Row],[LayOdds]]-1)*(1+LayTable[[#This Row],[C% Lay]])))-1))+1)))-1)</f>
        <v/>
      </c>
      <c r="Q1785" s="46" t="str">
        <f>IF(LayTable[[#This Row],[Sport]]="","",LayTable[[#This Row],[BookieInnsats]]+LayTable[[#This Row],[LayLiability]])</f>
        <v/>
      </c>
      <c r="R17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5" s="47" t="str">
        <f>IF(LayTable[[#This Row],[Utfall bookie]]="","",LayTable[[#This Row],[WBABack]]+LayTable[[#This Row],[WBALay]]-LayTable[[#This Row],[Total inns]])</f>
        <v/>
      </c>
      <c r="U17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5" s="48" t="str">
        <f>IFERROR(IF(LayTable[[#This Row],[Total inns]]="","",LayTable[[#This Row],[Rback]]/LayTable[[#This Row],[Total inns]]),"")</f>
        <v/>
      </c>
      <c r="X1785" s="48" t="str">
        <f>IFERROR(IF(LayTable[[#This Row],[Total inns]]="","",LayTable[[#This Row],[Rlay]]/LayTable[[#This Row],[Total inns]]),"")</f>
        <v/>
      </c>
      <c r="Y1785" s="48" t="str">
        <f>IFERROR(LayTable[[#This Row],[Faktisk res]]/LayTable[[#This Row],[Total inns]],"")</f>
        <v/>
      </c>
      <c r="Z1785" s="47">
        <f>(LayTable[[#This Row],[BookieInnsats]]*LayTable[[#This Row],[BookieOdds]]-LayTable[[#This Row],[BookieInnsats]])*(1-LayTable[[#This Row],[C% Bookie]])</f>
        <v>0</v>
      </c>
      <c r="AA1785" s="43">
        <f>LayTable[[#This Row],[LayInnsats]]*(1-LayTable[[#This Row],[C% Lay]])</f>
        <v>0</v>
      </c>
      <c r="AB1785" s="43" t="str">
        <f>IFERROR(IF(LayTable[[#This Row],[Sport]]="",AB1784,LayTable[[#This Row],[Faktisk res]]+AB1784),"")</f>
        <v/>
      </c>
      <c r="AC1785" s="43">
        <f>(LayTable[[#This Row],[BackWin-Commission]]+LayTable[[#This Row],[BookieInnsats]])</f>
        <v>0</v>
      </c>
      <c r="AD1785" s="43" t="e">
        <f>(LayTable[[#This Row],[LayWin-Commission]])+LayTable[[#This Row],[LayLiability]]</f>
        <v>#VALUE!</v>
      </c>
      <c r="AE1785" s="43"/>
      <c r="AF1785" s="181"/>
    </row>
    <row r="1786" spans="1:32">
      <c r="A1786" s="84"/>
      <c r="B1786" s="39"/>
      <c r="C1786" s="40"/>
      <c r="D1786" s="41"/>
      <c r="E1786" s="40"/>
      <c r="F1786" s="41"/>
      <c r="G1786" s="101"/>
      <c r="H1786" s="38"/>
      <c r="I1786" s="42"/>
      <c r="J1786" s="42"/>
      <c r="K1786" s="43"/>
      <c r="L1786" s="43"/>
      <c r="M1786" s="44" t="str">
        <f>IF(LayTable[[#This Row],[Sport]]="","",LayTable[[#This Row],[LayInnsats]]*(LayTable[[#This Row],[LayOdds]]-1))</f>
        <v/>
      </c>
      <c r="N1786" s="45" t="str">
        <f>IF(LayTable[[#This Row],[Sport]]="","",1/((1/LayTable[[#This Row],[BookieOdds]])+(1/((1/((1+((LayTable[[#This Row],[LayOdds]]-1)*(1+LayTable[[#This Row],[C% Lay]])))-1))+1)))-1)</f>
        <v/>
      </c>
      <c r="Q1786" s="46" t="str">
        <f>IF(LayTable[[#This Row],[Sport]]="","",LayTable[[#This Row],[BookieInnsats]]+LayTable[[#This Row],[LayLiability]])</f>
        <v/>
      </c>
      <c r="R17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6" s="47" t="str">
        <f>IF(LayTable[[#This Row],[Utfall bookie]]="","",LayTable[[#This Row],[WBABack]]+LayTable[[#This Row],[WBALay]]-LayTable[[#This Row],[Total inns]])</f>
        <v/>
      </c>
      <c r="U17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6" s="48" t="str">
        <f>IFERROR(IF(LayTable[[#This Row],[Total inns]]="","",LayTable[[#This Row],[Rback]]/LayTable[[#This Row],[Total inns]]),"")</f>
        <v/>
      </c>
      <c r="X1786" s="48" t="str">
        <f>IFERROR(IF(LayTable[[#This Row],[Total inns]]="","",LayTable[[#This Row],[Rlay]]/LayTable[[#This Row],[Total inns]]),"")</f>
        <v/>
      </c>
      <c r="Y1786" s="48" t="str">
        <f>IFERROR(LayTable[[#This Row],[Faktisk res]]/LayTable[[#This Row],[Total inns]],"")</f>
        <v/>
      </c>
      <c r="Z1786" s="47">
        <f>(LayTable[[#This Row],[BookieInnsats]]*LayTable[[#This Row],[BookieOdds]]-LayTable[[#This Row],[BookieInnsats]])*(1-LayTable[[#This Row],[C% Bookie]])</f>
        <v>0</v>
      </c>
      <c r="AA1786" s="43">
        <f>LayTable[[#This Row],[LayInnsats]]*(1-LayTable[[#This Row],[C% Lay]])</f>
        <v>0</v>
      </c>
      <c r="AB1786" s="43" t="str">
        <f>IFERROR(IF(LayTable[[#This Row],[Sport]]="",AB1785,LayTable[[#This Row],[Faktisk res]]+AB1785),"")</f>
        <v/>
      </c>
      <c r="AC1786" s="43">
        <f>(LayTable[[#This Row],[BackWin-Commission]]+LayTable[[#This Row],[BookieInnsats]])</f>
        <v>0</v>
      </c>
      <c r="AD1786" s="43" t="e">
        <f>(LayTable[[#This Row],[LayWin-Commission]])+LayTable[[#This Row],[LayLiability]]</f>
        <v>#VALUE!</v>
      </c>
      <c r="AE1786" s="43"/>
      <c r="AF1786" s="181"/>
    </row>
    <row r="1787" spans="1:32">
      <c r="A1787" s="84"/>
      <c r="B1787" s="39"/>
      <c r="C1787" s="40"/>
      <c r="D1787" s="41"/>
      <c r="E1787" s="40"/>
      <c r="F1787" s="41"/>
      <c r="G1787" s="101"/>
      <c r="H1787" s="38"/>
      <c r="I1787" s="42"/>
      <c r="J1787" s="42"/>
      <c r="K1787" s="43"/>
      <c r="L1787" s="43"/>
      <c r="M1787" s="44" t="str">
        <f>IF(LayTable[[#This Row],[Sport]]="","",LayTable[[#This Row],[LayInnsats]]*(LayTable[[#This Row],[LayOdds]]-1))</f>
        <v/>
      </c>
      <c r="N1787" s="45" t="str">
        <f>IF(LayTable[[#This Row],[Sport]]="","",1/((1/LayTable[[#This Row],[BookieOdds]])+(1/((1/((1+((LayTable[[#This Row],[LayOdds]]-1)*(1+LayTable[[#This Row],[C% Lay]])))-1))+1)))-1)</f>
        <v/>
      </c>
      <c r="Q1787" s="46" t="str">
        <f>IF(LayTable[[#This Row],[Sport]]="","",LayTable[[#This Row],[BookieInnsats]]+LayTable[[#This Row],[LayLiability]])</f>
        <v/>
      </c>
      <c r="R17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7" s="47" t="str">
        <f>IF(LayTable[[#This Row],[Utfall bookie]]="","",LayTable[[#This Row],[WBABack]]+LayTable[[#This Row],[WBALay]]-LayTable[[#This Row],[Total inns]])</f>
        <v/>
      </c>
      <c r="U17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7" s="48" t="str">
        <f>IFERROR(IF(LayTable[[#This Row],[Total inns]]="","",LayTable[[#This Row],[Rback]]/LayTable[[#This Row],[Total inns]]),"")</f>
        <v/>
      </c>
      <c r="X1787" s="48" t="str">
        <f>IFERROR(IF(LayTable[[#This Row],[Total inns]]="","",LayTable[[#This Row],[Rlay]]/LayTable[[#This Row],[Total inns]]),"")</f>
        <v/>
      </c>
      <c r="Y1787" s="48" t="str">
        <f>IFERROR(LayTable[[#This Row],[Faktisk res]]/LayTable[[#This Row],[Total inns]],"")</f>
        <v/>
      </c>
      <c r="Z1787" s="47">
        <f>(LayTable[[#This Row],[BookieInnsats]]*LayTable[[#This Row],[BookieOdds]]-LayTable[[#This Row],[BookieInnsats]])*(1-LayTable[[#This Row],[C% Bookie]])</f>
        <v>0</v>
      </c>
      <c r="AA1787" s="43">
        <f>LayTable[[#This Row],[LayInnsats]]*(1-LayTable[[#This Row],[C% Lay]])</f>
        <v>0</v>
      </c>
      <c r="AB1787" s="43" t="str">
        <f>IFERROR(IF(LayTable[[#This Row],[Sport]]="",AB1786,LayTable[[#This Row],[Faktisk res]]+AB1786),"")</f>
        <v/>
      </c>
      <c r="AC1787" s="43">
        <f>(LayTable[[#This Row],[BackWin-Commission]]+LayTable[[#This Row],[BookieInnsats]])</f>
        <v>0</v>
      </c>
      <c r="AD1787" s="43" t="e">
        <f>(LayTable[[#This Row],[LayWin-Commission]])+LayTable[[#This Row],[LayLiability]]</f>
        <v>#VALUE!</v>
      </c>
      <c r="AE1787" s="43"/>
      <c r="AF1787" s="181"/>
    </row>
    <row r="1788" spans="1:32">
      <c r="A1788" s="84"/>
      <c r="B1788" s="39"/>
      <c r="C1788" s="40"/>
      <c r="D1788" s="41"/>
      <c r="E1788" s="40"/>
      <c r="F1788" s="41"/>
      <c r="G1788" s="101"/>
      <c r="H1788" s="38"/>
      <c r="I1788" s="42"/>
      <c r="J1788" s="42"/>
      <c r="K1788" s="43"/>
      <c r="L1788" s="43"/>
      <c r="M1788" s="44" t="str">
        <f>IF(LayTable[[#This Row],[Sport]]="","",LayTable[[#This Row],[LayInnsats]]*(LayTable[[#This Row],[LayOdds]]-1))</f>
        <v/>
      </c>
      <c r="N1788" s="45" t="str">
        <f>IF(LayTable[[#This Row],[Sport]]="","",1/((1/LayTable[[#This Row],[BookieOdds]])+(1/((1/((1+((LayTable[[#This Row],[LayOdds]]-1)*(1+LayTable[[#This Row],[C% Lay]])))-1))+1)))-1)</f>
        <v/>
      </c>
      <c r="Q1788" s="46" t="str">
        <f>IF(LayTable[[#This Row],[Sport]]="","",LayTable[[#This Row],[BookieInnsats]]+LayTable[[#This Row],[LayLiability]])</f>
        <v/>
      </c>
      <c r="R17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8" s="47" t="str">
        <f>IF(LayTable[[#This Row],[Utfall bookie]]="","",LayTable[[#This Row],[WBABack]]+LayTable[[#This Row],[WBALay]]-LayTable[[#This Row],[Total inns]])</f>
        <v/>
      </c>
      <c r="U17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8" s="48" t="str">
        <f>IFERROR(IF(LayTable[[#This Row],[Total inns]]="","",LayTable[[#This Row],[Rback]]/LayTable[[#This Row],[Total inns]]),"")</f>
        <v/>
      </c>
      <c r="X1788" s="48" t="str">
        <f>IFERROR(IF(LayTable[[#This Row],[Total inns]]="","",LayTable[[#This Row],[Rlay]]/LayTable[[#This Row],[Total inns]]),"")</f>
        <v/>
      </c>
      <c r="Y1788" s="48" t="str">
        <f>IFERROR(LayTable[[#This Row],[Faktisk res]]/LayTable[[#This Row],[Total inns]],"")</f>
        <v/>
      </c>
      <c r="Z1788" s="47">
        <f>(LayTable[[#This Row],[BookieInnsats]]*LayTable[[#This Row],[BookieOdds]]-LayTable[[#This Row],[BookieInnsats]])*(1-LayTable[[#This Row],[C% Bookie]])</f>
        <v>0</v>
      </c>
      <c r="AA1788" s="43">
        <f>LayTable[[#This Row],[LayInnsats]]*(1-LayTable[[#This Row],[C% Lay]])</f>
        <v>0</v>
      </c>
      <c r="AB1788" s="43" t="str">
        <f>IFERROR(IF(LayTable[[#This Row],[Sport]]="",AB1787,LayTable[[#This Row],[Faktisk res]]+AB1787),"")</f>
        <v/>
      </c>
      <c r="AC1788" s="43">
        <f>(LayTable[[#This Row],[BackWin-Commission]]+LayTable[[#This Row],[BookieInnsats]])</f>
        <v>0</v>
      </c>
      <c r="AD1788" s="43" t="e">
        <f>(LayTable[[#This Row],[LayWin-Commission]])+LayTable[[#This Row],[LayLiability]]</f>
        <v>#VALUE!</v>
      </c>
      <c r="AE1788" s="43"/>
      <c r="AF1788" s="181"/>
    </row>
    <row r="1789" spans="1:32">
      <c r="A1789" s="84"/>
      <c r="B1789" s="39"/>
      <c r="C1789" s="40"/>
      <c r="D1789" s="41"/>
      <c r="E1789" s="40"/>
      <c r="F1789" s="41"/>
      <c r="G1789" s="101"/>
      <c r="H1789" s="38"/>
      <c r="I1789" s="42"/>
      <c r="J1789" s="42"/>
      <c r="K1789" s="43"/>
      <c r="L1789" s="43"/>
      <c r="M1789" s="44" t="str">
        <f>IF(LayTable[[#This Row],[Sport]]="","",LayTable[[#This Row],[LayInnsats]]*(LayTable[[#This Row],[LayOdds]]-1))</f>
        <v/>
      </c>
      <c r="N1789" s="45" t="str">
        <f>IF(LayTable[[#This Row],[Sport]]="","",1/((1/LayTable[[#This Row],[BookieOdds]])+(1/((1/((1+((LayTable[[#This Row],[LayOdds]]-1)*(1+LayTable[[#This Row],[C% Lay]])))-1))+1)))-1)</f>
        <v/>
      </c>
      <c r="Q1789" s="46" t="str">
        <f>IF(LayTable[[#This Row],[Sport]]="","",LayTable[[#This Row],[BookieInnsats]]+LayTable[[#This Row],[LayLiability]])</f>
        <v/>
      </c>
      <c r="R17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89" s="47" t="str">
        <f>IF(LayTable[[#This Row],[Utfall bookie]]="","",LayTable[[#This Row],[WBABack]]+LayTable[[#This Row],[WBALay]]-LayTable[[#This Row],[Total inns]])</f>
        <v/>
      </c>
      <c r="U17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89" s="48" t="str">
        <f>IFERROR(IF(LayTable[[#This Row],[Total inns]]="","",LayTable[[#This Row],[Rback]]/LayTable[[#This Row],[Total inns]]),"")</f>
        <v/>
      </c>
      <c r="X1789" s="48" t="str">
        <f>IFERROR(IF(LayTable[[#This Row],[Total inns]]="","",LayTable[[#This Row],[Rlay]]/LayTable[[#This Row],[Total inns]]),"")</f>
        <v/>
      </c>
      <c r="Y1789" s="48" t="str">
        <f>IFERROR(LayTable[[#This Row],[Faktisk res]]/LayTable[[#This Row],[Total inns]],"")</f>
        <v/>
      </c>
      <c r="Z1789" s="47">
        <f>(LayTable[[#This Row],[BookieInnsats]]*LayTable[[#This Row],[BookieOdds]]-LayTable[[#This Row],[BookieInnsats]])*(1-LayTable[[#This Row],[C% Bookie]])</f>
        <v>0</v>
      </c>
      <c r="AA1789" s="43">
        <f>LayTable[[#This Row],[LayInnsats]]*(1-LayTable[[#This Row],[C% Lay]])</f>
        <v>0</v>
      </c>
      <c r="AB1789" s="43" t="str">
        <f>IFERROR(IF(LayTable[[#This Row],[Sport]]="",AB1788,LayTable[[#This Row],[Faktisk res]]+AB1788),"")</f>
        <v/>
      </c>
      <c r="AC1789" s="43">
        <f>(LayTable[[#This Row],[BackWin-Commission]]+LayTable[[#This Row],[BookieInnsats]])</f>
        <v>0</v>
      </c>
      <c r="AD1789" s="43" t="e">
        <f>(LayTable[[#This Row],[LayWin-Commission]])+LayTable[[#This Row],[LayLiability]]</f>
        <v>#VALUE!</v>
      </c>
      <c r="AE1789" s="43"/>
      <c r="AF1789" s="181"/>
    </row>
    <row r="1790" spans="1:32">
      <c r="A1790" s="84"/>
      <c r="B1790" s="39"/>
      <c r="C1790" s="40"/>
      <c r="D1790" s="41"/>
      <c r="E1790" s="40"/>
      <c r="F1790" s="41"/>
      <c r="G1790" s="101"/>
      <c r="H1790" s="38"/>
      <c r="I1790" s="42"/>
      <c r="J1790" s="42"/>
      <c r="K1790" s="43"/>
      <c r="L1790" s="43"/>
      <c r="M1790" s="44" t="str">
        <f>IF(LayTable[[#This Row],[Sport]]="","",LayTable[[#This Row],[LayInnsats]]*(LayTable[[#This Row],[LayOdds]]-1))</f>
        <v/>
      </c>
      <c r="N1790" s="45" t="str">
        <f>IF(LayTable[[#This Row],[Sport]]="","",1/((1/LayTable[[#This Row],[BookieOdds]])+(1/((1/((1+((LayTable[[#This Row],[LayOdds]]-1)*(1+LayTable[[#This Row],[C% Lay]])))-1))+1)))-1)</f>
        <v/>
      </c>
      <c r="Q1790" s="46" t="str">
        <f>IF(LayTable[[#This Row],[Sport]]="","",LayTable[[#This Row],[BookieInnsats]]+LayTable[[#This Row],[LayLiability]])</f>
        <v/>
      </c>
      <c r="R17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0" s="47" t="str">
        <f>IF(LayTable[[#This Row],[Utfall bookie]]="","",LayTable[[#This Row],[WBABack]]+LayTable[[#This Row],[WBALay]]-LayTable[[#This Row],[Total inns]])</f>
        <v/>
      </c>
      <c r="U17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0" s="48" t="str">
        <f>IFERROR(IF(LayTable[[#This Row],[Total inns]]="","",LayTable[[#This Row],[Rback]]/LayTable[[#This Row],[Total inns]]),"")</f>
        <v/>
      </c>
      <c r="X1790" s="48" t="str">
        <f>IFERROR(IF(LayTable[[#This Row],[Total inns]]="","",LayTable[[#This Row],[Rlay]]/LayTable[[#This Row],[Total inns]]),"")</f>
        <v/>
      </c>
      <c r="Y1790" s="48" t="str">
        <f>IFERROR(LayTable[[#This Row],[Faktisk res]]/LayTable[[#This Row],[Total inns]],"")</f>
        <v/>
      </c>
      <c r="Z1790" s="47">
        <f>(LayTable[[#This Row],[BookieInnsats]]*LayTable[[#This Row],[BookieOdds]]-LayTable[[#This Row],[BookieInnsats]])*(1-LayTable[[#This Row],[C% Bookie]])</f>
        <v>0</v>
      </c>
      <c r="AA1790" s="43">
        <f>LayTable[[#This Row],[LayInnsats]]*(1-LayTable[[#This Row],[C% Lay]])</f>
        <v>0</v>
      </c>
      <c r="AB1790" s="43" t="str">
        <f>IFERROR(IF(LayTable[[#This Row],[Sport]]="",AB1789,LayTable[[#This Row],[Faktisk res]]+AB1789),"")</f>
        <v/>
      </c>
      <c r="AC1790" s="43">
        <f>(LayTable[[#This Row],[BackWin-Commission]]+LayTable[[#This Row],[BookieInnsats]])</f>
        <v>0</v>
      </c>
      <c r="AD1790" s="43" t="e">
        <f>(LayTable[[#This Row],[LayWin-Commission]])+LayTable[[#This Row],[LayLiability]]</f>
        <v>#VALUE!</v>
      </c>
      <c r="AE1790" s="43"/>
      <c r="AF1790" s="181"/>
    </row>
    <row r="1791" spans="1:32">
      <c r="A1791" s="84"/>
      <c r="B1791" s="39"/>
      <c r="C1791" s="40"/>
      <c r="D1791" s="41"/>
      <c r="E1791" s="40"/>
      <c r="F1791" s="41"/>
      <c r="G1791" s="101"/>
      <c r="H1791" s="38"/>
      <c r="I1791" s="42"/>
      <c r="J1791" s="42"/>
      <c r="K1791" s="43"/>
      <c r="L1791" s="43"/>
      <c r="M1791" s="44" t="str">
        <f>IF(LayTable[[#This Row],[Sport]]="","",LayTable[[#This Row],[LayInnsats]]*(LayTable[[#This Row],[LayOdds]]-1))</f>
        <v/>
      </c>
      <c r="N1791" s="45" t="str">
        <f>IF(LayTable[[#This Row],[Sport]]="","",1/((1/LayTable[[#This Row],[BookieOdds]])+(1/((1/((1+((LayTable[[#This Row],[LayOdds]]-1)*(1+LayTable[[#This Row],[C% Lay]])))-1))+1)))-1)</f>
        <v/>
      </c>
      <c r="Q1791" s="46" t="str">
        <f>IF(LayTable[[#This Row],[Sport]]="","",LayTable[[#This Row],[BookieInnsats]]+LayTable[[#This Row],[LayLiability]])</f>
        <v/>
      </c>
      <c r="R17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1" s="47" t="str">
        <f>IF(LayTable[[#This Row],[Utfall bookie]]="","",LayTable[[#This Row],[WBABack]]+LayTable[[#This Row],[WBALay]]-LayTable[[#This Row],[Total inns]])</f>
        <v/>
      </c>
      <c r="U17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1" s="48" t="str">
        <f>IFERROR(IF(LayTable[[#This Row],[Total inns]]="","",LayTable[[#This Row],[Rback]]/LayTable[[#This Row],[Total inns]]),"")</f>
        <v/>
      </c>
      <c r="X1791" s="48" t="str">
        <f>IFERROR(IF(LayTable[[#This Row],[Total inns]]="","",LayTable[[#This Row],[Rlay]]/LayTable[[#This Row],[Total inns]]),"")</f>
        <v/>
      </c>
      <c r="Y1791" s="48" t="str">
        <f>IFERROR(LayTable[[#This Row],[Faktisk res]]/LayTable[[#This Row],[Total inns]],"")</f>
        <v/>
      </c>
      <c r="Z1791" s="47">
        <f>(LayTable[[#This Row],[BookieInnsats]]*LayTable[[#This Row],[BookieOdds]]-LayTable[[#This Row],[BookieInnsats]])*(1-LayTable[[#This Row],[C% Bookie]])</f>
        <v>0</v>
      </c>
      <c r="AA1791" s="43">
        <f>LayTable[[#This Row],[LayInnsats]]*(1-LayTable[[#This Row],[C% Lay]])</f>
        <v>0</v>
      </c>
      <c r="AB1791" s="43" t="str">
        <f>IFERROR(IF(LayTable[[#This Row],[Sport]]="",AB1790,LayTable[[#This Row],[Faktisk res]]+AB1790),"")</f>
        <v/>
      </c>
      <c r="AC1791" s="43">
        <f>(LayTable[[#This Row],[BackWin-Commission]]+LayTable[[#This Row],[BookieInnsats]])</f>
        <v>0</v>
      </c>
      <c r="AD1791" s="43" t="e">
        <f>(LayTable[[#This Row],[LayWin-Commission]])+LayTable[[#This Row],[LayLiability]]</f>
        <v>#VALUE!</v>
      </c>
      <c r="AE1791" s="43"/>
      <c r="AF1791" s="181"/>
    </row>
    <row r="1792" spans="1:32">
      <c r="A1792" s="84"/>
      <c r="B1792" s="39"/>
      <c r="C1792" s="40"/>
      <c r="D1792" s="41"/>
      <c r="E1792" s="40"/>
      <c r="F1792" s="41"/>
      <c r="G1792" s="101"/>
      <c r="H1792" s="38"/>
      <c r="I1792" s="42"/>
      <c r="J1792" s="42"/>
      <c r="K1792" s="43"/>
      <c r="L1792" s="43"/>
      <c r="M1792" s="44" t="str">
        <f>IF(LayTable[[#This Row],[Sport]]="","",LayTable[[#This Row],[LayInnsats]]*(LayTable[[#This Row],[LayOdds]]-1))</f>
        <v/>
      </c>
      <c r="N1792" s="45" t="str">
        <f>IF(LayTable[[#This Row],[Sport]]="","",1/((1/LayTable[[#This Row],[BookieOdds]])+(1/((1/((1+((LayTable[[#This Row],[LayOdds]]-1)*(1+LayTable[[#This Row],[C% Lay]])))-1))+1)))-1)</f>
        <v/>
      </c>
      <c r="Q1792" s="46" t="str">
        <f>IF(LayTable[[#This Row],[Sport]]="","",LayTable[[#This Row],[BookieInnsats]]+LayTable[[#This Row],[LayLiability]])</f>
        <v/>
      </c>
      <c r="R17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2" s="47" t="str">
        <f>IF(LayTable[[#This Row],[Utfall bookie]]="","",LayTable[[#This Row],[WBABack]]+LayTable[[#This Row],[WBALay]]-LayTable[[#This Row],[Total inns]])</f>
        <v/>
      </c>
      <c r="U17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2" s="48" t="str">
        <f>IFERROR(IF(LayTable[[#This Row],[Total inns]]="","",LayTable[[#This Row],[Rback]]/LayTable[[#This Row],[Total inns]]),"")</f>
        <v/>
      </c>
      <c r="X1792" s="48" t="str">
        <f>IFERROR(IF(LayTable[[#This Row],[Total inns]]="","",LayTable[[#This Row],[Rlay]]/LayTable[[#This Row],[Total inns]]),"")</f>
        <v/>
      </c>
      <c r="Y1792" s="48" t="str">
        <f>IFERROR(LayTable[[#This Row],[Faktisk res]]/LayTable[[#This Row],[Total inns]],"")</f>
        <v/>
      </c>
      <c r="Z1792" s="47">
        <f>(LayTable[[#This Row],[BookieInnsats]]*LayTable[[#This Row],[BookieOdds]]-LayTable[[#This Row],[BookieInnsats]])*(1-LayTable[[#This Row],[C% Bookie]])</f>
        <v>0</v>
      </c>
      <c r="AA1792" s="43">
        <f>LayTable[[#This Row],[LayInnsats]]*(1-LayTable[[#This Row],[C% Lay]])</f>
        <v>0</v>
      </c>
      <c r="AB1792" s="43" t="str">
        <f>IFERROR(IF(LayTable[[#This Row],[Sport]]="",AB1791,LayTable[[#This Row],[Faktisk res]]+AB1791),"")</f>
        <v/>
      </c>
      <c r="AC1792" s="43">
        <f>(LayTable[[#This Row],[BackWin-Commission]]+LayTable[[#This Row],[BookieInnsats]])</f>
        <v>0</v>
      </c>
      <c r="AD1792" s="43" t="e">
        <f>(LayTable[[#This Row],[LayWin-Commission]])+LayTable[[#This Row],[LayLiability]]</f>
        <v>#VALUE!</v>
      </c>
      <c r="AE1792" s="43"/>
      <c r="AF1792" s="181"/>
    </row>
    <row r="1793" spans="1:32">
      <c r="A1793" s="84"/>
      <c r="B1793" s="39"/>
      <c r="C1793" s="40"/>
      <c r="D1793" s="41"/>
      <c r="E1793" s="40"/>
      <c r="F1793" s="41"/>
      <c r="G1793" s="101"/>
      <c r="H1793" s="38"/>
      <c r="I1793" s="42"/>
      <c r="J1793" s="42"/>
      <c r="K1793" s="43"/>
      <c r="L1793" s="43"/>
      <c r="M1793" s="44" t="str">
        <f>IF(LayTable[[#This Row],[Sport]]="","",LayTable[[#This Row],[LayInnsats]]*(LayTable[[#This Row],[LayOdds]]-1))</f>
        <v/>
      </c>
      <c r="N1793" s="45" t="str">
        <f>IF(LayTable[[#This Row],[Sport]]="","",1/((1/LayTable[[#This Row],[BookieOdds]])+(1/((1/((1+((LayTable[[#This Row],[LayOdds]]-1)*(1+LayTable[[#This Row],[C% Lay]])))-1))+1)))-1)</f>
        <v/>
      </c>
      <c r="Q1793" s="46" t="str">
        <f>IF(LayTable[[#This Row],[Sport]]="","",LayTable[[#This Row],[BookieInnsats]]+LayTable[[#This Row],[LayLiability]])</f>
        <v/>
      </c>
      <c r="R17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3" s="47" t="str">
        <f>IF(LayTable[[#This Row],[Utfall bookie]]="","",LayTable[[#This Row],[WBABack]]+LayTable[[#This Row],[WBALay]]-LayTable[[#This Row],[Total inns]])</f>
        <v/>
      </c>
      <c r="U17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3" s="48" t="str">
        <f>IFERROR(IF(LayTable[[#This Row],[Total inns]]="","",LayTable[[#This Row],[Rback]]/LayTable[[#This Row],[Total inns]]),"")</f>
        <v/>
      </c>
      <c r="X1793" s="48" t="str">
        <f>IFERROR(IF(LayTable[[#This Row],[Total inns]]="","",LayTable[[#This Row],[Rlay]]/LayTable[[#This Row],[Total inns]]),"")</f>
        <v/>
      </c>
      <c r="Y1793" s="48" t="str">
        <f>IFERROR(LayTable[[#This Row],[Faktisk res]]/LayTable[[#This Row],[Total inns]],"")</f>
        <v/>
      </c>
      <c r="Z1793" s="47">
        <f>(LayTable[[#This Row],[BookieInnsats]]*LayTable[[#This Row],[BookieOdds]]-LayTable[[#This Row],[BookieInnsats]])*(1-LayTable[[#This Row],[C% Bookie]])</f>
        <v>0</v>
      </c>
      <c r="AA1793" s="43">
        <f>LayTable[[#This Row],[LayInnsats]]*(1-LayTable[[#This Row],[C% Lay]])</f>
        <v>0</v>
      </c>
      <c r="AB1793" s="43" t="str">
        <f>IFERROR(IF(LayTable[[#This Row],[Sport]]="",AB1792,LayTable[[#This Row],[Faktisk res]]+AB1792),"")</f>
        <v/>
      </c>
      <c r="AC1793" s="43">
        <f>(LayTable[[#This Row],[BackWin-Commission]]+LayTable[[#This Row],[BookieInnsats]])</f>
        <v>0</v>
      </c>
      <c r="AD1793" s="43" t="e">
        <f>(LayTable[[#This Row],[LayWin-Commission]])+LayTable[[#This Row],[LayLiability]]</f>
        <v>#VALUE!</v>
      </c>
      <c r="AE1793" s="43"/>
      <c r="AF1793" s="181"/>
    </row>
    <row r="1794" spans="1:32">
      <c r="A1794" s="84"/>
      <c r="B1794" s="39"/>
      <c r="C1794" s="40"/>
      <c r="D1794" s="41"/>
      <c r="E1794" s="40"/>
      <c r="F1794" s="41"/>
      <c r="G1794" s="101"/>
      <c r="H1794" s="38"/>
      <c r="I1794" s="42"/>
      <c r="J1794" s="42"/>
      <c r="K1794" s="43"/>
      <c r="L1794" s="43"/>
      <c r="M1794" s="44" t="str">
        <f>IF(LayTable[[#This Row],[Sport]]="","",LayTable[[#This Row],[LayInnsats]]*(LayTable[[#This Row],[LayOdds]]-1))</f>
        <v/>
      </c>
      <c r="N1794" s="45" t="str">
        <f>IF(LayTable[[#This Row],[Sport]]="","",1/((1/LayTable[[#This Row],[BookieOdds]])+(1/((1/((1+((LayTable[[#This Row],[LayOdds]]-1)*(1+LayTable[[#This Row],[C% Lay]])))-1))+1)))-1)</f>
        <v/>
      </c>
      <c r="Q1794" s="46" t="str">
        <f>IF(LayTable[[#This Row],[Sport]]="","",LayTable[[#This Row],[BookieInnsats]]+LayTable[[#This Row],[LayLiability]])</f>
        <v/>
      </c>
      <c r="R17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4" s="47" t="str">
        <f>IF(LayTable[[#This Row],[Utfall bookie]]="","",LayTable[[#This Row],[WBABack]]+LayTable[[#This Row],[WBALay]]-LayTable[[#This Row],[Total inns]])</f>
        <v/>
      </c>
      <c r="U17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4" s="48" t="str">
        <f>IFERROR(IF(LayTable[[#This Row],[Total inns]]="","",LayTable[[#This Row],[Rback]]/LayTable[[#This Row],[Total inns]]),"")</f>
        <v/>
      </c>
      <c r="X1794" s="48" t="str">
        <f>IFERROR(IF(LayTable[[#This Row],[Total inns]]="","",LayTable[[#This Row],[Rlay]]/LayTable[[#This Row],[Total inns]]),"")</f>
        <v/>
      </c>
      <c r="Y1794" s="48" t="str">
        <f>IFERROR(LayTable[[#This Row],[Faktisk res]]/LayTable[[#This Row],[Total inns]],"")</f>
        <v/>
      </c>
      <c r="Z1794" s="47">
        <f>(LayTable[[#This Row],[BookieInnsats]]*LayTable[[#This Row],[BookieOdds]]-LayTable[[#This Row],[BookieInnsats]])*(1-LayTable[[#This Row],[C% Bookie]])</f>
        <v>0</v>
      </c>
      <c r="AA1794" s="43">
        <f>LayTable[[#This Row],[LayInnsats]]*(1-LayTable[[#This Row],[C% Lay]])</f>
        <v>0</v>
      </c>
      <c r="AB1794" s="43" t="str">
        <f>IFERROR(IF(LayTable[[#This Row],[Sport]]="",AB1793,LayTable[[#This Row],[Faktisk res]]+AB1793),"")</f>
        <v/>
      </c>
      <c r="AC1794" s="43">
        <f>(LayTable[[#This Row],[BackWin-Commission]]+LayTable[[#This Row],[BookieInnsats]])</f>
        <v>0</v>
      </c>
      <c r="AD1794" s="43" t="e">
        <f>(LayTable[[#This Row],[LayWin-Commission]])+LayTable[[#This Row],[LayLiability]]</f>
        <v>#VALUE!</v>
      </c>
      <c r="AE1794" s="43"/>
      <c r="AF1794" s="181"/>
    </row>
    <row r="1795" spans="1:32">
      <c r="A1795" s="84"/>
      <c r="B1795" s="39"/>
      <c r="C1795" s="40"/>
      <c r="D1795" s="41"/>
      <c r="E1795" s="40"/>
      <c r="F1795" s="41"/>
      <c r="G1795" s="101"/>
      <c r="H1795" s="38"/>
      <c r="I1795" s="42"/>
      <c r="J1795" s="42"/>
      <c r="K1795" s="43"/>
      <c r="L1795" s="43"/>
      <c r="M1795" s="44" t="str">
        <f>IF(LayTable[[#This Row],[Sport]]="","",LayTable[[#This Row],[LayInnsats]]*(LayTable[[#This Row],[LayOdds]]-1))</f>
        <v/>
      </c>
      <c r="N1795" s="45" t="str">
        <f>IF(LayTable[[#This Row],[Sport]]="","",1/((1/LayTable[[#This Row],[BookieOdds]])+(1/((1/((1+((LayTable[[#This Row],[LayOdds]]-1)*(1+LayTable[[#This Row],[C% Lay]])))-1))+1)))-1)</f>
        <v/>
      </c>
      <c r="Q1795" s="46" t="str">
        <f>IF(LayTable[[#This Row],[Sport]]="","",LayTable[[#This Row],[BookieInnsats]]+LayTable[[#This Row],[LayLiability]])</f>
        <v/>
      </c>
      <c r="R17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5" s="47" t="str">
        <f>IF(LayTable[[#This Row],[Utfall bookie]]="","",LayTable[[#This Row],[WBABack]]+LayTable[[#This Row],[WBALay]]-LayTable[[#This Row],[Total inns]])</f>
        <v/>
      </c>
      <c r="U17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5" s="48" t="str">
        <f>IFERROR(IF(LayTable[[#This Row],[Total inns]]="","",LayTable[[#This Row],[Rback]]/LayTable[[#This Row],[Total inns]]),"")</f>
        <v/>
      </c>
      <c r="X1795" s="48" t="str">
        <f>IFERROR(IF(LayTable[[#This Row],[Total inns]]="","",LayTable[[#This Row],[Rlay]]/LayTable[[#This Row],[Total inns]]),"")</f>
        <v/>
      </c>
      <c r="Y1795" s="48" t="str">
        <f>IFERROR(LayTable[[#This Row],[Faktisk res]]/LayTable[[#This Row],[Total inns]],"")</f>
        <v/>
      </c>
      <c r="Z1795" s="47">
        <f>(LayTable[[#This Row],[BookieInnsats]]*LayTable[[#This Row],[BookieOdds]]-LayTable[[#This Row],[BookieInnsats]])*(1-LayTable[[#This Row],[C% Bookie]])</f>
        <v>0</v>
      </c>
      <c r="AA1795" s="43">
        <f>LayTable[[#This Row],[LayInnsats]]*(1-LayTable[[#This Row],[C% Lay]])</f>
        <v>0</v>
      </c>
      <c r="AB1795" s="43" t="str">
        <f>IFERROR(IF(LayTable[[#This Row],[Sport]]="",AB1794,LayTable[[#This Row],[Faktisk res]]+AB1794),"")</f>
        <v/>
      </c>
      <c r="AC1795" s="43">
        <f>(LayTable[[#This Row],[BackWin-Commission]]+LayTable[[#This Row],[BookieInnsats]])</f>
        <v>0</v>
      </c>
      <c r="AD1795" s="43" t="e">
        <f>(LayTable[[#This Row],[LayWin-Commission]])+LayTable[[#This Row],[LayLiability]]</f>
        <v>#VALUE!</v>
      </c>
      <c r="AE1795" s="43"/>
      <c r="AF1795" s="181"/>
    </row>
    <row r="1796" spans="1:32">
      <c r="A1796" s="84"/>
      <c r="B1796" s="39"/>
      <c r="C1796" s="40"/>
      <c r="D1796" s="41"/>
      <c r="E1796" s="40"/>
      <c r="F1796" s="41"/>
      <c r="G1796" s="101"/>
      <c r="H1796" s="38"/>
      <c r="I1796" s="42"/>
      <c r="J1796" s="42"/>
      <c r="K1796" s="43"/>
      <c r="L1796" s="43"/>
      <c r="M1796" s="44" t="str">
        <f>IF(LayTable[[#This Row],[Sport]]="","",LayTable[[#This Row],[LayInnsats]]*(LayTable[[#This Row],[LayOdds]]-1))</f>
        <v/>
      </c>
      <c r="N1796" s="45" t="str">
        <f>IF(LayTable[[#This Row],[Sport]]="","",1/((1/LayTable[[#This Row],[BookieOdds]])+(1/((1/((1+((LayTable[[#This Row],[LayOdds]]-1)*(1+LayTable[[#This Row],[C% Lay]])))-1))+1)))-1)</f>
        <v/>
      </c>
      <c r="Q1796" s="46" t="str">
        <f>IF(LayTable[[#This Row],[Sport]]="","",LayTable[[#This Row],[BookieInnsats]]+LayTable[[#This Row],[LayLiability]])</f>
        <v/>
      </c>
      <c r="R17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6" s="47" t="str">
        <f>IF(LayTable[[#This Row],[Utfall bookie]]="","",LayTable[[#This Row],[WBABack]]+LayTable[[#This Row],[WBALay]]-LayTable[[#This Row],[Total inns]])</f>
        <v/>
      </c>
      <c r="U17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6" s="48" t="str">
        <f>IFERROR(IF(LayTable[[#This Row],[Total inns]]="","",LayTable[[#This Row],[Rback]]/LayTable[[#This Row],[Total inns]]),"")</f>
        <v/>
      </c>
      <c r="X1796" s="48" t="str">
        <f>IFERROR(IF(LayTable[[#This Row],[Total inns]]="","",LayTable[[#This Row],[Rlay]]/LayTable[[#This Row],[Total inns]]),"")</f>
        <v/>
      </c>
      <c r="Y1796" s="48" t="str">
        <f>IFERROR(LayTable[[#This Row],[Faktisk res]]/LayTable[[#This Row],[Total inns]],"")</f>
        <v/>
      </c>
      <c r="Z1796" s="47">
        <f>(LayTable[[#This Row],[BookieInnsats]]*LayTable[[#This Row],[BookieOdds]]-LayTable[[#This Row],[BookieInnsats]])*(1-LayTable[[#This Row],[C% Bookie]])</f>
        <v>0</v>
      </c>
      <c r="AA1796" s="43">
        <f>LayTable[[#This Row],[LayInnsats]]*(1-LayTable[[#This Row],[C% Lay]])</f>
        <v>0</v>
      </c>
      <c r="AB1796" s="43" t="str">
        <f>IFERROR(IF(LayTable[[#This Row],[Sport]]="",AB1795,LayTable[[#This Row],[Faktisk res]]+AB1795),"")</f>
        <v/>
      </c>
      <c r="AC1796" s="43">
        <f>(LayTable[[#This Row],[BackWin-Commission]]+LayTable[[#This Row],[BookieInnsats]])</f>
        <v>0</v>
      </c>
      <c r="AD1796" s="43" t="e">
        <f>(LayTable[[#This Row],[LayWin-Commission]])+LayTable[[#This Row],[LayLiability]]</f>
        <v>#VALUE!</v>
      </c>
      <c r="AE1796" s="43"/>
      <c r="AF1796" s="181"/>
    </row>
    <row r="1797" spans="1:32">
      <c r="A1797" s="84"/>
      <c r="B1797" s="39"/>
      <c r="C1797" s="40"/>
      <c r="D1797" s="41"/>
      <c r="E1797" s="40"/>
      <c r="F1797" s="41"/>
      <c r="G1797" s="101"/>
      <c r="H1797" s="38"/>
      <c r="I1797" s="42"/>
      <c r="J1797" s="42"/>
      <c r="K1797" s="43"/>
      <c r="L1797" s="43"/>
      <c r="M1797" s="44" t="str">
        <f>IF(LayTable[[#This Row],[Sport]]="","",LayTable[[#This Row],[LayInnsats]]*(LayTable[[#This Row],[LayOdds]]-1))</f>
        <v/>
      </c>
      <c r="N1797" s="45" t="str">
        <f>IF(LayTable[[#This Row],[Sport]]="","",1/((1/LayTable[[#This Row],[BookieOdds]])+(1/((1/((1+((LayTable[[#This Row],[LayOdds]]-1)*(1+LayTable[[#This Row],[C% Lay]])))-1))+1)))-1)</f>
        <v/>
      </c>
      <c r="Q1797" s="46" t="str">
        <f>IF(LayTable[[#This Row],[Sport]]="","",LayTable[[#This Row],[BookieInnsats]]+LayTable[[#This Row],[LayLiability]])</f>
        <v/>
      </c>
      <c r="R17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7" s="47" t="str">
        <f>IF(LayTable[[#This Row],[Utfall bookie]]="","",LayTable[[#This Row],[WBABack]]+LayTable[[#This Row],[WBALay]]-LayTable[[#This Row],[Total inns]])</f>
        <v/>
      </c>
      <c r="U17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7" s="48" t="str">
        <f>IFERROR(IF(LayTable[[#This Row],[Total inns]]="","",LayTable[[#This Row],[Rback]]/LayTable[[#This Row],[Total inns]]),"")</f>
        <v/>
      </c>
      <c r="X1797" s="48" t="str">
        <f>IFERROR(IF(LayTable[[#This Row],[Total inns]]="","",LayTable[[#This Row],[Rlay]]/LayTable[[#This Row],[Total inns]]),"")</f>
        <v/>
      </c>
      <c r="Y1797" s="48" t="str">
        <f>IFERROR(LayTable[[#This Row],[Faktisk res]]/LayTable[[#This Row],[Total inns]],"")</f>
        <v/>
      </c>
      <c r="Z1797" s="47">
        <f>(LayTable[[#This Row],[BookieInnsats]]*LayTable[[#This Row],[BookieOdds]]-LayTable[[#This Row],[BookieInnsats]])*(1-LayTable[[#This Row],[C% Bookie]])</f>
        <v>0</v>
      </c>
      <c r="AA1797" s="43">
        <f>LayTable[[#This Row],[LayInnsats]]*(1-LayTable[[#This Row],[C% Lay]])</f>
        <v>0</v>
      </c>
      <c r="AB1797" s="43" t="str">
        <f>IFERROR(IF(LayTable[[#This Row],[Sport]]="",AB1796,LayTable[[#This Row],[Faktisk res]]+AB1796),"")</f>
        <v/>
      </c>
      <c r="AC1797" s="43">
        <f>(LayTable[[#This Row],[BackWin-Commission]]+LayTable[[#This Row],[BookieInnsats]])</f>
        <v>0</v>
      </c>
      <c r="AD1797" s="43" t="e">
        <f>(LayTable[[#This Row],[LayWin-Commission]])+LayTable[[#This Row],[LayLiability]]</f>
        <v>#VALUE!</v>
      </c>
      <c r="AE1797" s="43"/>
      <c r="AF1797" s="181"/>
    </row>
    <row r="1798" spans="1:32">
      <c r="A1798" s="84"/>
      <c r="B1798" s="39"/>
      <c r="C1798" s="40"/>
      <c r="D1798" s="41"/>
      <c r="E1798" s="40"/>
      <c r="F1798" s="41"/>
      <c r="G1798" s="101"/>
      <c r="H1798" s="38"/>
      <c r="I1798" s="42"/>
      <c r="J1798" s="42"/>
      <c r="K1798" s="43"/>
      <c r="L1798" s="43"/>
      <c r="M1798" s="44" t="str">
        <f>IF(LayTable[[#This Row],[Sport]]="","",LayTable[[#This Row],[LayInnsats]]*(LayTable[[#This Row],[LayOdds]]-1))</f>
        <v/>
      </c>
      <c r="N1798" s="45" t="str">
        <f>IF(LayTable[[#This Row],[Sport]]="","",1/((1/LayTable[[#This Row],[BookieOdds]])+(1/((1/((1+((LayTable[[#This Row],[LayOdds]]-1)*(1+LayTable[[#This Row],[C% Lay]])))-1))+1)))-1)</f>
        <v/>
      </c>
      <c r="Q1798" s="46" t="str">
        <f>IF(LayTable[[#This Row],[Sport]]="","",LayTable[[#This Row],[BookieInnsats]]+LayTable[[#This Row],[LayLiability]])</f>
        <v/>
      </c>
      <c r="R17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8" s="47" t="str">
        <f>IF(LayTable[[#This Row],[Utfall bookie]]="","",LayTable[[#This Row],[WBABack]]+LayTable[[#This Row],[WBALay]]-LayTable[[#This Row],[Total inns]])</f>
        <v/>
      </c>
      <c r="U17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8" s="48" t="str">
        <f>IFERROR(IF(LayTable[[#This Row],[Total inns]]="","",LayTable[[#This Row],[Rback]]/LayTable[[#This Row],[Total inns]]),"")</f>
        <v/>
      </c>
      <c r="X1798" s="48" t="str">
        <f>IFERROR(IF(LayTable[[#This Row],[Total inns]]="","",LayTable[[#This Row],[Rlay]]/LayTable[[#This Row],[Total inns]]),"")</f>
        <v/>
      </c>
      <c r="Y1798" s="48" t="str">
        <f>IFERROR(LayTable[[#This Row],[Faktisk res]]/LayTable[[#This Row],[Total inns]],"")</f>
        <v/>
      </c>
      <c r="Z1798" s="47">
        <f>(LayTable[[#This Row],[BookieInnsats]]*LayTable[[#This Row],[BookieOdds]]-LayTable[[#This Row],[BookieInnsats]])*(1-LayTable[[#This Row],[C% Bookie]])</f>
        <v>0</v>
      </c>
      <c r="AA1798" s="43">
        <f>LayTable[[#This Row],[LayInnsats]]*(1-LayTable[[#This Row],[C% Lay]])</f>
        <v>0</v>
      </c>
      <c r="AB1798" s="43" t="str">
        <f>IFERROR(IF(LayTable[[#This Row],[Sport]]="",AB1797,LayTable[[#This Row],[Faktisk res]]+AB1797),"")</f>
        <v/>
      </c>
      <c r="AC1798" s="43">
        <f>(LayTable[[#This Row],[BackWin-Commission]]+LayTable[[#This Row],[BookieInnsats]])</f>
        <v>0</v>
      </c>
      <c r="AD1798" s="43" t="e">
        <f>(LayTable[[#This Row],[LayWin-Commission]])+LayTable[[#This Row],[LayLiability]]</f>
        <v>#VALUE!</v>
      </c>
      <c r="AE1798" s="43"/>
      <c r="AF1798" s="181"/>
    </row>
    <row r="1799" spans="1:32">
      <c r="A1799" s="84"/>
      <c r="B1799" s="39"/>
      <c r="C1799" s="40"/>
      <c r="D1799" s="41"/>
      <c r="E1799" s="40"/>
      <c r="F1799" s="41"/>
      <c r="G1799" s="101"/>
      <c r="H1799" s="38"/>
      <c r="I1799" s="42"/>
      <c r="J1799" s="42"/>
      <c r="K1799" s="43"/>
      <c r="L1799" s="43"/>
      <c r="M1799" s="44" t="str">
        <f>IF(LayTable[[#This Row],[Sport]]="","",LayTable[[#This Row],[LayInnsats]]*(LayTable[[#This Row],[LayOdds]]-1))</f>
        <v/>
      </c>
      <c r="N1799" s="45" t="str">
        <f>IF(LayTable[[#This Row],[Sport]]="","",1/((1/LayTable[[#This Row],[BookieOdds]])+(1/((1/((1+((LayTable[[#This Row],[LayOdds]]-1)*(1+LayTable[[#This Row],[C% Lay]])))-1))+1)))-1)</f>
        <v/>
      </c>
      <c r="Q1799" s="46" t="str">
        <f>IF(LayTable[[#This Row],[Sport]]="","",LayTable[[#This Row],[BookieInnsats]]+LayTable[[#This Row],[LayLiability]])</f>
        <v/>
      </c>
      <c r="R17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7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799" s="47" t="str">
        <f>IF(LayTable[[#This Row],[Utfall bookie]]="","",LayTable[[#This Row],[WBABack]]+LayTable[[#This Row],[WBALay]]-LayTable[[#This Row],[Total inns]])</f>
        <v/>
      </c>
      <c r="U17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7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799" s="48" t="str">
        <f>IFERROR(IF(LayTable[[#This Row],[Total inns]]="","",LayTable[[#This Row],[Rback]]/LayTable[[#This Row],[Total inns]]),"")</f>
        <v/>
      </c>
      <c r="X1799" s="48" t="str">
        <f>IFERROR(IF(LayTable[[#This Row],[Total inns]]="","",LayTable[[#This Row],[Rlay]]/LayTable[[#This Row],[Total inns]]),"")</f>
        <v/>
      </c>
      <c r="Y1799" s="48" t="str">
        <f>IFERROR(LayTable[[#This Row],[Faktisk res]]/LayTable[[#This Row],[Total inns]],"")</f>
        <v/>
      </c>
      <c r="Z1799" s="47">
        <f>(LayTable[[#This Row],[BookieInnsats]]*LayTable[[#This Row],[BookieOdds]]-LayTable[[#This Row],[BookieInnsats]])*(1-LayTable[[#This Row],[C% Bookie]])</f>
        <v>0</v>
      </c>
      <c r="AA1799" s="43">
        <f>LayTable[[#This Row],[LayInnsats]]*(1-LayTable[[#This Row],[C% Lay]])</f>
        <v>0</v>
      </c>
      <c r="AB1799" s="43" t="str">
        <f>IFERROR(IF(LayTable[[#This Row],[Sport]]="",AB1798,LayTable[[#This Row],[Faktisk res]]+AB1798),"")</f>
        <v/>
      </c>
      <c r="AC1799" s="43">
        <f>(LayTable[[#This Row],[BackWin-Commission]]+LayTable[[#This Row],[BookieInnsats]])</f>
        <v>0</v>
      </c>
      <c r="AD1799" s="43" t="e">
        <f>(LayTable[[#This Row],[LayWin-Commission]])+LayTable[[#This Row],[LayLiability]]</f>
        <v>#VALUE!</v>
      </c>
      <c r="AE1799" s="43"/>
      <c r="AF1799" s="181"/>
    </row>
    <row r="1800" spans="1:32">
      <c r="A1800" s="84"/>
      <c r="B1800" s="39"/>
      <c r="C1800" s="40"/>
      <c r="D1800" s="41"/>
      <c r="E1800" s="40"/>
      <c r="F1800" s="41"/>
      <c r="G1800" s="101"/>
      <c r="H1800" s="38"/>
      <c r="I1800" s="42"/>
      <c r="J1800" s="42"/>
      <c r="K1800" s="43"/>
      <c r="L1800" s="43"/>
      <c r="M1800" s="44" t="str">
        <f>IF(LayTable[[#This Row],[Sport]]="","",LayTable[[#This Row],[LayInnsats]]*(LayTable[[#This Row],[LayOdds]]-1))</f>
        <v/>
      </c>
      <c r="N1800" s="45" t="str">
        <f>IF(LayTable[[#This Row],[Sport]]="","",1/((1/LayTable[[#This Row],[BookieOdds]])+(1/((1/((1+((LayTable[[#This Row],[LayOdds]]-1)*(1+LayTable[[#This Row],[C% Lay]])))-1))+1)))-1)</f>
        <v/>
      </c>
      <c r="Q1800" s="46" t="str">
        <f>IF(LayTable[[#This Row],[Sport]]="","",LayTable[[#This Row],[BookieInnsats]]+LayTable[[#This Row],[LayLiability]])</f>
        <v/>
      </c>
      <c r="R18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0" s="47" t="str">
        <f>IF(LayTable[[#This Row],[Utfall bookie]]="","",LayTable[[#This Row],[WBABack]]+LayTable[[#This Row],[WBALay]]-LayTable[[#This Row],[Total inns]])</f>
        <v/>
      </c>
      <c r="U18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0" s="48" t="str">
        <f>IFERROR(IF(LayTable[[#This Row],[Total inns]]="","",LayTable[[#This Row],[Rback]]/LayTable[[#This Row],[Total inns]]),"")</f>
        <v/>
      </c>
      <c r="X1800" s="48" t="str">
        <f>IFERROR(IF(LayTable[[#This Row],[Total inns]]="","",LayTable[[#This Row],[Rlay]]/LayTable[[#This Row],[Total inns]]),"")</f>
        <v/>
      </c>
      <c r="Y1800" s="48" t="str">
        <f>IFERROR(LayTable[[#This Row],[Faktisk res]]/LayTable[[#This Row],[Total inns]],"")</f>
        <v/>
      </c>
      <c r="Z1800" s="47">
        <f>(LayTable[[#This Row],[BookieInnsats]]*LayTable[[#This Row],[BookieOdds]]-LayTable[[#This Row],[BookieInnsats]])*(1-LayTable[[#This Row],[C% Bookie]])</f>
        <v>0</v>
      </c>
      <c r="AA1800" s="43">
        <f>LayTable[[#This Row],[LayInnsats]]*(1-LayTable[[#This Row],[C% Lay]])</f>
        <v>0</v>
      </c>
      <c r="AB1800" s="43" t="str">
        <f>IFERROR(IF(LayTable[[#This Row],[Sport]]="",AB1799,LayTable[[#This Row],[Faktisk res]]+AB1799),"")</f>
        <v/>
      </c>
      <c r="AC1800" s="43">
        <f>(LayTable[[#This Row],[BackWin-Commission]]+LayTable[[#This Row],[BookieInnsats]])</f>
        <v>0</v>
      </c>
      <c r="AD1800" s="43" t="e">
        <f>(LayTable[[#This Row],[LayWin-Commission]])+LayTable[[#This Row],[LayLiability]]</f>
        <v>#VALUE!</v>
      </c>
      <c r="AE1800" s="43"/>
      <c r="AF1800" s="181"/>
    </row>
    <row r="1801" spans="1:32">
      <c r="A1801" s="84"/>
      <c r="B1801" s="39"/>
      <c r="C1801" s="40"/>
      <c r="D1801" s="41"/>
      <c r="E1801" s="40"/>
      <c r="F1801" s="41"/>
      <c r="G1801" s="101"/>
      <c r="H1801" s="38"/>
      <c r="I1801" s="42"/>
      <c r="J1801" s="42"/>
      <c r="K1801" s="43"/>
      <c r="L1801" s="43"/>
      <c r="M1801" s="44" t="str">
        <f>IF(LayTable[[#This Row],[Sport]]="","",LayTable[[#This Row],[LayInnsats]]*(LayTable[[#This Row],[LayOdds]]-1))</f>
        <v/>
      </c>
      <c r="N1801" s="45" t="str">
        <f>IF(LayTable[[#This Row],[Sport]]="","",1/((1/LayTable[[#This Row],[BookieOdds]])+(1/((1/((1+((LayTable[[#This Row],[LayOdds]]-1)*(1+LayTable[[#This Row],[C% Lay]])))-1))+1)))-1)</f>
        <v/>
      </c>
      <c r="Q1801" s="46" t="str">
        <f>IF(LayTable[[#This Row],[Sport]]="","",LayTable[[#This Row],[BookieInnsats]]+LayTable[[#This Row],[LayLiability]])</f>
        <v/>
      </c>
      <c r="R18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1" s="47" t="str">
        <f>IF(LayTable[[#This Row],[Utfall bookie]]="","",LayTable[[#This Row],[WBABack]]+LayTable[[#This Row],[WBALay]]-LayTable[[#This Row],[Total inns]])</f>
        <v/>
      </c>
      <c r="U18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1" s="48" t="str">
        <f>IFERROR(IF(LayTable[[#This Row],[Total inns]]="","",LayTable[[#This Row],[Rback]]/LayTable[[#This Row],[Total inns]]),"")</f>
        <v/>
      </c>
      <c r="X1801" s="48" t="str">
        <f>IFERROR(IF(LayTable[[#This Row],[Total inns]]="","",LayTable[[#This Row],[Rlay]]/LayTable[[#This Row],[Total inns]]),"")</f>
        <v/>
      </c>
      <c r="Y1801" s="48" t="str">
        <f>IFERROR(LayTable[[#This Row],[Faktisk res]]/LayTable[[#This Row],[Total inns]],"")</f>
        <v/>
      </c>
      <c r="Z1801" s="47">
        <f>(LayTable[[#This Row],[BookieInnsats]]*LayTable[[#This Row],[BookieOdds]]-LayTable[[#This Row],[BookieInnsats]])*(1-LayTable[[#This Row],[C% Bookie]])</f>
        <v>0</v>
      </c>
      <c r="AA1801" s="43">
        <f>LayTable[[#This Row],[LayInnsats]]*(1-LayTable[[#This Row],[C% Lay]])</f>
        <v>0</v>
      </c>
      <c r="AB1801" s="43" t="str">
        <f>IFERROR(IF(LayTable[[#This Row],[Sport]]="",AB1800,LayTable[[#This Row],[Faktisk res]]+AB1800),"")</f>
        <v/>
      </c>
      <c r="AC1801" s="43">
        <f>(LayTable[[#This Row],[BackWin-Commission]]+LayTable[[#This Row],[BookieInnsats]])</f>
        <v>0</v>
      </c>
      <c r="AD1801" s="43" t="e">
        <f>(LayTable[[#This Row],[LayWin-Commission]])+LayTable[[#This Row],[LayLiability]]</f>
        <v>#VALUE!</v>
      </c>
      <c r="AE1801" s="43"/>
      <c r="AF1801" s="181"/>
    </row>
    <row r="1802" spans="1:32">
      <c r="A1802" s="84"/>
      <c r="B1802" s="39"/>
      <c r="C1802" s="40"/>
      <c r="D1802" s="41"/>
      <c r="E1802" s="40"/>
      <c r="F1802" s="41"/>
      <c r="G1802" s="101"/>
      <c r="H1802" s="38"/>
      <c r="I1802" s="42"/>
      <c r="J1802" s="42"/>
      <c r="K1802" s="43"/>
      <c r="L1802" s="43"/>
      <c r="M1802" s="44" t="str">
        <f>IF(LayTable[[#This Row],[Sport]]="","",LayTable[[#This Row],[LayInnsats]]*(LayTable[[#This Row],[LayOdds]]-1))</f>
        <v/>
      </c>
      <c r="N1802" s="45" t="str">
        <f>IF(LayTable[[#This Row],[Sport]]="","",1/((1/LayTable[[#This Row],[BookieOdds]])+(1/((1/((1+((LayTable[[#This Row],[LayOdds]]-1)*(1+LayTable[[#This Row],[C% Lay]])))-1))+1)))-1)</f>
        <v/>
      </c>
      <c r="Q1802" s="46" t="str">
        <f>IF(LayTable[[#This Row],[Sport]]="","",LayTable[[#This Row],[BookieInnsats]]+LayTable[[#This Row],[LayLiability]])</f>
        <v/>
      </c>
      <c r="R18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2" s="47" t="str">
        <f>IF(LayTable[[#This Row],[Utfall bookie]]="","",LayTable[[#This Row],[WBABack]]+LayTable[[#This Row],[WBALay]]-LayTable[[#This Row],[Total inns]])</f>
        <v/>
      </c>
      <c r="U18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2" s="48" t="str">
        <f>IFERROR(IF(LayTable[[#This Row],[Total inns]]="","",LayTable[[#This Row],[Rback]]/LayTable[[#This Row],[Total inns]]),"")</f>
        <v/>
      </c>
      <c r="X1802" s="48" t="str">
        <f>IFERROR(IF(LayTable[[#This Row],[Total inns]]="","",LayTable[[#This Row],[Rlay]]/LayTable[[#This Row],[Total inns]]),"")</f>
        <v/>
      </c>
      <c r="Y1802" s="48" t="str">
        <f>IFERROR(LayTable[[#This Row],[Faktisk res]]/LayTable[[#This Row],[Total inns]],"")</f>
        <v/>
      </c>
      <c r="Z1802" s="47">
        <f>(LayTable[[#This Row],[BookieInnsats]]*LayTable[[#This Row],[BookieOdds]]-LayTable[[#This Row],[BookieInnsats]])*(1-LayTable[[#This Row],[C% Bookie]])</f>
        <v>0</v>
      </c>
      <c r="AA1802" s="43">
        <f>LayTable[[#This Row],[LayInnsats]]*(1-LayTable[[#This Row],[C% Lay]])</f>
        <v>0</v>
      </c>
      <c r="AB1802" s="43" t="str">
        <f>IFERROR(IF(LayTable[[#This Row],[Sport]]="",AB1801,LayTable[[#This Row],[Faktisk res]]+AB1801),"")</f>
        <v/>
      </c>
      <c r="AC1802" s="43">
        <f>(LayTable[[#This Row],[BackWin-Commission]]+LayTable[[#This Row],[BookieInnsats]])</f>
        <v>0</v>
      </c>
      <c r="AD1802" s="43" t="e">
        <f>(LayTable[[#This Row],[LayWin-Commission]])+LayTable[[#This Row],[LayLiability]]</f>
        <v>#VALUE!</v>
      </c>
      <c r="AE1802" s="43"/>
      <c r="AF1802" s="181"/>
    </row>
    <row r="1803" spans="1:32">
      <c r="A1803" s="84"/>
      <c r="B1803" s="39"/>
      <c r="C1803" s="40"/>
      <c r="D1803" s="41"/>
      <c r="E1803" s="40"/>
      <c r="F1803" s="41"/>
      <c r="G1803" s="101"/>
      <c r="H1803" s="38"/>
      <c r="I1803" s="42"/>
      <c r="J1803" s="42"/>
      <c r="K1803" s="43"/>
      <c r="L1803" s="43"/>
      <c r="M1803" s="44" t="str">
        <f>IF(LayTable[[#This Row],[Sport]]="","",LayTable[[#This Row],[LayInnsats]]*(LayTable[[#This Row],[LayOdds]]-1))</f>
        <v/>
      </c>
      <c r="N1803" s="45" t="str">
        <f>IF(LayTable[[#This Row],[Sport]]="","",1/((1/LayTable[[#This Row],[BookieOdds]])+(1/((1/((1+((LayTable[[#This Row],[LayOdds]]-1)*(1+LayTable[[#This Row],[C% Lay]])))-1))+1)))-1)</f>
        <v/>
      </c>
      <c r="Q1803" s="46" t="str">
        <f>IF(LayTable[[#This Row],[Sport]]="","",LayTable[[#This Row],[BookieInnsats]]+LayTable[[#This Row],[LayLiability]])</f>
        <v/>
      </c>
      <c r="R18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3" s="47" t="str">
        <f>IF(LayTable[[#This Row],[Utfall bookie]]="","",LayTable[[#This Row],[WBABack]]+LayTable[[#This Row],[WBALay]]-LayTable[[#This Row],[Total inns]])</f>
        <v/>
      </c>
      <c r="U18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3" s="48" t="str">
        <f>IFERROR(IF(LayTable[[#This Row],[Total inns]]="","",LayTable[[#This Row],[Rback]]/LayTable[[#This Row],[Total inns]]),"")</f>
        <v/>
      </c>
      <c r="X1803" s="48" t="str">
        <f>IFERROR(IF(LayTable[[#This Row],[Total inns]]="","",LayTable[[#This Row],[Rlay]]/LayTable[[#This Row],[Total inns]]),"")</f>
        <v/>
      </c>
      <c r="Y1803" s="48" t="str">
        <f>IFERROR(LayTable[[#This Row],[Faktisk res]]/LayTable[[#This Row],[Total inns]],"")</f>
        <v/>
      </c>
      <c r="Z1803" s="47">
        <f>(LayTable[[#This Row],[BookieInnsats]]*LayTable[[#This Row],[BookieOdds]]-LayTable[[#This Row],[BookieInnsats]])*(1-LayTable[[#This Row],[C% Bookie]])</f>
        <v>0</v>
      </c>
      <c r="AA1803" s="43">
        <f>LayTable[[#This Row],[LayInnsats]]*(1-LayTable[[#This Row],[C% Lay]])</f>
        <v>0</v>
      </c>
      <c r="AB1803" s="43" t="str">
        <f>IFERROR(IF(LayTable[[#This Row],[Sport]]="",AB1802,LayTable[[#This Row],[Faktisk res]]+AB1802),"")</f>
        <v/>
      </c>
      <c r="AC1803" s="43">
        <f>(LayTable[[#This Row],[BackWin-Commission]]+LayTable[[#This Row],[BookieInnsats]])</f>
        <v>0</v>
      </c>
      <c r="AD1803" s="43" t="e">
        <f>(LayTable[[#This Row],[LayWin-Commission]])+LayTable[[#This Row],[LayLiability]]</f>
        <v>#VALUE!</v>
      </c>
      <c r="AE1803" s="43"/>
      <c r="AF1803" s="181"/>
    </row>
    <row r="1804" spans="1:32">
      <c r="A1804" s="84"/>
      <c r="B1804" s="39"/>
      <c r="C1804" s="40"/>
      <c r="D1804" s="41"/>
      <c r="E1804" s="40"/>
      <c r="F1804" s="41"/>
      <c r="G1804" s="101"/>
      <c r="H1804" s="38"/>
      <c r="I1804" s="42"/>
      <c r="J1804" s="42"/>
      <c r="K1804" s="43"/>
      <c r="L1804" s="43"/>
      <c r="M1804" s="44" t="str">
        <f>IF(LayTable[[#This Row],[Sport]]="","",LayTable[[#This Row],[LayInnsats]]*(LayTable[[#This Row],[LayOdds]]-1))</f>
        <v/>
      </c>
      <c r="N1804" s="45" t="str">
        <f>IF(LayTable[[#This Row],[Sport]]="","",1/((1/LayTable[[#This Row],[BookieOdds]])+(1/((1/((1+((LayTable[[#This Row],[LayOdds]]-1)*(1+LayTable[[#This Row],[C% Lay]])))-1))+1)))-1)</f>
        <v/>
      </c>
      <c r="Q1804" s="46" t="str">
        <f>IF(LayTable[[#This Row],[Sport]]="","",LayTable[[#This Row],[BookieInnsats]]+LayTable[[#This Row],[LayLiability]])</f>
        <v/>
      </c>
      <c r="R18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4" s="47" t="str">
        <f>IF(LayTable[[#This Row],[Utfall bookie]]="","",LayTable[[#This Row],[WBABack]]+LayTable[[#This Row],[WBALay]]-LayTable[[#This Row],[Total inns]])</f>
        <v/>
      </c>
      <c r="U18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4" s="48" t="str">
        <f>IFERROR(IF(LayTable[[#This Row],[Total inns]]="","",LayTable[[#This Row],[Rback]]/LayTable[[#This Row],[Total inns]]),"")</f>
        <v/>
      </c>
      <c r="X1804" s="48" t="str">
        <f>IFERROR(IF(LayTable[[#This Row],[Total inns]]="","",LayTable[[#This Row],[Rlay]]/LayTable[[#This Row],[Total inns]]),"")</f>
        <v/>
      </c>
      <c r="Y1804" s="48" t="str">
        <f>IFERROR(LayTable[[#This Row],[Faktisk res]]/LayTable[[#This Row],[Total inns]],"")</f>
        <v/>
      </c>
      <c r="Z1804" s="47">
        <f>(LayTable[[#This Row],[BookieInnsats]]*LayTable[[#This Row],[BookieOdds]]-LayTable[[#This Row],[BookieInnsats]])*(1-LayTable[[#This Row],[C% Bookie]])</f>
        <v>0</v>
      </c>
      <c r="AA1804" s="43">
        <f>LayTable[[#This Row],[LayInnsats]]*(1-LayTable[[#This Row],[C% Lay]])</f>
        <v>0</v>
      </c>
      <c r="AB1804" s="43" t="str">
        <f>IFERROR(IF(LayTable[[#This Row],[Sport]]="",AB1803,LayTable[[#This Row],[Faktisk res]]+AB1803),"")</f>
        <v/>
      </c>
      <c r="AC1804" s="43">
        <f>(LayTable[[#This Row],[BackWin-Commission]]+LayTable[[#This Row],[BookieInnsats]])</f>
        <v>0</v>
      </c>
      <c r="AD1804" s="43" t="e">
        <f>(LayTable[[#This Row],[LayWin-Commission]])+LayTable[[#This Row],[LayLiability]]</f>
        <v>#VALUE!</v>
      </c>
      <c r="AE1804" s="43"/>
      <c r="AF1804" s="181"/>
    </row>
    <row r="1805" spans="1:32">
      <c r="A1805" s="84"/>
      <c r="B1805" s="39"/>
      <c r="C1805" s="40"/>
      <c r="D1805" s="41"/>
      <c r="E1805" s="40"/>
      <c r="F1805" s="41"/>
      <c r="G1805" s="101"/>
      <c r="H1805" s="38"/>
      <c r="I1805" s="42"/>
      <c r="J1805" s="42"/>
      <c r="K1805" s="43"/>
      <c r="L1805" s="43"/>
      <c r="M1805" s="44" t="str">
        <f>IF(LayTable[[#This Row],[Sport]]="","",LayTable[[#This Row],[LayInnsats]]*(LayTable[[#This Row],[LayOdds]]-1))</f>
        <v/>
      </c>
      <c r="N1805" s="45" t="str">
        <f>IF(LayTable[[#This Row],[Sport]]="","",1/((1/LayTable[[#This Row],[BookieOdds]])+(1/((1/((1+((LayTable[[#This Row],[LayOdds]]-1)*(1+LayTable[[#This Row],[C% Lay]])))-1))+1)))-1)</f>
        <v/>
      </c>
      <c r="Q1805" s="46" t="str">
        <f>IF(LayTable[[#This Row],[Sport]]="","",LayTable[[#This Row],[BookieInnsats]]+LayTable[[#This Row],[LayLiability]])</f>
        <v/>
      </c>
      <c r="R18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5" s="47" t="str">
        <f>IF(LayTable[[#This Row],[Utfall bookie]]="","",LayTable[[#This Row],[WBABack]]+LayTable[[#This Row],[WBALay]]-LayTable[[#This Row],[Total inns]])</f>
        <v/>
      </c>
      <c r="U18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5" s="48" t="str">
        <f>IFERROR(IF(LayTable[[#This Row],[Total inns]]="","",LayTable[[#This Row],[Rback]]/LayTable[[#This Row],[Total inns]]),"")</f>
        <v/>
      </c>
      <c r="X1805" s="48" t="str">
        <f>IFERROR(IF(LayTable[[#This Row],[Total inns]]="","",LayTable[[#This Row],[Rlay]]/LayTable[[#This Row],[Total inns]]),"")</f>
        <v/>
      </c>
      <c r="Y1805" s="48" t="str">
        <f>IFERROR(LayTable[[#This Row],[Faktisk res]]/LayTable[[#This Row],[Total inns]],"")</f>
        <v/>
      </c>
      <c r="Z1805" s="47">
        <f>(LayTable[[#This Row],[BookieInnsats]]*LayTable[[#This Row],[BookieOdds]]-LayTable[[#This Row],[BookieInnsats]])*(1-LayTable[[#This Row],[C% Bookie]])</f>
        <v>0</v>
      </c>
      <c r="AA1805" s="43">
        <f>LayTable[[#This Row],[LayInnsats]]*(1-LayTable[[#This Row],[C% Lay]])</f>
        <v>0</v>
      </c>
      <c r="AB1805" s="43" t="str">
        <f>IFERROR(IF(LayTable[[#This Row],[Sport]]="",AB1804,LayTable[[#This Row],[Faktisk res]]+AB1804),"")</f>
        <v/>
      </c>
      <c r="AC1805" s="43">
        <f>(LayTable[[#This Row],[BackWin-Commission]]+LayTable[[#This Row],[BookieInnsats]])</f>
        <v>0</v>
      </c>
      <c r="AD1805" s="43" t="e">
        <f>(LayTable[[#This Row],[LayWin-Commission]])+LayTable[[#This Row],[LayLiability]]</f>
        <v>#VALUE!</v>
      </c>
      <c r="AE1805" s="43"/>
      <c r="AF1805" s="181"/>
    </row>
    <row r="1806" spans="1:32">
      <c r="A1806" s="84"/>
      <c r="B1806" s="39"/>
      <c r="C1806" s="40"/>
      <c r="D1806" s="41"/>
      <c r="E1806" s="40"/>
      <c r="F1806" s="41"/>
      <c r="G1806" s="101"/>
      <c r="H1806" s="38"/>
      <c r="I1806" s="42"/>
      <c r="J1806" s="42"/>
      <c r="K1806" s="43"/>
      <c r="L1806" s="43"/>
      <c r="M1806" s="44" t="str">
        <f>IF(LayTable[[#This Row],[Sport]]="","",LayTable[[#This Row],[LayInnsats]]*(LayTable[[#This Row],[LayOdds]]-1))</f>
        <v/>
      </c>
      <c r="N1806" s="45" t="str">
        <f>IF(LayTable[[#This Row],[Sport]]="","",1/((1/LayTable[[#This Row],[BookieOdds]])+(1/((1/((1+((LayTable[[#This Row],[LayOdds]]-1)*(1+LayTable[[#This Row],[C% Lay]])))-1))+1)))-1)</f>
        <v/>
      </c>
      <c r="Q1806" s="46" t="str">
        <f>IF(LayTable[[#This Row],[Sport]]="","",LayTable[[#This Row],[BookieInnsats]]+LayTable[[#This Row],[LayLiability]])</f>
        <v/>
      </c>
      <c r="R18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6" s="47" t="str">
        <f>IF(LayTable[[#This Row],[Utfall bookie]]="","",LayTable[[#This Row],[WBABack]]+LayTable[[#This Row],[WBALay]]-LayTable[[#This Row],[Total inns]])</f>
        <v/>
      </c>
      <c r="U18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6" s="48" t="str">
        <f>IFERROR(IF(LayTable[[#This Row],[Total inns]]="","",LayTable[[#This Row],[Rback]]/LayTable[[#This Row],[Total inns]]),"")</f>
        <v/>
      </c>
      <c r="X1806" s="48" t="str">
        <f>IFERROR(IF(LayTable[[#This Row],[Total inns]]="","",LayTable[[#This Row],[Rlay]]/LayTable[[#This Row],[Total inns]]),"")</f>
        <v/>
      </c>
      <c r="Y1806" s="48" t="str">
        <f>IFERROR(LayTable[[#This Row],[Faktisk res]]/LayTable[[#This Row],[Total inns]],"")</f>
        <v/>
      </c>
      <c r="Z1806" s="47">
        <f>(LayTable[[#This Row],[BookieInnsats]]*LayTable[[#This Row],[BookieOdds]]-LayTable[[#This Row],[BookieInnsats]])*(1-LayTable[[#This Row],[C% Bookie]])</f>
        <v>0</v>
      </c>
      <c r="AA1806" s="43">
        <f>LayTable[[#This Row],[LayInnsats]]*(1-LayTable[[#This Row],[C% Lay]])</f>
        <v>0</v>
      </c>
      <c r="AB1806" s="43" t="str">
        <f>IFERROR(IF(LayTable[[#This Row],[Sport]]="",AB1805,LayTable[[#This Row],[Faktisk res]]+AB1805),"")</f>
        <v/>
      </c>
      <c r="AC1806" s="43">
        <f>(LayTable[[#This Row],[BackWin-Commission]]+LayTable[[#This Row],[BookieInnsats]])</f>
        <v>0</v>
      </c>
      <c r="AD1806" s="43" t="e">
        <f>(LayTable[[#This Row],[LayWin-Commission]])+LayTable[[#This Row],[LayLiability]]</f>
        <v>#VALUE!</v>
      </c>
      <c r="AE1806" s="43"/>
      <c r="AF1806" s="181"/>
    </row>
    <row r="1807" spans="1:32">
      <c r="A1807" s="84"/>
      <c r="B1807" s="39"/>
      <c r="C1807" s="40"/>
      <c r="D1807" s="41"/>
      <c r="E1807" s="40"/>
      <c r="F1807" s="41"/>
      <c r="G1807" s="101"/>
      <c r="H1807" s="38"/>
      <c r="I1807" s="42"/>
      <c r="J1807" s="42"/>
      <c r="K1807" s="43"/>
      <c r="L1807" s="43"/>
      <c r="M1807" s="44" t="str">
        <f>IF(LayTable[[#This Row],[Sport]]="","",LayTable[[#This Row],[LayInnsats]]*(LayTable[[#This Row],[LayOdds]]-1))</f>
        <v/>
      </c>
      <c r="N1807" s="45" t="str">
        <f>IF(LayTable[[#This Row],[Sport]]="","",1/((1/LayTable[[#This Row],[BookieOdds]])+(1/((1/((1+((LayTable[[#This Row],[LayOdds]]-1)*(1+LayTable[[#This Row],[C% Lay]])))-1))+1)))-1)</f>
        <v/>
      </c>
      <c r="Q1807" s="46" t="str">
        <f>IF(LayTable[[#This Row],[Sport]]="","",LayTable[[#This Row],[BookieInnsats]]+LayTable[[#This Row],[LayLiability]])</f>
        <v/>
      </c>
      <c r="R18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7" s="47" t="str">
        <f>IF(LayTable[[#This Row],[Utfall bookie]]="","",LayTable[[#This Row],[WBABack]]+LayTable[[#This Row],[WBALay]]-LayTable[[#This Row],[Total inns]])</f>
        <v/>
      </c>
      <c r="U18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7" s="48" t="str">
        <f>IFERROR(IF(LayTable[[#This Row],[Total inns]]="","",LayTable[[#This Row],[Rback]]/LayTable[[#This Row],[Total inns]]),"")</f>
        <v/>
      </c>
      <c r="X1807" s="48" t="str">
        <f>IFERROR(IF(LayTable[[#This Row],[Total inns]]="","",LayTable[[#This Row],[Rlay]]/LayTable[[#This Row],[Total inns]]),"")</f>
        <v/>
      </c>
      <c r="Y1807" s="48" t="str">
        <f>IFERROR(LayTable[[#This Row],[Faktisk res]]/LayTable[[#This Row],[Total inns]],"")</f>
        <v/>
      </c>
      <c r="Z1807" s="47">
        <f>(LayTable[[#This Row],[BookieInnsats]]*LayTable[[#This Row],[BookieOdds]]-LayTable[[#This Row],[BookieInnsats]])*(1-LayTable[[#This Row],[C% Bookie]])</f>
        <v>0</v>
      </c>
      <c r="AA1807" s="43">
        <f>LayTable[[#This Row],[LayInnsats]]*(1-LayTable[[#This Row],[C% Lay]])</f>
        <v>0</v>
      </c>
      <c r="AB1807" s="43" t="str">
        <f>IFERROR(IF(LayTable[[#This Row],[Sport]]="",AB1806,LayTable[[#This Row],[Faktisk res]]+AB1806),"")</f>
        <v/>
      </c>
      <c r="AC1807" s="43">
        <f>(LayTable[[#This Row],[BackWin-Commission]]+LayTable[[#This Row],[BookieInnsats]])</f>
        <v>0</v>
      </c>
      <c r="AD1807" s="43" t="e">
        <f>(LayTable[[#This Row],[LayWin-Commission]])+LayTable[[#This Row],[LayLiability]]</f>
        <v>#VALUE!</v>
      </c>
      <c r="AE1807" s="43"/>
      <c r="AF1807" s="181"/>
    </row>
    <row r="1808" spans="1:32">
      <c r="A1808" s="84"/>
      <c r="B1808" s="39"/>
      <c r="C1808" s="40"/>
      <c r="D1808" s="41"/>
      <c r="E1808" s="40"/>
      <c r="F1808" s="41"/>
      <c r="G1808" s="101"/>
      <c r="H1808" s="38"/>
      <c r="I1808" s="42"/>
      <c r="J1808" s="42"/>
      <c r="K1808" s="43"/>
      <c r="L1808" s="43"/>
      <c r="M1808" s="44" t="str">
        <f>IF(LayTable[[#This Row],[Sport]]="","",LayTable[[#This Row],[LayInnsats]]*(LayTable[[#This Row],[LayOdds]]-1))</f>
        <v/>
      </c>
      <c r="N1808" s="45" t="str">
        <f>IF(LayTable[[#This Row],[Sport]]="","",1/((1/LayTable[[#This Row],[BookieOdds]])+(1/((1/((1+((LayTable[[#This Row],[LayOdds]]-1)*(1+LayTable[[#This Row],[C% Lay]])))-1))+1)))-1)</f>
        <v/>
      </c>
      <c r="Q1808" s="46" t="str">
        <f>IF(LayTable[[#This Row],[Sport]]="","",LayTable[[#This Row],[BookieInnsats]]+LayTable[[#This Row],[LayLiability]])</f>
        <v/>
      </c>
      <c r="R18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8" s="47" t="str">
        <f>IF(LayTable[[#This Row],[Utfall bookie]]="","",LayTable[[#This Row],[WBABack]]+LayTable[[#This Row],[WBALay]]-LayTable[[#This Row],[Total inns]])</f>
        <v/>
      </c>
      <c r="U18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8" s="48" t="str">
        <f>IFERROR(IF(LayTable[[#This Row],[Total inns]]="","",LayTable[[#This Row],[Rback]]/LayTable[[#This Row],[Total inns]]),"")</f>
        <v/>
      </c>
      <c r="X1808" s="48" t="str">
        <f>IFERROR(IF(LayTable[[#This Row],[Total inns]]="","",LayTable[[#This Row],[Rlay]]/LayTable[[#This Row],[Total inns]]),"")</f>
        <v/>
      </c>
      <c r="Y1808" s="48" t="str">
        <f>IFERROR(LayTable[[#This Row],[Faktisk res]]/LayTable[[#This Row],[Total inns]],"")</f>
        <v/>
      </c>
      <c r="Z1808" s="47">
        <f>(LayTable[[#This Row],[BookieInnsats]]*LayTable[[#This Row],[BookieOdds]]-LayTable[[#This Row],[BookieInnsats]])*(1-LayTable[[#This Row],[C% Bookie]])</f>
        <v>0</v>
      </c>
      <c r="AA1808" s="43">
        <f>LayTable[[#This Row],[LayInnsats]]*(1-LayTable[[#This Row],[C% Lay]])</f>
        <v>0</v>
      </c>
      <c r="AB1808" s="43" t="str">
        <f>IFERROR(IF(LayTable[[#This Row],[Sport]]="",AB1807,LayTable[[#This Row],[Faktisk res]]+AB1807),"")</f>
        <v/>
      </c>
      <c r="AC1808" s="43">
        <f>(LayTable[[#This Row],[BackWin-Commission]]+LayTable[[#This Row],[BookieInnsats]])</f>
        <v>0</v>
      </c>
      <c r="AD1808" s="43" t="e">
        <f>(LayTable[[#This Row],[LayWin-Commission]])+LayTable[[#This Row],[LayLiability]]</f>
        <v>#VALUE!</v>
      </c>
      <c r="AE1808" s="43"/>
      <c r="AF1808" s="181"/>
    </row>
    <row r="1809" spans="1:32">
      <c r="A1809" s="84"/>
      <c r="B1809" s="39"/>
      <c r="C1809" s="40"/>
      <c r="D1809" s="41"/>
      <c r="E1809" s="40"/>
      <c r="F1809" s="41"/>
      <c r="G1809" s="101"/>
      <c r="H1809" s="38"/>
      <c r="I1809" s="42"/>
      <c r="J1809" s="42"/>
      <c r="K1809" s="43"/>
      <c r="L1809" s="43"/>
      <c r="M1809" s="44" t="str">
        <f>IF(LayTable[[#This Row],[Sport]]="","",LayTable[[#This Row],[LayInnsats]]*(LayTable[[#This Row],[LayOdds]]-1))</f>
        <v/>
      </c>
      <c r="N1809" s="45" t="str">
        <f>IF(LayTable[[#This Row],[Sport]]="","",1/((1/LayTable[[#This Row],[BookieOdds]])+(1/((1/((1+((LayTable[[#This Row],[LayOdds]]-1)*(1+LayTable[[#This Row],[C% Lay]])))-1))+1)))-1)</f>
        <v/>
      </c>
      <c r="Q1809" s="46" t="str">
        <f>IF(LayTable[[#This Row],[Sport]]="","",LayTable[[#This Row],[BookieInnsats]]+LayTable[[#This Row],[LayLiability]])</f>
        <v/>
      </c>
      <c r="R18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09" s="47" t="str">
        <f>IF(LayTable[[#This Row],[Utfall bookie]]="","",LayTable[[#This Row],[WBABack]]+LayTable[[#This Row],[WBALay]]-LayTable[[#This Row],[Total inns]])</f>
        <v/>
      </c>
      <c r="U18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09" s="48" t="str">
        <f>IFERROR(IF(LayTable[[#This Row],[Total inns]]="","",LayTable[[#This Row],[Rback]]/LayTable[[#This Row],[Total inns]]),"")</f>
        <v/>
      </c>
      <c r="X1809" s="48" t="str">
        <f>IFERROR(IF(LayTable[[#This Row],[Total inns]]="","",LayTable[[#This Row],[Rlay]]/LayTable[[#This Row],[Total inns]]),"")</f>
        <v/>
      </c>
      <c r="Y1809" s="48" t="str">
        <f>IFERROR(LayTable[[#This Row],[Faktisk res]]/LayTable[[#This Row],[Total inns]],"")</f>
        <v/>
      </c>
      <c r="Z1809" s="47">
        <f>(LayTable[[#This Row],[BookieInnsats]]*LayTable[[#This Row],[BookieOdds]]-LayTable[[#This Row],[BookieInnsats]])*(1-LayTable[[#This Row],[C% Bookie]])</f>
        <v>0</v>
      </c>
      <c r="AA1809" s="43">
        <f>LayTable[[#This Row],[LayInnsats]]*(1-LayTable[[#This Row],[C% Lay]])</f>
        <v>0</v>
      </c>
      <c r="AB1809" s="43" t="str">
        <f>IFERROR(IF(LayTable[[#This Row],[Sport]]="",AB1808,LayTable[[#This Row],[Faktisk res]]+AB1808),"")</f>
        <v/>
      </c>
      <c r="AC1809" s="43">
        <f>(LayTable[[#This Row],[BackWin-Commission]]+LayTable[[#This Row],[BookieInnsats]])</f>
        <v>0</v>
      </c>
      <c r="AD1809" s="43" t="e">
        <f>(LayTable[[#This Row],[LayWin-Commission]])+LayTable[[#This Row],[LayLiability]]</f>
        <v>#VALUE!</v>
      </c>
      <c r="AE1809" s="43"/>
      <c r="AF1809" s="181"/>
    </row>
    <row r="1810" spans="1:32">
      <c r="A1810" s="84"/>
      <c r="B1810" s="39"/>
      <c r="C1810" s="40"/>
      <c r="D1810" s="41"/>
      <c r="E1810" s="40"/>
      <c r="F1810" s="41"/>
      <c r="G1810" s="101"/>
      <c r="H1810" s="38"/>
      <c r="I1810" s="42"/>
      <c r="J1810" s="42"/>
      <c r="K1810" s="43"/>
      <c r="L1810" s="43"/>
      <c r="M1810" s="44" t="str">
        <f>IF(LayTable[[#This Row],[Sport]]="","",LayTable[[#This Row],[LayInnsats]]*(LayTable[[#This Row],[LayOdds]]-1))</f>
        <v/>
      </c>
      <c r="N1810" s="45" t="str">
        <f>IF(LayTable[[#This Row],[Sport]]="","",1/((1/LayTable[[#This Row],[BookieOdds]])+(1/((1/((1+((LayTable[[#This Row],[LayOdds]]-1)*(1+LayTable[[#This Row],[C% Lay]])))-1))+1)))-1)</f>
        <v/>
      </c>
      <c r="Q1810" s="46" t="str">
        <f>IF(LayTable[[#This Row],[Sport]]="","",LayTable[[#This Row],[BookieInnsats]]+LayTable[[#This Row],[LayLiability]])</f>
        <v/>
      </c>
      <c r="R18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0" s="47" t="str">
        <f>IF(LayTable[[#This Row],[Utfall bookie]]="","",LayTable[[#This Row],[WBABack]]+LayTable[[#This Row],[WBALay]]-LayTable[[#This Row],[Total inns]])</f>
        <v/>
      </c>
      <c r="U18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0" s="48" t="str">
        <f>IFERROR(IF(LayTable[[#This Row],[Total inns]]="","",LayTable[[#This Row],[Rback]]/LayTable[[#This Row],[Total inns]]),"")</f>
        <v/>
      </c>
      <c r="X1810" s="48" t="str">
        <f>IFERROR(IF(LayTable[[#This Row],[Total inns]]="","",LayTable[[#This Row],[Rlay]]/LayTable[[#This Row],[Total inns]]),"")</f>
        <v/>
      </c>
      <c r="Y1810" s="48" t="str">
        <f>IFERROR(LayTable[[#This Row],[Faktisk res]]/LayTable[[#This Row],[Total inns]],"")</f>
        <v/>
      </c>
      <c r="Z1810" s="47">
        <f>(LayTable[[#This Row],[BookieInnsats]]*LayTable[[#This Row],[BookieOdds]]-LayTable[[#This Row],[BookieInnsats]])*(1-LayTable[[#This Row],[C% Bookie]])</f>
        <v>0</v>
      </c>
      <c r="AA1810" s="43">
        <f>LayTable[[#This Row],[LayInnsats]]*(1-LayTable[[#This Row],[C% Lay]])</f>
        <v>0</v>
      </c>
      <c r="AB1810" s="43" t="str">
        <f>IFERROR(IF(LayTable[[#This Row],[Sport]]="",AB1809,LayTable[[#This Row],[Faktisk res]]+AB1809),"")</f>
        <v/>
      </c>
      <c r="AC1810" s="43">
        <f>(LayTable[[#This Row],[BackWin-Commission]]+LayTable[[#This Row],[BookieInnsats]])</f>
        <v>0</v>
      </c>
      <c r="AD1810" s="43" t="e">
        <f>(LayTable[[#This Row],[LayWin-Commission]])+LayTable[[#This Row],[LayLiability]]</f>
        <v>#VALUE!</v>
      </c>
      <c r="AE1810" s="43"/>
      <c r="AF1810" s="181"/>
    </row>
    <row r="1811" spans="1:32">
      <c r="A1811" s="84"/>
      <c r="B1811" s="39"/>
      <c r="C1811" s="40"/>
      <c r="D1811" s="41"/>
      <c r="E1811" s="40"/>
      <c r="F1811" s="41"/>
      <c r="G1811" s="101"/>
      <c r="H1811" s="38"/>
      <c r="I1811" s="42"/>
      <c r="J1811" s="42"/>
      <c r="K1811" s="43"/>
      <c r="L1811" s="43"/>
      <c r="M1811" s="44" t="str">
        <f>IF(LayTable[[#This Row],[Sport]]="","",LayTable[[#This Row],[LayInnsats]]*(LayTable[[#This Row],[LayOdds]]-1))</f>
        <v/>
      </c>
      <c r="N1811" s="45" t="str">
        <f>IF(LayTable[[#This Row],[Sport]]="","",1/((1/LayTable[[#This Row],[BookieOdds]])+(1/((1/((1+((LayTable[[#This Row],[LayOdds]]-1)*(1+LayTable[[#This Row],[C% Lay]])))-1))+1)))-1)</f>
        <v/>
      </c>
      <c r="Q1811" s="46" t="str">
        <f>IF(LayTable[[#This Row],[Sport]]="","",LayTable[[#This Row],[BookieInnsats]]+LayTable[[#This Row],[LayLiability]])</f>
        <v/>
      </c>
      <c r="R18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1" s="47" t="str">
        <f>IF(LayTable[[#This Row],[Utfall bookie]]="","",LayTable[[#This Row],[WBABack]]+LayTable[[#This Row],[WBALay]]-LayTable[[#This Row],[Total inns]])</f>
        <v/>
      </c>
      <c r="U18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1" s="48" t="str">
        <f>IFERROR(IF(LayTable[[#This Row],[Total inns]]="","",LayTable[[#This Row],[Rback]]/LayTable[[#This Row],[Total inns]]),"")</f>
        <v/>
      </c>
      <c r="X1811" s="48" t="str">
        <f>IFERROR(IF(LayTable[[#This Row],[Total inns]]="","",LayTable[[#This Row],[Rlay]]/LayTable[[#This Row],[Total inns]]),"")</f>
        <v/>
      </c>
      <c r="Y1811" s="48" t="str">
        <f>IFERROR(LayTable[[#This Row],[Faktisk res]]/LayTable[[#This Row],[Total inns]],"")</f>
        <v/>
      </c>
      <c r="Z1811" s="47">
        <f>(LayTable[[#This Row],[BookieInnsats]]*LayTable[[#This Row],[BookieOdds]]-LayTable[[#This Row],[BookieInnsats]])*(1-LayTable[[#This Row],[C% Bookie]])</f>
        <v>0</v>
      </c>
      <c r="AA1811" s="43">
        <f>LayTable[[#This Row],[LayInnsats]]*(1-LayTable[[#This Row],[C% Lay]])</f>
        <v>0</v>
      </c>
      <c r="AB1811" s="43" t="str">
        <f>IFERROR(IF(LayTable[[#This Row],[Sport]]="",AB1810,LayTable[[#This Row],[Faktisk res]]+AB1810),"")</f>
        <v/>
      </c>
      <c r="AC1811" s="43">
        <f>(LayTable[[#This Row],[BackWin-Commission]]+LayTable[[#This Row],[BookieInnsats]])</f>
        <v>0</v>
      </c>
      <c r="AD1811" s="43" t="e">
        <f>(LayTable[[#This Row],[LayWin-Commission]])+LayTable[[#This Row],[LayLiability]]</f>
        <v>#VALUE!</v>
      </c>
      <c r="AE1811" s="43"/>
      <c r="AF1811" s="181"/>
    </row>
    <row r="1812" spans="1:32">
      <c r="A1812" s="84"/>
      <c r="B1812" s="39"/>
      <c r="C1812" s="40"/>
      <c r="D1812" s="41"/>
      <c r="E1812" s="40"/>
      <c r="F1812" s="41"/>
      <c r="G1812" s="101"/>
      <c r="H1812" s="38"/>
      <c r="I1812" s="42"/>
      <c r="J1812" s="42"/>
      <c r="K1812" s="43"/>
      <c r="L1812" s="43"/>
      <c r="M1812" s="44" t="str">
        <f>IF(LayTable[[#This Row],[Sport]]="","",LayTable[[#This Row],[LayInnsats]]*(LayTable[[#This Row],[LayOdds]]-1))</f>
        <v/>
      </c>
      <c r="N1812" s="45" t="str">
        <f>IF(LayTable[[#This Row],[Sport]]="","",1/((1/LayTable[[#This Row],[BookieOdds]])+(1/((1/((1+((LayTable[[#This Row],[LayOdds]]-1)*(1+LayTable[[#This Row],[C% Lay]])))-1))+1)))-1)</f>
        <v/>
      </c>
      <c r="Q1812" s="46" t="str">
        <f>IF(LayTable[[#This Row],[Sport]]="","",LayTable[[#This Row],[BookieInnsats]]+LayTable[[#This Row],[LayLiability]])</f>
        <v/>
      </c>
      <c r="R18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2" s="47" t="str">
        <f>IF(LayTable[[#This Row],[Utfall bookie]]="","",LayTable[[#This Row],[WBABack]]+LayTable[[#This Row],[WBALay]]-LayTable[[#This Row],[Total inns]])</f>
        <v/>
      </c>
      <c r="U18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2" s="48" t="str">
        <f>IFERROR(IF(LayTable[[#This Row],[Total inns]]="","",LayTable[[#This Row],[Rback]]/LayTable[[#This Row],[Total inns]]),"")</f>
        <v/>
      </c>
      <c r="X1812" s="48" t="str">
        <f>IFERROR(IF(LayTable[[#This Row],[Total inns]]="","",LayTable[[#This Row],[Rlay]]/LayTable[[#This Row],[Total inns]]),"")</f>
        <v/>
      </c>
      <c r="Y1812" s="48" t="str">
        <f>IFERROR(LayTable[[#This Row],[Faktisk res]]/LayTable[[#This Row],[Total inns]],"")</f>
        <v/>
      </c>
      <c r="Z1812" s="47">
        <f>(LayTable[[#This Row],[BookieInnsats]]*LayTable[[#This Row],[BookieOdds]]-LayTable[[#This Row],[BookieInnsats]])*(1-LayTable[[#This Row],[C% Bookie]])</f>
        <v>0</v>
      </c>
      <c r="AA1812" s="43">
        <f>LayTable[[#This Row],[LayInnsats]]*(1-LayTable[[#This Row],[C% Lay]])</f>
        <v>0</v>
      </c>
      <c r="AB1812" s="43" t="str">
        <f>IFERROR(IF(LayTable[[#This Row],[Sport]]="",AB1811,LayTable[[#This Row],[Faktisk res]]+AB1811),"")</f>
        <v/>
      </c>
      <c r="AC1812" s="43">
        <f>(LayTable[[#This Row],[BackWin-Commission]]+LayTable[[#This Row],[BookieInnsats]])</f>
        <v>0</v>
      </c>
      <c r="AD1812" s="43" t="e">
        <f>(LayTable[[#This Row],[LayWin-Commission]])+LayTable[[#This Row],[LayLiability]]</f>
        <v>#VALUE!</v>
      </c>
      <c r="AE1812" s="43"/>
      <c r="AF1812" s="181"/>
    </row>
    <row r="1813" spans="1:32">
      <c r="A1813" s="84"/>
      <c r="B1813" s="39"/>
      <c r="C1813" s="40"/>
      <c r="D1813" s="41"/>
      <c r="E1813" s="40"/>
      <c r="F1813" s="41"/>
      <c r="G1813" s="101"/>
      <c r="H1813" s="38"/>
      <c r="I1813" s="42"/>
      <c r="J1813" s="42"/>
      <c r="K1813" s="43"/>
      <c r="L1813" s="43"/>
      <c r="M1813" s="44" t="str">
        <f>IF(LayTable[[#This Row],[Sport]]="","",LayTable[[#This Row],[LayInnsats]]*(LayTable[[#This Row],[LayOdds]]-1))</f>
        <v/>
      </c>
      <c r="N1813" s="45" t="str">
        <f>IF(LayTable[[#This Row],[Sport]]="","",1/((1/LayTable[[#This Row],[BookieOdds]])+(1/((1/((1+((LayTable[[#This Row],[LayOdds]]-1)*(1+LayTable[[#This Row],[C% Lay]])))-1))+1)))-1)</f>
        <v/>
      </c>
      <c r="Q1813" s="46" t="str">
        <f>IF(LayTable[[#This Row],[Sport]]="","",LayTable[[#This Row],[BookieInnsats]]+LayTable[[#This Row],[LayLiability]])</f>
        <v/>
      </c>
      <c r="R18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3" s="47" t="str">
        <f>IF(LayTable[[#This Row],[Utfall bookie]]="","",LayTable[[#This Row],[WBABack]]+LayTable[[#This Row],[WBALay]]-LayTable[[#This Row],[Total inns]])</f>
        <v/>
      </c>
      <c r="U18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3" s="48" t="str">
        <f>IFERROR(IF(LayTable[[#This Row],[Total inns]]="","",LayTable[[#This Row],[Rback]]/LayTable[[#This Row],[Total inns]]),"")</f>
        <v/>
      </c>
      <c r="X1813" s="48" t="str">
        <f>IFERROR(IF(LayTable[[#This Row],[Total inns]]="","",LayTable[[#This Row],[Rlay]]/LayTable[[#This Row],[Total inns]]),"")</f>
        <v/>
      </c>
      <c r="Y1813" s="48" t="str">
        <f>IFERROR(LayTable[[#This Row],[Faktisk res]]/LayTable[[#This Row],[Total inns]],"")</f>
        <v/>
      </c>
      <c r="Z1813" s="47">
        <f>(LayTable[[#This Row],[BookieInnsats]]*LayTable[[#This Row],[BookieOdds]]-LayTable[[#This Row],[BookieInnsats]])*(1-LayTable[[#This Row],[C% Bookie]])</f>
        <v>0</v>
      </c>
      <c r="AA1813" s="43">
        <f>LayTable[[#This Row],[LayInnsats]]*(1-LayTable[[#This Row],[C% Lay]])</f>
        <v>0</v>
      </c>
      <c r="AB1813" s="43" t="str">
        <f>IFERROR(IF(LayTable[[#This Row],[Sport]]="",AB1812,LayTable[[#This Row],[Faktisk res]]+AB1812),"")</f>
        <v/>
      </c>
      <c r="AC1813" s="43">
        <f>(LayTable[[#This Row],[BackWin-Commission]]+LayTable[[#This Row],[BookieInnsats]])</f>
        <v>0</v>
      </c>
      <c r="AD1813" s="43" t="e">
        <f>(LayTable[[#This Row],[LayWin-Commission]])+LayTable[[#This Row],[LayLiability]]</f>
        <v>#VALUE!</v>
      </c>
      <c r="AE1813" s="43"/>
      <c r="AF1813" s="181"/>
    </row>
    <row r="1814" spans="1:32">
      <c r="A1814" s="84"/>
      <c r="B1814" s="39"/>
      <c r="C1814" s="40"/>
      <c r="D1814" s="41"/>
      <c r="E1814" s="40"/>
      <c r="F1814" s="41"/>
      <c r="G1814" s="101"/>
      <c r="H1814" s="38"/>
      <c r="I1814" s="42"/>
      <c r="J1814" s="42"/>
      <c r="K1814" s="43"/>
      <c r="L1814" s="43"/>
      <c r="M1814" s="44" t="str">
        <f>IF(LayTable[[#This Row],[Sport]]="","",LayTable[[#This Row],[LayInnsats]]*(LayTable[[#This Row],[LayOdds]]-1))</f>
        <v/>
      </c>
      <c r="N1814" s="45" t="str">
        <f>IF(LayTable[[#This Row],[Sport]]="","",1/((1/LayTable[[#This Row],[BookieOdds]])+(1/((1/((1+((LayTable[[#This Row],[LayOdds]]-1)*(1+LayTable[[#This Row],[C% Lay]])))-1))+1)))-1)</f>
        <v/>
      </c>
      <c r="Q1814" s="46" t="str">
        <f>IF(LayTable[[#This Row],[Sport]]="","",LayTable[[#This Row],[BookieInnsats]]+LayTable[[#This Row],[LayLiability]])</f>
        <v/>
      </c>
      <c r="R18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4" s="47" t="str">
        <f>IF(LayTable[[#This Row],[Utfall bookie]]="","",LayTable[[#This Row],[WBABack]]+LayTable[[#This Row],[WBALay]]-LayTable[[#This Row],[Total inns]])</f>
        <v/>
      </c>
      <c r="U18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4" s="48" t="str">
        <f>IFERROR(IF(LayTable[[#This Row],[Total inns]]="","",LayTable[[#This Row],[Rback]]/LayTable[[#This Row],[Total inns]]),"")</f>
        <v/>
      </c>
      <c r="X1814" s="48" t="str">
        <f>IFERROR(IF(LayTable[[#This Row],[Total inns]]="","",LayTable[[#This Row],[Rlay]]/LayTable[[#This Row],[Total inns]]),"")</f>
        <v/>
      </c>
      <c r="Y1814" s="48" t="str">
        <f>IFERROR(LayTable[[#This Row],[Faktisk res]]/LayTable[[#This Row],[Total inns]],"")</f>
        <v/>
      </c>
      <c r="Z1814" s="47">
        <f>(LayTable[[#This Row],[BookieInnsats]]*LayTable[[#This Row],[BookieOdds]]-LayTable[[#This Row],[BookieInnsats]])*(1-LayTable[[#This Row],[C% Bookie]])</f>
        <v>0</v>
      </c>
      <c r="AA1814" s="43">
        <f>LayTable[[#This Row],[LayInnsats]]*(1-LayTable[[#This Row],[C% Lay]])</f>
        <v>0</v>
      </c>
      <c r="AB1814" s="43" t="str">
        <f>IFERROR(IF(LayTable[[#This Row],[Sport]]="",AB1813,LayTable[[#This Row],[Faktisk res]]+AB1813),"")</f>
        <v/>
      </c>
      <c r="AC1814" s="43">
        <f>(LayTable[[#This Row],[BackWin-Commission]]+LayTable[[#This Row],[BookieInnsats]])</f>
        <v>0</v>
      </c>
      <c r="AD1814" s="43" t="e">
        <f>(LayTable[[#This Row],[LayWin-Commission]])+LayTable[[#This Row],[LayLiability]]</f>
        <v>#VALUE!</v>
      </c>
      <c r="AE1814" s="43"/>
      <c r="AF1814" s="181"/>
    </row>
    <row r="1815" spans="1:32">
      <c r="A1815" s="84"/>
      <c r="B1815" s="39"/>
      <c r="C1815" s="40"/>
      <c r="D1815" s="41"/>
      <c r="E1815" s="40"/>
      <c r="F1815" s="41"/>
      <c r="G1815" s="101"/>
      <c r="H1815" s="38"/>
      <c r="I1815" s="42"/>
      <c r="J1815" s="42"/>
      <c r="K1815" s="43"/>
      <c r="L1815" s="43"/>
      <c r="M1815" s="44" t="str">
        <f>IF(LayTable[[#This Row],[Sport]]="","",LayTable[[#This Row],[LayInnsats]]*(LayTable[[#This Row],[LayOdds]]-1))</f>
        <v/>
      </c>
      <c r="N1815" s="45" t="str">
        <f>IF(LayTable[[#This Row],[Sport]]="","",1/((1/LayTable[[#This Row],[BookieOdds]])+(1/((1/((1+((LayTable[[#This Row],[LayOdds]]-1)*(1+LayTable[[#This Row],[C% Lay]])))-1))+1)))-1)</f>
        <v/>
      </c>
      <c r="Q1815" s="46" t="str">
        <f>IF(LayTable[[#This Row],[Sport]]="","",LayTable[[#This Row],[BookieInnsats]]+LayTable[[#This Row],[LayLiability]])</f>
        <v/>
      </c>
      <c r="R18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5" s="47" t="str">
        <f>IF(LayTable[[#This Row],[Utfall bookie]]="","",LayTable[[#This Row],[WBABack]]+LayTable[[#This Row],[WBALay]]-LayTable[[#This Row],[Total inns]])</f>
        <v/>
      </c>
      <c r="U18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5" s="48" t="str">
        <f>IFERROR(IF(LayTable[[#This Row],[Total inns]]="","",LayTable[[#This Row],[Rback]]/LayTable[[#This Row],[Total inns]]),"")</f>
        <v/>
      </c>
      <c r="X1815" s="48" t="str">
        <f>IFERROR(IF(LayTable[[#This Row],[Total inns]]="","",LayTable[[#This Row],[Rlay]]/LayTable[[#This Row],[Total inns]]),"")</f>
        <v/>
      </c>
      <c r="Y1815" s="48" t="str">
        <f>IFERROR(LayTable[[#This Row],[Faktisk res]]/LayTable[[#This Row],[Total inns]],"")</f>
        <v/>
      </c>
      <c r="Z1815" s="47">
        <f>(LayTable[[#This Row],[BookieInnsats]]*LayTable[[#This Row],[BookieOdds]]-LayTable[[#This Row],[BookieInnsats]])*(1-LayTable[[#This Row],[C% Bookie]])</f>
        <v>0</v>
      </c>
      <c r="AA1815" s="43">
        <f>LayTable[[#This Row],[LayInnsats]]*(1-LayTable[[#This Row],[C% Lay]])</f>
        <v>0</v>
      </c>
      <c r="AB1815" s="43" t="str">
        <f>IFERROR(IF(LayTable[[#This Row],[Sport]]="",AB1814,LayTable[[#This Row],[Faktisk res]]+AB1814),"")</f>
        <v/>
      </c>
      <c r="AC1815" s="43">
        <f>(LayTable[[#This Row],[BackWin-Commission]]+LayTable[[#This Row],[BookieInnsats]])</f>
        <v>0</v>
      </c>
      <c r="AD1815" s="43" t="e">
        <f>(LayTable[[#This Row],[LayWin-Commission]])+LayTable[[#This Row],[LayLiability]]</f>
        <v>#VALUE!</v>
      </c>
      <c r="AE1815" s="43"/>
      <c r="AF1815" s="181"/>
    </row>
    <row r="1816" spans="1:32">
      <c r="A1816" s="84"/>
      <c r="B1816" s="39"/>
      <c r="C1816" s="40"/>
      <c r="D1816" s="41"/>
      <c r="E1816" s="40"/>
      <c r="F1816" s="41"/>
      <c r="G1816" s="101"/>
      <c r="H1816" s="38"/>
      <c r="I1816" s="42"/>
      <c r="J1816" s="42"/>
      <c r="K1816" s="43"/>
      <c r="L1816" s="43"/>
      <c r="M1816" s="44" t="str">
        <f>IF(LayTable[[#This Row],[Sport]]="","",LayTable[[#This Row],[LayInnsats]]*(LayTable[[#This Row],[LayOdds]]-1))</f>
        <v/>
      </c>
      <c r="N1816" s="45" t="str">
        <f>IF(LayTable[[#This Row],[Sport]]="","",1/((1/LayTable[[#This Row],[BookieOdds]])+(1/((1/((1+((LayTable[[#This Row],[LayOdds]]-1)*(1+LayTable[[#This Row],[C% Lay]])))-1))+1)))-1)</f>
        <v/>
      </c>
      <c r="Q1816" s="46" t="str">
        <f>IF(LayTable[[#This Row],[Sport]]="","",LayTable[[#This Row],[BookieInnsats]]+LayTable[[#This Row],[LayLiability]])</f>
        <v/>
      </c>
      <c r="R18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6" s="47" t="str">
        <f>IF(LayTable[[#This Row],[Utfall bookie]]="","",LayTable[[#This Row],[WBABack]]+LayTable[[#This Row],[WBALay]]-LayTable[[#This Row],[Total inns]])</f>
        <v/>
      </c>
      <c r="U18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6" s="48" t="str">
        <f>IFERROR(IF(LayTable[[#This Row],[Total inns]]="","",LayTable[[#This Row],[Rback]]/LayTable[[#This Row],[Total inns]]),"")</f>
        <v/>
      </c>
      <c r="X1816" s="48" t="str">
        <f>IFERROR(IF(LayTable[[#This Row],[Total inns]]="","",LayTable[[#This Row],[Rlay]]/LayTable[[#This Row],[Total inns]]),"")</f>
        <v/>
      </c>
      <c r="Y1816" s="48" t="str">
        <f>IFERROR(LayTable[[#This Row],[Faktisk res]]/LayTable[[#This Row],[Total inns]],"")</f>
        <v/>
      </c>
      <c r="Z1816" s="47">
        <f>(LayTable[[#This Row],[BookieInnsats]]*LayTable[[#This Row],[BookieOdds]]-LayTable[[#This Row],[BookieInnsats]])*(1-LayTable[[#This Row],[C% Bookie]])</f>
        <v>0</v>
      </c>
      <c r="AA1816" s="43">
        <f>LayTable[[#This Row],[LayInnsats]]*(1-LayTable[[#This Row],[C% Lay]])</f>
        <v>0</v>
      </c>
      <c r="AB1816" s="43" t="str">
        <f>IFERROR(IF(LayTable[[#This Row],[Sport]]="",AB1815,LayTable[[#This Row],[Faktisk res]]+AB1815),"")</f>
        <v/>
      </c>
      <c r="AC1816" s="43">
        <f>(LayTable[[#This Row],[BackWin-Commission]]+LayTable[[#This Row],[BookieInnsats]])</f>
        <v>0</v>
      </c>
      <c r="AD1816" s="43" t="e">
        <f>(LayTable[[#This Row],[LayWin-Commission]])+LayTable[[#This Row],[LayLiability]]</f>
        <v>#VALUE!</v>
      </c>
      <c r="AE1816" s="43"/>
      <c r="AF1816" s="181"/>
    </row>
    <row r="1817" spans="1:32">
      <c r="A1817" s="84"/>
      <c r="B1817" s="39"/>
      <c r="C1817" s="40"/>
      <c r="D1817" s="41"/>
      <c r="E1817" s="40"/>
      <c r="F1817" s="41"/>
      <c r="G1817" s="101"/>
      <c r="H1817" s="38"/>
      <c r="I1817" s="42"/>
      <c r="J1817" s="42"/>
      <c r="K1817" s="43"/>
      <c r="L1817" s="43"/>
      <c r="M1817" s="44" t="str">
        <f>IF(LayTable[[#This Row],[Sport]]="","",LayTable[[#This Row],[LayInnsats]]*(LayTable[[#This Row],[LayOdds]]-1))</f>
        <v/>
      </c>
      <c r="N1817" s="45" t="str">
        <f>IF(LayTable[[#This Row],[Sport]]="","",1/((1/LayTable[[#This Row],[BookieOdds]])+(1/((1/((1+((LayTable[[#This Row],[LayOdds]]-1)*(1+LayTable[[#This Row],[C% Lay]])))-1))+1)))-1)</f>
        <v/>
      </c>
      <c r="Q1817" s="46" t="str">
        <f>IF(LayTable[[#This Row],[Sport]]="","",LayTable[[#This Row],[BookieInnsats]]+LayTable[[#This Row],[LayLiability]])</f>
        <v/>
      </c>
      <c r="R18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7" s="47" t="str">
        <f>IF(LayTable[[#This Row],[Utfall bookie]]="","",LayTable[[#This Row],[WBABack]]+LayTable[[#This Row],[WBALay]]-LayTable[[#This Row],[Total inns]])</f>
        <v/>
      </c>
      <c r="U18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7" s="48" t="str">
        <f>IFERROR(IF(LayTable[[#This Row],[Total inns]]="","",LayTable[[#This Row],[Rback]]/LayTable[[#This Row],[Total inns]]),"")</f>
        <v/>
      </c>
      <c r="X1817" s="48" t="str">
        <f>IFERROR(IF(LayTable[[#This Row],[Total inns]]="","",LayTable[[#This Row],[Rlay]]/LayTable[[#This Row],[Total inns]]),"")</f>
        <v/>
      </c>
      <c r="Y1817" s="48" t="str">
        <f>IFERROR(LayTable[[#This Row],[Faktisk res]]/LayTable[[#This Row],[Total inns]],"")</f>
        <v/>
      </c>
      <c r="Z1817" s="47">
        <f>(LayTable[[#This Row],[BookieInnsats]]*LayTable[[#This Row],[BookieOdds]]-LayTable[[#This Row],[BookieInnsats]])*(1-LayTable[[#This Row],[C% Bookie]])</f>
        <v>0</v>
      </c>
      <c r="AA1817" s="43">
        <f>LayTable[[#This Row],[LayInnsats]]*(1-LayTable[[#This Row],[C% Lay]])</f>
        <v>0</v>
      </c>
      <c r="AB1817" s="43" t="str">
        <f>IFERROR(IF(LayTable[[#This Row],[Sport]]="",AB1816,LayTable[[#This Row],[Faktisk res]]+AB1816),"")</f>
        <v/>
      </c>
      <c r="AC1817" s="43">
        <f>(LayTable[[#This Row],[BackWin-Commission]]+LayTable[[#This Row],[BookieInnsats]])</f>
        <v>0</v>
      </c>
      <c r="AD1817" s="43" t="e">
        <f>(LayTable[[#This Row],[LayWin-Commission]])+LayTable[[#This Row],[LayLiability]]</f>
        <v>#VALUE!</v>
      </c>
      <c r="AE1817" s="43"/>
      <c r="AF1817" s="181"/>
    </row>
    <row r="1818" spans="1:32">
      <c r="A1818" s="84"/>
      <c r="B1818" s="39"/>
      <c r="C1818" s="40"/>
      <c r="D1818" s="41"/>
      <c r="E1818" s="40"/>
      <c r="F1818" s="41"/>
      <c r="G1818" s="101"/>
      <c r="H1818" s="38"/>
      <c r="I1818" s="42"/>
      <c r="J1818" s="42"/>
      <c r="K1818" s="43"/>
      <c r="L1818" s="43"/>
      <c r="M1818" s="44" t="str">
        <f>IF(LayTable[[#This Row],[Sport]]="","",LayTable[[#This Row],[LayInnsats]]*(LayTable[[#This Row],[LayOdds]]-1))</f>
        <v/>
      </c>
      <c r="N1818" s="45" t="str">
        <f>IF(LayTable[[#This Row],[Sport]]="","",1/((1/LayTable[[#This Row],[BookieOdds]])+(1/((1/((1+((LayTable[[#This Row],[LayOdds]]-1)*(1+LayTable[[#This Row],[C% Lay]])))-1))+1)))-1)</f>
        <v/>
      </c>
      <c r="Q1818" s="46" t="str">
        <f>IF(LayTable[[#This Row],[Sport]]="","",LayTable[[#This Row],[BookieInnsats]]+LayTable[[#This Row],[LayLiability]])</f>
        <v/>
      </c>
      <c r="R18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8" s="47" t="str">
        <f>IF(LayTable[[#This Row],[Utfall bookie]]="","",LayTable[[#This Row],[WBABack]]+LayTable[[#This Row],[WBALay]]-LayTable[[#This Row],[Total inns]])</f>
        <v/>
      </c>
      <c r="U18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8" s="48" t="str">
        <f>IFERROR(IF(LayTable[[#This Row],[Total inns]]="","",LayTable[[#This Row],[Rback]]/LayTable[[#This Row],[Total inns]]),"")</f>
        <v/>
      </c>
      <c r="X1818" s="48" t="str">
        <f>IFERROR(IF(LayTable[[#This Row],[Total inns]]="","",LayTable[[#This Row],[Rlay]]/LayTable[[#This Row],[Total inns]]),"")</f>
        <v/>
      </c>
      <c r="Y1818" s="48" t="str">
        <f>IFERROR(LayTable[[#This Row],[Faktisk res]]/LayTable[[#This Row],[Total inns]],"")</f>
        <v/>
      </c>
      <c r="Z1818" s="47">
        <f>(LayTable[[#This Row],[BookieInnsats]]*LayTable[[#This Row],[BookieOdds]]-LayTable[[#This Row],[BookieInnsats]])*(1-LayTable[[#This Row],[C% Bookie]])</f>
        <v>0</v>
      </c>
      <c r="AA1818" s="43">
        <f>LayTable[[#This Row],[LayInnsats]]*(1-LayTable[[#This Row],[C% Lay]])</f>
        <v>0</v>
      </c>
      <c r="AB1818" s="43" t="str">
        <f>IFERROR(IF(LayTable[[#This Row],[Sport]]="",AB1817,LayTable[[#This Row],[Faktisk res]]+AB1817),"")</f>
        <v/>
      </c>
      <c r="AC1818" s="43">
        <f>(LayTable[[#This Row],[BackWin-Commission]]+LayTable[[#This Row],[BookieInnsats]])</f>
        <v>0</v>
      </c>
      <c r="AD1818" s="43" t="e">
        <f>(LayTable[[#This Row],[LayWin-Commission]])+LayTable[[#This Row],[LayLiability]]</f>
        <v>#VALUE!</v>
      </c>
      <c r="AE1818" s="43"/>
      <c r="AF1818" s="181"/>
    </row>
    <row r="1819" spans="1:32">
      <c r="A1819" s="84"/>
      <c r="B1819" s="39"/>
      <c r="C1819" s="40"/>
      <c r="D1819" s="41"/>
      <c r="E1819" s="40"/>
      <c r="F1819" s="41"/>
      <c r="G1819" s="101"/>
      <c r="H1819" s="38"/>
      <c r="I1819" s="42"/>
      <c r="J1819" s="42"/>
      <c r="K1819" s="43"/>
      <c r="L1819" s="43"/>
      <c r="M1819" s="44" t="str">
        <f>IF(LayTable[[#This Row],[Sport]]="","",LayTable[[#This Row],[LayInnsats]]*(LayTable[[#This Row],[LayOdds]]-1))</f>
        <v/>
      </c>
      <c r="N1819" s="45" t="str">
        <f>IF(LayTable[[#This Row],[Sport]]="","",1/((1/LayTable[[#This Row],[BookieOdds]])+(1/((1/((1+((LayTable[[#This Row],[LayOdds]]-1)*(1+LayTable[[#This Row],[C% Lay]])))-1))+1)))-1)</f>
        <v/>
      </c>
      <c r="Q1819" s="46" t="str">
        <f>IF(LayTable[[#This Row],[Sport]]="","",LayTable[[#This Row],[BookieInnsats]]+LayTable[[#This Row],[LayLiability]])</f>
        <v/>
      </c>
      <c r="R18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19" s="47" t="str">
        <f>IF(LayTable[[#This Row],[Utfall bookie]]="","",LayTable[[#This Row],[WBABack]]+LayTable[[#This Row],[WBALay]]-LayTable[[#This Row],[Total inns]])</f>
        <v/>
      </c>
      <c r="U18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19" s="48" t="str">
        <f>IFERROR(IF(LayTable[[#This Row],[Total inns]]="","",LayTable[[#This Row],[Rback]]/LayTable[[#This Row],[Total inns]]),"")</f>
        <v/>
      </c>
      <c r="X1819" s="48" t="str">
        <f>IFERROR(IF(LayTable[[#This Row],[Total inns]]="","",LayTable[[#This Row],[Rlay]]/LayTable[[#This Row],[Total inns]]),"")</f>
        <v/>
      </c>
      <c r="Y1819" s="48" t="str">
        <f>IFERROR(LayTable[[#This Row],[Faktisk res]]/LayTable[[#This Row],[Total inns]],"")</f>
        <v/>
      </c>
      <c r="Z1819" s="47">
        <f>(LayTable[[#This Row],[BookieInnsats]]*LayTable[[#This Row],[BookieOdds]]-LayTable[[#This Row],[BookieInnsats]])*(1-LayTable[[#This Row],[C% Bookie]])</f>
        <v>0</v>
      </c>
      <c r="AA1819" s="43">
        <f>LayTable[[#This Row],[LayInnsats]]*(1-LayTable[[#This Row],[C% Lay]])</f>
        <v>0</v>
      </c>
      <c r="AB1819" s="43" t="str">
        <f>IFERROR(IF(LayTable[[#This Row],[Sport]]="",AB1818,LayTable[[#This Row],[Faktisk res]]+AB1818),"")</f>
        <v/>
      </c>
      <c r="AC1819" s="43">
        <f>(LayTable[[#This Row],[BackWin-Commission]]+LayTable[[#This Row],[BookieInnsats]])</f>
        <v>0</v>
      </c>
      <c r="AD1819" s="43" t="e">
        <f>(LayTable[[#This Row],[LayWin-Commission]])+LayTable[[#This Row],[LayLiability]]</f>
        <v>#VALUE!</v>
      </c>
      <c r="AE1819" s="43"/>
      <c r="AF1819" s="181"/>
    </row>
    <row r="1820" spans="1:32">
      <c r="A1820" s="84"/>
      <c r="B1820" s="39"/>
      <c r="C1820" s="40"/>
      <c r="D1820" s="41"/>
      <c r="E1820" s="40"/>
      <c r="F1820" s="41"/>
      <c r="G1820" s="101"/>
      <c r="H1820" s="38"/>
      <c r="I1820" s="42"/>
      <c r="J1820" s="42"/>
      <c r="K1820" s="43"/>
      <c r="L1820" s="43"/>
      <c r="M1820" s="44" t="str">
        <f>IF(LayTable[[#This Row],[Sport]]="","",LayTable[[#This Row],[LayInnsats]]*(LayTable[[#This Row],[LayOdds]]-1))</f>
        <v/>
      </c>
      <c r="N1820" s="45" t="str">
        <f>IF(LayTable[[#This Row],[Sport]]="","",1/((1/LayTable[[#This Row],[BookieOdds]])+(1/((1/((1+((LayTable[[#This Row],[LayOdds]]-1)*(1+LayTable[[#This Row],[C% Lay]])))-1))+1)))-1)</f>
        <v/>
      </c>
      <c r="Q1820" s="46" t="str">
        <f>IF(LayTable[[#This Row],[Sport]]="","",LayTable[[#This Row],[BookieInnsats]]+LayTable[[#This Row],[LayLiability]])</f>
        <v/>
      </c>
      <c r="R18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0" s="47" t="str">
        <f>IF(LayTable[[#This Row],[Utfall bookie]]="","",LayTable[[#This Row],[WBABack]]+LayTable[[#This Row],[WBALay]]-LayTable[[#This Row],[Total inns]])</f>
        <v/>
      </c>
      <c r="U18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0" s="48" t="str">
        <f>IFERROR(IF(LayTable[[#This Row],[Total inns]]="","",LayTable[[#This Row],[Rback]]/LayTable[[#This Row],[Total inns]]),"")</f>
        <v/>
      </c>
      <c r="X1820" s="48" t="str">
        <f>IFERROR(IF(LayTable[[#This Row],[Total inns]]="","",LayTable[[#This Row],[Rlay]]/LayTable[[#This Row],[Total inns]]),"")</f>
        <v/>
      </c>
      <c r="Y1820" s="48" t="str">
        <f>IFERROR(LayTable[[#This Row],[Faktisk res]]/LayTable[[#This Row],[Total inns]],"")</f>
        <v/>
      </c>
      <c r="Z1820" s="47">
        <f>(LayTable[[#This Row],[BookieInnsats]]*LayTable[[#This Row],[BookieOdds]]-LayTable[[#This Row],[BookieInnsats]])*(1-LayTable[[#This Row],[C% Bookie]])</f>
        <v>0</v>
      </c>
      <c r="AA1820" s="43">
        <f>LayTable[[#This Row],[LayInnsats]]*(1-LayTable[[#This Row],[C% Lay]])</f>
        <v>0</v>
      </c>
      <c r="AB1820" s="43" t="str">
        <f>IFERROR(IF(LayTable[[#This Row],[Sport]]="",AB1819,LayTable[[#This Row],[Faktisk res]]+AB1819),"")</f>
        <v/>
      </c>
      <c r="AC1820" s="43">
        <f>(LayTable[[#This Row],[BackWin-Commission]]+LayTable[[#This Row],[BookieInnsats]])</f>
        <v>0</v>
      </c>
      <c r="AD1820" s="43" t="e">
        <f>(LayTable[[#This Row],[LayWin-Commission]])+LayTable[[#This Row],[LayLiability]]</f>
        <v>#VALUE!</v>
      </c>
      <c r="AE1820" s="43"/>
      <c r="AF1820" s="181"/>
    </row>
    <row r="1821" spans="1:32">
      <c r="A1821" s="84"/>
      <c r="B1821" s="39"/>
      <c r="C1821" s="40"/>
      <c r="D1821" s="41"/>
      <c r="E1821" s="40"/>
      <c r="F1821" s="41"/>
      <c r="G1821" s="101"/>
      <c r="H1821" s="38"/>
      <c r="I1821" s="42"/>
      <c r="J1821" s="42"/>
      <c r="K1821" s="43"/>
      <c r="L1821" s="43"/>
      <c r="M1821" s="44" t="str">
        <f>IF(LayTable[[#This Row],[Sport]]="","",LayTable[[#This Row],[LayInnsats]]*(LayTable[[#This Row],[LayOdds]]-1))</f>
        <v/>
      </c>
      <c r="N1821" s="45" t="str">
        <f>IF(LayTable[[#This Row],[Sport]]="","",1/((1/LayTable[[#This Row],[BookieOdds]])+(1/((1/((1+((LayTable[[#This Row],[LayOdds]]-1)*(1+LayTable[[#This Row],[C% Lay]])))-1))+1)))-1)</f>
        <v/>
      </c>
      <c r="Q1821" s="46" t="str">
        <f>IF(LayTable[[#This Row],[Sport]]="","",LayTable[[#This Row],[BookieInnsats]]+LayTable[[#This Row],[LayLiability]])</f>
        <v/>
      </c>
      <c r="R18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1" s="47" t="str">
        <f>IF(LayTable[[#This Row],[Utfall bookie]]="","",LayTable[[#This Row],[WBABack]]+LayTable[[#This Row],[WBALay]]-LayTable[[#This Row],[Total inns]])</f>
        <v/>
      </c>
      <c r="U18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1" s="48" t="str">
        <f>IFERROR(IF(LayTable[[#This Row],[Total inns]]="","",LayTable[[#This Row],[Rback]]/LayTable[[#This Row],[Total inns]]),"")</f>
        <v/>
      </c>
      <c r="X1821" s="48" t="str">
        <f>IFERROR(IF(LayTable[[#This Row],[Total inns]]="","",LayTable[[#This Row],[Rlay]]/LayTable[[#This Row],[Total inns]]),"")</f>
        <v/>
      </c>
      <c r="Y1821" s="48" t="str">
        <f>IFERROR(LayTable[[#This Row],[Faktisk res]]/LayTable[[#This Row],[Total inns]],"")</f>
        <v/>
      </c>
      <c r="Z1821" s="47">
        <f>(LayTable[[#This Row],[BookieInnsats]]*LayTable[[#This Row],[BookieOdds]]-LayTable[[#This Row],[BookieInnsats]])*(1-LayTable[[#This Row],[C% Bookie]])</f>
        <v>0</v>
      </c>
      <c r="AA1821" s="43">
        <f>LayTable[[#This Row],[LayInnsats]]*(1-LayTable[[#This Row],[C% Lay]])</f>
        <v>0</v>
      </c>
      <c r="AB1821" s="43" t="str">
        <f>IFERROR(IF(LayTable[[#This Row],[Sport]]="",AB1820,LayTable[[#This Row],[Faktisk res]]+AB1820),"")</f>
        <v/>
      </c>
      <c r="AC1821" s="43">
        <f>(LayTable[[#This Row],[BackWin-Commission]]+LayTable[[#This Row],[BookieInnsats]])</f>
        <v>0</v>
      </c>
      <c r="AD1821" s="43" t="e">
        <f>(LayTable[[#This Row],[LayWin-Commission]])+LayTable[[#This Row],[LayLiability]]</f>
        <v>#VALUE!</v>
      </c>
      <c r="AE1821" s="43"/>
      <c r="AF1821" s="181"/>
    </row>
    <row r="1822" spans="1:32">
      <c r="A1822" s="84"/>
      <c r="B1822" s="39"/>
      <c r="C1822" s="40"/>
      <c r="D1822" s="41"/>
      <c r="E1822" s="40"/>
      <c r="F1822" s="41"/>
      <c r="G1822" s="101"/>
      <c r="H1822" s="38"/>
      <c r="I1822" s="42"/>
      <c r="J1822" s="42"/>
      <c r="K1822" s="43"/>
      <c r="L1822" s="43"/>
      <c r="M1822" s="44" t="str">
        <f>IF(LayTable[[#This Row],[Sport]]="","",LayTable[[#This Row],[LayInnsats]]*(LayTable[[#This Row],[LayOdds]]-1))</f>
        <v/>
      </c>
      <c r="N1822" s="45" t="str">
        <f>IF(LayTable[[#This Row],[Sport]]="","",1/((1/LayTable[[#This Row],[BookieOdds]])+(1/((1/((1+((LayTable[[#This Row],[LayOdds]]-1)*(1+LayTable[[#This Row],[C% Lay]])))-1))+1)))-1)</f>
        <v/>
      </c>
      <c r="Q1822" s="46" t="str">
        <f>IF(LayTable[[#This Row],[Sport]]="","",LayTable[[#This Row],[BookieInnsats]]+LayTable[[#This Row],[LayLiability]])</f>
        <v/>
      </c>
      <c r="R18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2" s="47" t="str">
        <f>IF(LayTable[[#This Row],[Utfall bookie]]="","",LayTable[[#This Row],[WBABack]]+LayTable[[#This Row],[WBALay]]-LayTable[[#This Row],[Total inns]])</f>
        <v/>
      </c>
      <c r="U18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2" s="48" t="str">
        <f>IFERROR(IF(LayTable[[#This Row],[Total inns]]="","",LayTable[[#This Row],[Rback]]/LayTable[[#This Row],[Total inns]]),"")</f>
        <v/>
      </c>
      <c r="X1822" s="48" t="str">
        <f>IFERROR(IF(LayTable[[#This Row],[Total inns]]="","",LayTable[[#This Row],[Rlay]]/LayTable[[#This Row],[Total inns]]),"")</f>
        <v/>
      </c>
      <c r="Y1822" s="48" t="str">
        <f>IFERROR(LayTable[[#This Row],[Faktisk res]]/LayTable[[#This Row],[Total inns]],"")</f>
        <v/>
      </c>
      <c r="Z1822" s="47">
        <f>(LayTable[[#This Row],[BookieInnsats]]*LayTable[[#This Row],[BookieOdds]]-LayTable[[#This Row],[BookieInnsats]])*(1-LayTable[[#This Row],[C% Bookie]])</f>
        <v>0</v>
      </c>
      <c r="AA1822" s="43">
        <f>LayTable[[#This Row],[LayInnsats]]*(1-LayTable[[#This Row],[C% Lay]])</f>
        <v>0</v>
      </c>
      <c r="AB1822" s="43" t="str">
        <f>IFERROR(IF(LayTable[[#This Row],[Sport]]="",AB1821,LayTable[[#This Row],[Faktisk res]]+AB1821),"")</f>
        <v/>
      </c>
      <c r="AC1822" s="43">
        <f>(LayTable[[#This Row],[BackWin-Commission]]+LayTable[[#This Row],[BookieInnsats]])</f>
        <v>0</v>
      </c>
      <c r="AD1822" s="43" t="e">
        <f>(LayTable[[#This Row],[LayWin-Commission]])+LayTable[[#This Row],[LayLiability]]</f>
        <v>#VALUE!</v>
      </c>
      <c r="AE1822" s="43"/>
      <c r="AF1822" s="181"/>
    </row>
    <row r="1823" spans="1:32">
      <c r="A1823" s="84"/>
      <c r="B1823" s="39"/>
      <c r="C1823" s="40"/>
      <c r="D1823" s="41"/>
      <c r="E1823" s="40"/>
      <c r="F1823" s="41"/>
      <c r="G1823" s="101"/>
      <c r="H1823" s="38"/>
      <c r="I1823" s="42"/>
      <c r="J1823" s="42"/>
      <c r="K1823" s="43"/>
      <c r="L1823" s="43"/>
      <c r="M1823" s="44" t="str">
        <f>IF(LayTable[[#This Row],[Sport]]="","",LayTable[[#This Row],[LayInnsats]]*(LayTable[[#This Row],[LayOdds]]-1))</f>
        <v/>
      </c>
      <c r="N1823" s="45" t="str">
        <f>IF(LayTable[[#This Row],[Sport]]="","",1/((1/LayTable[[#This Row],[BookieOdds]])+(1/((1/((1+((LayTable[[#This Row],[LayOdds]]-1)*(1+LayTable[[#This Row],[C% Lay]])))-1))+1)))-1)</f>
        <v/>
      </c>
      <c r="Q1823" s="46" t="str">
        <f>IF(LayTable[[#This Row],[Sport]]="","",LayTable[[#This Row],[BookieInnsats]]+LayTable[[#This Row],[LayLiability]])</f>
        <v/>
      </c>
      <c r="R18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3" s="47" t="str">
        <f>IF(LayTable[[#This Row],[Utfall bookie]]="","",LayTable[[#This Row],[WBABack]]+LayTable[[#This Row],[WBALay]]-LayTable[[#This Row],[Total inns]])</f>
        <v/>
      </c>
      <c r="U18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3" s="48" t="str">
        <f>IFERROR(IF(LayTable[[#This Row],[Total inns]]="","",LayTable[[#This Row],[Rback]]/LayTable[[#This Row],[Total inns]]),"")</f>
        <v/>
      </c>
      <c r="X1823" s="48" t="str">
        <f>IFERROR(IF(LayTable[[#This Row],[Total inns]]="","",LayTable[[#This Row],[Rlay]]/LayTable[[#This Row],[Total inns]]),"")</f>
        <v/>
      </c>
      <c r="Y1823" s="48" t="str">
        <f>IFERROR(LayTable[[#This Row],[Faktisk res]]/LayTable[[#This Row],[Total inns]],"")</f>
        <v/>
      </c>
      <c r="Z1823" s="47">
        <f>(LayTable[[#This Row],[BookieInnsats]]*LayTable[[#This Row],[BookieOdds]]-LayTable[[#This Row],[BookieInnsats]])*(1-LayTable[[#This Row],[C% Bookie]])</f>
        <v>0</v>
      </c>
      <c r="AA1823" s="43">
        <f>LayTable[[#This Row],[LayInnsats]]*(1-LayTable[[#This Row],[C% Lay]])</f>
        <v>0</v>
      </c>
      <c r="AB1823" s="43" t="str">
        <f>IFERROR(IF(LayTable[[#This Row],[Sport]]="",AB1822,LayTable[[#This Row],[Faktisk res]]+AB1822),"")</f>
        <v/>
      </c>
      <c r="AC1823" s="43">
        <f>(LayTable[[#This Row],[BackWin-Commission]]+LayTable[[#This Row],[BookieInnsats]])</f>
        <v>0</v>
      </c>
      <c r="AD1823" s="43" t="e">
        <f>(LayTable[[#This Row],[LayWin-Commission]])+LayTable[[#This Row],[LayLiability]]</f>
        <v>#VALUE!</v>
      </c>
      <c r="AE1823" s="43"/>
      <c r="AF1823" s="181"/>
    </row>
    <row r="1824" spans="1:32">
      <c r="A1824" s="84"/>
      <c r="B1824" s="39"/>
      <c r="C1824" s="40"/>
      <c r="D1824" s="41"/>
      <c r="E1824" s="40"/>
      <c r="F1824" s="41"/>
      <c r="G1824" s="101"/>
      <c r="H1824" s="38"/>
      <c r="I1824" s="42"/>
      <c r="J1824" s="42"/>
      <c r="K1824" s="43"/>
      <c r="L1824" s="43"/>
      <c r="M1824" s="44" t="str">
        <f>IF(LayTable[[#This Row],[Sport]]="","",LayTable[[#This Row],[LayInnsats]]*(LayTable[[#This Row],[LayOdds]]-1))</f>
        <v/>
      </c>
      <c r="N1824" s="45" t="str">
        <f>IF(LayTable[[#This Row],[Sport]]="","",1/((1/LayTable[[#This Row],[BookieOdds]])+(1/((1/((1+((LayTable[[#This Row],[LayOdds]]-1)*(1+LayTable[[#This Row],[C% Lay]])))-1))+1)))-1)</f>
        <v/>
      </c>
      <c r="Q1824" s="46" t="str">
        <f>IF(LayTable[[#This Row],[Sport]]="","",LayTable[[#This Row],[BookieInnsats]]+LayTable[[#This Row],[LayLiability]])</f>
        <v/>
      </c>
      <c r="R18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4" s="47" t="str">
        <f>IF(LayTable[[#This Row],[Utfall bookie]]="","",LayTable[[#This Row],[WBABack]]+LayTable[[#This Row],[WBALay]]-LayTable[[#This Row],[Total inns]])</f>
        <v/>
      </c>
      <c r="U18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4" s="48" t="str">
        <f>IFERROR(IF(LayTable[[#This Row],[Total inns]]="","",LayTable[[#This Row],[Rback]]/LayTable[[#This Row],[Total inns]]),"")</f>
        <v/>
      </c>
      <c r="X1824" s="48" t="str">
        <f>IFERROR(IF(LayTable[[#This Row],[Total inns]]="","",LayTable[[#This Row],[Rlay]]/LayTable[[#This Row],[Total inns]]),"")</f>
        <v/>
      </c>
      <c r="Y1824" s="48" t="str">
        <f>IFERROR(LayTable[[#This Row],[Faktisk res]]/LayTable[[#This Row],[Total inns]],"")</f>
        <v/>
      </c>
      <c r="Z1824" s="47">
        <f>(LayTable[[#This Row],[BookieInnsats]]*LayTable[[#This Row],[BookieOdds]]-LayTable[[#This Row],[BookieInnsats]])*(1-LayTable[[#This Row],[C% Bookie]])</f>
        <v>0</v>
      </c>
      <c r="AA1824" s="43">
        <f>LayTable[[#This Row],[LayInnsats]]*(1-LayTable[[#This Row],[C% Lay]])</f>
        <v>0</v>
      </c>
      <c r="AB1824" s="43" t="str">
        <f>IFERROR(IF(LayTable[[#This Row],[Sport]]="",AB1823,LayTable[[#This Row],[Faktisk res]]+AB1823),"")</f>
        <v/>
      </c>
      <c r="AC1824" s="43">
        <f>(LayTable[[#This Row],[BackWin-Commission]]+LayTable[[#This Row],[BookieInnsats]])</f>
        <v>0</v>
      </c>
      <c r="AD1824" s="43" t="e">
        <f>(LayTable[[#This Row],[LayWin-Commission]])+LayTable[[#This Row],[LayLiability]]</f>
        <v>#VALUE!</v>
      </c>
      <c r="AE1824" s="43"/>
      <c r="AF1824" s="181"/>
    </row>
    <row r="1825" spans="1:32">
      <c r="A1825" s="84"/>
      <c r="B1825" s="39"/>
      <c r="C1825" s="40"/>
      <c r="D1825" s="41"/>
      <c r="E1825" s="40"/>
      <c r="F1825" s="41"/>
      <c r="G1825" s="101"/>
      <c r="H1825" s="38"/>
      <c r="I1825" s="42"/>
      <c r="J1825" s="42"/>
      <c r="K1825" s="43"/>
      <c r="L1825" s="43"/>
      <c r="M1825" s="44" t="str">
        <f>IF(LayTable[[#This Row],[Sport]]="","",LayTable[[#This Row],[LayInnsats]]*(LayTable[[#This Row],[LayOdds]]-1))</f>
        <v/>
      </c>
      <c r="N1825" s="45" t="str">
        <f>IF(LayTable[[#This Row],[Sport]]="","",1/((1/LayTable[[#This Row],[BookieOdds]])+(1/((1/((1+((LayTable[[#This Row],[LayOdds]]-1)*(1+LayTable[[#This Row],[C% Lay]])))-1))+1)))-1)</f>
        <v/>
      </c>
      <c r="Q1825" s="46" t="str">
        <f>IF(LayTable[[#This Row],[Sport]]="","",LayTable[[#This Row],[BookieInnsats]]+LayTable[[#This Row],[LayLiability]])</f>
        <v/>
      </c>
      <c r="R18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5" s="47" t="str">
        <f>IF(LayTable[[#This Row],[Utfall bookie]]="","",LayTable[[#This Row],[WBABack]]+LayTable[[#This Row],[WBALay]]-LayTable[[#This Row],[Total inns]])</f>
        <v/>
      </c>
      <c r="U18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5" s="48" t="str">
        <f>IFERROR(IF(LayTable[[#This Row],[Total inns]]="","",LayTable[[#This Row],[Rback]]/LayTable[[#This Row],[Total inns]]),"")</f>
        <v/>
      </c>
      <c r="X1825" s="48" t="str">
        <f>IFERROR(IF(LayTable[[#This Row],[Total inns]]="","",LayTable[[#This Row],[Rlay]]/LayTable[[#This Row],[Total inns]]),"")</f>
        <v/>
      </c>
      <c r="Y1825" s="48" t="str">
        <f>IFERROR(LayTable[[#This Row],[Faktisk res]]/LayTable[[#This Row],[Total inns]],"")</f>
        <v/>
      </c>
      <c r="Z1825" s="47">
        <f>(LayTable[[#This Row],[BookieInnsats]]*LayTable[[#This Row],[BookieOdds]]-LayTable[[#This Row],[BookieInnsats]])*(1-LayTable[[#This Row],[C% Bookie]])</f>
        <v>0</v>
      </c>
      <c r="AA1825" s="43">
        <f>LayTable[[#This Row],[LayInnsats]]*(1-LayTable[[#This Row],[C% Lay]])</f>
        <v>0</v>
      </c>
      <c r="AB1825" s="43" t="str">
        <f>IFERROR(IF(LayTable[[#This Row],[Sport]]="",AB1824,LayTable[[#This Row],[Faktisk res]]+AB1824),"")</f>
        <v/>
      </c>
      <c r="AC1825" s="43">
        <f>(LayTable[[#This Row],[BackWin-Commission]]+LayTable[[#This Row],[BookieInnsats]])</f>
        <v>0</v>
      </c>
      <c r="AD1825" s="43" t="e">
        <f>(LayTable[[#This Row],[LayWin-Commission]])+LayTable[[#This Row],[LayLiability]]</f>
        <v>#VALUE!</v>
      </c>
      <c r="AE1825" s="43"/>
      <c r="AF1825" s="181"/>
    </row>
    <row r="1826" spans="1:32">
      <c r="A1826" s="84"/>
      <c r="B1826" s="39"/>
      <c r="C1826" s="40"/>
      <c r="D1826" s="41"/>
      <c r="E1826" s="40"/>
      <c r="F1826" s="41"/>
      <c r="G1826" s="101"/>
      <c r="H1826" s="38"/>
      <c r="I1826" s="42"/>
      <c r="J1826" s="42"/>
      <c r="K1826" s="43"/>
      <c r="L1826" s="43"/>
      <c r="M1826" s="44" t="str">
        <f>IF(LayTable[[#This Row],[Sport]]="","",LayTable[[#This Row],[LayInnsats]]*(LayTable[[#This Row],[LayOdds]]-1))</f>
        <v/>
      </c>
      <c r="N1826" s="45" t="str">
        <f>IF(LayTable[[#This Row],[Sport]]="","",1/((1/LayTable[[#This Row],[BookieOdds]])+(1/((1/((1+((LayTable[[#This Row],[LayOdds]]-1)*(1+LayTable[[#This Row],[C% Lay]])))-1))+1)))-1)</f>
        <v/>
      </c>
      <c r="Q1826" s="46" t="str">
        <f>IF(LayTable[[#This Row],[Sport]]="","",LayTable[[#This Row],[BookieInnsats]]+LayTable[[#This Row],[LayLiability]])</f>
        <v/>
      </c>
      <c r="R18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6" s="47" t="str">
        <f>IF(LayTable[[#This Row],[Utfall bookie]]="","",LayTable[[#This Row],[WBABack]]+LayTable[[#This Row],[WBALay]]-LayTable[[#This Row],[Total inns]])</f>
        <v/>
      </c>
      <c r="U18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6" s="48" t="str">
        <f>IFERROR(IF(LayTable[[#This Row],[Total inns]]="","",LayTable[[#This Row],[Rback]]/LayTable[[#This Row],[Total inns]]),"")</f>
        <v/>
      </c>
      <c r="X1826" s="48" t="str">
        <f>IFERROR(IF(LayTable[[#This Row],[Total inns]]="","",LayTable[[#This Row],[Rlay]]/LayTable[[#This Row],[Total inns]]),"")</f>
        <v/>
      </c>
      <c r="Y1826" s="48" t="str">
        <f>IFERROR(LayTable[[#This Row],[Faktisk res]]/LayTable[[#This Row],[Total inns]],"")</f>
        <v/>
      </c>
      <c r="Z1826" s="47">
        <f>(LayTable[[#This Row],[BookieInnsats]]*LayTable[[#This Row],[BookieOdds]]-LayTable[[#This Row],[BookieInnsats]])*(1-LayTable[[#This Row],[C% Bookie]])</f>
        <v>0</v>
      </c>
      <c r="AA1826" s="43">
        <f>LayTable[[#This Row],[LayInnsats]]*(1-LayTable[[#This Row],[C% Lay]])</f>
        <v>0</v>
      </c>
      <c r="AB1826" s="43" t="str">
        <f>IFERROR(IF(LayTable[[#This Row],[Sport]]="",AB1825,LayTable[[#This Row],[Faktisk res]]+AB1825),"")</f>
        <v/>
      </c>
      <c r="AC1826" s="43">
        <f>(LayTable[[#This Row],[BackWin-Commission]]+LayTable[[#This Row],[BookieInnsats]])</f>
        <v>0</v>
      </c>
      <c r="AD1826" s="43" t="e">
        <f>(LayTable[[#This Row],[LayWin-Commission]])+LayTable[[#This Row],[LayLiability]]</f>
        <v>#VALUE!</v>
      </c>
      <c r="AE1826" s="43"/>
      <c r="AF1826" s="181"/>
    </row>
    <row r="1827" spans="1:32">
      <c r="A1827" s="84"/>
      <c r="B1827" s="39"/>
      <c r="C1827" s="40"/>
      <c r="D1827" s="41"/>
      <c r="E1827" s="40"/>
      <c r="F1827" s="41"/>
      <c r="G1827" s="101"/>
      <c r="H1827" s="38"/>
      <c r="I1827" s="42"/>
      <c r="J1827" s="42"/>
      <c r="K1827" s="43"/>
      <c r="L1827" s="43"/>
      <c r="M1827" s="44" t="str">
        <f>IF(LayTable[[#This Row],[Sport]]="","",LayTable[[#This Row],[LayInnsats]]*(LayTable[[#This Row],[LayOdds]]-1))</f>
        <v/>
      </c>
      <c r="N1827" s="45" t="str">
        <f>IF(LayTable[[#This Row],[Sport]]="","",1/((1/LayTable[[#This Row],[BookieOdds]])+(1/((1/((1+((LayTable[[#This Row],[LayOdds]]-1)*(1+LayTable[[#This Row],[C% Lay]])))-1))+1)))-1)</f>
        <v/>
      </c>
      <c r="Q1827" s="46" t="str">
        <f>IF(LayTable[[#This Row],[Sport]]="","",LayTable[[#This Row],[BookieInnsats]]+LayTable[[#This Row],[LayLiability]])</f>
        <v/>
      </c>
      <c r="R18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7" s="47" t="str">
        <f>IF(LayTable[[#This Row],[Utfall bookie]]="","",LayTable[[#This Row],[WBABack]]+LayTable[[#This Row],[WBALay]]-LayTable[[#This Row],[Total inns]])</f>
        <v/>
      </c>
      <c r="U18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7" s="48" t="str">
        <f>IFERROR(IF(LayTable[[#This Row],[Total inns]]="","",LayTable[[#This Row],[Rback]]/LayTable[[#This Row],[Total inns]]),"")</f>
        <v/>
      </c>
      <c r="X1827" s="48" t="str">
        <f>IFERROR(IF(LayTable[[#This Row],[Total inns]]="","",LayTable[[#This Row],[Rlay]]/LayTable[[#This Row],[Total inns]]),"")</f>
        <v/>
      </c>
      <c r="Y1827" s="48" t="str">
        <f>IFERROR(LayTable[[#This Row],[Faktisk res]]/LayTable[[#This Row],[Total inns]],"")</f>
        <v/>
      </c>
      <c r="Z1827" s="47">
        <f>(LayTable[[#This Row],[BookieInnsats]]*LayTable[[#This Row],[BookieOdds]]-LayTable[[#This Row],[BookieInnsats]])*(1-LayTable[[#This Row],[C% Bookie]])</f>
        <v>0</v>
      </c>
      <c r="AA1827" s="43">
        <f>LayTable[[#This Row],[LayInnsats]]*(1-LayTable[[#This Row],[C% Lay]])</f>
        <v>0</v>
      </c>
      <c r="AB1827" s="43" t="str">
        <f>IFERROR(IF(LayTable[[#This Row],[Sport]]="",AB1826,LayTable[[#This Row],[Faktisk res]]+AB1826),"")</f>
        <v/>
      </c>
      <c r="AC1827" s="43">
        <f>(LayTable[[#This Row],[BackWin-Commission]]+LayTable[[#This Row],[BookieInnsats]])</f>
        <v>0</v>
      </c>
      <c r="AD1827" s="43" t="e">
        <f>(LayTable[[#This Row],[LayWin-Commission]])+LayTable[[#This Row],[LayLiability]]</f>
        <v>#VALUE!</v>
      </c>
      <c r="AE1827" s="43"/>
      <c r="AF1827" s="181"/>
    </row>
    <row r="1828" spans="1:32">
      <c r="A1828" s="84"/>
      <c r="B1828" s="39"/>
      <c r="C1828" s="40"/>
      <c r="D1828" s="41"/>
      <c r="E1828" s="40"/>
      <c r="F1828" s="41"/>
      <c r="G1828" s="101"/>
      <c r="H1828" s="38"/>
      <c r="I1828" s="42"/>
      <c r="J1828" s="42"/>
      <c r="K1828" s="43"/>
      <c r="L1828" s="43"/>
      <c r="M1828" s="44" t="str">
        <f>IF(LayTable[[#This Row],[Sport]]="","",LayTable[[#This Row],[LayInnsats]]*(LayTable[[#This Row],[LayOdds]]-1))</f>
        <v/>
      </c>
      <c r="N1828" s="45" t="str">
        <f>IF(LayTable[[#This Row],[Sport]]="","",1/((1/LayTable[[#This Row],[BookieOdds]])+(1/((1/((1+((LayTable[[#This Row],[LayOdds]]-1)*(1+LayTable[[#This Row],[C% Lay]])))-1))+1)))-1)</f>
        <v/>
      </c>
      <c r="Q1828" s="46" t="str">
        <f>IF(LayTable[[#This Row],[Sport]]="","",LayTable[[#This Row],[BookieInnsats]]+LayTable[[#This Row],[LayLiability]])</f>
        <v/>
      </c>
      <c r="R18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8" s="47" t="str">
        <f>IF(LayTable[[#This Row],[Utfall bookie]]="","",LayTable[[#This Row],[WBABack]]+LayTable[[#This Row],[WBALay]]-LayTable[[#This Row],[Total inns]])</f>
        <v/>
      </c>
      <c r="U18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8" s="48" t="str">
        <f>IFERROR(IF(LayTable[[#This Row],[Total inns]]="","",LayTable[[#This Row],[Rback]]/LayTable[[#This Row],[Total inns]]),"")</f>
        <v/>
      </c>
      <c r="X1828" s="48" t="str">
        <f>IFERROR(IF(LayTable[[#This Row],[Total inns]]="","",LayTable[[#This Row],[Rlay]]/LayTable[[#This Row],[Total inns]]),"")</f>
        <v/>
      </c>
      <c r="Y1828" s="48" t="str">
        <f>IFERROR(LayTable[[#This Row],[Faktisk res]]/LayTable[[#This Row],[Total inns]],"")</f>
        <v/>
      </c>
      <c r="Z1828" s="47">
        <f>(LayTable[[#This Row],[BookieInnsats]]*LayTable[[#This Row],[BookieOdds]]-LayTable[[#This Row],[BookieInnsats]])*(1-LayTable[[#This Row],[C% Bookie]])</f>
        <v>0</v>
      </c>
      <c r="AA1828" s="43">
        <f>LayTable[[#This Row],[LayInnsats]]*(1-LayTable[[#This Row],[C% Lay]])</f>
        <v>0</v>
      </c>
      <c r="AB1828" s="43" t="str">
        <f>IFERROR(IF(LayTable[[#This Row],[Sport]]="",AB1827,LayTable[[#This Row],[Faktisk res]]+AB1827),"")</f>
        <v/>
      </c>
      <c r="AC1828" s="43">
        <f>(LayTable[[#This Row],[BackWin-Commission]]+LayTable[[#This Row],[BookieInnsats]])</f>
        <v>0</v>
      </c>
      <c r="AD1828" s="43" t="e">
        <f>(LayTable[[#This Row],[LayWin-Commission]])+LayTable[[#This Row],[LayLiability]]</f>
        <v>#VALUE!</v>
      </c>
      <c r="AE1828" s="43"/>
      <c r="AF1828" s="181"/>
    </row>
    <row r="1829" spans="1:32">
      <c r="A1829" s="84"/>
      <c r="B1829" s="39"/>
      <c r="C1829" s="40"/>
      <c r="D1829" s="41"/>
      <c r="E1829" s="40"/>
      <c r="F1829" s="41"/>
      <c r="G1829" s="101"/>
      <c r="H1829" s="38"/>
      <c r="I1829" s="42"/>
      <c r="J1829" s="42"/>
      <c r="K1829" s="43"/>
      <c r="L1829" s="43"/>
      <c r="M1829" s="44" t="str">
        <f>IF(LayTable[[#This Row],[Sport]]="","",LayTable[[#This Row],[LayInnsats]]*(LayTable[[#This Row],[LayOdds]]-1))</f>
        <v/>
      </c>
      <c r="N1829" s="45" t="str">
        <f>IF(LayTable[[#This Row],[Sport]]="","",1/((1/LayTable[[#This Row],[BookieOdds]])+(1/((1/((1+((LayTable[[#This Row],[LayOdds]]-1)*(1+LayTable[[#This Row],[C% Lay]])))-1))+1)))-1)</f>
        <v/>
      </c>
      <c r="Q1829" s="46" t="str">
        <f>IF(LayTable[[#This Row],[Sport]]="","",LayTable[[#This Row],[BookieInnsats]]+LayTable[[#This Row],[LayLiability]])</f>
        <v/>
      </c>
      <c r="R18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29" s="47" t="str">
        <f>IF(LayTable[[#This Row],[Utfall bookie]]="","",LayTable[[#This Row],[WBABack]]+LayTable[[#This Row],[WBALay]]-LayTable[[#This Row],[Total inns]])</f>
        <v/>
      </c>
      <c r="U18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29" s="48" t="str">
        <f>IFERROR(IF(LayTable[[#This Row],[Total inns]]="","",LayTable[[#This Row],[Rback]]/LayTable[[#This Row],[Total inns]]),"")</f>
        <v/>
      </c>
      <c r="X1829" s="48" t="str">
        <f>IFERROR(IF(LayTable[[#This Row],[Total inns]]="","",LayTable[[#This Row],[Rlay]]/LayTable[[#This Row],[Total inns]]),"")</f>
        <v/>
      </c>
      <c r="Y1829" s="48" t="str">
        <f>IFERROR(LayTable[[#This Row],[Faktisk res]]/LayTable[[#This Row],[Total inns]],"")</f>
        <v/>
      </c>
      <c r="Z1829" s="47">
        <f>(LayTable[[#This Row],[BookieInnsats]]*LayTable[[#This Row],[BookieOdds]]-LayTable[[#This Row],[BookieInnsats]])*(1-LayTable[[#This Row],[C% Bookie]])</f>
        <v>0</v>
      </c>
      <c r="AA1829" s="43">
        <f>LayTable[[#This Row],[LayInnsats]]*(1-LayTable[[#This Row],[C% Lay]])</f>
        <v>0</v>
      </c>
      <c r="AB1829" s="43" t="str">
        <f>IFERROR(IF(LayTable[[#This Row],[Sport]]="",AB1828,LayTable[[#This Row],[Faktisk res]]+AB1828),"")</f>
        <v/>
      </c>
      <c r="AC1829" s="43">
        <f>(LayTable[[#This Row],[BackWin-Commission]]+LayTable[[#This Row],[BookieInnsats]])</f>
        <v>0</v>
      </c>
      <c r="AD1829" s="43" t="e">
        <f>(LayTable[[#This Row],[LayWin-Commission]])+LayTable[[#This Row],[LayLiability]]</f>
        <v>#VALUE!</v>
      </c>
      <c r="AE1829" s="43"/>
      <c r="AF1829" s="181"/>
    </row>
    <row r="1830" spans="1:32">
      <c r="A1830" s="84"/>
      <c r="B1830" s="39"/>
      <c r="C1830" s="40"/>
      <c r="D1830" s="41"/>
      <c r="E1830" s="40"/>
      <c r="F1830" s="41"/>
      <c r="G1830" s="101"/>
      <c r="H1830" s="38"/>
      <c r="I1830" s="42"/>
      <c r="J1830" s="42"/>
      <c r="K1830" s="43"/>
      <c r="L1830" s="43"/>
      <c r="M1830" s="44" t="str">
        <f>IF(LayTable[[#This Row],[Sport]]="","",LayTable[[#This Row],[LayInnsats]]*(LayTable[[#This Row],[LayOdds]]-1))</f>
        <v/>
      </c>
      <c r="N1830" s="45" t="str">
        <f>IF(LayTable[[#This Row],[Sport]]="","",1/((1/LayTable[[#This Row],[BookieOdds]])+(1/((1/((1+((LayTable[[#This Row],[LayOdds]]-1)*(1+LayTable[[#This Row],[C% Lay]])))-1))+1)))-1)</f>
        <v/>
      </c>
      <c r="Q1830" s="46" t="str">
        <f>IF(LayTable[[#This Row],[Sport]]="","",LayTable[[#This Row],[BookieInnsats]]+LayTable[[#This Row],[LayLiability]])</f>
        <v/>
      </c>
      <c r="R18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0" s="47" t="str">
        <f>IF(LayTable[[#This Row],[Utfall bookie]]="","",LayTable[[#This Row],[WBABack]]+LayTable[[#This Row],[WBALay]]-LayTable[[#This Row],[Total inns]])</f>
        <v/>
      </c>
      <c r="U18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0" s="48" t="str">
        <f>IFERROR(IF(LayTable[[#This Row],[Total inns]]="","",LayTable[[#This Row],[Rback]]/LayTable[[#This Row],[Total inns]]),"")</f>
        <v/>
      </c>
      <c r="X1830" s="48" t="str">
        <f>IFERROR(IF(LayTable[[#This Row],[Total inns]]="","",LayTable[[#This Row],[Rlay]]/LayTable[[#This Row],[Total inns]]),"")</f>
        <v/>
      </c>
      <c r="Y1830" s="48" t="str">
        <f>IFERROR(LayTable[[#This Row],[Faktisk res]]/LayTable[[#This Row],[Total inns]],"")</f>
        <v/>
      </c>
      <c r="Z1830" s="47">
        <f>(LayTable[[#This Row],[BookieInnsats]]*LayTable[[#This Row],[BookieOdds]]-LayTable[[#This Row],[BookieInnsats]])*(1-LayTable[[#This Row],[C% Bookie]])</f>
        <v>0</v>
      </c>
      <c r="AA1830" s="43">
        <f>LayTable[[#This Row],[LayInnsats]]*(1-LayTable[[#This Row],[C% Lay]])</f>
        <v>0</v>
      </c>
      <c r="AB1830" s="43" t="str">
        <f>IFERROR(IF(LayTable[[#This Row],[Sport]]="",AB1829,LayTable[[#This Row],[Faktisk res]]+AB1829),"")</f>
        <v/>
      </c>
      <c r="AC1830" s="43">
        <f>(LayTable[[#This Row],[BackWin-Commission]]+LayTable[[#This Row],[BookieInnsats]])</f>
        <v>0</v>
      </c>
      <c r="AD1830" s="43" t="e">
        <f>(LayTable[[#This Row],[LayWin-Commission]])+LayTable[[#This Row],[LayLiability]]</f>
        <v>#VALUE!</v>
      </c>
      <c r="AE1830" s="43"/>
      <c r="AF1830" s="181"/>
    </row>
    <row r="1831" spans="1:32">
      <c r="A1831" s="84"/>
      <c r="B1831" s="39"/>
      <c r="C1831" s="40"/>
      <c r="D1831" s="41"/>
      <c r="E1831" s="40"/>
      <c r="F1831" s="41"/>
      <c r="G1831" s="101"/>
      <c r="H1831" s="38"/>
      <c r="I1831" s="42"/>
      <c r="J1831" s="42"/>
      <c r="K1831" s="43"/>
      <c r="L1831" s="43"/>
      <c r="M1831" s="44" t="str">
        <f>IF(LayTable[[#This Row],[Sport]]="","",LayTable[[#This Row],[LayInnsats]]*(LayTable[[#This Row],[LayOdds]]-1))</f>
        <v/>
      </c>
      <c r="N1831" s="45" t="str">
        <f>IF(LayTable[[#This Row],[Sport]]="","",1/((1/LayTable[[#This Row],[BookieOdds]])+(1/((1/((1+((LayTable[[#This Row],[LayOdds]]-1)*(1+LayTable[[#This Row],[C% Lay]])))-1))+1)))-1)</f>
        <v/>
      </c>
      <c r="Q1831" s="46" t="str">
        <f>IF(LayTable[[#This Row],[Sport]]="","",LayTable[[#This Row],[BookieInnsats]]+LayTable[[#This Row],[LayLiability]])</f>
        <v/>
      </c>
      <c r="R18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1" s="47" t="str">
        <f>IF(LayTable[[#This Row],[Utfall bookie]]="","",LayTable[[#This Row],[WBABack]]+LayTable[[#This Row],[WBALay]]-LayTable[[#This Row],[Total inns]])</f>
        <v/>
      </c>
      <c r="U18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1" s="48" t="str">
        <f>IFERROR(IF(LayTable[[#This Row],[Total inns]]="","",LayTable[[#This Row],[Rback]]/LayTable[[#This Row],[Total inns]]),"")</f>
        <v/>
      </c>
      <c r="X1831" s="48" t="str">
        <f>IFERROR(IF(LayTable[[#This Row],[Total inns]]="","",LayTable[[#This Row],[Rlay]]/LayTable[[#This Row],[Total inns]]),"")</f>
        <v/>
      </c>
      <c r="Y1831" s="48" t="str">
        <f>IFERROR(LayTable[[#This Row],[Faktisk res]]/LayTable[[#This Row],[Total inns]],"")</f>
        <v/>
      </c>
      <c r="Z1831" s="47">
        <f>(LayTable[[#This Row],[BookieInnsats]]*LayTable[[#This Row],[BookieOdds]]-LayTable[[#This Row],[BookieInnsats]])*(1-LayTable[[#This Row],[C% Bookie]])</f>
        <v>0</v>
      </c>
      <c r="AA1831" s="43">
        <f>LayTable[[#This Row],[LayInnsats]]*(1-LayTable[[#This Row],[C% Lay]])</f>
        <v>0</v>
      </c>
      <c r="AB1831" s="43" t="str">
        <f>IFERROR(IF(LayTable[[#This Row],[Sport]]="",AB1830,LayTable[[#This Row],[Faktisk res]]+AB1830),"")</f>
        <v/>
      </c>
      <c r="AC1831" s="43">
        <f>(LayTable[[#This Row],[BackWin-Commission]]+LayTable[[#This Row],[BookieInnsats]])</f>
        <v>0</v>
      </c>
      <c r="AD1831" s="43" t="e">
        <f>(LayTable[[#This Row],[LayWin-Commission]])+LayTable[[#This Row],[LayLiability]]</f>
        <v>#VALUE!</v>
      </c>
      <c r="AE1831" s="43"/>
      <c r="AF1831" s="181"/>
    </row>
    <row r="1832" spans="1:32">
      <c r="A1832" s="84"/>
      <c r="B1832" s="39"/>
      <c r="C1832" s="40"/>
      <c r="D1832" s="41"/>
      <c r="E1832" s="40"/>
      <c r="F1832" s="41"/>
      <c r="G1832" s="101"/>
      <c r="H1832" s="38"/>
      <c r="I1832" s="42"/>
      <c r="J1832" s="42"/>
      <c r="K1832" s="43"/>
      <c r="L1832" s="43"/>
      <c r="M1832" s="44" t="str">
        <f>IF(LayTable[[#This Row],[Sport]]="","",LayTable[[#This Row],[LayInnsats]]*(LayTable[[#This Row],[LayOdds]]-1))</f>
        <v/>
      </c>
      <c r="N1832" s="45" t="str">
        <f>IF(LayTable[[#This Row],[Sport]]="","",1/((1/LayTable[[#This Row],[BookieOdds]])+(1/((1/((1+((LayTable[[#This Row],[LayOdds]]-1)*(1+LayTable[[#This Row],[C% Lay]])))-1))+1)))-1)</f>
        <v/>
      </c>
      <c r="Q1832" s="46" t="str">
        <f>IF(LayTable[[#This Row],[Sport]]="","",LayTable[[#This Row],[BookieInnsats]]+LayTable[[#This Row],[LayLiability]])</f>
        <v/>
      </c>
      <c r="R18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2" s="47" t="str">
        <f>IF(LayTable[[#This Row],[Utfall bookie]]="","",LayTable[[#This Row],[WBABack]]+LayTable[[#This Row],[WBALay]]-LayTable[[#This Row],[Total inns]])</f>
        <v/>
      </c>
      <c r="U18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2" s="48" t="str">
        <f>IFERROR(IF(LayTable[[#This Row],[Total inns]]="","",LayTable[[#This Row],[Rback]]/LayTable[[#This Row],[Total inns]]),"")</f>
        <v/>
      </c>
      <c r="X1832" s="48" t="str">
        <f>IFERROR(IF(LayTable[[#This Row],[Total inns]]="","",LayTable[[#This Row],[Rlay]]/LayTable[[#This Row],[Total inns]]),"")</f>
        <v/>
      </c>
      <c r="Y1832" s="48" t="str">
        <f>IFERROR(LayTable[[#This Row],[Faktisk res]]/LayTable[[#This Row],[Total inns]],"")</f>
        <v/>
      </c>
      <c r="Z1832" s="47">
        <f>(LayTable[[#This Row],[BookieInnsats]]*LayTable[[#This Row],[BookieOdds]]-LayTable[[#This Row],[BookieInnsats]])*(1-LayTable[[#This Row],[C% Bookie]])</f>
        <v>0</v>
      </c>
      <c r="AA1832" s="43">
        <f>LayTable[[#This Row],[LayInnsats]]*(1-LayTable[[#This Row],[C% Lay]])</f>
        <v>0</v>
      </c>
      <c r="AB1832" s="43" t="str">
        <f>IFERROR(IF(LayTable[[#This Row],[Sport]]="",AB1831,LayTable[[#This Row],[Faktisk res]]+AB1831),"")</f>
        <v/>
      </c>
      <c r="AC1832" s="43">
        <f>(LayTable[[#This Row],[BackWin-Commission]]+LayTable[[#This Row],[BookieInnsats]])</f>
        <v>0</v>
      </c>
      <c r="AD1832" s="43" t="e">
        <f>(LayTable[[#This Row],[LayWin-Commission]])+LayTable[[#This Row],[LayLiability]]</f>
        <v>#VALUE!</v>
      </c>
      <c r="AE1832" s="43"/>
      <c r="AF1832" s="181"/>
    </row>
    <row r="1833" spans="1:32">
      <c r="A1833" s="84"/>
      <c r="B1833" s="39"/>
      <c r="C1833" s="40"/>
      <c r="D1833" s="41"/>
      <c r="E1833" s="40"/>
      <c r="F1833" s="41"/>
      <c r="G1833" s="101"/>
      <c r="H1833" s="38"/>
      <c r="I1833" s="42"/>
      <c r="J1833" s="42"/>
      <c r="K1833" s="43"/>
      <c r="L1833" s="43"/>
      <c r="M1833" s="44" t="str">
        <f>IF(LayTable[[#This Row],[Sport]]="","",LayTable[[#This Row],[LayInnsats]]*(LayTable[[#This Row],[LayOdds]]-1))</f>
        <v/>
      </c>
      <c r="N1833" s="45" t="str">
        <f>IF(LayTable[[#This Row],[Sport]]="","",1/((1/LayTable[[#This Row],[BookieOdds]])+(1/((1/((1+((LayTable[[#This Row],[LayOdds]]-1)*(1+LayTable[[#This Row],[C% Lay]])))-1))+1)))-1)</f>
        <v/>
      </c>
      <c r="Q1833" s="46" t="str">
        <f>IF(LayTable[[#This Row],[Sport]]="","",LayTable[[#This Row],[BookieInnsats]]+LayTable[[#This Row],[LayLiability]])</f>
        <v/>
      </c>
      <c r="R18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3" s="47" t="str">
        <f>IF(LayTable[[#This Row],[Utfall bookie]]="","",LayTable[[#This Row],[WBABack]]+LayTable[[#This Row],[WBALay]]-LayTable[[#This Row],[Total inns]])</f>
        <v/>
      </c>
      <c r="U18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3" s="48" t="str">
        <f>IFERROR(IF(LayTable[[#This Row],[Total inns]]="","",LayTable[[#This Row],[Rback]]/LayTable[[#This Row],[Total inns]]),"")</f>
        <v/>
      </c>
      <c r="X1833" s="48" t="str">
        <f>IFERROR(IF(LayTable[[#This Row],[Total inns]]="","",LayTable[[#This Row],[Rlay]]/LayTable[[#This Row],[Total inns]]),"")</f>
        <v/>
      </c>
      <c r="Y1833" s="48" t="str">
        <f>IFERROR(LayTable[[#This Row],[Faktisk res]]/LayTable[[#This Row],[Total inns]],"")</f>
        <v/>
      </c>
      <c r="Z1833" s="47">
        <f>(LayTable[[#This Row],[BookieInnsats]]*LayTable[[#This Row],[BookieOdds]]-LayTable[[#This Row],[BookieInnsats]])*(1-LayTable[[#This Row],[C% Bookie]])</f>
        <v>0</v>
      </c>
      <c r="AA1833" s="43">
        <f>LayTable[[#This Row],[LayInnsats]]*(1-LayTable[[#This Row],[C% Lay]])</f>
        <v>0</v>
      </c>
      <c r="AB1833" s="43" t="str">
        <f>IFERROR(IF(LayTable[[#This Row],[Sport]]="",AB1832,LayTable[[#This Row],[Faktisk res]]+AB1832),"")</f>
        <v/>
      </c>
      <c r="AC1833" s="43">
        <f>(LayTable[[#This Row],[BackWin-Commission]]+LayTable[[#This Row],[BookieInnsats]])</f>
        <v>0</v>
      </c>
      <c r="AD1833" s="43" t="e">
        <f>(LayTable[[#This Row],[LayWin-Commission]])+LayTable[[#This Row],[LayLiability]]</f>
        <v>#VALUE!</v>
      </c>
      <c r="AE1833" s="43"/>
      <c r="AF1833" s="181"/>
    </row>
    <row r="1834" spans="1:32">
      <c r="A1834" s="84"/>
      <c r="B1834" s="39"/>
      <c r="C1834" s="40"/>
      <c r="D1834" s="41"/>
      <c r="E1834" s="40"/>
      <c r="F1834" s="41"/>
      <c r="G1834" s="101"/>
      <c r="H1834" s="38"/>
      <c r="I1834" s="42"/>
      <c r="J1834" s="42"/>
      <c r="K1834" s="43"/>
      <c r="L1834" s="43"/>
      <c r="M1834" s="44" t="str">
        <f>IF(LayTable[[#This Row],[Sport]]="","",LayTable[[#This Row],[LayInnsats]]*(LayTable[[#This Row],[LayOdds]]-1))</f>
        <v/>
      </c>
      <c r="N1834" s="45" t="str">
        <f>IF(LayTable[[#This Row],[Sport]]="","",1/((1/LayTable[[#This Row],[BookieOdds]])+(1/((1/((1+((LayTable[[#This Row],[LayOdds]]-1)*(1+LayTable[[#This Row],[C% Lay]])))-1))+1)))-1)</f>
        <v/>
      </c>
      <c r="Q1834" s="46" t="str">
        <f>IF(LayTable[[#This Row],[Sport]]="","",LayTable[[#This Row],[BookieInnsats]]+LayTable[[#This Row],[LayLiability]])</f>
        <v/>
      </c>
      <c r="R18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4" s="47" t="str">
        <f>IF(LayTable[[#This Row],[Utfall bookie]]="","",LayTable[[#This Row],[WBABack]]+LayTable[[#This Row],[WBALay]]-LayTable[[#This Row],[Total inns]])</f>
        <v/>
      </c>
      <c r="U18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4" s="48" t="str">
        <f>IFERROR(IF(LayTable[[#This Row],[Total inns]]="","",LayTable[[#This Row],[Rback]]/LayTable[[#This Row],[Total inns]]),"")</f>
        <v/>
      </c>
      <c r="X1834" s="48" t="str">
        <f>IFERROR(IF(LayTable[[#This Row],[Total inns]]="","",LayTable[[#This Row],[Rlay]]/LayTable[[#This Row],[Total inns]]),"")</f>
        <v/>
      </c>
      <c r="Y1834" s="48" t="str">
        <f>IFERROR(LayTable[[#This Row],[Faktisk res]]/LayTable[[#This Row],[Total inns]],"")</f>
        <v/>
      </c>
      <c r="Z1834" s="47">
        <f>(LayTable[[#This Row],[BookieInnsats]]*LayTable[[#This Row],[BookieOdds]]-LayTable[[#This Row],[BookieInnsats]])*(1-LayTable[[#This Row],[C% Bookie]])</f>
        <v>0</v>
      </c>
      <c r="AA1834" s="43">
        <f>LayTable[[#This Row],[LayInnsats]]*(1-LayTable[[#This Row],[C% Lay]])</f>
        <v>0</v>
      </c>
      <c r="AB1834" s="43" t="str">
        <f>IFERROR(IF(LayTable[[#This Row],[Sport]]="",AB1833,LayTable[[#This Row],[Faktisk res]]+AB1833),"")</f>
        <v/>
      </c>
      <c r="AC1834" s="43">
        <f>(LayTable[[#This Row],[BackWin-Commission]]+LayTable[[#This Row],[BookieInnsats]])</f>
        <v>0</v>
      </c>
      <c r="AD1834" s="43" t="e">
        <f>(LayTable[[#This Row],[LayWin-Commission]])+LayTable[[#This Row],[LayLiability]]</f>
        <v>#VALUE!</v>
      </c>
      <c r="AE1834" s="43"/>
      <c r="AF1834" s="181"/>
    </row>
    <row r="1835" spans="1:32">
      <c r="A1835" s="84"/>
      <c r="B1835" s="39"/>
      <c r="C1835" s="40"/>
      <c r="D1835" s="41"/>
      <c r="E1835" s="40"/>
      <c r="F1835" s="41"/>
      <c r="G1835" s="101"/>
      <c r="H1835" s="38"/>
      <c r="I1835" s="42"/>
      <c r="J1835" s="42"/>
      <c r="K1835" s="43"/>
      <c r="L1835" s="43"/>
      <c r="M1835" s="44" t="str">
        <f>IF(LayTable[[#This Row],[Sport]]="","",LayTable[[#This Row],[LayInnsats]]*(LayTable[[#This Row],[LayOdds]]-1))</f>
        <v/>
      </c>
      <c r="N1835" s="45" t="str">
        <f>IF(LayTable[[#This Row],[Sport]]="","",1/((1/LayTable[[#This Row],[BookieOdds]])+(1/((1/((1+((LayTable[[#This Row],[LayOdds]]-1)*(1+LayTable[[#This Row],[C% Lay]])))-1))+1)))-1)</f>
        <v/>
      </c>
      <c r="Q1835" s="46" t="str">
        <f>IF(LayTable[[#This Row],[Sport]]="","",LayTable[[#This Row],[BookieInnsats]]+LayTable[[#This Row],[LayLiability]])</f>
        <v/>
      </c>
      <c r="R18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5" s="47" t="str">
        <f>IF(LayTable[[#This Row],[Utfall bookie]]="","",LayTable[[#This Row],[WBABack]]+LayTable[[#This Row],[WBALay]]-LayTable[[#This Row],[Total inns]])</f>
        <v/>
      </c>
      <c r="U18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5" s="48" t="str">
        <f>IFERROR(IF(LayTable[[#This Row],[Total inns]]="","",LayTable[[#This Row],[Rback]]/LayTable[[#This Row],[Total inns]]),"")</f>
        <v/>
      </c>
      <c r="X1835" s="48" t="str">
        <f>IFERROR(IF(LayTable[[#This Row],[Total inns]]="","",LayTable[[#This Row],[Rlay]]/LayTable[[#This Row],[Total inns]]),"")</f>
        <v/>
      </c>
      <c r="Y1835" s="48" t="str">
        <f>IFERROR(LayTable[[#This Row],[Faktisk res]]/LayTable[[#This Row],[Total inns]],"")</f>
        <v/>
      </c>
      <c r="Z1835" s="47">
        <f>(LayTable[[#This Row],[BookieInnsats]]*LayTable[[#This Row],[BookieOdds]]-LayTable[[#This Row],[BookieInnsats]])*(1-LayTable[[#This Row],[C% Bookie]])</f>
        <v>0</v>
      </c>
      <c r="AA1835" s="43">
        <f>LayTable[[#This Row],[LayInnsats]]*(1-LayTable[[#This Row],[C% Lay]])</f>
        <v>0</v>
      </c>
      <c r="AB1835" s="43" t="str">
        <f>IFERROR(IF(LayTable[[#This Row],[Sport]]="",AB1834,LayTable[[#This Row],[Faktisk res]]+AB1834),"")</f>
        <v/>
      </c>
      <c r="AC1835" s="43">
        <f>(LayTable[[#This Row],[BackWin-Commission]]+LayTable[[#This Row],[BookieInnsats]])</f>
        <v>0</v>
      </c>
      <c r="AD1835" s="43" t="e">
        <f>(LayTable[[#This Row],[LayWin-Commission]])+LayTable[[#This Row],[LayLiability]]</f>
        <v>#VALUE!</v>
      </c>
      <c r="AE1835" s="43"/>
      <c r="AF1835" s="181"/>
    </row>
    <row r="1836" spans="1:32">
      <c r="A1836" s="84"/>
      <c r="B1836" s="39"/>
      <c r="C1836" s="40"/>
      <c r="D1836" s="41"/>
      <c r="E1836" s="40"/>
      <c r="F1836" s="41"/>
      <c r="G1836" s="101"/>
      <c r="H1836" s="38"/>
      <c r="I1836" s="42"/>
      <c r="J1836" s="42"/>
      <c r="K1836" s="43"/>
      <c r="L1836" s="43"/>
      <c r="M1836" s="44" t="str">
        <f>IF(LayTable[[#This Row],[Sport]]="","",LayTable[[#This Row],[LayInnsats]]*(LayTable[[#This Row],[LayOdds]]-1))</f>
        <v/>
      </c>
      <c r="N1836" s="45" t="str">
        <f>IF(LayTable[[#This Row],[Sport]]="","",1/((1/LayTable[[#This Row],[BookieOdds]])+(1/((1/((1+((LayTable[[#This Row],[LayOdds]]-1)*(1+LayTable[[#This Row],[C% Lay]])))-1))+1)))-1)</f>
        <v/>
      </c>
      <c r="Q1836" s="46" t="str">
        <f>IF(LayTable[[#This Row],[Sport]]="","",LayTable[[#This Row],[BookieInnsats]]+LayTable[[#This Row],[LayLiability]])</f>
        <v/>
      </c>
      <c r="R18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6" s="47" t="str">
        <f>IF(LayTable[[#This Row],[Utfall bookie]]="","",LayTable[[#This Row],[WBABack]]+LayTable[[#This Row],[WBALay]]-LayTable[[#This Row],[Total inns]])</f>
        <v/>
      </c>
      <c r="U18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6" s="48" t="str">
        <f>IFERROR(IF(LayTable[[#This Row],[Total inns]]="","",LayTable[[#This Row],[Rback]]/LayTable[[#This Row],[Total inns]]),"")</f>
        <v/>
      </c>
      <c r="X1836" s="48" t="str">
        <f>IFERROR(IF(LayTable[[#This Row],[Total inns]]="","",LayTable[[#This Row],[Rlay]]/LayTable[[#This Row],[Total inns]]),"")</f>
        <v/>
      </c>
      <c r="Y1836" s="48" t="str">
        <f>IFERROR(LayTable[[#This Row],[Faktisk res]]/LayTable[[#This Row],[Total inns]],"")</f>
        <v/>
      </c>
      <c r="Z1836" s="47">
        <f>(LayTable[[#This Row],[BookieInnsats]]*LayTable[[#This Row],[BookieOdds]]-LayTable[[#This Row],[BookieInnsats]])*(1-LayTable[[#This Row],[C% Bookie]])</f>
        <v>0</v>
      </c>
      <c r="AA1836" s="43">
        <f>LayTable[[#This Row],[LayInnsats]]*(1-LayTable[[#This Row],[C% Lay]])</f>
        <v>0</v>
      </c>
      <c r="AB1836" s="43" t="str">
        <f>IFERROR(IF(LayTable[[#This Row],[Sport]]="",AB1835,LayTable[[#This Row],[Faktisk res]]+AB1835),"")</f>
        <v/>
      </c>
      <c r="AC1836" s="43">
        <f>(LayTable[[#This Row],[BackWin-Commission]]+LayTable[[#This Row],[BookieInnsats]])</f>
        <v>0</v>
      </c>
      <c r="AD1836" s="43" t="e">
        <f>(LayTable[[#This Row],[LayWin-Commission]])+LayTable[[#This Row],[LayLiability]]</f>
        <v>#VALUE!</v>
      </c>
      <c r="AE1836" s="43"/>
      <c r="AF1836" s="181"/>
    </row>
    <row r="1837" spans="1:32">
      <c r="A1837" s="84"/>
      <c r="B1837" s="39"/>
      <c r="C1837" s="40"/>
      <c r="D1837" s="41"/>
      <c r="E1837" s="40"/>
      <c r="F1837" s="41"/>
      <c r="G1837" s="101"/>
      <c r="H1837" s="38"/>
      <c r="I1837" s="42"/>
      <c r="J1837" s="42"/>
      <c r="K1837" s="43"/>
      <c r="L1837" s="43"/>
      <c r="M1837" s="44" t="str">
        <f>IF(LayTable[[#This Row],[Sport]]="","",LayTable[[#This Row],[LayInnsats]]*(LayTable[[#This Row],[LayOdds]]-1))</f>
        <v/>
      </c>
      <c r="N1837" s="45" t="str">
        <f>IF(LayTable[[#This Row],[Sport]]="","",1/((1/LayTable[[#This Row],[BookieOdds]])+(1/((1/((1+((LayTable[[#This Row],[LayOdds]]-1)*(1+LayTable[[#This Row],[C% Lay]])))-1))+1)))-1)</f>
        <v/>
      </c>
      <c r="Q1837" s="46" t="str">
        <f>IF(LayTable[[#This Row],[Sport]]="","",LayTable[[#This Row],[BookieInnsats]]+LayTable[[#This Row],[LayLiability]])</f>
        <v/>
      </c>
      <c r="R18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7" s="47" t="str">
        <f>IF(LayTable[[#This Row],[Utfall bookie]]="","",LayTable[[#This Row],[WBABack]]+LayTable[[#This Row],[WBALay]]-LayTable[[#This Row],[Total inns]])</f>
        <v/>
      </c>
      <c r="U18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7" s="48" t="str">
        <f>IFERROR(IF(LayTable[[#This Row],[Total inns]]="","",LayTable[[#This Row],[Rback]]/LayTable[[#This Row],[Total inns]]),"")</f>
        <v/>
      </c>
      <c r="X1837" s="48" t="str">
        <f>IFERROR(IF(LayTable[[#This Row],[Total inns]]="","",LayTable[[#This Row],[Rlay]]/LayTable[[#This Row],[Total inns]]),"")</f>
        <v/>
      </c>
      <c r="Y1837" s="48" t="str">
        <f>IFERROR(LayTable[[#This Row],[Faktisk res]]/LayTable[[#This Row],[Total inns]],"")</f>
        <v/>
      </c>
      <c r="Z1837" s="47">
        <f>(LayTable[[#This Row],[BookieInnsats]]*LayTable[[#This Row],[BookieOdds]]-LayTable[[#This Row],[BookieInnsats]])*(1-LayTable[[#This Row],[C% Bookie]])</f>
        <v>0</v>
      </c>
      <c r="AA1837" s="43">
        <f>LayTable[[#This Row],[LayInnsats]]*(1-LayTable[[#This Row],[C% Lay]])</f>
        <v>0</v>
      </c>
      <c r="AB1837" s="43" t="str">
        <f>IFERROR(IF(LayTable[[#This Row],[Sport]]="",AB1836,LayTable[[#This Row],[Faktisk res]]+AB1836),"")</f>
        <v/>
      </c>
      <c r="AC1837" s="43">
        <f>(LayTable[[#This Row],[BackWin-Commission]]+LayTable[[#This Row],[BookieInnsats]])</f>
        <v>0</v>
      </c>
      <c r="AD1837" s="43" t="e">
        <f>(LayTable[[#This Row],[LayWin-Commission]])+LayTable[[#This Row],[LayLiability]]</f>
        <v>#VALUE!</v>
      </c>
      <c r="AE1837" s="43"/>
      <c r="AF1837" s="181"/>
    </row>
    <row r="1838" spans="1:32">
      <c r="A1838" s="84"/>
      <c r="B1838" s="39"/>
      <c r="C1838" s="40"/>
      <c r="D1838" s="41"/>
      <c r="E1838" s="40"/>
      <c r="F1838" s="41"/>
      <c r="G1838" s="101"/>
      <c r="H1838" s="38"/>
      <c r="I1838" s="42"/>
      <c r="J1838" s="42"/>
      <c r="K1838" s="43"/>
      <c r="L1838" s="43"/>
      <c r="M1838" s="44" t="str">
        <f>IF(LayTable[[#This Row],[Sport]]="","",LayTable[[#This Row],[LayInnsats]]*(LayTable[[#This Row],[LayOdds]]-1))</f>
        <v/>
      </c>
      <c r="N1838" s="45" t="str">
        <f>IF(LayTable[[#This Row],[Sport]]="","",1/((1/LayTable[[#This Row],[BookieOdds]])+(1/((1/((1+((LayTable[[#This Row],[LayOdds]]-1)*(1+LayTable[[#This Row],[C% Lay]])))-1))+1)))-1)</f>
        <v/>
      </c>
      <c r="Q1838" s="46" t="str">
        <f>IF(LayTable[[#This Row],[Sport]]="","",LayTable[[#This Row],[BookieInnsats]]+LayTable[[#This Row],[LayLiability]])</f>
        <v/>
      </c>
      <c r="R18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8" s="47" t="str">
        <f>IF(LayTable[[#This Row],[Utfall bookie]]="","",LayTable[[#This Row],[WBABack]]+LayTable[[#This Row],[WBALay]]-LayTable[[#This Row],[Total inns]])</f>
        <v/>
      </c>
      <c r="U18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8" s="48" t="str">
        <f>IFERROR(IF(LayTable[[#This Row],[Total inns]]="","",LayTable[[#This Row],[Rback]]/LayTable[[#This Row],[Total inns]]),"")</f>
        <v/>
      </c>
      <c r="X1838" s="48" t="str">
        <f>IFERROR(IF(LayTable[[#This Row],[Total inns]]="","",LayTable[[#This Row],[Rlay]]/LayTable[[#This Row],[Total inns]]),"")</f>
        <v/>
      </c>
      <c r="Y1838" s="48" t="str">
        <f>IFERROR(LayTable[[#This Row],[Faktisk res]]/LayTable[[#This Row],[Total inns]],"")</f>
        <v/>
      </c>
      <c r="Z1838" s="47">
        <f>(LayTable[[#This Row],[BookieInnsats]]*LayTable[[#This Row],[BookieOdds]]-LayTable[[#This Row],[BookieInnsats]])*(1-LayTable[[#This Row],[C% Bookie]])</f>
        <v>0</v>
      </c>
      <c r="AA1838" s="43">
        <f>LayTable[[#This Row],[LayInnsats]]*(1-LayTable[[#This Row],[C% Lay]])</f>
        <v>0</v>
      </c>
      <c r="AB1838" s="43" t="str">
        <f>IFERROR(IF(LayTable[[#This Row],[Sport]]="",AB1837,LayTable[[#This Row],[Faktisk res]]+AB1837),"")</f>
        <v/>
      </c>
      <c r="AC1838" s="43">
        <f>(LayTable[[#This Row],[BackWin-Commission]]+LayTable[[#This Row],[BookieInnsats]])</f>
        <v>0</v>
      </c>
      <c r="AD1838" s="43" t="e">
        <f>(LayTable[[#This Row],[LayWin-Commission]])+LayTable[[#This Row],[LayLiability]]</f>
        <v>#VALUE!</v>
      </c>
      <c r="AE1838" s="43"/>
      <c r="AF1838" s="181"/>
    </row>
    <row r="1839" spans="1:32">
      <c r="A1839" s="84"/>
      <c r="B1839" s="39"/>
      <c r="C1839" s="40"/>
      <c r="D1839" s="41"/>
      <c r="E1839" s="40"/>
      <c r="F1839" s="41"/>
      <c r="G1839" s="101"/>
      <c r="H1839" s="38"/>
      <c r="I1839" s="42"/>
      <c r="J1839" s="42"/>
      <c r="K1839" s="43"/>
      <c r="L1839" s="43"/>
      <c r="M1839" s="44" t="str">
        <f>IF(LayTable[[#This Row],[Sport]]="","",LayTable[[#This Row],[LayInnsats]]*(LayTable[[#This Row],[LayOdds]]-1))</f>
        <v/>
      </c>
      <c r="N1839" s="45" t="str">
        <f>IF(LayTable[[#This Row],[Sport]]="","",1/((1/LayTable[[#This Row],[BookieOdds]])+(1/((1/((1+((LayTable[[#This Row],[LayOdds]]-1)*(1+LayTable[[#This Row],[C% Lay]])))-1))+1)))-1)</f>
        <v/>
      </c>
      <c r="Q1839" s="46" t="str">
        <f>IF(LayTable[[#This Row],[Sport]]="","",LayTable[[#This Row],[BookieInnsats]]+LayTable[[#This Row],[LayLiability]])</f>
        <v/>
      </c>
      <c r="R18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39" s="47" t="str">
        <f>IF(LayTable[[#This Row],[Utfall bookie]]="","",LayTable[[#This Row],[WBABack]]+LayTable[[#This Row],[WBALay]]-LayTable[[#This Row],[Total inns]])</f>
        <v/>
      </c>
      <c r="U18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39" s="48" t="str">
        <f>IFERROR(IF(LayTable[[#This Row],[Total inns]]="","",LayTable[[#This Row],[Rback]]/LayTable[[#This Row],[Total inns]]),"")</f>
        <v/>
      </c>
      <c r="X1839" s="48" t="str">
        <f>IFERROR(IF(LayTable[[#This Row],[Total inns]]="","",LayTable[[#This Row],[Rlay]]/LayTable[[#This Row],[Total inns]]),"")</f>
        <v/>
      </c>
      <c r="Y1839" s="48" t="str">
        <f>IFERROR(LayTable[[#This Row],[Faktisk res]]/LayTable[[#This Row],[Total inns]],"")</f>
        <v/>
      </c>
      <c r="Z1839" s="47">
        <f>(LayTable[[#This Row],[BookieInnsats]]*LayTable[[#This Row],[BookieOdds]]-LayTable[[#This Row],[BookieInnsats]])*(1-LayTable[[#This Row],[C% Bookie]])</f>
        <v>0</v>
      </c>
      <c r="AA1839" s="43">
        <f>LayTable[[#This Row],[LayInnsats]]*(1-LayTable[[#This Row],[C% Lay]])</f>
        <v>0</v>
      </c>
      <c r="AB1839" s="43" t="str">
        <f>IFERROR(IF(LayTable[[#This Row],[Sport]]="",AB1838,LayTable[[#This Row],[Faktisk res]]+AB1838),"")</f>
        <v/>
      </c>
      <c r="AC1839" s="43">
        <f>(LayTable[[#This Row],[BackWin-Commission]]+LayTable[[#This Row],[BookieInnsats]])</f>
        <v>0</v>
      </c>
      <c r="AD1839" s="43" t="e">
        <f>(LayTable[[#This Row],[LayWin-Commission]])+LayTable[[#This Row],[LayLiability]]</f>
        <v>#VALUE!</v>
      </c>
      <c r="AE1839" s="43"/>
      <c r="AF1839" s="181"/>
    </row>
    <row r="1840" spans="1:32">
      <c r="A1840" s="84"/>
      <c r="B1840" s="39"/>
      <c r="C1840" s="40"/>
      <c r="D1840" s="41"/>
      <c r="E1840" s="40"/>
      <c r="F1840" s="41"/>
      <c r="G1840" s="101"/>
      <c r="H1840" s="38"/>
      <c r="I1840" s="42"/>
      <c r="J1840" s="42"/>
      <c r="K1840" s="43"/>
      <c r="L1840" s="43"/>
      <c r="M1840" s="44" t="str">
        <f>IF(LayTable[[#This Row],[Sport]]="","",LayTable[[#This Row],[LayInnsats]]*(LayTable[[#This Row],[LayOdds]]-1))</f>
        <v/>
      </c>
      <c r="N1840" s="45" t="str">
        <f>IF(LayTable[[#This Row],[Sport]]="","",1/((1/LayTable[[#This Row],[BookieOdds]])+(1/((1/((1+((LayTable[[#This Row],[LayOdds]]-1)*(1+LayTable[[#This Row],[C% Lay]])))-1))+1)))-1)</f>
        <v/>
      </c>
      <c r="Q1840" s="46" t="str">
        <f>IF(LayTable[[#This Row],[Sport]]="","",LayTable[[#This Row],[BookieInnsats]]+LayTable[[#This Row],[LayLiability]])</f>
        <v/>
      </c>
      <c r="R18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0" s="47" t="str">
        <f>IF(LayTable[[#This Row],[Utfall bookie]]="","",LayTable[[#This Row],[WBABack]]+LayTable[[#This Row],[WBALay]]-LayTable[[#This Row],[Total inns]])</f>
        <v/>
      </c>
      <c r="U18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0" s="48" t="str">
        <f>IFERROR(IF(LayTable[[#This Row],[Total inns]]="","",LayTable[[#This Row],[Rback]]/LayTable[[#This Row],[Total inns]]),"")</f>
        <v/>
      </c>
      <c r="X1840" s="48" t="str">
        <f>IFERROR(IF(LayTable[[#This Row],[Total inns]]="","",LayTable[[#This Row],[Rlay]]/LayTable[[#This Row],[Total inns]]),"")</f>
        <v/>
      </c>
      <c r="Y1840" s="48" t="str">
        <f>IFERROR(LayTable[[#This Row],[Faktisk res]]/LayTable[[#This Row],[Total inns]],"")</f>
        <v/>
      </c>
      <c r="Z1840" s="47">
        <f>(LayTable[[#This Row],[BookieInnsats]]*LayTable[[#This Row],[BookieOdds]]-LayTable[[#This Row],[BookieInnsats]])*(1-LayTable[[#This Row],[C% Bookie]])</f>
        <v>0</v>
      </c>
      <c r="AA1840" s="43">
        <f>LayTable[[#This Row],[LayInnsats]]*(1-LayTable[[#This Row],[C% Lay]])</f>
        <v>0</v>
      </c>
      <c r="AB1840" s="43" t="str">
        <f>IFERROR(IF(LayTable[[#This Row],[Sport]]="",AB1839,LayTable[[#This Row],[Faktisk res]]+AB1839),"")</f>
        <v/>
      </c>
      <c r="AC1840" s="43">
        <f>(LayTable[[#This Row],[BackWin-Commission]]+LayTable[[#This Row],[BookieInnsats]])</f>
        <v>0</v>
      </c>
      <c r="AD1840" s="43" t="e">
        <f>(LayTable[[#This Row],[LayWin-Commission]])+LayTable[[#This Row],[LayLiability]]</f>
        <v>#VALUE!</v>
      </c>
      <c r="AE1840" s="43"/>
      <c r="AF1840" s="181"/>
    </row>
    <row r="1841" spans="1:32">
      <c r="A1841" s="84"/>
      <c r="B1841" s="39"/>
      <c r="C1841" s="40"/>
      <c r="D1841" s="41"/>
      <c r="E1841" s="40"/>
      <c r="F1841" s="41"/>
      <c r="G1841" s="101"/>
      <c r="H1841" s="38"/>
      <c r="I1841" s="42"/>
      <c r="J1841" s="42"/>
      <c r="K1841" s="43"/>
      <c r="L1841" s="43"/>
      <c r="M1841" s="44" t="str">
        <f>IF(LayTable[[#This Row],[Sport]]="","",LayTable[[#This Row],[LayInnsats]]*(LayTable[[#This Row],[LayOdds]]-1))</f>
        <v/>
      </c>
      <c r="N1841" s="45" t="str">
        <f>IF(LayTable[[#This Row],[Sport]]="","",1/((1/LayTable[[#This Row],[BookieOdds]])+(1/((1/((1+((LayTable[[#This Row],[LayOdds]]-1)*(1+LayTable[[#This Row],[C% Lay]])))-1))+1)))-1)</f>
        <v/>
      </c>
      <c r="Q1841" s="46" t="str">
        <f>IF(LayTable[[#This Row],[Sport]]="","",LayTable[[#This Row],[BookieInnsats]]+LayTable[[#This Row],[LayLiability]])</f>
        <v/>
      </c>
      <c r="R18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1" s="47" t="str">
        <f>IF(LayTable[[#This Row],[Utfall bookie]]="","",LayTable[[#This Row],[WBABack]]+LayTable[[#This Row],[WBALay]]-LayTable[[#This Row],[Total inns]])</f>
        <v/>
      </c>
      <c r="U18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1" s="48" t="str">
        <f>IFERROR(IF(LayTable[[#This Row],[Total inns]]="","",LayTable[[#This Row],[Rback]]/LayTable[[#This Row],[Total inns]]),"")</f>
        <v/>
      </c>
      <c r="X1841" s="48" t="str">
        <f>IFERROR(IF(LayTable[[#This Row],[Total inns]]="","",LayTable[[#This Row],[Rlay]]/LayTable[[#This Row],[Total inns]]),"")</f>
        <v/>
      </c>
      <c r="Y1841" s="48" t="str">
        <f>IFERROR(LayTable[[#This Row],[Faktisk res]]/LayTable[[#This Row],[Total inns]],"")</f>
        <v/>
      </c>
      <c r="Z1841" s="47">
        <f>(LayTable[[#This Row],[BookieInnsats]]*LayTable[[#This Row],[BookieOdds]]-LayTable[[#This Row],[BookieInnsats]])*(1-LayTable[[#This Row],[C% Bookie]])</f>
        <v>0</v>
      </c>
      <c r="AA1841" s="43">
        <f>LayTable[[#This Row],[LayInnsats]]*(1-LayTable[[#This Row],[C% Lay]])</f>
        <v>0</v>
      </c>
      <c r="AB1841" s="43" t="str">
        <f>IFERROR(IF(LayTable[[#This Row],[Sport]]="",AB1840,LayTable[[#This Row],[Faktisk res]]+AB1840),"")</f>
        <v/>
      </c>
      <c r="AC1841" s="43">
        <f>(LayTable[[#This Row],[BackWin-Commission]]+LayTable[[#This Row],[BookieInnsats]])</f>
        <v>0</v>
      </c>
      <c r="AD1841" s="43" t="e">
        <f>(LayTable[[#This Row],[LayWin-Commission]])+LayTable[[#This Row],[LayLiability]]</f>
        <v>#VALUE!</v>
      </c>
      <c r="AE1841" s="43"/>
      <c r="AF1841" s="181"/>
    </row>
    <row r="1842" spans="1:32">
      <c r="A1842" s="84"/>
      <c r="B1842" s="39"/>
      <c r="C1842" s="40"/>
      <c r="D1842" s="41"/>
      <c r="E1842" s="40"/>
      <c r="F1842" s="41"/>
      <c r="G1842" s="101"/>
      <c r="H1842" s="38"/>
      <c r="I1842" s="42"/>
      <c r="J1842" s="42"/>
      <c r="K1842" s="43"/>
      <c r="L1842" s="43"/>
      <c r="M1842" s="44" t="str">
        <f>IF(LayTable[[#This Row],[Sport]]="","",LayTable[[#This Row],[LayInnsats]]*(LayTable[[#This Row],[LayOdds]]-1))</f>
        <v/>
      </c>
      <c r="N1842" s="45" t="str">
        <f>IF(LayTable[[#This Row],[Sport]]="","",1/((1/LayTable[[#This Row],[BookieOdds]])+(1/((1/((1+((LayTable[[#This Row],[LayOdds]]-1)*(1+LayTable[[#This Row],[C% Lay]])))-1))+1)))-1)</f>
        <v/>
      </c>
      <c r="Q1842" s="46" t="str">
        <f>IF(LayTable[[#This Row],[Sport]]="","",LayTable[[#This Row],[BookieInnsats]]+LayTable[[#This Row],[LayLiability]])</f>
        <v/>
      </c>
      <c r="R18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2" s="47" t="str">
        <f>IF(LayTable[[#This Row],[Utfall bookie]]="","",LayTable[[#This Row],[WBABack]]+LayTable[[#This Row],[WBALay]]-LayTable[[#This Row],[Total inns]])</f>
        <v/>
      </c>
      <c r="U18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2" s="48" t="str">
        <f>IFERROR(IF(LayTable[[#This Row],[Total inns]]="","",LayTable[[#This Row],[Rback]]/LayTable[[#This Row],[Total inns]]),"")</f>
        <v/>
      </c>
      <c r="X1842" s="48" t="str">
        <f>IFERROR(IF(LayTable[[#This Row],[Total inns]]="","",LayTable[[#This Row],[Rlay]]/LayTable[[#This Row],[Total inns]]),"")</f>
        <v/>
      </c>
      <c r="Y1842" s="48" t="str">
        <f>IFERROR(LayTable[[#This Row],[Faktisk res]]/LayTable[[#This Row],[Total inns]],"")</f>
        <v/>
      </c>
      <c r="Z1842" s="47">
        <f>(LayTable[[#This Row],[BookieInnsats]]*LayTable[[#This Row],[BookieOdds]]-LayTable[[#This Row],[BookieInnsats]])*(1-LayTable[[#This Row],[C% Bookie]])</f>
        <v>0</v>
      </c>
      <c r="AA1842" s="43">
        <f>LayTable[[#This Row],[LayInnsats]]*(1-LayTable[[#This Row],[C% Lay]])</f>
        <v>0</v>
      </c>
      <c r="AB1842" s="43" t="str">
        <f>IFERROR(IF(LayTable[[#This Row],[Sport]]="",AB1841,LayTable[[#This Row],[Faktisk res]]+AB1841),"")</f>
        <v/>
      </c>
      <c r="AC1842" s="43">
        <f>(LayTable[[#This Row],[BackWin-Commission]]+LayTable[[#This Row],[BookieInnsats]])</f>
        <v>0</v>
      </c>
      <c r="AD1842" s="43" t="e">
        <f>(LayTable[[#This Row],[LayWin-Commission]])+LayTable[[#This Row],[LayLiability]]</f>
        <v>#VALUE!</v>
      </c>
      <c r="AE1842" s="43"/>
      <c r="AF1842" s="181"/>
    </row>
    <row r="1843" spans="1:32">
      <c r="A1843" s="84"/>
      <c r="B1843" s="39"/>
      <c r="C1843" s="40"/>
      <c r="D1843" s="41"/>
      <c r="E1843" s="40"/>
      <c r="F1843" s="41"/>
      <c r="G1843" s="101"/>
      <c r="H1843" s="38"/>
      <c r="I1843" s="42"/>
      <c r="J1843" s="42"/>
      <c r="K1843" s="43"/>
      <c r="L1843" s="43"/>
      <c r="M1843" s="44" t="str">
        <f>IF(LayTable[[#This Row],[Sport]]="","",LayTable[[#This Row],[LayInnsats]]*(LayTable[[#This Row],[LayOdds]]-1))</f>
        <v/>
      </c>
      <c r="N1843" s="45" t="str">
        <f>IF(LayTable[[#This Row],[Sport]]="","",1/((1/LayTable[[#This Row],[BookieOdds]])+(1/((1/((1+((LayTable[[#This Row],[LayOdds]]-1)*(1+LayTable[[#This Row],[C% Lay]])))-1))+1)))-1)</f>
        <v/>
      </c>
      <c r="Q1843" s="46" t="str">
        <f>IF(LayTable[[#This Row],[Sport]]="","",LayTable[[#This Row],[BookieInnsats]]+LayTable[[#This Row],[LayLiability]])</f>
        <v/>
      </c>
      <c r="R18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3" s="47" t="str">
        <f>IF(LayTable[[#This Row],[Utfall bookie]]="","",LayTable[[#This Row],[WBABack]]+LayTable[[#This Row],[WBALay]]-LayTable[[#This Row],[Total inns]])</f>
        <v/>
      </c>
      <c r="U18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3" s="48" t="str">
        <f>IFERROR(IF(LayTable[[#This Row],[Total inns]]="","",LayTable[[#This Row],[Rback]]/LayTable[[#This Row],[Total inns]]),"")</f>
        <v/>
      </c>
      <c r="X1843" s="48" t="str">
        <f>IFERROR(IF(LayTable[[#This Row],[Total inns]]="","",LayTable[[#This Row],[Rlay]]/LayTable[[#This Row],[Total inns]]),"")</f>
        <v/>
      </c>
      <c r="Y1843" s="48" t="str">
        <f>IFERROR(LayTable[[#This Row],[Faktisk res]]/LayTable[[#This Row],[Total inns]],"")</f>
        <v/>
      </c>
      <c r="Z1843" s="47">
        <f>(LayTable[[#This Row],[BookieInnsats]]*LayTable[[#This Row],[BookieOdds]]-LayTable[[#This Row],[BookieInnsats]])*(1-LayTable[[#This Row],[C% Bookie]])</f>
        <v>0</v>
      </c>
      <c r="AA1843" s="43">
        <f>LayTable[[#This Row],[LayInnsats]]*(1-LayTable[[#This Row],[C% Lay]])</f>
        <v>0</v>
      </c>
      <c r="AB1843" s="43" t="str">
        <f>IFERROR(IF(LayTable[[#This Row],[Sport]]="",AB1842,LayTable[[#This Row],[Faktisk res]]+AB1842),"")</f>
        <v/>
      </c>
      <c r="AC1843" s="43">
        <f>(LayTable[[#This Row],[BackWin-Commission]]+LayTable[[#This Row],[BookieInnsats]])</f>
        <v>0</v>
      </c>
      <c r="AD1843" s="43" t="e">
        <f>(LayTable[[#This Row],[LayWin-Commission]])+LayTable[[#This Row],[LayLiability]]</f>
        <v>#VALUE!</v>
      </c>
      <c r="AE1843" s="43"/>
      <c r="AF1843" s="181"/>
    </row>
    <row r="1844" spans="1:32">
      <c r="A1844" s="84"/>
      <c r="B1844" s="39"/>
      <c r="C1844" s="40"/>
      <c r="D1844" s="41"/>
      <c r="E1844" s="40"/>
      <c r="F1844" s="41"/>
      <c r="G1844" s="101"/>
      <c r="H1844" s="38"/>
      <c r="I1844" s="42"/>
      <c r="J1844" s="42"/>
      <c r="K1844" s="43"/>
      <c r="L1844" s="43"/>
      <c r="M1844" s="44" t="str">
        <f>IF(LayTable[[#This Row],[Sport]]="","",LayTable[[#This Row],[LayInnsats]]*(LayTable[[#This Row],[LayOdds]]-1))</f>
        <v/>
      </c>
      <c r="N1844" s="45" t="str">
        <f>IF(LayTable[[#This Row],[Sport]]="","",1/((1/LayTable[[#This Row],[BookieOdds]])+(1/((1/((1+((LayTable[[#This Row],[LayOdds]]-1)*(1+LayTable[[#This Row],[C% Lay]])))-1))+1)))-1)</f>
        <v/>
      </c>
      <c r="Q1844" s="46" t="str">
        <f>IF(LayTable[[#This Row],[Sport]]="","",LayTable[[#This Row],[BookieInnsats]]+LayTable[[#This Row],[LayLiability]])</f>
        <v/>
      </c>
      <c r="R18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4" s="47" t="str">
        <f>IF(LayTable[[#This Row],[Utfall bookie]]="","",LayTable[[#This Row],[WBABack]]+LayTable[[#This Row],[WBALay]]-LayTable[[#This Row],[Total inns]])</f>
        <v/>
      </c>
      <c r="U18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4" s="48" t="str">
        <f>IFERROR(IF(LayTable[[#This Row],[Total inns]]="","",LayTable[[#This Row],[Rback]]/LayTable[[#This Row],[Total inns]]),"")</f>
        <v/>
      </c>
      <c r="X1844" s="48" t="str">
        <f>IFERROR(IF(LayTable[[#This Row],[Total inns]]="","",LayTable[[#This Row],[Rlay]]/LayTable[[#This Row],[Total inns]]),"")</f>
        <v/>
      </c>
      <c r="Y1844" s="48" t="str">
        <f>IFERROR(LayTable[[#This Row],[Faktisk res]]/LayTable[[#This Row],[Total inns]],"")</f>
        <v/>
      </c>
      <c r="Z1844" s="47">
        <f>(LayTable[[#This Row],[BookieInnsats]]*LayTable[[#This Row],[BookieOdds]]-LayTable[[#This Row],[BookieInnsats]])*(1-LayTable[[#This Row],[C% Bookie]])</f>
        <v>0</v>
      </c>
      <c r="AA1844" s="43">
        <f>LayTable[[#This Row],[LayInnsats]]*(1-LayTable[[#This Row],[C% Lay]])</f>
        <v>0</v>
      </c>
      <c r="AB1844" s="43" t="str">
        <f>IFERROR(IF(LayTable[[#This Row],[Sport]]="",AB1843,LayTable[[#This Row],[Faktisk res]]+AB1843),"")</f>
        <v/>
      </c>
      <c r="AC1844" s="43">
        <f>(LayTable[[#This Row],[BackWin-Commission]]+LayTable[[#This Row],[BookieInnsats]])</f>
        <v>0</v>
      </c>
      <c r="AD1844" s="43" t="e">
        <f>(LayTable[[#This Row],[LayWin-Commission]])+LayTable[[#This Row],[LayLiability]]</f>
        <v>#VALUE!</v>
      </c>
      <c r="AE1844" s="43"/>
      <c r="AF1844" s="181"/>
    </row>
    <row r="1845" spans="1:32">
      <c r="A1845" s="84"/>
      <c r="B1845" s="39"/>
      <c r="C1845" s="40"/>
      <c r="D1845" s="41"/>
      <c r="E1845" s="40"/>
      <c r="F1845" s="41"/>
      <c r="G1845" s="101"/>
      <c r="H1845" s="38"/>
      <c r="I1845" s="42"/>
      <c r="J1845" s="42"/>
      <c r="K1845" s="43"/>
      <c r="L1845" s="43"/>
      <c r="M1845" s="44" t="str">
        <f>IF(LayTable[[#This Row],[Sport]]="","",LayTable[[#This Row],[LayInnsats]]*(LayTable[[#This Row],[LayOdds]]-1))</f>
        <v/>
      </c>
      <c r="N1845" s="45" t="str">
        <f>IF(LayTable[[#This Row],[Sport]]="","",1/((1/LayTable[[#This Row],[BookieOdds]])+(1/((1/((1+((LayTable[[#This Row],[LayOdds]]-1)*(1+LayTable[[#This Row],[C% Lay]])))-1))+1)))-1)</f>
        <v/>
      </c>
      <c r="Q1845" s="46" t="str">
        <f>IF(LayTable[[#This Row],[Sport]]="","",LayTable[[#This Row],[BookieInnsats]]+LayTable[[#This Row],[LayLiability]])</f>
        <v/>
      </c>
      <c r="R18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5" s="47" t="str">
        <f>IF(LayTable[[#This Row],[Utfall bookie]]="","",LayTable[[#This Row],[WBABack]]+LayTable[[#This Row],[WBALay]]-LayTable[[#This Row],[Total inns]])</f>
        <v/>
      </c>
      <c r="U18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5" s="48" t="str">
        <f>IFERROR(IF(LayTable[[#This Row],[Total inns]]="","",LayTable[[#This Row],[Rback]]/LayTable[[#This Row],[Total inns]]),"")</f>
        <v/>
      </c>
      <c r="X1845" s="48" t="str">
        <f>IFERROR(IF(LayTable[[#This Row],[Total inns]]="","",LayTable[[#This Row],[Rlay]]/LayTable[[#This Row],[Total inns]]),"")</f>
        <v/>
      </c>
      <c r="Y1845" s="48" t="str">
        <f>IFERROR(LayTable[[#This Row],[Faktisk res]]/LayTable[[#This Row],[Total inns]],"")</f>
        <v/>
      </c>
      <c r="Z1845" s="47">
        <f>(LayTable[[#This Row],[BookieInnsats]]*LayTable[[#This Row],[BookieOdds]]-LayTable[[#This Row],[BookieInnsats]])*(1-LayTable[[#This Row],[C% Bookie]])</f>
        <v>0</v>
      </c>
      <c r="AA1845" s="43">
        <f>LayTable[[#This Row],[LayInnsats]]*(1-LayTable[[#This Row],[C% Lay]])</f>
        <v>0</v>
      </c>
      <c r="AB1845" s="43" t="str">
        <f>IFERROR(IF(LayTable[[#This Row],[Sport]]="",AB1844,LayTable[[#This Row],[Faktisk res]]+AB1844),"")</f>
        <v/>
      </c>
      <c r="AC1845" s="43">
        <f>(LayTable[[#This Row],[BackWin-Commission]]+LayTable[[#This Row],[BookieInnsats]])</f>
        <v>0</v>
      </c>
      <c r="AD1845" s="43" t="e">
        <f>(LayTable[[#This Row],[LayWin-Commission]])+LayTable[[#This Row],[LayLiability]]</f>
        <v>#VALUE!</v>
      </c>
      <c r="AE1845" s="43"/>
      <c r="AF1845" s="181"/>
    </row>
    <row r="1846" spans="1:32">
      <c r="A1846" s="84"/>
      <c r="B1846" s="39"/>
      <c r="C1846" s="40"/>
      <c r="D1846" s="41"/>
      <c r="E1846" s="40"/>
      <c r="F1846" s="41"/>
      <c r="G1846" s="101"/>
      <c r="H1846" s="38"/>
      <c r="I1846" s="42"/>
      <c r="J1846" s="42"/>
      <c r="K1846" s="43"/>
      <c r="L1846" s="43"/>
      <c r="M1846" s="44" t="str">
        <f>IF(LayTable[[#This Row],[Sport]]="","",LayTable[[#This Row],[LayInnsats]]*(LayTable[[#This Row],[LayOdds]]-1))</f>
        <v/>
      </c>
      <c r="N1846" s="45" t="str">
        <f>IF(LayTable[[#This Row],[Sport]]="","",1/((1/LayTable[[#This Row],[BookieOdds]])+(1/((1/((1+((LayTable[[#This Row],[LayOdds]]-1)*(1+LayTable[[#This Row],[C% Lay]])))-1))+1)))-1)</f>
        <v/>
      </c>
      <c r="Q1846" s="46" t="str">
        <f>IF(LayTable[[#This Row],[Sport]]="","",LayTable[[#This Row],[BookieInnsats]]+LayTable[[#This Row],[LayLiability]])</f>
        <v/>
      </c>
      <c r="R18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6" s="47" t="str">
        <f>IF(LayTable[[#This Row],[Utfall bookie]]="","",LayTable[[#This Row],[WBABack]]+LayTable[[#This Row],[WBALay]]-LayTable[[#This Row],[Total inns]])</f>
        <v/>
      </c>
      <c r="U18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6" s="48" t="str">
        <f>IFERROR(IF(LayTable[[#This Row],[Total inns]]="","",LayTable[[#This Row],[Rback]]/LayTable[[#This Row],[Total inns]]),"")</f>
        <v/>
      </c>
      <c r="X1846" s="48" t="str">
        <f>IFERROR(IF(LayTable[[#This Row],[Total inns]]="","",LayTable[[#This Row],[Rlay]]/LayTable[[#This Row],[Total inns]]),"")</f>
        <v/>
      </c>
      <c r="Y1846" s="48" t="str">
        <f>IFERROR(LayTable[[#This Row],[Faktisk res]]/LayTable[[#This Row],[Total inns]],"")</f>
        <v/>
      </c>
      <c r="Z1846" s="47">
        <f>(LayTable[[#This Row],[BookieInnsats]]*LayTable[[#This Row],[BookieOdds]]-LayTable[[#This Row],[BookieInnsats]])*(1-LayTable[[#This Row],[C% Bookie]])</f>
        <v>0</v>
      </c>
      <c r="AA1846" s="43">
        <f>LayTable[[#This Row],[LayInnsats]]*(1-LayTable[[#This Row],[C% Lay]])</f>
        <v>0</v>
      </c>
      <c r="AB1846" s="43" t="str">
        <f>IFERROR(IF(LayTable[[#This Row],[Sport]]="",AB1845,LayTable[[#This Row],[Faktisk res]]+AB1845),"")</f>
        <v/>
      </c>
      <c r="AC1846" s="43">
        <f>(LayTable[[#This Row],[BackWin-Commission]]+LayTable[[#This Row],[BookieInnsats]])</f>
        <v>0</v>
      </c>
      <c r="AD1846" s="43" t="e">
        <f>(LayTable[[#This Row],[LayWin-Commission]])+LayTable[[#This Row],[LayLiability]]</f>
        <v>#VALUE!</v>
      </c>
      <c r="AE1846" s="43"/>
      <c r="AF1846" s="181"/>
    </row>
    <row r="1847" spans="1:32">
      <c r="A1847" s="84"/>
      <c r="B1847" s="39"/>
      <c r="C1847" s="40"/>
      <c r="D1847" s="41"/>
      <c r="E1847" s="40"/>
      <c r="F1847" s="41"/>
      <c r="G1847" s="101"/>
      <c r="H1847" s="38"/>
      <c r="I1847" s="42"/>
      <c r="J1847" s="42"/>
      <c r="K1847" s="43"/>
      <c r="L1847" s="43"/>
      <c r="M1847" s="44" t="str">
        <f>IF(LayTable[[#This Row],[Sport]]="","",LayTable[[#This Row],[LayInnsats]]*(LayTable[[#This Row],[LayOdds]]-1))</f>
        <v/>
      </c>
      <c r="N1847" s="45" t="str">
        <f>IF(LayTable[[#This Row],[Sport]]="","",1/((1/LayTable[[#This Row],[BookieOdds]])+(1/((1/((1+((LayTable[[#This Row],[LayOdds]]-1)*(1+LayTable[[#This Row],[C% Lay]])))-1))+1)))-1)</f>
        <v/>
      </c>
      <c r="Q1847" s="46" t="str">
        <f>IF(LayTable[[#This Row],[Sport]]="","",LayTable[[#This Row],[BookieInnsats]]+LayTable[[#This Row],[LayLiability]])</f>
        <v/>
      </c>
      <c r="R18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7" s="47" t="str">
        <f>IF(LayTable[[#This Row],[Utfall bookie]]="","",LayTable[[#This Row],[WBABack]]+LayTable[[#This Row],[WBALay]]-LayTable[[#This Row],[Total inns]])</f>
        <v/>
      </c>
      <c r="U18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7" s="48" t="str">
        <f>IFERROR(IF(LayTable[[#This Row],[Total inns]]="","",LayTable[[#This Row],[Rback]]/LayTable[[#This Row],[Total inns]]),"")</f>
        <v/>
      </c>
      <c r="X1847" s="48" t="str">
        <f>IFERROR(IF(LayTable[[#This Row],[Total inns]]="","",LayTable[[#This Row],[Rlay]]/LayTable[[#This Row],[Total inns]]),"")</f>
        <v/>
      </c>
      <c r="Y1847" s="48" t="str">
        <f>IFERROR(LayTable[[#This Row],[Faktisk res]]/LayTable[[#This Row],[Total inns]],"")</f>
        <v/>
      </c>
      <c r="Z1847" s="47">
        <f>(LayTable[[#This Row],[BookieInnsats]]*LayTable[[#This Row],[BookieOdds]]-LayTable[[#This Row],[BookieInnsats]])*(1-LayTable[[#This Row],[C% Bookie]])</f>
        <v>0</v>
      </c>
      <c r="AA1847" s="43">
        <f>LayTable[[#This Row],[LayInnsats]]*(1-LayTable[[#This Row],[C% Lay]])</f>
        <v>0</v>
      </c>
      <c r="AB1847" s="43" t="str">
        <f>IFERROR(IF(LayTable[[#This Row],[Sport]]="",AB1846,LayTable[[#This Row],[Faktisk res]]+AB1846),"")</f>
        <v/>
      </c>
      <c r="AC1847" s="43">
        <f>(LayTable[[#This Row],[BackWin-Commission]]+LayTable[[#This Row],[BookieInnsats]])</f>
        <v>0</v>
      </c>
      <c r="AD1847" s="43" t="e">
        <f>(LayTable[[#This Row],[LayWin-Commission]])+LayTable[[#This Row],[LayLiability]]</f>
        <v>#VALUE!</v>
      </c>
      <c r="AE1847" s="43"/>
      <c r="AF1847" s="181"/>
    </row>
    <row r="1848" spans="1:32">
      <c r="A1848" s="84"/>
      <c r="B1848" s="39"/>
      <c r="C1848" s="40"/>
      <c r="D1848" s="41"/>
      <c r="E1848" s="40"/>
      <c r="F1848" s="41"/>
      <c r="G1848" s="101"/>
      <c r="H1848" s="38"/>
      <c r="I1848" s="42"/>
      <c r="J1848" s="42"/>
      <c r="K1848" s="43"/>
      <c r="L1848" s="43"/>
      <c r="M1848" s="44" t="str">
        <f>IF(LayTable[[#This Row],[Sport]]="","",LayTable[[#This Row],[LayInnsats]]*(LayTable[[#This Row],[LayOdds]]-1))</f>
        <v/>
      </c>
      <c r="N1848" s="45" t="str">
        <f>IF(LayTable[[#This Row],[Sport]]="","",1/((1/LayTable[[#This Row],[BookieOdds]])+(1/((1/((1+((LayTable[[#This Row],[LayOdds]]-1)*(1+LayTable[[#This Row],[C% Lay]])))-1))+1)))-1)</f>
        <v/>
      </c>
      <c r="Q1848" s="46" t="str">
        <f>IF(LayTable[[#This Row],[Sport]]="","",LayTable[[#This Row],[BookieInnsats]]+LayTable[[#This Row],[LayLiability]])</f>
        <v/>
      </c>
      <c r="R18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8" s="47" t="str">
        <f>IF(LayTable[[#This Row],[Utfall bookie]]="","",LayTable[[#This Row],[WBABack]]+LayTable[[#This Row],[WBALay]]-LayTable[[#This Row],[Total inns]])</f>
        <v/>
      </c>
      <c r="U18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8" s="48" t="str">
        <f>IFERROR(IF(LayTable[[#This Row],[Total inns]]="","",LayTable[[#This Row],[Rback]]/LayTable[[#This Row],[Total inns]]),"")</f>
        <v/>
      </c>
      <c r="X1848" s="48" t="str">
        <f>IFERROR(IF(LayTable[[#This Row],[Total inns]]="","",LayTable[[#This Row],[Rlay]]/LayTable[[#This Row],[Total inns]]),"")</f>
        <v/>
      </c>
      <c r="Y1848" s="48" t="str">
        <f>IFERROR(LayTable[[#This Row],[Faktisk res]]/LayTable[[#This Row],[Total inns]],"")</f>
        <v/>
      </c>
      <c r="Z1848" s="47">
        <f>(LayTable[[#This Row],[BookieInnsats]]*LayTable[[#This Row],[BookieOdds]]-LayTable[[#This Row],[BookieInnsats]])*(1-LayTable[[#This Row],[C% Bookie]])</f>
        <v>0</v>
      </c>
      <c r="AA1848" s="43">
        <f>LayTable[[#This Row],[LayInnsats]]*(1-LayTable[[#This Row],[C% Lay]])</f>
        <v>0</v>
      </c>
      <c r="AB1848" s="43" t="str">
        <f>IFERROR(IF(LayTable[[#This Row],[Sport]]="",AB1847,LayTable[[#This Row],[Faktisk res]]+AB1847),"")</f>
        <v/>
      </c>
      <c r="AC1848" s="43">
        <f>(LayTable[[#This Row],[BackWin-Commission]]+LayTable[[#This Row],[BookieInnsats]])</f>
        <v>0</v>
      </c>
      <c r="AD1848" s="43" t="e">
        <f>(LayTable[[#This Row],[LayWin-Commission]])+LayTable[[#This Row],[LayLiability]]</f>
        <v>#VALUE!</v>
      </c>
      <c r="AE1848" s="43"/>
      <c r="AF1848" s="181"/>
    </row>
    <row r="1849" spans="1:32">
      <c r="A1849" s="84"/>
      <c r="B1849" s="39"/>
      <c r="C1849" s="40"/>
      <c r="D1849" s="41"/>
      <c r="E1849" s="40"/>
      <c r="F1849" s="41"/>
      <c r="G1849" s="101"/>
      <c r="H1849" s="38"/>
      <c r="I1849" s="42"/>
      <c r="J1849" s="42"/>
      <c r="K1849" s="43"/>
      <c r="L1849" s="43"/>
      <c r="M1849" s="44" t="str">
        <f>IF(LayTable[[#This Row],[Sport]]="","",LayTable[[#This Row],[LayInnsats]]*(LayTable[[#This Row],[LayOdds]]-1))</f>
        <v/>
      </c>
      <c r="N1849" s="45" t="str">
        <f>IF(LayTable[[#This Row],[Sport]]="","",1/((1/LayTable[[#This Row],[BookieOdds]])+(1/((1/((1+((LayTable[[#This Row],[LayOdds]]-1)*(1+LayTable[[#This Row],[C% Lay]])))-1))+1)))-1)</f>
        <v/>
      </c>
      <c r="Q1849" s="46" t="str">
        <f>IF(LayTable[[#This Row],[Sport]]="","",LayTable[[#This Row],[BookieInnsats]]+LayTable[[#This Row],[LayLiability]])</f>
        <v/>
      </c>
      <c r="R18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49" s="47" t="str">
        <f>IF(LayTable[[#This Row],[Utfall bookie]]="","",LayTable[[#This Row],[WBABack]]+LayTable[[#This Row],[WBALay]]-LayTable[[#This Row],[Total inns]])</f>
        <v/>
      </c>
      <c r="U18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49" s="48" t="str">
        <f>IFERROR(IF(LayTable[[#This Row],[Total inns]]="","",LayTable[[#This Row],[Rback]]/LayTable[[#This Row],[Total inns]]),"")</f>
        <v/>
      </c>
      <c r="X1849" s="48" t="str">
        <f>IFERROR(IF(LayTable[[#This Row],[Total inns]]="","",LayTable[[#This Row],[Rlay]]/LayTable[[#This Row],[Total inns]]),"")</f>
        <v/>
      </c>
      <c r="Y1849" s="48" t="str">
        <f>IFERROR(LayTable[[#This Row],[Faktisk res]]/LayTable[[#This Row],[Total inns]],"")</f>
        <v/>
      </c>
      <c r="Z1849" s="47">
        <f>(LayTable[[#This Row],[BookieInnsats]]*LayTable[[#This Row],[BookieOdds]]-LayTable[[#This Row],[BookieInnsats]])*(1-LayTable[[#This Row],[C% Bookie]])</f>
        <v>0</v>
      </c>
      <c r="AA1849" s="43">
        <f>LayTable[[#This Row],[LayInnsats]]*(1-LayTable[[#This Row],[C% Lay]])</f>
        <v>0</v>
      </c>
      <c r="AB1849" s="43" t="str">
        <f>IFERROR(IF(LayTable[[#This Row],[Sport]]="",AB1848,LayTable[[#This Row],[Faktisk res]]+AB1848),"")</f>
        <v/>
      </c>
      <c r="AC1849" s="43">
        <f>(LayTable[[#This Row],[BackWin-Commission]]+LayTable[[#This Row],[BookieInnsats]])</f>
        <v>0</v>
      </c>
      <c r="AD1849" s="43" t="e">
        <f>(LayTable[[#This Row],[LayWin-Commission]])+LayTable[[#This Row],[LayLiability]]</f>
        <v>#VALUE!</v>
      </c>
      <c r="AE1849" s="43"/>
      <c r="AF1849" s="181"/>
    </row>
    <row r="1850" spans="1:32">
      <c r="A1850" s="84"/>
      <c r="B1850" s="39"/>
      <c r="C1850" s="40"/>
      <c r="D1850" s="41"/>
      <c r="E1850" s="40"/>
      <c r="F1850" s="41"/>
      <c r="G1850" s="101"/>
      <c r="H1850" s="38"/>
      <c r="I1850" s="42"/>
      <c r="J1850" s="42"/>
      <c r="K1850" s="43"/>
      <c r="L1850" s="43"/>
      <c r="M1850" s="44" t="str">
        <f>IF(LayTable[[#This Row],[Sport]]="","",LayTable[[#This Row],[LayInnsats]]*(LayTable[[#This Row],[LayOdds]]-1))</f>
        <v/>
      </c>
      <c r="N1850" s="45" t="str">
        <f>IF(LayTable[[#This Row],[Sport]]="","",1/((1/LayTable[[#This Row],[BookieOdds]])+(1/((1/((1+((LayTable[[#This Row],[LayOdds]]-1)*(1+LayTable[[#This Row],[C% Lay]])))-1))+1)))-1)</f>
        <v/>
      </c>
      <c r="Q1850" s="46" t="str">
        <f>IF(LayTable[[#This Row],[Sport]]="","",LayTable[[#This Row],[BookieInnsats]]+LayTable[[#This Row],[LayLiability]])</f>
        <v/>
      </c>
      <c r="R18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0" s="47" t="str">
        <f>IF(LayTable[[#This Row],[Utfall bookie]]="","",LayTable[[#This Row],[WBABack]]+LayTable[[#This Row],[WBALay]]-LayTable[[#This Row],[Total inns]])</f>
        <v/>
      </c>
      <c r="U18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0" s="48" t="str">
        <f>IFERROR(IF(LayTable[[#This Row],[Total inns]]="","",LayTable[[#This Row],[Rback]]/LayTable[[#This Row],[Total inns]]),"")</f>
        <v/>
      </c>
      <c r="X1850" s="48" t="str">
        <f>IFERROR(IF(LayTable[[#This Row],[Total inns]]="","",LayTable[[#This Row],[Rlay]]/LayTable[[#This Row],[Total inns]]),"")</f>
        <v/>
      </c>
      <c r="Y1850" s="48" t="str">
        <f>IFERROR(LayTable[[#This Row],[Faktisk res]]/LayTable[[#This Row],[Total inns]],"")</f>
        <v/>
      </c>
      <c r="Z1850" s="47">
        <f>(LayTable[[#This Row],[BookieInnsats]]*LayTable[[#This Row],[BookieOdds]]-LayTable[[#This Row],[BookieInnsats]])*(1-LayTable[[#This Row],[C% Bookie]])</f>
        <v>0</v>
      </c>
      <c r="AA1850" s="43">
        <f>LayTable[[#This Row],[LayInnsats]]*(1-LayTable[[#This Row],[C% Lay]])</f>
        <v>0</v>
      </c>
      <c r="AB1850" s="43" t="str">
        <f>IFERROR(IF(LayTable[[#This Row],[Sport]]="",AB1849,LayTable[[#This Row],[Faktisk res]]+AB1849),"")</f>
        <v/>
      </c>
      <c r="AC1850" s="43">
        <f>(LayTable[[#This Row],[BackWin-Commission]]+LayTable[[#This Row],[BookieInnsats]])</f>
        <v>0</v>
      </c>
      <c r="AD1850" s="43" t="e">
        <f>(LayTable[[#This Row],[LayWin-Commission]])+LayTable[[#This Row],[LayLiability]]</f>
        <v>#VALUE!</v>
      </c>
      <c r="AE1850" s="43"/>
      <c r="AF1850" s="181"/>
    </row>
    <row r="1851" spans="1:32">
      <c r="A1851" s="84"/>
      <c r="B1851" s="39"/>
      <c r="C1851" s="40"/>
      <c r="D1851" s="41"/>
      <c r="E1851" s="40"/>
      <c r="F1851" s="41"/>
      <c r="G1851" s="101"/>
      <c r="H1851" s="38"/>
      <c r="I1851" s="42"/>
      <c r="J1851" s="42"/>
      <c r="K1851" s="43"/>
      <c r="L1851" s="43"/>
      <c r="M1851" s="44" t="str">
        <f>IF(LayTable[[#This Row],[Sport]]="","",LayTable[[#This Row],[LayInnsats]]*(LayTable[[#This Row],[LayOdds]]-1))</f>
        <v/>
      </c>
      <c r="N1851" s="45" t="str">
        <f>IF(LayTable[[#This Row],[Sport]]="","",1/((1/LayTable[[#This Row],[BookieOdds]])+(1/((1/((1+((LayTable[[#This Row],[LayOdds]]-1)*(1+LayTable[[#This Row],[C% Lay]])))-1))+1)))-1)</f>
        <v/>
      </c>
      <c r="Q1851" s="46" t="str">
        <f>IF(LayTable[[#This Row],[Sport]]="","",LayTable[[#This Row],[BookieInnsats]]+LayTable[[#This Row],[LayLiability]])</f>
        <v/>
      </c>
      <c r="R18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1" s="47" t="str">
        <f>IF(LayTable[[#This Row],[Utfall bookie]]="","",LayTable[[#This Row],[WBABack]]+LayTable[[#This Row],[WBALay]]-LayTable[[#This Row],[Total inns]])</f>
        <v/>
      </c>
      <c r="U18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1" s="48" t="str">
        <f>IFERROR(IF(LayTable[[#This Row],[Total inns]]="","",LayTable[[#This Row],[Rback]]/LayTable[[#This Row],[Total inns]]),"")</f>
        <v/>
      </c>
      <c r="X1851" s="48" t="str">
        <f>IFERROR(IF(LayTable[[#This Row],[Total inns]]="","",LayTable[[#This Row],[Rlay]]/LayTable[[#This Row],[Total inns]]),"")</f>
        <v/>
      </c>
      <c r="Y1851" s="48" t="str">
        <f>IFERROR(LayTable[[#This Row],[Faktisk res]]/LayTable[[#This Row],[Total inns]],"")</f>
        <v/>
      </c>
      <c r="Z1851" s="47">
        <f>(LayTable[[#This Row],[BookieInnsats]]*LayTable[[#This Row],[BookieOdds]]-LayTable[[#This Row],[BookieInnsats]])*(1-LayTable[[#This Row],[C% Bookie]])</f>
        <v>0</v>
      </c>
      <c r="AA1851" s="43">
        <f>LayTable[[#This Row],[LayInnsats]]*(1-LayTable[[#This Row],[C% Lay]])</f>
        <v>0</v>
      </c>
      <c r="AB1851" s="43" t="str">
        <f>IFERROR(IF(LayTable[[#This Row],[Sport]]="",AB1850,LayTable[[#This Row],[Faktisk res]]+AB1850),"")</f>
        <v/>
      </c>
      <c r="AC1851" s="43">
        <f>(LayTable[[#This Row],[BackWin-Commission]]+LayTable[[#This Row],[BookieInnsats]])</f>
        <v>0</v>
      </c>
      <c r="AD1851" s="43" t="e">
        <f>(LayTable[[#This Row],[LayWin-Commission]])+LayTable[[#This Row],[LayLiability]]</f>
        <v>#VALUE!</v>
      </c>
      <c r="AE1851" s="43"/>
      <c r="AF1851" s="181"/>
    </row>
    <row r="1852" spans="1:32">
      <c r="A1852" s="84"/>
      <c r="B1852" s="39"/>
      <c r="C1852" s="40"/>
      <c r="D1852" s="41"/>
      <c r="E1852" s="40"/>
      <c r="F1852" s="41"/>
      <c r="G1852" s="101"/>
      <c r="H1852" s="38"/>
      <c r="I1852" s="42"/>
      <c r="J1852" s="42"/>
      <c r="K1852" s="43"/>
      <c r="L1852" s="43"/>
      <c r="M1852" s="44" t="str">
        <f>IF(LayTable[[#This Row],[Sport]]="","",LayTable[[#This Row],[LayInnsats]]*(LayTable[[#This Row],[LayOdds]]-1))</f>
        <v/>
      </c>
      <c r="N1852" s="45" t="str">
        <f>IF(LayTable[[#This Row],[Sport]]="","",1/((1/LayTable[[#This Row],[BookieOdds]])+(1/((1/((1+((LayTable[[#This Row],[LayOdds]]-1)*(1+LayTable[[#This Row],[C% Lay]])))-1))+1)))-1)</f>
        <v/>
      </c>
      <c r="Q1852" s="46" t="str">
        <f>IF(LayTable[[#This Row],[Sport]]="","",LayTable[[#This Row],[BookieInnsats]]+LayTable[[#This Row],[LayLiability]])</f>
        <v/>
      </c>
      <c r="R18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2" s="47" t="str">
        <f>IF(LayTable[[#This Row],[Utfall bookie]]="","",LayTable[[#This Row],[WBABack]]+LayTable[[#This Row],[WBALay]]-LayTable[[#This Row],[Total inns]])</f>
        <v/>
      </c>
      <c r="U18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2" s="48" t="str">
        <f>IFERROR(IF(LayTable[[#This Row],[Total inns]]="","",LayTable[[#This Row],[Rback]]/LayTable[[#This Row],[Total inns]]),"")</f>
        <v/>
      </c>
      <c r="X1852" s="48" t="str">
        <f>IFERROR(IF(LayTable[[#This Row],[Total inns]]="","",LayTable[[#This Row],[Rlay]]/LayTable[[#This Row],[Total inns]]),"")</f>
        <v/>
      </c>
      <c r="Y1852" s="48" t="str">
        <f>IFERROR(LayTable[[#This Row],[Faktisk res]]/LayTable[[#This Row],[Total inns]],"")</f>
        <v/>
      </c>
      <c r="Z1852" s="47">
        <f>(LayTable[[#This Row],[BookieInnsats]]*LayTable[[#This Row],[BookieOdds]]-LayTable[[#This Row],[BookieInnsats]])*(1-LayTable[[#This Row],[C% Bookie]])</f>
        <v>0</v>
      </c>
      <c r="AA1852" s="43">
        <f>LayTable[[#This Row],[LayInnsats]]*(1-LayTable[[#This Row],[C% Lay]])</f>
        <v>0</v>
      </c>
      <c r="AB1852" s="43" t="str">
        <f>IFERROR(IF(LayTable[[#This Row],[Sport]]="",AB1851,LayTable[[#This Row],[Faktisk res]]+AB1851),"")</f>
        <v/>
      </c>
      <c r="AC1852" s="43">
        <f>(LayTable[[#This Row],[BackWin-Commission]]+LayTable[[#This Row],[BookieInnsats]])</f>
        <v>0</v>
      </c>
      <c r="AD1852" s="43" t="e">
        <f>(LayTable[[#This Row],[LayWin-Commission]])+LayTable[[#This Row],[LayLiability]]</f>
        <v>#VALUE!</v>
      </c>
      <c r="AE1852" s="43"/>
      <c r="AF1852" s="181"/>
    </row>
    <row r="1853" spans="1:32">
      <c r="A1853" s="84"/>
      <c r="B1853" s="39"/>
      <c r="C1853" s="40"/>
      <c r="D1853" s="41"/>
      <c r="E1853" s="40"/>
      <c r="F1853" s="41"/>
      <c r="G1853" s="101"/>
      <c r="H1853" s="38"/>
      <c r="I1853" s="42"/>
      <c r="J1853" s="42"/>
      <c r="K1853" s="43"/>
      <c r="L1853" s="43"/>
      <c r="M1853" s="44" t="str">
        <f>IF(LayTable[[#This Row],[Sport]]="","",LayTable[[#This Row],[LayInnsats]]*(LayTable[[#This Row],[LayOdds]]-1))</f>
        <v/>
      </c>
      <c r="N1853" s="45" t="str">
        <f>IF(LayTable[[#This Row],[Sport]]="","",1/((1/LayTable[[#This Row],[BookieOdds]])+(1/((1/((1+((LayTable[[#This Row],[LayOdds]]-1)*(1+LayTable[[#This Row],[C% Lay]])))-1))+1)))-1)</f>
        <v/>
      </c>
      <c r="Q1853" s="46" t="str">
        <f>IF(LayTable[[#This Row],[Sport]]="","",LayTable[[#This Row],[BookieInnsats]]+LayTable[[#This Row],[LayLiability]])</f>
        <v/>
      </c>
      <c r="R18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3" s="47" t="str">
        <f>IF(LayTable[[#This Row],[Utfall bookie]]="","",LayTable[[#This Row],[WBABack]]+LayTable[[#This Row],[WBALay]]-LayTable[[#This Row],[Total inns]])</f>
        <v/>
      </c>
      <c r="U18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3" s="48" t="str">
        <f>IFERROR(IF(LayTable[[#This Row],[Total inns]]="","",LayTable[[#This Row],[Rback]]/LayTable[[#This Row],[Total inns]]),"")</f>
        <v/>
      </c>
      <c r="X1853" s="48" t="str">
        <f>IFERROR(IF(LayTable[[#This Row],[Total inns]]="","",LayTable[[#This Row],[Rlay]]/LayTable[[#This Row],[Total inns]]),"")</f>
        <v/>
      </c>
      <c r="Y1853" s="48" t="str">
        <f>IFERROR(LayTable[[#This Row],[Faktisk res]]/LayTable[[#This Row],[Total inns]],"")</f>
        <v/>
      </c>
      <c r="Z1853" s="47">
        <f>(LayTable[[#This Row],[BookieInnsats]]*LayTable[[#This Row],[BookieOdds]]-LayTable[[#This Row],[BookieInnsats]])*(1-LayTable[[#This Row],[C% Bookie]])</f>
        <v>0</v>
      </c>
      <c r="AA1853" s="43">
        <f>LayTable[[#This Row],[LayInnsats]]*(1-LayTable[[#This Row],[C% Lay]])</f>
        <v>0</v>
      </c>
      <c r="AB1853" s="43" t="str">
        <f>IFERROR(IF(LayTable[[#This Row],[Sport]]="",AB1852,LayTable[[#This Row],[Faktisk res]]+AB1852),"")</f>
        <v/>
      </c>
      <c r="AC1853" s="43">
        <f>(LayTable[[#This Row],[BackWin-Commission]]+LayTable[[#This Row],[BookieInnsats]])</f>
        <v>0</v>
      </c>
      <c r="AD1853" s="43" t="e">
        <f>(LayTable[[#This Row],[LayWin-Commission]])+LayTable[[#This Row],[LayLiability]]</f>
        <v>#VALUE!</v>
      </c>
      <c r="AE1853" s="43"/>
      <c r="AF1853" s="181"/>
    </row>
    <row r="1854" spans="1:32">
      <c r="A1854" s="84"/>
      <c r="B1854" s="39"/>
      <c r="C1854" s="40"/>
      <c r="D1854" s="41"/>
      <c r="E1854" s="40"/>
      <c r="F1854" s="41"/>
      <c r="G1854" s="101"/>
      <c r="H1854" s="38"/>
      <c r="I1854" s="42"/>
      <c r="J1854" s="42"/>
      <c r="K1854" s="43"/>
      <c r="L1854" s="43"/>
      <c r="M1854" s="44" t="str">
        <f>IF(LayTable[[#This Row],[Sport]]="","",LayTable[[#This Row],[LayInnsats]]*(LayTable[[#This Row],[LayOdds]]-1))</f>
        <v/>
      </c>
      <c r="N1854" s="45" t="str">
        <f>IF(LayTable[[#This Row],[Sport]]="","",1/((1/LayTable[[#This Row],[BookieOdds]])+(1/((1/((1+((LayTable[[#This Row],[LayOdds]]-1)*(1+LayTable[[#This Row],[C% Lay]])))-1))+1)))-1)</f>
        <v/>
      </c>
      <c r="Q1854" s="46" t="str">
        <f>IF(LayTable[[#This Row],[Sport]]="","",LayTable[[#This Row],[BookieInnsats]]+LayTable[[#This Row],[LayLiability]])</f>
        <v/>
      </c>
      <c r="R18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4" s="47" t="str">
        <f>IF(LayTable[[#This Row],[Utfall bookie]]="","",LayTable[[#This Row],[WBABack]]+LayTable[[#This Row],[WBALay]]-LayTable[[#This Row],[Total inns]])</f>
        <v/>
      </c>
      <c r="U18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4" s="48" t="str">
        <f>IFERROR(IF(LayTable[[#This Row],[Total inns]]="","",LayTable[[#This Row],[Rback]]/LayTable[[#This Row],[Total inns]]),"")</f>
        <v/>
      </c>
      <c r="X1854" s="48" t="str">
        <f>IFERROR(IF(LayTable[[#This Row],[Total inns]]="","",LayTable[[#This Row],[Rlay]]/LayTable[[#This Row],[Total inns]]),"")</f>
        <v/>
      </c>
      <c r="Y1854" s="48" t="str">
        <f>IFERROR(LayTable[[#This Row],[Faktisk res]]/LayTable[[#This Row],[Total inns]],"")</f>
        <v/>
      </c>
      <c r="Z1854" s="47">
        <f>(LayTable[[#This Row],[BookieInnsats]]*LayTable[[#This Row],[BookieOdds]]-LayTable[[#This Row],[BookieInnsats]])*(1-LayTable[[#This Row],[C% Bookie]])</f>
        <v>0</v>
      </c>
      <c r="AA1854" s="43">
        <f>LayTable[[#This Row],[LayInnsats]]*(1-LayTable[[#This Row],[C% Lay]])</f>
        <v>0</v>
      </c>
      <c r="AB1854" s="43" t="str">
        <f>IFERROR(IF(LayTable[[#This Row],[Sport]]="",AB1853,LayTable[[#This Row],[Faktisk res]]+AB1853),"")</f>
        <v/>
      </c>
      <c r="AC1854" s="43">
        <f>(LayTable[[#This Row],[BackWin-Commission]]+LayTable[[#This Row],[BookieInnsats]])</f>
        <v>0</v>
      </c>
      <c r="AD1854" s="43" t="e">
        <f>(LayTable[[#This Row],[LayWin-Commission]])+LayTable[[#This Row],[LayLiability]]</f>
        <v>#VALUE!</v>
      </c>
      <c r="AE1854" s="43"/>
      <c r="AF1854" s="181"/>
    </row>
    <row r="1855" spans="1:32">
      <c r="A1855" s="84"/>
      <c r="B1855" s="39"/>
      <c r="C1855" s="40"/>
      <c r="D1855" s="41"/>
      <c r="E1855" s="40"/>
      <c r="F1855" s="41"/>
      <c r="G1855" s="101"/>
      <c r="H1855" s="38"/>
      <c r="I1855" s="42"/>
      <c r="J1855" s="42"/>
      <c r="K1855" s="43"/>
      <c r="L1855" s="43"/>
      <c r="M1855" s="44" t="str">
        <f>IF(LayTable[[#This Row],[Sport]]="","",LayTable[[#This Row],[LayInnsats]]*(LayTable[[#This Row],[LayOdds]]-1))</f>
        <v/>
      </c>
      <c r="N1855" s="45" t="str">
        <f>IF(LayTable[[#This Row],[Sport]]="","",1/((1/LayTable[[#This Row],[BookieOdds]])+(1/((1/((1+((LayTable[[#This Row],[LayOdds]]-1)*(1+LayTable[[#This Row],[C% Lay]])))-1))+1)))-1)</f>
        <v/>
      </c>
      <c r="Q1855" s="46" t="str">
        <f>IF(LayTable[[#This Row],[Sport]]="","",LayTable[[#This Row],[BookieInnsats]]+LayTable[[#This Row],[LayLiability]])</f>
        <v/>
      </c>
      <c r="R18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5" s="47" t="str">
        <f>IF(LayTable[[#This Row],[Utfall bookie]]="","",LayTable[[#This Row],[WBABack]]+LayTable[[#This Row],[WBALay]]-LayTable[[#This Row],[Total inns]])</f>
        <v/>
      </c>
      <c r="U18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5" s="48" t="str">
        <f>IFERROR(IF(LayTable[[#This Row],[Total inns]]="","",LayTable[[#This Row],[Rback]]/LayTable[[#This Row],[Total inns]]),"")</f>
        <v/>
      </c>
      <c r="X1855" s="48" t="str">
        <f>IFERROR(IF(LayTable[[#This Row],[Total inns]]="","",LayTable[[#This Row],[Rlay]]/LayTable[[#This Row],[Total inns]]),"")</f>
        <v/>
      </c>
      <c r="Y1855" s="48" t="str">
        <f>IFERROR(LayTable[[#This Row],[Faktisk res]]/LayTable[[#This Row],[Total inns]],"")</f>
        <v/>
      </c>
      <c r="Z1855" s="47">
        <f>(LayTable[[#This Row],[BookieInnsats]]*LayTable[[#This Row],[BookieOdds]]-LayTable[[#This Row],[BookieInnsats]])*(1-LayTable[[#This Row],[C% Bookie]])</f>
        <v>0</v>
      </c>
      <c r="AA1855" s="43">
        <f>LayTable[[#This Row],[LayInnsats]]*(1-LayTable[[#This Row],[C% Lay]])</f>
        <v>0</v>
      </c>
      <c r="AB1855" s="43" t="str">
        <f>IFERROR(IF(LayTable[[#This Row],[Sport]]="",AB1854,LayTable[[#This Row],[Faktisk res]]+AB1854),"")</f>
        <v/>
      </c>
      <c r="AC1855" s="43">
        <f>(LayTable[[#This Row],[BackWin-Commission]]+LayTable[[#This Row],[BookieInnsats]])</f>
        <v>0</v>
      </c>
      <c r="AD1855" s="43" t="e">
        <f>(LayTable[[#This Row],[LayWin-Commission]])+LayTable[[#This Row],[LayLiability]]</f>
        <v>#VALUE!</v>
      </c>
      <c r="AE1855" s="43"/>
      <c r="AF1855" s="181"/>
    </row>
    <row r="1856" spans="1:32">
      <c r="A1856" s="84"/>
      <c r="B1856" s="39"/>
      <c r="C1856" s="40"/>
      <c r="D1856" s="41"/>
      <c r="E1856" s="40"/>
      <c r="F1856" s="41"/>
      <c r="G1856" s="101"/>
      <c r="H1856" s="38"/>
      <c r="I1856" s="42"/>
      <c r="J1856" s="42"/>
      <c r="K1856" s="43"/>
      <c r="L1856" s="43"/>
      <c r="M1856" s="44" t="str">
        <f>IF(LayTable[[#This Row],[Sport]]="","",LayTable[[#This Row],[LayInnsats]]*(LayTable[[#This Row],[LayOdds]]-1))</f>
        <v/>
      </c>
      <c r="N1856" s="45" t="str">
        <f>IF(LayTable[[#This Row],[Sport]]="","",1/((1/LayTable[[#This Row],[BookieOdds]])+(1/((1/((1+((LayTable[[#This Row],[LayOdds]]-1)*(1+LayTable[[#This Row],[C% Lay]])))-1))+1)))-1)</f>
        <v/>
      </c>
      <c r="Q1856" s="46" t="str">
        <f>IF(LayTable[[#This Row],[Sport]]="","",LayTable[[#This Row],[BookieInnsats]]+LayTable[[#This Row],[LayLiability]])</f>
        <v/>
      </c>
      <c r="R18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6" s="47" t="str">
        <f>IF(LayTable[[#This Row],[Utfall bookie]]="","",LayTable[[#This Row],[WBABack]]+LayTable[[#This Row],[WBALay]]-LayTable[[#This Row],[Total inns]])</f>
        <v/>
      </c>
      <c r="U18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6" s="48" t="str">
        <f>IFERROR(IF(LayTable[[#This Row],[Total inns]]="","",LayTable[[#This Row],[Rback]]/LayTable[[#This Row],[Total inns]]),"")</f>
        <v/>
      </c>
      <c r="X1856" s="48" t="str">
        <f>IFERROR(IF(LayTable[[#This Row],[Total inns]]="","",LayTable[[#This Row],[Rlay]]/LayTable[[#This Row],[Total inns]]),"")</f>
        <v/>
      </c>
      <c r="Y1856" s="48" t="str">
        <f>IFERROR(LayTable[[#This Row],[Faktisk res]]/LayTable[[#This Row],[Total inns]],"")</f>
        <v/>
      </c>
      <c r="Z1856" s="47">
        <f>(LayTable[[#This Row],[BookieInnsats]]*LayTable[[#This Row],[BookieOdds]]-LayTable[[#This Row],[BookieInnsats]])*(1-LayTable[[#This Row],[C% Bookie]])</f>
        <v>0</v>
      </c>
      <c r="AA1856" s="43">
        <f>LayTable[[#This Row],[LayInnsats]]*(1-LayTable[[#This Row],[C% Lay]])</f>
        <v>0</v>
      </c>
      <c r="AB1856" s="43" t="str">
        <f>IFERROR(IF(LayTable[[#This Row],[Sport]]="",AB1855,LayTable[[#This Row],[Faktisk res]]+AB1855),"")</f>
        <v/>
      </c>
      <c r="AC1856" s="43">
        <f>(LayTable[[#This Row],[BackWin-Commission]]+LayTable[[#This Row],[BookieInnsats]])</f>
        <v>0</v>
      </c>
      <c r="AD1856" s="43" t="e">
        <f>(LayTable[[#This Row],[LayWin-Commission]])+LayTable[[#This Row],[LayLiability]]</f>
        <v>#VALUE!</v>
      </c>
      <c r="AE1856" s="43"/>
      <c r="AF1856" s="181"/>
    </row>
    <row r="1857" spans="1:32">
      <c r="A1857" s="84"/>
      <c r="B1857" s="39"/>
      <c r="C1857" s="40"/>
      <c r="D1857" s="41"/>
      <c r="E1857" s="40"/>
      <c r="F1857" s="41"/>
      <c r="G1857" s="101"/>
      <c r="H1857" s="38"/>
      <c r="I1857" s="42"/>
      <c r="J1857" s="42"/>
      <c r="K1857" s="43"/>
      <c r="L1857" s="43"/>
      <c r="M1857" s="44" t="str">
        <f>IF(LayTable[[#This Row],[Sport]]="","",LayTable[[#This Row],[LayInnsats]]*(LayTable[[#This Row],[LayOdds]]-1))</f>
        <v/>
      </c>
      <c r="N1857" s="45" t="str">
        <f>IF(LayTable[[#This Row],[Sport]]="","",1/((1/LayTable[[#This Row],[BookieOdds]])+(1/((1/((1+((LayTable[[#This Row],[LayOdds]]-1)*(1+LayTable[[#This Row],[C% Lay]])))-1))+1)))-1)</f>
        <v/>
      </c>
      <c r="Q1857" s="46" t="str">
        <f>IF(LayTable[[#This Row],[Sport]]="","",LayTable[[#This Row],[BookieInnsats]]+LayTable[[#This Row],[LayLiability]])</f>
        <v/>
      </c>
      <c r="R18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7" s="47" t="str">
        <f>IF(LayTable[[#This Row],[Utfall bookie]]="","",LayTable[[#This Row],[WBABack]]+LayTable[[#This Row],[WBALay]]-LayTable[[#This Row],[Total inns]])</f>
        <v/>
      </c>
      <c r="U18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7" s="48" t="str">
        <f>IFERROR(IF(LayTable[[#This Row],[Total inns]]="","",LayTable[[#This Row],[Rback]]/LayTable[[#This Row],[Total inns]]),"")</f>
        <v/>
      </c>
      <c r="X1857" s="48" t="str">
        <f>IFERROR(IF(LayTable[[#This Row],[Total inns]]="","",LayTable[[#This Row],[Rlay]]/LayTable[[#This Row],[Total inns]]),"")</f>
        <v/>
      </c>
      <c r="Y1857" s="48" t="str">
        <f>IFERROR(LayTable[[#This Row],[Faktisk res]]/LayTable[[#This Row],[Total inns]],"")</f>
        <v/>
      </c>
      <c r="Z1857" s="47">
        <f>(LayTable[[#This Row],[BookieInnsats]]*LayTable[[#This Row],[BookieOdds]]-LayTable[[#This Row],[BookieInnsats]])*(1-LayTable[[#This Row],[C% Bookie]])</f>
        <v>0</v>
      </c>
      <c r="AA1857" s="43">
        <f>LayTable[[#This Row],[LayInnsats]]*(1-LayTable[[#This Row],[C% Lay]])</f>
        <v>0</v>
      </c>
      <c r="AB1857" s="43" t="str">
        <f>IFERROR(IF(LayTable[[#This Row],[Sport]]="",AB1856,LayTable[[#This Row],[Faktisk res]]+AB1856),"")</f>
        <v/>
      </c>
      <c r="AC1857" s="43">
        <f>(LayTable[[#This Row],[BackWin-Commission]]+LayTable[[#This Row],[BookieInnsats]])</f>
        <v>0</v>
      </c>
      <c r="AD1857" s="43" t="e">
        <f>(LayTable[[#This Row],[LayWin-Commission]])+LayTable[[#This Row],[LayLiability]]</f>
        <v>#VALUE!</v>
      </c>
      <c r="AE1857" s="43"/>
      <c r="AF1857" s="181"/>
    </row>
    <row r="1858" spans="1:32">
      <c r="A1858" s="84"/>
      <c r="B1858" s="39"/>
      <c r="C1858" s="40"/>
      <c r="D1858" s="41"/>
      <c r="E1858" s="40"/>
      <c r="F1858" s="41"/>
      <c r="G1858" s="101"/>
      <c r="H1858" s="38"/>
      <c r="I1858" s="42"/>
      <c r="J1858" s="42"/>
      <c r="K1858" s="43"/>
      <c r="L1858" s="43"/>
      <c r="M1858" s="44" t="str">
        <f>IF(LayTable[[#This Row],[Sport]]="","",LayTable[[#This Row],[LayInnsats]]*(LayTable[[#This Row],[LayOdds]]-1))</f>
        <v/>
      </c>
      <c r="N1858" s="45" t="str">
        <f>IF(LayTable[[#This Row],[Sport]]="","",1/((1/LayTable[[#This Row],[BookieOdds]])+(1/((1/((1+((LayTable[[#This Row],[LayOdds]]-1)*(1+LayTable[[#This Row],[C% Lay]])))-1))+1)))-1)</f>
        <v/>
      </c>
      <c r="Q1858" s="46" t="str">
        <f>IF(LayTable[[#This Row],[Sport]]="","",LayTable[[#This Row],[BookieInnsats]]+LayTable[[#This Row],[LayLiability]])</f>
        <v/>
      </c>
      <c r="R18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8" s="47" t="str">
        <f>IF(LayTable[[#This Row],[Utfall bookie]]="","",LayTable[[#This Row],[WBABack]]+LayTable[[#This Row],[WBALay]]-LayTable[[#This Row],[Total inns]])</f>
        <v/>
      </c>
      <c r="U18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8" s="48" t="str">
        <f>IFERROR(IF(LayTable[[#This Row],[Total inns]]="","",LayTable[[#This Row],[Rback]]/LayTable[[#This Row],[Total inns]]),"")</f>
        <v/>
      </c>
      <c r="X1858" s="48" t="str">
        <f>IFERROR(IF(LayTable[[#This Row],[Total inns]]="","",LayTable[[#This Row],[Rlay]]/LayTable[[#This Row],[Total inns]]),"")</f>
        <v/>
      </c>
      <c r="Y1858" s="48" t="str">
        <f>IFERROR(LayTable[[#This Row],[Faktisk res]]/LayTable[[#This Row],[Total inns]],"")</f>
        <v/>
      </c>
      <c r="Z1858" s="47">
        <f>(LayTable[[#This Row],[BookieInnsats]]*LayTable[[#This Row],[BookieOdds]]-LayTable[[#This Row],[BookieInnsats]])*(1-LayTable[[#This Row],[C% Bookie]])</f>
        <v>0</v>
      </c>
      <c r="AA1858" s="43">
        <f>LayTable[[#This Row],[LayInnsats]]*(1-LayTable[[#This Row],[C% Lay]])</f>
        <v>0</v>
      </c>
      <c r="AB1858" s="43" t="str">
        <f>IFERROR(IF(LayTable[[#This Row],[Sport]]="",AB1857,LayTable[[#This Row],[Faktisk res]]+AB1857),"")</f>
        <v/>
      </c>
      <c r="AC1858" s="43">
        <f>(LayTable[[#This Row],[BackWin-Commission]]+LayTable[[#This Row],[BookieInnsats]])</f>
        <v>0</v>
      </c>
      <c r="AD1858" s="43" t="e">
        <f>(LayTable[[#This Row],[LayWin-Commission]])+LayTable[[#This Row],[LayLiability]]</f>
        <v>#VALUE!</v>
      </c>
      <c r="AE1858" s="43"/>
      <c r="AF1858" s="181"/>
    </row>
    <row r="1859" spans="1:32">
      <c r="A1859" s="84"/>
      <c r="B1859" s="39"/>
      <c r="C1859" s="40"/>
      <c r="D1859" s="41"/>
      <c r="E1859" s="40"/>
      <c r="F1859" s="41"/>
      <c r="G1859" s="101"/>
      <c r="H1859" s="38"/>
      <c r="I1859" s="42"/>
      <c r="J1859" s="42"/>
      <c r="K1859" s="43"/>
      <c r="L1859" s="43"/>
      <c r="M1859" s="44" t="str">
        <f>IF(LayTable[[#This Row],[Sport]]="","",LayTable[[#This Row],[LayInnsats]]*(LayTable[[#This Row],[LayOdds]]-1))</f>
        <v/>
      </c>
      <c r="N1859" s="45" t="str">
        <f>IF(LayTable[[#This Row],[Sport]]="","",1/((1/LayTable[[#This Row],[BookieOdds]])+(1/((1/((1+((LayTable[[#This Row],[LayOdds]]-1)*(1+LayTable[[#This Row],[C% Lay]])))-1))+1)))-1)</f>
        <v/>
      </c>
      <c r="Q1859" s="46" t="str">
        <f>IF(LayTable[[#This Row],[Sport]]="","",LayTable[[#This Row],[BookieInnsats]]+LayTable[[#This Row],[LayLiability]])</f>
        <v/>
      </c>
      <c r="R18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59" s="47" t="str">
        <f>IF(LayTable[[#This Row],[Utfall bookie]]="","",LayTable[[#This Row],[WBABack]]+LayTable[[#This Row],[WBALay]]-LayTable[[#This Row],[Total inns]])</f>
        <v/>
      </c>
      <c r="U18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59" s="48" t="str">
        <f>IFERROR(IF(LayTable[[#This Row],[Total inns]]="","",LayTable[[#This Row],[Rback]]/LayTable[[#This Row],[Total inns]]),"")</f>
        <v/>
      </c>
      <c r="X1859" s="48" t="str">
        <f>IFERROR(IF(LayTable[[#This Row],[Total inns]]="","",LayTable[[#This Row],[Rlay]]/LayTable[[#This Row],[Total inns]]),"")</f>
        <v/>
      </c>
      <c r="Y1859" s="48" t="str">
        <f>IFERROR(LayTable[[#This Row],[Faktisk res]]/LayTable[[#This Row],[Total inns]],"")</f>
        <v/>
      </c>
      <c r="Z1859" s="47">
        <f>(LayTable[[#This Row],[BookieInnsats]]*LayTable[[#This Row],[BookieOdds]]-LayTable[[#This Row],[BookieInnsats]])*(1-LayTable[[#This Row],[C% Bookie]])</f>
        <v>0</v>
      </c>
      <c r="AA1859" s="43">
        <f>LayTable[[#This Row],[LayInnsats]]*(1-LayTable[[#This Row],[C% Lay]])</f>
        <v>0</v>
      </c>
      <c r="AB1859" s="43" t="str">
        <f>IFERROR(IF(LayTable[[#This Row],[Sport]]="",AB1858,LayTable[[#This Row],[Faktisk res]]+AB1858),"")</f>
        <v/>
      </c>
      <c r="AC1859" s="43">
        <f>(LayTable[[#This Row],[BackWin-Commission]]+LayTable[[#This Row],[BookieInnsats]])</f>
        <v>0</v>
      </c>
      <c r="AD1859" s="43" t="e">
        <f>(LayTable[[#This Row],[LayWin-Commission]])+LayTable[[#This Row],[LayLiability]]</f>
        <v>#VALUE!</v>
      </c>
      <c r="AE1859" s="43"/>
      <c r="AF1859" s="181"/>
    </row>
    <row r="1860" spans="1:32">
      <c r="A1860" s="84"/>
      <c r="B1860" s="39"/>
      <c r="C1860" s="40"/>
      <c r="D1860" s="41"/>
      <c r="E1860" s="40"/>
      <c r="F1860" s="41"/>
      <c r="G1860" s="101"/>
      <c r="H1860" s="38"/>
      <c r="I1860" s="42"/>
      <c r="J1860" s="42"/>
      <c r="K1860" s="43"/>
      <c r="L1860" s="43"/>
      <c r="M1860" s="44" t="str">
        <f>IF(LayTable[[#This Row],[Sport]]="","",LayTable[[#This Row],[LayInnsats]]*(LayTable[[#This Row],[LayOdds]]-1))</f>
        <v/>
      </c>
      <c r="N1860" s="45" t="str">
        <f>IF(LayTable[[#This Row],[Sport]]="","",1/((1/LayTable[[#This Row],[BookieOdds]])+(1/((1/((1+((LayTable[[#This Row],[LayOdds]]-1)*(1+LayTable[[#This Row],[C% Lay]])))-1))+1)))-1)</f>
        <v/>
      </c>
      <c r="Q1860" s="46" t="str">
        <f>IF(LayTable[[#This Row],[Sport]]="","",LayTable[[#This Row],[BookieInnsats]]+LayTable[[#This Row],[LayLiability]])</f>
        <v/>
      </c>
      <c r="R18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0" s="47" t="str">
        <f>IF(LayTable[[#This Row],[Utfall bookie]]="","",LayTable[[#This Row],[WBABack]]+LayTable[[#This Row],[WBALay]]-LayTable[[#This Row],[Total inns]])</f>
        <v/>
      </c>
      <c r="U18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0" s="48" t="str">
        <f>IFERROR(IF(LayTable[[#This Row],[Total inns]]="","",LayTable[[#This Row],[Rback]]/LayTable[[#This Row],[Total inns]]),"")</f>
        <v/>
      </c>
      <c r="X1860" s="48" t="str">
        <f>IFERROR(IF(LayTable[[#This Row],[Total inns]]="","",LayTable[[#This Row],[Rlay]]/LayTable[[#This Row],[Total inns]]),"")</f>
        <v/>
      </c>
      <c r="Y1860" s="48" t="str">
        <f>IFERROR(LayTable[[#This Row],[Faktisk res]]/LayTable[[#This Row],[Total inns]],"")</f>
        <v/>
      </c>
      <c r="Z1860" s="47">
        <f>(LayTable[[#This Row],[BookieInnsats]]*LayTable[[#This Row],[BookieOdds]]-LayTable[[#This Row],[BookieInnsats]])*(1-LayTable[[#This Row],[C% Bookie]])</f>
        <v>0</v>
      </c>
      <c r="AA1860" s="43">
        <f>LayTable[[#This Row],[LayInnsats]]*(1-LayTable[[#This Row],[C% Lay]])</f>
        <v>0</v>
      </c>
      <c r="AB1860" s="43" t="str">
        <f>IFERROR(IF(LayTable[[#This Row],[Sport]]="",AB1859,LayTable[[#This Row],[Faktisk res]]+AB1859),"")</f>
        <v/>
      </c>
      <c r="AC1860" s="43">
        <f>(LayTable[[#This Row],[BackWin-Commission]]+LayTable[[#This Row],[BookieInnsats]])</f>
        <v>0</v>
      </c>
      <c r="AD1860" s="43" t="e">
        <f>(LayTable[[#This Row],[LayWin-Commission]])+LayTable[[#This Row],[LayLiability]]</f>
        <v>#VALUE!</v>
      </c>
      <c r="AE1860" s="43"/>
      <c r="AF1860" s="181"/>
    </row>
    <row r="1861" spans="1:32">
      <c r="A1861" s="84"/>
      <c r="B1861" s="39"/>
      <c r="C1861" s="40"/>
      <c r="D1861" s="41"/>
      <c r="E1861" s="40"/>
      <c r="F1861" s="41"/>
      <c r="G1861" s="101"/>
      <c r="H1861" s="38"/>
      <c r="I1861" s="42"/>
      <c r="J1861" s="42"/>
      <c r="K1861" s="43"/>
      <c r="L1861" s="43"/>
      <c r="M1861" s="44" t="str">
        <f>IF(LayTable[[#This Row],[Sport]]="","",LayTable[[#This Row],[LayInnsats]]*(LayTable[[#This Row],[LayOdds]]-1))</f>
        <v/>
      </c>
      <c r="N1861" s="45" t="str">
        <f>IF(LayTable[[#This Row],[Sport]]="","",1/((1/LayTable[[#This Row],[BookieOdds]])+(1/((1/((1+((LayTable[[#This Row],[LayOdds]]-1)*(1+LayTable[[#This Row],[C% Lay]])))-1))+1)))-1)</f>
        <v/>
      </c>
      <c r="Q1861" s="46" t="str">
        <f>IF(LayTable[[#This Row],[Sport]]="","",LayTable[[#This Row],[BookieInnsats]]+LayTable[[#This Row],[LayLiability]])</f>
        <v/>
      </c>
      <c r="R18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1" s="47" t="str">
        <f>IF(LayTable[[#This Row],[Utfall bookie]]="","",LayTable[[#This Row],[WBABack]]+LayTable[[#This Row],[WBALay]]-LayTable[[#This Row],[Total inns]])</f>
        <v/>
      </c>
      <c r="U18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1" s="48" t="str">
        <f>IFERROR(IF(LayTable[[#This Row],[Total inns]]="","",LayTable[[#This Row],[Rback]]/LayTable[[#This Row],[Total inns]]),"")</f>
        <v/>
      </c>
      <c r="X1861" s="48" t="str">
        <f>IFERROR(IF(LayTable[[#This Row],[Total inns]]="","",LayTable[[#This Row],[Rlay]]/LayTable[[#This Row],[Total inns]]),"")</f>
        <v/>
      </c>
      <c r="Y1861" s="48" t="str">
        <f>IFERROR(LayTable[[#This Row],[Faktisk res]]/LayTable[[#This Row],[Total inns]],"")</f>
        <v/>
      </c>
      <c r="Z1861" s="47">
        <f>(LayTable[[#This Row],[BookieInnsats]]*LayTable[[#This Row],[BookieOdds]]-LayTable[[#This Row],[BookieInnsats]])*(1-LayTable[[#This Row],[C% Bookie]])</f>
        <v>0</v>
      </c>
      <c r="AA1861" s="43">
        <f>LayTable[[#This Row],[LayInnsats]]*(1-LayTable[[#This Row],[C% Lay]])</f>
        <v>0</v>
      </c>
      <c r="AB1861" s="43" t="str">
        <f>IFERROR(IF(LayTable[[#This Row],[Sport]]="",AB1860,LayTable[[#This Row],[Faktisk res]]+AB1860),"")</f>
        <v/>
      </c>
      <c r="AC1861" s="43">
        <f>(LayTable[[#This Row],[BackWin-Commission]]+LayTable[[#This Row],[BookieInnsats]])</f>
        <v>0</v>
      </c>
      <c r="AD1861" s="43" t="e">
        <f>(LayTable[[#This Row],[LayWin-Commission]])+LayTable[[#This Row],[LayLiability]]</f>
        <v>#VALUE!</v>
      </c>
      <c r="AE1861" s="43"/>
      <c r="AF1861" s="181"/>
    </row>
    <row r="1862" spans="1:32">
      <c r="A1862" s="84"/>
      <c r="B1862" s="39"/>
      <c r="C1862" s="40"/>
      <c r="D1862" s="41"/>
      <c r="E1862" s="40"/>
      <c r="F1862" s="41"/>
      <c r="G1862" s="101"/>
      <c r="H1862" s="38"/>
      <c r="I1862" s="42"/>
      <c r="J1862" s="42"/>
      <c r="K1862" s="43"/>
      <c r="L1862" s="43"/>
      <c r="M1862" s="44" t="str">
        <f>IF(LayTable[[#This Row],[Sport]]="","",LayTable[[#This Row],[LayInnsats]]*(LayTable[[#This Row],[LayOdds]]-1))</f>
        <v/>
      </c>
      <c r="N1862" s="45" t="str">
        <f>IF(LayTable[[#This Row],[Sport]]="","",1/((1/LayTable[[#This Row],[BookieOdds]])+(1/((1/((1+((LayTable[[#This Row],[LayOdds]]-1)*(1+LayTable[[#This Row],[C% Lay]])))-1))+1)))-1)</f>
        <v/>
      </c>
      <c r="Q1862" s="46" t="str">
        <f>IF(LayTable[[#This Row],[Sport]]="","",LayTable[[#This Row],[BookieInnsats]]+LayTable[[#This Row],[LayLiability]])</f>
        <v/>
      </c>
      <c r="R18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2" s="47" t="str">
        <f>IF(LayTable[[#This Row],[Utfall bookie]]="","",LayTable[[#This Row],[WBABack]]+LayTable[[#This Row],[WBALay]]-LayTable[[#This Row],[Total inns]])</f>
        <v/>
      </c>
      <c r="U18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2" s="48" t="str">
        <f>IFERROR(IF(LayTable[[#This Row],[Total inns]]="","",LayTable[[#This Row],[Rback]]/LayTable[[#This Row],[Total inns]]),"")</f>
        <v/>
      </c>
      <c r="X1862" s="48" t="str">
        <f>IFERROR(IF(LayTable[[#This Row],[Total inns]]="","",LayTable[[#This Row],[Rlay]]/LayTable[[#This Row],[Total inns]]),"")</f>
        <v/>
      </c>
      <c r="Y1862" s="48" t="str">
        <f>IFERROR(LayTable[[#This Row],[Faktisk res]]/LayTable[[#This Row],[Total inns]],"")</f>
        <v/>
      </c>
      <c r="Z1862" s="47">
        <f>(LayTable[[#This Row],[BookieInnsats]]*LayTable[[#This Row],[BookieOdds]]-LayTable[[#This Row],[BookieInnsats]])*(1-LayTable[[#This Row],[C% Bookie]])</f>
        <v>0</v>
      </c>
      <c r="AA1862" s="43">
        <f>LayTable[[#This Row],[LayInnsats]]*(1-LayTable[[#This Row],[C% Lay]])</f>
        <v>0</v>
      </c>
      <c r="AB1862" s="43" t="str">
        <f>IFERROR(IF(LayTable[[#This Row],[Sport]]="",AB1861,LayTable[[#This Row],[Faktisk res]]+AB1861),"")</f>
        <v/>
      </c>
      <c r="AC1862" s="43">
        <f>(LayTable[[#This Row],[BackWin-Commission]]+LayTable[[#This Row],[BookieInnsats]])</f>
        <v>0</v>
      </c>
      <c r="AD1862" s="43" t="e">
        <f>(LayTable[[#This Row],[LayWin-Commission]])+LayTable[[#This Row],[LayLiability]]</f>
        <v>#VALUE!</v>
      </c>
      <c r="AE1862" s="43"/>
      <c r="AF1862" s="181"/>
    </row>
    <row r="1863" spans="1:32">
      <c r="A1863" s="84"/>
      <c r="B1863" s="39"/>
      <c r="C1863" s="40"/>
      <c r="D1863" s="41"/>
      <c r="E1863" s="40"/>
      <c r="F1863" s="41"/>
      <c r="G1863" s="101"/>
      <c r="H1863" s="38"/>
      <c r="I1863" s="42"/>
      <c r="J1863" s="42"/>
      <c r="K1863" s="43"/>
      <c r="L1863" s="43"/>
      <c r="M1863" s="44" t="str">
        <f>IF(LayTable[[#This Row],[Sport]]="","",LayTable[[#This Row],[LayInnsats]]*(LayTable[[#This Row],[LayOdds]]-1))</f>
        <v/>
      </c>
      <c r="N1863" s="45" t="str">
        <f>IF(LayTable[[#This Row],[Sport]]="","",1/((1/LayTable[[#This Row],[BookieOdds]])+(1/((1/((1+((LayTable[[#This Row],[LayOdds]]-1)*(1+LayTable[[#This Row],[C% Lay]])))-1))+1)))-1)</f>
        <v/>
      </c>
      <c r="Q1863" s="46" t="str">
        <f>IF(LayTable[[#This Row],[Sport]]="","",LayTable[[#This Row],[BookieInnsats]]+LayTable[[#This Row],[LayLiability]])</f>
        <v/>
      </c>
      <c r="R18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3" s="47" t="str">
        <f>IF(LayTable[[#This Row],[Utfall bookie]]="","",LayTable[[#This Row],[WBABack]]+LayTable[[#This Row],[WBALay]]-LayTable[[#This Row],[Total inns]])</f>
        <v/>
      </c>
      <c r="U18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3" s="48" t="str">
        <f>IFERROR(IF(LayTable[[#This Row],[Total inns]]="","",LayTable[[#This Row],[Rback]]/LayTable[[#This Row],[Total inns]]),"")</f>
        <v/>
      </c>
      <c r="X1863" s="48" t="str">
        <f>IFERROR(IF(LayTable[[#This Row],[Total inns]]="","",LayTable[[#This Row],[Rlay]]/LayTable[[#This Row],[Total inns]]),"")</f>
        <v/>
      </c>
      <c r="Y1863" s="48" t="str">
        <f>IFERROR(LayTable[[#This Row],[Faktisk res]]/LayTable[[#This Row],[Total inns]],"")</f>
        <v/>
      </c>
      <c r="Z1863" s="47">
        <f>(LayTable[[#This Row],[BookieInnsats]]*LayTable[[#This Row],[BookieOdds]]-LayTable[[#This Row],[BookieInnsats]])*(1-LayTable[[#This Row],[C% Bookie]])</f>
        <v>0</v>
      </c>
      <c r="AA1863" s="43">
        <f>LayTable[[#This Row],[LayInnsats]]*(1-LayTable[[#This Row],[C% Lay]])</f>
        <v>0</v>
      </c>
      <c r="AB1863" s="43" t="str">
        <f>IFERROR(IF(LayTable[[#This Row],[Sport]]="",AB1862,LayTable[[#This Row],[Faktisk res]]+AB1862),"")</f>
        <v/>
      </c>
      <c r="AC1863" s="43">
        <f>(LayTable[[#This Row],[BackWin-Commission]]+LayTable[[#This Row],[BookieInnsats]])</f>
        <v>0</v>
      </c>
      <c r="AD1863" s="43" t="e">
        <f>(LayTable[[#This Row],[LayWin-Commission]])+LayTable[[#This Row],[LayLiability]]</f>
        <v>#VALUE!</v>
      </c>
      <c r="AE1863" s="43"/>
      <c r="AF1863" s="181"/>
    </row>
    <row r="1864" spans="1:32">
      <c r="A1864" s="84"/>
      <c r="B1864" s="39"/>
      <c r="C1864" s="40"/>
      <c r="D1864" s="41"/>
      <c r="E1864" s="40"/>
      <c r="F1864" s="41"/>
      <c r="G1864" s="101"/>
      <c r="H1864" s="38"/>
      <c r="I1864" s="42"/>
      <c r="J1864" s="42"/>
      <c r="K1864" s="43"/>
      <c r="L1864" s="43"/>
      <c r="M1864" s="44" t="str">
        <f>IF(LayTable[[#This Row],[Sport]]="","",LayTable[[#This Row],[LayInnsats]]*(LayTable[[#This Row],[LayOdds]]-1))</f>
        <v/>
      </c>
      <c r="N1864" s="45" t="str">
        <f>IF(LayTable[[#This Row],[Sport]]="","",1/((1/LayTable[[#This Row],[BookieOdds]])+(1/((1/((1+((LayTable[[#This Row],[LayOdds]]-1)*(1+LayTable[[#This Row],[C% Lay]])))-1))+1)))-1)</f>
        <v/>
      </c>
      <c r="Q1864" s="46" t="str">
        <f>IF(LayTable[[#This Row],[Sport]]="","",LayTable[[#This Row],[BookieInnsats]]+LayTable[[#This Row],[LayLiability]])</f>
        <v/>
      </c>
      <c r="R18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4" s="47" t="str">
        <f>IF(LayTable[[#This Row],[Utfall bookie]]="","",LayTable[[#This Row],[WBABack]]+LayTable[[#This Row],[WBALay]]-LayTable[[#This Row],[Total inns]])</f>
        <v/>
      </c>
      <c r="U18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4" s="48" t="str">
        <f>IFERROR(IF(LayTable[[#This Row],[Total inns]]="","",LayTable[[#This Row],[Rback]]/LayTable[[#This Row],[Total inns]]),"")</f>
        <v/>
      </c>
      <c r="X1864" s="48" t="str">
        <f>IFERROR(IF(LayTable[[#This Row],[Total inns]]="","",LayTable[[#This Row],[Rlay]]/LayTable[[#This Row],[Total inns]]),"")</f>
        <v/>
      </c>
      <c r="Y1864" s="48" t="str">
        <f>IFERROR(LayTable[[#This Row],[Faktisk res]]/LayTable[[#This Row],[Total inns]],"")</f>
        <v/>
      </c>
      <c r="Z1864" s="47">
        <f>(LayTable[[#This Row],[BookieInnsats]]*LayTable[[#This Row],[BookieOdds]]-LayTable[[#This Row],[BookieInnsats]])*(1-LayTable[[#This Row],[C% Bookie]])</f>
        <v>0</v>
      </c>
      <c r="AA1864" s="43">
        <f>LayTable[[#This Row],[LayInnsats]]*(1-LayTable[[#This Row],[C% Lay]])</f>
        <v>0</v>
      </c>
      <c r="AB1864" s="43" t="str">
        <f>IFERROR(IF(LayTable[[#This Row],[Sport]]="",AB1863,LayTable[[#This Row],[Faktisk res]]+AB1863),"")</f>
        <v/>
      </c>
      <c r="AC1864" s="43">
        <f>(LayTable[[#This Row],[BackWin-Commission]]+LayTable[[#This Row],[BookieInnsats]])</f>
        <v>0</v>
      </c>
      <c r="AD1864" s="43" t="e">
        <f>(LayTable[[#This Row],[LayWin-Commission]])+LayTable[[#This Row],[LayLiability]]</f>
        <v>#VALUE!</v>
      </c>
      <c r="AE1864" s="43"/>
      <c r="AF1864" s="181"/>
    </row>
    <row r="1865" spans="1:32">
      <c r="A1865" s="84"/>
      <c r="B1865" s="39"/>
      <c r="C1865" s="40"/>
      <c r="D1865" s="41"/>
      <c r="E1865" s="40"/>
      <c r="F1865" s="41"/>
      <c r="G1865" s="101"/>
      <c r="H1865" s="38"/>
      <c r="I1865" s="42"/>
      <c r="J1865" s="42"/>
      <c r="K1865" s="43"/>
      <c r="L1865" s="43"/>
      <c r="M1865" s="44" t="str">
        <f>IF(LayTable[[#This Row],[Sport]]="","",LayTable[[#This Row],[LayInnsats]]*(LayTable[[#This Row],[LayOdds]]-1))</f>
        <v/>
      </c>
      <c r="N1865" s="45" t="str">
        <f>IF(LayTable[[#This Row],[Sport]]="","",1/((1/LayTable[[#This Row],[BookieOdds]])+(1/((1/((1+((LayTable[[#This Row],[LayOdds]]-1)*(1+LayTable[[#This Row],[C% Lay]])))-1))+1)))-1)</f>
        <v/>
      </c>
      <c r="Q1865" s="46" t="str">
        <f>IF(LayTable[[#This Row],[Sport]]="","",LayTable[[#This Row],[BookieInnsats]]+LayTable[[#This Row],[LayLiability]])</f>
        <v/>
      </c>
      <c r="R18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5" s="47" t="str">
        <f>IF(LayTable[[#This Row],[Utfall bookie]]="","",LayTable[[#This Row],[WBABack]]+LayTable[[#This Row],[WBALay]]-LayTable[[#This Row],[Total inns]])</f>
        <v/>
      </c>
      <c r="U18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5" s="48" t="str">
        <f>IFERROR(IF(LayTable[[#This Row],[Total inns]]="","",LayTable[[#This Row],[Rback]]/LayTable[[#This Row],[Total inns]]),"")</f>
        <v/>
      </c>
      <c r="X1865" s="48" t="str">
        <f>IFERROR(IF(LayTable[[#This Row],[Total inns]]="","",LayTable[[#This Row],[Rlay]]/LayTable[[#This Row],[Total inns]]),"")</f>
        <v/>
      </c>
      <c r="Y1865" s="48" t="str">
        <f>IFERROR(LayTable[[#This Row],[Faktisk res]]/LayTable[[#This Row],[Total inns]],"")</f>
        <v/>
      </c>
      <c r="Z1865" s="47">
        <f>(LayTable[[#This Row],[BookieInnsats]]*LayTable[[#This Row],[BookieOdds]]-LayTable[[#This Row],[BookieInnsats]])*(1-LayTable[[#This Row],[C% Bookie]])</f>
        <v>0</v>
      </c>
      <c r="AA1865" s="43">
        <f>LayTable[[#This Row],[LayInnsats]]*(1-LayTable[[#This Row],[C% Lay]])</f>
        <v>0</v>
      </c>
      <c r="AB1865" s="43" t="str">
        <f>IFERROR(IF(LayTable[[#This Row],[Sport]]="",AB1864,LayTable[[#This Row],[Faktisk res]]+AB1864),"")</f>
        <v/>
      </c>
      <c r="AC1865" s="43">
        <f>(LayTable[[#This Row],[BackWin-Commission]]+LayTable[[#This Row],[BookieInnsats]])</f>
        <v>0</v>
      </c>
      <c r="AD1865" s="43" t="e">
        <f>(LayTable[[#This Row],[LayWin-Commission]])+LayTable[[#This Row],[LayLiability]]</f>
        <v>#VALUE!</v>
      </c>
      <c r="AE1865" s="43"/>
      <c r="AF1865" s="181"/>
    </row>
    <row r="1866" spans="1:32">
      <c r="A1866" s="84"/>
      <c r="B1866" s="39"/>
      <c r="C1866" s="40"/>
      <c r="D1866" s="41"/>
      <c r="E1866" s="40"/>
      <c r="F1866" s="41"/>
      <c r="G1866" s="101"/>
      <c r="H1866" s="38"/>
      <c r="I1866" s="42"/>
      <c r="J1866" s="42"/>
      <c r="K1866" s="43"/>
      <c r="L1866" s="43"/>
      <c r="M1866" s="44" t="str">
        <f>IF(LayTable[[#This Row],[Sport]]="","",LayTable[[#This Row],[LayInnsats]]*(LayTable[[#This Row],[LayOdds]]-1))</f>
        <v/>
      </c>
      <c r="N1866" s="45" t="str">
        <f>IF(LayTable[[#This Row],[Sport]]="","",1/((1/LayTable[[#This Row],[BookieOdds]])+(1/((1/((1+((LayTable[[#This Row],[LayOdds]]-1)*(1+LayTable[[#This Row],[C% Lay]])))-1))+1)))-1)</f>
        <v/>
      </c>
      <c r="Q1866" s="46" t="str">
        <f>IF(LayTable[[#This Row],[Sport]]="","",LayTable[[#This Row],[BookieInnsats]]+LayTable[[#This Row],[LayLiability]])</f>
        <v/>
      </c>
      <c r="R18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6" s="47" t="str">
        <f>IF(LayTable[[#This Row],[Utfall bookie]]="","",LayTable[[#This Row],[WBABack]]+LayTable[[#This Row],[WBALay]]-LayTable[[#This Row],[Total inns]])</f>
        <v/>
      </c>
      <c r="U18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6" s="48" t="str">
        <f>IFERROR(IF(LayTable[[#This Row],[Total inns]]="","",LayTable[[#This Row],[Rback]]/LayTable[[#This Row],[Total inns]]),"")</f>
        <v/>
      </c>
      <c r="X1866" s="48" t="str">
        <f>IFERROR(IF(LayTable[[#This Row],[Total inns]]="","",LayTable[[#This Row],[Rlay]]/LayTable[[#This Row],[Total inns]]),"")</f>
        <v/>
      </c>
      <c r="Y1866" s="48" t="str">
        <f>IFERROR(LayTable[[#This Row],[Faktisk res]]/LayTable[[#This Row],[Total inns]],"")</f>
        <v/>
      </c>
      <c r="Z1866" s="47">
        <f>(LayTable[[#This Row],[BookieInnsats]]*LayTable[[#This Row],[BookieOdds]]-LayTable[[#This Row],[BookieInnsats]])*(1-LayTable[[#This Row],[C% Bookie]])</f>
        <v>0</v>
      </c>
      <c r="AA1866" s="43">
        <f>LayTable[[#This Row],[LayInnsats]]*(1-LayTable[[#This Row],[C% Lay]])</f>
        <v>0</v>
      </c>
      <c r="AB1866" s="43" t="str">
        <f>IFERROR(IF(LayTable[[#This Row],[Sport]]="",AB1865,LayTable[[#This Row],[Faktisk res]]+AB1865),"")</f>
        <v/>
      </c>
      <c r="AC1866" s="43">
        <f>(LayTable[[#This Row],[BackWin-Commission]]+LayTable[[#This Row],[BookieInnsats]])</f>
        <v>0</v>
      </c>
      <c r="AD1866" s="43" t="e">
        <f>(LayTable[[#This Row],[LayWin-Commission]])+LayTable[[#This Row],[LayLiability]]</f>
        <v>#VALUE!</v>
      </c>
      <c r="AE1866" s="43"/>
      <c r="AF1866" s="181"/>
    </row>
    <row r="1867" spans="1:32">
      <c r="A1867" s="84"/>
      <c r="B1867" s="39"/>
      <c r="C1867" s="40"/>
      <c r="D1867" s="41"/>
      <c r="E1867" s="40"/>
      <c r="F1867" s="41"/>
      <c r="G1867" s="101"/>
      <c r="H1867" s="38"/>
      <c r="I1867" s="42"/>
      <c r="J1867" s="42"/>
      <c r="K1867" s="43"/>
      <c r="L1867" s="43"/>
      <c r="M1867" s="44" t="str">
        <f>IF(LayTable[[#This Row],[Sport]]="","",LayTable[[#This Row],[LayInnsats]]*(LayTable[[#This Row],[LayOdds]]-1))</f>
        <v/>
      </c>
      <c r="N1867" s="45" t="str">
        <f>IF(LayTable[[#This Row],[Sport]]="","",1/((1/LayTable[[#This Row],[BookieOdds]])+(1/((1/((1+((LayTable[[#This Row],[LayOdds]]-1)*(1+LayTable[[#This Row],[C% Lay]])))-1))+1)))-1)</f>
        <v/>
      </c>
      <c r="Q1867" s="46" t="str">
        <f>IF(LayTable[[#This Row],[Sport]]="","",LayTable[[#This Row],[BookieInnsats]]+LayTable[[#This Row],[LayLiability]])</f>
        <v/>
      </c>
      <c r="R18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7" s="47" t="str">
        <f>IF(LayTable[[#This Row],[Utfall bookie]]="","",LayTable[[#This Row],[WBABack]]+LayTable[[#This Row],[WBALay]]-LayTable[[#This Row],[Total inns]])</f>
        <v/>
      </c>
      <c r="U18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7" s="48" t="str">
        <f>IFERROR(IF(LayTable[[#This Row],[Total inns]]="","",LayTable[[#This Row],[Rback]]/LayTable[[#This Row],[Total inns]]),"")</f>
        <v/>
      </c>
      <c r="X1867" s="48" t="str">
        <f>IFERROR(IF(LayTable[[#This Row],[Total inns]]="","",LayTable[[#This Row],[Rlay]]/LayTable[[#This Row],[Total inns]]),"")</f>
        <v/>
      </c>
      <c r="Y1867" s="48" t="str">
        <f>IFERROR(LayTable[[#This Row],[Faktisk res]]/LayTable[[#This Row],[Total inns]],"")</f>
        <v/>
      </c>
      <c r="Z1867" s="47">
        <f>(LayTable[[#This Row],[BookieInnsats]]*LayTable[[#This Row],[BookieOdds]]-LayTable[[#This Row],[BookieInnsats]])*(1-LayTable[[#This Row],[C% Bookie]])</f>
        <v>0</v>
      </c>
      <c r="AA1867" s="43">
        <f>LayTable[[#This Row],[LayInnsats]]*(1-LayTable[[#This Row],[C% Lay]])</f>
        <v>0</v>
      </c>
      <c r="AB1867" s="43" t="str">
        <f>IFERROR(IF(LayTable[[#This Row],[Sport]]="",AB1866,LayTable[[#This Row],[Faktisk res]]+AB1866),"")</f>
        <v/>
      </c>
      <c r="AC1867" s="43">
        <f>(LayTable[[#This Row],[BackWin-Commission]]+LayTable[[#This Row],[BookieInnsats]])</f>
        <v>0</v>
      </c>
      <c r="AD1867" s="43" t="e">
        <f>(LayTable[[#This Row],[LayWin-Commission]])+LayTable[[#This Row],[LayLiability]]</f>
        <v>#VALUE!</v>
      </c>
      <c r="AE1867" s="43"/>
      <c r="AF1867" s="181"/>
    </row>
    <row r="1868" spans="1:32">
      <c r="A1868" s="84"/>
      <c r="B1868" s="39"/>
      <c r="C1868" s="40"/>
      <c r="D1868" s="41"/>
      <c r="E1868" s="40"/>
      <c r="F1868" s="41"/>
      <c r="G1868" s="101"/>
      <c r="H1868" s="38"/>
      <c r="I1868" s="42"/>
      <c r="J1868" s="42"/>
      <c r="K1868" s="43"/>
      <c r="L1868" s="43"/>
      <c r="M1868" s="44" t="str">
        <f>IF(LayTable[[#This Row],[Sport]]="","",LayTable[[#This Row],[LayInnsats]]*(LayTable[[#This Row],[LayOdds]]-1))</f>
        <v/>
      </c>
      <c r="N1868" s="45" t="str">
        <f>IF(LayTable[[#This Row],[Sport]]="","",1/((1/LayTable[[#This Row],[BookieOdds]])+(1/((1/((1+((LayTable[[#This Row],[LayOdds]]-1)*(1+LayTable[[#This Row],[C% Lay]])))-1))+1)))-1)</f>
        <v/>
      </c>
      <c r="Q1868" s="46" t="str">
        <f>IF(LayTable[[#This Row],[Sport]]="","",LayTable[[#This Row],[BookieInnsats]]+LayTable[[#This Row],[LayLiability]])</f>
        <v/>
      </c>
      <c r="R18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8" s="47" t="str">
        <f>IF(LayTable[[#This Row],[Utfall bookie]]="","",LayTable[[#This Row],[WBABack]]+LayTable[[#This Row],[WBALay]]-LayTable[[#This Row],[Total inns]])</f>
        <v/>
      </c>
      <c r="U18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8" s="48" t="str">
        <f>IFERROR(IF(LayTable[[#This Row],[Total inns]]="","",LayTable[[#This Row],[Rback]]/LayTable[[#This Row],[Total inns]]),"")</f>
        <v/>
      </c>
      <c r="X1868" s="48" t="str">
        <f>IFERROR(IF(LayTable[[#This Row],[Total inns]]="","",LayTable[[#This Row],[Rlay]]/LayTable[[#This Row],[Total inns]]),"")</f>
        <v/>
      </c>
      <c r="Y1868" s="48" t="str">
        <f>IFERROR(LayTable[[#This Row],[Faktisk res]]/LayTable[[#This Row],[Total inns]],"")</f>
        <v/>
      </c>
      <c r="Z1868" s="47">
        <f>(LayTable[[#This Row],[BookieInnsats]]*LayTable[[#This Row],[BookieOdds]]-LayTable[[#This Row],[BookieInnsats]])*(1-LayTable[[#This Row],[C% Bookie]])</f>
        <v>0</v>
      </c>
      <c r="AA1868" s="43">
        <f>LayTable[[#This Row],[LayInnsats]]*(1-LayTable[[#This Row],[C% Lay]])</f>
        <v>0</v>
      </c>
      <c r="AB1868" s="43" t="str">
        <f>IFERROR(IF(LayTable[[#This Row],[Sport]]="",AB1867,LayTable[[#This Row],[Faktisk res]]+AB1867),"")</f>
        <v/>
      </c>
      <c r="AC1868" s="43">
        <f>(LayTable[[#This Row],[BackWin-Commission]]+LayTable[[#This Row],[BookieInnsats]])</f>
        <v>0</v>
      </c>
      <c r="AD1868" s="43" t="e">
        <f>(LayTable[[#This Row],[LayWin-Commission]])+LayTable[[#This Row],[LayLiability]]</f>
        <v>#VALUE!</v>
      </c>
      <c r="AE1868" s="43"/>
      <c r="AF1868" s="181"/>
    </row>
    <row r="1869" spans="1:32">
      <c r="A1869" s="84"/>
      <c r="B1869" s="39"/>
      <c r="C1869" s="40"/>
      <c r="D1869" s="41"/>
      <c r="E1869" s="40"/>
      <c r="F1869" s="41"/>
      <c r="G1869" s="101"/>
      <c r="H1869" s="38"/>
      <c r="I1869" s="42"/>
      <c r="J1869" s="42"/>
      <c r="K1869" s="43"/>
      <c r="L1869" s="43"/>
      <c r="M1869" s="44" t="str">
        <f>IF(LayTable[[#This Row],[Sport]]="","",LayTable[[#This Row],[LayInnsats]]*(LayTable[[#This Row],[LayOdds]]-1))</f>
        <v/>
      </c>
      <c r="N1869" s="45" t="str">
        <f>IF(LayTable[[#This Row],[Sport]]="","",1/((1/LayTable[[#This Row],[BookieOdds]])+(1/((1/((1+((LayTable[[#This Row],[LayOdds]]-1)*(1+LayTable[[#This Row],[C% Lay]])))-1))+1)))-1)</f>
        <v/>
      </c>
      <c r="Q1869" s="46" t="str">
        <f>IF(LayTable[[#This Row],[Sport]]="","",LayTable[[#This Row],[BookieInnsats]]+LayTable[[#This Row],[LayLiability]])</f>
        <v/>
      </c>
      <c r="R18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69" s="47" t="str">
        <f>IF(LayTable[[#This Row],[Utfall bookie]]="","",LayTable[[#This Row],[WBABack]]+LayTable[[#This Row],[WBALay]]-LayTable[[#This Row],[Total inns]])</f>
        <v/>
      </c>
      <c r="U18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69" s="48" t="str">
        <f>IFERROR(IF(LayTable[[#This Row],[Total inns]]="","",LayTable[[#This Row],[Rback]]/LayTable[[#This Row],[Total inns]]),"")</f>
        <v/>
      </c>
      <c r="X1869" s="48" t="str">
        <f>IFERROR(IF(LayTable[[#This Row],[Total inns]]="","",LayTable[[#This Row],[Rlay]]/LayTable[[#This Row],[Total inns]]),"")</f>
        <v/>
      </c>
      <c r="Y1869" s="48" t="str">
        <f>IFERROR(LayTable[[#This Row],[Faktisk res]]/LayTable[[#This Row],[Total inns]],"")</f>
        <v/>
      </c>
      <c r="Z1869" s="47">
        <f>(LayTable[[#This Row],[BookieInnsats]]*LayTable[[#This Row],[BookieOdds]]-LayTable[[#This Row],[BookieInnsats]])*(1-LayTable[[#This Row],[C% Bookie]])</f>
        <v>0</v>
      </c>
      <c r="AA1869" s="43">
        <f>LayTable[[#This Row],[LayInnsats]]*(1-LayTable[[#This Row],[C% Lay]])</f>
        <v>0</v>
      </c>
      <c r="AB1869" s="43" t="str">
        <f>IFERROR(IF(LayTable[[#This Row],[Sport]]="",AB1868,LayTable[[#This Row],[Faktisk res]]+AB1868),"")</f>
        <v/>
      </c>
      <c r="AC1869" s="43">
        <f>(LayTable[[#This Row],[BackWin-Commission]]+LayTable[[#This Row],[BookieInnsats]])</f>
        <v>0</v>
      </c>
      <c r="AD1869" s="43" t="e">
        <f>(LayTable[[#This Row],[LayWin-Commission]])+LayTable[[#This Row],[LayLiability]]</f>
        <v>#VALUE!</v>
      </c>
      <c r="AE1869" s="43"/>
      <c r="AF1869" s="181"/>
    </row>
    <row r="1870" spans="1:32">
      <c r="A1870" s="84"/>
      <c r="B1870" s="39"/>
      <c r="C1870" s="40"/>
      <c r="D1870" s="41"/>
      <c r="E1870" s="40"/>
      <c r="F1870" s="41"/>
      <c r="G1870" s="101"/>
      <c r="H1870" s="38"/>
      <c r="I1870" s="42"/>
      <c r="J1870" s="42"/>
      <c r="K1870" s="43"/>
      <c r="L1870" s="43"/>
      <c r="M1870" s="44" t="str">
        <f>IF(LayTable[[#This Row],[Sport]]="","",LayTable[[#This Row],[LayInnsats]]*(LayTable[[#This Row],[LayOdds]]-1))</f>
        <v/>
      </c>
      <c r="N1870" s="45" t="str">
        <f>IF(LayTable[[#This Row],[Sport]]="","",1/((1/LayTable[[#This Row],[BookieOdds]])+(1/((1/((1+((LayTable[[#This Row],[LayOdds]]-1)*(1+LayTable[[#This Row],[C% Lay]])))-1))+1)))-1)</f>
        <v/>
      </c>
      <c r="Q1870" s="46" t="str">
        <f>IF(LayTable[[#This Row],[Sport]]="","",LayTable[[#This Row],[BookieInnsats]]+LayTable[[#This Row],[LayLiability]])</f>
        <v/>
      </c>
      <c r="R18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0" s="47" t="str">
        <f>IF(LayTable[[#This Row],[Utfall bookie]]="","",LayTable[[#This Row],[WBABack]]+LayTable[[#This Row],[WBALay]]-LayTable[[#This Row],[Total inns]])</f>
        <v/>
      </c>
      <c r="U18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0" s="48" t="str">
        <f>IFERROR(IF(LayTable[[#This Row],[Total inns]]="","",LayTable[[#This Row],[Rback]]/LayTable[[#This Row],[Total inns]]),"")</f>
        <v/>
      </c>
      <c r="X1870" s="48" t="str">
        <f>IFERROR(IF(LayTable[[#This Row],[Total inns]]="","",LayTable[[#This Row],[Rlay]]/LayTable[[#This Row],[Total inns]]),"")</f>
        <v/>
      </c>
      <c r="Y1870" s="48" t="str">
        <f>IFERROR(LayTable[[#This Row],[Faktisk res]]/LayTable[[#This Row],[Total inns]],"")</f>
        <v/>
      </c>
      <c r="Z1870" s="47">
        <f>(LayTable[[#This Row],[BookieInnsats]]*LayTable[[#This Row],[BookieOdds]]-LayTable[[#This Row],[BookieInnsats]])*(1-LayTable[[#This Row],[C% Bookie]])</f>
        <v>0</v>
      </c>
      <c r="AA1870" s="43">
        <f>LayTable[[#This Row],[LayInnsats]]*(1-LayTable[[#This Row],[C% Lay]])</f>
        <v>0</v>
      </c>
      <c r="AB1870" s="43" t="str">
        <f>IFERROR(IF(LayTable[[#This Row],[Sport]]="",AB1869,LayTable[[#This Row],[Faktisk res]]+AB1869),"")</f>
        <v/>
      </c>
      <c r="AC1870" s="43">
        <f>(LayTable[[#This Row],[BackWin-Commission]]+LayTable[[#This Row],[BookieInnsats]])</f>
        <v>0</v>
      </c>
      <c r="AD1870" s="43" t="e">
        <f>(LayTable[[#This Row],[LayWin-Commission]])+LayTable[[#This Row],[LayLiability]]</f>
        <v>#VALUE!</v>
      </c>
      <c r="AE1870" s="43"/>
      <c r="AF1870" s="181"/>
    </row>
    <row r="1871" spans="1:32">
      <c r="A1871" s="84"/>
      <c r="B1871" s="39"/>
      <c r="C1871" s="40"/>
      <c r="D1871" s="41"/>
      <c r="E1871" s="40"/>
      <c r="F1871" s="41"/>
      <c r="G1871" s="101"/>
      <c r="H1871" s="38"/>
      <c r="I1871" s="42"/>
      <c r="J1871" s="42"/>
      <c r="K1871" s="43"/>
      <c r="L1871" s="43"/>
      <c r="M1871" s="44" t="str">
        <f>IF(LayTable[[#This Row],[Sport]]="","",LayTable[[#This Row],[LayInnsats]]*(LayTable[[#This Row],[LayOdds]]-1))</f>
        <v/>
      </c>
      <c r="N1871" s="45" t="str">
        <f>IF(LayTable[[#This Row],[Sport]]="","",1/((1/LayTable[[#This Row],[BookieOdds]])+(1/((1/((1+((LayTable[[#This Row],[LayOdds]]-1)*(1+LayTable[[#This Row],[C% Lay]])))-1))+1)))-1)</f>
        <v/>
      </c>
      <c r="Q1871" s="46" t="str">
        <f>IF(LayTable[[#This Row],[Sport]]="","",LayTable[[#This Row],[BookieInnsats]]+LayTable[[#This Row],[LayLiability]])</f>
        <v/>
      </c>
      <c r="R18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1" s="47" t="str">
        <f>IF(LayTable[[#This Row],[Utfall bookie]]="","",LayTable[[#This Row],[WBABack]]+LayTable[[#This Row],[WBALay]]-LayTable[[#This Row],[Total inns]])</f>
        <v/>
      </c>
      <c r="U18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1" s="48" t="str">
        <f>IFERROR(IF(LayTable[[#This Row],[Total inns]]="","",LayTable[[#This Row],[Rback]]/LayTable[[#This Row],[Total inns]]),"")</f>
        <v/>
      </c>
      <c r="X1871" s="48" t="str">
        <f>IFERROR(IF(LayTable[[#This Row],[Total inns]]="","",LayTable[[#This Row],[Rlay]]/LayTable[[#This Row],[Total inns]]),"")</f>
        <v/>
      </c>
      <c r="Y1871" s="48" t="str">
        <f>IFERROR(LayTable[[#This Row],[Faktisk res]]/LayTable[[#This Row],[Total inns]],"")</f>
        <v/>
      </c>
      <c r="Z1871" s="47">
        <f>(LayTable[[#This Row],[BookieInnsats]]*LayTable[[#This Row],[BookieOdds]]-LayTable[[#This Row],[BookieInnsats]])*(1-LayTable[[#This Row],[C% Bookie]])</f>
        <v>0</v>
      </c>
      <c r="AA1871" s="43">
        <f>LayTable[[#This Row],[LayInnsats]]*(1-LayTable[[#This Row],[C% Lay]])</f>
        <v>0</v>
      </c>
      <c r="AB1871" s="43" t="str">
        <f>IFERROR(IF(LayTable[[#This Row],[Sport]]="",AB1870,LayTable[[#This Row],[Faktisk res]]+AB1870),"")</f>
        <v/>
      </c>
      <c r="AC1871" s="43">
        <f>(LayTable[[#This Row],[BackWin-Commission]]+LayTable[[#This Row],[BookieInnsats]])</f>
        <v>0</v>
      </c>
      <c r="AD1871" s="43" t="e">
        <f>(LayTable[[#This Row],[LayWin-Commission]])+LayTable[[#This Row],[LayLiability]]</f>
        <v>#VALUE!</v>
      </c>
      <c r="AE1871" s="43"/>
      <c r="AF1871" s="181"/>
    </row>
    <row r="1872" spans="1:32">
      <c r="A1872" s="84"/>
      <c r="B1872" s="39"/>
      <c r="C1872" s="40"/>
      <c r="D1872" s="41"/>
      <c r="E1872" s="40"/>
      <c r="F1872" s="41"/>
      <c r="G1872" s="101"/>
      <c r="H1872" s="38"/>
      <c r="I1872" s="42"/>
      <c r="J1872" s="42"/>
      <c r="K1872" s="43"/>
      <c r="L1872" s="43"/>
      <c r="M1872" s="44" t="str">
        <f>IF(LayTable[[#This Row],[Sport]]="","",LayTable[[#This Row],[LayInnsats]]*(LayTable[[#This Row],[LayOdds]]-1))</f>
        <v/>
      </c>
      <c r="N1872" s="45" t="str">
        <f>IF(LayTable[[#This Row],[Sport]]="","",1/((1/LayTable[[#This Row],[BookieOdds]])+(1/((1/((1+((LayTable[[#This Row],[LayOdds]]-1)*(1+LayTable[[#This Row],[C% Lay]])))-1))+1)))-1)</f>
        <v/>
      </c>
      <c r="Q1872" s="46" t="str">
        <f>IF(LayTable[[#This Row],[Sport]]="","",LayTable[[#This Row],[BookieInnsats]]+LayTable[[#This Row],[LayLiability]])</f>
        <v/>
      </c>
      <c r="R18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2" s="47" t="str">
        <f>IF(LayTable[[#This Row],[Utfall bookie]]="","",LayTable[[#This Row],[WBABack]]+LayTable[[#This Row],[WBALay]]-LayTable[[#This Row],[Total inns]])</f>
        <v/>
      </c>
      <c r="U18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2" s="48" t="str">
        <f>IFERROR(IF(LayTable[[#This Row],[Total inns]]="","",LayTable[[#This Row],[Rback]]/LayTable[[#This Row],[Total inns]]),"")</f>
        <v/>
      </c>
      <c r="X1872" s="48" t="str">
        <f>IFERROR(IF(LayTable[[#This Row],[Total inns]]="","",LayTable[[#This Row],[Rlay]]/LayTable[[#This Row],[Total inns]]),"")</f>
        <v/>
      </c>
      <c r="Y1872" s="48" t="str">
        <f>IFERROR(LayTable[[#This Row],[Faktisk res]]/LayTable[[#This Row],[Total inns]],"")</f>
        <v/>
      </c>
      <c r="Z1872" s="47">
        <f>(LayTable[[#This Row],[BookieInnsats]]*LayTable[[#This Row],[BookieOdds]]-LayTable[[#This Row],[BookieInnsats]])*(1-LayTable[[#This Row],[C% Bookie]])</f>
        <v>0</v>
      </c>
      <c r="AA1872" s="43">
        <f>LayTable[[#This Row],[LayInnsats]]*(1-LayTable[[#This Row],[C% Lay]])</f>
        <v>0</v>
      </c>
      <c r="AB1872" s="43" t="str">
        <f>IFERROR(IF(LayTable[[#This Row],[Sport]]="",AB1871,LayTable[[#This Row],[Faktisk res]]+AB1871),"")</f>
        <v/>
      </c>
      <c r="AC1872" s="43">
        <f>(LayTable[[#This Row],[BackWin-Commission]]+LayTable[[#This Row],[BookieInnsats]])</f>
        <v>0</v>
      </c>
      <c r="AD1872" s="43" t="e">
        <f>(LayTable[[#This Row],[LayWin-Commission]])+LayTable[[#This Row],[LayLiability]]</f>
        <v>#VALUE!</v>
      </c>
      <c r="AE1872" s="43"/>
      <c r="AF1872" s="181"/>
    </row>
    <row r="1873" spans="1:32">
      <c r="A1873" s="84"/>
      <c r="B1873" s="39"/>
      <c r="C1873" s="40"/>
      <c r="D1873" s="41"/>
      <c r="E1873" s="40"/>
      <c r="F1873" s="41"/>
      <c r="G1873" s="101"/>
      <c r="H1873" s="38"/>
      <c r="I1873" s="42"/>
      <c r="J1873" s="42"/>
      <c r="K1873" s="43"/>
      <c r="L1873" s="43"/>
      <c r="M1873" s="44" t="str">
        <f>IF(LayTable[[#This Row],[Sport]]="","",LayTable[[#This Row],[LayInnsats]]*(LayTable[[#This Row],[LayOdds]]-1))</f>
        <v/>
      </c>
      <c r="N1873" s="45" t="str">
        <f>IF(LayTable[[#This Row],[Sport]]="","",1/((1/LayTable[[#This Row],[BookieOdds]])+(1/((1/((1+((LayTable[[#This Row],[LayOdds]]-1)*(1+LayTable[[#This Row],[C% Lay]])))-1))+1)))-1)</f>
        <v/>
      </c>
      <c r="Q1873" s="46" t="str">
        <f>IF(LayTable[[#This Row],[Sport]]="","",LayTable[[#This Row],[BookieInnsats]]+LayTable[[#This Row],[LayLiability]])</f>
        <v/>
      </c>
      <c r="R18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3" s="47" t="str">
        <f>IF(LayTable[[#This Row],[Utfall bookie]]="","",LayTable[[#This Row],[WBABack]]+LayTable[[#This Row],[WBALay]]-LayTable[[#This Row],[Total inns]])</f>
        <v/>
      </c>
      <c r="U18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3" s="48" t="str">
        <f>IFERROR(IF(LayTable[[#This Row],[Total inns]]="","",LayTable[[#This Row],[Rback]]/LayTable[[#This Row],[Total inns]]),"")</f>
        <v/>
      </c>
      <c r="X1873" s="48" t="str">
        <f>IFERROR(IF(LayTable[[#This Row],[Total inns]]="","",LayTable[[#This Row],[Rlay]]/LayTable[[#This Row],[Total inns]]),"")</f>
        <v/>
      </c>
      <c r="Y1873" s="48" t="str">
        <f>IFERROR(LayTable[[#This Row],[Faktisk res]]/LayTable[[#This Row],[Total inns]],"")</f>
        <v/>
      </c>
      <c r="Z1873" s="47">
        <f>(LayTable[[#This Row],[BookieInnsats]]*LayTable[[#This Row],[BookieOdds]]-LayTable[[#This Row],[BookieInnsats]])*(1-LayTable[[#This Row],[C% Bookie]])</f>
        <v>0</v>
      </c>
      <c r="AA1873" s="43">
        <f>LayTable[[#This Row],[LayInnsats]]*(1-LayTable[[#This Row],[C% Lay]])</f>
        <v>0</v>
      </c>
      <c r="AB1873" s="43" t="str">
        <f>IFERROR(IF(LayTable[[#This Row],[Sport]]="",AB1872,LayTable[[#This Row],[Faktisk res]]+AB1872),"")</f>
        <v/>
      </c>
      <c r="AC1873" s="43">
        <f>(LayTable[[#This Row],[BackWin-Commission]]+LayTable[[#This Row],[BookieInnsats]])</f>
        <v>0</v>
      </c>
      <c r="AD1873" s="43" t="e">
        <f>(LayTable[[#This Row],[LayWin-Commission]])+LayTable[[#This Row],[LayLiability]]</f>
        <v>#VALUE!</v>
      </c>
      <c r="AE1873" s="43"/>
      <c r="AF1873" s="181"/>
    </row>
    <row r="1874" spans="1:32">
      <c r="A1874" s="84"/>
      <c r="B1874" s="39"/>
      <c r="C1874" s="40"/>
      <c r="D1874" s="41"/>
      <c r="E1874" s="40"/>
      <c r="F1874" s="41"/>
      <c r="G1874" s="101"/>
      <c r="H1874" s="38"/>
      <c r="I1874" s="42"/>
      <c r="J1874" s="42"/>
      <c r="K1874" s="43"/>
      <c r="L1874" s="43"/>
      <c r="M1874" s="44" t="str">
        <f>IF(LayTable[[#This Row],[Sport]]="","",LayTable[[#This Row],[LayInnsats]]*(LayTable[[#This Row],[LayOdds]]-1))</f>
        <v/>
      </c>
      <c r="N1874" s="45" t="str">
        <f>IF(LayTable[[#This Row],[Sport]]="","",1/((1/LayTable[[#This Row],[BookieOdds]])+(1/((1/((1+((LayTable[[#This Row],[LayOdds]]-1)*(1+LayTable[[#This Row],[C% Lay]])))-1))+1)))-1)</f>
        <v/>
      </c>
      <c r="Q1874" s="46" t="str">
        <f>IF(LayTable[[#This Row],[Sport]]="","",LayTable[[#This Row],[BookieInnsats]]+LayTable[[#This Row],[LayLiability]])</f>
        <v/>
      </c>
      <c r="R18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4" s="47" t="str">
        <f>IF(LayTable[[#This Row],[Utfall bookie]]="","",LayTable[[#This Row],[WBABack]]+LayTable[[#This Row],[WBALay]]-LayTable[[#This Row],[Total inns]])</f>
        <v/>
      </c>
      <c r="U18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4" s="48" t="str">
        <f>IFERROR(IF(LayTable[[#This Row],[Total inns]]="","",LayTable[[#This Row],[Rback]]/LayTable[[#This Row],[Total inns]]),"")</f>
        <v/>
      </c>
      <c r="X1874" s="48" t="str">
        <f>IFERROR(IF(LayTable[[#This Row],[Total inns]]="","",LayTable[[#This Row],[Rlay]]/LayTable[[#This Row],[Total inns]]),"")</f>
        <v/>
      </c>
      <c r="Y1874" s="48" t="str">
        <f>IFERROR(LayTable[[#This Row],[Faktisk res]]/LayTable[[#This Row],[Total inns]],"")</f>
        <v/>
      </c>
      <c r="Z1874" s="47">
        <f>(LayTable[[#This Row],[BookieInnsats]]*LayTable[[#This Row],[BookieOdds]]-LayTable[[#This Row],[BookieInnsats]])*(1-LayTable[[#This Row],[C% Bookie]])</f>
        <v>0</v>
      </c>
      <c r="AA1874" s="43">
        <f>LayTable[[#This Row],[LayInnsats]]*(1-LayTable[[#This Row],[C% Lay]])</f>
        <v>0</v>
      </c>
      <c r="AB1874" s="43" t="str">
        <f>IFERROR(IF(LayTable[[#This Row],[Sport]]="",AB1873,LayTable[[#This Row],[Faktisk res]]+AB1873),"")</f>
        <v/>
      </c>
      <c r="AC1874" s="43">
        <f>(LayTable[[#This Row],[BackWin-Commission]]+LayTable[[#This Row],[BookieInnsats]])</f>
        <v>0</v>
      </c>
      <c r="AD1874" s="43" t="e">
        <f>(LayTable[[#This Row],[LayWin-Commission]])+LayTable[[#This Row],[LayLiability]]</f>
        <v>#VALUE!</v>
      </c>
      <c r="AE1874" s="43"/>
      <c r="AF1874" s="181"/>
    </row>
    <row r="1875" spans="1:32">
      <c r="A1875" s="84"/>
      <c r="B1875" s="39"/>
      <c r="C1875" s="40"/>
      <c r="D1875" s="41"/>
      <c r="E1875" s="40"/>
      <c r="F1875" s="41"/>
      <c r="G1875" s="101"/>
      <c r="H1875" s="38"/>
      <c r="I1875" s="42"/>
      <c r="J1875" s="42"/>
      <c r="K1875" s="43"/>
      <c r="L1875" s="43"/>
      <c r="M1875" s="44" t="str">
        <f>IF(LayTable[[#This Row],[Sport]]="","",LayTable[[#This Row],[LayInnsats]]*(LayTable[[#This Row],[LayOdds]]-1))</f>
        <v/>
      </c>
      <c r="N1875" s="45" t="str">
        <f>IF(LayTable[[#This Row],[Sport]]="","",1/((1/LayTable[[#This Row],[BookieOdds]])+(1/((1/((1+((LayTable[[#This Row],[LayOdds]]-1)*(1+LayTable[[#This Row],[C% Lay]])))-1))+1)))-1)</f>
        <v/>
      </c>
      <c r="Q1875" s="46" t="str">
        <f>IF(LayTable[[#This Row],[Sport]]="","",LayTable[[#This Row],[BookieInnsats]]+LayTable[[#This Row],[LayLiability]])</f>
        <v/>
      </c>
      <c r="R18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5" s="47" t="str">
        <f>IF(LayTable[[#This Row],[Utfall bookie]]="","",LayTable[[#This Row],[WBABack]]+LayTable[[#This Row],[WBALay]]-LayTable[[#This Row],[Total inns]])</f>
        <v/>
      </c>
      <c r="U18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5" s="48" t="str">
        <f>IFERROR(IF(LayTable[[#This Row],[Total inns]]="","",LayTable[[#This Row],[Rback]]/LayTable[[#This Row],[Total inns]]),"")</f>
        <v/>
      </c>
      <c r="X1875" s="48" t="str">
        <f>IFERROR(IF(LayTable[[#This Row],[Total inns]]="","",LayTable[[#This Row],[Rlay]]/LayTable[[#This Row],[Total inns]]),"")</f>
        <v/>
      </c>
      <c r="Y1875" s="48" t="str">
        <f>IFERROR(LayTable[[#This Row],[Faktisk res]]/LayTable[[#This Row],[Total inns]],"")</f>
        <v/>
      </c>
      <c r="Z1875" s="47">
        <f>(LayTable[[#This Row],[BookieInnsats]]*LayTable[[#This Row],[BookieOdds]]-LayTable[[#This Row],[BookieInnsats]])*(1-LayTable[[#This Row],[C% Bookie]])</f>
        <v>0</v>
      </c>
      <c r="AA1875" s="43">
        <f>LayTable[[#This Row],[LayInnsats]]*(1-LayTable[[#This Row],[C% Lay]])</f>
        <v>0</v>
      </c>
      <c r="AB1875" s="43" t="str">
        <f>IFERROR(IF(LayTable[[#This Row],[Sport]]="",AB1874,LayTable[[#This Row],[Faktisk res]]+AB1874),"")</f>
        <v/>
      </c>
      <c r="AC1875" s="43">
        <f>(LayTable[[#This Row],[BackWin-Commission]]+LayTable[[#This Row],[BookieInnsats]])</f>
        <v>0</v>
      </c>
      <c r="AD1875" s="43" t="e">
        <f>(LayTable[[#This Row],[LayWin-Commission]])+LayTable[[#This Row],[LayLiability]]</f>
        <v>#VALUE!</v>
      </c>
      <c r="AE1875" s="43"/>
      <c r="AF1875" s="181"/>
    </row>
    <row r="1876" spans="1:32">
      <c r="A1876" s="84"/>
      <c r="B1876" s="39"/>
      <c r="C1876" s="40"/>
      <c r="D1876" s="41"/>
      <c r="E1876" s="40"/>
      <c r="F1876" s="41"/>
      <c r="G1876" s="101"/>
      <c r="H1876" s="38"/>
      <c r="I1876" s="42"/>
      <c r="J1876" s="42"/>
      <c r="K1876" s="43"/>
      <c r="L1876" s="43"/>
      <c r="M1876" s="44" t="str">
        <f>IF(LayTable[[#This Row],[Sport]]="","",LayTable[[#This Row],[LayInnsats]]*(LayTable[[#This Row],[LayOdds]]-1))</f>
        <v/>
      </c>
      <c r="N1876" s="45" t="str">
        <f>IF(LayTable[[#This Row],[Sport]]="","",1/((1/LayTable[[#This Row],[BookieOdds]])+(1/((1/((1+((LayTable[[#This Row],[LayOdds]]-1)*(1+LayTable[[#This Row],[C% Lay]])))-1))+1)))-1)</f>
        <v/>
      </c>
      <c r="Q1876" s="46" t="str">
        <f>IF(LayTable[[#This Row],[Sport]]="","",LayTable[[#This Row],[BookieInnsats]]+LayTable[[#This Row],[LayLiability]])</f>
        <v/>
      </c>
      <c r="R18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6" s="47" t="str">
        <f>IF(LayTable[[#This Row],[Utfall bookie]]="","",LayTable[[#This Row],[WBABack]]+LayTable[[#This Row],[WBALay]]-LayTable[[#This Row],[Total inns]])</f>
        <v/>
      </c>
      <c r="U18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6" s="48" t="str">
        <f>IFERROR(IF(LayTable[[#This Row],[Total inns]]="","",LayTable[[#This Row],[Rback]]/LayTable[[#This Row],[Total inns]]),"")</f>
        <v/>
      </c>
      <c r="X1876" s="48" t="str">
        <f>IFERROR(IF(LayTable[[#This Row],[Total inns]]="","",LayTable[[#This Row],[Rlay]]/LayTable[[#This Row],[Total inns]]),"")</f>
        <v/>
      </c>
      <c r="Y1876" s="48" t="str">
        <f>IFERROR(LayTable[[#This Row],[Faktisk res]]/LayTable[[#This Row],[Total inns]],"")</f>
        <v/>
      </c>
      <c r="Z1876" s="47">
        <f>(LayTable[[#This Row],[BookieInnsats]]*LayTable[[#This Row],[BookieOdds]]-LayTable[[#This Row],[BookieInnsats]])*(1-LayTable[[#This Row],[C% Bookie]])</f>
        <v>0</v>
      </c>
      <c r="AA1876" s="43">
        <f>LayTable[[#This Row],[LayInnsats]]*(1-LayTable[[#This Row],[C% Lay]])</f>
        <v>0</v>
      </c>
      <c r="AB1876" s="43" t="str">
        <f>IFERROR(IF(LayTable[[#This Row],[Sport]]="",AB1875,LayTable[[#This Row],[Faktisk res]]+AB1875),"")</f>
        <v/>
      </c>
      <c r="AC1876" s="43">
        <f>(LayTable[[#This Row],[BackWin-Commission]]+LayTable[[#This Row],[BookieInnsats]])</f>
        <v>0</v>
      </c>
      <c r="AD1876" s="43" t="e">
        <f>(LayTable[[#This Row],[LayWin-Commission]])+LayTable[[#This Row],[LayLiability]]</f>
        <v>#VALUE!</v>
      </c>
      <c r="AE1876" s="43"/>
      <c r="AF1876" s="181"/>
    </row>
    <row r="1877" spans="1:32">
      <c r="A1877" s="84"/>
      <c r="B1877" s="39"/>
      <c r="C1877" s="40"/>
      <c r="D1877" s="41"/>
      <c r="E1877" s="40"/>
      <c r="F1877" s="41"/>
      <c r="G1877" s="101"/>
      <c r="H1877" s="38"/>
      <c r="I1877" s="42"/>
      <c r="J1877" s="42"/>
      <c r="K1877" s="43"/>
      <c r="L1877" s="43"/>
      <c r="M1877" s="44" t="str">
        <f>IF(LayTable[[#This Row],[Sport]]="","",LayTable[[#This Row],[LayInnsats]]*(LayTable[[#This Row],[LayOdds]]-1))</f>
        <v/>
      </c>
      <c r="N1877" s="45" t="str">
        <f>IF(LayTable[[#This Row],[Sport]]="","",1/((1/LayTable[[#This Row],[BookieOdds]])+(1/((1/((1+((LayTable[[#This Row],[LayOdds]]-1)*(1+LayTable[[#This Row],[C% Lay]])))-1))+1)))-1)</f>
        <v/>
      </c>
      <c r="Q1877" s="46" t="str">
        <f>IF(LayTable[[#This Row],[Sport]]="","",LayTable[[#This Row],[BookieInnsats]]+LayTable[[#This Row],[LayLiability]])</f>
        <v/>
      </c>
      <c r="R18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7" s="47" t="str">
        <f>IF(LayTable[[#This Row],[Utfall bookie]]="","",LayTable[[#This Row],[WBABack]]+LayTable[[#This Row],[WBALay]]-LayTable[[#This Row],[Total inns]])</f>
        <v/>
      </c>
      <c r="U18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7" s="48" t="str">
        <f>IFERROR(IF(LayTable[[#This Row],[Total inns]]="","",LayTable[[#This Row],[Rback]]/LayTable[[#This Row],[Total inns]]),"")</f>
        <v/>
      </c>
      <c r="X1877" s="48" t="str">
        <f>IFERROR(IF(LayTable[[#This Row],[Total inns]]="","",LayTable[[#This Row],[Rlay]]/LayTable[[#This Row],[Total inns]]),"")</f>
        <v/>
      </c>
      <c r="Y1877" s="48" t="str">
        <f>IFERROR(LayTable[[#This Row],[Faktisk res]]/LayTable[[#This Row],[Total inns]],"")</f>
        <v/>
      </c>
      <c r="Z1877" s="47">
        <f>(LayTable[[#This Row],[BookieInnsats]]*LayTable[[#This Row],[BookieOdds]]-LayTable[[#This Row],[BookieInnsats]])*(1-LayTable[[#This Row],[C% Bookie]])</f>
        <v>0</v>
      </c>
      <c r="AA1877" s="43">
        <f>LayTable[[#This Row],[LayInnsats]]*(1-LayTable[[#This Row],[C% Lay]])</f>
        <v>0</v>
      </c>
      <c r="AB1877" s="43" t="str">
        <f>IFERROR(IF(LayTable[[#This Row],[Sport]]="",AB1876,LayTable[[#This Row],[Faktisk res]]+AB1876),"")</f>
        <v/>
      </c>
      <c r="AC1877" s="43">
        <f>(LayTable[[#This Row],[BackWin-Commission]]+LayTable[[#This Row],[BookieInnsats]])</f>
        <v>0</v>
      </c>
      <c r="AD1877" s="43" t="e">
        <f>(LayTable[[#This Row],[LayWin-Commission]])+LayTable[[#This Row],[LayLiability]]</f>
        <v>#VALUE!</v>
      </c>
      <c r="AE1877" s="43"/>
      <c r="AF1877" s="181"/>
    </row>
    <row r="1878" spans="1:32">
      <c r="A1878" s="84"/>
      <c r="B1878" s="39"/>
      <c r="C1878" s="40"/>
      <c r="D1878" s="41"/>
      <c r="E1878" s="40"/>
      <c r="F1878" s="41"/>
      <c r="G1878" s="101"/>
      <c r="H1878" s="38"/>
      <c r="I1878" s="42"/>
      <c r="J1878" s="42"/>
      <c r="K1878" s="43"/>
      <c r="L1878" s="43"/>
      <c r="M1878" s="44" t="str">
        <f>IF(LayTable[[#This Row],[Sport]]="","",LayTable[[#This Row],[LayInnsats]]*(LayTable[[#This Row],[LayOdds]]-1))</f>
        <v/>
      </c>
      <c r="N1878" s="45" t="str">
        <f>IF(LayTable[[#This Row],[Sport]]="","",1/((1/LayTable[[#This Row],[BookieOdds]])+(1/((1/((1+((LayTable[[#This Row],[LayOdds]]-1)*(1+LayTable[[#This Row],[C% Lay]])))-1))+1)))-1)</f>
        <v/>
      </c>
      <c r="Q1878" s="46" t="str">
        <f>IF(LayTable[[#This Row],[Sport]]="","",LayTable[[#This Row],[BookieInnsats]]+LayTable[[#This Row],[LayLiability]])</f>
        <v/>
      </c>
      <c r="R18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8" s="47" t="str">
        <f>IF(LayTable[[#This Row],[Utfall bookie]]="","",LayTable[[#This Row],[WBABack]]+LayTable[[#This Row],[WBALay]]-LayTable[[#This Row],[Total inns]])</f>
        <v/>
      </c>
      <c r="U18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8" s="48" t="str">
        <f>IFERROR(IF(LayTable[[#This Row],[Total inns]]="","",LayTable[[#This Row],[Rback]]/LayTable[[#This Row],[Total inns]]),"")</f>
        <v/>
      </c>
      <c r="X1878" s="48" t="str">
        <f>IFERROR(IF(LayTable[[#This Row],[Total inns]]="","",LayTable[[#This Row],[Rlay]]/LayTable[[#This Row],[Total inns]]),"")</f>
        <v/>
      </c>
      <c r="Y1878" s="48" t="str">
        <f>IFERROR(LayTable[[#This Row],[Faktisk res]]/LayTable[[#This Row],[Total inns]],"")</f>
        <v/>
      </c>
      <c r="Z1878" s="47">
        <f>(LayTable[[#This Row],[BookieInnsats]]*LayTable[[#This Row],[BookieOdds]]-LayTable[[#This Row],[BookieInnsats]])*(1-LayTable[[#This Row],[C% Bookie]])</f>
        <v>0</v>
      </c>
      <c r="AA1878" s="43">
        <f>LayTable[[#This Row],[LayInnsats]]*(1-LayTable[[#This Row],[C% Lay]])</f>
        <v>0</v>
      </c>
      <c r="AB1878" s="43" t="str">
        <f>IFERROR(IF(LayTable[[#This Row],[Sport]]="",AB1877,LayTable[[#This Row],[Faktisk res]]+AB1877),"")</f>
        <v/>
      </c>
      <c r="AC1878" s="43">
        <f>(LayTable[[#This Row],[BackWin-Commission]]+LayTable[[#This Row],[BookieInnsats]])</f>
        <v>0</v>
      </c>
      <c r="AD1878" s="43" t="e">
        <f>(LayTable[[#This Row],[LayWin-Commission]])+LayTable[[#This Row],[LayLiability]]</f>
        <v>#VALUE!</v>
      </c>
      <c r="AE1878" s="43"/>
      <c r="AF1878" s="181"/>
    </row>
    <row r="1879" spans="1:32">
      <c r="A1879" s="84"/>
      <c r="B1879" s="39"/>
      <c r="C1879" s="40"/>
      <c r="D1879" s="41"/>
      <c r="E1879" s="40"/>
      <c r="F1879" s="41"/>
      <c r="G1879" s="101"/>
      <c r="H1879" s="38"/>
      <c r="I1879" s="42"/>
      <c r="J1879" s="42"/>
      <c r="K1879" s="43"/>
      <c r="L1879" s="43"/>
      <c r="M1879" s="44" t="str">
        <f>IF(LayTable[[#This Row],[Sport]]="","",LayTable[[#This Row],[LayInnsats]]*(LayTable[[#This Row],[LayOdds]]-1))</f>
        <v/>
      </c>
      <c r="N1879" s="45" t="str">
        <f>IF(LayTable[[#This Row],[Sport]]="","",1/((1/LayTable[[#This Row],[BookieOdds]])+(1/((1/((1+((LayTable[[#This Row],[LayOdds]]-1)*(1+LayTable[[#This Row],[C% Lay]])))-1))+1)))-1)</f>
        <v/>
      </c>
      <c r="Q1879" s="46" t="str">
        <f>IF(LayTable[[#This Row],[Sport]]="","",LayTable[[#This Row],[BookieInnsats]]+LayTable[[#This Row],[LayLiability]])</f>
        <v/>
      </c>
      <c r="R18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79" s="47" t="str">
        <f>IF(LayTable[[#This Row],[Utfall bookie]]="","",LayTable[[#This Row],[WBABack]]+LayTable[[#This Row],[WBALay]]-LayTable[[#This Row],[Total inns]])</f>
        <v/>
      </c>
      <c r="U18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79" s="48" t="str">
        <f>IFERROR(IF(LayTable[[#This Row],[Total inns]]="","",LayTable[[#This Row],[Rback]]/LayTable[[#This Row],[Total inns]]),"")</f>
        <v/>
      </c>
      <c r="X1879" s="48" t="str">
        <f>IFERROR(IF(LayTable[[#This Row],[Total inns]]="","",LayTable[[#This Row],[Rlay]]/LayTable[[#This Row],[Total inns]]),"")</f>
        <v/>
      </c>
      <c r="Y1879" s="48" t="str">
        <f>IFERROR(LayTable[[#This Row],[Faktisk res]]/LayTable[[#This Row],[Total inns]],"")</f>
        <v/>
      </c>
      <c r="Z1879" s="47">
        <f>(LayTable[[#This Row],[BookieInnsats]]*LayTable[[#This Row],[BookieOdds]]-LayTable[[#This Row],[BookieInnsats]])*(1-LayTable[[#This Row],[C% Bookie]])</f>
        <v>0</v>
      </c>
      <c r="AA1879" s="43">
        <f>LayTable[[#This Row],[LayInnsats]]*(1-LayTable[[#This Row],[C% Lay]])</f>
        <v>0</v>
      </c>
      <c r="AB1879" s="43" t="str">
        <f>IFERROR(IF(LayTable[[#This Row],[Sport]]="",AB1878,LayTable[[#This Row],[Faktisk res]]+AB1878),"")</f>
        <v/>
      </c>
      <c r="AC1879" s="43">
        <f>(LayTable[[#This Row],[BackWin-Commission]]+LayTable[[#This Row],[BookieInnsats]])</f>
        <v>0</v>
      </c>
      <c r="AD1879" s="43" t="e">
        <f>(LayTable[[#This Row],[LayWin-Commission]])+LayTable[[#This Row],[LayLiability]]</f>
        <v>#VALUE!</v>
      </c>
      <c r="AE1879" s="43"/>
      <c r="AF1879" s="181"/>
    </row>
    <row r="1880" spans="1:32">
      <c r="A1880" s="84"/>
      <c r="B1880" s="39"/>
      <c r="C1880" s="40"/>
      <c r="D1880" s="41"/>
      <c r="E1880" s="40"/>
      <c r="F1880" s="41"/>
      <c r="G1880" s="101"/>
      <c r="H1880" s="38"/>
      <c r="I1880" s="42"/>
      <c r="J1880" s="42"/>
      <c r="K1880" s="43"/>
      <c r="L1880" s="43"/>
      <c r="M1880" s="44" t="str">
        <f>IF(LayTable[[#This Row],[Sport]]="","",LayTable[[#This Row],[LayInnsats]]*(LayTable[[#This Row],[LayOdds]]-1))</f>
        <v/>
      </c>
      <c r="N1880" s="45" t="str">
        <f>IF(LayTable[[#This Row],[Sport]]="","",1/((1/LayTable[[#This Row],[BookieOdds]])+(1/((1/((1+((LayTable[[#This Row],[LayOdds]]-1)*(1+LayTable[[#This Row],[C% Lay]])))-1))+1)))-1)</f>
        <v/>
      </c>
      <c r="Q1880" s="46" t="str">
        <f>IF(LayTable[[#This Row],[Sport]]="","",LayTable[[#This Row],[BookieInnsats]]+LayTable[[#This Row],[LayLiability]])</f>
        <v/>
      </c>
      <c r="R18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0" s="47" t="str">
        <f>IF(LayTable[[#This Row],[Utfall bookie]]="","",LayTable[[#This Row],[WBABack]]+LayTable[[#This Row],[WBALay]]-LayTable[[#This Row],[Total inns]])</f>
        <v/>
      </c>
      <c r="U18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0" s="48" t="str">
        <f>IFERROR(IF(LayTable[[#This Row],[Total inns]]="","",LayTable[[#This Row],[Rback]]/LayTable[[#This Row],[Total inns]]),"")</f>
        <v/>
      </c>
      <c r="X1880" s="48" t="str">
        <f>IFERROR(IF(LayTable[[#This Row],[Total inns]]="","",LayTable[[#This Row],[Rlay]]/LayTable[[#This Row],[Total inns]]),"")</f>
        <v/>
      </c>
      <c r="Y1880" s="48" t="str">
        <f>IFERROR(LayTable[[#This Row],[Faktisk res]]/LayTable[[#This Row],[Total inns]],"")</f>
        <v/>
      </c>
      <c r="Z1880" s="47">
        <f>(LayTable[[#This Row],[BookieInnsats]]*LayTable[[#This Row],[BookieOdds]]-LayTable[[#This Row],[BookieInnsats]])*(1-LayTable[[#This Row],[C% Bookie]])</f>
        <v>0</v>
      </c>
      <c r="AA1880" s="43">
        <f>LayTable[[#This Row],[LayInnsats]]*(1-LayTable[[#This Row],[C% Lay]])</f>
        <v>0</v>
      </c>
      <c r="AB1880" s="43" t="str">
        <f>IFERROR(IF(LayTable[[#This Row],[Sport]]="",AB1879,LayTable[[#This Row],[Faktisk res]]+AB1879),"")</f>
        <v/>
      </c>
      <c r="AC1880" s="43">
        <f>(LayTable[[#This Row],[BackWin-Commission]]+LayTable[[#This Row],[BookieInnsats]])</f>
        <v>0</v>
      </c>
      <c r="AD1880" s="43" t="e">
        <f>(LayTable[[#This Row],[LayWin-Commission]])+LayTable[[#This Row],[LayLiability]]</f>
        <v>#VALUE!</v>
      </c>
      <c r="AE1880" s="43"/>
      <c r="AF1880" s="181"/>
    </row>
    <row r="1881" spans="1:32">
      <c r="A1881" s="84"/>
      <c r="B1881" s="39"/>
      <c r="C1881" s="40"/>
      <c r="D1881" s="41"/>
      <c r="E1881" s="40"/>
      <c r="F1881" s="41"/>
      <c r="G1881" s="101"/>
      <c r="H1881" s="38"/>
      <c r="I1881" s="42"/>
      <c r="J1881" s="42"/>
      <c r="K1881" s="43"/>
      <c r="L1881" s="43"/>
      <c r="M1881" s="44" t="str">
        <f>IF(LayTable[[#This Row],[Sport]]="","",LayTable[[#This Row],[LayInnsats]]*(LayTable[[#This Row],[LayOdds]]-1))</f>
        <v/>
      </c>
      <c r="N1881" s="45" t="str">
        <f>IF(LayTable[[#This Row],[Sport]]="","",1/((1/LayTable[[#This Row],[BookieOdds]])+(1/((1/((1+((LayTable[[#This Row],[LayOdds]]-1)*(1+LayTable[[#This Row],[C% Lay]])))-1))+1)))-1)</f>
        <v/>
      </c>
      <c r="Q1881" s="46" t="str">
        <f>IF(LayTable[[#This Row],[Sport]]="","",LayTable[[#This Row],[BookieInnsats]]+LayTable[[#This Row],[LayLiability]])</f>
        <v/>
      </c>
      <c r="R18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1" s="47" t="str">
        <f>IF(LayTable[[#This Row],[Utfall bookie]]="","",LayTable[[#This Row],[WBABack]]+LayTable[[#This Row],[WBALay]]-LayTable[[#This Row],[Total inns]])</f>
        <v/>
      </c>
      <c r="U18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1" s="48" t="str">
        <f>IFERROR(IF(LayTable[[#This Row],[Total inns]]="","",LayTable[[#This Row],[Rback]]/LayTable[[#This Row],[Total inns]]),"")</f>
        <v/>
      </c>
      <c r="X1881" s="48" t="str">
        <f>IFERROR(IF(LayTable[[#This Row],[Total inns]]="","",LayTable[[#This Row],[Rlay]]/LayTable[[#This Row],[Total inns]]),"")</f>
        <v/>
      </c>
      <c r="Y1881" s="48" t="str">
        <f>IFERROR(LayTable[[#This Row],[Faktisk res]]/LayTable[[#This Row],[Total inns]],"")</f>
        <v/>
      </c>
      <c r="Z1881" s="47">
        <f>(LayTable[[#This Row],[BookieInnsats]]*LayTable[[#This Row],[BookieOdds]]-LayTable[[#This Row],[BookieInnsats]])*(1-LayTable[[#This Row],[C% Bookie]])</f>
        <v>0</v>
      </c>
      <c r="AA1881" s="43">
        <f>LayTable[[#This Row],[LayInnsats]]*(1-LayTable[[#This Row],[C% Lay]])</f>
        <v>0</v>
      </c>
      <c r="AB1881" s="43" t="str">
        <f>IFERROR(IF(LayTable[[#This Row],[Sport]]="",AB1880,LayTable[[#This Row],[Faktisk res]]+AB1880),"")</f>
        <v/>
      </c>
      <c r="AC1881" s="43">
        <f>(LayTable[[#This Row],[BackWin-Commission]]+LayTable[[#This Row],[BookieInnsats]])</f>
        <v>0</v>
      </c>
      <c r="AD1881" s="43" t="e">
        <f>(LayTable[[#This Row],[LayWin-Commission]])+LayTable[[#This Row],[LayLiability]]</f>
        <v>#VALUE!</v>
      </c>
      <c r="AE1881" s="43"/>
      <c r="AF1881" s="181"/>
    </row>
    <row r="1882" spans="1:32">
      <c r="A1882" s="84"/>
      <c r="B1882" s="39"/>
      <c r="C1882" s="40"/>
      <c r="D1882" s="41"/>
      <c r="E1882" s="40"/>
      <c r="F1882" s="41"/>
      <c r="G1882" s="101"/>
      <c r="H1882" s="38"/>
      <c r="I1882" s="42"/>
      <c r="J1882" s="42"/>
      <c r="K1882" s="43"/>
      <c r="L1882" s="43"/>
      <c r="M1882" s="44" t="str">
        <f>IF(LayTable[[#This Row],[Sport]]="","",LayTable[[#This Row],[LayInnsats]]*(LayTable[[#This Row],[LayOdds]]-1))</f>
        <v/>
      </c>
      <c r="N1882" s="45" t="str">
        <f>IF(LayTable[[#This Row],[Sport]]="","",1/((1/LayTable[[#This Row],[BookieOdds]])+(1/((1/((1+((LayTable[[#This Row],[LayOdds]]-1)*(1+LayTable[[#This Row],[C% Lay]])))-1))+1)))-1)</f>
        <v/>
      </c>
      <c r="Q1882" s="46" t="str">
        <f>IF(LayTable[[#This Row],[Sport]]="","",LayTable[[#This Row],[BookieInnsats]]+LayTable[[#This Row],[LayLiability]])</f>
        <v/>
      </c>
      <c r="R18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2" s="47" t="str">
        <f>IF(LayTable[[#This Row],[Utfall bookie]]="","",LayTable[[#This Row],[WBABack]]+LayTable[[#This Row],[WBALay]]-LayTable[[#This Row],[Total inns]])</f>
        <v/>
      </c>
      <c r="U18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2" s="48" t="str">
        <f>IFERROR(IF(LayTable[[#This Row],[Total inns]]="","",LayTable[[#This Row],[Rback]]/LayTable[[#This Row],[Total inns]]),"")</f>
        <v/>
      </c>
      <c r="X1882" s="48" t="str">
        <f>IFERROR(IF(LayTable[[#This Row],[Total inns]]="","",LayTable[[#This Row],[Rlay]]/LayTable[[#This Row],[Total inns]]),"")</f>
        <v/>
      </c>
      <c r="Y1882" s="48" t="str">
        <f>IFERROR(LayTable[[#This Row],[Faktisk res]]/LayTable[[#This Row],[Total inns]],"")</f>
        <v/>
      </c>
      <c r="Z1882" s="47">
        <f>(LayTable[[#This Row],[BookieInnsats]]*LayTable[[#This Row],[BookieOdds]]-LayTable[[#This Row],[BookieInnsats]])*(1-LayTable[[#This Row],[C% Bookie]])</f>
        <v>0</v>
      </c>
      <c r="AA1882" s="43">
        <f>LayTable[[#This Row],[LayInnsats]]*(1-LayTable[[#This Row],[C% Lay]])</f>
        <v>0</v>
      </c>
      <c r="AB1882" s="43" t="str">
        <f>IFERROR(IF(LayTable[[#This Row],[Sport]]="",AB1881,LayTable[[#This Row],[Faktisk res]]+AB1881),"")</f>
        <v/>
      </c>
      <c r="AC1882" s="43">
        <f>(LayTable[[#This Row],[BackWin-Commission]]+LayTable[[#This Row],[BookieInnsats]])</f>
        <v>0</v>
      </c>
      <c r="AD1882" s="43" t="e">
        <f>(LayTable[[#This Row],[LayWin-Commission]])+LayTable[[#This Row],[LayLiability]]</f>
        <v>#VALUE!</v>
      </c>
      <c r="AE1882" s="43"/>
      <c r="AF1882" s="181"/>
    </row>
    <row r="1883" spans="1:32">
      <c r="A1883" s="84"/>
      <c r="B1883" s="39"/>
      <c r="C1883" s="40"/>
      <c r="D1883" s="41"/>
      <c r="E1883" s="40"/>
      <c r="F1883" s="41"/>
      <c r="G1883" s="101"/>
      <c r="H1883" s="38"/>
      <c r="I1883" s="42"/>
      <c r="J1883" s="42"/>
      <c r="K1883" s="43"/>
      <c r="L1883" s="43"/>
      <c r="M1883" s="44" t="str">
        <f>IF(LayTable[[#This Row],[Sport]]="","",LayTable[[#This Row],[LayInnsats]]*(LayTable[[#This Row],[LayOdds]]-1))</f>
        <v/>
      </c>
      <c r="N1883" s="45" t="str">
        <f>IF(LayTable[[#This Row],[Sport]]="","",1/((1/LayTable[[#This Row],[BookieOdds]])+(1/((1/((1+((LayTable[[#This Row],[LayOdds]]-1)*(1+LayTable[[#This Row],[C% Lay]])))-1))+1)))-1)</f>
        <v/>
      </c>
      <c r="Q1883" s="46" t="str">
        <f>IF(LayTable[[#This Row],[Sport]]="","",LayTable[[#This Row],[BookieInnsats]]+LayTable[[#This Row],[LayLiability]])</f>
        <v/>
      </c>
      <c r="R18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3" s="47" t="str">
        <f>IF(LayTable[[#This Row],[Utfall bookie]]="","",LayTable[[#This Row],[WBABack]]+LayTable[[#This Row],[WBALay]]-LayTable[[#This Row],[Total inns]])</f>
        <v/>
      </c>
      <c r="U18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3" s="48" t="str">
        <f>IFERROR(IF(LayTable[[#This Row],[Total inns]]="","",LayTable[[#This Row],[Rback]]/LayTable[[#This Row],[Total inns]]),"")</f>
        <v/>
      </c>
      <c r="X1883" s="48" t="str">
        <f>IFERROR(IF(LayTable[[#This Row],[Total inns]]="","",LayTable[[#This Row],[Rlay]]/LayTable[[#This Row],[Total inns]]),"")</f>
        <v/>
      </c>
      <c r="Y1883" s="48" t="str">
        <f>IFERROR(LayTable[[#This Row],[Faktisk res]]/LayTable[[#This Row],[Total inns]],"")</f>
        <v/>
      </c>
      <c r="Z1883" s="47">
        <f>(LayTable[[#This Row],[BookieInnsats]]*LayTable[[#This Row],[BookieOdds]]-LayTable[[#This Row],[BookieInnsats]])*(1-LayTable[[#This Row],[C% Bookie]])</f>
        <v>0</v>
      </c>
      <c r="AA1883" s="43">
        <f>LayTable[[#This Row],[LayInnsats]]*(1-LayTable[[#This Row],[C% Lay]])</f>
        <v>0</v>
      </c>
      <c r="AB1883" s="43" t="str">
        <f>IFERROR(IF(LayTable[[#This Row],[Sport]]="",AB1882,LayTable[[#This Row],[Faktisk res]]+AB1882),"")</f>
        <v/>
      </c>
      <c r="AC1883" s="43">
        <f>(LayTable[[#This Row],[BackWin-Commission]]+LayTable[[#This Row],[BookieInnsats]])</f>
        <v>0</v>
      </c>
      <c r="AD1883" s="43" t="e">
        <f>(LayTable[[#This Row],[LayWin-Commission]])+LayTable[[#This Row],[LayLiability]]</f>
        <v>#VALUE!</v>
      </c>
      <c r="AE1883" s="43"/>
      <c r="AF1883" s="181"/>
    </row>
    <row r="1884" spans="1:32">
      <c r="A1884" s="84"/>
      <c r="B1884" s="39"/>
      <c r="C1884" s="40"/>
      <c r="D1884" s="41"/>
      <c r="E1884" s="40"/>
      <c r="F1884" s="41"/>
      <c r="G1884" s="101"/>
      <c r="H1884" s="38"/>
      <c r="I1884" s="42"/>
      <c r="J1884" s="42"/>
      <c r="K1884" s="43"/>
      <c r="L1884" s="43"/>
      <c r="M1884" s="44" t="str">
        <f>IF(LayTable[[#This Row],[Sport]]="","",LayTable[[#This Row],[LayInnsats]]*(LayTable[[#This Row],[LayOdds]]-1))</f>
        <v/>
      </c>
      <c r="N1884" s="45" t="str">
        <f>IF(LayTable[[#This Row],[Sport]]="","",1/((1/LayTable[[#This Row],[BookieOdds]])+(1/((1/((1+((LayTable[[#This Row],[LayOdds]]-1)*(1+LayTable[[#This Row],[C% Lay]])))-1))+1)))-1)</f>
        <v/>
      </c>
      <c r="Q1884" s="46" t="str">
        <f>IF(LayTable[[#This Row],[Sport]]="","",LayTable[[#This Row],[BookieInnsats]]+LayTable[[#This Row],[LayLiability]])</f>
        <v/>
      </c>
      <c r="R18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4" s="47" t="str">
        <f>IF(LayTable[[#This Row],[Utfall bookie]]="","",LayTable[[#This Row],[WBABack]]+LayTable[[#This Row],[WBALay]]-LayTable[[#This Row],[Total inns]])</f>
        <v/>
      </c>
      <c r="U18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4" s="48" t="str">
        <f>IFERROR(IF(LayTable[[#This Row],[Total inns]]="","",LayTable[[#This Row],[Rback]]/LayTable[[#This Row],[Total inns]]),"")</f>
        <v/>
      </c>
      <c r="X1884" s="48" t="str">
        <f>IFERROR(IF(LayTable[[#This Row],[Total inns]]="","",LayTable[[#This Row],[Rlay]]/LayTable[[#This Row],[Total inns]]),"")</f>
        <v/>
      </c>
      <c r="Y1884" s="48" t="str">
        <f>IFERROR(LayTable[[#This Row],[Faktisk res]]/LayTable[[#This Row],[Total inns]],"")</f>
        <v/>
      </c>
      <c r="Z1884" s="47">
        <f>(LayTable[[#This Row],[BookieInnsats]]*LayTable[[#This Row],[BookieOdds]]-LayTable[[#This Row],[BookieInnsats]])*(1-LayTable[[#This Row],[C% Bookie]])</f>
        <v>0</v>
      </c>
      <c r="AA1884" s="43">
        <f>LayTable[[#This Row],[LayInnsats]]*(1-LayTable[[#This Row],[C% Lay]])</f>
        <v>0</v>
      </c>
      <c r="AB1884" s="43" t="str">
        <f>IFERROR(IF(LayTable[[#This Row],[Sport]]="",AB1883,LayTable[[#This Row],[Faktisk res]]+AB1883),"")</f>
        <v/>
      </c>
      <c r="AC1884" s="43">
        <f>(LayTable[[#This Row],[BackWin-Commission]]+LayTable[[#This Row],[BookieInnsats]])</f>
        <v>0</v>
      </c>
      <c r="AD1884" s="43" t="e">
        <f>(LayTable[[#This Row],[LayWin-Commission]])+LayTable[[#This Row],[LayLiability]]</f>
        <v>#VALUE!</v>
      </c>
      <c r="AE1884" s="43"/>
      <c r="AF1884" s="181"/>
    </row>
    <row r="1885" spans="1:32">
      <c r="A1885" s="84"/>
      <c r="B1885" s="39"/>
      <c r="C1885" s="40"/>
      <c r="D1885" s="41"/>
      <c r="E1885" s="40"/>
      <c r="F1885" s="41"/>
      <c r="G1885" s="101"/>
      <c r="H1885" s="38"/>
      <c r="I1885" s="42"/>
      <c r="J1885" s="42"/>
      <c r="K1885" s="43"/>
      <c r="L1885" s="43"/>
      <c r="M1885" s="44" t="str">
        <f>IF(LayTable[[#This Row],[Sport]]="","",LayTable[[#This Row],[LayInnsats]]*(LayTable[[#This Row],[LayOdds]]-1))</f>
        <v/>
      </c>
      <c r="N1885" s="45" t="str">
        <f>IF(LayTable[[#This Row],[Sport]]="","",1/((1/LayTable[[#This Row],[BookieOdds]])+(1/((1/((1+((LayTable[[#This Row],[LayOdds]]-1)*(1+LayTable[[#This Row],[C% Lay]])))-1))+1)))-1)</f>
        <v/>
      </c>
      <c r="Q1885" s="46" t="str">
        <f>IF(LayTable[[#This Row],[Sport]]="","",LayTable[[#This Row],[BookieInnsats]]+LayTable[[#This Row],[LayLiability]])</f>
        <v/>
      </c>
      <c r="R18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5" s="47" t="str">
        <f>IF(LayTable[[#This Row],[Utfall bookie]]="","",LayTable[[#This Row],[WBABack]]+LayTable[[#This Row],[WBALay]]-LayTable[[#This Row],[Total inns]])</f>
        <v/>
      </c>
      <c r="U18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5" s="48" t="str">
        <f>IFERROR(IF(LayTable[[#This Row],[Total inns]]="","",LayTable[[#This Row],[Rback]]/LayTable[[#This Row],[Total inns]]),"")</f>
        <v/>
      </c>
      <c r="X1885" s="48" t="str">
        <f>IFERROR(IF(LayTable[[#This Row],[Total inns]]="","",LayTable[[#This Row],[Rlay]]/LayTable[[#This Row],[Total inns]]),"")</f>
        <v/>
      </c>
      <c r="Y1885" s="48" t="str">
        <f>IFERROR(LayTable[[#This Row],[Faktisk res]]/LayTable[[#This Row],[Total inns]],"")</f>
        <v/>
      </c>
      <c r="Z1885" s="47">
        <f>(LayTable[[#This Row],[BookieInnsats]]*LayTable[[#This Row],[BookieOdds]]-LayTable[[#This Row],[BookieInnsats]])*(1-LayTable[[#This Row],[C% Bookie]])</f>
        <v>0</v>
      </c>
      <c r="AA1885" s="43">
        <f>LayTable[[#This Row],[LayInnsats]]*(1-LayTable[[#This Row],[C% Lay]])</f>
        <v>0</v>
      </c>
      <c r="AB1885" s="43" t="str">
        <f>IFERROR(IF(LayTable[[#This Row],[Sport]]="",AB1884,LayTable[[#This Row],[Faktisk res]]+AB1884),"")</f>
        <v/>
      </c>
      <c r="AC1885" s="43">
        <f>(LayTable[[#This Row],[BackWin-Commission]]+LayTable[[#This Row],[BookieInnsats]])</f>
        <v>0</v>
      </c>
      <c r="AD1885" s="43" t="e">
        <f>(LayTable[[#This Row],[LayWin-Commission]])+LayTable[[#This Row],[LayLiability]]</f>
        <v>#VALUE!</v>
      </c>
      <c r="AE1885" s="43"/>
      <c r="AF1885" s="181"/>
    </row>
    <row r="1886" spans="1:32">
      <c r="A1886" s="84"/>
      <c r="B1886" s="39"/>
      <c r="C1886" s="40"/>
      <c r="D1886" s="41"/>
      <c r="E1886" s="40"/>
      <c r="F1886" s="41"/>
      <c r="G1886" s="101"/>
      <c r="H1886" s="38"/>
      <c r="I1886" s="42"/>
      <c r="J1886" s="42"/>
      <c r="K1886" s="43"/>
      <c r="L1886" s="43"/>
      <c r="M1886" s="44" t="str">
        <f>IF(LayTable[[#This Row],[Sport]]="","",LayTable[[#This Row],[LayInnsats]]*(LayTable[[#This Row],[LayOdds]]-1))</f>
        <v/>
      </c>
      <c r="N1886" s="45" t="str">
        <f>IF(LayTable[[#This Row],[Sport]]="","",1/((1/LayTable[[#This Row],[BookieOdds]])+(1/((1/((1+((LayTable[[#This Row],[LayOdds]]-1)*(1+LayTable[[#This Row],[C% Lay]])))-1))+1)))-1)</f>
        <v/>
      </c>
      <c r="Q1886" s="46" t="str">
        <f>IF(LayTable[[#This Row],[Sport]]="","",LayTable[[#This Row],[BookieInnsats]]+LayTable[[#This Row],[LayLiability]])</f>
        <v/>
      </c>
      <c r="R18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6" s="47" t="str">
        <f>IF(LayTable[[#This Row],[Utfall bookie]]="","",LayTable[[#This Row],[WBABack]]+LayTable[[#This Row],[WBALay]]-LayTable[[#This Row],[Total inns]])</f>
        <v/>
      </c>
      <c r="U18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6" s="48" t="str">
        <f>IFERROR(IF(LayTable[[#This Row],[Total inns]]="","",LayTable[[#This Row],[Rback]]/LayTable[[#This Row],[Total inns]]),"")</f>
        <v/>
      </c>
      <c r="X1886" s="48" t="str">
        <f>IFERROR(IF(LayTable[[#This Row],[Total inns]]="","",LayTable[[#This Row],[Rlay]]/LayTable[[#This Row],[Total inns]]),"")</f>
        <v/>
      </c>
      <c r="Y1886" s="48" t="str">
        <f>IFERROR(LayTable[[#This Row],[Faktisk res]]/LayTable[[#This Row],[Total inns]],"")</f>
        <v/>
      </c>
      <c r="Z1886" s="47">
        <f>(LayTable[[#This Row],[BookieInnsats]]*LayTable[[#This Row],[BookieOdds]]-LayTable[[#This Row],[BookieInnsats]])*(1-LayTable[[#This Row],[C% Bookie]])</f>
        <v>0</v>
      </c>
      <c r="AA1886" s="43">
        <f>LayTable[[#This Row],[LayInnsats]]*(1-LayTable[[#This Row],[C% Lay]])</f>
        <v>0</v>
      </c>
      <c r="AB1886" s="43" t="str">
        <f>IFERROR(IF(LayTable[[#This Row],[Sport]]="",AB1885,LayTable[[#This Row],[Faktisk res]]+AB1885),"")</f>
        <v/>
      </c>
      <c r="AC1886" s="43">
        <f>(LayTable[[#This Row],[BackWin-Commission]]+LayTable[[#This Row],[BookieInnsats]])</f>
        <v>0</v>
      </c>
      <c r="AD1886" s="43" t="e">
        <f>(LayTable[[#This Row],[LayWin-Commission]])+LayTable[[#This Row],[LayLiability]]</f>
        <v>#VALUE!</v>
      </c>
      <c r="AE1886" s="43"/>
      <c r="AF1886" s="181"/>
    </row>
    <row r="1887" spans="1:32">
      <c r="A1887" s="84"/>
      <c r="B1887" s="39"/>
      <c r="C1887" s="40"/>
      <c r="D1887" s="41"/>
      <c r="E1887" s="40"/>
      <c r="F1887" s="41"/>
      <c r="G1887" s="101"/>
      <c r="H1887" s="38"/>
      <c r="I1887" s="42"/>
      <c r="J1887" s="42"/>
      <c r="K1887" s="43"/>
      <c r="L1887" s="43"/>
      <c r="M1887" s="44" t="str">
        <f>IF(LayTable[[#This Row],[Sport]]="","",LayTable[[#This Row],[LayInnsats]]*(LayTable[[#This Row],[LayOdds]]-1))</f>
        <v/>
      </c>
      <c r="N1887" s="45" t="str">
        <f>IF(LayTable[[#This Row],[Sport]]="","",1/((1/LayTable[[#This Row],[BookieOdds]])+(1/((1/((1+((LayTable[[#This Row],[LayOdds]]-1)*(1+LayTable[[#This Row],[C% Lay]])))-1))+1)))-1)</f>
        <v/>
      </c>
      <c r="Q1887" s="46" t="str">
        <f>IF(LayTable[[#This Row],[Sport]]="","",LayTable[[#This Row],[BookieInnsats]]+LayTable[[#This Row],[LayLiability]])</f>
        <v/>
      </c>
      <c r="R18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7" s="47" t="str">
        <f>IF(LayTable[[#This Row],[Utfall bookie]]="","",LayTable[[#This Row],[WBABack]]+LayTable[[#This Row],[WBALay]]-LayTable[[#This Row],[Total inns]])</f>
        <v/>
      </c>
      <c r="U18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7" s="48" t="str">
        <f>IFERROR(IF(LayTable[[#This Row],[Total inns]]="","",LayTable[[#This Row],[Rback]]/LayTable[[#This Row],[Total inns]]),"")</f>
        <v/>
      </c>
      <c r="X1887" s="48" t="str">
        <f>IFERROR(IF(LayTable[[#This Row],[Total inns]]="","",LayTable[[#This Row],[Rlay]]/LayTable[[#This Row],[Total inns]]),"")</f>
        <v/>
      </c>
      <c r="Y1887" s="48" t="str">
        <f>IFERROR(LayTable[[#This Row],[Faktisk res]]/LayTable[[#This Row],[Total inns]],"")</f>
        <v/>
      </c>
      <c r="Z1887" s="47">
        <f>(LayTable[[#This Row],[BookieInnsats]]*LayTable[[#This Row],[BookieOdds]]-LayTable[[#This Row],[BookieInnsats]])*(1-LayTable[[#This Row],[C% Bookie]])</f>
        <v>0</v>
      </c>
      <c r="AA1887" s="43">
        <f>LayTable[[#This Row],[LayInnsats]]*(1-LayTable[[#This Row],[C% Lay]])</f>
        <v>0</v>
      </c>
      <c r="AB1887" s="43" t="str">
        <f>IFERROR(IF(LayTable[[#This Row],[Sport]]="",AB1886,LayTable[[#This Row],[Faktisk res]]+AB1886),"")</f>
        <v/>
      </c>
      <c r="AC1887" s="43">
        <f>(LayTable[[#This Row],[BackWin-Commission]]+LayTable[[#This Row],[BookieInnsats]])</f>
        <v>0</v>
      </c>
      <c r="AD1887" s="43" t="e">
        <f>(LayTable[[#This Row],[LayWin-Commission]])+LayTable[[#This Row],[LayLiability]]</f>
        <v>#VALUE!</v>
      </c>
      <c r="AE1887" s="43"/>
      <c r="AF1887" s="181"/>
    </row>
    <row r="1888" spans="1:32">
      <c r="A1888" s="84"/>
      <c r="B1888" s="39"/>
      <c r="C1888" s="40"/>
      <c r="D1888" s="41"/>
      <c r="E1888" s="40"/>
      <c r="F1888" s="41"/>
      <c r="G1888" s="101"/>
      <c r="H1888" s="38"/>
      <c r="I1888" s="42"/>
      <c r="J1888" s="42"/>
      <c r="K1888" s="43"/>
      <c r="L1888" s="43"/>
      <c r="M1888" s="44" t="str">
        <f>IF(LayTable[[#This Row],[Sport]]="","",LayTable[[#This Row],[LayInnsats]]*(LayTable[[#This Row],[LayOdds]]-1))</f>
        <v/>
      </c>
      <c r="N1888" s="45" t="str">
        <f>IF(LayTable[[#This Row],[Sport]]="","",1/((1/LayTable[[#This Row],[BookieOdds]])+(1/((1/((1+((LayTable[[#This Row],[LayOdds]]-1)*(1+LayTable[[#This Row],[C% Lay]])))-1))+1)))-1)</f>
        <v/>
      </c>
      <c r="Q1888" s="46" t="str">
        <f>IF(LayTable[[#This Row],[Sport]]="","",LayTable[[#This Row],[BookieInnsats]]+LayTable[[#This Row],[LayLiability]])</f>
        <v/>
      </c>
      <c r="R18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8" s="47" t="str">
        <f>IF(LayTable[[#This Row],[Utfall bookie]]="","",LayTable[[#This Row],[WBABack]]+LayTable[[#This Row],[WBALay]]-LayTable[[#This Row],[Total inns]])</f>
        <v/>
      </c>
      <c r="U18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8" s="48" t="str">
        <f>IFERROR(IF(LayTable[[#This Row],[Total inns]]="","",LayTable[[#This Row],[Rback]]/LayTable[[#This Row],[Total inns]]),"")</f>
        <v/>
      </c>
      <c r="X1888" s="48" t="str">
        <f>IFERROR(IF(LayTable[[#This Row],[Total inns]]="","",LayTable[[#This Row],[Rlay]]/LayTable[[#This Row],[Total inns]]),"")</f>
        <v/>
      </c>
      <c r="Y1888" s="48" t="str">
        <f>IFERROR(LayTable[[#This Row],[Faktisk res]]/LayTable[[#This Row],[Total inns]],"")</f>
        <v/>
      </c>
      <c r="Z1888" s="47">
        <f>(LayTable[[#This Row],[BookieInnsats]]*LayTable[[#This Row],[BookieOdds]]-LayTable[[#This Row],[BookieInnsats]])*(1-LayTable[[#This Row],[C% Bookie]])</f>
        <v>0</v>
      </c>
      <c r="AA1888" s="43">
        <f>LayTable[[#This Row],[LayInnsats]]*(1-LayTable[[#This Row],[C% Lay]])</f>
        <v>0</v>
      </c>
      <c r="AB1888" s="43" t="str">
        <f>IFERROR(IF(LayTable[[#This Row],[Sport]]="",AB1887,LayTable[[#This Row],[Faktisk res]]+AB1887),"")</f>
        <v/>
      </c>
      <c r="AC1888" s="43">
        <f>(LayTable[[#This Row],[BackWin-Commission]]+LayTable[[#This Row],[BookieInnsats]])</f>
        <v>0</v>
      </c>
      <c r="AD1888" s="43" t="e">
        <f>(LayTable[[#This Row],[LayWin-Commission]])+LayTable[[#This Row],[LayLiability]]</f>
        <v>#VALUE!</v>
      </c>
      <c r="AE1888" s="43"/>
      <c r="AF1888" s="181"/>
    </row>
    <row r="1889" spans="1:32">
      <c r="A1889" s="84"/>
      <c r="B1889" s="39"/>
      <c r="C1889" s="40"/>
      <c r="D1889" s="41"/>
      <c r="E1889" s="40"/>
      <c r="F1889" s="41"/>
      <c r="G1889" s="101"/>
      <c r="H1889" s="38"/>
      <c r="I1889" s="42"/>
      <c r="J1889" s="42"/>
      <c r="K1889" s="43"/>
      <c r="L1889" s="43"/>
      <c r="M1889" s="44" t="str">
        <f>IF(LayTable[[#This Row],[Sport]]="","",LayTable[[#This Row],[LayInnsats]]*(LayTable[[#This Row],[LayOdds]]-1))</f>
        <v/>
      </c>
      <c r="N1889" s="45" t="str">
        <f>IF(LayTable[[#This Row],[Sport]]="","",1/((1/LayTable[[#This Row],[BookieOdds]])+(1/((1/((1+((LayTable[[#This Row],[LayOdds]]-1)*(1+LayTable[[#This Row],[C% Lay]])))-1))+1)))-1)</f>
        <v/>
      </c>
      <c r="Q1889" s="46" t="str">
        <f>IF(LayTable[[#This Row],[Sport]]="","",LayTable[[#This Row],[BookieInnsats]]+LayTable[[#This Row],[LayLiability]])</f>
        <v/>
      </c>
      <c r="R18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89" s="47" t="str">
        <f>IF(LayTable[[#This Row],[Utfall bookie]]="","",LayTable[[#This Row],[WBABack]]+LayTable[[#This Row],[WBALay]]-LayTable[[#This Row],[Total inns]])</f>
        <v/>
      </c>
      <c r="U18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89" s="48" t="str">
        <f>IFERROR(IF(LayTable[[#This Row],[Total inns]]="","",LayTable[[#This Row],[Rback]]/LayTable[[#This Row],[Total inns]]),"")</f>
        <v/>
      </c>
      <c r="X1889" s="48" t="str">
        <f>IFERROR(IF(LayTable[[#This Row],[Total inns]]="","",LayTable[[#This Row],[Rlay]]/LayTable[[#This Row],[Total inns]]),"")</f>
        <v/>
      </c>
      <c r="Y1889" s="48" t="str">
        <f>IFERROR(LayTable[[#This Row],[Faktisk res]]/LayTable[[#This Row],[Total inns]],"")</f>
        <v/>
      </c>
      <c r="Z1889" s="47">
        <f>(LayTable[[#This Row],[BookieInnsats]]*LayTable[[#This Row],[BookieOdds]]-LayTable[[#This Row],[BookieInnsats]])*(1-LayTable[[#This Row],[C% Bookie]])</f>
        <v>0</v>
      </c>
      <c r="AA1889" s="43">
        <f>LayTable[[#This Row],[LayInnsats]]*(1-LayTable[[#This Row],[C% Lay]])</f>
        <v>0</v>
      </c>
      <c r="AB1889" s="43" t="str">
        <f>IFERROR(IF(LayTable[[#This Row],[Sport]]="",AB1888,LayTable[[#This Row],[Faktisk res]]+AB1888),"")</f>
        <v/>
      </c>
      <c r="AC1889" s="43">
        <f>(LayTable[[#This Row],[BackWin-Commission]]+LayTable[[#This Row],[BookieInnsats]])</f>
        <v>0</v>
      </c>
      <c r="AD1889" s="43" t="e">
        <f>(LayTable[[#This Row],[LayWin-Commission]])+LayTable[[#This Row],[LayLiability]]</f>
        <v>#VALUE!</v>
      </c>
      <c r="AE1889" s="43"/>
      <c r="AF1889" s="181"/>
    </row>
    <row r="1890" spans="1:32">
      <c r="A1890" s="84"/>
      <c r="B1890" s="39"/>
      <c r="C1890" s="40"/>
      <c r="D1890" s="41"/>
      <c r="E1890" s="40"/>
      <c r="F1890" s="41"/>
      <c r="G1890" s="101"/>
      <c r="H1890" s="38"/>
      <c r="I1890" s="42"/>
      <c r="J1890" s="42"/>
      <c r="K1890" s="43"/>
      <c r="L1890" s="43"/>
      <c r="M1890" s="44" t="str">
        <f>IF(LayTable[[#This Row],[Sport]]="","",LayTable[[#This Row],[LayInnsats]]*(LayTable[[#This Row],[LayOdds]]-1))</f>
        <v/>
      </c>
      <c r="N1890" s="45" t="str">
        <f>IF(LayTable[[#This Row],[Sport]]="","",1/((1/LayTable[[#This Row],[BookieOdds]])+(1/((1/((1+((LayTable[[#This Row],[LayOdds]]-1)*(1+LayTable[[#This Row],[C% Lay]])))-1))+1)))-1)</f>
        <v/>
      </c>
      <c r="Q1890" s="46" t="str">
        <f>IF(LayTable[[#This Row],[Sport]]="","",LayTable[[#This Row],[BookieInnsats]]+LayTable[[#This Row],[LayLiability]])</f>
        <v/>
      </c>
      <c r="R18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0" s="47" t="str">
        <f>IF(LayTable[[#This Row],[Utfall bookie]]="","",LayTable[[#This Row],[WBABack]]+LayTable[[#This Row],[WBALay]]-LayTable[[#This Row],[Total inns]])</f>
        <v/>
      </c>
      <c r="U18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0" s="48" t="str">
        <f>IFERROR(IF(LayTable[[#This Row],[Total inns]]="","",LayTable[[#This Row],[Rback]]/LayTable[[#This Row],[Total inns]]),"")</f>
        <v/>
      </c>
      <c r="X1890" s="48" t="str">
        <f>IFERROR(IF(LayTable[[#This Row],[Total inns]]="","",LayTable[[#This Row],[Rlay]]/LayTable[[#This Row],[Total inns]]),"")</f>
        <v/>
      </c>
      <c r="Y1890" s="48" t="str">
        <f>IFERROR(LayTable[[#This Row],[Faktisk res]]/LayTable[[#This Row],[Total inns]],"")</f>
        <v/>
      </c>
      <c r="Z1890" s="47">
        <f>(LayTable[[#This Row],[BookieInnsats]]*LayTable[[#This Row],[BookieOdds]]-LayTable[[#This Row],[BookieInnsats]])*(1-LayTable[[#This Row],[C% Bookie]])</f>
        <v>0</v>
      </c>
      <c r="AA1890" s="43">
        <f>LayTable[[#This Row],[LayInnsats]]*(1-LayTable[[#This Row],[C% Lay]])</f>
        <v>0</v>
      </c>
      <c r="AB1890" s="43" t="str">
        <f>IFERROR(IF(LayTable[[#This Row],[Sport]]="",AB1889,LayTable[[#This Row],[Faktisk res]]+AB1889),"")</f>
        <v/>
      </c>
      <c r="AC1890" s="43">
        <f>(LayTable[[#This Row],[BackWin-Commission]]+LayTable[[#This Row],[BookieInnsats]])</f>
        <v>0</v>
      </c>
      <c r="AD1890" s="43" t="e">
        <f>(LayTable[[#This Row],[LayWin-Commission]])+LayTable[[#This Row],[LayLiability]]</f>
        <v>#VALUE!</v>
      </c>
      <c r="AE1890" s="43"/>
      <c r="AF1890" s="181"/>
    </row>
    <row r="1891" spans="1:32">
      <c r="A1891" s="84"/>
      <c r="B1891" s="39"/>
      <c r="C1891" s="40"/>
      <c r="D1891" s="41"/>
      <c r="E1891" s="40"/>
      <c r="F1891" s="41"/>
      <c r="G1891" s="101"/>
      <c r="H1891" s="38"/>
      <c r="I1891" s="42"/>
      <c r="J1891" s="42"/>
      <c r="K1891" s="43"/>
      <c r="L1891" s="43"/>
      <c r="M1891" s="44" t="str">
        <f>IF(LayTable[[#This Row],[Sport]]="","",LayTable[[#This Row],[LayInnsats]]*(LayTable[[#This Row],[LayOdds]]-1))</f>
        <v/>
      </c>
      <c r="N1891" s="45" t="str">
        <f>IF(LayTable[[#This Row],[Sport]]="","",1/((1/LayTable[[#This Row],[BookieOdds]])+(1/((1/((1+((LayTable[[#This Row],[LayOdds]]-1)*(1+LayTable[[#This Row],[C% Lay]])))-1))+1)))-1)</f>
        <v/>
      </c>
      <c r="Q1891" s="46" t="str">
        <f>IF(LayTable[[#This Row],[Sport]]="","",LayTable[[#This Row],[BookieInnsats]]+LayTable[[#This Row],[LayLiability]])</f>
        <v/>
      </c>
      <c r="R18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1" s="47" t="str">
        <f>IF(LayTable[[#This Row],[Utfall bookie]]="","",LayTable[[#This Row],[WBABack]]+LayTable[[#This Row],[WBALay]]-LayTable[[#This Row],[Total inns]])</f>
        <v/>
      </c>
      <c r="U18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1" s="48" t="str">
        <f>IFERROR(IF(LayTable[[#This Row],[Total inns]]="","",LayTable[[#This Row],[Rback]]/LayTable[[#This Row],[Total inns]]),"")</f>
        <v/>
      </c>
      <c r="X1891" s="48" t="str">
        <f>IFERROR(IF(LayTable[[#This Row],[Total inns]]="","",LayTable[[#This Row],[Rlay]]/LayTable[[#This Row],[Total inns]]),"")</f>
        <v/>
      </c>
      <c r="Y1891" s="48" t="str">
        <f>IFERROR(LayTable[[#This Row],[Faktisk res]]/LayTable[[#This Row],[Total inns]],"")</f>
        <v/>
      </c>
      <c r="Z1891" s="47">
        <f>(LayTable[[#This Row],[BookieInnsats]]*LayTable[[#This Row],[BookieOdds]]-LayTable[[#This Row],[BookieInnsats]])*(1-LayTable[[#This Row],[C% Bookie]])</f>
        <v>0</v>
      </c>
      <c r="AA1891" s="43">
        <f>LayTable[[#This Row],[LayInnsats]]*(1-LayTable[[#This Row],[C% Lay]])</f>
        <v>0</v>
      </c>
      <c r="AB1891" s="43" t="str">
        <f>IFERROR(IF(LayTable[[#This Row],[Sport]]="",AB1890,LayTable[[#This Row],[Faktisk res]]+AB1890),"")</f>
        <v/>
      </c>
      <c r="AC1891" s="43">
        <f>(LayTable[[#This Row],[BackWin-Commission]]+LayTable[[#This Row],[BookieInnsats]])</f>
        <v>0</v>
      </c>
      <c r="AD1891" s="43" t="e">
        <f>(LayTable[[#This Row],[LayWin-Commission]])+LayTable[[#This Row],[LayLiability]]</f>
        <v>#VALUE!</v>
      </c>
      <c r="AE1891" s="43"/>
      <c r="AF1891" s="181"/>
    </row>
    <row r="1892" spans="1:32">
      <c r="A1892" s="84"/>
      <c r="B1892" s="39"/>
      <c r="C1892" s="40"/>
      <c r="D1892" s="41"/>
      <c r="E1892" s="40"/>
      <c r="F1892" s="41"/>
      <c r="G1892" s="101"/>
      <c r="H1892" s="38"/>
      <c r="I1892" s="42"/>
      <c r="J1892" s="42"/>
      <c r="K1892" s="43"/>
      <c r="L1892" s="43"/>
      <c r="M1892" s="44" t="str">
        <f>IF(LayTable[[#This Row],[Sport]]="","",LayTable[[#This Row],[LayInnsats]]*(LayTable[[#This Row],[LayOdds]]-1))</f>
        <v/>
      </c>
      <c r="N1892" s="45" t="str">
        <f>IF(LayTable[[#This Row],[Sport]]="","",1/((1/LayTable[[#This Row],[BookieOdds]])+(1/((1/((1+((LayTable[[#This Row],[LayOdds]]-1)*(1+LayTable[[#This Row],[C% Lay]])))-1))+1)))-1)</f>
        <v/>
      </c>
      <c r="Q1892" s="46" t="str">
        <f>IF(LayTable[[#This Row],[Sport]]="","",LayTable[[#This Row],[BookieInnsats]]+LayTable[[#This Row],[LayLiability]])</f>
        <v/>
      </c>
      <c r="R18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2" s="47" t="str">
        <f>IF(LayTable[[#This Row],[Utfall bookie]]="","",LayTable[[#This Row],[WBABack]]+LayTable[[#This Row],[WBALay]]-LayTable[[#This Row],[Total inns]])</f>
        <v/>
      </c>
      <c r="U18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2" s="48" t="str">
        <f>IFERROR(IF(LayTable[[#This Row],[Total inns]]="","",LayTable[[#This Row],[Rback]]/LayTable[[#This Row],[Total inns]]),"")</f>
        <v/>
      </c>
      <c r="X1892" s="48" t="str">
        <f>IFERROR(IF(LayTable[[#This Row],[Total inns]]="","",LayTable[[#This Row],[Rlay]]/LayTable[[#This Row],[Total inns]]),"")</f>
        <v/>
      </c>
      <c r="Y1892" s="48" t="str">
        <f>IFERROR(LayTable[[#This Row],[Faktisk res]]/LayTable[[#This Row],[Total inns]],"")</f>
        <v/>
      </c>
      <c r="Z1892" s="47">
        <f>(LayTable[[#This Row],[BookieInnsats]]*LayTable[[#This Row],[BookieOdds]]-LayTable[[#This Row],[BookieInnsats]])*(1-LayTable[[#This Row],[C% Bookie]])</f>
        <v>0</v>
      </c>
      <c r="AA1892" s="43">
        <f>LayTable[[#This Row],[LayInnsats]]*(1-LayTable[[#This Row],[C% Lay]])</f>
        <v>0</v>
      </c>
      <c r="AB1892" s="43" t="str">
        <f>IFERROR(IF(LayTable[[#This Row],[Sport]]="",AB1891,LayTable[[#This Row],[Faktisk res]]+AB1891),"")</f>
        <v/>
      </c>
      <c r="AC1892" s="43">
        <f>(LayTable[[#This Row],[BackWin-Commission]]+LayTable[[#This Row],[BookieInnsats]])</f>
        <v>0</v>
      </c>
      <c r="AD1892" s="43" t="e">
        <f>(LayTable[[#This Row],[LayWin-Commission]])+LayTable[[#This Row],[LayLiability]]</f>
        <v>#VALUE!</v>
      </c>
      <c r="AE1892" s="43"/>
      <c r="AF1892" s="181"/>
    </row>
    <row r="1893" spans="1:32">
      <c r="A1893" s="84"/>
      <c r="B1893" s="39"/>
      <c r="C1893" s="40"/>
      <c r="D1893" s="41"/>
      <c r="E1893" s="40"/>
      <c r="F1893" s="41"/>
      <c r="G1893" s="101"/>
      <c r="H1893" s="38"/>
      <c r="I1893" s="42"/>
      <c r="J1893" s="42"/>
      <c r="K1893" s="43"/>
      <c r="L1893" s="43"/>
      <c r="M1893" s="44" t="str">
        <f>IF(LayTable[[#This Row],[Sport]]="","",LayTable[[#This Row],[LayInnsats]]*(LayTable[[#This Row],[LayOdds]]-1))</f>
        <v/>
      </c>
      <c r="N1893" s="45" t="str">
        <f>IF(LayTable[[#This Row],[Sport]]="","",1/((1/LayTable[[#This Row],[BookieOdds]])+(1/((1/((1+((LayTable[[#This Row],[LayOdds]]-1)*(1+LayTable[[#This Row],[C% Lay]])))-1))+1)))-1)</f>
        <v/>
      </c>
      <c r="Q1893" s="46" t="str">
        <f>IF(LayTable[[#This Row],[Sport]]="","",LayTable[[#This Row],[BookieInnsats]]+LayTable[[#This Row],[LayLiability]])</f>
        <v/>
      </c>
      <c r="R18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3" s="47" t="str">
        <f>IF(LayTable[[#This Row],[Utfall bookie]]="","",LayTable[[#This Row],[WBABack]]+LayTable[[#This Row],[WBALay]]-LayTable[[#This Row],[Total inns]])</f>
        <v/>
      </c>
      <c r="U18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3" s="48" t="str">
        <f>IFERROR(IF(LayTable[[#This Row],[Total inns]]="","",LayTable[[#This Row],[Rback]]/LayTable[[#This Row],[Total inns]]),"")</f>
        <v/>
      </c>
      <c r="X1893" s="48" t="str">
        <f>IFERROR(IF(LayTable[[#This Row],[Total inns]]="","",LayTable[[#This Row],[Rlay]]/LayTable[[#This Row],[Total inns]]),"")</f>
        <v/>
      </c>
      <c r="Y1893" s="48" t="str">
        <f>IFERROR(LayTable[[#This Row],[Faktisk res]]/LayTable[[#This Row],[Total inns]],"")</f>
        <v/>
      </c>
      <c r="Z1893" s="47">
        <f>(LayTable[[#This Row],[BookieInnsats]]*LayTable[[#This Row],[BookieOdds]]-LayTable[[#This Row],[BookieInnsats]])*(1-LayTable[[#This Row],[C% Bookie]])</f>
        <v>0</v>
      </c>
      <c r="AA1893" s="43">
        <f>LayTable[[#This Row],[LayInnsats]]*(1-LayTable[[#This Row],[C% Lay]])</f>
        <v>0</v>
      </c>
      <c r="AB1893" s="43" t="str">
        <f>IFERROR(IF(LayTable[[#This Row],[Sport]]="",AB1892,LayTable[[#This Row],[Faktisk res]]+AB1892),"")</f>
        <v/>
      </c>
      <c r="AC1893" s="43">
        <f>(LayTable[[#This Row],[BackWin-Commission]]+LayTable[[#This Row],[BookieInnsats]])</f>
        <v>0</v>
      </c>
      <c r="AD1893" s="43" t="e">
        <f>(LayTable[[#This Row],[LayWin-Commission]])+LayTable[[#This Row],[LayLiability]]</f>
        <v>#VALUE!</v>
      </c>
      <c r="AE1893" s="43"/>
      <c r="AF1893" s="181"/>
    </row>
    <row r="1894" spans="1:32">
      <c r="A1894" s="84"/>
      <c r="B1894" s="39"/>
      <c r="C1894" s="40"/>
      <c r="D1894" s="41"/>
      <c r="E1894" s="40"/>
      <c r="F1894" s="41"/>
      <c r="G1894" s="101"/>
      <c r="H1894" s="38"/>
      <c r="I1894" s="42"/>
      <c r="J1894" s="42"/>
      <c r="K1894" s="43"/>
      <c r="L1894" s="43"/>
      <c r="M1894" s="44" t="str">
        <f>IF(LayTable[[#This Row],[Sport]]="","",LayTable[[#This Row],[LayInnsats]]*(LayTable[[#This Row],[LayOdds]]-1))</f>
        <v/>
      </c>
      <c r="N1894" s="45" t="str">
        <f>IF(LayTable[[#This Row],[Sport]]="","",1/((1/LayTable[[#This Row],[BookieOdds]])+(1/((1/((1+((LayTable[[#This Row],[LayOdds]]-1)*(1+LayTable[[#This Row],[C% Lay]])))-1))+1)))-1)</f>
        <v/>
      </c>
      <c r="Q1894" s="46" t="str">
        <f>IF(LayTable[[#This Row],[Sport]]="","",LayTable[[#This Row],[BookieInnsats]]+LayTable[[#This Row],[LayLiability]])</f>
        <v/>
      </c>
      <c r="R18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4" s="47" t="str">
        <f>IF(LayTable[[#This Row],[Utfall bookie]]="","",LayTable[[#This Row],[WBABack]]+LayTable[[#This Row],[WBALay]]-LayTable[[#This Row],[Total inns]])</f>
        <v/>
      </c>
      <c r="U18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4" s="48" t="str">
        <f>IFERROR(IF(LayTable[[#This Row],[Total inns]]="","",LayTable[[#This Row],[Rback]]/LayTable[[#This Row],[Total inns]]),"")</f>
        <v/>
      </c>
      <c r="X1894" s="48" t="str">
        <f>IFERROR(IF(LayTable[[#This Row],[Total inns]]="","",LayTable[[#This Row],[Rlay]]/LayTable[[#This Row],[Total inns]]),"")</f>
        <v/>
      </c>
      <c r="Y1894" s="48" t="str">
        <f>IFERROR(LayTable[[#This Row],[Faktisk res]]/LayTable[[#This Row],[Total inns]],"")</f>
        <v/>
      </c>
      <c r="Z1894" s="47">
        <f>(LayTable[[#This Row],[BookieInnsats]]*LayTable[[#This Row],[BookieOdds]]-LayTable[[#This Row],[BookieInnsats]])*(1-LayTable[[#This Row],[C% Bookie]])</f>
        <v>0</v>
      </c>
      <c r="AA1894" s="43">
        <f>LayTable[[#This Row],[LayInnsats]]*(1-LayTable[[#This Row],[C% Lay]])</f>
        <v>0</v>
      </c>
      <c r="AB1894" s="43" t="str">
        <f>IFERROR(IF(LayTable[[#This Row],[Sport]]="",AB1893,LayTable[[#This Row],[Faktisk res]]+AB1893),"")</f>
        <v/>
      </c>
      <c r="AC1894" s="43">
        <f>(LayTable[[#This Row],[BackWin-Commission]]+LayTable[[#This Row],[BookieInnsats]])</f>
        <v>0</v>
      </c>
      <c r="AD1894" s="43" t="e">
        <f>(LayTable[[#This Row],[LayWin-Commission]])+LayTable[[#This Row],[LayLiability]]</f>
        <v>#VALUE!</v>
      </c>
      <c r="AE1894" s="43"/>
      <c r="AF1894" s="181"/>
    </row>
    <row r="1895" spans="1:32">
      <c r="A1895" s="84"/>
      <c r="B1895" s="39"/>
      <c r="C1895" s="40"/>
      <c r="D1895" s="41"/>
      <c r="E1895" s="40"/>
      <c r="F1895" s="41"/>
      <c r="G1895" s="101"/>
      <c r="H1895" s="38"/>
      <c r="I1895" s="42"/>
      <c r="J1895" s="42"/>
      <c r="K1895" s="43"/>
      <c r="L1895" s="43"/>
      <c r="M1895" s="44" t="str">
        <f>IF(LayTable[[#This Row],[Sport]]="","",LayTable[[#This Row],[LayInnsats]]*(LayTable[[#This Row],[LayOdds]]-1))</f>
        <v/>
      </c>
      <c r="N1895" s="45" t="str">
        <f>IF(LayTable[[#This Row],[Sport]]="","",1/((1/LayTable[[#This Row],[BookieOdds]])+(1/((1/((1+((LayTable[[#This Row],[LayOdds]]-1)*(1+LayTable[[#This Row],[C% Lay]])))-1))+1)))-1)</f>
        <v/>
      </c>
      <c r="Q1895" s="46" t="str">
        <f>IF(LayTable[[#This Row],[Sport]]="","",LayTable[[#This Row],[BookieInnsats]]+LayTable[[#This Row],[LayLiability]])</f>
        <v/>
      </c>
      <c r="R18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5" s="47" t="str">
        <f>IF(LayTable[[#This Row],[Utfall bookie]]="","",LayTable[[#This Row],[WBABack]]+LayTable[[#This Row],[WBALay]]-LayTable[[#This Row],[Total inns]])</f>
        <v/>
      </c>
      <c r="U18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5" s="48" t="str">
        <f>IFERROR(IF(LayTable[[#This Row],[Total inns]]="","",LayTable[[#This Row],[Rback]]/LayTable[[#This Row],[Total inns]]),"")</f>
        <v/>
      </c>
      <c r="X1895" s="48" t="str">
        <f>IFERROR(IF(LayTable[[#This Row],[Total inns]]="","",LayTable[[#This Row],[Rlay]]/LayTable[[#This Row],[Total inns]]),"")</f>
        <v/>
      </c>
      <c r="Y1895" s="48" t="str">
        <f>IFERROR(LayTable[[#This Row],[Faktisk res]]/LayTable[[#This Row],[Total inns]],"")</f>
        <v/>
      </c>
      <c r="Z1895" s="47">
        <f>(LayTable[[#This Row],[BookieInnsats]]*LayTable[[#This Row],[BookieOdds]]-LayTable[[#This Row],[BookieInnsats]])*(1-LayTable[[#This Row],[C% Bookie]])</f>
        <v>0</v>
      </c>
      <c r="AA1895" s="43">
        <f>LayTable[[#This Row],[LayInnsats]]*(1-LayTable[[#This Row],[C% Lay]])</f>
        <v>0</v>
      </c>
      <c r="AB1895" s="43" t="str">
        <f>IFERROR(IF(LayTable[[#This Row],[Sport]]="",AB1894,LayTable[[#This Row],[Faktisk res]]+AB1894),"")</f>
        <v/>
      </c>
      <c r="AC1895" s="43">
        <f>(LayTable[[#This Row],[BackWin-Commission]]+LayTable[[#This Row],[BookieInnsats]])</f>
        <v>0</v>
      </c>
      <c r="AD1895" s="43" t="e">
        <f>(LayTable[[#This Row],[LayWin-Commission]])+LayTable[[#This Row],[LayLiability]]</f>
        <v>#VALUE!</v>
      </c>
      <c r="AE1895" s="43"/>
      <c r="AF1895" s="181"/>
    </row>
    <row r="1896" spans="1:32">
      <c r="A1896" s="84"/>
      <c r="B1896" s="39"/>
      <c r="C1896" s="40"/>
      <c r="D1896" s="41"/>
      <c r="E1896" s="40"/>
      <c r="F1896" s="41"/>
      <c r="G1896" s="101"/>
      <c r="H1896" s="38"/>
      <c r="I1896" s="42"/>
      <c r="J1896" s="42"/>
      <c r="K1896" s="43"/>
      <c r="L1896" s="43"/>
      <c r="M1896" s="44" t="str">
        <f>IF(LayTable[[#This Row],[Sport]]="","",LayTable[[#This Row],[LayInnsats]]*(LayTable[[#This Row],[LayOdds]]-1))</f>
        <v/>
      </c>
      <c r="N1896" s="45" t="str">
        <f>IF(LayTable[[#This Row],[Sport]]="","",1/((1/LayTable[[#This Row],[BookieOdds]])+(1/((1/((1+((LayTable[[#This Row],[LayOdds]]-1)*(1+LayTable[[#This Row],[C% Lay]])))-1))+1)))-1)</f>
        <v/>
      </c>
      <c r="Q1896" s="46" t="str">
        <f>IF(LayTable[[#This Row],[Sport]]="","",LayTable[[#This Row],[BookieInnsats]]+LayTable[[#This Row],[LayLiability]])</f>
        <v/>
      </c>
      <c r="R18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6" s="47" t="str">
        <f>IF(LayTable[[#This Row],[Utfall bookie]]="","",LayTable[[#This Row],[WBABack]]+LayTable[[#This Row],[WBALay]]-LayTable[[#This Row],[Total inns]])</f>
        <v/>
      </c>
      <c r="U18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6" s="48" t="str">
        <f>IFERROR(IF(LayTable[[#This Row],[Total inns]]="","",LayTable[[#This Row],[Rback]]/LayTable[[#This Row],[Total inns]]),"")</f>
        <v/>
      </c>
      <c r="X1896" s="48" t="str">
        <f>IFERROR(IF(LayTable[[#This Row],[Total inns]]="","",LayTable[[#This Row],[Rlay]]/LayTable[[#This Row],[Total inns]]),"")</f>
        <v/>
      </c>
      <c r="Y1896" s="48" t="str">
        <f>IFERROR(LayTable[[#This Row],[Faktisk res]]/LayTable[[#This Row],[Total inns]],"")</f>
        <v/>
      </c>
      <c r="Z1896" s="47">
        <f>(LayTable[[#This Row],[BookieInnsats]]*LayTable[[#This Row],[BookieOdds]]-LayTable[[#This Row],[BookieInnsats]])*(1-LayTable[[#This Row],[C% Bookie]])</f>
        <v>0</v>
      </c>
      <c r="AA1896" s="43">
        <f>LayTable[[#This Row],[LayInnsats]]*(1-LayTable[[#This Row],[C% Lay]])</f>
        <v>0</v>
      </c>
      <c r="AB1896" s="43" t="str">
        <f>IFERROR(IF(LayTable[[#This Row],[Sport]]="",AB1895,LayTable[[#This Row],[Faktisk res]]+AB1895),"")</f>
        <v/>
      </c>
      <c r="AC1896" s="43">
        <f>(LayTable[[#This Row],[BackWin-Commission]]+LayTable[[#This Row],[BookieInnsats]])</f>
        <v>0</v>
      </c>
      <c r="AD1896" s="43" t="e">
        <f>(LayTable[[#This Row],[LayWin-Commission]])+LayTable[[#This Row],[LayLiability]]</f>
        <v>#VALUE!</v>
      </c>
      <c r="AE1896" s="43"/>
      <c r="AF1896" s="181"/>
    </row>
    <row r="1897" spans="1:32">
      <c r="A1897" s="84"/>
      <c r="B1897" s="39"/>
      <c r="C1897" s="40"/>
      <c r="D1897" s="41"/>
      <c r="E1897" s="40"/>
      <c r="F1897" s="41"/>
      <c r="G1897" s="101"/>
      <c r="H1897" s="38"/>
      <c r="I1897" s="42"/>
      <c r="J1897" s="42"/>
      <c r="K1897" s="43"/>
      <c r="L1897" s="43"/>
      <c r="M1897" s="44" t="str">
        <f>IF(LayTable[[#This Row],[Sport]]="","",LayTable[[#This Row],[LayInnsats]]*(LayTable[[#This Row],[LayOdds]]-1))</f>
        <v/>
      </c>
      <c r="N1897" s="45" t="str">
        <f>IF(LayTable[[#This Row],[Sport]]="","",1/((1/LayTable[[#This Row],[BookieOdds]])+(1/((1/((1+((LayTable[[#This Row],[LayOdds]]-1)*(1+LayTable[[#This Row],[C% Lay]])))-1))+1)))-1)</f>
        <v/>
      </c>
      <c r="Q1897" s="46" t="str">
        <f>IF(LayTable[[#This Row],[Sport]]="","",LayTable[[#This Row],[BookieInnsats]]+LayTable[[#This Row],[LayLiability]])</f>
        <v/>
      </c>
      <c r="R18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7" s="47" t="str">
        <f>IF(LayTable[[#This Row],[Utfall bookie]]="","",LayTable[[#This Row],[WBABack]]+LayTable[[#This Row],[WBALay]]-LayTable[[#This Row],[Total inns]])</f>
        <v/>
      </c>
      <c r="U18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7" s="48" t="str">
        <f>IFERROR(IF(LayTable[[#This Row],[Total inns]]="","",LayTable[[#This Row],[Rback]]/LayTable[[#This Row],[Total inns]]),"")</f>
        <v/>
      </c>
      <c r="X1897" s="48" t="str">
        <f>IFERROR(IF(LayTable[[#This Row],[Total inns]]="","",LayTable[[#This Row],[Rlay]]/LayTable[[#This Row],[Total inns]]),"")</f>
        <v/>
      </c>
      <c r="Y1897" s="48" t="str">
        <f>IFERROR(LayTable[[#This Row],[Faktisk res]]/LayTable[[#This Row],[Total inns]],"")</f>
        <v/>
      </c>
      <c r="Z1897" s="47">
        <f>(LayTable[[#This Row],[BookieInnsats]]*LayTable[[#This Row],[BookieOdds]]-LayTable[[#This Row],[BookieInnsats]])*(1-LayTable[[#This Row],[C% Bookie]])</f>
        <v>0</v>
      </c>
      <c r="AA1897" s="43">
        <f>LayTable[[#This Row],[LayInnsats]]*(1-LayTable[[#This Row],[C% Lay]])</f>
        <v>0</v>
      </c>
      <c r="AB1897" s="43" t="str">
        <f>IFERROR(IF(LayTable[[#This Row],[Sport]]="",AB1896,LayTable[[#This Row],[Faktisk res]]+AB1896),"")</f>
        <v/>
      </c>
      <c r="AC1897" s="43">
        <f>(LayTable[[#This Row],[BackWin-Commission]]+LayTable[[#This Row],[BookieInnsats]])</f>
        <v>0</v>
      </c>
      <c r="AD1897" s="43" t="e">
        <f>(LayTable[[#This Row],[LayWin-Commission]])+LayTable[[#This Row],[LayLiability]]</f>
        <v>#VALUE!</v>
      </c>
      <c r="AE1897" s="43"/>
      <c r="AF1897" s="181"/>
    </row>
    <row r="1898" spans="1:32">
      <c r="A1898" s="84"/>
      <c r="B1898" s="39"/>
      <c r="C1898" s="40"/>
      <c r="D1898" s="41"/>
      <c r="E1898" s="40"/>
      <c r="F1898" s="41"/>
      <c r="G1898" s="101"/>
      <c r="H1898" s="38"/>
      <c r="I1898" s="42"/>
      <c r="J1898" s="42"/>
      <c r="K1898" s="43"/>
      <c r="L1898" s="43"/>
      <c r="M1898" s="44" t="str">
        <f>IF(LayTable[[#This Row],[Sport]]="","",LayTable[[#This Row],[LayInnsats]]*(LayTable[[#This Row],[LayOdds]]-1))</f>
        <v/>
      </c>
      <c r="N1898" s="45" t="str">
        <f>IF(LayTable[[#This Row],[Sport]]="","",1/((1/LayTable[[#This Row],[BookieOdds]])+(1/((1/((1+((LayTable[[#This Row],[LayOdds]]-1)*(1+LayTable[[#This Row],[C% Lay]])))-1))+1)))-1)</f>
        <v/>
      </c>
      <c r="Q1898" s="46" t="str">
        <f>IF(LayTable[[#This Row],[Sport]]="","",LayTable[[#This Row],[BookieInnsats]]+LayTable[[#This Row],[LayLiability]])</f>
        <v/>
      </c>
      <c r="R18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8" s="47" t="str">
        <f>IF(LayTable[[#This Row],[Utfall bookie]]="","",LayTable[[#This Row],[WBABack]]+LayTable[[#This Row],[WBALay]]-LayTable[[#This Row],[Total inns]])</f>
        <v/>
      </c>
      <c r="U18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8" s="48" t="str">
        <f>IFERROR(IF(LayTable[[#This Row],[Total inns]]="","",LayTable[[#This Row],[Rback]]/LayTable[[#This Row],[Total inns]]),"")</f>
        <v/>
      </c>
      <c r="X1898" s="48" t="str">
        <f>IFERROR(IF(LayTable[[#This Row],[Total inns]]="","",LayTable[[#This Row],[Rlay]]/LayTable[[#This Row],[Total inns]]),"")</f>
        <v/>
      </c>
      <c r="Y1898" s="48" t="str">
        <f>IFERROR(LayTable[[#This Row],[Faktisk res]]/LayTable[[#This Row],[Total inns]],"")</f>
        <v/>
      </c>
      <c r="Z1898" s="47">
        <f>(LayTable[[#This Row],[BookieInnsats]]*LayTable[[#This Row],[BookieOdds]]-LayTable[[#This Row],[BookieInnsats]])*(1-LayTable[[#This Row],[C% Bookie]])</f>
        <v>0</v>
      </c>
      <c r="AA1898" s="43">
        <f>LayTable[[#This Row],[LayInnsats]]*(1-LayTable[[#This Row],[C% Lay]])</f>
        <v>0</v>
      </c>
      <c r="AB1898" s="43" t="str">
        <f>IFERROR(IF(LayTable[[#This Row],[Sport]]="",AB1897,LayTable[[#This Row],[Faktisk res]]+AB1897),"")</f>
        <v/>
      </c>
      <c r="AC1898" s="43">
        <f>(LayTable[[#This Row],[BackWin-Commission]]+LayTable[[#This Row],[BookieInnsats]])</f>
        <v>0</v>
      </c>
      <c r="AD1898" s="43" t="e">
        <f>(LayTable[[#This Row],[LayWin-Commission]])+LayTable[[#This Row],[LayLiability]]</f>
        <v>#VALUE!</v>
      </c>
      <c r="AE1898" s="43"/>
      <c r="AF1898" s="181"/>
    </row>
    <row r="1899" spans="1:32">
      <c r="A1899" s="84"/>
      <c r="B1899" s="39"/>
      <c r="C1899" s="40"/>
      <c r="D1899" s="41"/>
      <c r="E1899" s="40"/>
      <c r="F1899" s="41"/>
      <c r="G1899" s="101"/>
      <c r="H1899" s="38"/>
      <c r="I1899" s="42"/>
      <c r="J1899" s="42"/>
      <c r="K1899" s="43"/>
      <c r="L1899" s="43"/>
      <c r="M1899" s="44" t="str">
        <f>IF(LayTable[[#This Row],[Sport]]="","",LayTable[[#This Row],[LayInnsats]]*(LayTable[[#This Row],[LayOdds]]-1))</f>
        <v/>
      </c>
      <c r="N1899" s="45" t="str">
        <f>IF(LayTable[[#This Row],[Sport]]="","",1/((1/LayTable[[#This Row],[BookieOdds]])+(1/((1/((1+((LayTable[[#This Row],[LayOdds]]-1)*(1+LayTable[[#This Row],[C% Lay]])))-1))+1)))-1)</f>
        <v/>
      </c>
      <c r="Q1899" s="46" t="str">
        <f>IF(LayTable[[#This Row],[Sport]]="","",LayTable[[#This Row],[BookieInnsats]]+LayTable[[#This Row],[LayLiability]])</f>
        <v/>
      </c>
      <c r="R18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8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899" s="47" t="str">
        <f>IF(LayTable[[#This Row],[Utfall bookie]]="","",LayTable[[#This Row],[WBABack]]+LayTable[[#This Row],[WBALay]]-LayTable[[#This Row],[Total inns]])</f>
        <v/>
      </c>
      <c r="U18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8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899" s="48" t="str">
        <f>IFERROR(IF(LayTable[[#This Row],[Total inns]]="","",LayTable[[#This Row],[Rback]]/LayTable[[#This Row],[Total inns]]),"")</f>
        <v/>
      </c>
      <c r="X1899" s="48" t="str">
        <f>IFERROR(IF(LayTable[[#This Row],[Total inns]]="","",LayTable[[#This Row],[Rlay]]/LayTable[[#This Row],[Total inns]]),"")</f>
        <v/>
      </c>
      <c r="Y1899" s="48" t="str">
        <f>IFERROR(LayTable[[#This Row],[Faktisk res]]/LayTable[[#This Row],[Total inns]],"")</f>
        <v/>
      </c>
      <c r="Z1899" s="47">
        <f>(LayTable[[#This Row],[BookieInnsats]]*LayTable[[#This Row],[BookieOdds]]-LayTable[[#This Row],[BookieInnsats]])*(1-LayTable[[#This Row],[C% Bookie]])</f>
        <v>0</v>
      </c>
      <c r="AA1899" s="43">
        <f>LayTable[[#This Row],[LayInnsats]]*(1-LayTable[[#This Row],[C% Lay]])</f>
        <v>0</v>
      </c>
      <c r="AB1899" s="43" t="str">
        <f>IFERROR(IF(LayTable[[#This Row],[Sport]]="",AB1898,LayTable[[#This Row],[Faktisk res]]+AB1898),"")</f>
        <v/>
      </c>
      <c r="AC1899" s="43">
        <f>(LayTable[[#This Row],[BackWin-Commission]]+LayTable[[#This Row],[BookieInnsats]])</f>
        <v>0</v>
      </c>
      <c r="AD1899" s="43" t="e">
        <f>(LayTable[[#This Row],[LayWin-Commission]])+LayTable[[#This Row],[LayLiability]]</f>
        <v>#VALUE!</v>
      </c>
      <c r="AE1899" s="43"/>
      <c r="AF1899" s="181"/>
    </row>
    <row r="1900" spans="1:32">
      <c r="A1900" s="84"/>
      <c r="B1900" s="39"/>
      <c r="C1900" s="40"/>
      <c r="D1900" s="41"/>
      <c r="E1900" s="40"/>
      <c r="F1900" s="41"/>
      <c r="G1900" s="101"/>
      <c r="H1900" s="38"/>
      <c r="I1900" s="42"/>
      <c r="J1900" s="42"/>
      <c r="K1900" s="43"/>
      <c r="L1900" s="43"/>
      <c r="M1900" s="44" t="str">
        <f>IF(LayTable[[#This Row],[Sport]]="","",LayTable[[#This Row],[LayInnsats]]*(LayTable[[#This Row],[LayOdds]]-1))</f>
        <v/>
      </c>
      <c r="N1900" s="45" t="str">
        <f>IF(LayTable[[#This Row],[Sport]]="","",1/((1/LayTable[[#This Row],[BookieOdds]])+(1/((1/((1+((LayTable[[#This Row],[LayOdds]]-1)*(1+LayTable[[#This Row],[C% Lay]])))-1))+1)))-1)</f>
        <v/>
      </c>
      <c r="Q1900" s="46" t="str">
        <f>IF(LayTable[[#This Row],[Sport]]="","",LayTable[[#This Row],[BookieInnsats]]+LayTable[[#This Row],[LayLiability]])</f>
        <v/>
      </c>
      <c r="R19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0" s="47" t="str">
        <f>IF(LayTable[[#This Row],[Utfall bookie]]="","",LayTable[[#This Row],[WBABack]]+LayTable[[#This Row],[WBALay]]-LayTable[[#This Row],[Total inns]])</f>
        <v/>
      </c>
      <c r="U19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0" s="48" t="str">
        <f>IFERROR(IF(LayTable[[#This Row],[Total inns]]="","",LayTable[[#This Row],[Rback]]/LayTable[[#This Row],[Total inns]]),"")</f>
        <v/>
      </c>
      <c r="X1900" s="48" t="str">
        <f>IFERROR(IF(LayTable[[#This Row],[Total inns]]="","",LayTable[[#This Row],[Rlay]]/LayTable[[#This Row],[Total inns]]),"")</f>
        <v/>
      </c>
      <c r="Y1900" s="48" t="str">
        <f>IFERROR(LayTable[[#This Row],[Faktisk res]]/LayTable[[#This Row],[Total inns]],"")</f>
        <v/>
      </c>
      <c r="Z1900" s="47">
        <f>(LayTable[[#This Row],[BookieInnsats]]*LayTable[[#This Row],[BookieOdds]]-LayTable[[#This Row],[BookieInnsats]])*(1-LayTable[[#This Row],[C% Bookie]])</f>
        <v>0</v>
      </c>
      <c r="AA1900" s="43">
        <f>LayTable[[#This Row],[LayInnsats]]*(1-LayTable[[#This Row],[C% Lay]])</f>
        <v>0</v>
      </c>
      <c r="AB1900" s="43" t="str">
        <f>IFERROR(IF(LayTable[[#This Row],[Sport]]="",AB1899,LayTable[[#This Row],[Faktisk res]]+AB1899),"")</f>
        <v/>
      </c>
      <c r="AC1900" s="43">
        <f>(LayTable[[#This Row],[BackWin-Commission]]+LayTable[[#This Row],[BookieInnsats]])</f>
        <v>0</v>
      </c>
      <c r="AD1900" s="43" t="e">
        <f>(LayTable[[#This Row],[LayWin-Commission]])+LayTable[[#This Row],[LayLiability]]</f>
        <v>#VALUE!</v>
      </c>
      <c r="AE1900" s="43"/>
      <c r="AF1900" s="181"/>
    </row>
    <row r="1901" spans="1:32">
      <c r="A1901" s="84"/>
      <c r="B1901" s="39"/>
      <c r="C1901" s="40"/>
      <c r="D1901" s="41"/>
      <c r="E1901" s="40"/>
      <c r="F1901" s="41"/>
      <c r="G1901" s="101"/>
      <c r="H1901" s="38"/>
      <c r="I1901" s="42"/>
      <c r="J1901" s="42"/>
      <c r="K1901" s="43"/>
      <c r="L1901" s="43"/>
      <c r="M1901" s="44" t="str">
        <f>IF(LayTable[[#This Row],[Sport]]="","",LayTable[[#This Row],[LayInnsats]]*(LayTable[[#This Row],[LayOdds]]-1))</f>
        <v/>
      </c>
      <c r="N1901" s="45" t="str">
        <f>IF(LayTable[[#This Row],[Sport]]="","",1/((1/LayTable[[#This Row],[BookieOdds]])+(1/((1/((1+((LayTable[[#This Row],[LayOdds]]-1)*(1+LayTable[[#This Row],[C% Lay]])))-1))+1)))-1)</f>
        <v/>
      </c>
      <c r="Q1901" s="46" t="str">
        <f>IF(LayTable[[#This Row],[Sport]]="","",LayTable[[#This Row],[BookieInnsats]]+LayTable[[#This Row],[LayLiability]])</f>
        <v/>
      </c>
      <c r="R19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1" s="47" t="str">
        <f>IF(LayTable[[#This Row],[Utfall bookie]]="","",LayTable[[#This Row],[WBABack]]+LayTable[[#This Row],[WBALay]]-LayTable[[#This Row],[Total inns]])</f>
        <v/>
      </c>
      <c r="U19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1" s="48" t="str">
        <f>IFERROR(IF(LayTable[[#This Row],[Total inns]]="","",LayTable[[#This Row],[Rback]]/LayTable[[#This Row],[Total inns]]),"")</f>
        <v/>
      </c>
      <c r="X1901" s="48" t="str">
        <f>IFERROR(IF(LayTable[[#This Row],[Total inns]]="","",LayTable[[#This Row],[Rlay]]/LayTable[[#This Row],[Total inns]]),"")</f>
        <v/>
      </c>
      <c r="Y1901" s="48" t="str">
        <f>IFERROR(LayTable[[#This Row],[Faktisk res]]/LayTable[[#This Row],[Total inns]],"")</f>
        <v/>
      </c>
      <c r="Z1901" s="47">
        <f>(LayTable[[#This Row],[BookieInnsats]]*LayTable[[#This Row],[BookieOdds]]-LayTable[[#This Row],[BookieInnsats]])*(1-LayTable[[#This Row],[C% Bookie]])</f>
        <v>0</v>
      </c>
      <c r="AA1901" s="43">
        <f>LayTable[[#This Row],[LayInnsats]]*(1-LayTable[[#This Row],[C% Lay]])</f>
        <v>0</v>
      </c>
      <c r="AB1901" s="43" t="str">
        <f>IFERROR(IF(LayTable[[#This Row],[Sport]]="",AB1900,LayTable[[#This Row],[Faktisk res]]+AB1900),"")</f>
        <v/>
      </c>
      <c r="AC1901" s="43">
        <f>(LayTable[[#This Row],[BackWin-Commission]]+LayTable[[#This Row],[BookieInnsats]])</f>
        <v>0</v>
      </c>
      <c r="AD1901" s="43" t="e">
        <f>(LayTable[[#This Row],[LayWin-Commission]])+LayTable[[#This Row],[LayLiability]]</f>
        <v>#VALUE!</v>
      </c>
      <c r="AE1901" s="43"/>
      <c r="AF1901" s="181"/>
    </row>
    <row r="1902" spans="1:32">
      <c r="A1902" s="84"/>
      <c r="B1902" s="39"/>
      <c r="C1902" s="40"/>
      <c r="D1902" s="41"/>
      <c r="E1902" s="40"/>
      <c r="F1902" s="41"/>
      <c r="G1902" s="101"/>
      <c r="H1902" s="38"/>
      <c r="I1902" s="42"/>
      <c r="J1902" s="42"/>
      <c r="K1902" s="43"/>
      <c r="L1902" s="43"/>
      <c r="M1902" s="44" t="str">
        <f>IF(LayTable[[#This Row],[Sport]]="","",LayTable[[#This Row],[LayInnsats]]*(LayTable[[#This Row],[LayOdds]]-1))</f>
        <v/>
      </c>
      <c r="N1902" s="45" t="str">
        <f>IF(LayTable[[#This Row],[Sport]]="","",1/((1/LayTable[[#This Row],[BookieOdds]])+(1/((1/((1+((LayTable[[#This Row],[LayOdds]]-1)*(1+LayTable[[#This Row],[C% Lay]])))-1))+1)))-1)</f>
        <v/>
      </c>
      <c r="Q1902" s="46" t="str">
        <f>IF(LayTable[[#This Row],[Sport]]="","",LayTable[[#This Row],[BookieInnsats]]+LayTable[[#This Row],[LayLiability]])</f>
        <v/>
      </c>
      <c r="R19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2" s="47" t="str">
        <f>IF(LayTable[[#This Row],[Utfall bookie]]="","",LayTable[[#This Row],[WBABack]]+LayTable[[#This Row],[WBALay]]-LayTable[[#This Row],[Total inns]])</f>
        <v/>
      </c>
      <c r="U19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2" s="48" t="str">
        <f>IFERROR(IF(LayTable[[#This Row],[Total inns]]="","",LayTable[[#This Row],[Rback]]/LayTable[[#This Row],[Total inns]]),"")</f>
        <v/>
      </c>
      <c r="X1902" s="48" t="str">
        <f>IFERROR(IF(LayTable[[#This Row],[Total inns]]="","",LayTable[[#This Row],[Rlay]]/LayTable[[#This Row],[Total inns]]),"")</f>
        <v/>
      </c>
      <c r="Y1902" s="48" t="str">
        <f>IFERROR(LayTable[[#This Row],[Faktisk res]]/LayTable[[#This Row],[Total inns]],"")</f>
        <v/>
      </c>
      <c r="Z1902" s="47">
        <f>(LayTable[[#This Row],[BookieInnsats]]*LayTable[[#This Row],[BookieOdds]]-LayTable[[#This Row],[BookieInnsats]])*(1-LayTable[[#This Row],[C% Bookie]])</f>
        <v>0</v>
      </c>
      <c r="AA1902" s="43">
        <f>LayTable[[#This Row],[LayInnsats]]*(1-LayTable[[#This Row],[C% Lay]])</f>
        <v>0</v>
      </c>
      <c r="AB1902" s="43" t="str">
        <f>IFERROR(IF(LayTable[[#This Row],[Sport]]="",AB1901,LayTable[[#This Row],[Faktisk res]]+AB1901),"")</f>
        <v/>
      </c>
      <c r="AC1902" s="43">
        <f>(LayTable[[#This Row],[BackWin-Commission]]+LayTable[[#This Row],[BookieInnsats]])</f>
        <v>0</v>
      </c>
      <c r="AD1902" s="43" t="e">
        <f>(LayTable[[#This Row],[LayWin-Commission]])+LayTable[[#This Row],[LayLiability]]</f>
        <v>#VALUE!</v>
      </c>
      <c r="AE1902" s="43"/>
      <c r="AF1902" s="181"/>
    </row>
    <row r="1903" spans="1:32">
      <c r="A1903" s="84"/>
      <c r="B1903" s="39"/>
      <c r="C1903" s="40"/>
      <c r="D1903" s="41"/>
      <c r="E1903" s="40"/>
      <c r="F1903" s="41"/>
      <c r="G1903" s="101"/>
      <c r="H1903" s="38"/>
      <c r="I1903" s="42"/>
      <c r="J1903" s="42"/>
      <c r="K1903" s="43"/>
      <c r="L1903" s="43"/>
      <c r="M1903" s="44" t="str">
        <f>IF(LayTable[[#This Row],[Sport]]="","",LayTable[[#This Row],[LayInnsats]]*(LayTable[[#This Row],[LayOdds]]-1))</f>
        <v/>
      </c>
      <c r="N1903" s="45" t="str">
        <f>IF(LayTable[[#This Row],[Sport]]="","",1/((1/LayTable[[#This Row],[BookieOdds]])+(1/((1/((1+((LayTable[[#This Row],[LayOdds]]-1)*(1+LayTable[[#This Row],[C% Lay]])))-1))+1)))-1)</f>
        <v/>
      </c>
      <c r="Q1903" s="46" t="str">
        <f>IF(LayTable[[#This Row],[Sport]]="","",LayTable[[#This Row],[BookieInnsats]]+LayTable[[#This Row],[LayLiability]])</f>
        <v/>
      </c>
      <c r="R19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3" s="47" t="str">
        <f>IF(LayTable[[#This Row],[Utfall bookie]]="","",LayTable[[#This Row],[WBABack]]+LayTable[[#This Row],[WBALay]]-LayTable[[#This Row],[Total inns]])</f>
        <v/>
      </c>
      <c r="U19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3" s="48" t="str">
        <f>IFERROR(IF(LayTable[[#This Row],[Total inns]]="","",LayTable[[#This Row],[Rback]]/LayTable[[#This Row],[Total inns]]),"")</f>
        <v/>
      </c>
      <c r="X1903" s="48" t="str">
        <f>IFERROR(IF(LayTable[[#This Row],[Total inns]]="","",LayTable[[#This Row],[Rlay]]/LayTable[[#This Row],[Total inns]]),"")</f>
        <v/>
      </c>
      <c r="Y1903" s="48" t="str">
        <f>IFERROR(LayTable[[#This Row],[Faktisk res]]/LayTable[[#This Row],[Total inns]],"")</f>
        <v/>
      </c>
      <c r="Z1903" s="47">
        <f>(LayTable[[#This Row],[BookieInnsats]]*LayTable[[#This Row],[BookieOdds]]-LayTable[[#This Row],[BookieInnsats]])*(1-LayTable[[#This Row],[C% Bookie]])</f>
        <v>0</v>
      </c>
      <c r="AA1903" s="43">
        <f>LayTable[[#This Row],[LayInnsats]]*(1-LayTable[[#This Row],[C% Lay]])</f>
        <v>0</v>
      </c>
      <c r="AB1903" s="43" t="str">
        <f>IFERROR(IF(LayTable[[#This Row],[Sport]]="",AB1902,LayTable[[#This Row],[Faktisk res]]+AB1902),"")</f>
        <v/>
      </c>
      <c r="AC1903" s="43">
        <f>(LayTable[[#This Row],[BackWin-Commission]]+LayTable[[#This Row],[BookieInnsats]])</f>
        <v>0</v>
      </c>
      <c r="AD1903" s="43" t="e">
        <f>(LayTable[[#This Row],[LayWin-Commission]])+LayTable[[#This Row],[LayLiability]]</f>
        <v>#VALUE!</v>
      </c>
      <c r="AE1903" s="43"/>
      <c r="AF1903" s="181"/>
    </row>
    <row r="1904" spans="1:32">
      <c r="A1904" s="84"/>
      <c r="B1904" s="39"/>
      <c r="C1904" s="40"/>
      <c r="D1904" s="41"/>
      <c r="E1904" s="40"/>
      <c r="F1904" s="41"/>
      <c r="G1904" s="101"/>
      <c r="H1904" s="38"/>
      <c r="I1904" s="42"/>
      <c r="J1904" s="42"/>
      <c r="K1904" s="43"/>
      <c r="L1904" s="43"/>
      <c r="M1904" s="44" t="str">
        <f>IF(LayTable[[#This Row],[Sport]]="","",LayTable[[#This Row],[LayInnsats]]*(LayTable[[#This Row],[LayOdds]]-1))</f>
        <v/>
      </c>
      <c r="N1904" s="45" t="str">
        <f>IF(LayTable[[#This Row],[Sport]]="","",1/((1/LayTable[[#This Row],[BookieOdds]])+(1/((1/((1+((LayTable[[#This Row],[LayOdds]]-1)*(1+LayTable[[#This Row],[C% Lay]])))-1))+1)))-1)</f>
        <v/>
      </c>
      <c r="Q1904" s="46" t="str">
        <f>IF(LayTable[[#This Row],[Sport]]="","",LayTable[[#This Row],[BookieInnsats]]+LayTable[[#This Row],[LayLiability]])</f>
        <v/>
      </c>
      <c r="R19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4" s="47" t="str">
        <f>IF(LayTable[[#This Row],[Utfall bookie]]="","",LayTable[[#This Row],[WBABack]]+LayTable[[#This Row],[WBALay]]-LayTable[[#This Row],[Total inns]])</f>
        <v/>
      </c>
      <c r="U19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4" s="48" t="str">
        <f>IFERROR(IF(LayTable[[#This Row],[Total inns]]="","",LayTable[[#This Row],[Rback]]/LayTable[[#This Row],[Total inns]]),"")</f>
        <v/>
      </c>
      <c r="X1904" s="48" t="str">
        <f>IFERROR(IF(LayTable[[#This Row],[Total inns]]="","",LayTable[[#This Row],[Rlay]]/LayTable[[#This Row],[Total inns]]),"")</f>
        <v/>
      </c>
      <c r="Y1904" s="48" t="str">
        <f>IFERROR(LayTable[[#This Row],[Faktisk res]]/LayTable[[#This Row],[Total inns]],"")</f>
        <v/>
      </c>
      <c r="Z1904" s="47">
        <f>(LayTable[[#This Row],[BookieInnsats]]*LayTable[[#This Row],[BookieOdds]]-LayTable[[#This Row],[BookieInnsats]])*(1-LayTable[[#This Row],[C% Bookie]])</f>
        <v>0</v>
      </c>
      <c r="AA1904" s="43">
        <f>LayTable[[#This Row],[LayInnsats]]*(1-LayTable[[#This Row],[C% Lay]])</f>
        <v>0</v>
      </c>
      <c r="AB1904" s="43" t="str">
        <f>IFERROR(IF(LayTable[[#This Row],[Sport]]="",AB1903,LayTable[[#This Row],[Faktisk res]]+AB1903),"")</f>
        <v/>
      </c>
      <c r="AC1904" s="43">
        <f>(LayTable[[#This Row],[BackWin-Commission]]+LayTable[[#This Row],[BookieInnsats]])</f>
        <v>0</v>
      </c>
      <c r="AD1904" s="43" t="e">
        <f>(LayTable[[#This Row],[LayWin-Commission]])+LayTable[[#This Row],[LayLiability]]</f>
        <v>#VALUE!</v>
      </c>
      <c r="AE1904" s="43"/>
      <c r="AF1904" s="181"/>
    </row>
    <row r="1905" spans="1:32">
      <c r="A1905" s="84"/>
      <c r="B1905" s="39"/>
      <c r="C1905" s="40"/>
      <c r="D1905" s="41"/>
      <c r="E1905" s="40"/>
      <c r="F1905" s="41"/>
      <c r="G1905" s="101"/>
      <c r="H1905" s="38"/>
      <c r="I1905" s="42"/>
      <c r="J1905" s="42"/>
      <c r="K1905" s="43"/>
      <c r="L1905" s="43"/>
      <c r="M1905" s="44" t="str">
        <f>IF(LayTable[[#This Row],[Sport]]="","",LayTable[[#This Row],[LayInnsats]]*(LayTable[[#This Row],[LayOdds]]-1))</f>
        <v/>
      </c>
      <c r="N1905" s="45" t="str">
        <f>IF(LayTable[[#This Row],[Sport]]="","",1/((1/LayTable[[#This Row],[BookieOdds]])+(1/((1/((1+((LayTable[[#This Row],[LayOdds]]-1)*(1+LayTable[[#This Row],[C% Lay]])))-1))+1)))-1)</f>
        <v/>
      </c>
      <c r="Q1905" s="46" t="str">
        <f>IF(LayTable[[#This Row],[Sport]]="","",LayTable[[#This Row],[BookieInnsats]]+LayTable[[#This Row],[LayLiability]])</f>
        <v/>
      </c>
      <c r="R19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5" s="47" t="str">
        <f>IF(LayTable[[#This Row],[Utfall bookie]]="","",LayTable[[#This Row],[WBABack]]+LayTable[[#This Row],[WBALay]]-LayTable[[#This Row],[Total inns]])</f>
        <v/>
      </c>
      <c r="U19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5" s="48" t="str">
        <f>IFERROR(IF(LayTable[[#This Row],[Total inns]]="","",LayTable[[#This Row],[Rback]]/LayTable[[#This Row],[Total inns]]),"")</f>
        <v/>
      </c>
      <c r="X1905" s="48" t="str">
        <f>IFERROR(IF(LayTable[[#This Row],[Total inns]]="","",LayTable[[#This Row],[Rlay]]/LayTable[[#This Row],[Total inns]]),"")</f>
        <v/>
      </c>
      <c r="Y1905" s="48" t="str">
        <f>IFERROR(LayTable[[#This Row],[Faktisk res]]/LayTable[[#This Row],[Total inns]],"")</f>
        <v/>
      </c>
      <c r="Z1905" s="47">
        <f>(LayTable[[#This Row],[BookieInnsats]]*LayTable[[#This Row],[BookieOdds]]-LayTable[[#This Row],[BookieInnsats]])*(1-LayTable[[#This Row],[C% Bookie]])</f>
        <v>0</v>
      </c>
      <c r="AA1905" s="43">
        <f>LayTable[[#This Row],[LayInnsats]]*(1-LayTable[[#This Row],[C% Lay]])</f>
        <v>0</v>
      </c>
      <c r="AB1905" s="43" t="str">
        <f>IFERROR(IF(LayTable[[#This Row],[Sport]]="",AB1904,LayTable[[#This Row],[Faktisk res]]+AB1904),"")</f>
        <v/>
      </c>
      <c r="AC1905" s="43">
        <f>(LayTable[[#This Row],[BackWin-Commission]]+LayTable[[#This Row],[BookieInnsats]])</f>
        <v>0</v>
      </c>
      <c r="AD1905" s="43" t="e">
        <f>(LayTable[[#This Row],[LayWin-Commission]])+LayTable[[#This Row],[LayLiability]]</f>
        <v>#VALUE!</v>
      </c>
      <c r="AE1905" s="43"/>
      <c r="AF1905" s="181"/>
    </row>
    <row r="1906" spans="1:32">
      <c r="A1906" s="84"/>
      <c r="B1906" s="39"/>
      <c r="C1906" s="40"/>
      <c r="D1906" s="41"/>
      <c r="E1906" s="40"/>
      <c r="F1906" s="41"/>
      <c r="G1906" s="101"/>
      <c r="H1906" s="38"/>
      <c r="I1906" s="42"/>
      <c r="J1906" s="42"/>
      <c r="K1906" s="43"/>
      <c r="L1906" s="43"/>
      <c r="M1906" s="44" t="str">
        <f>IF(LayTable[[#This Row],[Sport]]="","",LayTable[[#This Row],[LayInnsats]]*(LayTable[[#This Row],[LayOdds]]-1))</f>
        <v/>
      </c>
      <c r="N1906" s="45" t="str">
        <f>IF(LayTable[[#This Row],[Sport]]="","",1/((1/LayTable[[#This Row],[BookieOdds]])+(1/((1/((1+((LayTable[[#This Row],[LayOdds]]-1)*(1+LayTable[[#This Row],[C% Lay]])))-1))+1)))-1)</f>
        <v/>
      </c>
      <c r="Q1906" s="46" t="str">
        <f>IF(LayTable[[#This Row],[Sport]]="","",LayTable[[#This Row],[BookieInnsats]]+LayTable[[#This Row],[LayLiability]])</f>
        <v/>
      </c>
      <c r="R19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6" s="47" t="str">
        <f>IF(LayTable[[#This Row],[Utfall bookie]]="","",LayTable[[#This Row],[WBABack]]+LayTable[[#This Row],[WBALay]]-LayTable[[#This Row],[Total inns]])</f>
        <v/>
      </c>
      <c r="U19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6" s="48" t="str">
        <f>IFERROR(IF(LayTable[[#This Row],[Total inns]]="","",LayTable[[#This Row],[Rback]]/LayTable[[#This Row],[Total inns]]),"")</f>
        <v/>
      </c>
      <c r="X1906" s="48" t="str">
        <f>IFERROR(IF(LayTable[[#This Row],[Total inns]]="","",LayTable[[#This Row],[Rlay]]/LayTable[[#This Row],[Total inns]]),"")</f>
        <v/>
      </c>
      <c r="Y1906" s="48" t="str">
        <f>IFERROR(LayTable[[#This Row],[Faktisk res]]/LayTable[[#This Row],[Total inns]],"")</f>
        <v/>
      </c>
      <c r="Z1906" s="47">
        <f>(LayTable[[#This Row],[BookieInnsats]]*LayTable[[#This Row],[BookieOdds]]-LayTable[[#This Row],[BookieInnsats]])*(1-LayTable[[#This Row],[C% Bookie]])</f>
        <v>0</v>
      </c>
      <c r="AA1906" s="43">
        <f>LayTable[[#This Row],[LayInnsats]]*(1-LayTable[[#This Row],[C% Lay]])</f>
        <v>0</v>
      </c>
      <c r="AB1906" s="43" t="str">
        <f>IFERROR(IF(LayTable[[#This Row],[Sport]]="",AB1905,LayTable[[#This Row],[Faktisk res]]+AB1905),"")</f>
        <v/>
      </c>
      <c r="AC1906" s="43">
        <f>(LayTable[[#This Row],[BackWin-Commission]]+LayTable[[#This Row],[BookieInnsats]])</f>
        <v>0</v>
      </c>
      <c r="AD1906" s="43" t="e">
        <f>(LayTable[[#This Row],[LayWin-Commission]])+LayTable[[#This Row],[LayLiability]]</f>
        <v>#VALUE!</v>
      </c>
      <c r="AE1906" s="43"/>
      <c r="AF1906" s="181"/>
    </row>
    <row r="1907" spans="1:32">
      <c r="A1907" s="84"/>
      <c r="B1907" s="39"/>
      <c r="C1907" s="40"/>
      <c r="D1907" s="41"/>
      <c r="E1907" s="40"/>
      <c r="F1907" s="41"/>
      <c r="G1907" s="101"/>
      <c r="H1907" s="38"/>
      <c r="I1907" s="42"/>
      <c r="J1907" s="42"/>
      <c r="K1907" s="43"/>
      <c r="L1907" s="43"/>
      <c r="M1907" s="44" t="str">
        <f>IF(LayTable[[#This Row],[Sport]]="","",LayTable[[#This Row],[LayInnsats]]*(LayTable[[#This Row],[LayOdds]]-1))</f>
        <v/>
      </c>
      <c r="N1907" s="45" t="str">
        <f>IF(LayTable[[#This Row],[Sport]]="","",1/((1/LayTable[[#This Row],[BookieOdds]])+(1/((1/((1+((LayTable[[#This Row],[LayOdds]]-1)*(1+LayTable[[#This Row],[C% Lay]])))-1))+1)))-1)</f>
        <v/>
      </c>
      <c r="Q1907" s="46" t="str">
        <f>IF(LayTable[[#This Row],[Sport]]="","",LayTable[[#This Row],[BookieInnsats]]+LayTable[[#This Row],[LayLiability]])</f>
        <v/>
      </c>
      <c r="R19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7" s="47" t="str">
        <f>IF(LayTable[[#This Row],[Utfall bookie]]="","",LayTable[[#This Row],[WBABack]]+LayTable[[#This Row],[WBALay]]-LayTable[[#This Row],[Total inns]])</f>
        <v/>
      </c>
      <c r="U19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7" s="48" t="str">
        <f>IFERROR(IF(LayTable[[#This Row],[Total inns]]="","",LayTable[[#This Row],[Rback]]/LayTable[[#This Row],[Total inns]]),"")</f>
        <v/>
      </c>
      <c r="X1907" s="48" t="str">
        <f>IFERROR(IF(LayTable[[#This Row],[Total inns]]="","",LayTable[[#This Row],[Rlay]]/LayTable[[#This Row],[Total inns]]),"")</f>
        <v/>
      </c>
      <c r="Y1907" s="48" t="str">
        <f>IFERROR(LayTable[[#This Row],[Faktisk res]]/LayTable[[#This Row],[Total inns]],"")</f>
        <v/>
      </c>
      <c r="Z1907" s="47">
        <f>(LayTable[[#This Row],[BookieInnsats]]*LayTable[[#This Row],[BookieOdds]]-LayTable[[#This Row],[BookieInnsats]])*(1-LayTable[[#This Row],[C% Bookie]])</f>
        <v>0</v>
      </c>
      <c r="AA1907" s="43">
        <f>LayTable[[#This Row],[LayInnsats]]*(1-LayTable[[#This Row],[C% Lay]])</f>
        <v>0</v>
      </c>
      <c r="AB1907" s="43" t="str">
        <f>IFERROR(IF(LayTable[[#This Row],[Sport]]="",AB1906,LayTable[[#This Row],[Faktisk res]]+AB1906),"")</f>
        <v/>
      </c>
      <c r="AC1907" s="43">
        <f>(LayTable[[#This Row],[BackWin-Commission]]+LayTable[[#This Row],[BookieInnsats]])</f>
        <v>0</v>
      </c>
      <c r="AD1907" s="43" t="e">
        <f>(LayTable[[#This Row],[LayWin-Commission]])+LayTable[[#This Row],[LayLiability]]</f>
        <v>#VALUE!</v>
      </c>
      <c r="AE1907" s="43"/>
      <c r="AF1907" s="181"/>
    </row>
    <row r="1908" spans="1:32">
      <c r="A1908" s="84"/>
      <c r="B1908" s="39"/>
      <c r="C1908" s="40"/>
      <c r="D1908" s="41"/>
      <c r="E1908" s="40"/>
      <c r="F1908" s="41"/>
      <c r="G1908" s="101"/>
      <c r="H1908" s="38"/>
      <c r="I1908" s="42"/>
      <c r="J1908" s="42"/>
      <c r="K1908" s="43"/>
      <c r="L1908" s="43"/>
      <c r="M1908" s="44" t="str">
        <f>IF(LayTable[[#This Row],[Sport]]="","",LayTable[[#This Row],[LayInnsats]]*(LayTable[[#This Row],[LayOdds]]-1))</f>
        <v/>
      </c>
      <c r="N1908" s="45" t="str">
        <f>IF(LayTable[[#This Row],[Sport]]="","",1/((1/LayTable[[#This Row],[BookieOdds]])+(1/((1/((1+((LayTable[[#This Row],[LayOdds]]-1)*(1+LayTable[[#This Row],[C% Lay]])))-1))+1)))-1)</f>
        <v/>
      </c>
      <c r="Q1908" s="46" t="str">
        <f>IF(LayTable[[#This Row],[Sport]]="","",LayTable[[#This Row],[BookieInnsats]]+LayTable[[#This Row],[LayLiability]])</f>
        <v/>
      </c>
      <c r="R19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8" s="47" t="str">
        <f>IF(LayTable[[#This Row],[Utfall bookie]]="","",LayTable[[#This Row],[WBABack]]+LayTable[[#This Row],[WBALay]]-LayTable[[#This Row],[Total inns]])</f>
        <v/>
      </c>
      <c r="U19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8" s="48" t="str">
        <f>IFERROR(IF(LayTable[[#This Row],[Total inns]]="","",LayTable[[#This Row],[Rback]]/LayTable[[#This Row],[Total inns]]),"")</f>
        <v/>
      </c>
      <c r="X1908" s="48" t="str">
        <f>IFERROR(IF(LayTable[[#This Row],[Total inns]]="","",LayTable[[#This Row],[Rlay]]/LayTable[[#This Row],[Total inns]]),"")</f>
        <v/>
      </c>
      <c r="Y1908" s="48" t="str">
        <f>IFERROR(LayTable[[#This Row],[Faktisk res]]/LayTable[[#This Row],[Total inns]],"")</f>
        <v/>
      </c>
      <c r="Z1908" s="47">
        <f>(LayTable[[#This Row],[BookieInnsats]]*LayTable[[#This Row],[BookieOdds]]-LayTable[[#This Row],[BookieInnsats]])*(1-LayTable[[#This Row],[C% Bookie]])</f>
        <v>0</v>
      </c>
      <c r="AA1908" s="43">
        <f>LayTable[[#This Row],[LayInnsats]]*(1-LayTable[[#This Row],[C% Lay]])</f>
        <v>0</v>
      </c>
      <c r="AB1908" s="43" t="str">
        <f>IFERROR(IF(LayTable[[#This Row],[Sport]]="",AB1907,LayTable[[#This Row],[Faktisk res]]+AB1907),"")</f>
        <v/>
      </c>
      <c r="AC1908" s="43">
        <f>(LayTable[[#This Row],[BackWin-Commission]]+LayTable[[#This Row],[BookieInnsats]])</f>
        <v>0</v>
      </c>
      <c r="AD1908" s="43" t="e">
        <f>(LayTable[[#This Row],[LayWin-Commission]])+LayTable[[#This Row],[LayLiability]]</f>
        <v>#VALUE!</v>
      </c>
      <c r="AE1908" s="43"/>
      <c r="AF1908" s="181"/>
    </row>
    <row r="1909" spans="1:32">
      <c r="A1909" s="84"/>
      <c r="B1909" s="39"/>
      <c r="C1909" s="40"/>
      <c r="D1909" s="41"/>
      <c r="E1909" s="40"/>
      <c r="F1909" s="41"/>
      <c r="G1909" s="101"/>
      <c r="H1909" s="38"/>
      <c r="I1909" s="42"/>
      <c r="J1909" s="42"/>
      <c r="K1909" s="43"/>
      <c r="L1909" s="43"/>
      <c r="M1909" s="44" t="str">
        <f>IF(LayTable[[#This Row],[Sport]]="","",LayTable[[#This Row],[LayInnsats]]*(LayTable[[#This Row],[LayOdds]]-1))</f>
        <v/>
      </c>
      <c r="N1909" s="45" t="str">
        <f>IF(LayTable[[#This Row],[Sport]]="","",1/((1/LayTable[[#This Row],[BookieOdds]])+(1/((1/((1+((LayTable[[#This Row],[LayOdds]]-1)*(1+LayTable[[#This Row],[C% Lay]])))-1))+1)))-1)</f>
        <v/>
      </c>
      <c r="Q1909" s="46" t="str">
        <f>IF(LayTable[[#This Row],[Sport]]="","",LayTable[[#This Row],[BookieInnsats]]+LayTable[[#This Row],[LayLiability]])</f>
        <v/>
      </c>
      <c r="R19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09" s="47" t="str">
        <f>IF(LayTable[[#This Row],[Utfall bookie]]="","",LayTable[[#This Row],[WBABack]]+LayTable[[#This Row],[WBALay]]-LayTable[[#This Row],[Total inns]])</f>
        <v/>
      </c>
      <c r="U19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09" s="48" t="str">
        <f>IFERROR(IF(LayTable[[#This Row],[Total inns]]="","",LayTable[[#This Row],[Rback]]/LayTable[[#This Row],[Total inns]]),"")</f>
        <v/>
      </c>
      <c r="X1909" s="48" t="str">
        <f>IFERROR(IF(LayTable[[#This Row],[Total inns]]="","",LayTable[[#This Row],[Rlay]]/LayTable[[#This Row],[Total inns]]),"")</f>
        <v/>
      </c>
      <c r="Y1909" s="48" t="str">
        <f>IFERROR(LayTable[[#This Row],[Faktisk res]]/LayTable[[#This Row],[Total inns]],"")</f>
        <v/>
      </c>
      <c r="Z1909" s="47">
        <f>(LayTable[[#This Row],[BookieInnsats]]*LayTable[[#This Row],[BookieOdds]]-LayTable[[#This Row],[BookieInnsats]])*(1-LayTable[[#This Row],[C% Bookie]])</f>
        <v>0</v>
      </c>
      <c r="AA1909" s="43">
        <f>LayTable[[#This Row],[LayInnsats]]*(1-LayTable[[#This Row],[C% Lay]])</f>
        <v>0</v>
      </c>
      <c r="AB1909" s="43" t="str">
        <f>IFERROR(IF(LayTable[[#This Row],[Sport]]="",AB1908,LayTable[[#This Row],[Faktisk res]]+AB1908),"")</f>
        <v/>
      </c>
      <c r="AC1909" s="43">
        <f>(LayTable[[#This Row],[BackWin-Commission]]+LayTable[[#This Row],[BookieInnsats]])</f>
        <v>0</v>
      </c>
      <c r="AD1909" s="43" t="e">
        <f>(LayTable[[#This Row],[LayWin-Commission]])+LayTable[[#This Row],[LayLiability]]</f>
        <v>#VALUE!</v>
      </c>
      <c r="AE1909" s="43"/>
      <c r="AF1909" s="181"/>
    </row>
    <row r="1910" spans="1:32">
      <c r="A1910" s="84"/>
      <c r="B1910" s="39"/>
      <c r="C1910" s="40"/>
      <c r="D1910" s="41"/>
      <c r="E1910" s="40"/>
      <c r="F1910" s="41"/>
      <c r="G1910" s="101"/>
      <c r="H1910" s="38"/>
      <c r="I1910" s="42"/>
      <c r="J1910" s="42"/>
      <c r="K1910" s="43"/>
      <c r="L1910" s="43"/>
      <c r="M1910" s="44" t="str">
        <f>IF(LayTable[[#This Row],[Sport]]="","",LayTable[[#This Row],[LayInnsats]]*(LayTable[[#This Row],[LayOdds]]-1))</f>
        <v/>
      </c>
      <c r="N1910" s="45" t="str">
        <f>IF(LayTable[[#This Row],[Sport]]="","",1/((1/LayTable[[#This Row],[BookieOdds]])+(1/((1/((1+((LayTable[[#This Row],[LayOdds]]-1)*(1+LayTable[[#This Row],[C% Lay]])))-1))+1)))-1)</f>
        <v/>
      </c>
      <c r="Q1910" s="46" t="str">
        <f>IF(LayTable[[#This Row],[Sport]]="","",LayTable[[#This Row],[BookieInnsats]]+LayTable[[#This Row],[LayLiability]])</f>
        <v/>
      </c>
      <c r="R19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0" s="47" t="str">
        <f>IF(LayTable[[#This Row],[Utfall bookie]]="","",LayTable[[#This Row],[WBABack]]+LayTable[[#This Row],[WBALay]]-LayTable[[#This Row],[Total inns]])</f>
        <v/>
      </c>
      <c r="U19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0" s="48" t="str">
        <f>IFERROR(IF(LayTable[[#This Row],[Total inns]]="","",LayTable[[#This Row],[Rback]]/LayTable[[#This Row],[Total inns]]),"")</f>
        <v/>
      </c>
      <c r="X1910" s="48" t="str">
        <f>IFERROR(IF(LayTable[[#This Row],[Total inns]]="","",LayTable[[#This Row],[Rlay]]/LayTable[[#This Row],[Total inns]]),"")</f>
        <v/>
      </c>
      <c r="Y1910" s="48" t="str">
        <f>IFERROR(LayTable[[#This Row],[Faktisk res]]/LayTable[[#This Row],[Total inns]],"")</f>
        <v/>
      </c>
      <c r="Z1910" s="47">
        <f>(LayTable[[#This Row],[BookieInnsats]]*LayTable[[#This Row],[BookieOdds]]-LayTable[[#This Row],[BookieInnsats]])*(1-LayTable[[#This Row],[C% Bookie]])</f>
        <v>0</v>
      </c>
      <c r="AA1910" s="43">
        <f>LayTable[[#This Row],[LayInnsats]]*(1-LayTable[[#This Row],[C% Lay]])</f>
        <v>0</v>
      </c>
      <c r="AB1910" s="43" t="str">
        <f>IFERROR(IF(LayTable[[#This Row],[Sport]]="",AB1909,LayTable[[#This Row],[Faktisk res]]+AB1909),"")</f>
        <v/>
      </c>
      <c r="AC1910" s="43">
        <f>(LayTable[[#This Row],[BackWin-Commission]]+LayTable[[#This Row],[BookieInnsats]])</f>
        <v>0</v>
      </c>
      <c r="AD1910" s="43" t="e">
        <f>(LayTable[[#This Row],[LayWin-Commission]])+LayTable[[#This Row],[LayLiability]]</f>
        <v>#VALUE!</v>
      </c>
      <c r="AE1910" s="43"/>
      <c r="AF1910" s="181"/>
    </row>
    <row r="1911" spans="1:32">
      <c r="A1911" s="84"/>
      <c r="B1911" s="39"/>
      <c r="C1911" s="40"/>
      <c r="D1911" s="41"/>
      <c r="E1911" s="40"/>
      <c r="F1911" s="41"/>
      <c r="G1911" s="101"/>
      <c r="H1911" s="38"/>
      <c r="I1911" s="42"/>
      <c r="J1911" s="42"/>
      <c r="K1911" s="43"/>
      <c r="L1911" s="43"/>
      <c r="M1911" s="44" t="str">
        <f>IF(LayTable[[#This Row],[Sport]]="","",LayTable[[#This Row],[LayInnsats]]*(LayTable[[#This Row],[LayOdds]]-1))</f>
        <v/>
      </c>
      <c r="N1911" s="45" t="str">
        <f>IF(LayTable[[#This Row],[Sport]]="","",1/((1/LayTable[[#This Row],[BookieOdds]])+(1/((1/((1+((LayTable[[#This Row],[LayOdds]]-1)*(1+LayTable[[#This Row],[C% Lay]])))-1))+1)))-1)</f>
        <v/>
      </c>
      <c r="Q1911" s="46" t="str">
        <f>IF(LayTable[[#This Row],[Sport]]="","",LayTable[[#This Row],[BookieInnsats]]+LayTable[[#This Row],[LayLiability]])</f>
        <v/>
      </c>
      <c r="R19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1" s="47" t="str">
        <f>IF(LayTable[[#This Row],[Utfall bookie]]="","",LayTable[[#This Row],[WBABack]]+LayTable[[#This Row],[WBALay]]-LayTable[[#This Row],[Total inns]])</f>
        <v/>
      </c>
      <c r="U19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1" s="48" t="str">
        <f>IFERROR(IF(LayTable[[#This Row],[Total inns]]="","",LayTable[[#This Row],[Rback]]/LayTable[[#This Row],[Total inns]]),"")</f>
        <v/>
      </c>
      <c r="X1911" s="48" t="str">
        <f>IFERROR(IF(LayTable[[#This Row],[Total inns]]="","",LayTable[[#This Row],[Rlay]]/LayTable[[#This Row],[Total inns]]),"")</f>
        <v/>
      </c>
      <c r="Y1911" s="48" t="str">
        <f>IFERROR(LayTable[[#This Row],[Faktisk res]]/LayTable[[#This Row],[Total inns]],"")</f>
        <v/>
      </c>
      <c r="Z1911" s="47">
        <f>(LayTable[[#This Row],[BookieInnsats]]*LayTable[[#This Row],[BookieOdds]]-LayTable[[#This Row],[BookieInnsats]])*(1-LayTable[[#This Row],[C% Bookie]])</f>
        <v>0</v>
      </c>
      <c r="AA1911" s="43">
        <f>LayTable[[#This Row],[LayInnsats]]*(1-LayTable[[#This Row],[C% Lay]])</f>
        <v>0</v>
      </c>
      <c r="AB1911" s="43" t="str">
        <f>IFERROR(IF(LayTable[[#This Row],[Sport]]="",AB1910,LayTable[[#This Row],[Faktisk res]]+AB1910),"")</f>
        <v/>
      </c>
      <c r="AC1911" s="43">
        <f>(LayTable[[#This Row],[BackWin-Commission]]+LayTable[[#This Row],[BookieInnsats]])</f>
        <v>0</v>
      </c>
      <c r="AD1911" s="43" t="e">
        <f>(LayTable[[#This Row],[LayWin-Commission]])+LayTable[[#This Row],[LayLiability]]</f>
        <v>#VALUE!</v>
      </c>
      <c r="AE1911" s="43"/>
      <c r="AF1911" s="181"/>
    </row>
    <row r="1912" spans="1:32">
      <c r="A1912" s="84"/>
      <c r="B1912" s="39"/>
      <c r="C1912" s="40"/>
      <c r="D1912" s="41"/>
      <c r="E1912" s="40"/>
      <c r="F1912" s="41"/>
      <c r="G1912" s="101"/>
      <c r="H1912" s="38"/>
      <c r="I1912" s="42"/>
      <c r="J1912" s="42"/>
      <c r="K1912" s="43"/>
      <c r="L1912" s="43"/>
      <c r="M1912" s="44" t="str">
        <f>IF(LayTable[[#This Row],[Sport]]="","",LayTable[[#This Row],[LayInnsats]]*(LayTable[[#This Row],[LayOdds]]-1))</f>
        <v/>
      </c>
      <c r="N1912" s="45" t="str">
        <f>IF(LayTable[[#This Row],[Sport]]="","",1/((1/LayTable[[#This Row],[BookieOdds]])+(1/((1/((1+((LayTable[[#This Row],[LayOdds]]-1)*(1+LayTable[[#This Row],[C% Lay]])))-1))+1)))-1)</f>
        <v/>
      </c>
      <c r="Q1912" s="46" t="str">
        <f>IF(LayTable[[#This Row],[Sport]]="","",LayTable[[#This Row],[BookieInnsats]]+LayTable[[#This Row],[LayLiability]])</f>
        <v/>
      </c>
      <c r="R19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2" s="47" t="str">
        <f>IF(LayTable[[#This Row],[Utfall bookie]]="","",LayTable[[#This Row],[WBABack]]+LayTable[[#This Row],[WBALay]]-LayTable[[#This Row],[Total inns]])</f>
        <v/>
      </c>
      <c r="U19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2" s="48" t="str">
        <f>IFERROR(IF(LayTable[[#This Row],[Total inns]]="","",LayTable[[#This Row],[Rback]]/LayTable[[#This Row],[Total inns]]),"")</f>
        <v/>
      </c>
      <c r="X1912" s="48" t="str">
        <f>IFERROR(IF(LayTable[[#This Row],[Total inns]]="","",LayTable[[#This Row],[Rlay]]/LayTable[[#This Row],[Total inns]]),"")</f>
        <v/>
      </c>
      <c r="Y1912" s="48" t="str">
        <f>IFERROR(LayTable[[#This Row],[Faktisk res]]/LayTable[[#This Row],[Total inns]],"")</f>
        <v/>
      </c>
      <c r="Z1912" s="47">
        <f>(LayTable[[#This Row],[BookieInnsats]]*LayTable[[#This Row],[BookieOdds]]-LayTable[[#This Row],[BookieInnsats]])*(1-LayTable[[#This Row],[C% Bookie]])</f>
        <v>0</v>
      </c>
      <c r="AA1912" s="43">
        <f>LayTable[[#This Row],[LayInnsats]]*(1-LayTable[[#This Row],[C% Lay]])</f>
        <v>0</v>
      </c>
      <c r="AB1912" s="43" t="str">
        <f>IFERROR(IF(LayTable[[#This Row],[Sport]]="",AB1911,LayTable[[#This Row],[Faktisk res]]+AB1911),"")</f>
        <v/>
      </c>
      <c r="AC1912" s="43">
        <f>(LayTable[[#This Row],[BackWin-Commission]]+LayTable[[#This Row],[BookieInnsats]])</f>
        <v>0</v>
      </c>
      <c r="AD1912" s="43" t="e">
        <f>(LayTable[[#This Row],[LayWin-Commission]])+LayTable[[#This Row],[LayLiability]]</f>
        <v>#VALUE!</v>
      </c>
      <c r="AE1912" s="43"/>
      <c r="AF1912" s="181"/>
    </row>
    <row r="1913" spans="1:32">
      <c r="A1913" s="84"/>
      <c r="B1913" s="39"/>
      <c r="C1913" s="40"/>
      <c r="D1913" s="41"/>
      <c r="E1913" s="40"/>
      <c r="F1913" s="41"/>
      <c r="G1913" s="101"/>
      <c r="H1913" s="38"/>
      <c r="I1913" s="42"/>
      <c r="J1913" s="42"/>
      <c r="K1913" s="43"/>
      <c r="L1913" s="43"/>
      <c r="M1913" s="44" t="str">
        <f>IF(LayTable[[#This Row],[Sport]]="","",LayTable[[#This Row],[LayInnsats]]*(LayTable[[#This Row],[LayOdds]]-1))</f>
        <v/>
      </c>
      <c r="N1913" s="45" t="str">
        <f>IF(LayTable[[#This Row],[Sport]]="","",1/((1/LayTable[[#This Row],[BookieOdds]])+(1/((1/((1+((LayTable[[#This Row],[LayOdds]]-1)*(1+LayTable[[#This Row],[C% Lay]])))-1))+1)))-1)</f>
        <v/>
      </c>
      <c r="Q1913" s="46" t="str">
        <f>IF(LayTable[[#This Row],[Sport]]="","",LayTable[[#This Row],[BookieInnsats]]+LayTable[[#This Row],[LayLiability]])</f>
        <v/>
      </c>
      <c r="R19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3" s="47" t="str">
        <f>IF(LayTable[[#This Row],[Utfall bookie]]="","",LayTable[[#This Row],[WBABack]]+LayTable[[#This Row],[WBALay]]-LayTable[[#This Row],[Total inns]])</f>
        <v/>
      </c>
      <c r="U19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3" s="48" t="str">
        <f>IFERROR(IF(LayTable[[#This Row],[Total inns]]="","",LayTable[[#This Row],[Rback]]/LayTable[[#This Row],[Total inns]]),"")</f>
        <v/>
      </c>
      <c r="X1913" s="48" t="str">
        <f>IFERROR(IF(LayTable[[#This Row],[Total inns]]="","",LayTable[[#This Row],[Rlay]]/LayTable[[#This Row],[Total inns]]),"")</f>
        <v/>
      </c>
      <c r="Y1913" s="48" t="str">
        <f>IFERROR(LayTable[[#This Row],[Faktisk res]]/LayTable[[#This Row],[Total inns]],"")</f>
        <v/>
      </c>
      <c r="Z1913" s="47">
        <f>(LayTable[[#This Row],[BookieInnsats]]*LayTable[[#This Row],[BookieOdds]]-LayTable[[#This Row],[BookieInnsats]])*(1-LayTable[[#This Row],[C% Bookie]])</f>
        <v>0</v>
      </c>
      <c r="AA1913" s="43">
        <f>LayTable[[#This Row],[LayInnsats]]*(1-LayTable[[#This Row],[C% Lay]])</f>
        <v>0</v>
      </c>
      <c r="AB1913" s="43" t="str">
        <f>IFERROR(IF(LayTable[[#This Row],[Sport]]="",AB1912,LayTable[[#This Row],[Faktisk res]]+AB1912),"")</f>
        <v/>
      </c>
      <c r="AC1913" s="43">
        <f>(LayTable[[#This Row],[BackWin-Commission]]+LayTable[[#This Row],[BookieInnsats]])</f>
        <v>0</v>
      </c>
      <c r="AD1913" s="43" t="e">
        <f>(LayTable[[#This Row],[LayWin-Commission]])+LayTable[[#This Row],[LayLiability]]</f>
        <v>#VALUE!</v>
      </c>
      <c r="AE1913" s="43"/>
      <c r="AF1913" s="181"/>
    </row>
    <row r="1914" spans="1:32">
      <c r="A1914" s="84"/>
      <c r="B1914" s="39"/>
      <c r="C1914" s="40"/>
      <c r="D1914" s="41"/>
      <c r="E1914" s="40"/>
      <c r="F1914" s="41"/>
      <c r="G1914" s="101"/>
      <c r="H1914" s="38"/>
      <c r="I1914" s="42"/>
      <c r="J1914" s="42"/>
      <c r="K1914" s="43"/>
      <c r="L1914" s="43"/>
      <c r="M1914" s="44" t="str">
        <f>IF(LayTable[[#This Row],[Sport]]="","",LayTable[[#This Row],[LayInnsats]]*(LayTable[[#This Row],[LayOdds]]-1))</f>
        <v/>
      </c>
      <c r="N1914" s="45" t="str">
        <f>IF(LayTable[[#This Row],[Sport]]="","",1/((1/LayTable[[#This Row],[BookieOdds]])+(1/((1/((1+((LayTable[[#This Row],[LayOdds]]-1)*(1+LayTable[[#This Row],[C% Lay]])))-1))+1)))-1)</f>
        <v/>
      </c>
      <c r="Q1914" s="46" t="str">
        <f>IF(LayTable[[#This Row],[Sport]]="","",LayTable[[#This Row],[BookieInnsats]]+LayTable[[#This Row],[LayLiability]])</f>
        <v/>
      </c>
      <c r="R19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4" s="47" t="str">
        <f>IF(LayTable[[#This Row],[Utfall bookie]]="","",LayTable[[#This Row],[WBABack]]+LayTable[[#This Row],[WBALay]]-LayTable[[#This Row],[Total inns]])</f>
        <v/>
      </c>
      <c r="U19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4" s="48" t="str">
        <f>IFERROR(IF(LayTable[[#This Row],[Total inns]]="","",LayTable[[#This Row],[Rback]]/LayTable[[#This Row],[Total inns]]),"")</f>
        <v/>
      </c>
      <c r="X1914" s="48" t="str">
        <f>IFERROR(IF(LayTable[[#This Row],[Total inns]]="","",LayTable[[#This Row],[Rlay]]/LayTable[[#This Row],[Total inns]]),"")</f>
        <v/>
      </c>
      <c r="Y1914" s="48" t="str">
        <f>IFERROR(LayTable[[#This Row],[Faktisk res]]/LayTable[[#This Row],[Total inns]],"")</f>
        <v/>
      </c>
      <c r="Z1914" s="47">
        <f>(LayTable[[#This Row],[BookieInnsats]]*LayTable[[#This Row],[BookieOdds]]-LayTable[[#This Row],[BookieInnsats]])*(1-LayTable[[#This Row],[C% Bookie]])</f>
        <v>0</v>
      </c>
      <c r="AA1914" s="43">
        <f>LayTable[[#This Row],[LayInnsats]]*(1-LayTable[[#This Row],[C% Lay]])</f>
        <v>0</v>
      </c>
      <c r="AB1914" s="43" t="str">
        <f>IFERROR(IF(LayTable[[#This Row],[Sport]]="",AB1913,LayTable[[#This Row],[Faktisk res]]+AB1913),"")</f>
        <v/>
      </c>
      <c r="AC1914" s="43">
        <f>(LayTable[[#This Row],[BackWin-Commission]]+LayTable[[#This Row],[BookieInnsats]])</f>
        <v>0</v>
      </c>
      <c r="AD1914" s="43" t="e">
        <f>(LayTable[[#This Row],[LayWin-Commission]])+LayTable[[#This Row],[LayLiability]]</f>
        <v>#VALUE!</v>
      </c>
      <c r="AE1914" s="43"/>
      <c r="AF1914" s="181"/>
    </row>
    <row r="1915" spans="1:32">
      <c r="A1915" s="84"/>
      <c r="B1915" s="39"/>
      <c r="C1915" s="40"/>
      <c r="D1915" s="41"/>
      <c r="E1915" s="40"/>
      <c r="F1915" s="41"/>
      <c r="G1915" s="101"/>
      <c r="H1915" s="38"/>
      <c r="I1915" s="42"/>
      <c r="J1915" s="42"/>
      <c r="K1915" s="43"/>
      <c r="L1915" s="43"/>
      <c r="M1915" s="44" t="str">
        <f>IF(LayTable[[#This Row],[Sport]]="","",LayTable[[#This Row],[LayInnsats]]*(LayTable[[#This Row],[LayOdds]]-1))</f>
        <v/>
      </c>
      <c r="N1915" s="45" t="str">
        <f>IF(LayTable[[#This Row],[Sport]]="","",1/((1/LayTable[[#This Row],[BookieOdds]])+(1/((1/((1+((LayTable[[#This Row],[LayOdds]]-1)*(1+LayTable[[#This Row],[C% Lay]])))-1))+1)))-1)</f>
        <v/>
      </c>
      <c r="Q1915" s="46" t="str">
        <f>IF(LayTable[[#This Row],[Sport]]="","",LayTable[[#This Row],[BookieInnsats]]+LayTable[[#This Row],[LayLiability]])</f>
        <v/>
      </c>
      <c r="R19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5" s="47" t="str">
        <f>IF(LayTable[[#This Row],[Utfall bookie]]="","",LayTable[[#This Row],[WBABack]]+LayTable[[#This Row],[WBALay]]-LayTable[[#This Row],[Total inns]])</f>
        <v/>
      </c>
      <c r="U19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5" s="48" t="str">
        <f>IFERROR(IF(LayTable[[#This Row],[Total inns]]="","",LayTable[[#This Row],[Rback]]/LayTable[[#This Row],[Total inns]]),"")</f>
        <v/>
      </c>
      <c r="X1915" s="48" t="str">
        <f>IFERROR(IF(LayTable[[#This Row],[Total inns]]="","",LayTable[[#This Row],[Rlay]]/LayTable[[#This Row],[Total inns]]),"")</f>
        <v/>
      </c>
      <c r="Y1915" s="48" t="str">
        <f>IFERROR(LayTable[[#This Row],[Faktisk res]]/LayTable[[#This Row],[Total inns]],"")</f>
        <v/>
      </c>
      <c r="Z1915" s="47">
        <f>(LayTable[[#This Row],[BookieInnsats]]*LayTable[[#This Row],[BookieOdds]]-LayTable[[#This Row],[BookieInnsats]])*(1-LayTable[[#This Row],[C% Bookie]])</f>
        <v>0</v>
      </c>
      <c r="AA1915" s="43">
        <f>LayTable[[#This Row],[LayInnsats]]*(1-LayTable[[#This Row],[C% Lay]])</f>
        <v>0</v>
      </c>
      <c r="AB1915" s="43" t="str">
        <f>IFERROR(IF(LayTable[[#This Row],[Sport]]="",AB1914,LayTable[[#This Row],[Faktisk res]]+AB1914),"")</f>
        <v/>
      </c>
      <c r="AC1915" s="43">
        <f>(LayTable[[#This Row],[BackWin-Commission]]+LayTable[[#This Row],[BookieInnsats]])</f>
        <v>0</v>
      </c>
      <c r="AD1915" s="43" t="e">
        <f>(LayTable[[#This Row],[LayWin-Commission]])+LayTable[[#This Row],[LayLiability]]</f>
        <v>#VALUE!</v>
      </c>
      <c r="AE1915" s="43"/>
      <c r="AF1915" s="181"/>
    </row>
    <row r="1916" spans="1:32">
      <c r="A1916" s="84"/>
      <c r="B1916" s="39"/>
      <c r="C1916" s="40"/>
      <c r="D1916" s="41"/>
      <c r="E1916" s="40"/>
      <c r="F1916" s="41"/>
      <c r="G1916" s="101"/>
      <c r="H1916" s="38"/>
      <c r="I1916" s="42"/>
      <c r="J1916" s="42"/>
      <c r="K1916" s="43"/>
      <c r="L1916" s="43"/>
      <c r="M1916" s="44" t="str">
        <f>IF(LayTable[[#This Row],[Sport]]="","",LayTable[[#This Row],[LayInnsats]]*(LayTable[[#This Row],[LayOdds]]-1))</f>
        <v/>
      </c>
      <c r="N1916" s="45" t="str">
        <f>IF(LayTable[[#This Row],[Sport]]="","",1/((1/LayTable[[#This Row],[BookieOdds]])+(1/((1/((1+((LayTable[[#This Row],[LayOdds]]-1)*(1+LayTable[[#This Row],[C% Lay]])))-1))+1)))-1)</f>
        <v/>
      </c>
      <c r="Q1916" s="46" t="str">
        <f>IF(LayTable[[#This Row],[Sport]]="","",LayTable[[#This Row],[BookieInnsats]]+LayTable[[#This Row],[LayLiability]])</f>
        <v/>
      </c>
      <c r="R19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6" s="47" t="str">
        <f>IF(LayTable[[#This Row],[Utfall bookie]]="","",LayTable[[#This Row],[WBABack]]+LayTable[[#This Row],[WBALay]]-LayTable[[#This Row],[Total inns]])</f>
        <v/>
      </c>
      <c r="U19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6" s="48" t="str">
        <f>IFERROR(IF(LayTable[[#This Row],[Total inns]]="","",LayTable[[#This Row],[Rback]]/LayTable[[#This Row],[Total inns]]),"")</f>
        <v/>
      </c>
      <c r="X1916" s="48" t="str">
        <f>IFERROR(IF(LayTable[[#This Row],[Total inns]]="","",LayTable[[#This Row],[Rlay]]/LayTable[[#This Row],[Total inns]]),"")</f>
        <v/>
      </c>
      <c r="Y1916" s="48" t="str">
        <f>IFERROR(LayTable[[#This Row],[Faktisk res]]/LayTable[[#This Row],[Total inns]],"")</f>
        <v/>
      </c>
      <c r="Z1916" s="47">
        <f>(LayTable[[#This Row],[BookieInnsats]]*LayTable[[#This Row],[BookieOdds]]-LayTable[[#This Row],[BookieInnsats]])*(1-LayTable[[#This Row],[C% Bookie]])</f>
        <v>0</v>
      </c>
      <c r="AA1916" s="43">
        <f>LayTable[[#This Row],[LayInnsats]]*(1-LayTable[[#This Row],[C% Lay]])</f>
        <v>0</v>
      </c>
      <c r="AB1916" s="43" t="str">
        <f>IFERROR(IF(LayTable[[#This Row],[Sport]]="",AB1915,LayTable[[#This Row],[Faktisk res]]+AB1915),"")</f>
        <v/>
      </c>
      <c r="AC1916" s="43">
        <f>(LayTable[[#This Row],[BackWin-Commission]]+LayTable[[#This Row],[BookieInnsats]])</f>
        <v>0</v>
      </c>
      <c r="AD1916" s="43" t="e">
        <f>(LayTable[[#This Row],[LayWin-Commission]])+LayTable[[#This Row],[LayLiability]]</f>
        <v>#VALUE!</v>
      </c>
      <c r="AE1916" s="43"/>
      <c r="AF1916" s="181"/>
    </row>
    <row r="1917" spans="1:32">
      <c r="A1917" s="84"/>
      <c r="B1917" s="39"/>
      <c r="C1917" s="40"/>
      <c r="D1917" s="41"/>
      <c r="E1917" s="40"/>
      <c r="F1917" s="41"/>
      <c r="G1917" s="101"/>
      <c r="H1917" s="38"/>
      <c r="I1917" s="42"/>
      <c r="J1917" s="42"/>
      <c r="K1917" s="43"/>
      <c r="L1917" s="43"/>
      <c r="M1917" s="44" t="str">
        <f>IF(LayTable[[#This Row],[Sport]]="","",LayTable[[#This Row],[LayInnsats]]*(LayTable[[#This Row],[LayOdds]]-1))</f>
        <v/>
      </c>
      <c r="N1917" s="45" t="str">
        <f>IF(LayTable[[#This Row],[Sport]]="","",1/((1/LayTable[[#This Row],[BookieOdds]])+(1/((1/((1+((LayTable[[#This Row],[LayOdds]]-1)*(1+LayTable[[#This Row],[C% Lay]])))-1))+1)))-1)</f>
        <v/>
      </c>
      <c r="Q1917" s="46" t="str">
        <f>IF(LayTable[[#This Row],[Sport]]="","",LayTable[[#This Row],[BookieInnsats]]+LayTable[[#This Row],[LayLiability]])</f>
        <v/>
      </c>
      <c r="R19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7" s="47" t="str">
        <f>IF(LayTable[[#This Row],[Utfall bookie]]="","",LayTable[[#This Row],[WBABack]]+LayTable[[#This Row],[WBALay]]-LayTable[[#This Row],[Total inns]])</f>
        <v/>
      </c>
      <c r="U19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7" s="48" t="str">
        <f>IFERROR(IF(LayTable[[#This Row],[Total inns]]="","",LayTable[[#This Row],[Rback]]/LayTable[[#This Row],[Total inns]]),"")</f>
        <v/>
      </c>
      <c r="X1917" s="48" t="str">
        <f>IFERROR(IF(LayTable[[#This Row],[Total inns]]="","",LayTable[[#This Row],[Rlay]]/LayTable[[#This Row],[Total inns]]),"")</f>
        <v/>
      </c>
      <c r="Y1917" s="48" t="str">
        <f>IFERROR(LayTable[[#This Row],[Faktisk res]]/LayTable[[#This Row],[Total inns]],"")</f>
        <v/>
      </c>
      <c r="Z1917" s="47">
        <f>(LayTable[[#This Row],[BookieInnsats]]*LayTable[[#This Row],[BookieOdds]]-LayTable[[#This Row],[BookieInnsats]])*(1-LayTable[[#This Row],[C% Bookie]])</f>
        <v>0</v>
      </c>
      <c r="AA1917" s="43">
        <f>LayTable[[#This Row],[LayInnsats]]*(1-LayTable[[#This Row],[C% Lay]])</f>
        <v>0</v>
      </c>
      <c r="AB1917" s="43" t="str">
        <f>IFERROR(IF(LayTable[[#This Row],[Sport]]="",AB1916,LayTable[[#This Row],[Faktisk res]]+AB1916),"")</f>
        <v/>
      </c>
      <c r="AC1917" s="43">
        <f>(LayTable[[#This Row],[BackWin-Commission]]+LayTable[[#This Row],[BookieInnsats]])</f>
        <v>0</v>
      </c>
      <c r="AD1917" s="43" t="e">
        <f>(LayTable[[#This Row],[LayWin-Commission]])+LayTable[[#This Row],[LayLiability]]</f>
        <v>#VALUE!</v>
      </c>
      <c r="AE1917" s="43"/>
      <c r="AF1917" s="181"/>
    </row>
    <row r="1918" spans="1:32">
      <c r="A1918" s="84"/>
      <c r="B1918" s="39"/>
      <c r="C1918" s="40"/>
      <c r="D1918" s="41"/>
      <c r="E1918" s="40"/>
      <c r="F1918" s="41"/>
      <c r="G1918" s="101"/>
      <c r="H1918" s="38"/>
      <c r="I1918" s="42"/>
      <c r="J1918" s="42"/>
      <c r="K1918" s="43"/>
      <c r="L1918" s="43"/>
      <c r="M1918" s="44" t="str">
        <f>IF(LayTable[[#This Row],[Sport]]="","",LayTable[[#This Row],[LayInnsats]]*(LayTable[[#This Row],[LayOdds]]-1))</f>
        <v/>
      </c>
      <c r="N1918" s="45" t="str">
        <f>IF(LayTable[[#This Row],[Sport]]="","",1/((1/LayTable[[#This Row],[BookieOdds]])+(1/((1/((1+((LayTable[[#This Row],[LayOdds]]-1)*(1+LayTable[[#This Row],[C% Lay]])))-1))+1)))-1)</f>
        <v/>
      </c>
      <c r="Q1918" s="46" t="str">
        <f>IF(LayTable[[#This Row],[Sport]]="","",LayTable[[#This Row],[BookieInnsats]]+LayTable[[#This Row],[LayLiability]])</f>
        <v/>
      </c>
      <c r="R19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8" s="47" t="str">
        <f>IF(LayTable[[#This Row],[Utfall bookie]]="","",LayTable[[#This Row],[WBABack]]+LayTable[[#This Row],[WBALay]]-LayTable[[#This Row],[Total inns]])</f>
        <v/>
      </c>
      <c r="U19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8" s="48" t="str">
        <f>IFERROR(IF(LayTable[[#This Row],[Total inns]]="","",LayTable[[#This Row],[Rback]]/LayTable[[#This Row],[Total inns]]),"")</f>
        <v/>
      </c>
      <c r="X1918" s="48" t="str">
        <f>IFERROR(IF(LayTable[[#This Row],[Total inns]]="","",LayTable[[#This Row],[Rlay]]/LayTable[[#This Row],[Total inns]]),"")</f>
        <v/>
      </c>
      <c r="Y1918" s="48" t="str">
        <f>IFERROR(LayTable[[#This Row],[Faktisk res]]/LayTable[[#This Row],[Total inns]],"")</f>
        <v/>
      </c>
      <c r="Z1918" s="47">
        <f>(LayTable[[#This Row],[BookieInnsats]]*LayTable[[#This Row],[BookieOdds]]-LayTable[[#This Row],[BookieInnsats]])*(1-LayTable[[#This Row],[C% Bookie]])</f>
        <v>0</v>
      </c>
      <c r="AA1918" s="43">
        <f>LayTable[[#This Row],[LayInnsats]]*(1-LayTable[[#This Row],[C% Lay]])</f>
        <v>0</v>
      </c>
      <c r="AB1918" s="43" t="str">
        <f>IFERROR(IF(LayTable[[#This Row],[Sport]]="",AB1917,LayTable[[#This Row],[Faktisk res]]+AB1917),"")</f>
        <v/>
      </c>
      <c r="AC1918" s="43">
        <f>(LayTable[[#This Row],[BackWin-Commission]]+LayTable[[#This Row],[BookieInnsats]])</f>
        <v>0</v>
      </c>
      <c r="AD1918" s="43" t="e">
        <f>(LayTable[[#This Row],[LayWin-Commission]])+LayTable[[#This Row],[LayLiability]]</f>
        <v>#VALUE!</v>
      </c>
      <c r="AE1918" s="43"/>
      <c r="AF1918" s="181"/>
    </row>
    <row r="1919" spans="1:32">
      <c r="A1919" s="84"/>
      <c r="B1919" s="39"/>
      <c r="C1919" s="40"/>
      <c r="D1919" s="41"/>
      <c r="E1919" s="40"/>
      <c r="F1919" s="41"/>
      <c r="G1919" s="101"/>
      <c r="H1919" s="38"/>
      <c r="I1919" s="42"/>
      <c r="J1919" s="42"/>
      <c r="K1919" s="43"/>
      <c r="L1919" s="43"/>
      <c r="M1919" s="44" t="str">
        <f>IF(LayTable[[#This Row],[Sport]]="","",LayTable[[#This Row],[LayInnsats]]*(LayTable[[#This Row],[LayOdds]]-1))</f>
        <v/>
      </c>
      <c r="N1919" s="45" t="str">
        <f>IF(LayTable[[#This Row],[Sport]]="","",1/((1/LayTable[[#This Row],[BookieOdds]])+(1/((1/((1+((LayTable[[#This Row],[LayOdds]]-1)*(1+LayTable[[#This Row],[C% Lay]])))-1))+1)))-1)</f>
        <v/>
      </c>
      <c r="Q1919" s="46" t="str">
        <f>IF(LayTable[[#This Row],[Sport]]="","",LayTable[[#This Row],[BookieInnsats]]+LayTable[[#This Row],[LayLiability]])</f>
        <v/>
      </c>
      <c r="R19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19" s="47" t="str">
        <f>IF(LayTable[[#This Row],[Utfall bookie]]="","",LayTable[[#This Row],[WBABack]]+LayTable[[#This Row],[WBALay]]-LayTable[[#This Row],[Total inns]])</f>
        <v/>
      </c>
      <c r="U19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19" s="48" t="str">
        <f>IFERROR(IF(LayTable[[#This Row],[Total inns]]="","",LayTable[[#This Row],[Rback]]/LayTable[[#This Row],[Total inns]]),"")</f>
        <v/>
      </c>
      <c r="X1919" s="48" t="str">
        <f>IFERROR(IF(LayTable[[#This Row],[Total inns]]="","",LayTable[[#This Row],[Rlay]]/LayTable[[#This Row],[Total inns]]),"")</f>
        <v/>
      </c>
      <c r="Y1919" s="48" t="str">
        <f>IFERROR(LayTable[[#This Row],[Faktisk res]]/LayTable[[#This Row],[Total inns]],"")</f>
        <v/>
      </c>
      <c r="Z1919" s="47">
        <f>(LayTable[[#This Row],[BookieInnsats]]*LayTable[[#This Row],[BookieOdds]]-LayTable[[#This Row],[BookieInnsats]])*(1-LayTable[[#This Row],[C% Bookie]])</f>
        <v>0</v>
      </c>
      <c r="AA1919" s="43">
        <f>LayTable[[#This Row],[LayInnsats]]*(1-LayTable[[#This Row],[C% Lay]])</f>
        <v>0</v>
      </c>
      <c r="AB1919" s="43" t="str">
        <f>IFERROR(IF(LayTable[[#This Row],[Sport]]="",AB1918,LayTable[[#This Row],[Faktisk res]]+AB1918),"")</f>
        <v/>
      </c>
      <c r="AC1919" s="43">
        <f>(LayTable[[#This Row],[BackWin-Commission]]+LayTable[[#This Row],[BookieInnsats]])</f>
        <v>0</v>
      </c>
      <c r="AD1919" s="43" t="e">
        <f>(LayTable[[#This Row],[LayWin-Commission]])+LayTable[[#This Row],[LayLiability]]</f>
        <v>#VALUE!</v>
      </c>
      <c r="AE1919" s="43"/>
      <c r="AF1919" s="181"/>
    </row>
    <row r="1920" spans="1:32">
      <c r="A1920" s="84"/>
      <c r="B1920" s="39"/>
      <c r="C1920" s="40"/>
      <c r="D1920" s="41"/>
      <c r="E1920" s="40"/>
      <c r="F1920" s="41"/>
      <c r="G1920" s="101"/>
      <c r="H1920" s="38"/>
      <c r="I1920" s="42"/>
      <c r="J1920" s="42"/>
      <c r="K1920" s="43"/>
      <c r="L1920" s="43"/>
      <c r="M1920" s="44" t="str">
        <f>IF(LayTable[[#This Row],[Sport]]="","",LayTable[[#This Row],[LayInnsats]]*(LayTable[[#This Row],[LayOdds]]-1))</f>
        <v/>
      </c>
      <c r="N1920" s="45" t="str">
        <f>IF(LayTable[[#This Row],[Sport]]="","",1/((1/LayTable[[#This Row],[BookieOdds]])+(1/((1/((1+((LayTable[[#This Row],[LayOdds]]-1)*(1+LayTable[[#This Row],[C% Lay]])))-1))+1)))-1)</f>
        <v/>
      </c>
      <c r="Q1920" s="46" t="str">
        <f>IF(LayTable[[#This Row],[Sport]]="","",LayTable[[#This Row],[BookieInnsats]]+LayTable[[#This Row],[LayLiability]])</f>
        <v/>
      </c>
      <c r="R19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0" s="47" t="str">
        <f>IF(LayTable[[#This Row],[Utfall bookie]]="","",LayTable[[#This Row],[WBABack]]+LayTable[[#This Row],[WBALay]]-LayTable[[#This Row],[Total inns]])</f>
        <v/>
      </c>
      <c r="U19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0" s="48" t="str">
        <f>IFERROR(IF(LayTable[[#This Row],[Total inns]]="","",LayTable[[#This Row],[Rback]]/LayTable[[#This Row],[Total inns]]),"")</f>
        <v/>
      </c>
      <c r="X1920" s="48" t="str">
        <f>IFERROR(IF(LayTable[[#This Row],[Total inns]]="","",LayTable[[#This Row],[Rlay]]/LayTable[[#This Row],[Total inns]]),"")</f>
        <v/>
      </c>
      <c r="Y1920" s="48" t="str">
        <f>IFERROR(LayTable[[#This Row],[Faktisk res]]/LayTable[[#This Row],[Total inns]],"")</f>
        <v/>
      </c>
      <c r="Z1920" s="47">
        <f>(LayTable[[#This Row],[BookieInnsats]]*LayTable[[#This Row],[BookieOdds]]-LayTable[[#This Row],[BookieInnsats]])*(1-LayTable[[#This Row],[C% Bookie]])</f>
        <v>0</v>
      </c>
      <c r="AA1920" s="43">
        <f>LayTable[[#This Row],[LayInnsats]]*(1-LayTable[[#This Row],[C% Lay]])</f>
        <v>0</v>
      </c>
      <c r="AB1920" s="43" t="str">
        <f>IFERROR(IF(LayTable[[#This Row],[Sport]]="",AB1919,LayTable[[#This Row],[Faktisk res]]+AB1919),"")</f>
        <v/>
      </c>
      <c r="AC1920" s="43">
        <f>(LayTable[[#This Row],[BackWin-Commission]]+LayTable[[#This Row],[BookieInnsats]])</f>
        <v>0</v>
      </c>
      <c r="AD1920" s="43" t="e">
        <f>(LayTable[[#This Row],[LayWin-Commission]])+LayTable[[#This Row],[LayLiability]]</f>
        <v>#VALUE!</v>
      </c>
      <c r="AE1920" s="43"/>
      <c r="AF1920" s="181"/>
    </row>
    <row r="1921" spans="1:32">
      <c r="A1921" s="84"/>
      <c r="B1921" s="39"/>
      <c r="C1921" s="40"/>
      <c r="D1921" s="41"/>
      <c r="E1921" s="40"/>
      <c r="F1921" s="41"/>
      <c r="G1921" s="101"/>
      <c r="H1921" s="38"/>
      <c r="I1921" s="42"/>
      <c r="J1921" s="42"/>
      <c r="K1921" s="43"/>
      <c r="L1921" s="43"/>
      <c r="M1921" s="44" t="str">
        <f>IF(LayTable[[#This Row],[Sport]]="","",LayTable[[#This Row],[LayInnsats]]*(LayTable[[#This Row],[LayOdds]]-1))</f>
        <v/>
      </c>
      <c r="N1921" s="45" t="str">
        <f>IF(LayTable[[#This Row],[Sport]]="","",1/((1/LayTable[[#This Row],[BookieOdds]])+(1/((1/((1+((LayTable[[#This Row],[LayOdds]]-1)*(1+LayTable[[#This Row],[C% Lay]])))-1))+1)))-1)</f>
        <v/>
      </c>
      <c r="Q1921" s="46" t="str">
        <f>IF(LayTable[[#This Row],[Sport]]="","",LayTable[[#This Row],[BookieInnsats]]+LayTable[[#This Row],[LayLiability]])</f>
        <v/>
      </c>
      <c r="R19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1" s="47" t="str">
        <f>IF(LayTable[[#This Row],[Utfall bookie]]="","",LayTable[[#This Row],[WBABack]]+LayTable[[#This Row],[WBALay]]-LayTable[[#This Row],[Total inns]])</f>
        <v/>
      </c>
      <c r="U19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1" s="48" t="str">
        <f>IFERROR(IF(LayTable[[#This Row],[Total inns]]="","",LayTable[[#This Row],[Rback]]/LayTable[[#This Row],[Total inns]]),"")</f>
        <v/>
      </c>
      <c r="X1921" s="48" t="str">
        <f>IFERROR(IF(LayTable[[#This Row],[Total inns]]="","",LayTable[[#This Row],[Rlay]]/LayTable[[#This Row],[Total inns]]),"")</f>
        <v/>
      </c>
      <c r="Y1921" s="48" t="str">
        <f>IFERROR(LayTable[[#This Row],[Faktisk res]]/LayTable[[#This Row],[Total inns]],"")</f>
        <v/>
      </c>
      <c r="Z1921" s="47">
        <f>(LayTable[[#This Row],[BookieInnsats]]*LayTable[[#This Row],[BookieOdds]]-LayTable[[#This Row],[BookieInnsats]])*(1-LayTable[[#This Row],[C% Bookie]])</f>
        <v>0</v>
      </c>
      <c r="AA1921" s="43">
        <f>LayTable[[#This Row],[LayInnsats]]*(1-LayTable[[#This Row],[C% Lay]])</f>
        <v>0</v>
      </c>
      <c r="AB1921" s="43" t="str">
        <f>IFERROR(IF(LayTable[[#This Row],[Sport]]="",AB1920,LayTable[[#This Row],[Faktisk res]]+AB1920),"")</f>
        <v/>
      </c>
      <c r="AC1921" s="43">
        <f>(LayTable[[#This Row],[BackWin-Commission]]+LayTable[[#This Row],[BookieInnsats]])</f>
        <v>0</v>
      </c>
      <c r="AD1921" s="43" t="e">
        <f>(LayTable[[#This Row],[LayWin-Commission]])+LayTable[[#This Row],[LayLiability]]</f>
        <v>#VALUE!</v>
      </c>
      <c r="AE1921" s="43"/>
      <c r="AF1921" s="181"/>
    </row>
    <row r="1922" spans="1:32">
      <c r="A1922" s="84"/>
      <c r="B1922" s="39"/>
      <c r="C1922" s="40"/>
      <c r="D1922" s="41"/>
      <c r="E1922" s="40"/>
      <c r="F1922" s="41"/>
      <c r="G1922" s="101"/>
      <c r="H1922" s="38"/>
      <c r="I1922" s="42"/>
      <c r="J1922" s="42"/>
      <c r="K1922" s="43"/>
      <c r="L1922" s="43"/>
      <c r="M1922" s="44" t="str">
        <f>IF(LayTable[[#This Row],[Sport]]="","",LayTable[[#This Row],[LayInnsats]]*(LayTable[[#This Row],[LayOdds]]-1))</f>
        <v/>
      </c>
      <c r="N1922" s="45" t="str">
        <f>IF(LayTable[[#This Row],[Sport]]="","",1/((1/LayTable[[#This Row],[BookieOdds]])+(1/((1/((1+((LayTable[[#This Row],[LayOdds]]-1)*(1+LayTable[[#This Row],[C% Lay]])))-1))+1)))-1)</f>
        <v/>
      </c>
      <c r="Q1922" s="46" t="str">
        <f>IF(LayTable[[#This Row],[Sport]]="","",LayTable[[#This Row],[BookieInnsats]]+LayTable[[#This Row],[LayLiability]])</f>
        <v/>
      </c>
      <c r="R19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2" s="47" t="str">
        <f>IF(LayTable[[#This Row],[Utfall bookie]]="","",LayTable[[#This Row],[WBABack]]+LayTable[[#This Row],[WBALay]]-LayTable[[#This Row],[Total inns]])</f>
        <v/>
      </c>
      <c r="U19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2" s="48" t="str">
        <f>IFERROR(IF(LayTable[[#This Row],[Total inns]]="","",LayTable[[#This Row],[Rback]]/LayTable[[#This Row],[Total inns]]),"")</f>
        <v/>
      </c>
      <c r="X1922" s="48" t="str">
        <f>IFERROR(IF(LayTable[[#This Row],[Total inns]]="","",LayTable[[#This Row],[Rlay]]/LayTable[[#This Row],[Total inns]]),"")</f>
        <v/>
      </c>
      <c r="Y1922" s="48" t="str">
        <f>IFERROR(LayTable[[#This Row],[Faktisk res]]/LayTable[[#This Row],[Total inns]],"")</f>
        <v/>
      </c>
      <c r="Z1922" s="47">
        <f>(LayTable[[#This Row],[BookieInnsats]]*LayTable[[#This Row],[BookieOdds]]-LayTable[[#This Row],[BookieInnsats]])*(1-LayTable[[#This Row],[C% Bookie]])</f>
        <v>0</v>
      </c>
      <c r="AA1922" s="43">
        <f>LayTable[[#This Row],[LayInnsats]]*(1-LayTable[[#This Row],[C% Lay]])</f>
        <v>0</v>
      </c>
      <c r="AB1922" s="43" t="str">
        <f>IFERROR(IF(LayTable[[#This Row],[Sport]]="",AB1921,LayTable[[#This Row],[Faktisk res]]+AB1921),"")</f>
        <v/>
      </c>
      <c r="AC1922" s="43">
        <f>(LayTable[[#This Row],[BackWin-Commission]]+LayTable[[#This Row],[BookieInnsats]])</f>
        <v>0</v>
      </c>
      <c r="AD1922" s="43" t="e">
        <f>(LayTable[[#This Row],[LayWin-Commission]])+LayTable[[#This Row],[LayLiability]]</f>
        <v>#VALUE!</v>
      </c>
      <c r="AE1922" s="43"/>
      <c r="AF1922" s="181"/>
    </row>
    <row r="1923" spans="1:32">
      <c r="A1923" s="84"/>
      <c r="B1923" s="39"/>
      <c r="C1923" s="40"/>
      <c r="D1923" s="41"/>
      <c r="E1923" s="40"/>
      <c r="F1923" s="41"/>
      <c r="G1923" s="101"/>
      <c r="H1923" s="38"/>
      <c r="I1923" s="42"/>
      <c r="J1923" s="42"/>
      <c r="K1923" s="43"/>
      <c r="L1923" s="43"/>
      <c r="M1923" s="44" t="str">
        <f>IF(LayTable[[#This Row],[Sport]]="","",LayTable[[#This Row],[LayInnsats]]*(LayTable[[#This Row],[LayOdds]]-1))</f>
        <v/>
      </c>
      <c r="N1923" s="45" t="str">
        <f>IF(LayTable[[#This Row],[Sport]]="","",1/((1/LayTable[[#This Row],[BookieOdds]])+(1/((1/((1+((LayTable[[#This Row],[LayOdds]]-1)*(1+LayTable[[#This Row],[C% Lay]])))-1))+1)))-1)</f>
        <v/>
      </c>
      <c r="Q1923" s="46" t="str">
        <f>IF(LayTable[[#This Row],[Sport]]="","",LayTable[[#This Row],[BookieInnsats]]+LayTable[[#This Row],[LayLiability]])</f>
        <v/>
      </c>
      <c r="R19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3" s="47" t="str">
        <f>IF(LayTable[[#This Row],[Utfall bookie]]="","",LayTable[[#This Row],[WBABack]]+LayTable[[#This Row],[WBALay]]-LayTable[[#This Row],[Total inns]])</f>
        <v/>
      </c>
      <c r="U19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3" s="48" t="str">
        <f>IFERROR(IF(LayTable[[#This Row],[Total inns]]="","",LayTable[[#This Row],[Rback]]/LayTable[[#This Row],[Total inns]]),"")</f>
        <v/>
      </c>
      <c r="X1923" s="48" t="str">
        <f>IFERROR(IF(LayTable[[#This Row],[Total inns]]="","",LayTable[[#This Row],[Rlay]]/LayTable[[#This Row],[Total inns]]),"")</f>
        <v/>
      </c>
      <c r="Y1923" s="48" t="str">
        <f>IFERROR(LayTable[[#This Row],[Faktisk res]]/LayTable[[#This Row],[Total inns]],"")</f>
        <v/>
      </c>
      <c r="Z1923" s="47">
        <f>(LayTable[[#This Row],[BookieInnsats]]*LayTable[[#This Row],[BookieOdds]]-LayTable[[#This Row],[BookieInnsats]])*(1-LayTable[[#This Row],[C% Bookie]])</f>
        <v>0</v>
      </c>
      <c r="AA1923" s="43">
        <f>LayTable[[#This Row],[LayInnsats]]*(1-LayTable[[#This Row],[C% Lay]])</f>
        <v>0</v>
      </c>
      <c r="AB1923" s="43" t="str">
        <f>IFERROR(IF(LayTable[[#This Row],[Sport]]="",AB1922,LayTable[[#This Row],[Faktisk res]]+AB1922),"")</f>
        <v/>
      </c>
      <c r="AC1923" s="43">
        <f>(LayTable[[#This Row],[BackWin-Commission]]+LayTable[[#This Row],[BookieInnsats]])</f>
        <v>0</v>
      </c>
      <c r="AD1923" s="43" t="e">
        <f>(LayTable[[#This Row],[LayWin-Commission]])+LayTable[[#This Row],[LayLiability]]</f>
        <v>#VALUE!</v>
      </c>
      <c r="AE1923" s="43"/>
      <c r="AF1923" s="181"/>
    </row>
    <row r="1924" spans="1:32">
      <c r="A1924" s="84"/>
      <c r="B1924" s="39"/>
      <c r="C1924" s="40"/>
      <c r="D1924" s="41"/>
      <c r="E1924" s="40"/>
      <c r="F1924" s="41"/>
      <c r="G1924" s="101"/>
      <c r="H1924" s="38"/>
      <c r="I1924" s="42"/>
      <c r="J1924" s="42"/>
      <c r="K1924" s="43"/>
      <c r="L1924" s="43"/>
      <c r="M1924" s="44" t="str">
        <f>IF(LayTable[[#This Row],[Sport]]="","",LayTable[[#This Row],[LayInnsats]]*(LayTable[[#This Row],[LayOdds]]-1))</f>
        <v/>
      </c>
      <c r="N1924" s="45" t="str">
        <f>IF(LayTable[[#This Row],[Sport]]="","",1/((1/LayTable[[#This Row],[BookieOdds]])+(1/((1/((1+((LayTable[[#This Row],[LayOdds]]-1)*(1+LayTable[[#This Row],[C% Lay]])))-1))+1)))-1)</f>
        <v/>
      </c>
      <c r="Q1924" s="46" t="str">
        <f>IF(LayTable[[#This Row],[Sport]]="","",LayTable[[#This Row],[BookieInnsats]]+LayTable[[#This Row],[LayLiability]])</f>
        <v/>
      </c>
      <c r="R19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4" s="47" t="str">
        <f>IF(LayTable[[#This Row],[Utfall bookie]]="","",LayTable[[#This Row],[WBABack]]+LayTable[[#This Row],[WBALay]]-LayTable[[#This Row],[Total inns]])</f>
        <v/>
      </c>
      <c r="U19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4" s="48" t="str">
        <f>IFERROR(IF(LayTable[[#This Row],[Total inns]]="","",LayTable[[#This Row],[Rback]]/LayTable[[#This Row],[Total inns]]),"")</f>
        <v/>
      </c>
      <c r="X1924" s="48" t="str">
        <f>IFERROR(IF(LayTable[[#This Row],[Total inns]]="","",LayTable[[#This Row],[Rlay]]/LayTable[[#This Row],[Total inns]]),"")</f>
        <v/>
      </c>
      <c r="Y1924" s="48" t="str">
        <f>IFERROR(LayTable[[#This Row],[Faktisk res]]/LayTable[[#This Row],[Total inns]],"")</f>
        <v/>
      </c>
      <c r="Z1924" s="47">
        <f>(LayTable[[#This Row],[BookieInnsats]]*LayTable[[#This Row],[BookieOdds]]-LayTable[[#This Row],[BookieInnsats]])*(1-LayTable[[#This Row],[C% Bookie]])</f>
        <v>0</v>
      </c>
      <c r="AA1924" s="43">
        <f>LayTable[[#This Row],[LayInnsats]]*(1-LayTable[[#This Row],[C% Lay]])</f>
        <v>0</v>
      </c>
      <c r="AB1924" s="43" t="str">
        <f>IFERROR(IF(LayTable[[#This Row],[Sport]]="",AB1923,LayTable[[#This Row],[Faktisk res]]+AB1923),"")</f>
        <v/>
      </c>
      <c r="AC1924" s="43">
        <f>(LayTable[[#This Row],[BackWin-Commission]]+LayTable[[#This Row],[BookieInnsats]])</f>
        <v>0</v>
      </c>
      <c r="AD1924" s="43" t="e">
        <f>(LayTable[[#This Row],[LayWin-Commission]])+LayTable[[#This Row],[LayLiability]]</f>
        <v>#VALUE!</v>
      </c>
      <c r="AE1924" s="43"/>
      <c r="AF1924" s="181"/>
    </row>
    <row r="1925" spans="1:32">
      <c r="A1925" s="84"/>
      <c r="B1925" s="39"/>
      <c r="C1925" s="40"/>
      <c r="D1925" s="41"/>
      <c r="E1925" s="40"/>
      <c r="F1925" s="41"/>
      <c r="G1925" s="101"/>
      <c r="H1925" s="38"/>
      <c r="I1925" s="42"/>
      <c r="J1925" s="42"/>
      <c r="K1925" s="43"/>
      <c r="L1925" s="43"/>
      <c r="M1925" s="44" t="str">
        <f>IF(LayTable[[#This Row],[Sport]]="","",LayTable[[#This Row],[LayInnsats]]*(LayTable[[#This Row],[LayOdds]]-1))</f>
        <v/>
      </c>
      <c r="N1925" s="45" t="str">
        <f>IF(LayTable[[#This Row],[Sport]]="","",1/((1/LayTable[[#This Row],[BookieOdds]])+(1/((1/((1+((LayTable[[#This Row],[LayOdds]]-1)*(1+LayTable[[#This Row],[C% Lay]])))-1))+1)))-1)</f>
        <v/>
      </c>
      <c r="Q1925" s="46" t="str">
        <f>IF(LayTable[[#This Row],[Sport]]="","",LayTable[[#This Row],[BookieInnsats]]+LayTable[[#This Row],[LayLiability]])</f>
        <v/>
      </c>
      <c r="R19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5" s="47" t="str">
        <f>IF(LayTable[[#This Row],[Utfall bookie]]="","",LayTable[[#This Row],[WBABack]]+LayTable[[#This Row],[WBALay]]-LayTable[[#This Row],[Total inns]])</f>
        <v/>
      </c>
      <c r="U19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5" s="48" t="str">
        <f>IFERROR(IF(LayTable[[#This Row],[Total inns]]="","",LayTable[[#This Row],[Rback]]/LayTable[[#This Row],[Total inns]]),"")</f>
        <v/>
      </c>
      <c r="X1925" s="48" t="str">
        <f>IFERROR(IF(LayTable[[#This Row],[Total inns]]="","",LayTable[[#This Row],[Rlay]]/LayTable[[#This Row],[Total inns]]),"")</f>
        <v/>
      </c>
      <c r="Y1925" s="48" t="str">
        <f>IFERROR(LayTable[[#This Row],[Faktisk res]]/LayTable[[#This Row],[Total inns]],"")</f>
        <v/>
      </c>
      <c r="Z1925" s="47">
        <f>(LayTable[[#This Row],[BookieInnsats]]*LayTable[[#This Row],[BookieOdds]]-LayTable[[#This Row],[BookieInnsats]])*(1-LayTable[[#This Row],[C% Bookie]])</f>
        <v>0</v>
      </c>
      <c r="AA1925" s="43">
        <f>LayTable[[#This Row],[LayInnsats]]*(1-LayTable[[#This Row],[C% Lay]])</f>
        <v>0</v>
      </c>
      <c r="AB1925" s="43" t="str">
        <f>IFERROR(IF(LayTable[[#This Row],[Sport]]="",AB1924,LayTable[[#This Row],[Faktisk res]]+AB1924),"")</f>
        <v/>
      </c>
      <c r="AC1925" s="43">
        <f>(LayTable[[#This Row],[BackWin-Commission]]+LayTable[[#This Row],[BookieInnsats]])</f>
        <v>0</v>
      </c>
      <c r="AD1925" s="43" t="e">
        <f>(LayTable[[#This Row],[LayWin-Commission]])+LayTable[[#This Row],[LayLiability]]</f>
        <v>#VALUE!</v>
      </c>
      <c r="AE1925" s="43"/>
      <c r="AF1925" s="181"/>
    </row>
    <row r="1926" spans="1:32">
      <c r="A1926" s="84"/>
      <c r="B1926" s="39"/>
      <c r="C1926" s="40"/>
      <c r="D1926" s="41"/>
      <c r="E1926" s="40"/>
      <c r="F1926" s="41"/>
      <c r="G1926" s="101"/>
      <c r="H1926" s="38"/>
      <c r="I1926" s="42"/>
      <c r="J1926" s="42"/>
      <c r="K1926" s="43"/>
      <c r="L1926" s="43"/>
      <c r="M1926" s="44" t="str">
        <f>IF(LayTable[[#This Row],[Sport]]="","",LayTable[[#This Row],[LayInnsats]]*(LayTable[[#This Row],[LayOdds]]-1))</f>
        <v/>
      </c>
      <c r="N1926" s="45" t="str">
        <f>IF(LayTable[[#This Row],[Sport]]="","",1/((1/LayTable[[#This Row],[BookieOdds]])+(1/((1/((1+((LayTable[[#This Row],[LayOdds]]-1)*(1+LayTable[[#This Row],[C% Lay]])))-1))+1)))-1)</f>
        <v/>
      </c>
      <c r="Q1926" s="46" t="str">
        <f>IF(LayTable[[#This Row],[Sport]]="","",LayTable[[#This Row],[BookieInnsats]]+LayTable[[#This Row],[LayLiability]])</f>
        <v/>
      </c>
      <c r="R19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6" s="47" t="str">
        <f>IF(LayTable[[#This Row],[Utfall bookie]]="","",LayTable[[#This Row],[WBABack]]+LayTable[[#This Row],[WBALay]]-LayTable[[#This Row],[Total inns]])</f>
        <v/>
      </c>
      <c r="U19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6" s="48" t="str">
        <f>IFERROR(IF(LayTable[[#This Row],[Total inns]]="","",LayTable[[#This Row],[Rback]]/LayTable[[#This Row],[Total inns]]),"")</f>
        <v/>
      </c>
      <c r="X1926" s="48" t="str">
        <f>IFERROR(IF(LayTable[[#This Row],[Total inns]]="","",LayTable[[#This Row],[Rlay]]/LayTable[[#This Row],[Total inns]]),"")</f>
        <v/>
      </c>
      <c r="Y1926" s="48" t="str">
        <f>IFERROR(LayTable[[#This Row],[Faktisk res]]/LayTable[[#This Row],[Total inns]],"")</f>
        <v/>
      </c>
      <c r="Z1926" s="47">
        <f>(LayTable[[#This Row],[BookieInnsats]]*LayTable[[#This Row],[BookieOdds]]-LayTable[[#This Row],[BookieInnsats]])*(1-LayTable[[#This Row],[C% Bookie]])</f>
        <v>0</v>
      </c>
      <c r="AA1926" s="43">
        <f>LayTable[[#This Row],[LayInnsats]]*(1-LayTable[[#This Row],[C% Lay]])</f>
        <v>0</v>
      </c>
      <c r="AB1926" s="43" t="str">
        <f>IFERROR(IF(LayTable[[#This Row],[Sport]]="",AB1925,LayTable[[#This Row],[Faktisk res]]+AB1925),"")</f>
        <v/>
      </c>
      <c r="AC1926" s="43">
        <f>(LayTable[[#This Row],[BackWin-Commission]]+LayTable[[#This Row],[BookieInnsats]])</f>
        <v>0</v>
      </c>
      <c r="AD1926" s="43" t="e">
        <f>(LayTable[[#This Row],[LayWin-Commission]])+LayTable[[#This Row],[LayLiability]]</f>
        <v>#VALUE!</v>
      </c>
      <c r="AE1926" s="43"/>
      <c r="AF1926" s="181"/>
    </row>
    <row r="1927" spans="1:32">
      <c r="A1927" s="84"/>
      <c r="B1927" s="39"/>
      <c r="C1927" s="40"/>
      <c r="D1927" s="41"/>
      <c r="E1927" s="40"/>
      <c r="F1927" s="41"/>
      <c r="G1927" s="101"/>
      <c r="H1927" s="38"/>
      <c r="I1927" s="42"/>
      <c r="J1927" s="42"/>
      <c r="K1927" s="43"/>
      <c r="L1927" s="43"/>
      <c r="M1927" s="44" t="str">
        <f>IF(LayTable[[#This Row],[Sport]]="","",LayTable[[#This Row],[LayInnsats]]*(LayTable[[#This Row],[LayOdds]]-1))</f>
        <v/>
      </c>
      <c r="N1927" s="45" t="str">
        <f>IF(LayTable[[#This Row],[Sport]]="","",1/((1/LayTable[[#This Row],[BookieOdds]])+(1/((1/((1+((LayTable[[#This Row],[LayOdds]]-1)*(1+LayTable[[#This Row],[C% Lay]])))-1))+1)))-1)</f>
        <v/>
      </c>
      <c r="Q1927" s="46" t="str">
        <f>IF(LayTable[[#This Row],[Sport]]="","",LayTable[[#This Row],[BookieInnsats]]+LayTable[[#This Row],[LayLiability]])</f>
        <v/>
      </c>
      <c r="R19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7" s="47" t="str">
        <f>IF(LayTable[[#This Row],[Utfall bookie]]="","",LayTable[[#This Row],[WBABack]]+LayTable[[#This Row],[WBALay]]-LayTable[[#This Row],[Total inns]])</f>
        <v/>
      </c>
      <c r="U19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7" s="48" t="str">
        <f>IFERROR(IF(LayTable[[#This Row],[Total inns]]="","",LayTable[[#This Row],[Rback]]/LayTable[[#This Row],[Total inns]]),"")</f>
        <v/>
      </c>
      <c r="X1927" s="48" t="str">
        <f>IFERROR(IF(LayTable[[#This Row],[Total inns]]="","",LayTable[[#This Row],[Rlay]]/LayTable[[#This Row],[Total inns]]),"")</f>
        <v/>
      </c>
      <c r="Y1927" s="48" t="str">
        <f>IFERROR(LayTable[[#This Row],[Faktisk res]]/LayTable[[#This Row],[Total inns]],"")</f>
        <v/>
      </c>
      <c r="Z1927" s="47">
        <f>(LayTable[[#This Row],[BookieInnsats]]*LayTable[[#This Row],[BookieOdds]]-LayTable[[#This Row],[BookieInnsats]])*(1-LayTable[[#This Row],[C% Bookie]])</f>
        <v>0</v>
      </c>
      <c r="AA1927" s="43">
        <f>LayTable[[#This Row],[LayInnsats]]*(1-LayTable[[#This Row],[C% Lay]])</f>
        <v>0</v>
      </c>
      <c r="AB1927" s="43" t="str">
        <f>IFERROR(IF(LayTable[[#This Row],[Sport]]="",AB1926,LayTable[[#This Row],[Faktisk res]]+AB1926),"")</f>
        <v/>
      </c>
      <c r="AC1927" s="43">
        <f>(LayTable[[#This Row],[BackWin-Commission]]+LayTable[[#This Row],[BookieInnsats]])</f>
        <v>0</v>
      </c>
      <c r="AD1927" s="43" t="e">
        <f>(LayTable[[#This Row],[LayWin-Commission]])+LayTable[[#This Row],[LayLiability]]</f>
        <v>#VALUE!</v>
      </c>
      <c r="AE1927" s="43"/>
      <c r="AF1927" s="181"/>
    </row>
    <row r="1928" spans="1:32">
      <c r="A1928" s="84"/>
      <c r="B1928" s="39"/>
      <c r="C1928" s="40"/>
      <c r="D1928" s="41"/>
      <c r="E1928" s="40"/>
      <c r="F1928" s="41"/>
      <c r="G1928" s="101"/>
      <c r="H1928" s="38"/>
      <c r="I1928" s="42"/>
      <c r="J1928" s="42"/>
      <c r="K1928" s="43"/>
      <c r="L1928" s="43"/>
      <c r="M1928" s="44" t="str">
        <f>IF(LayTable[[#This Row],[Sport]]="","",LayTable[[#This Row],[LayInnsats]]*(LayTable[[#This Row],[LayOdds]]-1))</f>
        <v/>
      </c>
      <c r="N1928" s="45" t="str">
        <f>IF(LayTable[[#This Row],[Sport]]="","",1/((1/LayTable[[#This Row],[BookieOdds]])+(1/((1/((1+((LayTable[[#This Row],[LayOdds]]-1)*(1+LayTable[[#This Row],[C% Lay]])))-1))+1)))-1)</f>
        <v/>
      </c>
      <c r="Q1928" s="46" t="str">
        <f>IF(LayTable[[#This Row],[Sport]]="","",LayTable[[#This Row],[BookieInnsats]]+LayTable[[#This Row],[LayLiability]])</f>
        <v/>
      </c>
      <c r="R19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8" s="47" t="str">
        <f>IF(LayTable[[#This Row],[Utfall bookie]]="","",LayTable[[#This Row],[WBABack]]+LayTable[[#This Row],[WBALay]]-LayTable[[#This Row],[Total inns]])</f>
        <v/>
      </c>
      <c r="U19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8" s="48" t="str">
        <f>IFERROR(IF(LayTable[[#This Row],[Total inns]]="","",LayTable[[#This Row],[Rback]]/LayTable[[#This Row],[Total inns]]),"")</f>
        <v/>
      </c>
      <c r="X1928" s="48" t="str">
        <f>IFERROR(IF(LayTable[[#This Row],[Total inns]]="","",LayTable[[#This Row],[Rlay]]/LayTable[[#This Row],[Total inns]]),"")</f>
        <v/>
      </c>
      <c r="Y1928" s="48" t="str">
        <f>IFERROR(LayTable[[#This Row],[Faktisk res]]/LayTable[[#This Row],[Total inns]],"")</f>
        <v/>
      </c>
      <c r="Z1928" s="47">
        <f>(LayTable[[#This Row],[BookieInnsats]]*LayTable[[#This Row],[BookieOdds]]-LayTable[[#This Row],[BookieInnsats]])*(1-LayTable[[#This Row],[C% Bookie]])</f>
        <v>0</v>
      </c>
      <c r="AA1928" s="43">
        <f>LayTable[[#This Row],[LayInnsats]]*(1-LayTable[[#This Row],[C% Lay]])</f>
        <v>0</v>
      </c>
      <c r="AB1928" s="43" t="str">
        <f>IFERROR(IF(LayTable[[#This Row],[Sport]]="",AB1927,LayTable[[#This Row],[Faktisk res]]+AB1927),"")</f>
        <v/>
      </c>
      <c r="AC1928" s="43">
        <f>(LayTable[[#This Row],[BackWin-Commission]]+LayTable[[#This Row],[BookieInnsats]])</f>
        <v>0</v>
      </c>
      <c r="AD1928" s="43" t="e">
        <f>(LayTable[[#This Row],[LayWin-Commission]])+LayTable[[#This Row],[LayLiability]]</f>
        <v>#VALUE!</v>
      </c>
      <c r="AE1928" s="43"/>
      <c r="AF1928" s="181"/>
    </row>
    <row r="1929" spans="1:32">
      <c r="A1929" s="84"/>
      <c r="B1929" s="39"/>
      <c r="C1929" s="40"/>
      <c r="D1929" s="41"/>
      <c r="E1929" s="40"/>
      <c r="F1929" s="41"/>
      <c r="G1929" s="101"/>
      <c r="H1929" s="38"/>
      <c r="I1929" s="42"/>
      <c r="J1929" s="42"/>
      <c r="K1929" s="43"/>
      <c r="L1929" s="43"/>
      <c r="M1929" s="44" t="str">
        <f>IF(LayTable[[#This Row],[Sport]]="","",LayTable[[#This Row],[LayInnsats]]*(LayTable[[#This Row],[LayOdds]]-1))</f>
        <v/>
      </c>
      <c r="N1929" s="45" t="str">
        <f>IF(LayTable[[#This Row],[Sport]]="","",1/((1/LayTable[[#This Row],[BookieOdds]])+(1/((1/((1+((LayTable[[#This Row],[LayOdds]]-1)*(1+LayTable[[#This Row],[C% Lay]])))-1))+1)))-1)</f>
        <v/>
      </c>
      <c r="Q1929" s="46" t="str">
        <f>IF(LayTable[[#This Row],[Sport]]="","",LayTable[[#This Row],[BookieInnsats]]+LayTable[[#This Row],[LayLiability]])</f>
        <v/>
      </c>
      <c r="R19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29" s="47" t="str">
        <f>IF(LayTable[[#This Row],[Utfall bookie]]="","",LayTable[[#This Row],[WBABack]]+LayTable[[#This Row],[WBALay]]-LayTable[[#This Row],[Total inns]])</f>
        <v/>
      </c>
      <c r="U19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29" s="48" t="str">
        <f>IFERROR(IF(LayTable[[#This Row],[Total inns]]="","",LayTable[[#This Row],[Rback]]/LayTable[[#This Row],[Total inns]]),"")</f>
        <v/>
      </c>
      <c r="X1929" s="48" t="str">
        <f>IFERROR(IF(LayTable[[#This Row],[Total inns]]="","",LayTable[[#This Row],[Rlay]]/LayTable[[#This Row],[Total inns]]),"")</f>
        <v/>
      </c>
      <c r="Y1929" s="48" t="str">
        <f>IFERROR(LayTable[[#This Row],[Faktisk res]]/LayTable[[#This Row],[Total inns]],"")</f>
        <v/>
      </c>
      <c r="Z1929" s="47">
        <f>(LayTable[[#This Row],[BookieInnsats]]*LayTable[[#This Row],[BookieOdds]]-LayTable[[#This Row],[BookieInnsats]])*(1-LayTable[[#This Row],[C% Bookie]])</f>
        <v>0</v>
      </c>
      <c r="AA1929" s="43">
        <f>LayTable[[#This Row],[LayInnsats]]*(1-LayTable[[#This Row],[C% Lay]])</f>
        <v>0</v>
      </c>
      <c r="AB1929" s="43" t="str">
        <f>IFERROR(IF(LayTable[[#This Row],[Sport]]="",AB1928,LayTable[[#This Row],[Faktisk res]]+AB1928),"")</f>
        <v/>
      </c>
      <c r="AC1929" s="43">
        <f>(LayTable[[#This Row],[BackWin-Commission]]+LayTable[[#This Row],[BookieInnsats]])</f>
        <v>0</v>
      </c>
      <c r="AD1929" s="43" t="e">
        <f>(LayTable[[#This Row],[LayWin-Commission]])+LayTable[[#This Row],[LayLiability]]</f>
        <v>#VALUE!</v>
      </c>
      <c r="AE1929" s="43"/>
      <c r="AF1929" s="181"/>
    </row>
    <row r="1930" spans="1:32">
      <c r="A1930" s="84"/>
      <c r="B1930" s="39"/>
      <c r="C1930" s="40"/>
      <c r="D1930" s="41"/>
      <c r="E1930" s="40"/>
      <c r="F1930" s="41"/>
      <c r="G1930" s="101"/>
      <c r="H1930" s="38"/>
      <c r="I1930" s="42"/>
      <c r="J1930" s="42"/>
      <c r="K1930" s="43"/>
      <c r="L1930" s="43"/>
      <c r="M1930" s="44" t="str">
        <f>IF(LayTable[[#This Row],[Sport]]="","",LayTable[[#This Row],[LayInnsats]]*(LayTable[[#This Row],[LayOdds]]-1))</f>
        <v/>
      </c>
      <c r="N1930" s="45" t="str">
        <f>IF(LayTable[[#This Row],[Sport]]="","",1/((1/LayTable[[#This Row],[BookieOdds]])+(1/((1/((1+((LayTable[[#This Row],[LayOdds]]-1)*(1+LayTable[[#This Row],[C% Lay]])))-1))+1)))-1)</f>
        <v/>
      </c>
      <c r="Q1930" s="46" t="str">
        <f>IF(LayTable[[#This Row],[Sport]]="","",LayTable[[#This Row],[BookieInnsats]]+LayTable[[#This Row],[LayLiability]])</f>
        <v/>
      </c>
      <c r="R19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0" s="47" t="str">
        <f>IF(LayTable[[#This Row],[Utfall bookie]]="","",LayTable[[#This Row],[WBABack]]+LayTable[[#This Row],[WBALay]]-LayTable[[#This Row],[Total inns]])</f>
        <v/>
      </c>
      <c r="U19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0" s="48" t="str">
        <f>IFERROR(IF(LayTable[[#This Row],[Total inns]]="","",LayTable[[#This Row],[Rback]]/LayTable[[#This Row],[Total inns]]),"")</f>
        <v/>
      </c>
      <c r="X1930" s="48" t="str">
        <f>IFERROR(IF(LayTable[[#This Row],[Total inns]]="","",LayTable[[#This Row],[Rlay]]/LayTable[[#This Row],[Total inns]]),"")</f>
        <v/>
      </c>
      <c r="Y1930" s="48" t="str">
        <f>IFERROR(LayTable[[#This Row],[Faktisk res]]/LayTable[[#This Row],[Total inns]],"")</f>
        <v/>
      </c>
      <c r="Z1930" s="47">
        <f>(LayTable[[#This Row],[BookieInnsats]]*LayTable[[#This Row],[BookieOdds]]-LayTable[[#This Row],[BookieInnsats]])*(1-LayTable[[#This Row],[C% Bookie]])</f>
        <v>0</v>
      </c>
      <c r="AA1930" s="43">
        <f>LayTable[[#This Row],[LayInnsats]]*(1-LayTable[[#This Row],[C% Lay]])</f>
        <v>0</v>
      </c>
      <c r="AB1930" s="43" t="str">
        <f>IFERROR(IF(LayTable[[#This Row],[Sport]]="",AB1929,LayTable[[#This Row],[Faktisk res]]+AB1929),"")</f>
        <v/>
      </c>
      <c r="AC1930" s="43">
        <f>(LayTable[[#This Row],[BackWin-Commission]]+LayTable[[#This Row],[BookieInnsats]])</f>
        <v>0</v>
      </c>
      <c r="AD1930" s="43" t="e">
        <f>(LayTable[[#This Row],[LayWin-Commission]])+LayTable[[#This Row],[LayLiability]]</f>
        <v>#VALUE!</v>
      </c>
      <c r="AE1930" s="43"/>
      <c r="AF1930" s="181"/>
    </row>
    <row r="1931" spans="1:32">
      <c r="A1931" s="84"/>
      <c r="B1931" s="39"/>
      <c r="C1931" s="40"/>
      <c r="D1931" s="41"/>
      <c r="E1931" s="40"/>
      <c r="F1931" s="41"/>
      <c r="G1931" s="101"/>
      <c r="H1931" s="38"/>
      <c r="I1931" s="42"/>
      <c r="J1931" s="42"/>
      <c r="K1931" s="43"/>
      <c r="L1931" s="43"/>
      <c r="M1931" s="44" t="str">
        <f>IF(LayTable[[#This Row],[Sport]]="","",LayTable[[#This Row],[LayInnsats]]*(LayTable[[#This Row],[LayOdds]]-1))</f>
        <v/>
      </c>
      <c r="N1931" s="45" t="str">
        <f>IF(LayTable[[#This Row],[Sport]]="","",1/((1/LayTable[[#This Row],[BookieOdds]])+(1/((1/((1+((LayTable[[#This Row],[LayOdds]]-1)*(1+LayTable[[#This Row],[C% Lay]])))-1))+1)))-1)</f>
        <v/>
      </c>
      <c r="Q1931" s="46" t="str">
        <f>IF(LayTable[[#This Row],[Sport]]="","",LayTable[[#This Row],[BookieInnsats]]+LayTable[[#This Row],[LayLiability]])</f>
        <v/>
      </c>
      <c r="R19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1" s="47" t="str">
        <f>IF(LayTable[[#This Row],[Utfall bookie]]="","",LayTable[[#This Row],[WBABack]]+LayTable[[#This Row],[WBALay]]-LayTable[[#This Row],[Total inns]])</f>
        <v/>
      </c>
      <c r="U19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1" s="48" t="str">
        <f>IFERROR(IF(LayTable[[#This Row],[Total inns]]="","",LayTable[[#This Row],[Rback]]/LayTable[[#This Row],[Total inns]]),"")</f>
        <v/>
      </c>
      <c r="X1931" s="48" t="str">
        <f>IFERROR(IF(LayTable[[#This Row],[Total inns]]="","",LayTable[[#This Row],[Rlay]]/LayTable[[#This Row],[Total inns]]),"")</f>
        <v/>
      </c>
      <c r="Y1931" s="48" t="str">
        <f>IFERROR(LayTable[[#This Row],[Faktisk res]]/LayTable[[#This Row],[Total inns]],"")</f>
        <v/>
      </c>
      <c r="Z1931" s="47">
        <f>(LayTable[[#This Row],[BookieInnsats]]*LayTable[[#This Row],[BookieOdds]]-LayTable[[#This Row],[BookieInnsats]])*(1-LayTable[[#This Row],[C% Bookie]])</f>
        <v>0</v>
      </c>
      <c r="AA1931" s="43">
        <f>LayTable[[#This Row],[LayInnsats]]*(1-LayTable[[#This Row],[C% Lay]])</f>
        <v>0</v>
      </c>
      <c r="AB1931" s="43" t="str">
        <f>IFERROR(IF(LayTable[[#This Row],[Sport]]="",AB1930,LayTable[[#This Row],[Faktisk res]]+AB1930),"")</f>
        <v/>
      </c>
      <c r="AC1931" s="43">
        <f>(LayTable[[#This Row],[BackWin-Commission]]+LayTable[[#This Row],[BookieInnsats]])</f>
        <v>0</v>
      </c>
      <c r="AD1931" s="43" t="e">
        <f>(LayTable[[#This Row],[LayWin-Commission]])+LayTable[[#This Row],[LayLiability]]</f>
        <v>#VALUE!</v>
      </c>
      <c r="AE1931" s="43"/>
      <c r="AF1931" s="181"/>
    </row>
    <row r="1932" spans="1:32">
      <c r="A1932" s="84"/>
      <c r="B1932" s="39"/>
      <c r="C1932" s="40"/>
      <c r="D1932" s="41"/>
      <c r="E1932" s="40"/>
      <c r="F1932" s="41"/>
      <c r="G1932" s="101"/>
      <c r="H1932" s="38"/>
      <c r="I1932" s="42"/>
      <c r="J1932" s="42"/>
      <c r="K1932" s="43"/>
      <c r="L1932" s="43"/>
      <c r="M1932" s="44" t="str">
        <f>IF(LayTable[[#This Row],[Sport]]="","",LayTable[[#This Row],[LayInnsats]]*(LayTable[[#This Row],[LayOdds]]-1))</f>
        <v/>
      </c>
      <c r="N1932" s="45" t="str">
        <f>IF(LayTable[[#This Row],[Sport]]="","",1/((1/LayTable[[#This Row],[BookieOdds]])+(1/((1/((1+((LayTable[[#This Row],[LayOdds]]-1)*(1+LayTable[[#This Row],[C% Lay]])))-1))+1)))-1)</f>
        <v/>
      </c>
      <c r="Q1932" s="46" t="str">
        <f>IF(LayTable[[#This Row],[Sport]]="","",LayTable[[#This Row],[BookieInnsats]]+LayTable[[#This Row],[LayLiability]])</f>
        <v/>
      </c>
      <c r="R19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2" s="47" t="str">
        <f>IF(LayTable[[#This Row],[Utfall bookie]]="","",LayTable[[#This Row],[WBABack]]+LayTable[[#This Row],[WBALay]]-LayTable[[#This Row],[Total inns]])</f>
        <v/>
      </c>
      <c r="U19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2" s="48" t="str">
        <f>IFERROR(IF(LayTable[[#This Row],[Total inns]]="","",LayTable[[#This Row],[Rback]]/LayTable[[#This Row],[Total inns]]),"")</f>
        <v/>
      </c>
      <c r="X1932" s="48" t="str">
        <f>IFERROR(IF(LayTable[[#This Row],[Total inns]]="","",LayTable[[#This Row],[Rlay]]/LayTable[[#This Row],[Total inns]]),"")</f>
        <v/>
      </c>
      <c r="Y1932" s="48" t="str">
        <f>IFERROR(LayTable[[#This Row],[Faktisk res]]/LayTable[[#This Row],[Total inns]],"")</f>
        <v/>
      </c>
      <c r="Z1932" s="47">
        <f>(LayTable[[#This Row],[BookieInnsats]]*LayTable[[#This Row],[BookieOdds]]-LayTable[[#This Row],[BookieInnsats]])*(1-LayTable[[#This Row],[C% Bookie]])</f>
        <v>0</v>
      </c>
      <c r="AA1932" s="43">
        <f>LayTable[[#This Row],[LayInnsats]]*(1-LayTable[[#This Row],[C% Lay]])</f>
        <v>0</v>
      </c>
      <c r="AB1932" s="43" t="str">
        <f>IFERROR(IF(LayTable[[#This Row],[Sport]]="",AB1931,LayTable[[#This Row],[Faktisk res]]+AB1931),"")</f>
        <v/>
      </c>
      <c r="AC1932" s="43">
        <f>(LayTable[[#This Row],[BackWin-Commission]]+LayTable[[#This Row],[BookieInnsats]])</f>
        <v>0</v>
      </c>
      <c r="AD1932" s="43" t="e">
        <f>(LayTable[[#This Row],[LayWin-Commission]])+LayTable[[#This Row],[LayLiability]]</f>
        <v>#VALUE!</v>
      </c>
      <c r="AE1932" s="43"/>
      <c r="AF1932" s="181"/>
    </row>
    <row r="1933" spans="1:32">
      <c r="A1933" s="84"/>
      <c r="B1933" s="39"/>
      <c r="C1933" s="40"/>
      <c r="D1933" s="41"/>
      <c r="E1933" s="40"/>
      <c r="F1933" s="41"/>
      <c r="G1933" s="101"/>
      <c r="H1933" s="38"/>
      <c r="I1933" s="42"/>
      <c r="J1933" s="42"/>
      <c r="K1933" s="43"/>
      <c r="L1933" s="43"/>
      <c r="M1933" s="44" t="str">
        <f>IF(LayTable[[#This Row],[Sport]]="","",LayTable[[#This Row],[LayInnsats]]*(LayTable[[#This Row],[LayOdds]]-1))</f>
        <v/>
      </c>
      <c r="N1933" s="45" t="str">
        <f>IF(LayTable[[#This Row],[Sport]]="","",1/((1/LayTable[[#This Row],[BookieOdds]])+(1/((1/((1+((LayTable[[#This Row],[LayOdds]]-1)*(1+LayTable[[#This Row],[C% Lay]])))-1))+1)))-1)</f>
        <v/>
      </c>
      <c r="Q1933" s="46" t="str">
        <f>IF(LayTable[[#This Row],[Sport]]="","",LayTable[[#This Row],[BookieInnsats]]+LayTable[[#This Row],[LayLiability]])</f>
        <v/>
      </c>
      <c r="R19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3" s="47" t="str">
        <f>IF(LayTable[[#This Row],[Utfall bookie]]="","",LayTable[[#This Row],[WBABack]]+LayTable[[#This Row],[WBALay]]-LayTable[[#This Row],[Total inns]])</f>
        <v/>
      </c>
      <c r="U19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3" s="48" t="str">
        <f>IFERROR(IF(LayTable[[#This Row],[Total inns]]="","",LayTable[[#This Row],[Rback]]/LayTable[[#This Row],[Total inns]]),"")</f>
        <v/>
      </c>
      <c r="X1933" s="48" t="str">
        <f>IFERROR(IF(LayTable[[#This Row],[Total inns]]="","",LayTable[[#This Row],[Rlay]]/LayTable[[#This Row],[Total inns]]),"")</f>
        <v/>
      </c>
      <c r="Y1933" s="48" t="str">
        <f>IFERROR(LayTable[[#This Row],[Faktisk res]]/LayTable[[#This Row],[Total inns]],"")</f>
        <v/>
      </c>
      <c r="Z1933" s="47">
        <f>(LayTable[[#This Row],[BookieInnsats]]*LayTable[[#This Row],[BookieOdds]]-LayTable[[#This Row],[BookieInnsats]])*(1-LayTable[[#This Row],[C% Bookie]])</f>
        <v>0</v>
      </c>
      <c r="AA1933" s="43">
        <f>LayTable[[#This Row],[LayInnsats]]*(1-LayTable[[#This Row],[C% Lay]])</f>
        <v>0</v>
      </c>
      <c r="AB1933" s="43" t="str">
        <f>IFERROR(IF(LayTable[[#This Row],[Sport]]="",AB1932,LayTable[[#This Row],[Faktisk res]]+AB1932),"")</f>
        <v/>
      </c>
      <c r="AC1933" s="43">
        <f>(LayTable[[#This Row],[BackWin-Commission]]+LayTable[[#This Row],[BookieInnsats]])</f>
        <v>0</v>
      </c>
      <c r="AD1933" s="43" t="e">
        <f>(LayTable[[#This Row],[LayWin-Commission]])+LayTable[[#This Row],[LayLiability]]</f>
        <v>#VALUE!</v>
      </c>
      <c r="AE1933" s="43"/>
      <c r="AF1933" s="181"/>
    </row>
    <row r="1934" spans="1:32">
      <c r="A1934" s="84"/>
      <c r="B1934" s="39"/>
      <c r="C1934" s="40"/>
      <c r="D1934" s="41"/>
      <c r="E1934" s="40"/>
      <c r="F1934" s="41"/>
      <c r="G1934" s="101"/>
      <c r="H1934" s="38"/>
      <c r="I1934" s="42"/>
      <c r="J1934" s="42"/>
      <c r="K1934" s="43"/>
      <c r="L1934" s="43"/>
      <c r="M1934" s="44" t="str">
        <f>IF(LayTable[[#This Row],[Sport]]="","",LayTable[[#This Row],[LayInnsats]]*(LayTable[[#This Row],[LayOdds]]-1))</f>
        <v/>
      </c>
      <c r="N1934" s="45" t="str">
        <f>IF(LayTable[[#This Row],[Sport]]="","",1/((1/LayTable[[#This Row],[BookieOdds]])+(1/((1/((1+((LayTable[[#This Row],[LayOdds]]-1)*(1+LayTable[[#This Row],[C% Lay]])))-1))+1)))-1)</f>
        <v/>
      </c>
      <c r="Q1934" s="46" t="str">
        <f>IF(LayTable[[#This Row],[Sport]]="","",LayTable[[#This Row],[BookieInnsats]]+LayTable[[#This Row],[LayLiability]])</f>
        <v/>
      </c>
      <c r="R19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4" s="47" t="str">
        <f>IF(LayTable[[#This Row],[Utfall bookie]]="","",LayTable[[#This Row],[WBABack]]+LayTable[[#This Row],[WBALay]]-LayTable[[#This Row],[Total inns]])</f>
        <v/>
      </c>
      <c r="U19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4" s="48" t="str">
        <f>IFERROR(IF(LayTable[[#This Row],[Total inns]]="","",LayTable[[#This Row],[Rback]]/LayTable[[#This Row],[Total inns]]),"")</f>
        <v/>
      </c>
      <c r="X1934" s="48" t="str">
        <f>IFERROR(IF(LayTable[[#This Row],[Total inns]]="","",LayTable[[#This Row],[Rlay]]/LayTable[[#This Row],[Total inns]]),"")</f>
        <v/>
      </c>
      <c r="Y1934" s="48" t="str">
        <f>IFERROR(LayTable[[#This Row],[Faktisk res]]/LayTable[[#This Row],[Total inns]],"")</f>
        <v/>
      </c>
      <c r="Z1934" s="47">
        <f>(LayTable[[#This Row],[BookieInnsats]]*LayTable[[#This Row],[BookieOdds]]-LayTable[[#This Row],[BookieInnsats]])*(1-LayTable[[#This Row],[C% Bookie]])</f>
        <v>0</v>
      </c>
      <c r="AA1934" s="43">
        <f>LayTable[[#This Row],[LayInnsats]]*(1-LayTable[[#This Row],[C% Lay]])</f>
        <v>0</v>
      </c>
      <c r="AB1934" s="43" t="str">
        <f>IFERROR(IF(LayTable[[#This Row],[Sport]]="",AB1933,LayTable[[#This Row],[Faktisk res]]+AB1933),"")</f>
        <v/>
      </c>
      <c r="AC1934" s="43">
        <f>(LayTable[[#This Row],[BackWin-Commission]]+LayTable[[#This Row],[BookieInnsats]])</f>
        <v>0</v>
      </c>
      <c r="AD1934" s="43" t="e">
        <f>(LayTable[[#This Row],[LayWin-Commission]])+LayTable[[#This Row],[LayLiability]]</f>
        <v>#VALUE!</v>
      </c>
      <c r="AE1934" s="43"/>
      <c r="AF1934" s="181"/>
    </row>
    <row r="1935" spans="1:32">
      <c r="A1935" s="84"/>
      <c r="B1935" s="39"/>
      <c r="C1935" s="40"/>
      <c r="D1935" s="41"/>
      <c r="E1935" s="40"/>
      <c r="F1935" s="41"/>
      <c r="G1935" s="101"/>
      <c r="H1935" s="38"/>
      <c r="I1935" s="42"/>
      <c r="J1935" s="42"/>
      <c r="K1935" s="43"/>
      <c r="L1935" s="43"/>
      <c r="M1935" s="44" t="str">
        <f>IF(LayTable[[#This Row],[Sport]]="","",LayTable[[#This Row],[LayInnsats]]*(LayTable[[#This Row],[LayOdds]]-1))</f>
        <v/>
      </c>
      <c r="N1935" s="45" t="str">
        <f>IF(LayTable[[#This Row],[Sport]]="","",1/((1/LayTable[[#This Row],[BookieOdds]])+(1/((1/((1+((LayTable[[#This Row],[LayOdds]]-1)*(1+LayTable[[#This Row],[C% Lay]])))-1))+1)))-1)</f>
        <v/>
      </c>
      <c r="Q1935" s="46" t="str">
        <f>IF(LayTable[[#This Row],[Sport]]="","",LayTable[[#This Row],[BookieInnsats]]+LayTable[[#This Row],[LayLiability]])</f>
        <v/>
      </c>
      <c r="R19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5" s="47" t="str">
        <f>IF(LayTable[[#This Row],[Utfall bookie]]="","",LayTable[[#This Row],[WBABack]]+LayTable[[#This Row],[WBALay]]-LayTable[[#This Row],[Total inns]])</f>
        <v/>
      </c>
      <c r="U19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5" s="48" t="str">
        <f>IFERROR(IF(LayTable[[#This Row],[Total inns]]="","",LayTable[[#This Row],[Rback]]/LayTable[[#This Row],[Total inns]]),"")</f>
        <v/>
      </c>
      <c r="X1935" s="48" t="str">
        <f>IFERROR(IF(LayTable[[#This Row],[Total inns]]="","",LayTable[[#This Row],[Rlay]]/LayTable[[#This Row],[Total inns]]),"")</f>
        <v/>
      </c>
      <c r="Y1935" s="48" t="str">
        <f>IFERROR(LayTable[[#This Row],[Faktisk res]]/LayTable[[#This Row],[Total inns]],"")</f>
        <v/>
      </c>
      <c r="Z1935" s="47">
        <f>(LayTable[[#This Row],[BookieInnsats]]*LayTable[[#This Row],[BookieOdds]]-LayTable[[#This Row],[BookieInnsats]])*(1-LayTable[[#This Row],[C% Bookie]])</f>
        <v>0</v>
      </c>
      <c r="AA1935" s="43">
        <f>LayTable[[#This Row],[LayInnsats]]*(1-LayTable[[#This Row],[C% Lay]])</f>
        <v>0</v>
      </c>
      <c r="AB1935" s="43" t="str">
        <f>IFERROR(IF(LayTable[[#This Row],[Sport]]="",AB1934,LayTable[[#This Row],[Faktisk res]]+AB1934),"")</f>
        <v/>
      </c>
      <c r="AC1935" s="43">
        <f>(LayTable[[#This Row],[BackWin-Commission]]+LayTable[[#This Row],[BookieInnsats]])</f>
        <v>0</v>
      </c>
      <c r="AD1935" s="43" t="e">
        <f>(LayTable[[#This Row],[LayWin-Commission]])+LayTable[[#This Row],[LayLiability]]</f>
        <v>#VALUE!</v>
      </c>
      <c r="AE1935" s="43"/>
      <c r="AF1935" s="181"/>
    </row>
    <row r="1936" spans="1:32">
      <c r="A1936" s="84"/>
      <c r="B1936" s="39"/>
      <c r="C1936" s="40"/>
      <c r="D1936" s="41"/>
      <c r="E1936" s="40"/>
      <c r="F1936" s="41"/>
      <c r="G1936" s="101"/>
      <c r="H1936" s="38"/>
      <c r="I1936" s="42"/>
      <c r="J1936" s="42"/>
      <c r="K1936" s="43"/>
      <c r="L1936" s="43"/>
      <c r="M1936" s="44" t="str">
        <f>IF(LayTable[[#This Row],[Sport]]="","",LayTable[[#This Row],[LayInnsats]]*(LayTable[[#This Row],[LayOdds]]-1))</f>
        <v/>
      </c>
      <c r="N1936" s="45" t="str">
        <f>IF(LayTable[[#This Row],[Sport]]="","",1/((1/LayTable[[#This Row],[BookieOdds]])+(1/((1/((1+((LayTable[[#This Row],[LayOdds]]-1)*(1+LayTable[[#This Row],[C% Lay]])))-1))+1)))-1)</f>
        <v/>
      </c>
      <c r="Q1936" s="46" t="str">
        <f>IF(LayTable[[#This Row],[Sport]]="","",LayTable[[#This Row],[BookieInnsats]]+LayTable[[#This Row],[LayLiability]])</f>
        <v/>
      </c>
      <c r="R19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6" s="47" t="str">
        <f>IF(LayTable[[#This Row],[Utfall bookie]]="","",LayTable[[#This Row],[WBABack]]+LayTable[[#This Row],[WBALay]]-LayTable[[#This Row],[Total inns]])</f>
        <v/>
      </c>
      <c r="U19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6" s="48" t="str">
        <f>IFERROR(IF(LayTable[[#This Row],[Total inns]]="","",LayTable[[#This Row],[Rback]]/LayTable[[#This Row],[Total inns]]),"")</f>
        <v/>
      </c>
      <c r="X1936" s="48" t="str">
        <f>IFERROR(IF(LayTable[[#This Row],[Total inns]]="","",LayTable[[#This Row],[Rlay]]/LayTable[[#This Row],[Total inns]]),"")</f>
        <v/>
      </c>
      <c r="Y1936" s="48" t="str">
        <f>IFERROR(LayTable[[#This Row],[Faktisk res]]/LayTable[[#This Row],[Total inns]],"")</f>
        <v/>
      </c>
      <c r="Z1936" s="47">
        <f>(LayTable[[#This Row],[BookieInnsats]]*LayTable[[#This Row],[BookieOdds]]-LayTable[[#This Row],[BookieInnsats]])*(1-LayTable[[#This Row],[C% Bookie]])</f>
        <v>0</v>
      </c>
      <c r="AA1936" s="43">
        <f>LayTable[[#This Row],[LayInnsats]]*(1-LayTable[[#This Row],[C% Lay]])</f>
        <v>0</v>
      </c>
      <c r="AB1936" s="43" t="str">
        <f>IFERROR(IF(LayTable[[#This Row],[Sport]]="",AB1935,LayTable[[#This Row],[Faktisk res]]+AB1935),"")</f>
        <v/>
      </c>
      <c r="AC1936" s="43">
        <f>(LayTable[[#This Row],[BackWin-Commission]]+LayTable[[#This Row],[BookieInnsats]])</f>
        <v>0</v>
      </c>
      <c r="AD1936" s="43" t="e">
        <f>(LayTable[[#This Row],[LayWin-Commission]])+LayTable[[#This Row],[LayLiability]]</f>
        <v>#VALUE!</v>
      </c>
      <c r="AE1936" s="43"/>
      <c r="AF1936" s="181"/>
    </row>
    <row r="1937" spans="1:32">
      <c r="A1937" s="84"/>
      <c r="B1937" s="39"/>
      <c r="C1937" s="40"/>
      <c r="D1937" s="41"/>
      <c r="E1937" s="40"/>
      <c r="F1937" s="41"/>
      <c r="G1937" s="101"/>
      <c r="H1937" s="38"/>
      <c r="I1937" s="42"/>
      <c r="J1937" s="42"/>
      <c r="K1937" s="43"/>
      <c r="L1937" s="43"/>
      <c r="M1937" s="44" t="str">
        <f>IF(LayTable[[#This Row],[Sport]]="","",LayTable[[#This Row],[LayInnsats]]*(LayTable[[#This Row],[LayOdds]]-1))</f>
        <v/>
      </c>
      <c r="N1937" s="45" t="str">
        <f>IF(LayTable[[#This Row],[Sport]]="","",1/((1/LayTable[[#This Row],[BookieOdds]])+(1/((1/((1+((LayTable[[#This Row],[LayOdds]]-1)*(1+LayTable[[#This Row],[C% Lay]])))-1))+1)))-1)</f>
        <v/>
      </c>
      <c r="Q1937" s="46" t="str">
        <f>IF(LayTable[[#This Row],[Sport]]="","",LayTable[[#This Row],[BookieInnsats]]+LayTable[[#This Row],[LayLiability]])</f>
        <v/>
      </c>
      <c r="R19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7" s="47" t="str">
        <f>IF(LayTable[[#This Row],[Utfall bookie]]="","",LayTable[[#This Row],[WBABack]]+LayTable[[#This Row],[WBALay]]-LayTable[[#This Row],[Total inns]])</f>
        <v/>
      </c>
      <c r="U19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7" s="48" t="str">
        <f>IFERROR(IF(LayTable[[#This Row],[Total inns]]="","",LayTable[[#This Row],[Rback]]/LayTable[[#This Row],[Total inns]]),"")</f>
        <v/>
      </c>
      <c r="X1937" s="48" t="str">
        <f>IFERROR(IF(LayTable[[#This Row],[Total inns]]="","",LayTable[[#This Row],[Rlay]]/LayTable[[#This Row],[Total inns]]),"")</f>
        <v/>
      </c>
      <c r="Y1937" s="48" t="str">
        <f>IFERROR(LayTable[[#This Row],[Faktisk res]]/LayTable[[#This Row],[Total inns]],"")</f>
        <v/>
      </c>
      <c r="Z1937" s="47">
        <f>(LayTable[[#This Row],[BookieInnsats]]*LayTable[[#This Row],[BookieOdds]]-LayTable[[#This Row],[BookieInnsats]])*(1-LayTable[[#This Row],[C% Bookie]])</f>
        <v>0</v>
      </c>
      <c r="AA1937" s="43">
        <f>LayTable[[#This Row],[LayInnsats]]*(1-LayTable[[#This Row],[C% Lay]])</f>
        <v>0</v>
      </c>
      <c r="AB1937" s="43" t="str">
        <f>IFERROR(IF(LayTable[[#This Row],[Sport]]="",AB1936,LayTable[[#This Row],[Faktisk res]]+AB1936),"")</f>
        <v/>
      </c>
      <c r="AC1937" s="43">
        <f>(LayTable[[#This Row],[BackWin-Commission]]+LayTable[[#This Row],[BookieInnsats]])</f>
        <v>0</v>
      </c>
      <c r="AD1937" s="43" t="e">
        <f>(LayTable[[#This Row],[LayWin-Commission]])+LayTable[[#This Row],[LayLiability]]</f>
        <v>#VALUE!</v>
      </c>
      <c r="AE1937" s="43"/>
      <c r="AF1937" s="181"/>
    </row>
    <row r="1938" spans="1:32">
      <c r="A1938" s="84"/>
      <c r="B1938" s="39"/>
      <c r="C1938" s="40"/>
      <c r="D1938" s="41"/>
      <c r="E1938" s="40"/>
      <c r="F1938" s="41"/>
      <c r="G1938" s="101"/>
      <c r="H1938" s="38"/>
      <c r="I1938" s="42"/>
      <c r="J1938" s="42"/>
      <c r="K1938" s="43"/>
      <c r="L1938" s="43"/>
      <c r="M1938" s="44" t="str">
        <f>IF(LayTable[[#This Row],[Sport]]="","",LayTable[[#This Row],[LayInnsats]]*(LayTable[[#This Row],[LayOdds]]-1))</f>
        <v/>
      </c>
      <c r="N1938" s="45" t="str">
        <f>IF(LayTable[[#This Row],[Sport]]="","",1/((1/LayTable[[#This Row],[BookieOdds]])+(1/((1/((1+((LayTable[[#This Row],[LayOdds]]-1)*(1+LayTable[[#This Row],[C% Lay]])))-1))+1)))-1)</f>
        <v/>
      </c>
      <c r="Q1938" s="46" t="str">
        <f>IF(LayTable[[#This Row],[Sport]]="","",LayTable[[#This Row],[BookieInnsats]]+LayTable[[#This Row],[LayLiability]])</f>
        <v/>
      </c>
      <c r="R19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8" s="47" t="str">
        <f>IF(LayTable[[#This Row],[Utfall bookie]]="","",LayTable[[#This Row],[WBABack]]+LayTable[[#This Row],[WBALay]]-LayTable[[#This Row],[Total inns]])</f>
        <v/>
      </c>
      <c r="U19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8" s="48" t="str">
        <f>IFERROR(IF(LayTable[[#This Row],[Total inns]]="","",LayTable[[#This Row],[Rback]]/LayTable[[#This Row],[Total inns]]),"")</f>
        <v/>
      </c>
      <c r="X1938" s="48" t="str">
        <f>IFERROR(IF(LayTable[[#This Row],[Total inns]]="","",LayTable[[#This Row],[Rlay]]/LayTable[[#This Row],[Total inns]]),"")</f>
        <v/>
      </c>
      <c r="Y1938" s="48" t="str">
        <f>IFERROR(LayTable[[#This Row],[Faktisk res]]/LayTable[[#This Row],[Total inns]],"")</f>
        <v/>
      </c>
      <c r="Z1938" s="47">
        <f>(LayTable[[#This Row],[BookieInnsats]]*LayTable[[#This Row],[BookieOdds]]-LayTable[[#This Row],[BookieInnsats]])*(1-LayTable[[#This Row],[C% Bookie]])</f>
        <v>0</v>
      </c>
      <c r="AA1938" s="43">
        <f>LayTable[[#This Row],[LayInnsats]]*(1-LayTable[[#This Row],[C% Lay]])</f>
        <v>0</v>
      </c>
      <c r="AB1938" s="43" t="str">
        <f>IFERROR(IF(LayTable[[#This Row],[Sport]]="",AB1937,LayTable[[#This Row],[Faktisk res]]+AB1937),"")</f>
        <v/>
      </c>
      <c r="AC1938" s="43">
        <f>(LayTable[[#This Row],[BackWin-Commission]]+LayTable[[#This Row],[BookieInnsats]])</f>
        <v>0</v>
      </c>
      <c r="AD1938" s="43" t="e">
        <f>(LayTable[[#This Row],[LayWin-Commission]])+LayTable[[#This Row],[LayLiability]]</f>
        <v>#VALUE!</v>
      </c>
      <c r="AE1938" s="43"/>
      <c r="AF1938" s="181"/>
    </row>
    <row r="1939" spans="1:32">
      <c r="A1939" s="84"/>
      <c r="B1939" s="39"/>
      <c r="C1939" s="40"/>
      <c r="D1939" s="41"/>
      <c r="E1939" s="40"/>
      <c r="F1939" s="41"/>
      <c r="G1939" s="101"/>
      <c r="H1939" s="38"/>
      <c r="I1939" s="42"/>
      <c r="J1939" s="42"/>
      <c r="K1939" s="43"/>
      <c r="L1939" s="43"/>
      <c r="M1939" s="44" t="str">
        <f>IF(LayTable[[#This Row],[Sport]]="","",LayTable[[#This Row],[LayInnsats]]*(LayTable[[#This Row],[LayOdds]]-1))</f>
        <v/>
      </c>
      <c r="N1939" s="45" t="str">
        <f>IF(LayTable[[#This Row],[Sport]]="","",1/((1/LayTable[[#This Row],[BookieOdds]])+(1/((1/((1+((LayTable[[#This Row],[LayOdds]]-1)*(1+LayTable[[#This Row],[C% Lay]])))-1))+1)))-1)</f>
        <v/>
      </c>
      <c r="Q1939" s="46" t="str">
        <f>IF(LayTable[[#This Row],[Sport]]="","",LayTable[[#This Row],[BookieInnsats]]+LayTable[[#This Row],[LayLiability]])</f>
        <v/>
      </c>
      <c r="R19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39" s="47" t="str">
        <f>IF(LayTable[[#This Row],[Utfall bookie]]="","",LayTable[[#This Row],[WBABack]]+LayTable[[#This Row],[WBALay]]-LayTable[[#This Row],[Total inns]])</f>
        <v/>
      </c>
      <c r="U19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39" s="48" t="str">
        <f>IFERROR(IF(LayTable[[#This Row],[Total inns]]="","",LayTable[[#This Row],[Rback]]/LayTable[[#This Row],[Total inns]]),"")</f>
        <v/>
      </c>
      <c r="X1939" s="48" t="str">
        <f>IFERROR(IF(LayTable[[#This Row],[Total inns]]="","",LayTable[[#This Row],[Rlay]]/LayTable[[#This Row],[Total inns]]),"")</f>
        <v/>
      </c>
      <c r="Y1939" s="48" t="str">
        <f>IFERROR(LayTable[[#This Row],[Faktisk res]]/LayTable[[#This Row],[Total inns]],"")</f>
        <v/>
      </c>
      <c r="Z1939" s="47">
        <f>(LayTable[[#This Row],[BookieInnsats]]*LayTable[[#This Row],[BookieOdds]]-LayTable[[#This Row],[BookieInnsats]])*(1-LayTable[[#This Row],[C% Bookie]])</f>
        <v>0</v>
      </c>
      <c r="AA1939" s="43">
        <f>LayTable[[#This Row],[LayInnsats]]*(1-LayTable[[#This Row],[C% Lay]])</f>
        <v>0</v>
      </c>
      <c r="AB1939" s="43" t="str">
        <f>IFERROR(IF(LayTable[[#This Row],[Sport]]="",AB1938,LayTable[[#This Row],[Faktisk res]]+AB1938),"")</f>
        <v/>
      </c>
      <c r="AC1939" s="43">
        <f>(LayTable[[#This Row],[BackWin-Commission]]+LayTable[[#This Row],[BookieInnsats]])</f>
        <v>0</v>
      </c>
      <c r="AD1939" s="43" t="e">
        <f>(LayTable[[#This Row],[LayWin-Commission]])+LayTable[[#This Row],[LayLiability]]</f>
        <v>#VALUE!</v>
      </c>
      <c r="AE1939" s="43"/>
      <c r="AF1939" s="181"/>
    </row>
    <row r="1940" spans="1:32">
      <c r="A1940" s="84"/>
      <c r="B1940" s="39"/>
      <c r="C1940" s="40"/>
      <c r="D1940" s="41"/>
      <c r="E1940" s="40"/>
      <c r="F1940" s="41"/>
      <c r="G1940" s="101"/>
      <c r="H1940" s="38"/>
      <c r="I1940" s="42"/>
      <c r="J1940" s="42"/>
      <c r="K1940" s="43"/>
      <c r="L1940" s="43"/>
      <c r="M1940" s="44" t="str">
        <f>IF(LayTable[[#This Row],[Sport]]="","",LayTable[[#This Row],[LayInnsats]]*(LayTable[[#This Row],[LayOdds]]-1))</f>
        <v/>
      </c>
      <c r="N1940" s="45" t="str">
        <f>IF(LayTable[[#This Row],[Sport]]="","",1/((1/LayTable[[#This Row],[BookieOdds]])+(1/((1/((1+((LayTable[[#This Row],[LayOdds]]-1)*(1+LayTable[[#This Row],[C% Lay]])))-1))+1)))-1)</f>
        <v/>
      </c>
      <c r="Q1940" s="46" t="str">
        <f>IF(LayTable[[#This Row],[Sport]]="","",LayTable[[#This Row],[BookieInnsats]]+LayTable[[#This Row],[LayLiability]])</f>
        <v/>
      </c>
      <c r="R19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0" s="47" t="str">
        <f>IF(LayTable[[#This Row],[Utfall bookie]]="","",LayTable[[#This Row],[WBABack]]+LayTable[[#This Row],[WBALay]]-LayTable[[#This Row],[Total inns]])</f>
        <v/>
      </c>
      <c r="U19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0" s="48" t="str">
        <f>IFERROR(IF(LayTable[[#This Row],[Total inns]]="","",LayTable[[#This Row],[Rback]]/LayTable[[#This Row],[Total inns]]),"")</f>
        <v/>
      </c>
      <c r="X1940" s="48" t="str">
        <f>IFERROR(IF(LayTable[[#This Row],[Total inns]]="","",LayTable[[#This Row],[Rlay]]/LayTable[[#This Row],[Total inns]]),"")</f>
        <v/>
      </c>
      <c r="Y1940" s="48" t="str">
        <f>IFERROR(LayTable[[#This Row],[Faktisk res]]/LayTable[[#This Row],[Total inns]],"")</f>
        <v/>
      </c>
      <c r="Z1940" s="47">
        <f>(LayTable[[#This Row],[BookieInnsats]]*LayTable[[#This Row],[BookieOdds]]-LayTable[[#This Row],[BookieInnsats]])*(1-LayTable[[#This Row],[C% Bookie]])</f>
        <v>0</v>
      </c>
      <c r="AA1940" s="43">
        <f>LayTable[[#This Row],[LayInnsats]]*(1-LayTable[[#This Row],[C% Lay]])</f>
        <v>0</v>
      </c>
      <c r="AB1940" s="43" t="str">
        <f>IFERROR(IF(LayTable[[#This Row],[Sport]]="",AB1939,LayTable[[#This Row],[Faktisk res]]+AB1939),"")</f>
        <v/>
      </c>
      <c r="AC1940" s="43">
        <f>(LayTable[[#This Row],[BackWin-Commission]]+LayTable[[#This Row],[BookieInnsats]])</f>
        <v>0</v>
      </c>
      <c r="AD1940" s="43" t="e">
        <f>(LayTable[[#This Row],[LayWin-Commission]])+LayTable[[#This Row],[LayLiability]]</f>
        <v>#VALUE!</v>
      </c>
      <c r="AE1940" s="43"/>
      <c r="AF1940" s="181"/>
    </row>
    <row r="1941" spans="1:32">
      <c r="A1941" s="84"/>
      <c r="B1941" s="39"/>
      <c r="C1941" s="40"/>
      <c r="D1941" s="41"/>
      <c r="E1941" s="40"/>
      <c r="F1941" s="41"/>
      <c r="G1941" s="101"/>
      <c r="H1941" s="38"/>
      <c r="I1941" s="42"/>
      <c r="J1941" s="42"/>
      <c r="K1941" s="43"/>
      <c r="L1941" s="43"/>
      <c r="M1941" s="44" t="str">
        <f>IF(LayTable[[#This Row],[Sport]]="","",LayTable[[#This Row],[LayInnsats]]*(LayTable[[#This Row],[LayOdds]]-1))</f>
        <v/>
      </c>
      <c r="N1941" s="45" t="str">
        <f>IF(LayTable[[#This Row],[Sport]]="","",1/((1/LayTable[[#This Row],[BookieOdds]])+(1/((1/((1+((LayTable[[#This Row],[LayOdds]]-1)*(1+LayTable[[#This Row],[C% Lay]])))-1))+1)))-1)</f>
        <v/>
      </c>
      <c r="Q1941" s="46" t="str">
        <f>IF(LayTable[[#This Row],[Sport]]="","",LayTable[[#This Row],[BookieInnsats]]+LayTable[[#This Row],[LayLiability]])</f>
        <v/>
      </c>
      <c r="R19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1" s="47" t="str">
        <f>IF(LayTable[[#This Row],[Utfall bookie]]="","",LayTable[[#This Row],[WBABack]]+LayTable[[#This Row],[WBALay]]-LayTable[[#This Row],[Total inns]])</f>
        <v/>
      </c>
      <c r="U19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1" s="48" t="str">
        <f>IFERROR(IF(LayTable[[#This Row],[Total inns]]="","",LayTable[[#This Row],[Rback]]/LayTable[[#This Row],[Total inns]]),"")</f>
        <v/>
      </c>
      <c r="X1941" s="48" t="str">
        <f>IFERROR(IF(LayTable[[#This Row],[Total inns]]="","",LayTable[[#This Row],[Rlay]]/LayTable[[#This Row],[Total inns]]),"")</f>
        <v/>
      </c>
      <c r="Y1941" s="48" t="str">
        <f>IFERROR(LayTable[[#This Row],[Faktisk res]]/LayTable[[#This Row],[Total inns]],"")</f>
        <v/>
      </c>
      <c r="Z1941" s="47">
        <f>(LayTable[[#This Row],[BookieInnsats]]*LayTable[[#This Row],[BookieOdds]]-LayTable[[#This Row],[BookieInnsats]])*(1-LayTable[[#This Row],[C% Bookie]])</f>
        <v>0</v>
      </c>
      <c r="AA1941" s="43">
        <f>LayTable[[#This Row],[LayInnsats]]*(1-LayTable[[#This Row],[C% Lay]])</f>
        <v>0</v>
      </c>
      <c r="AB1941" s="43" t="str">
        <f>IFERROR(IF(LayTable[[#This Row],[Sport]]="",AB1940,LayTable[[#This Row],[Faktisk res]]+AB1940),"")</f>
        <v/>
      </c>
      <c r="AC1941" s="43">
        <f>(LayTable[[#This Row],[BackWin-Commission]]+LayTable[[#This Row],[BookieInnsats]])</f>
        <v>0</v>
      </c>
      <c r="AD1941" s="43" t="e">
        <f>(LayTable[[#This Row],[LayWin-Commission]])+LayTable[[#This Row],[LayLiability]]</f>
        <v>#VALUE!</v>
      </c>
      <c r="AE1941" s="43"/>
      <c r="AF1941" s="181"/>
    </row>
    <row r="1942" spans="1:32">
      <c r="A1942" s="84"/>
      <c r="B1942" s="39"/>
      <c r="C1942" s="40"/>
      <c r="D1942" s="41"/>
      <c r="E1942" s="40"/>
      <c r="F1942" s="41"/>
      <c r="G1942" s="101"/>
      <c r="H1942" s="38"/>
      <c r="I1942" s="42"/>
      <c r="J1942" s="42"/>
      <c r="K1942" s="43"/>
      <c r="L1942" s="43"/>
      <c r="M1942" s="44" t="str">
        <f>IF(LayTable[[#This Row],[Sport]]="","",LayTable[[#This Row],[LayInnsats]]*(LayTable[[#This Row],[LayOdds]]-1))</f>
        <v/>
      </c>
      <c r="N1942" s="45" t="str">
        <f>IF(LayTable[[#This Row],[Sport]]="","",1/((1/LayTable[[#This Row],[BookieOdds]])+(1/((1/((1+((LayTable[[#This Row],[LayOdds]]-1)*(1+LayTable[[#This Row],[C% Lay]])))-1))+1)))-1)</f>
        <v/>
      </c>
      <c r="Q1942" s="46" t="str">
        <f>IF(LayTable[[#This Row],[Sport]]="","",LayTable[[#This Row],[BookieInnsats]]+LayTable[[#This Row],[LayLiability]])</f>
        <v/>
      </c>
      <c r="R19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2" s="47" t="str">
        <f>IF(LayTable[[#This Row],[Utfall bookie]]="","",LayTable[[#This Row],[WBABack]]+LayTable[[#This Row],[WBALay]]-LayTable[[#This Row],[Total inns]])</f>
        <v/>
      </c>
      <c r="U19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2" s="48" t="str">
        <f>IFERROR(IF(LayTable[[#This Row],[Total inns]]="","",LayTable[[#This Row],[Rback]]/LayTable[[#This Row],[Total inns]]),"")</f>
        <v/>
      </c>
      <c r="X1942" s="48" t="str">
        <f>IFERROR(IF(LayTable[[#This Row],[Total inns]]="","",LayTable[[#This Row],[Rlay]]/LayTable[[#This Row],[Total inns]]),"")</f>
        <v/>
      </c>
      <c r="Y1942" s="48" t="str">
        <f>IFERROR(LayTable[[#This Row],[Faktisk res]]/LayTable[[#This Row],[Total inns]],"")</f>
        <v/>
      </c>
      <c r="Z1942" s="47">
        <f>(LayTable[[#This Row],[BookieInnsats]]*LayTable[[#This Row],[BookieOdds]]-LayTable[[#This Row],[BookieInnsats]])*(1-LayTable[[#This Row],[C% Bookie]])</f>
        <v>0</v>
      </c>
      <c r="AA1942" s="43">
        <f>LayTable[[#This Row],[LayInnsats]]*(1-LayTable[[#This Row],[C% Lay]])</f>
        <v>0</v>
      </c>
      <c r="AB1942" s="43" t="str">
        <f>IFERROR(IF(LayTable[[#This Row],[Sport]]="",AB1941,LayTable[[#This Row],[Faktisk res]]+AB1941),"")</f>
        <v/>
      </c>
      <c r="AC1942" s="43">
        <f>(LayTable[[#This Row],[BackWin-Commission]]+LayTable[[#This Row],[BookieInnsats]])</f>
        <v>0</v>
      </c>
      <c r="AD1942" s="43" t="e">
        <f>(LayTable[[#This Row],[LayWin-Commission]])+LayTable[[#This Row],[LayLiability]]</f>
        <v>#VALUE!</v>
      </c>
      <c r="AE1942" s="43"/>
      <c r="AF1942" s="181"/>
    </row>
    <row r="1943" spans="1:32">
      <c r="A1943" s="84"/>
      <c r="B1943" s="39"/>
      <c r="C1943" s="40"/>
      <c r="D1943" s="41"/>
      <c r="E1943" s="40"/>
      <c r="F1943" s="41"/>
      <c r="G1943" s="101"/>
      <c r="H1943" s="38"/>
      <c r="I1943" s="42"/>
      <c r="J1943" s="42"/>
      <c r="K1943" s="43"/>
      <c r="L1943" s="43"/>
      <c r="M1943" s="44" t="str">
        <f>IF(LayTable[[#This Row],[Sport]]="","",LayTable[[#This Row],[LayInnsats]]*(LayTable[[#This Row],[LayOdds]]-1))</f>
        <v/>
      </c>
      <c r="N1943" s="45" t="str">
        <f>IF(LayTable[[#This Row],[Sport]]="","",1/((1/LayTable[[#This Row],[BookieOdds]])+(1/((1/((1+((LayTable[[#This Row],[LayOdds]]-1)*(1+LayTable[[#This Row],[C% Lay]])))-1))+1)))-1)</f>
        <v/>
      </c>
      <c r="Q1943" s="46" t="str">
        <f>IF(LayTable[[#This Row],[Sport]]="","",LayTable[[#This Row],[BookieInnsats]]+LayTable[[#This Row],[LayLiability]])</f>
        <v/>
      </c>
      <c r="R19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3" s="47" t="str">
        <f>IF(LayTable[[#This Row],[Utfall bookie]]="","",LayTable[[#This Row],[WBABack]]+LayTable[[#This Row],[WBALay]]-LayTable[[#This Row],[Total inns]])</f>
        <v/>
      </c>
      <c r="U19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3" s="48" t="str">
        <f>IFERROR(IF(LayTable[[#This Row],[Total inns]]="","",LayTable[[#This Row],[Rback]]/LayTable[[#This Row],[Total inns]]),"")</f>
        <v/>
      </c>
      <c r="X1943" s="48" t="str">
        <f>IFERROR(IF(LayTable[[#This Row],[Total inns]]="","",LayTable[[#This Row],[Rlay]]/LayTable[[#This Row],[Total inns]]),"")</f>
        <v/>
      </c>
      <c r="Y1943" s="48" t="str">
        <f>IFERROR(LayTable[[#This Row],[Faktisk res]]/LayTable[[#This Row],[Total inns]],"")</f>
        <v/>
      </c>
      <c r="Z1943" s="47">
        <f>(LayTable[[#This Row],[BookieInnsats]]*LayTable[[#This Row],[BookieOdds]]-LayTable[[#This Row],[BookieInnsats]])*(1-LayTable[[#This Row],[C% Bookie]])</f>
        <v>0</v>
      </c>
      <c r="AA1943" s="43">
        <f>LayTable[[#This Row],[LayInnsats]]*(1-LayTable[[#This Row],[C% Lay]])</f>
        <v>0</v>
      </c>
      <c r="AB1943" s="43" t="str">
        <f>IFERROR(IF(LayTable[[#This Row],[Sport]]="",AB1942,LayTable[[#This Row],[Faktisk res]]+AB1942),"")</f>
        <v/>
      </c>
      <c r="AC1943" s="43">
        <f>(LayTable[[#This Row],[BackWin-Commission]]+LayTable[[#This Row],[BookieInnsats]])</f>
        <v>0</v>
      </c>
      <c r="AD1943" s="43" t="e">
        <f>(LayTable[[#This Row],[LayWin-Commission]])+LayTable[[#This Row],[LayLiability]]</f>
        <v>#VALUE!</v>
      </c>
      <c r="AE1943" s="43"/>
      <c r="AF1943" s="181"/>
    </row>
    <row r="1944" spans="1:32">
      <c r="A1944" s="84"/>
      <c r="B1944" s="39"/>
      <c r="C1944" s="40"/>
      <c r="D1944" s="41"/>
      <c r="E1944" s="40"/>
      <c r="F1944" s="41"/>
      <c r="G1944" s="101"/>
      <c r="H1944" s="38"/>
      <c r="I1944" s="42"/>
      <c r="J1944" s="42"/>
      <c r="K1944" s="43"/>
      <c r="L1944" s="43"/>
      <c r="M1944" s="44" t="str">
        <f>IF(LayTable[[#This Row],[Sport]]="","",LayTable[[#This Row],[LayInnsats]]*(LayTable[[#This Row],[LayOdds]]-1))</f>
        <v/>
      </c>
      <c r="N1944" s="45" t="str">
        <f>IF(LayTable[[#This Row],[Sport]]="","",1/((1/LayTable[[#This Row],[BookieOdds]])+(1/((1/((1+((LayTable[[#This Row],[LayOdds]]-1)*(1+LayTable[[#This Row],[C% Lay]])))-1))+1)))-1)</f>
        <v/>
      </c>
      <c r="Q1944" s="46" t="str">
        <f>IF(LayTable[[#This Row],[Sport]]="","",LayTable[[#This Row],[BookieInnsats]]+LayTable[[#This Row],[LayLiability]])</f>
        <v/>
      </c>
      <c r="R19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4" s="47" t="str">
        <f>IF(LayTable[[#This Row],[Utfall bookie]]="","",LayTable[[#This Row],[WBABack]]+LayTable[[#This Row],[WBALay]]-LayTable[[#This Row],[Total inns]])</f>
        <v/>
      </c>
      <c r="U19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4" s="48" t="str">
        <f>IFERROR(IF(LayTable[[#This Row],[Total inns]]="","",LayTable[[#This Row],[Rback]]/LayTable[[#This Row],[Total inns]]),"")</f>
        <v/>
      </c>
      <c r="X1944" s="48" t="str">
        <f>IFERROR(IF(LayTable[[#This Row],[Total inns]]="","",LayTable[[#This Row],[Rlay]]/LayTable[[#This Row],[Total inns]]),"")</f>
        <v/>
      </c>
      <c r="Y1944" s="48" t="str">
        <f>IFERROR(LayTable[[#This Row],[Faktisk res]]/LayTable[[#This Row],[Total inns]],"")</f>
        <v/>
      </c>
      <c r="Z1944" s="47">
        <f>(LayTable[[#This Row],[BookieInnsats]]*LayTable[[#This Row],[BookieOdds]]-LayTable[[#This Row],[BookieInnsats]])*(1-LayTable[[#This Row],[C% Bookie]])</f>
        <v>0</v>
      </c>
      <c r="AA1944" s="43">
        <f>LayTable[[#This Row],[LayInnsats]]*(1-LayTable[[#This Row],[C% Lay]])</f>
        <v>0</v>
      </c>
      <c r="AB1944" s="43" t="str">
        <f>IFERROR(IF(LayTable[[#This Row],[Sport]]="",AB1943,LayTable[[#This Row],[Faktisk res]]+AB1943),"")</f>
        <v/>
      </c>
      <c r="AC1944" s="43">
        <f>(LayTable[[#This Row],[BackWin-Commission]]+LayTable[[#This Row],[BookieInnsats]])</f>
        <v>0</v>
      </c>
      <c r="AD1944" s="43" t="e">
        <f>(LayTable[[#This Row],[LayWin-Commission]])+LayTable[[#This Row],[LayLiability]]</f>
        <v>#VALUE!</v>
      </c>
      <c r="AE1944" s="43"/>
      <c r="AF1944" s="181"/>
    </row>
    <row r="1945" spans="1:32">
      <c r="A1945" s="84"/>
      <c r="B1945" s="39"/>
      <c r="C1945" s="40"/>
      <c r="D1945" s="41"/>
      <c r="E1945" s="40"/>
      <c r="F1945" s="41"/>
      <c r="G1945" s="101"/>
      <c r="H1945" s="38"/>
      <c r="I1945" s="42"/>
      <c r="J1945" s="42"/>
      <c r="K1945" s="43"/>
      <c r="L1945" s="43"/>
      <c r="M1945" s="44" t="str">
        <f>IF(LayTable[[#This Row],[Sport]]="","",LayTable[[#This Row],[LayInnsats]]*(LayTable[[#This Row],[LayOdds]]-1))</f>
        <v/>
      </c>
      <c r="N1945" s="45" t="str">
        <f>IF(LayTable[[#This Row],[Sport]]="","",1/((1/LayTable[[#This Row],[BookieOdds]])+(1/((1/((1+((LayTable[[#This Row],[LayOdds]]-1)*(1+LayTable[[#This Row],[C% Lay]])))-1))+1)))-1)</f>
        <v/>
      </c>
      <c r="Q1945" s="46" t="str">
        <f>IF(LayTable[[#This Row],[Sport]]="","",LayTable[[#This Row],[BookieInnsats]]+LayTable[[#This Row],[LayLiability]])</f>
        <v/>
      </c>
      <c r="R19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5" s="47" t="str">
        <f>IF(LayTable[[#This Row],[Utfall bookie]]="","",LayTable[[#This Row],[WBABack]]+LayTable[[#This Row],[WBALay]]-LayTable[[#This Row],[Total inns]])</f>
        <v/>
      </c>
      <c r="U19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5" s="48" t="str">
        <f>IFERROR(IF(LayTable[[#This Row],[Total inns]]="","",LayTable[[#This Row],[Rback]]/LayTable[[#This Row],[Total inns]]),"")</f>
        <v/>
      </c>
      <c r="X1945" s="48" t="str">
        <f>IFERROR(IF(LayTable[[#This Row],[Total inns]]="","",LayTable[[#This Row],[Rlay]]/LayTable[[#This Row],[Total inns]]),"")</f>
        <v/>
      </c>
      <c r="Y1945" s="48" t="str">
        <f>IFERROR(LayTable[[#This Row],[Faktisk res]]/LayTable[[#This Row],[Total inns]],"")</f>
        <v/>
      </c>
      <c r="Z1945" s="47">
        <f>(LayTable[[#This Row],[BookieInnsats]]*LayTable[[#This Row],[BookieOdds]]-LayTable[[#This Row],[BookieInnsats]])*(1-LayTable[[#This Row],[C% Bookie]])</f>
        <v>0</v>
      </c>
      <c r="AA1945" s="43">
        <f>LayTable[[#This Row],[LayInnsats]]*(1-LayTable[[#This Row],[C% Lay]])</f>
        <v>0</v>
      </c>
      <c r="AB1945" s="43" t="str">
        <f>IFERROR(IF(LayTable[[#This Row],[Sport]]="",AB1944,LayTable[[#This Row],[Faktisk res]]+AB1944),"")</f>
        <v/>
      </c>
      <c r="AC1945" s="43">
        <f>(LayTable[[#This Row],[BackWin-Commission]]+LayTable[[#This Row],[BookieInnsats]])</f>
        <v>0</v>
      </c>
      <c r="AD1945" s="43" t="e">
        <f>(LayTable[[#This Row],[LayWin-Commission]])+LayTable[[#This Row],[LayLiability]]</f>
        <v>#VALUE!</v>
      </c>
      <c r="AE1945" s="43"/>
      <c r="AF1945" s="181"/>
    </row>
    <row r="1946" spans="1:32">
      <c r="A1946" s="84"/>
      <c r="B1946" s="39"/>
      <c r="C1946" s="40"/>
      <c r="D1946" s="41"/>
      <c r="E1946" s="40"/>
      <c r="F1946" s="41"/>
      <c r="G1946" s="101"/>
      <c r="H1946" s="38"/>
      <c r="I1946" s="42"/>
      <c r="J1946" s="42"/>
      <c r="K1946" s="43"/>
      <c r="L1946" s="43"/>
      <c r="M1946" s="44" t="str">
        <f>IF(LayTable[[#This Row],[Sport]]="","",LayTable[[#This Row],[LayInnsats]]*(LayTable[[#This Row],[LayOdds]]-1))</f>
        <v/>
      </c>
      <c r="N1946" s="45" t="str">
        <f>IF(LayTable[[#This Row],[Sport]]="","",1/((1/LayTable[[#This Row],[BookieOdds]])+(1/((1/((1+((LayTable[[#This Row],[LayOdds]]-1)*(1+LayTable[[#This Row],[C% Lay]])))-1))+1)))-1)</f>
        <v/>
      </c>
      <c r="Q1946" s="46" t="str">
        <f>IF(LayTable[[#This Row],[Sport]]="","",LayTable[[#This Row],[BookieInnsats]]+LayTable[[#This Row],[LayLiability]])</f>
        <v/>
      </c>
      <c r="R19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6" s="47" t="str">
        <f>IF(LayTable[[#This Row],[Utfall bookie]]="","",LayTable[[#This Row],[WBABack]]+LayTable[[#This Row],[WBALay]]-LayTable[[#This Row],[Total inns]])</f>
        <v/>
      </c>
      <c r="U19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6" s="48" t="str">
        <f>IFERROR(IF(LayTable[[#This Row],[Total inns]]="","",LayTable[[#This Row],[Rback]]/LayTable[[#This Row],[Total inns]]),"")</f>
        <v/>
      </c>
      <c r="X1946" s="48" t="str">
        <f>IFERROR(IF(LayTable[[#This Row],[Total inns]]="","",LayTable[[#This Row],[Rlay]]/LayTable[[#This Row],[Total inns]]),"")</f>
        <v/>
      </c>
      <c r="Y1946" s="48" t="str">
        <f>IFERROR(LayTable[[#This Row],[Faktisk res]]/LayTable[[#This Row],[Total inns]],"")</f>
        <v/>
      </c>
      <c r="Z1946" s="47">
        <f>(LayTable[[#This Row],[BookieInnsats]]*LayTable[[#This Row],[BookieOdds]]-LayTable[[#This Row],[BookieInnsats]])*(1-LayTable[[#This Row],[C% Bookie]])</f>
        <v>0</v>
      </c>
      <c r="AA1946" s="43">
        <f>LayTable[[#This Row],[LayInnsats]]*(1-LayTable[[#This Row],[C% Lay]])</f>
        <v>0</v>
      </c>
      <c r="AB1946" s="43" t="str">
        <f>IFERROR(IF(LayTable[[#This Row],[Sport]]="",AB1945,LayTable[[#This Row],[Faktisk res]]+AB1945),"")</f>
        <v/>
      </c>
      <c r="AC1946" s="43">
        <f>(LayTable[[#This Row],[BackWin-Commission]]+LayTable[[#This Row],[BookieInnsats]])</f>
        <v>0</v>
      </c>
      <c r="AD1946" s="43" t="e">
        <f>(LayTable[[#This Row],[LayWin-Commission]])+LayTable[[#This Row],[LayLiability]]</f>
        <v>#VALUE!</v>
      </c>
      <c r="AE1946" s="43"/>
      <c r="AF1946" s="181"/>
    </row>
    <row r="1947" spans="1:32">
      <c r="A1947" s="84"/>
      <c r="B1947" s="39"/>
      <c r="C1947" s="40"/>
      <c r="D1947" s="41"/>
      <c r="E1947" s="40"/>
      <c r="F1947" s="41"/>
      <c r="G1947" s="101"/>
      <c r="H1947" s="38"/>
      <c r="I1947" s="42"/>
      <c r="J1947" s="42"/>
      <c r="K1947" s="43"/>
      <c r="L1947" s="43"/>
      <c r="M1947" s="44" t="str">
        <f>IF(LayTable[[#This Row],[Sport]]="","",LayTable[[#This Row],[LayInnsats]]*(LayTable[[#This Row],[LayOdds]]-1))</f>
        <v/>
      </c>
      <c r="N1947" s="45" t="str">
        <f>IF(LayTable[[#This Row],[Sport]]="","",1/((1/LayTable[[#This Row],[BookieOdds]])+(1/((1/((1+((LayTable[[#This Row],[LayOdds]]-1)*(1+LayTable[[#This Row],[C% Lay]])))-1))+1)))-1)</f>
        <v/>
      </c>
      <c r="Q1947" s="46" t="str">
        <f>IF(LayTable[[#This Row],[Sport]]="","",LayTable[[#This Row],[BookieInnsats]]+LayTable[[#This Row],[LayLiability]])</f>
        <v/>
      </c>
      <c r="R19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7" s="47" t="str">
        <f>IF(LayTable[[#This Row],[Utfall bookie]]="","",LayTable[[#This Row],[WBABack]]+LayTable[[#This Row],[WBALay]]-LayTable[[#This Row],[Total inns]])</f>
        <v/>
      </c>
      <c r="U19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7" s="48" t="str">
        <f>IFERROR(IF(LayTable[[#This Row],[Total inns]]="","",LayTable[[#This Row],[Rback]]/LayTable[[#This Row],[Total inns]]),"")</f>
        <v/>
      </c>
      <c r="X1947" s="48" t="str">
        <f>IFERROR(IF(LayTable[[#This Row],[Total inns]]="","",LayTable[[#This Row],[Rlay]]/LayTable[[#This Row],[Total inns]]),"")</f>
        <v/>
      </c>
      <c r="Y1947" s="48" t="str">
        <f>IFERROR(LayTable[[#This Row],[Faktisk res]]/LayTable[[#This Row],[Total inns]],"")</f>
        <v/>
      </c>
      <c r="Z1947" s="47">
        <f>(LayTable[[#This Row],[BookieInnsats]]*LayTable[[#This Row],[BookieOdds]]-LayTable[[#This Row],[BookieInnsats]])*(1-LayTable[[#This Row],[C% Bookie]])</f>
        <v>0</v>
      </c>
      <c r="AA1947" s="43">
        <f>LayTable[[#This Row],[LayInnsats]]*(1-LayTable[[#This Row],[C% Lay]])</f>
        <v>0</v>
      </c>
      <c r="AB1947" s="43" t="str">
        <f>IFERROR(IF(LayTable[[#This Row],[Sport]]="",AB1946,LayTable[[#This Row],[Faktisk res]]+AB1946),"")</f>
        <v/>
      </c>
      <c r="AC1947" s="43">
        <f>(LayTable[[#This Row],[BackWin-Commission]]+LayTable[[#This Row],[BookieInnsats]])</f>
        <v>0</v>
      </c>
      <c r="AD1947" s="43" t="e">
        <f>(LayTable[[#This Row],[LayWin-Commission]])+LayTable[[#This Row],[LayLiability]]</f>
        <v>#VALUE!</v>
      </c>
      <c r="AE1947" s="43"/>
      <c r="AF1947" s="181"/>
    </row>
    <row r="1948" spans="1:32">
      <c r="A1948" s="84"/>
      <c r="B1948" s="39"/>
      <c r="C1948" s="40"/>
      <c r="D1948" s="41"/>
      <c r="E1948" s="40"/>
      <c r="F1948" s="41"/>
      <c r="G1948" s="101"/>
      <c r="H1948" s="38"/>
      <c r="I1948" s="42"/>
      <c r="J1948" s="42"/>
      <c r="K1948" s="43"/>
      <c r="L1948" s="43"/>
      <c r="M1948" s="44" t="str">
        <f>IF(LayTable[[#This Row],[Sport]]="","",LayTable[[#This Row],[LayInnsats]]*(LayTable[[#This Row],[LayOdds]]-1))</f>
        <v/>
      </c>
      <c r="N1948" s="45" t="str">
        <f>IF(LayTable[[#This Row],[Sport]]="","",1/((1/LayTable[[#This Row],[BookieOdds]])+(1/((1/((1+((LayTable[[#This Row],[LayOdds]]-1)*(1+LayTable[[#This Row],[C% Lay]])))-1))+1)))-1)</f>
        <v/>
      </c>
      <c r="Q1948" s="46" t="str">
        <f>IF(LayTable[[#This Row],[Sport]]="","",LayTable[[#This Row],[BookieInnsats]]+LayTable[[#This Row],[LayLiability]])</f>
        <v/>
      </c>
      <c r="R19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8" s="47" t="str">
        <f>IF(LayTable[[#This Row],[Utfall bookie]]="","",LayTable[[#This Row],[WBABack]]+LayTable[[#This Row],[WBALay]]-LayTable[[#This Row],[Total inns]])</f>
        <v/>
      </c>
      <c r="U19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8" s="48" t="str">
        <f>IFERROR(IF(LayTable[[#This Row],[Total inns]]="","",LayTable[[#This Row],[Rback]]/LayTable[[#This Row],[Total inns]]),"")</f>
        <v/>
      </c>
      <c r="X1948" s="48" t="str">
        <f>IFERROR(IF(LayTable[[#This Row],[Total inns]]="","",LayTable[[#This Row],[Rlay]]/LayTable[[#This Row],[Total inns]]),"")</f>
        <v/>
      </c>
      <c r="Y1948" s="48" t="str">
        <f>IFERROR(LayTable[[#This Row],[Faktisk res]]/LayTable[[#This Row],[Total inns]],"")</f>
        <v/>
      </c>
      <c r="Z1948" s="47">
        <f>(LayTable[[#This Row],[BookieInnsats]]*LayTable[[#This Row],[BookieOdds]]-LayTable[[#This Row],[BookieInnsats]])*(1-LayTable[[#This Row],[C% Bookie]])</f>
        <v>0</v>
      </c>
      <c r="AA1948" s="43">
        <f>LayTable[[#This Row],[LayInnsats]]*(1-LayTable[[#This Row],[C% Lay]])</f>
        <v>0</v>
      </c>
      <c r="AB1948" s="43" t="str">
        <f>IFERROR(IF(LayTable[[#This Row],[Sport]]="",AB1947,LayTable[[#This Row],[Faktisk res]]+AB1947),"")</f>
        <v/>
      </c>
      <c r="AC1948" s="43">
        <f>(LayTable[[#This Row],[BackWin-Commission]]+LayTable[[#This Row],[BookieInnsats]])</f>
        <v>0</v>
      </c>
      <c r="AD1948" s="43" t="e">
        <f>(LayTable[[#This Row],[LayWin-Commission]])+LayTable[[#This Row],[LayLiability]]</f>
        <v>#VALUE!</v>
      </c>
      <c r="AE1948" s="43"/>
      <c r="AF1948" s="181"/>
    </row>
    <row r="1949" spans="1:32">
      <c r="A1949" s="84"/>
      <c r="B1949" s="39"/>
      <c r="C1949" s="40"/>
      <c r="D1949" s="41"/>
      <c r="E1949" s="40"/>
      <c r="F1949" s="41"/>
      <c r="G1949" s="101"/>
      <c r="H1949" s="38"/>
      <c r="I1949" s="42"/>
      <c r="J1949" s="42"/>
      <c r="K1949" s="43"/>
      <c r="L1949" s="43"/>
      <c r="M1949" s="44" t="str">
        <f>IF(LayTable[[#This Row],[Sport]]="","",LayTable[[#This Row],[LayInnsats]]*(LayTable[[#This Row],[LayOdds]]-1))</f>
        <v/>
      </c>
      <c r="N1949" s="45" t="str">
        <f>IF(LayTable[[#This Row],[Sport]]="","",1/((1/LayTable[[#This Row],[BookieOdds]])+(1/((1/((1+((LayTable[[#This Row],[LayOdds]]-1)*(1+LayTable[[#This Row],[C% Lay]])))-1))+1)))-1)</f>
        <v/>
      </c>
      <c r="Q1949" s="46" t="str">
        <f>IF(LayTable[[#This Row],[Sport]]="","",LayTable[[#This Row],[BookieInnsats]]+LayTable[[#This Row],[LayLiability]])</f>
        <v/>
      </c>
      <c r="R19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49" s="47" t="str">
        <f>IF(LayTable[[#This Row],[Utfall bookie]]="","",LayTable[[#This Row],[WBABack]]+LayTable[[#This Row],[WBALay]]-LayTable[[#This Row],[Total inns]])</f>
        <v/>
      </c>
      <c r="U19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49" s="48" t="str">
        <f>IFERROR(IF(LayTable[[#This Row],[Total inns]]="","",LayTable[[#This Row],[Rback]]/LayTable[[#This Row],[Total inns]]),"")</f>
        <v/>
      </c>
      <c r="X1949" s="48" t="str">
        <f>IFERROR(IF(LayTable[[#This Row],[Total inns]]="","",LayTable[[#This Row],[Rlay]]/LayTable[[#This Row],[Total inns]]),"")</f>
        <v/>
      </c>
      <c r="Y1949" s="48" t="str">
        <f>IFERROR(LayTable[[#This Row],[Faktisk res]]/LayTable[[#This Row],[Total inns]],"")</f>
        <v/>
      </c>
      <c r="Z1949" s="47">
        <f>(LayTable[[#This Row],[BookieInnsats]]*LayTable[[#This Row],[BookieOdds]]-LayTable[[#This Row],[BookieInnsats]])*(1-LayTable[[#This Row],[C% Bookie]])</f>
        <v>0</v>
      </c>
      <c r="AA1949" s="43">
        <f>LayTable[[#This Row],[LayInnsats]]*(1-LayTable[[#This Row],[C% Lay]])</f>
        <v>0</v>
      </c>
      <c r="AB1949" s="43" t="str">
        <f>IFERROR(IF(LayTable[[#This Row],[Sport]]="",AB1948,LayTable[[#This Row],[Faktisk res]]+AB1948),"")</f>
        <v/>
      </c>
      <c r="AC1949" s="43">
        <f>(LayTable[[#This Row],[BackWin-Commission]]+LayTable[[#This Row],[BookieInnsats]])</f>
        <v>0</v>
      </c>
      <c r="AD1949" s="43" t="e">
        <f>(LayTable[[#This Row],[LayWin-Commission]])+LayTable[[#This Row],[LayLiability]]</f>
        <v>#VALUE!</v>
      </c>
      <c r="AE1949" s="43"/>
      <c r="AF1949" s="181"/>
    </row>
    <row r="1950" spans="1:32">
      <c r="A1950" s="84"/>
      <c r="B1950" s="39"/>
      <c r="C1950" s="40"/>
      <c r="D1950" s="41"/>
      <c r="E1950" s="40"/>
      <c r="F1950" s="41"/>
      <c r="G1950" s="101"/>
      <c r="H1950" s="38"/>
      <c r="I1950" s="42"/>
      <c r="J1950" s="42"/>
      <c r="K1950" s="43"/>
      <c r="L1950" s="43"/>
      <c r="M1950" s="44" t="str">
        <f>IF(LayTable[[#This Row],[Sport]]="","",LayTable[[#This Row],[LayInnsats]]*(LayTable[[#This Row],[LayOdds]]-1))</f>
        <v/>
      </c>
      <c r="N1950" s="45" t="str">
        <f>IF(LayTable[[#This Row],[Sport]]="","",1/((1/LayTable[[#This Row],[BookieOdds]])+(1/((1/((1+((LayTable[[#This Row],[LayOdds]]-1)*(1+LayTable[[#This Row],[C% Lay]])))-1))+1)))-1)</f>
        <v/>
      </c>
      <c r="Q1950" s="46" t="str">
        <f>IF(LayTable[[#This Row],[Sport]]="","",LayTable[[#This Row],[BookieInnsats]]+LayTable[[#This Row],[LayLiability]])</f>
        <v/>
      </c>
      <c r="R19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0" s="47" t="str">
        <f>IF(LayTable[[#This Row],[Utfall bookie]]="","",LayTable[[#This Row],[WBABack]]+LayTable[[#This Row],[WBALay]]-LayTable[[#This Row],[Total inns]])</f>
        <v/>
      </c>
      <c r="U19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0" s="48" t="str">
        <f>IFERROR(IF(LayTable[[#This Row],[Total inns]]="","",LayTable[[#This Row],[Rback]]/LayTable[[#This Row],[Total inns]]),"")</f>
        <v/>
      </c>
      <c r="X1950" s="48" t="str">
        <f>IFERROR(IF(LayTable[[#This Row],[Total inns]]="","",LayTable[[#This Row],[Rlay]]/LayTable[[#This Row],[Total inns]]),"")</f>
        <v/>
      </c>
      <c r="Y1950" s="48" t="str">
        <f>IFERROR(LayTable[[#This Row],[Faktisk res]]/LayTable[[#This Row],[Total inns]],"")</f>
        <v/>
      </c>
      <c r="Z1950" s="47">
        <f>(LayTable[[#This Row],[BookieInnsats]]*LayTable[[#This Row],[BookieOdds]]-LayTable[[#This Row],[BookieInnsats]])*(1-LayTable[[#This Row],[C% Bookie]])</f>
        <v>0</v>
      </c>
      <c r="AA1950" s="43">
        <f>LayTable[[#This Row],[LayInnsats]]*(1-LayTable[[#This Row],[C% Lay]])</f>
        <v>0</v>
      </c>
      <c r="AB1950" s="43" t="str">
        <f>IFERROR(IF(LayTable[[#This Row],[Sport]]="",AB1949,LayTable[[#This Row],[Faktisk res]]+AB1949),"")</f>
        <v/>
      </c>
      <c r="AC1950" s="43">
        <f>(LayTable[[#This Row],[BackWin-Commission]]+LayTable[[#This Row],[BookieInnsats]])</f>
        <v>0</v>
      </c>
      <c r="AD1950" s="43" t="e">
        <f>(LayTable[[#This Row],[LayWin-Commission]])+LayTable[[#This Row],[LayLiability]]</f>
        <v>#VALUE!</v>
      </c>
      <c r="AE1950" s="43"/>
      <c r="AF1950" s="181"/>
    </row>
    <row r="1951" spans="1:32">
      <c r="A1951" s="84"/>
      <c r="B1951" s="39"/>
      <c r="C1951" s="40"/>
      <c r="D1951" s="41"/>
      <c r="E1951" s="40"/>
      <c r="F1951" s="41"/>
      <c r="G1951" s="101"/>
      <c r="H1951" s="38"/>
      <c r="I1951" s="42"/>
      <c r="J1951" s="42"/>
      <c r="K1951" s="43"/>
      <c r="L1951" s="43"/>
      <c r="M1951" s="44" t="str">
        <f>IF(LayTable[[#This Row],[Sport]]="","",LayTable[[#This Row],[LayInnsats]]*(LayTable[[#This Row],[LayOdds]]-1))</f>
        <v/>
      </c>
      <c r="N1951" s="45" t="str">
        <f>IF(LayTable[[#This Row],[Sport]]="","",1/((1/LayTable[[#This Row],[BookieOdds]])+(1/((1/((1+((LayTable[[#This Row],[LayOdds]]-1)*(1+LayTable[[#This Row],[C% Lay]])))-1))+1)))-1)</f>
        <v/>
      </c>
      <c r="Q1951" s="46" t="str">
        <f>IF(LayTable[[#This Row],[Sport]]="","",LayTable[[#This Row],[BookieInnsats]]+LayTable[[#This Row],[LayLiability]])</f>
        <v/>
      </c>
      <c r="R19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1" s="47" t="str">
        <f>IF(LayTable[[#This Row],[Utfall bookie]]="","",LayTable[[#This Row],[WBABack]]+LayTable[[#This Row],[WBALay]]-LayTable[[#This Row],[Total inns]])</f>
        <v/>
      </c>
      <c r="U19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1" s="48" t="str">
        <f>IFERROR(IF(LayTable[[#This Row],[Total inns]]="","",LayTable[[#This Row],[Rback]]/LayTable[[#This Row],[Total inns]]),"")</f>
        <v/>
      </c>
      <c r="X1951" s="48" t="str">
        <f>IFERROR(IF(LayTable[[#This Row],[Total inns]]="","",LayTable[[#This Row],[Rlay]]/LayTable[[#This Row],[Total inns]]),"")</f>
        <v/>
      </c>
      <c r="Y1951" s="48" t="str">
        <f>IFERROR(LayTable[[#This Row],[Faktisk res]]/LayTable[[#This Row],[Total inns]],"")</f>
        <v/>
      </c>
      <c r="Z1951" s="47">
        <f>(LayTable[[#This Row],[BookieInnsats]]*LayTable[[#This Row],[BookieOdds]]-LayTable[[#This Row],[BookieInnsats]])*(1-LayTable[[#This Row],[C% Bookie]])</f>
        <v>0</v>
      </c>
      <c r="AA1951" s="43">
        <f>LayTable[[#This Row],[LayInnsats]]*(1-LayTable[[#This Row],[C% Lay]])</f>
        <v>0</v>
      </c>
      <c r="AB1951" s="43" t="str">
        <f>IFERROR(IF(LayTable[[#This Row],[Sport]]="",AB1950,LayTable[[#This Row],[Faktisk res]]+AB1950),"")</f>
        <v/>
      </c>
      <c r="AC1951" s="43">
        <f>(LayTable[[#This Row],[BackWin-Commission]]+LayTable[[#This Row],[BookieInnsats]])</f>
        <v>0</v>
      </c>
      <c r="AD1951" s="43" t="e">
        <f>(LayTable[[#This Row],[LayWin-Commission]])+LayTable[[#This Row],[LayLiability]]</f>
        <v>#VALUE!</v>
      </c>
      <c r="AE1951" s="43"/>
      <c r="AF1951" s="181"/>
    </row>
    <row r="1952" spans="1:32">
      <c r="A1952" s="84"/>
      <c r="B1952" s="39"/>
      <c r="C1952" s="40"/>
      <c r="D1952" s="41"/>
      <c r="E1952" s="40"/>
      <c r="F1952" s="41"/>
      <c r="G1952" s="101"/>
      <c r="H1952" s="38"/>
      <c r="I1952" s="42"/>
      <c r="J1952" s="42"/>
      <c r="K1952" s="43"/>
      <c r="L1952" s="43"/>
      <c r="M1952" s="44" t="str">
        <f>IF(LayTable[[#This Row],[Sport]]="","",LayTable[[#This Row],[LayInnsats]]*(LayTable[[#This Row],[LayOdds]]-1))</f>
        <v/>
      </c>
      <c r="N1952" s="45" t="str">
        <f>IF(LayTable[[#This Row],[Sport]]="","",1/((1/LayTable[[#This Row],[BookieOdds]])+(1/((1/((1+((LayTable[[#This Row],[LayOdds]]-1)*(1+LayTable[[#This Row],[C% Lay]])))-1))+1)))-1)</f>
        <v/>
      </c>
      <c r="Q1952" s="46" t="str">
        <f>IF(LayTable[[#This Row],[Sport]]="","",LayTable[[#This Row],[BookieInnsats]]+LayTable[[#This Row],[LayLiability]])</f>
        <v/>
      </c>
      <c r="R19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2" s="47" t="str">
        <f>IF(LayTable[[#This Row],[Utfall bookie]]="","",LayTable[[#This Row],[WBABack]]+LayTable[[#This Row],[WBALay]]-LayTable[[#This Row],[Total inns]])</f>
        <v/>
      </c>
      <c r="U19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2" s="48" t="str">
        <f>IFERROR(IF(LayTable[[#This Row],[Total inns]]="","",LayTable[[#This Row],[Rback]]/LayTable[[#This Row],[Total inns]]),"")</f>
        <v/>
      </c>
      <c r="X1952" s="48" t="str">
        <f>IFERROR(IF(LayTable[[#This Row],[Total inns]]="","",LayTable[[#This Row],[Rlay]]/LayTable[[#This Row],[Total inns]]),"")</f>
        <v/>
      </c>
      <c r="Y1952" s="48" t="str">
        <f>IFERROR(LayTable[[#This Row],[Faktisk res]]/LayTable[[#This Row],[Total inns]],"")</f>
        <v/>
      </c>
      <c r="Z1952" s="47">
        <f>(LayTable[[#This Row],[BookieInnsats]]*LayTable[[#This Row],[BookieOdds]]-LayTable[[#This Row],[BookieInnsats]])*(1-LayTable[[#This Row],[C% Bookie]])</f>
        <v>0</v>
      </c>
      <c r="AA1952" s="43">
        <f>LayTable[[#This Row],[LayInnsats]]*(1-LayTable[[#This Row],[C% Lay]])</f>
        <v>0</v>
      </c>
      <c r="AB1952" s="43" t="str">
        <f>IFERROR(IF(LayTable[[#This Row],[Sport]]="",AB1951,LayTable[[#This Row],[Faktisk res]]+AB1951),"")</f>
        <v/>
      </c>
      <c r="AC1952" s="43">
        <f>(LayTable[[#This Row],[BackWin-Commission]]+LayTable[[#This Row],[BookieInnsats]])</f>
        <v>0</v>
      </c>
      <c r="AD1952" s="43" t="e">
        <f>(LayTable[[#This Row],[LayWin-Commission]])+LayTable[[#This Row],[LayLiability]]</f>
        <v>#VALUE!</v>
      </c>
      <c r="AE1952" s="43"/>
      <c r="AF1952" s="181"/>
    </row>
    <row r="1953" spans="1:32">
      <c r="A1953" s="84"/>
      <c r="B1953" s="39"/>
      <c r="C1953" s="40"/>
      <c r="D1953" s="41"/>
      <c r="E1953" s="40"/>
      <c r="F1953" s="41"/>
      <c r="G1953" s="101"/>
      <c r="H1953" s="38"/>
      <c r="I1953" s="42"/>
      <c r="J1953" s="42"/>
      <c r="K1953" s="43"/>
      <c r="L1953" s="43"/>
      <c r="M1953" s="44" t="str">
        <f>IF(LayTable[[#This Row],[Sport]]="","",LayTable[[#This Row],[LayInnsats]]*(LayTable[[#This Row],[LayOdds]]-1))</f>
        <v/>
      </c>
      <c r="N1953" s="45" t="str">
        <f>IF(LayTable[[#This Row],[Sport]]="","",1/((1/LayTable[[#This Row],[BookieOdds]])+(1/((1/((1+((LayTable[[#This Row],[LayOdds]]-1)*(1+LayTable[[#This Row],[C% Lay]])))-1))+1)))-1)</f>
        <v/>
      </c>
      <c r="Q1953" s="46" t="str">
        <f>IF(LayTable[[#This Row],[Sport]]="","",LayTable[[#This Row],[BookieInnsats]]+LayTable[[#This Row],[LayLiability]])</f>
        <v/>
      </c>
      <c r="R19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3" s="47" t="str">
        <f>IF(LayTable[[#This Row],[Utfall bookie]]="","",LayTable[[#This Row],[WBABack]]+LayTable[[#This Row],[WBALay]]-LayTable[[#This Row],[Total inns]])</f>
        <v/>
      </c>
      <c r="U19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3" s="48" t="str">
        <f>IFERROR(IF(LayTable[[#This Row],[Total inns]]="","",LayTable[[#This Row],[Rback]]/LayTable[[#This Row],[Total inns]]),"")</f>
        <v/>
      </c>
      <c r="X1953" s="48" t="str">
        <f>IFERROR(IF(LayTable[[#This Row],[Total inns]]="","",LayTable[[#This Row],[Rlay]]/LayTable[[#This Row],[Total inns]]),"")</f>
        <v/>
      </c>
      <c r="Y1953" s="48" t="str">
        <f>IFERROR(LayTable[[#This Row],[Faktisk res]]/LayTable[[#This Row],[Total inns]],"")</f>
        <v/>
      </c>
      <c r="Z1953" s="47">
        <f>(LayTable[[#This Row],[BookieInnsats]]*LayTable[[#This Row],[BookieOdds]]-LayTable[[#This Row],[BookieInnsats]])*(1-LayTable[[#This Row],[C% Bookie]])</f>
        <v>0</v>
      </c>
      <c r="AA1953" s="43">
        <f>LayTable[[#This Row],[LayInnsats]]*(1-LayTable[[#This Row],[C% Lay]])</f>
        <v>0</v>
      </c>
      <c r="AB1953" s="43" t="str">
        <f>IFERROR(IF(LayTable[[#This Row],[Sport]]="",AB1952,LayTable[[#This Row],[Faktisk res]]+AB1952),"")</f>
        <v/>
      </c>
      <c r="AC1953" s="43">
        <f>(LayTable[[#This Row],[BackWin-Commission]]+LayTable[[#This Row],[BookieInnsats]])</f>
        <v>0</v>
      </c>
      <c r="AD1953" s="43" t="e">
        <f>(LayTable[[#This Row],[LayWin-Commission]])+LayTable[[#This Row],[LayLiability]]</f>
        <v>#VALUE!</v>
      </c>
      <c r="AE1953" s="43"/>
      <c r="AF1953" s="181"/>
    </row>
    <row r="1954" spans="1:32">
      <c r="A1954" s="84"/>
      <c r="B1954" s="39"/>
      <c r="C1954" s="40"/>
      <c r="D1954" s="41"/>
      <c r="E1954" s="40"/>
      <c r="F1954" s="41"/>
      <c r="G1954" s="101"/>
      <c r="H1954" s="38"/>
      <c r="I1954" s="42"/>
      <c r="J1954" s="42"/>
      <c r="K1954" s="43"/>
      <c r="L1954" s="43"/>
      <c r="M1954" s="44" t="str">
        <f>IF(LayTable[[#This Row],[Sport]]="","",LayTable[[#This Row],[LayInnsats]]*(LayTable[[#This Row],[LayOdds]]-1))</f>
        <v/>
      </c>
      <c r="N1954" s="45" t="str">
        <f>IF(LayTable[[#This Row],[Sport]]="","",1/((1/LayTable[[#This Row],[BookieOdds]])+(1/((1/((1+((LayTable[[#This Row],[LayOdds]]-1)*(1+LayTable[[#This Row],[C% Lay]])))-1))+1)))-1)</f>
        <v/>
      </c>
      <c r="Q1954" s="46" t="str">
        <f>IF(LayTable[[#This Row],[Sport]]="","",LayTable[[#This Row],[BookieInnsats]]+LayTable[[#This Row],[LayLiability]])</f>
        <v/>
      </c>
      <c r="R19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4" s="47" t="str">
        <f>IF(LayTable[[#This Row],[Utfall bookie]]="","",LayTable[[#This Row],[WBABack]]+LayTable[[#This Row],[WBALay]]-LayTable[[#This Row],[Total inns]])</f>
        <v/>
      </c>
      <c r="U19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4" s="48" t="str">
        <f>IFERROR(IF(LayTable[[#This Row],[Total inns]]="","",LayTable[[#This Row],[Rback]]/LayTable[[#This Row],[Total inns]]),"")</f>
        <v/>
      </c>
      <c r="X1954" s="48" t="str">
        <f>IFERROR(IF(LayTable[[#This Row],[Total inns]]="","",LayTable[[#This Row],[Rlay]]/LayTable[[#This Row],[Total inns]]),"")</f>
        <v/>
      </c>
      <c r="Y1954" s="48" t="str">
        <f>IFERROR(LayTable[[#This Row],[Faktisk res]]/LayTable[[#This Row],[Total inns]],"")</f>
        <v/>
      </c>
      <c r="Z1954" s="47">
        <f>(LayTable[[#This Row],[BookieInnsats]]*LayTable[[#This Row],[BookieOdds]]-LayTable[[#This Row],[BookieInnsats]])*(1-LayTable[[#This Row],[C% Bookie]])</f>
        <v>0</v>
      </c>
      <c r="AA1954" s="43">
        <f>LayTable[[#This Row],[LayInnsats]]*(1-LayTable[[#This Row],[C% Lay]])</f>
        <v>0</v>
      </c>
      <c r="AB1954" s="43" t="str">
        <f>IFERROR(IF(LayTable[[#This Row],[Sport]]="",AB1953,LayTable[[#This Row],[Faktisk res]]+AB1953),"")</f>
        <v/>
      </c>
      <c r="AC1954" s="43">
        <f>(LayTable[[#This Row],[BackWin-Commission]]+LayTable[[#This Row],[BookieInnsats]])</f>
        <v>0</v>
      </c>
      <c r="AD1954" s="43" t="e">
        <f>(LayTable[[#This Row],[LayWin-Commission]])+LayTable[[#This Row],[LayLiability]]</f>
        <v>#VALUE!</v>
      </c>
      <c r="AE1954" s="43"/>
      <c r="AF1954" s="181"/>
    </row>
    <row r="1955" spans="1:32">
      <c r="A1955" s="84"/>
      <c r="B1955" s="39"/>
      <c r="C1955" s="40"/>
      <c r="D1955" s="41"/>
      <c r="E1955" s="40"/>
      <c r="F1955" s="41"/>
      <c r="G1955" s="101"/>
      <c r="H1955" s="38"/>
      <c r="I1955" s="42"/>
      <c r="J1955" s="42"/>
      <c r="K1955" s="43"/>
      <c r="L1955" s="43"/>
      <c r="M1955" s="44" t="str">
        <f>IF(LayTable[[#This Row],[Sport]]="","",LayTable[[#This Row],[LayInnsats]]*(LayTable[[#This Row],[LayOdds]]-1))</f>
        <v/>
      </c>
      <c r="N1955" s="45" t="str">
        <f>IF(LayTable[[#This Row],[Sport]]="","",1/((1/LayTable[[#This Row],[BookieOdds]])+(1/((1/((1+((LayTable[[#This Row],[LayOdds]]-1)*(1+LayTable[[#This Row],[C% Lay]])))-1))+1)))-1)</f>
        <v/>
      </c>
      <c r="Q1955" s="46" t="str">
        <f>IF(LayTable[[#This Row],[Sport]]="","",LayTable[[#This Row],[BookieInnsats]]+LayTable[[#This Row],[LayLiability]])</f>
        <v/>
      </c>
      <c r="R19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5" s="47" t="str">
        <f>IF(LayTable[[#This Row],[Utfall bookie]]="","",LayTable[[#This Row],[WBABack]]+LayTable[[#This Row],[WBALay]]-LayTable[[#This Row],[Total inns]])</f>
        <v/>
      </c>
      <c r="U19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5" s="48" t="str">
        <f>IFERROR(IF(LayTable[[#This Row],[Total inns]]="","",LayTable[[#This Row],[Rback]]/LayTable[[#This Row],[Total inns]]),"")</f>
        <v/>
      </c>
      <c r="X1955" s="48" t="str">
        <f>IFERROR(IF(LayTable[[#This Row],[Total inns]]="","",LayTable[[#This Row],[Rlay]]/LayTable[[#This Row],[Total inns]]),"")</f>
        <v/>
      </c>
      <c r="Y1955" s="48" t="str">
        <f>IFERROR(LayTable[[#This Row],[Faktisk res]]/LayTable[[#This Row],[Total inns]],"")</f>
        <v/>
      </c>
      <c r="Z1955" s="47">
        <f>(LayTable[[#This Row],[BookieInnsats]]*LayTable[[#This Row],[BookieOdds]]-LayTable[[#This Row],[BookieInnsats]])*(1-LayTable[[#This Row],[C% Bookie]])</f>
        <v>0</v>
      </c>
      <c r="AA1955" s="43">
        <f>LayTable[[#This Row],[LayInnsats]]*(1-LayTable[[#This Row],[C% Lay]])</f>
        <v>0</v>
      </c>
      <c r="AB1955" s="43" t="str">
        <f>IFERROR(IF(LayTable[[#This Row],[Sport]]="",AB1954,LayTable[[#This Row],[Faktisk res]]+AB1954),"")</f>
        <v/>
      </c>
      <c r="AC1955" s="43">
        <f>(LayTable[[#This Row],[BackWin-Commission]]+LayTable[[#This Row],[BookieInnsats]])</f>
        <v>0</v>
      </c>
      <c r="AD1955" s="43" t="e">
        <f>(LayTable[[#This Row],[LayWin-Commission]])+LayTable[[#This Row],[LayLiability]]</f>
        <v>#VALUE!</v>
      </c>
      <c r="AE1955" s="43"/>
      <c r="AF1955" s="181"/>
    </row>
    <row r="1956" spans="1:32">
      <c r="A1956" s="84"/>
      <c r="B1956" s="39"/>
      <c r="C1956" s="40"/>
      <c r="D1956" s="41"/>
      <c r="E1956" s="40"/>
      <c r="F1956" s="41"/>
      <c r="G1956" s="101"/>
      <c r="H1956" s="38"/>
      <c r="I1956" s="42"/>
      <c r="J1956" s="42"/>
      <c r="K1956" s="43"/>
      <c r="L1956" s="43"/>
      <c r="M1956" s="44" t="str">
        <f>IF(LayTable[[#This Row],[Sport]]="","",LayTable[[#This Row],[LayInnsats]]*(LayTable[[#This Row],[LayOdds]]-1))</f>
        <v/>
      </c>
      <c r="N1956" s="45" t="str">
        <f>IF(LayTable[[#This Row],[Sport]]="","",1/((1/LayTable[[#This Row],[BookieOdds]])+(1/((1/((1+((LayTable[[#This Row],[LayOdds]]-1)*(1+LayTable[[#This Row],[C% Lay]])))-1))+1)))-1)</f>
        <v/>
      </c>
      <c r="Q1956" s="46" t="str">
        <f>IF(LayTable[[#This Row],[Sport]]="","",LayTable[[#This Row],[BookieInnsats]]+LayTable[[#This Row],[LayLiability]])</f>
        <v/>
      </c>
      <c r="R19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6" s="47" t="str">
        <f>IF(LayTable[[#This Row],[Utfall bookie]]="","",LayTable[[#This Row],[WBABack]]+LayTable[[#This Row],[WBALay]]-LayTable[[#This Row],[Total inns]])</f>
        <v/>
      </c>
      <c r="U19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6" s="48" t="str">
        <f>IFERROR(IF(LayTable[[#This Row],[Total inns]]="","",LayTable[[#This Row],[Rback]]/LayTable[[#This Row],[Total inns]]),"")</f>
        <v/>
      </c>
      <c r="X1956" s="48" t="str">
        <f>IFERROR(IF(LayTable[[#This Row],[Total inns]]="","",LayTable[[#This Row],[Rlay]]/LayTable[[#This Row],[Total inns]]),"")</f>
        <v/>
      </c>
      <c r="Y1956" s="48" t="str">
        <f>IFERROR(LayTable[[#This Row],[Faktisk res]]/LayTable[[#This Row],[Total inns]],"")</f>
        <v/>
      </c>
      <c r="Z1956" s="47">
        <f>(LayTable[[#This Row],[BookieInnsats]]*LayTable[[#This Row],[BookieOdds]]-LayTable[[#This Row],[BookieInnsats]])*(1-LayTable[[#This Row],[C% Bookie]])</f>
        <v>0</v>
      </c>
      <c r="AA1956" s="43">
        <f>LayTable[[#This Row],[LayInnsats]]*(1-LayTable[[#This Row],[C% Lay]])</f>
        <v>0</v>
      </c>
      <c r="AB1956" s="43" t="str">
        <f>IFERROR(IF(LayTable[[#This Row],[Sport]]="",AB1955,LayTable[[#This Row],[Faktisk res]]+AB1955),"")</f>
        <v/>
      </c>
      <c r="AC1956" s="43">
        <f>(LayTable[[#This Row],[BackWin-Commission]]+LayTable[[#This Row],[BookieInnsats]])</f>
        <v>0</v>
      </c>
      <c r="AD1956" s="43" t="e">
        <f>(LayTable[[#This Row],[LayWin-Commission]])+LayTable[[#This Row],[LayLiability]]</f>
        <v>#VALUE!</v>
      </c>
      <c r="AE1956" s="43"/>
      <c r="AF1956" s="181"/>
    </row>
    <row r="1957" spans="1:32">
      <c r="A1957" s="84"/>
      <c r="B1957" s="39"/>
      <c r="C1957" s="40"/>
      <c r="D1957" s="41"/>
      <c r="E1957" s="40"/>
      <c r="F1957" s="41"/>
      <c r="G1957" s="101"/>
      <c r="H1957" s="38"/>
      <c r="I1957" s="42"/>
      <c r="J1957" s="42"/>
      <c r="K1957" s="43"/>
      <c r="L1957" s="43"/>
      <c r="M1957" s="44" t="str">
        <f>IF(LayTable[[#This Row],[Sport]]="","",LayTable[[#This Row],[LayInnsats]]*(LayTable[[#This Row],[LayOdds]]-1))</f>
        <v/>
      </c>
      <c r="N1957" s="45" t="str">
        <f>IF(LayTable[[#This Row],[Sport]]="","",1/((1/LayTable[[#This Row],[BookieOdds]])+(1/((1/((1+((LayTable[[#This Row],[LayOdds]]-1)*(1+LayTable[[#This Row],[C% Lay]])))-1))+1)))-1)</f>
        <v/>
      </c>
      <c r="Q1957" s="46" t="str">
        <f>IF(LayTable[[#This Row],[Sport]]="","",LayTable[[#This Row],[BookieInnsats]]+LayTable[[#This Row],[LayLiability]])</f>
        <v/>
      </c>
      <c r="R19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7" s="47" t="str">
        <f>IF(LayTable[[#This Row],[Utfall bookie]]="","",LayTable[[#This Row],[WBABack]]+LayTable[[#This Row],[WBALay]]-LayTable[[#This Row],[Total inns]])</f>
        <v/>
      </c>
      <c r="U19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7" s="48" t="str">
        <f>IFERROR(IF(LayTable[[#This Row],[Total inns]]="","",LayTable[[#This Row],[Rback]]/LayTable[[#This Row],[Total inns]]),"")</f>
        <v/>
      </c>
      <c r="X1957" s="48" t="str">
        <f>IFERROR(IF(LayTable[[#This Row],[Total inns]]="","",LayTable[[#This Row],[Rlay]]/LayTable[[#This Row],[Total inns]]),"")</f>
        <v/>
      </c>
      <c r="Y1957" s="48" t="str">
        <f>IFERROR(LayTable[[#This Row],[Faktisk res]]/LayTable[[#This Row],[Total inns]],"")</f>
        <v/>
      </c>
      <c r="Z1957" s="47">
        <f>(LayTable[[#This Row],[BookieInnsats]]*LayTable[[#This Row],[BookieOdds]]-LayTable[[#This Row],[BookieInnsats]])*(1-LayTable[[#This Row],[C% Bookie]])</f>
        <v>0</v>
      </c>
      <c r="AA1957" s="43">
        <f>LayTable[[#This Row],[LayInnsats]]*(1-LayTable[[#This Row],[C% Lay]])</f>
        <v>0</v>
      </c>
      <c r="AB1957" s="43" t="str">
        <f>IFERROR(IF(LayTable[[#This Row],[Sport]]="",AB1956,LayTable[[#This Row],[Faktisk res]]+AB1956),"")</f>
        <v/>
      </c>
      <c r="AC1957" s="43">
        <f>(LayTable[[#This Row],[BackWin-Commission]]+LayTable[[#This Row],[BookieInnsats]])</f>
        <v>0</v>
      </c>
      <c r="AD1957" s="43" t="e">
        <f>(LayTable[[#This Row],[LayWin-Commission]])+LayTable[[#This Row],[LayLiability]]</f>
        <v>#VALUE!</v>
      </c>
      <c r="AE1957" s="43"/>
      <c r="AF1957" s="181"/>
    </row>
    <row r="1958" spans="1:32">
      <c r="A1958" s="84"/>
      <c r="B1958" s="39"/>
      <c r="C1958" s="40"/>
      <c r="D1958" s="41"/>
      <c r="E1958" s="40"/>
      <c r="F1958" s="41"/>
      <c r="G1958" s="101"/>
      <c r="H1958" s="38"/>
      <c r="I1958" s="42"/>
      <c r="J1958" s="42"/>
      <c r="K1958" s="43"/>
      <c r="L1958" s="43"/>
      <c r="M1958" s="44" t="str">
        <f>IF(LayTable[[#This Row],[Sport]]="","",LayTable[[#This Row],[LayInnsats]]*(LayTable[[#This Row],[LayOdds]]-1))</f>
        <v/>
      </c>
      <c r="N1958" s="45" t="str">
        <f>IF(LayTable[[#This Row],[Sport]]="","",1/((1/LayTable[[#This Row],[BookieOdds]])+(1/((1/((1+((LayTable[[#This Row],[LayOdds]]-1)*(1+LayTable[[#This Row],[C% Lay]])))-1))+1)))-1)</f>
        <v/>
      </c>
      <c r="Q1958" s="46" t="str">
        <f>IF(LayTable[[#This Row],[Sport]]="","",LayTable[[#This Row],[BookieInnsats]]+LayTable[[#This Row],[LayLiability]])</f>
        <v/>
      </c>
      <c r="R19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8" s="47" t="str">
        <f>IF(LayTable[[#This Row],[Utfall bookie]]="","",LayTable[[#This Row],[WBABack]]+LayTable[[#This Row],[WBALay]]-LayTable[[#This Row],[Total inns]])</f>
        <v/>
      </c>
      <c r="U19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8" s="48" t="str">
        <f>IFERROR(IF(LayTable[[#This Row],[Total inns]]="","",LayTable[[#This Row],[Rback]]/LayTable[[#This Row],[Total inns]]),"")</f>
        <v/>
      </c>
      <c r="X1958" s="48" t="str">
        <f>IFERROR(IF(LayTable[[#This Row],[Total inns]]="","",LayTable[[#This Row],[Rlay]]/LayTable[[#This Row],[Total inns]]),"")</f>
        <v/>
      </c>
      <c r="Y1958" s="48" t="str">
        <f>IFERROR(LayTable[[#This Row],[Faktisk res]]/LayTable[[#This Row],[Total inns]],"")</f>
        <v/>
      </c>
      <c r="Z1958" s="47">
        <f>(LayTable[[#This Row],[BookieInnsats]]*LayTable[[#This Row],[BookieOdds]]-LayTable[[#This Row],[BookieInnsats]])*(1-LayTable[[#This Row],[C% Bookie]])</f>
        <v>0</v>
      </c>
      <c r="AA1958" s="43">
        <f>LayTable[[#This Row],[LayInnsats]]*(1-LayTable[[#This Row],[C% Lay]])</f>
        <v>0</v>
      </c>
      <c r="AB1958" s="43" t="str">
        <f>IFERROR(IF(LayTable[[#This Row],[Sport]]="",AB1957,LayTable[[#This Row],[Faktisk res]]+AB1957),"")</f>
        <v/>
      </c>
      <c r="AC1958" s="43">
        <f>(LayTable[[#This Row],[BackWin-Commission]]+LayTable[[#This Row],[BookieInnsats]])</f>
        <v>0</v>
      </c>
      <c r="AD1958" s="43" t="e">
        <f>(LayTable[[#This Row],[LayWin-Commission]])+LayTable[[#This Row],[LayLiability]]</f>
        <v>#VALUE!</v>
      </c>
      <c r="AE1958" s="43"/>
      <c r="AF1958" s="181"/>
    </row>
    <row r="1959" spans="1:32">
      <c r="A1959" s="84"/>
      <c r="B1959" s="39"/>
      <c r="C1959" s="40"/>
      <c r="D1959" s="41"/>
      <c r="E1959" s="40"/>
      <c r="F1959" s="41"/>
      <c r="G1959" s="101"/>
      <c r="H1959" s="38"/>
      <c r="I1959" s="42"/>
      <c r="J1959" s="42"/>
      <c r="K1959" s="43"/>
      <c r="L1959" s="43"/>
      <c r="M1959" s="44" t="str">
        <f>IF(LayTable[[#This Row],[Sport]]="","",LayTable[[#This Row],[LayInnsats]]*(LayTable[[#This Row],[LayOdds]]-1))</f>
        <v/>
      </c>
      <c r="N1959" s="45" t="str">
        <f>IF(LayTable[[#This Row],[Sport]]="","",1/((1/LayTable[[#This Row],[BookieOdds]])+(1/((1/((1+((LayTable[[#This Row],[LayOdds]]-1)*(1+LayTable[[#This Row],[C% Lay]])))-1))+1)))-1)</f>
        <v/>
      </c>
      <c r="Q1959" s="46" t="str">
        <f>IF(LayTable[[#This Row],[Sport]]="","",LayTable[[#This Row],[BookieInnsats]]+LayTable[[#This Row],[LayLiability]])</f>
        <v/>
      </c>
      <c r="R19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59" s="47" t="str">
        <f>IF(LayTable[[#This Row],[Utfall bookie]]="","",LayTable[[#This Row],[WBABack]]+LayTable[[#This Row],[WBALay]]-LayTable[[#This Row],[Total inns]])</f>
        <v/>
      </c>
      <c r="U19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59" s="48" t="str">
        <f>IFERROR(IF(LayTable[[#This Row],[Total inns]]="","",LayTable[[#This Row],[Rback]]/LayTable[[#This Row],[Total inns]]),"")</f>
        <v/>
      </c>
      <c r="X1959" s="48" t="str">
        <f>IFERROR(IF(LayTable[[#This Row],[Total inns]]="","",LayTable[[#This Row],[Rlay]]/LayTable[[#This Row],[Total inns]]),"")</f>
        <v/>
      </c>
      <c r="Y1959" s="48" t="str">
        <f>IFERROR(LayTable[[#This Row],[Faktisk res]]/LayTable[[#This Row],[Total inns]],"")</f>
        <v/>
      </c>
      <c r="Z1959" s="47">
        <f>(LayTable[[#This Row],[BookieInnsats]]*LayTable[[#This Row],[BookieOdds]]-LayTable[[#This Row],[BookieInnsats]])*(1-LayTable[[#This Row],[C% Bookie]])</f>
        <v>0</v>
      </c>
      <c r="AA1959" s="43">
        <f>LayTable[[#This Row],[LayInnsats]]*(1-LayTable[[#This Row],[C% Lay]])</f>
        <v>0</v>
      </c>
      <c r="AB1959" s="43" t="str">
        <f>IFERROR(IF(LayTable[[#This Row],[Sport]]="",AB1958,LayTable[[#This Row],[Faktisk res]]+AB1958),"")</f>
        <v/>
      </c>
      <c r="AC1959" s="43">
        <f>(LayTable[[#This Row],[BackWin-Commission]]+LayTable[[#This Row],[BookieInnsats]])</f>
        <v>0</v>
      </c>
      <c r="AD1959" s="43" t="e">
        <f>(LayTable[[#This Row],[LayWin-Commission]])+LayTable[[#This Row],[LayLiability]]</f>
        <v>#VALUE!</v>
      </c>
      <c r="AE1959" s="43"/>
      <c r="AF1959" s="181"/>
    </row>
    <row r="1960" spans="1:32">
      <c r="A1960" s="84"/>
      <c r="B1960" s="39"/>
      <c r="C1960" s="40"/>
      <c r="D1960" s="41"/>
      <c r="E1960" s="40"/>
      <c r="F1960" s="41"/>
      <c r="G1960" s="101"/>
      <c r="H1960" s="38"/>
      <c r="I1960" s="42"/>
      <c r="J1960" s="42"/>
      <c r="K1960" s="43"/>
      <c r="L1960" s="43"/>
      <c r="M1960" s="44" t="str">
        <f>IF(LayTable[[#This Row],[Sport]]="","",LayTable[[#This Row],[LayInnsats]]*(LayTable[[#This Row],[LayOdds]]-1))</f>
        <v/>
      </c>
      <c r="N1960" s="45" t="str">
        <f>IF(LayTable[[#This Row],[Sport]]="","",1/((1/LayTable[[#This Row],[BookieOdds]])+(1/((1/((1+((LayTable[[#This Row],[LayOdds]]-1)*(1+LayTable[[#This Row],[C% Lay]])))-1))+1)))-1)</f>
        <v/>
      </c>
      <c r="Q1960" s="46" t="str">
        <f>IF(LayTable[[#This Row],[Sport]]="","",LayTable[[#This Row],[BookieInnsats]]+LayTable[[#This Row],[LayLiability]])</f>
        <v/>
      </c>
      <c r="R19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0" s="47" t="str">
        <f>IF(LayTable[[#This Row],[Utfall bookie]]="","",LayTable[[#This Row],[WBABack]]+LayTable[[#This Row],[WBALay]]-LayTable[[#This Row],[Total inns]])</f>
        <v/>
      </c>
      <c r="U19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0" s="48" t="str">
        <f>IFERROR(IF(LayTable[[#This Row],[Total inns]]="","",LayTable[[#This Row],[Rback]]/LayTable[[#This Row],[Total inns]]),"")</f>
        <v/>
      </c>
      <c r="X1960" s="48" t="str">
        <f>IFERROR(IF(LayTable[[#This Row],[Total inns]]="","",LayTable[[#This Row],[Rlay]]/LayTable[[#This Row],[Total inns]]),"")</f>
        <v/>
      </c>
      <c r="Y1960" s="48" t="str">
        <f>IFERROR(LayTable[[#This Row],[Faktisk res]]/LayTable[[#This Row],[Total inns]],"")</f>
        <v/>
      </c>
      <c r="Z1960" s="47">
        <f>(LayTable[[#This Row],[BookieInnsats]]*LayTable[[#This Row],[BookieOdds]]-LayTable[[#This Row],[BookieInnsats]])*(1-LayTable[[#This Row],[C% Bookie]])</f>
        <v>0</v>
      </c>
      <c r="AA1960" s="43">
        <f>LayTable[[#This Row],[LayInnsats]]*(1-LayTable[[#This Row],[C% Lay]])</f>
        <v>0</v>
      </c>
      <c r="AB1960" s="43" t="str">
        <f>IFERROR(IF(LayTable[[#This Row],[Sport]]="",AB1959,LayTable[[#This Row],[Faktisk res]]+AB1959),"")</f>
        <v/>
      </c>
      <c r="AC1960" s="43">
        <f>(LayTable[[#This Row],[BackWin-Commission]]+LayTable[[#This Row],[BookieInnsats]])</f>
        <v>0</v>
      </c>
      <c r="AD1960" s="43" t="e">
        <f>(LayTable[[#This Row],[LayWin-Commission]])+LayTable[[#This Row],[LayLiability]]</f>
        <v>#VALUE!</v>
      </c>
      <c r="AE1960" s="43"/>
      <c r="AF1960" s="181"/>
    </row>
    <row r="1961" spans="1:32">
      <c r="A1961" s="84"/>
      <c r="B1961" s="39"/>
      <c r="C1961" s="40"/>
      <c r="D1961" s="41"/>
      <c r="E1961" s="40"/>
      <c r="F1961" s="41"/>
      <c r="G1961" s="101"/>
      <c r="H1961" s="38"/>
      <c r="I1961" s="42"/>
      <c r="J1961" s="42"/>
      <c r="K1961" s="43"/>
      <c r="L1961" s="43"/>
      <c r="M1961" s="44" t="str">
        <f>IF(LayTable[[#This Row],[Sport]]="","",LayTable[[#This Row],[LayInnsats]]*(LayTable[[#This Row],[LayOdds]]-1))</f>
        <v/>
      </c>
      <c r="N1961" s="45" t="str">
        <f>IF(LayTable[[#This Row],[Sport]]="","",1/((1/LayTable[[#This Row],[BookieOdds]])+(1/((1/((1+((LayTable[[#This Row],[LayOdds]]-1)*(1+LayTable[[#This Row],[C% Lay]])))-1))+1)))-1)</f>
        <v/>
      </c>
      <c r="Q1961" s="46" t="str">
        <f>IF(LayTable[[#This Row],[Sport]]="","",LayTable[[#This Row],[BookieInnsats]]+LayTable[[#This Row],[LayLiability]])</f>
        <v/>
      </c>
      <c r="R19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1" s="47" t="str">
        <f>IF(LayTable[[#This Row],[Utfall bookie]]="","",LayTable[[#This Row],[WBABack]]+LayTable[[#This Row],[WBALay]]-LayTable[[#This Row],[Total inns]])</f>
        <v/>
      </c>
      <c r="U19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1" s="48" t="str">
        <f>IFERROR(IF(LayTable[[#This Row],[Total inns]]="","",LayTable[[#This Row],[Rback]]/LayTable[[#This Row],[Total inns]]),"")</f>
        <v/>
      </c>
      <c r="X1961" s="48" t="str">
        <f>IFERROR(IF(LayTable[[#This Row],[Total inns]]="","",LayTable[[#This Row],[Rlay]]/LayTable[[#This Row],[Total inns]]),"")</f>
        <v/>
      </c>
      <c r="Y1961" s="48" t="str">
        <f>IFERROR(LayTable[[#This Row],[Faktisk res]]/LayTable[[#This Row],[Total inns]],"")</f>
        <v/>
      </c>
      <c r="Z1961" s="47">
        <f>(LayTable[[#This Row],[BookieInnsats]]*LayTable[[#This Row],[BookieOdds]]-LayTable[[#This Row],[BookieInnsats]])*(1-LayTable[[#This Row],[C% Bookie]])</f>
        <v>0</v>
      </c>
      <c r="AA1961" s="43">
        <f>LayTable[[#This Row],[LayInnsats]]*(1-LayTable[[#This Row],[C% Lay]])</f>
        <v>0</v>
      </c>
      <c r="AB1961" s="43" t="str">
        <f>IFERROR(IF(LayTable[[#This Row],[Sport]]="",AB1960,LayTable[[#This Row],[Faktisk res]]+AB1960),"")</f>
        <v/>
      </c>
      <c r="AC1961" s="43">
        <f>(LayTable[[#This Row],[BackWin-Commission]]+LayTable[[#This Row],[BookieInnsats]])</f>
        <v>0</v>
      </c>
      <c r="AD1961" s="43" t="e">
        <f>(LayTable[[#This Row],[LayWin-Commission]])+LayTable[[#This Row],[LayLiability]]</f>
        <v>#VALUE!</v>
      </c>
      <c r="AE1961" s="43"/>
      <c r="AF1961" s="181"/>
    </row>
    <row r="1962" spans="1:32">
      <c r="A1962" s="84"/>
      <c r="B1962" s="39"/>
      <c r="C1962" s="40"/>
      <c r="D1962" s="41"/>
      <c r="E1962" s="40"/>
      <c r="F1962" s="41"/>
      <c r="G1962" s="101"/>
      <c r="H1962" s="38"/>
      <c r="I1962" s="42"/>
      <c r="J1962" s="42"/>
      <c r="K1962" s="43"/>
      <c r="L1962" s="43"/>
      <c r="M1962" s="44" t="str">
        <f>IF(LayTable[[#This Row],[Sport]]="","",LayTable[[#This Row],[LayInnsats]]*(LayTable[[#This Row],[LayOdds]]-1))</f>
        <v/>
      </c>
      <c r="N1962" s="45" t="str">
        <f>IF(LayTable[[#This Row],[Sport]]="","",1/((1/LayTable[[#This Row],[BookieOdds]])+(1/((1/((1+((LayTable[[#This Row],[LayOdds]]-1)*(1+LayTable[[#This Row],[C% Lay]])))-1))+1)))-1)</f>
        <v/>
      </c>
      <c r="Q1962" s="46" t="str">
        <f>IF(LayTable[[#This Row],[Sport]]="","",LayTable[[#This Row],[BookieInnsats]]+LayTable[[#This Row],[LayLiability]])</f>
        <v/>
      </c>
      <c r="R19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2" s="47" t="str">
        <f>IF(LayTable[[#This Row],[Utfall bookie]]="","",LayTable[[#This Row],[WBABack]]+LayTable[[#This Row],[WBALay]]-LayTable[[#This Row],[Total inns]])</f>
        <v/>
      </c>
      <c r="U19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2" s="48" t="str">
        <f>IFERROR(IF(LayTable[[#This Row],[Total inns]]="","",LayTable[[#This Row],[Rback]]/LayTable[[#This Row],[Total inns]]),"")</f>
        <v/>
      </c>
      <c r="X1962" s="48" t="str">
        <f>IFERROR(IF(LayTable[[#This Row],[Total inns]]="","",LayTable[[#This Row],[Rlay]]/LayTable[[#This Row],[Total inns]]),"")</f>
        <v/>
      </c>
      <c r="Y1962" s="48" t="str">
        <f>IFERROR(LayTable[[#This Row],[Faktisk res]]/LayTable[[#This Row],[Total inns]],"")</f>
        <v/>
      </c>
      <c r="Z1962" s="47">
        <f>(LayTable[[#This Row],[BookieInnsats]]*LayTable[[#This Row],[BookieOdds]]-LayTable[[#This Row],[BookieInnsats]])*(1-LayTable[[#This Row],[C% Bookie]])</f>
        <v>0</v>
      </c>
      <c r="AA1962" s="43">
        <f>LayTable[[#This Row],[LayInnsats]]*(1-LayTable[[#This Row],[C% Lay]])</f>
        <v>0</v>
      </c>
      <c r="AB1962" s="43" t="str">
        <f>IFERROR(IF(LayTable[[#This Row],[Sport]]="",AB1961,LayTable[[#This Row],[Faktisk res]]+AB1961),"")</f>
        <v/>
      </c>
      <c r="AC1962" s="43">
        <f>(LayTable[[#This Row],[BackWin-Commission]]+LayTable[[#This Row],[BookieInnsats]])</f>
        <v>0</v>
      </c>
      <c r="AD1962" s="43" t="e">
        <f>(LayTable[[#This Row],[LayWin-Commission]])+LayTable[[#This Row],[LayLiability]]</f>
        <v>#VALUE!</v>
      </c>
      <c r="AE1962" s="43"/>
      <c r="AF1962" s="181"/>
    </row>
    <row r="1963" spans="1:32">
      <c r="A1963" s="84"/>
      <c r="B1963" s="39"/>
      <c r="C1963" s="40"/>
      <c r="D1963" s="41"/>
      <c r="E1963" s="40"/>
      <c r="F1963" s="41"/>
      <c r="G1963" s="101"/>
      <c r="H1963" s="38"/>
      <c r="I1963" s="42"/>
      <c r="J1963" s="42"/>
      <c r="K1963" s="43"/>
      <c r="L1963" s="43"/>
      <c r="M1963" s="44" t="str">
        <f>IF(LayTable[[#This Row],[Sport]]="","",LayTable[[#This Row],[LayInnsats]]*(LayTable[[#This Row],[LayOdds]]-1))</f>
        <v/>
      </c>
      <c r="N1963" s="45" t="str">
        <f>IF(LayTable[[#This Row],[Sport]]="","",1/((1/LayTable[[#This Row],[BookieOdds]])+(1/((1/((1+((LayTable[[#This Row],[LayOdds]]-1)*(1+LayTable[[#This Row],[C% Lay]])))-1))+1)))-1)</f>
        <v/>
      </c>
      <c r="Q1963" s="46" t="str">
        <f>IF(LayTable[[#This Row],[Sport]]="","",LayTable[[#This Row],[BookieInnsats]]+LayTable[[#This Row],[LayLiability]])</f>
        <v/>
      </c>
      <c r="R19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3" s="47" t="str">
        <f>IF(LayTable[[#This Row],[Utfall bookie]]="","",LayTable[[#This Row],[WBABack]]+LayTable[[#This Row],[WBALay]]-LayTable[[#This Row],[Total inns]])</f>
        <v/>
      </c>
      <c r="U19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3" s="48" t="str">
        <f>IFERROR(IF(LayTable[[#This Row],[Total inns]]="","",LayTable[[#This Row],[Rback]]/LayTable[[#This Row],[Total inns]]),"")</f>
        <v/>
      </c>
      <c r="X1963" s="48" t="str">
        <f>IFERROR(IF(LayTable[[#This Row],[Total inns]]="","",LayTable[[#This Row],[Rlay]]/LayTable[[#This Row],[Total inns]]),"")</f>
        <v/>
      </c>
      <c r="Y1963" s="48" t="str">
        <f>IFERROR(LayTable[[#This Row],[Faktisk res]]/LayTable[[#This Row],[Total inns]],"")</f>
        <v/>
      </c>
      <c r="Z1963" s="47">
        <f>(LayTable[[#This Row],[BookieInnsats]]*LayTable[[#This Row],[BookieOdds]]-LayTable[[#This Row],[BookieInnsats]])*(1-LayTable[[#This Row],[C% Bookie]])</f>
        <v>0</v>
      </c>
      <c r="AA1963" s="43">
        <f>LayTable[[#This Row],[LayInnsats]]*(1-LayTable[[#This Row],[C% Lay]])</f>
        <v>0</v>
      </c>
      <c r="AB1963" s="43" t="str">
        <f>IFERROR(IF(LayTable[[#This Row],[Sport]]="",AB1962,LayTable[[#This Row],[Faktisk res]]+AB1962),"")</f>
        <v/>
      </c>
      <c r="AC1963" s="43">
        <f>(LayTable[[#This Row],[BackWin-Commission]]+LayTable[[#This Row],[BookieInnsats]])</f>
        <v>0</v>
      </c>
      <c r="AD1963" s="43" t="e">
        <f>(LayTable[[#This Row],[LayWin-Commission]])+LayTable[[#This Row],[LayLiability]]</f>
        <v>#VALUE!</v>
      </c>
      <c r="AE1963" s="43"/>
      <c r="AF1963" s="181"/>
    </row>
    <row r="1964" spans="1:32">
      <c r="A1964" s="84"/>
      <c r="B1964" s="39"/>
      <c r="C1964" s="40"/>
      <c r="D1964" s="41"/>
      <c r="E1964" s="40"/>
      <c r="F1964" s="41"/>
      <c r="G1964" s="101"/>
      <c r="H1964" s="38"/>
      <c r="I1964" s="42"/>
      <c r="J1964" s="42"/>
      <c r="K1964" s="43"/>
      <c r="L1964" s="43"/>
      <c r="M1964" s="44" t="str">
        <f>IF(LayTable[[#This Row],[Sport]]="","",LayTable[[#This Row],[LayInnsats]]*(LayTable[[#This Row],[LayOdds]]-1))</f>
        <v/>
      </c>
      <c r="N1964" s="45" t="str">
        <f>IF(LayTable[[#This Row],[Sport]]="","",1/((1/LayTable[[#This Row],[BookieOdds]])+(1/((1/((1+((LayTable[[#This Row],[LayOdds]]-1)*(1+LayTable[[#This Row],[C% Lay]])))-1))+1)))-1)</f>
        <v/>
      </c>
      <c r="Q1964" s="46" t="str">
        <f>IF(LayTable[[#This Row],[Sport]]="","",LayTable[[#This Row],[BookieInnsats]]+LayTable[[#This Row],[LayLiability]])</f>
        <v/>
      </c>
      <c r="R19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4" s="47" t="str">
        <f>IF(LayTable[[#This Row],[Utfall bookie]]="","",LayTable[[#This Row],[WBABack]]+LayTable[[#This Row],[WBALay]]-LayTable[[#This Row],[Total inns]])</f>
        <v/>
      </c>
      <c r="U19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4" s="48" t="str">
        <f>IFERROR(IF(LayTable[[#This Row],[Total inns]]="","",LayTable[[#This Row],[Rback]]/LayTable[[#This Row],[Total inns]]),"")</f>
        <v/>
      </c>
      <c r="X1964" s="48" t="str">
        <f>IFERROR(IF(LayTable[[#This Row],[Total inns]]="","",LayTable[[#This Row],[Rlay]]/LayTable[[#This Row],[Total inns]]),"")</f>
        <v/>
      </c>
      <c r="Y1964" s="48" t="str">
        <f>IFERROR(LayTable[[#This Row],[Faktisk res]]/LayTable[[#This Row],[Total inns]],"")</f>
        <v/>
      </c>
      <c r="Z1964" s="47">
        <f>(LayTable[[#This Row],[BookieInnsats]]*LayTable[[#This Row],[BookieOdds]]-LayTable[[#This Row],[BookieInnsats]])*(1-LayTable[[#This Row],[C% Bookie]])</f>
        <v>0</v>
      </c>
      <c r="AA1964" s="43">
        <f>LayTable[[#This Row],[LayInnsats]]*(1-LayTable[[#This Row],[C% Lay]])</f>
        <v>0</v>
      </c>
      <c r="AB1964" s="43" t="str">
        <f>IFERROR(IF(LayTable[[#This Row],[Sport]]="",AB1963,LayTable[[#This Row],[Faktisk res]]+AB1963),"")</f>
        <v/>
      </c>
      <c r="AC1964" s="43">
        <f>(LayTable[[#This Row],[BackWin-Commission]]+LayTable[[#This Row],[BookieInnsats]])</f>
        <v>0</v>
      </c>
      <c r="AD1964" s="43" t="e">
        <f>(LayTable[[#This Row],[LayWin-Commission]])+LayTable[[#This Row],[LayLiability]]</f>
        <v>#VALUE!</v>
      </c>
      <c r="AE1964" s="43"/>
      <c r="AF1964" s="181"/>
    </row>
    <row r="1965" spans="1:32">
      <c r="A1965" s="84"/>
      <c r="B1965" s="39"/>
      <c r="C1965" s="40"/>
      <c r="D1965" s="41"/>
      <c r="E1965" s="40"/>
      <c r="F1965" s="41"/>
      <c r="G1965" s="101"/>
      <c r="H1965" s="38"/>
      <c r="I1965" s="42"/>
      <c r="J1965" s="42"/>
      <c r="K1965" s="43"/>
      <c r="L1965" s="43"/>
      <c r="M1965" s="44" t="str">
        <f>IF(LayTable[[#This Row],[Sport]]="","",LayTable[[#This Row],[LayInnsats]]*(LayTable[[#This Row],[LayOdds]]-1))</f>
        <v/>
      </c>
      <c r="N1965" s="45" t="str">
        <f>IF(LayTable[[#This Row],[Sport]]="","",1/((1/LayTable[[#This Row],[BookieOdds]])+(1/((1/((1+((LayTable[[#This Row],[LayOdds]]-1)*(1+LayTable[[#This Row],[C% Lay]])))-1))+1)))-1)</f>
        <v/>
      </c>
      <c r="Q1965" s="46" t="str">
        <f>IF(LayTable[[#This Row],[Sport]]="","",LayTable[[#This Row],[BookieInnsats]]+LayTable[[#This Row],[LayLiability]])</f>
        <v/>
      </c>
      <c r="R19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5" s="47" t="str">
        <f>IF(LayTable[[#This Row],[Utfall bookie]]="","",LayTable[[#This Row],[WBABack]]+LayTable[[#This Row],[WBALay]]-LayTable[[#This Row],[Total inns]])</f>
        <v/>
      </c>
      <c r="U19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5" s="48" t="str">
        <f>IFERROR(IF(LayTable[[#This Row],[Total inns]]="","",LayTable[[#This Row],[Rback]]/LayTable[[#This Row],[Total inns]]),"")</f>
        <v/>
      </c>
      <c r="X1965" s="48" t="str">
        <f>IFERROR(IF(LayTable[[#This Row],[Total inns]]="","",LayTable[[#This Row],[Rlay]]/LayTable[[#This Row],[Total inns]]),"")</f>
        <v/>
      </c>
      <c r="Y1965" s="48" t="str">
        <f>IFERROR(LayTable[[#This Row],[Faktisk res]]/LayTable[[#This Row],[Total inns]],"")</f>
        <v/>
      </c>
      <c r="Z1965" s="47">
        <f>(LayTable[[#This Row],[BookieInnsats]]*LayTable[[#This Row],[BookieOdds]]-LayTable[[#This Row],[BookieInnsats]])*(1-LayTable[[#This Row],[C% Bookie]])</f>
        <v>0</v>
      </c>
      <c r="AA1965" s="43">
        <f>LayTable[[#This Row],[LayInnsats]]*(1-LayTable[[#This Row],[C% Lay]])</f>
        <v>0</v>
      </c>
      <c r="AB1965" s="43" t="str">
        <f>IFERROR(IF(LayTable[[#This Row],[Sport]]="",AB1964,LayTable[[#This Row],[Faktisk res]]+AB1964),"")</f>
        <v/>
      </c>
      <c r="AC1965" s="43">
        <f>(LayTable[[#This Row],[BackWin-Commission]]+LayTable[[#This Row],[BookieInnsats]])</f>
        <v>0</v>
      </c>
      <c r="AD1965" s="43" t="e">
        <f>(LayTable[[#This Row],[LayWin-Commission]])+LayTable[[#This Row],[LayLiability]]</f>
        <v>#VALUE!</v>
      </c>
      <c r="AE1965" s="43"/>
      <c r="AF1965" s="181"/>
    </row>
    <row r="1966" spans="1:32">
      <c r="A1966" s="84"/>
      <c r="B1966" s="39"/>
      <c r="C1966" s="40"/>
      <c r="D1966" s="41"/>
      <c r="E1966" s="40"/>
      <c r="F1966" s="41"/>
      <c r="G1966" s="101"/>
      <c r="H1966" s="38"/>
      <c r="I1966" s="42"/>
      <c r="J1966" s="42"/>
      <c r="K1966" s="43"/>
      <c r="L1966" s="43"/>
      <c r="M1966" s="44" t="str">
        <f>IF(LayTable[[#This Row],[Sport]]="","",LayTable[[#This Row],[LayInnsats]]*(LayTable[[#This Row],[LayOdds]]-1))</f>
        <v/>
      </c>
      <c r="N1966" s="45" t="str">
        <f>IF(LayTable[[#This Row],[Sport]]="","",1/((1/LayTable[[#This Row],[BookieOdds]])+(1/((1/((1+((LayTable[[#This Row],[LayOdds]]-1)*(1+LayTable[[#This Row],[C% Lay]])))-1))+1)))-1)</f>
        <v/>
      </c>
      <c r="Q1966" s="46" t="str">
        <f>IF(LayTable[[#This Row],[Sport]]="","",LayTable[[#This Row],[BookieInnsats]]+LayTable[[#This Row],[LayLiability]])</f>
        <v/>
      </c>
      <c r="R19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6" s="47" t="str">
        <f>IF(LayTable[[#This Row],[Utfall bookie]]="","",LayTable[[#This Row],[WBABack]]+LayTable[[#This Row],[WBALay]]-LayTable[[#This Row],[Total inns]])</f>
        <v/>
      </c>
      <c r="U19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6" s="48" t="str">
        <f>IFERROR(IF(LayTable[[#This Row],[Total inns]]="","",LayTable[[#This Row],[Rback]]/LayTable[[#This Row],[Total inns]]),"")</f>
        <v/>
      </c>
      <c r="X1966" s="48" t="str">
        <f>IFERROR(IF(LayTable[[#This Row],[Total inns]]="","",LayTable[[#This Row],[Rlay]]/LayTable[[#This Row],[Total inns]]),"")</f>
        <v/>
      </c>
      <c r="Y1966" s="48" t="str">
        <f>IFERROR(LayTable[[#This Row],[Faktisk res]]/LayTable[[#This Row],[Total inns]],"")</f>
        <v/>
      </c>
      <c r="Z1966" s="47">
        <f>(LayTable[[#This Row],[BookieInnsats]]*LayTable[[#This Row],[BookieOdds]]-LayTable[[#This Row],[BookieInnsats]])*(1-LayTable[[#This Row],[C% Bookie]])</f>
        <v>0</v>
      </c>
      <c r="AA1966" s="43">
        <f>LayTable[[#This Row],[LayInnsats]]*(1-LayTable[[#This Row],[C% Lay]])</f>
        <v>0</v>
      </c>
      <c r="AB1966" s="43" t="str">
        <f>IFERROR(IF(LayTable[[#This Row],[Sport]]="",AB1965,LayTable[[#This Row],[Faktisk res]]+AB1965),"")</f>
        <v/>
      </c>
      <c r="AC1966" s="43">
        <f>(LayTable[[#This Row],[BackWin-Commission]]+LayTable[[#This Row],[BookieInnsats]])</f>
        <v>0</v>
      </c>
      <c r="AD1966" s="43" t="e">
        <f>(LayTable[[#This Row],[LayWin-Commission]])+LayTable[[#This Row],[LayLiability]]</f>
        <v>#VALUE!</v>
      </c>
      <c r="AE1966" s="43"/>
      <c r="AF1966" s="181"/>
    </row>
    <row r="1967" spans="1:32">
      <c r="A1967" s="84"/>
      <c r="B1967" s="39"/>
      <c r="C1967" s="40"/>
      <c r="D1967" s="41"/>
      <c r="E1967" s="40"/>
      <c r="F1967" s="41"/>
      <c r="G1967" s="101"/>
      <c r="H1967" s="38"/>
      <c r="I1967" s="42"/>
      <c r="J1967" s="42"/>
      <c r="K1967" s="43"/>
      <c r="L1967" s="43"/>
      <c r="M1967" s="44" t="str">
        <f>IF(LayTable[[#This Row],[Sport]]="","",LayTable[[#This Row],[LayInnsats]]*(LayTable[[#This Row],[LayOdds]]-1))</f>
        <v/>
      </c>
      <c r="N1967" s="45" t="str">
        <f>IF(LayTable[[#This Row],[Sport]]="","",1/((1/LayTable[[#This Row],[BookieOdds]])+(1/((1/((1+((LayTable[[#This Row],[LayOdds]]-1)*(1+LayTable[[#This Row],[C% Lay]])))-1))+1)))-1)</f>
        <v/>
      </c>
      <c r="Q1967" s="46" t="str">
        <f>IF(LayTable[[#This Row],[Sport]]="","",LayTable[[#This Row],[BookieInnsats]]+LayTable[[#This Row],[LayLiability]])</f>
        <v/>
      </c>
      <c r="R19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7" s="47" t="str">
        <f>IF(LayTable[[#This Row],[Utfall bookie]]="","",LayTable[[#This Row],[WBABack]]+LayTable[[#This Row],[WBALay]]-LayTable[[#This Row],[Total inns]])</f>
        <v/>
      </c>
      <c r="U19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7" s="48" t="str">
        <f>IFERROR(IF(LayTable[[#This Row],[Total inns]]="","",LayTable[[#This Row],[Rback]]/LayTable[[#This Row],[Total inns]]),"")</f>
        <v/>
      </c>
      <c r="X1967" s="48" t="str">
        <f>IFERROR(IF(LayTable[[#This Row],[Total inns]]="","",LayTable[[#This Row],[Rlay]]/LayTable[[#This Row],[Total inns]]),"")</f>
        <v/>
      </c>
      <c r="Y1967" s="48" t="str">
        <f>IFERROR(LayTable[[#This Row],[Faktisk res]]/LayTable[[#This Row],[Total inns]],"")</f>
        <v/>
      </c>
      <c r="Z1967" s="47">
        <f>(LayTable[[#This Row],[BookieInnsats]]*LayTable[[#This Row],[BookieOdds]]-LayTable[[#This Row],[BookieInnsats]])*(1-LayTable[[#This Row],[C% Bookie]])</f>
        <v>0</v>
      </c>
      <c r="AA1967" s="43">
        <f>LayTable[[#This Row],[LayInnsats]]*(1-LayTable[[#This Row],[C% Lay]])</f>
        <v>0</v>
      </c>
      <c r="AB1967" s="43" t="str">
        <f>IFERROR(IF(LayTable[[#This Row],[Sport]]="",AB1966,LayTable[[#This Row],[Faktisk res]]+AB1966),"")</f>
        <v/>
      </c>
      <c r="AC1967" s="43">
        <f>(LayTable[[#This Row],[BackWin-Commission]]+LayTable[[#This Row],[BookieInnsats]])</f>
        <v>0</v>
      </c>
      <c r="AD1967" s="43" t="e">
        <f>(LayTable[[#This Row],[LayWin-Commission]])+LayTable[[#This Row],[LayLiability]]</f>
        <v>#VALUE!</v>
      </c>
      <c r="AE1967" s="43"/>
      <c r="AF1967" s="181"/>
    </row>
    <row r="1968" spans="1:32">
      <c r="A1968" s="84"/>
      <c r="B1968" s="39"/>
      <c r="C1968" s="40"/>
      <c r="D1968" s="41"/>
      <c r="E1968" s="40"/>
      <c r="F1968" s="41"/>
      <c r="G1968" s="101"/>
      <c r="H1968" s="38"/>
      <c r="I1968" s="42"/>
      <c r="J1968" s="42"/>
      <c r="K1968" s="43"/>
      <c r="L1968" s="43"/>
      <c r="M1968" s="44" t="str">
        <f>IF(LayTable[[#This Row],[Sport]]="","",LayTable[[#This Row],[LayInnsats]]*(LayTable[[#This Row],[LayOdds]]-1))</f>
        <v/>
      </c>
      <c r="N1968" s="45" t="str">
        <f>IF(LayTable[[#This Row],[Sport]]="","",1/((1/LayTable[[#This Row],[BookieOdds]])+(1/((1/((1+((LayTable[[#This Row],[LayOdds]]-1)*(1+LayTable[[#This Row],[C% Lay]])))-1))+1)))-1)</f>
        <v/>
      </c>
      <c r="Q1968" s="46" t="str">
        <f>IF(LayTable[[#This Row],[Sport]]="","",LayTable[[#This Row],[BookieInnsats]]+LayTable[[#This Row],[LayLiability]])</f>
        <v/>
      </c>
      <c r="R19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8" s="47" t="str">
        <f>IF(LayTable[[#This Row],[Utfall bookie]]="","",LayTable[[#This Row],[WBABack]]+LayTable[[#This Row],[WBALay]]-LayTable[[#This Row],[Total inns]])</f>
        <v/>
      </c>
      <c r="U19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8" s="48" t="str">
        <f>IFERROR(IF(LayTable[[#This Row],[Total inns]]="","",LayTable[[#This Row],[Rback]]/LayTable[[#This Row],[Total inns]]),"")</f>
        <v/>
      </c>
      <c r="X1968" s="48" t="str">
        <f>IFERROR(IF(LayTable[[#This Row],[Total inns]]="","",LayTable[[#This Row],[Rlay]]/LayTable[[#This Row],[Total inns]]),"")</f>
        <v/>
      </c>
      <c r="Y1968" s="48" t="str">
        <f>IFERROR(LayTable[[#This Row],[Faktisk res]]/LayTable[[#This Row],[Total inns]],"")</f>
        <v/>
      </c>
      <c r="Z1968" s="47">
        <f>(LayTable[[#This Row],[BookieInnsats]]*LayTable[[#This Row],[BookieOdds]]-LayTable[[#This Row],[BookieInnsats]])*(1-LayTable[[#This Row],[C% Bookie]])</f>
        <v>0</v>
      </c>
      <c r="AA1968" s="43">
        <f>LayTable[[#This Row],[LayInnsats]]*(1-LayTable[[#This Row],[C% Lay]])</f>
        <v>0</v>
      </c>
      <c r="AB1968" s="43" t="str">
        <f>IFERROR(IF(LayTable[[#This Row],[Sport]]="",AB1967,LayTable[[#This Row],[Faktisk res]]+AB1967),"")</f>
        <v/>
      </c>
      <c r="AC1968" s="43">
        <f>(LayTable[[#This Row],[BackWin-Commission]]+LayTable[[#This Row],[BookieInnsats]])</f>
        <v>0</v>
      </c>
      <c r="AD1968" s="43" t="e">
        <f>(LayTable[[#This Row],[LayWin-Commission]])+LayTable[[#This Row],[LayLiability]]</f>
        <v>#VALUE!</v>
      </c>
      <c r="AE1968" s="43"/>
      <c r="AF1968" s="181"/>
    </row>
    <row r="1969" spans="1:32">
      <c r="A1969" s="84"/>
      <c r="B1969" s="39"/>
      <c r="C1969" s="40"/>
      <c r="D1969" s="41"/>
      <c r="E1969" s="40"/>
      <c r="F1969" s="41"/>
      <c r="G1969" s="101"/>
      <c r="H1969" s="38"/>
      <c r="I1969" s="42"/>
      <c r="J1969" s="42"/>
      <c r="K1969" s="43"/>
      <c r="L1969" s="43"/>
      <c r="M1969" s="44" t="str">
        <f>IF(LayTable[[#This Row],[Sport]]="","",LayTable[[#This Row],[LayInnsats]]*(LayTable[[#This Row],[LayOdds]]-1))</f>
        <v/>
      </c>
      <c r="N1969" s="45" t="str">
        <f>IF(LayTable[[#This Row],[Sport]]="","",1/((1/LayTable[[#This Row],[BookieOdds]])+(1/((1/((1+((LayTable[[#This Row],[LayOdds]]-1)*(1+LayTable[[#This Row],[C% Lay]])))-1))+1)))-1)</f>
        <v/>
      </c>
      <c r="Q1969" s="46" t="str">
        <f>IF(LayTable[[#This Row],[Sport]]="","",LayTable[[#This Row],[BookieInnsats]]+LayTable[[#This Row],[LayLiability]])</f>
        <v/>
      </c>
      <c r="R19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69" s="47" t="str">
        <f>IF(LayTable[[#This Row],[Utfall bookie]]="","",LayTable[[#This Row],[WBABack]]+LayTable[[#This Row],[WBALay]]-LayTable[[#This Row],[Total inns]])</f>
        <v/>
      </c>
      <c r="U19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69" s="48" t="str">
        <f>IFERROR(IF(LayTable[[#This Row],[Total inns]]="","",LayTable[[#This Row],[Rback]]/LayTable[[#This Row],[Total inns]]),"")</f>
        <v/>
      </c>
      <c r="X1969" s="48" t="str">
        <f>IFERROR(IF(LayTable[[#This Row],[Total inns]]="","",LayTable[[#This Row],[Rlay]]/LayTable[[#This Row],[Total inns]]),"")</f>
        <v/>
      </c>
      <c r="Y1969" s="48" t="str">
        <f>IFERROR(LayTable[[#This Row],[Faktisk res]]/LayTable[[#This Row],[Total inns]],"")</f>
        <v/>
      </c>
      <c r="Z1969" s="47">
        <f>(LayTable[[#This Row],[BookieInnsats]]*LayTable[[#This Row],[BookieOdds]]-LayTable[[#This Row],[BookieInnsats]])*(1-LayTable[[#This Row],[C% Bookie]])</f>
        <v>0</v>
      </c>
      <c r="AA1969" s="43">
        <f>LayTable[[#This Row],[LayInnsats]]*(1-LayTable[[#This Row],[C% Lay]])</f>
        <v>0</v>
      </c>
      <c r="AB1969" s="43" t="str">
        <f>IFERROR(IF(LayTable[[#This Row],[Sport]]="",AB1968,LayTable[[#This Row],[Faktisk res]]+AB1968),"")</f>
        <v/>
      </c>
      <c r="AC1969" s="43">
        <f>(LayTable[[#This Row],[BackWin-Commission]]+LayTable[[#This Row],[BookieInnsats]])</f>
        <v>0</v>
      </c>
      <c r="AD1969" s="43" t="e">
        <f>(LayTable[[#This Row],[LayWin-Commission]])+LayTable[[#This Row],[LayLiability]]</f>
        <v>#VALUE!</v>
      </c>
      <c r="AE1969" s="43"/>
      <c r="AF1969" s="181"/>
    </row>
    <row r="1970" spans="1:32">
      <c r="A1970" s="84"/>
      <c r="B1970" s="39"/>
      <c r="C1970" s="40"/>
      <c r="D1970" s="41"/>
      <c r="E1970" s="40"/>
      <c r="F1970" s="41"/>
      <c r="G1970" s="101"/>
      <c r="H1970" s="38"/>
      <c r="I1970" s="42"/>
      <c r="J1970" s="42"/>
      <c r="K1970" s="43"/>
      <c r="L1970" s="43"/>
      <c r="M1970" s="44" t="str">
        <f>IF(LayTable[[#This Row],[Sport]]="","",LayTable[[#This Row],[LayInnsats]]*(LayTable[[#This Row],[LayOdds]]-1))</f>
        <v/>
      </c>
      <c r="N1970" s="45" t="str">
        <f>IF(LayTable[[#This Row],[Sport]]="","",1/((1/LayTable[[#This Row],[BookieOdds]])+(1/((1/((1+((LayTable[[#This Row],[LayOdds]]-1)*(1+LayTable[[#This Row],[C% Lay]])))-1))+1)))-1)</f>
        <v/>
      </c>
      <c r="Q1970" s="46" t="str">
        <f>IF(LayTable[[#This Row],[Sport]]="","",LayTable[[#This Row],[BookieInnsats]]+LayTable[[#This Row],[LayLiability]])</f>
        <v/>
      </c>
      <c r="R19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0" s="47" t="str">
        <f>IF(LayTable[[#This Row],[Utfall bookie]]="","",LayTable[[#This Row],[WBABack]]+LayTable[[#This Row],[WBALay]]-LayTable[[#This Row],[Total inns]])</f>
        <v/>
      </c>
      <c r="U19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0" s="48" t="str">
        <f>IFERROR(IF(LayTable[[#This Row],[Total inns]]="","",LayTable[[#This Row],[Rback]]/LayTable[[#This Row],[Total inns]]),"")</f>
        <v/>
      </c>
      <c r="X1970" s="48" t="str">
        <f>IFERROR(IF(LayTable[[#This Row],[Total inns]]="","",LayTable[[#This Row],[Rlay]]/LayTable[[#This Row],[Total inns]]),"")</f>
        <v/>
      </c>
      <c r="Y1970" s="48" t="str">
        <f>IFERROR(LayTable[[#This Row],[Faktisk res]]/LayTable[[#This Row],[Total inns]],"")</f>
        <v/>
      </c>
      <c r="Z1970" s="47">
        <f>(LayTable[[#This Row],[BookieInnsats]]*LayTable[[#This Row],[BookieOdds]]-LayTable[[#This Row],[BookieInnsats]])*(1-LayTable[[#This Row],[C% Bookie]])</f>
        <v>0</v>
      </c>
      <c r="AA1970" s="43">
        <f>LayTable[[#This Row],[LayInnsats]]*(1-LayTable[[#This Row],[C% Lay]])</f>
        <v>0</v>
      </c>
      <c r="AB1970" s="43" t="str">
        <f>IFERROR(IF(LayTable[[#This Row],[Sport]]="",AB1969,LayTable[[#This Row],[Faktisk res]]+AB1969),"")</f>
        <v/>
      </c>
      <c r="AC1970" s="43">
        <f>(LayTable[[#This Row],[BackWin-Commission]]+LayTable[[#This Row],[BookieInnsats]])</f>
        <v>0</v>
      </c>
      <c r="AD1970" s="43" t="e">
        <f>(LayTable[[#This Row],[LayWin-Commission]])+LayTable[[#This Row],[LayLiability]]</f>
        <v>#VALUE!</v>
      </c>
      <c r="AE1970" s="43"/>
      <c r="AF1970" s="181"/>
    </row>
    <row r="1971" spans="1:32">
      <c r="A1971" s="84"/>
      <c r="B1971" s="39"/>
      <c r="C1971" s="40"/>
      <c r="D1971" s="41"/>
      <c r="E1971" s="40"/>
      <c r="F1971" s="41"/>
      <c r="G1971" s="101"/>
      <c r="H1971" s="38"/>
      <c r="I1971" s="42"/>
      <c r="J1971" s="42"/>
      <c r="K1971" s="43"/>
      <c r="L1971" s="43"/>
      <c r="M1971" s="44" t="str">
        <f>IF(LayTable[[#This Row],[Sport]]="","",LayTable[[#This Row],[LayInnsats]]*(LayTable[[#This Row],[LayOdds]]-1))</f>
        <v/>
      </c>
      <c r="N1971" s="45" t="str">
        <f>IF(LayTable[[#This Row],[Sport]]="","",1/((1/LayTable[[#This Row],[BookieOdds]])+(1/((1/((1+((LayTable[[#This Row],[LayOdds]]-1)*(1+LayTable[[#This Row],[C% Lay]])))-1))+1)))-1)</f>
        <v/>
      </c>
      <c r="Q1971" s="46" t="str">
        <f>IF(LayTable[[#This Row],[Sport]]="","",LayTable[[#This Row],[BookieInnsats]]+LayTable[[#This Row],[LayLiability]])</f>
        <v/>
      </c>
      <c r="R19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1" s="47" t="str">
        <f>IF(LayTable[[#This Row],[Utfall bookie]]="","",LayTable[[#This Row],[WBABack]]+LayTable[[#This Row],[WBALay]]-LayTable[[#This Row],[Total inns]])</f>
        <v/>
      </c>
      <c r="U19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1" s="48" t="str">
        <f>IFERROR(IF(LayTable[[#This Row],[Total inns]]="","",LayTable[[#This Row],[Rback]]/LayTable[[#This Row],[Total inns]]),"")</f>
        <v/>
      </c>
      <c r="X1971" s="48" t="str">
        <f>IFERROR(IF(LayTable[[#This Row],[Total inns]]="","",LayTable[[#This Row],[Rlay]]/LayTable[[#This Row],[Total inns]]),"")</f>
        <v/>
      </c>
      <c r="Y1971" s="48" t="str">
        <f>IFERROR(LayTable[[#This Row],[Faktisk res]]/LayTable[[#This Row],[Total inns]],"")</f>
        <v/>
      </c>
      <c r="Z1971" s="47">
        <f>(LayTable[[#This Row],[BookieInnsats]]*LayTable[[#This Row],[BookieOdds]]-LayTable[[#This Row],[BookieInnsats]])*(1-LayTable[[#This Row],[C% Bookie]])</f>
        <v>0</v>
      </c>
      <c r="AA1971" s="43">
        <f>LayTable[[#This Row],[LayInnsats]]*(1-LayTable[[#This Row],[C% Lay]])</f>
        <v>0</v>
      </c>
      <c r="AB1971" s="43" t="str">
        <f>IFERROR(IF(LayTable[[#This Row],[Sport]]="",AB1970,LayTable[[#This Row],[Faktisk res]]+AB1970),"")</f>
        <v/>
      </c>
      <c r="AC1971" s="43">
        <f>(LayTable[[#This Row],[BackWin-Commission]]+LayTable[[#This Row],[BookieInnsats]])</f>
        <v>0</v>
      </c>
      <c r="AD1971" s="43" t="e">
        <f>(LayTable[[#This Row],[LayWin-Commission]])+LayTable[[#This Row],[LayLiability]]</f>
        <v>#VALUE!</v>
      </c>
      <c r="AE1971" s="43"/>
      <c r="AF1971" s="181"/>
    </row>
    <row r="1972" spans="1:32">
      <c r="A1972" s="84"/>
      <c r="B1972" s="39"/>
      <c r="C1972" s="40"/>
      <c r="D1972" s="41"/>
      <c r="E1972" s="40"/>
      <c r="F1972" s="41"/>
      <c r="G1972" s="101"/>
      <c r="H1972" s="38"/>
      <c r="I1972" s="42"/>
      <c r="J1972" s="42"/>
      <c r="K1972" s="43"/>
      <c r="L1972" s="43"/>
      <c r="M1972" s="44" t="str">
        <f>IF(LayTable[[#This Row],[Sport]]="","",LayTable[[#This Row],[LayInnsats]]*(LayTable[[#This Row],[LayOdds]]-1))</f>
        <v/>
      </c>
      <c r="N1972" s="45" t="str">
        <f>IF(LayTable[[#This Row],[Sport]]="","",1/((1/LayTable[[#This Row],[BookieOdds]])+(1/((1/((1+((LayTable[[#This Row],[LayOdds]]-1)*(1+LayTable[[#This Row],[C% Lay]])))-1))+1)))-1)</f>
        <v/>
      </c>
      <c r="Q1972" s="46" t="str">
        <f>IF(LayTable[[#This Row],[Sport]]="","",LayTable[[#This Row],[BookieInnsats]]+LayTable[[#This Row],[LayLiability]])</f>
        <v/>
      </c>
      <c r="R19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2" s="47" t="str">
        <f>IF(LayTable[[#This Row],[Utfall bookie]]="","",LayTable[[#This Row],[WBABack]]+LayTable[[#This Row],[WBALay]]-LayTable[[#This Row],[Total inns]])</f>
        <v/>
      </c>
      <c r="U19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2" s="48" t="str">
        <f>IFERROR(IF(LayTable[[#This Row],[Total inns]]="","",LayTable[[#This Row],[Rback]]/LayTable[[#This Row],[Total inns]]),"")</f>
        <v/>
      </c>
      <c r="X1972" s="48" t="str">
        <f>IFERROR(IF(LayTable[[#This Row],[Total inns]]="","",LayTable[[#This Row],[Rlay]]/LayTable[[#This Row],[Total inns]]),"")</f>
        <v/>
      </c>
      <c r="Y1972" s="48" t="str">
        <f>IFERROR(LayTable[[#This Row],[Faktisk res]]/LayTable[[#This Row],[Total inns]],"")</f>
        <v/>
      </c>
      <c r="Z1972" s="47">
        <f>(LayTable[[#This Row],[BookieInnsats]]*LayTable[[#This Row],[BookieOdds]]-LayTable[[#This Row],[BookieInnsats]])*(1-LayTable[[#This Row],[C% Bookie]])</f>
        <v>0</v>
      </c>
      <c r="AA1972" s="43">
        <f>LayTable[[#This Row],[LayInnsats]]*(1-LayTable[[#This Row],[C% Lay]])</f>
        <v>0</v>
      </c>
      <c r="AB1972" s="43" t="str">
        <f>IFERROR(IF(LayTable[[#This Row],[Sport]]="",AB1971,LayTable[[#This Row],[Faktisk res]]+AB1971),"")</f>
        <v/>
      </c>
      <c r="AC1972" s="43">
        <f>(LayTable[[#This Row],[BackWin-Commission]]+LayTable[[#This Row],[BookieInnsats]])</f>
        <v>0</v>
      </c>
      <c r="AD1972" s="43" t="e">
        <f>(LayTable[[#This Row],[LayWin-Commission]])+LayTable[[#This Row],[LayLiability]]</f>
        <v>#VALUE!</v>
      </c>
      <c r="AE1972" s="43"/>
      <c r="AF1972" s="181"/>
    </row>
    <row r="1973" spans="1:32">
      <c r="A1973" s="84"/>
      <c r="B1973" s="39"/>
      <c r="C1973" s="40"/>
      <c r="D1973" s="41"/>
      <c r="E1973" s="40"/>
      <c r="F1973" s="41"/>
      <c r="G1973" s="101"/>
      <c r="H1973" s="38"/>
      <c r="I1973" s="42"/>
      <c r="J1973" s="42"/>
      <c r="K1973" s="43"/>
      <c r="L1973" s="43"/>
      <c r="M1973" s="44" t="str">
        <f>IF(LayTable[[#This Row],[Sport]]="","",LayTable[[#This Row],[LayInnsats]]*(LayTable[[#This Row],[LayOdds]]-1))</f>
        <v/>
      </c>
      <c r="N1973" s="45" t="str">
        <f>IF(LayTable[[#This Row],[Sport]]="","",1/((1/LayTable[[#This Row],[BookieOdds]])+(1/((1/((1+((LayTable[[#This Row],[LayOdds]]-1)*(1+LayTable[[#This Row],[C% Lay]])))-1))+1)))-1)</f>
        <v/>
      </c>
      <c r="Q1973" s="46" t="str">
        <f>IF(LayTable[[#This Row],[Sport]]="","",LayTable[[#This Row],[BookieInnsats]]+LayTable[[#This Row],[LayLiability]])</f>
        <v/>
      </c>
      <c r="R19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3" s="47" t="str">
        <f>IF(LayTable[[#This Row],[Utfall bookie]]="","",LayTable[[#This Row],[WBABack]]+LayTable[[#This Row],[WBALay]]-LayTable[[#This Row],[Total inns]])</f>
        <v/>
      </c>
      <c r="U19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3" s="48" t="str">
        <f>IFERROR(IF(LayTable[[#This Row],[Total inns]]="","",LayTable[[#This Row],[Rback]]/LayTable[[#This Row],[Total inns]]),"")</f>
        <v/>
      </c>
      <c r="X1973" s="48" t="str">
        <f>IFERROR(IF(LayTable[[#This Row],[Total inns]]="","",LayTable[[#This Row],[Rlay]]/LayTable[[#This Row],[Total inns]]),"")</f>
        <v/>
      </c>
      <c r="Y1973" s="48" t="str">
        <f>IFERROR(LayTable[[#This Row],[Faktisk res]]/LayTable[[#This Row],[Total inns]],"")</f>
        <v/>
      </c>
      <c r="Z1973" s="47">
        <f>(LayTable[[#This Row],[BookieInnsats]]*LayTable[[#This Row],[BookieOdds]]-LayTable[[#This Row],[BookieInnsats]])*(1-LayTable[[#This Row],[C% Bookie]])</f>
        <v>0</v>
      </c>
      <c r="AA1973" s="43">
        <f>LayTable[[#This Row],[LayInnsats]]*(1-LayTable[[#This Row],[C% Lay]])</f>
        <v>0</v>
      </c>
      <c r="AB1973" s="43" t="str">
        <f>IFERROR(IF(LayTable[[#This Row],[Sport]]="",AB1972,LayTable[[#This Row],[Faktisk res]]+AB1972),"")</f>
        <v/>
      </c>
      <c r="AC1973" s="43">
        <f>(LayTable[[#This Row],[BackWin-Commission]]+LayTable[[#This Row],[BookieInnsats]])</f>
        <v>0</v>
      </c>
      <c r="AD1973" s="43" t="e">
        <f>(LayTable[[#This Row],[LayWin-Commission]])+LayTable[[#This Row],[LayLiability]]</f>
        <v>#VALUE!</v>
      </c>
      <c r="AE1973" s="43"/>
      <c r="AF1973" s="181"/>
    </row>
    <row r="1974" spans="1:32">
      <c r="A1974" s="84"/>
      <c r="B1974" s="39"/>
      <c r="C1974" s="40"/>
      <c r="D1974" s="41"/>
      <c r="E1974" s="40"/>
      <c r="F1974" s="41"/>
      <c r="G1974" s="101"/>
      <c r="H1974" s="38"/>
      <c r="I1974" s="42"/>
      <c r="J1974" s="42"/>
      <c r="K1974" s="43"/>
      <c r="L1974" s="43"/>
      <c r="M1974" s="44" t="str">
        <f>IF(LayTable[[#This Row],[Sport]]="","",LayTable[[#This Row],[LayInnsats]]*(LayTable[[#This Row],[LayOdds]]-1))</f>
        <v/>
      </c>
      <c r="N1974" s="45" t="str">
        <f>IF(LayTable[[#This Row],[Sport]]="","",1/((1/LayTable[[#This Row],[BookieOdds]])+(1/((1/((1+((LayTable[[#This Row],[LayOdds]]-1)*(1+LayTable[[#This Row],[C% Lay]])))-1))+1)))-1)</f>
        <v/>
      </c>
      <c r="Q1974" s="46" t="str">
        <f>IF(LayTable[[#This Row],[Sport]]="","",LayTable[[#This Row],[BookieInnsats]]+LayTable[[#This Row],[LayLiability]])</f>
        <v/>
      </c>
      <c r="R19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4" s="47" t="str">
        <f>IF(LayTable[[#This Row],[Utfall bookie]]="","",LayTable[[#This Row],[WBABack]]+LayTable[[#This Row],[WBALay]]-LayTable[[#This Row],[Total inns]])</f>
        <v/>
      </c>
      <c r="U19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4" s="48" t="str">
        <f>IFERROR(IF(LayTable[[#This Row],[Total inns]]="","",LayTable[[#This Row],[Rback]]/LayTable[[#This Row],[Total inns]]),"")</f>
        <v/>
      </c>
      <c r="X1974" s="48" t="str">
        <f>IFERROR(IF(LayTable[[#This Row],[Total inns]]="","",LayTable[[#This Row],[Rlay]]/LayTable[[#This Row],[Total inns]]),"")</f>
        <v/>
      </c>
      <c r="Y1974" s="48" t="str">
        <f>IFERROR(LayTable[[#This Row],[Faktisk res]]/LayTable[[#This Row],[Total inns]],"")</f>
        <v/>
      </c>
      <c r="Z1974" s="47">
        <f>(LayTable[[#This Row],[BookieInnsats]]*LayTable[[#This Row],[BookieOdds]]-LayTable[[#This Row],[BookieInnsats]])*(1-LayTable[[#This Row],[C% Bookie]])</f>
        <v>0</v>
      </c>
      <c r="AA1974" s="43">
        <f>LayTable[[#This Row],[LayInnsats]]*(1-LayTable[[#This Row],[C% Lay]])</f>
        <v>0</v>
      </c>
      <c r="AB1974" s="43" t="str">
        <f>IFERROR(IF(LayTable[[#This Row],[Sport]]="",AB1973,LayTable[[#This Row],[Faktisk res]]+AB1973),"")</f>
        <v/>
      </c>
      <c r="AC1974" s="43">
        <f>(LayTable[[#This Row],[BackWin-Commission]]+LayTable[[#This Row],[BookieInnsats]])</f>
        <v>0</v>
      </c>
      <c r="AD1974" s="43" t="e">
        <f>(LayTable[[#This Row],[LayWin-Commission]])+LayTable[[#This Row],[LayLiability]]</f>
        <v>#VALUE!</v>
      </c>
      <c r="AE1974" s="43"/>
      <c r="AF1974" s="181"/>
    </row>
    <row r="1975" spans="1:32">
      <c r="A1975" s="84"/>
      <c r="B1975" s="39"/>
      <c r="C1975" s="40"/>
      <c r="D1975" s="41"/>
      <c r="E1975" s="40"/>
      <c r="F1975" s="41"/>
      <c r="G1975" s="101"/>
      <c r="H1975" s="38"/>
      <c r="I1975" s="42"/>
      <c r="J1975" s="42"/>
      <c r="K1975" s="43"/>
      <c r="L1975" s="43"/>
      <c r="M1975" s="44" t="str">
        <f>IF(LayTable[[#This Row],[Sport]]="","",LayTable[[#This Row],[LayInnsats]]*(LayTable[[#This Row],[LayOdds]]-1))</f>
        <v/>
      </c>
      <c r="N1975" s="45" t="str">
        <f>IF(LayTable[[#This Row],[Sport]]="","",1/((1/LayTable[[#This Row],[BookieOdds]])+(1/((1/((1+((LayTable[[#This Row],[LayOdds]]-1)*(1+LayTable[[#This Row],[C% Lay]])))-1))+1)))-1)</f>
        <v/>
      </c>
      <c r="Q1975" s="46" t="str">
        <f>IF(LayTable[[#This Row],[Sport]]="","",LayTable[[#This Row],[BookieInnsats]]+LayTable[[#This Row],[LayLiability]])</f>
        <v/>
      </c>
      <c r="R19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5" s="47" t="str">
        <f>IF(LayTable[[#This Row],[Utfall bookie]]="","",LayTable[[#This Row],[WBABack]]+LayTable[[#This Row],[WBALay]]-LayTable[[#This Row],[Total inns]])</f>
        <v/>
      </c>
      <c r="U19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5" s="48" t="str">
        <f>IFERROR(IF(LayTable[[#This Row],[Total inns]]="","",LayTable[[#This Row],[Rback]]/LayTable[[#This Row],[Total inns]]),"")</f>
        <v/>
      </c>
      <c r="X1975" s="48" t="str">
        <f>IFERROR(IF(LayTable[[#This Row],[Total inns]]="","",LayTable[[#This Row],[Rlay]]/LayTable[[#This Row],[Total inns]]),"")</f>
        <v/>
      </c>
      <c r="Y1975" s="48" t="str">
        <f>IFERROR(LayTable[[#This Row],[Faktisk res]]/LayTable[[#This Row],[Total inns]],"")</f>
        <v/>
      </c>
      <c r="Z1975" s="47">
        <f>(LayTable[[#This Row],[BookieInnsats]]*LayTable[[#This Row],[BookieOdds]]-LayTable[[#This Row],[BookieInnsats]])*(1-LayTable[[#This Row],[C% Bookie]])</f>
        <v>0</v>
      </c>
      <c r="AA1975" s="43">
        <f>LayTable[[#This Row],[LayInnsats]]*(1-LayTable[[#This Row],[C% Lay]])</f>
        <v>0</v>
      </c>
      <c r="AB1975" s="43" t="str">
        <f>IFERROR(IF(LayTable[[#This Row],[Sport]]="",AB1974,LayTable[[#This Row],[Faktisk res]]+AB1974),"")</f>
        <v/>
      </c>
      <c r="AC1975" s="43">
        <f>(LayTable[[#This Row],[BackWin-Commission]]+LayTable[[#This Row],[BookieInnsats]])</f>
        <v>0</v>
      </c>
      <c r="AD1975" s="43" t="e">
        <f>(LayTable[[#This Row],[LayWin-Commission]])+LayTable[[#This Row],[LayLiability]]</f>
        <v>#VALUE!</v>
      </c>
      <c r="AE1975" s="43"/>
      <c r="AF1975" s="181"/>
    </row>
    <row r="1976" spans="1:32">
      <c r="A1976" s="84"/>
      <c r="B1976" s="39"/>
      <c r="C1976" s="40"/>
      <c r="D1976" s="41"/>
      <c r="E1976" s="40"/>
      <c r="F1976" s="41"/>
      <c r="G1976" s="101"/>
      <c r="H1976" s="38"/>
      <c r="I1976" s="42"/>
      <c r="J1976" s="42"/>
      <c r="K1976" s="43"/>
      <c r="L1976" s="43"/>
      <c r="M1976" s="44" t="str">
        <f>IF(LayTable[[#This Row],[Sport]]="","",LayTable[[#This Row],[LayInnsats]]*(LayTable[[#This Row],[LayOdds]]-1))</f>
        <v/>
      </c>
      <c r="N1976" s="45" t="str">
        <f>IF(LayTable[[#This Row],[Sport]]="","",1/((1/LayTable[[#This Row],[BookieOdds]])+(1/((1/((1+((LayTable[[#This Row],[LayOdds]]-1)*(1+LayTable[[#This Row],[C% Lay]])))-1))+1)))-1)</f>
        <v/>
      </c>
      <c r="Q1976" s="46" t="str">
        <f>IF(LayTable[[#This Row],[Sport]]="","",LayTable[[#This Row],[BookieInnsats]]+LayTable[[#This Row],[LayLiability]])</f>
        <v/>
      </c>
      <c r="R19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6" s="47" t="str">
        <f>IF(LayTable[[#This Row],[Utfall bookie]]="","",LayTable[[#This Row],[WBABack]]+LayTable[[#This Row],[WBALay]]-LayTable[[#This Row],[Total inns]])</f>
        <v/>
      </c>
      <c r="U19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6" s="48" t="str">
        <f>IFERROR(IF(LayTable[[#This Row],[Total inns]]="","",LayTable[[#This Row],[Rback]]/LayTable[[#This Row],[Total inns]]),"")</f>
        <v/>
      </c>
      <c r="X1976" s="48" t="str">
        <f>IFERROR(IF(LayTable[[#This Row],[Total inns]]="","",LayTable[[#This Row],[Rlay]]/LayTable[[#This Row],[Total inns]]),"")</f>
        <v/>
      </c>
      <c r="Y1976" s="48" t="str">
        <f>IFERROR(LayTable[[#This Row],[Faktisk res]]/LayTable[[#This Row],[Total inns]],"")</f>
        <v/>
      </c>
      <c r="Z1976" s="47">
        <f>(LayTable[[#This Row],[BookieInnsats]]*LayTable[[#This Row],[BookieOdds]]-LayTable[[#This Row],[BookieInnsats]])*(1-LayTable[[#This Row],[C% Bookie]])</f>
        <v>0</v>
      </c>
      <c r="AA1976" s="43">
        <f>LayTable[[#This Row],[LayInnsats]]*(1-LayTable[[#This Row],[C% Lay]])</f>
        <v>0</v>
      </c>
      <c r="AB1976" s="43" t="str">
        <f>IFERROR(IF(LayTable[[#This Row],[Sport]]="",AB1975,LayTable[[#This Row],[Faktisk res]]+AB1975),"")</f>
        <v/>
      </c>
      <c r="AC1976" s="43">
        <f>(LayTable[[#This Row],[BackWin-Commission]]+LayTable[[#This Row],[BookieInnsats]])</f>
        <v>0</v>
      </c>
      <c r="AD1976" s="43" t="e">
        <f>(LayTable[[#This Row],[LayWin-Commission]])+LayTable[[#This Row],[LayLiability]]</f>
        <v>#VALUE!</v>
      </c>
      <c r="AE1976" s="43"/>
      <c r="AF1976" s="181"/>
    </row>
    <row r="1977" spans="1:32">
      <c r="A1977" s="84"/>
      <c r="B1977" s="39"/>
      <c r="C1977" s="40"/>
      <c r="D1977" s="41"/>
      <c r="E1977" s="40"/>
      <c r="F1977" s="41"/>
      <c r="G1977" s="101"/>
      <c r="H1977" s="38"/>
      <c r="I1977" s="42"/>
      <c r="J1977" s="42"/>
      <c r="K1977" s="43"/>
      <c r="L1977" s="43"/>
      <c r="M1977" s="44" t="str">
        <f>IF(LayTable[[#This Row],[Sport]]="","",LayTable[[#This Row],[LayInnsats]]*(LayTable[[#This Row],[LayOdds]]-1))</f>
        <v/>
      </c>
      <c r="N1977" s="45" t="str">
        <f>IF(LayTable[[#This Row],[Sport]]="","",1/((1/LayTable[[#This Row],[BookieOdds]])+(1/((1/((1+((LayTable[[#This Row],[LayOdds]]-1)*(1+LayTable[[#This Row],[C% Lay]])))-1))+1)))-1)</f>
        <v/>
      </c>
      <c r="Q1977" s="46" t="str">
        <f>IF(LayTable[[#This Row],[Sport]]="","",LayTable[[#This Row],[BookieInnsats]]+LayTable[[#This Row],[LayLiability]])</f>
        <v/>
      </c>
      <c r="R19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7" s="47" t="str">
        <f>IF(LayTable[[#This Row],[Utfall bookie]]="","",LayTable[[#This Row],[WBABack]]+LayTable[[#This Row],[WBALay]]-LayTable[[#This Row],[Total inns]])</f>
        <v/>
      </c>
      <c r="U19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7" s="48" t="str">
        <f>IFERROR(IF(LayTable[[#This Row],[Total inns]]="","",LayTable[[#This Row],[Rback]]/LayTable[[#This Row],[Total inns]]),"")</f>
        <v/>
      </c>
      <c r="X1977" s="48" t="str">
        <f>IFERROR(IF(LayTable[[#This Row],[Total inns]]="","",LayTable[[#This Row],[Rlay]]/LayTable[[#This Row],[Total inns]]),"")</f>
        <v/>
      </c>
      <c r="Y1977" s="48" t="str">
        <f>IFERROR(LayTable[[#This Row],[Faktisk res]]/LayTable[[#This Row],[Total inns]],"")</f>
        <v/>
      </c>
      <c r="Z1977" s="47">
        <f>(LayTable[[#This Row],[BookieInnsats]]*LayTable[[#This Row],[BookieOdds]]-LayTable[[#This Row],[BookieInnsats]])*(1-LayTable[[#This Row],[C% Bookie]])</f>
        <v>0</v>
      </c>
      <c r="AA1977" s="43">
        <f>LayTable[[#This Row],[LayInnsats]]*(1-LayTable[[#This Row],[C% Lay]])</f>
        <v>0</v>
      </c>
      <c r="AB1977" s="43" t="str">
        <f>IFERROR(IF(LayTable[[#This Row],[Sport]]="",AB1976,LayTable[[#This Row],[Faktisk res]]+AB1976),"")</f>
        <v/>
      </c>
      <c r="AC1977" s="43">
        <f>(LayTable[[#This Row],[BackWin-Commission]]+LayTable[[#This Row],[BookieInnsats]])</f>
        <v>0</v>
      </c>
      <c r="AD1977" s="43" t="e">
        <f>(LayTable[[#This Row],[LayWin-Commission]])+LayTable[[#This Row],[LayLiability]]</f>
        <v>#VALUE!</v>
      </c>
      <c r="AE1977" s="43"/>
      <c r="AF1977" s="181"/>
    </row>
    <row r="1978" spans="1:32">
      <c r="A1978" s="84"/>
      <c r="B1978" s="39"/>
      <c r="C1978" s="40"/>
      <c r="D1978" s="41"/>
      <c r="E1978" s="40"/>
      <c r="F1978" s="41"/>
      <c r="G1978" s="101"/>
      <c r="H1978" s="38"/>
      <c r="I1978" s="42"/>
      <c r="J1978" s="42"/>
      <c r="K1978" s="43"/>
      <c r="L1978" s="43"/>
      <c r="M1978" s="44" t="str">
        <f>IF(LayTable[[#This Row],[Sport]]="","",LayTable[[#This Row],[LayInnsats]]*(LayTable[[#This Row],[LayOdds]]-1))</f>
        <v/>
      </c>
      <c r="N1978" s="45" t="str">
        <f>IF(LayTable[[#This Row],[Sport]]="","",1/((1/LayTable[[#This Row],[BookieOdds]])+(1/((1/((1+((LayTable[[#This Row],[LayOdds]]-1)*(1+LayTable[[#This Row],[C% Lay]])))-1))+1)))-1)</f>
        <v/>
      </c>
      <c r="Q1978" s="46" t="str">
        <f>IF(LayTable[[#This Row],[Sport]]="","",LayTable[[#This Row],[BookieInnsats]]+LayTable[[#This Row],[LayLiability]])</f>
        <v/>
      </c>
      <c r="R19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8" s="47" t="str">
        <f>IF(LayTable[[#This Row],[Utfall bookie]]="","",LayTable[[#This Row],[WBABack]]+LayTable[[#This Row],[WBALay]]-LayTable[[#This Row],[Total inns]])</f>
        <v/>
      </c>
      <c r="U19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8" s="48" t="str">
        <f>IFERROR(IF(LayTable[[#This Row],[Total inns]]="","",LayTable[[#This Row],[Rback]]/LayTable[[#This Row],[Total inns]]),"")</f>
        <v/>
      </c>
      <c r="X1978" s="48" t="str">
        <f>IFERROR(IF(LayTable[[#This Row],[Total inns]]="","",LayTable[[#This Row],[Rlay]]/LayTable[[#This Row],[Total inns]]),"")</f>
        <v/>
      </c>
      <c r="Y1978" s="48" t="str">
        <f>IFERROR(LayTable[[#This Row],[Faktisk res]]/LayTable[[#This Row],[Total inns]],"")</f>
        <v/>
      </c>
      <c r="Z1978" s="47">
        <f>(LayTable[[#This Row],[BookieInnsats]]*LayTable[[#This Row],[BookieOdds]]-LayTable[[#This Row],[BookieInnsats]])*(1-LayTable[[#This Row],[C% Bookie]])</f>
        <v>0</v>
      </c>
      <c r="AA1978" s="43">
        <f>LayTable[[#This Row],[LayInnsats]]*(1-LayTable[[#This Row],[C% Lay]])</f>
        <v>0</v>
      </c>
      <c r="AB1978" s="43" t="str">
        <f>IFERROR(IF(LayTable[[#This Row],[Sport]]="",AB1977,LayTable[[#This Row],[Faktisk res]]+AB1977),"")</f>
        <v/>
      </c>
      <c r="AC1978" s="43">
        <f>(LayTable[[#This Row],[BackWin-Commission]]+LayTable[[#This Row],[BookieInnsats]])</f>
        <v>0</v>
      </c>
      <c r="AD1978" s="43" t="e">
        <f>(LayTable[[#This Row],[LayWin-Commission]])+LayTable[[#This Row],[LayLiability]]</f>
        <v>#VALUE!</v>
      </c>
      <c r="AE1978" s="43"/>
      <c r="AF1978" s="181"/>
    </row>
    <row r="1979" spans="1:32">
      <c r="A1979" s="84"/>
      <c r="B1979" s="39"/>
      <c r="C1979" s="40"/>
      <c r="D1979" s="41"/>
      <c r="E1979" s="40"/>
      <c r="F1979" s="41"/>
      <c r="G1979" s="101"/>
      <c r="H1979" s="38"/>
      <c r="I1979" s="42"/>
      <c r="J1979" s="42"/>
      <c r="K1979" s="43"/>
      <c r="L1979" s="43"/>
      <c r="M1979" s="44" t="str">
        <f>IF(LayTable[[#This Row],[Sport]]="","",LayTable[[#This Row],[LayInnsats]]*(LayTable[[#This Row],[LayOdds]]-1))</f>
        <v/>
      </c>
      <c r="N1979" s="45" t="str">
        <f>IF(LayTable[[#This Row],[Sport]]="","",1/((1/LayTable[[#This Row],[BookieOdds]])+(1/((1/((1+((LayTable[[#This Row],[LayOdds]]-1)*(1+LayTable[[#This Row],[C% Lay]])))-1))+1)))-1)</f>
        <v/>
      </c>
      <c r="Q1979" s="46" t="str">
        <f>IF(LayTable[[#This Row],[Sport]]="","",LayTable[[#This Row],[BookieInnsats]]+LayTable[[#This Row],[LayLiability]])</f>
        <v/>
      </c>
      <c r="R19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79" s="47" t="str">
        <f>IF(LayTable[[#This Row],[Utfall bookie]]="","",LayTable[[#This Row],[WBABack]]+LayTable[[#This Row],[WBALay]]-LayTable[[#This Row],[Total inns]])</f>
        <v/>
      </c>
      <c r="U19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79" s="48" t="str">
        <f>IFERROR(IF(LayTable[[#This Row],[Total inns]]="","",LayTable[[#This Row],[Rback]]/LayTable[[#This Row],[Total inns]]),"")</f>
        <v/>
      </c>
      <c r="X1979" s="48" t="str">
        <f>IFERROR(IF(LayTable[[#This Row],[Total inns]]="","",LayTable[[#This Row],[Rlay]]/LayTable[[#This Row],[Total inns]]),"")</f>
        <v/>
      </c>
      <c r="Y1979" s="48" t="str">
        <f>IFERROR(LayTable[[#This Row],[Faktisk res]]/LayTable[[#This Row],[Total inns]],"")</f>
        <v/>
      </c>
      <c r="Z1979" s="47">
        <f>(LayTable[[#This Row],[BookieInnsats]]*LayTable[[#This Row],[BookieOdds]]-LayTable[[#This Row],[BookieInnsats]])*(1-LayTable[[#This Row],[C% Bookie]])</f>
        <v>0</v>
      </c>
      <c r="AA1979" s="43">
        <f>LayTable[[#This Row],[LayInnsats]]*(1-LayTable[[#This Row],[C% Lay]])</f>
        <v>0</v>
      </c>
      <c r="AB1979" s="43" t="str">
        <f>IFERROR(IF(LayTable[[#This Row],[Sport]]="",AB1978,LayTable[[#This Row],[Faktisk res]]+AB1978),"")</f>
        <v/>
      </c>
      <c r="AC1979" s="43">
        <f>(LayTable[[#This Row],[BackWin-Commission]]+LayTable[[#This Row],[BookieInnsats]])</f>
        <v>0</v>
      </c>
      <c r="AD1979" s="43" t="e">
        <f>(LayTable[[#This Row],[LayWin-Commission]])+LayTable[[#This Row],[LayLiability]]</f>
        <v>#VALUE!</v>
      </c>
      <c r="AE1979" s="43"/>
      <c r="AF1979" s="181"/>
    </row>
    <row r="1980" spans="1:32">
      <c r="A1980" s="84"/>
      <c r="B1980" s="39"/>
      <c r="C1980" s="40"/>
      <c r="D1980" s="41"/>
      <c r="E1980" s="40"/>
      <c r="F1980" s="41"/>
      <c r="G1980" s="101"/>
      <c r="H1980" s="38"/>
      <c r="I1980" s="42"/>
      <c r="J1980" s="42"/>
      <c r="K1980" s="43"/>
      <c r="L1980" s="43"/>
      <c r="M1980" s="44" t="str">
        <f>IF(LayTable[[#This Row],[Sport]]="","",LayTable[[#This Row],[LayInnsats]]*(LayTable[[#This Row],[LayOdds]]-1))</f>
        <v/>
      </c>
      <c r="N1980" s="45" t="str">
        <f>IF(LayTable[[#This Row],[Sport]]="","",1/((1/LayTable[[#This Row],[BookieOdds]])+(1/((1/((1+((LayTable[[#This Row],[LayOdds]]-1)*(1+LayTable[[#This Row],[C% Lay]])))-1))+1)))-1)</f>
        <v/>
      </c>
      <c r="Q1980" s="46" t="str">
        <f>IF(LayTable[[#This Row],[Sport]]="","",LayTable[[#This Row],[BookieInnsats]]+LayTable[[#This Row],[LayLiability]])</f>
        <v/>
      </c>
      <c r="R19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0" s="47" t="str">
        <f>IF(LayTable[[#This Row],[Utfall bookie]]="","",LayTable[[#This Row],[WBABack]]+LayTable[[#This Row],[WBALay]]-LayTable[[#This Row],[Total inns]])</f>
        <v/>
      </c>
      <c r="U19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0" s="48" t="str">
        <f>IFERROR(IF(LayTable[[#This Row],[Total inns]]="","",LayTable[[#This Row],[Rback]]/LayTable[[#This Row],[Total inns]]),"")</f>
        <v/>
      </c>
      <c r="X1980" s="48" t="str">
        <f>IFERROR(IF(LayTable[[#This Row],[Total inns]]="","",LayTable[[#This Row],[Rlay]]/LayTable[[#This Row],[Total inns]]),"")</f>
        <v/>
      </c>
      <c r="Y1980" s="48" t="str">
        <f>IFERROR(LayTable[[#This Row],[Faktisk res]]/LayTable[[#This Row],[Total inns]],"")</f>
        <v/>
      </c>
      <c r="Z1980" s="47">
        <f>(LayTable[[#This Row],[BookieInnsats]]*LayTable[[#This Row],[BookieOdds]]-LayTable[[#This Row],[BookieInnsats]])*(1-LayTable[[#This Row],[C% Bookie]])</f>
        <v>0</v>
      </c>
      <c r="AA1980" s="43">
        <f>LayTable[[#This Row],[LayInnsats]]*(1-LayTable[[#This Row],[C% Lay]])</f>
        <v>0</v>
      </c>
      <c r="AB1980" s="43" t="str">
        <f>IFERROR(IF(LayTable[[#This Row],[Sport]]="",AB1979,LayTable[[#This Row],[Faktisk res]]+AB1979),"")</f>
        <v/>
      </c>
      <c r="AC1980" s="43">
        <f>(LayTable[[#This Row],[BackWin-Commission]]+LayTable[[#This Row],[BookieInnsats]])</f>
        <v>0</v>
      </c>
      <c r="AD1980" s="43" t="e">
        <f>(LayTable[[#This Row],[LayWin-Commission]])+LayTable[[#This Row],[LayLiability]]</f>
        <v>#VALUE!</v>
      </c>
      <c r="AE1980" s="43"/>
      <c r="AF1980" s="181"/>
    </row>
    <row r="1981" spans="1:32">
      <c r="A1981" s="84"/>
      <c r="B1981" s="39"/>
      <c r="C1981" s="40"/>
      <c r="D1981" s="41"/>
      <c r="E1981" s="40"/>
      <c r="F1981" s="41"/>
      <c r="G1981" s="101"/>
      <c r="H1981" s="38"/>
      <c r="I1981" s="42"/>
      <c r="J1981" s="42"/>
      <c r="K1981" s="43"/>
      <c r="L1981" s="43"/>
      <c r="M1981" s="44" t="str">
        <f>IF(LayTable[[#This Row],[Sport]]="","",LayTable[[#This Row],[LayInnsats]]*(LayTable[[#This Row],[LayOdds]]-1))</f>
        <v/>
      </c>
      <c r="N1981" s="45" t="str">
        <f>IF(LayTable[[#This Row],[Sport]]="","",1/((1/LayTable[[#This Row],[BookieOdds]])+(1/((1/((1+((LayTable[[#This Row],[LayOdds]]-1)*(1+LayTable[[#This Row],[C% Lay]])))-1))+1)))-1)</f>
        <v/>
      </c>
      <c r="Q1981" s="46" t="str">
        <f>IF(LayTable[[#This Row],[Sport]]="","",LayTable[[#This Row],[BookieInnsats]]+LayTable[[#This Row],[LayLiability]])</f>
        <v/>
      </c>
      <c r="R19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1" s="47" t="str">
        <f>IF(LayTable[[#This Row],[Utfall bookie]]="","",LayTable[[#This Row],[WBABack]]+LayTable[[#This Row],[WBALay]]-LayTable[[#This Row],[Total inns]])</f>
        <v/>
      </c>
      <c r="U19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1" s="48" t="str">
        <f>IFERROR(IF(LayTable[[#This Row],[Total inns]]="","",LayTable[[#This Row],[Rback]]/LayTable[[#This Row],[Total inns]]),"")</f>
        <v/>
      </c>
      <c r="X1981" s="48" t="str">
        <f>IFERROR(IF(LayTable[[#This Row],[Total inns]]="","",LayTable[[#This Row],[Rlay]]/LayTable[[#This Row],[Total inns]]),"")</f>
        <v/>
      </c>
      <c r="Y1981" s="48" t="str">
        <f>IFERROR(LayTable[[#This Row],[Faktisk res]]/LayTable[[#This Row],[Total inns]],"")</f>
        <v/>
      </c>
      <c r="Z1981" s="47">
        <f>(LayTable[[#This Row],[BookieInnsats]]*LayTable[[#This Row],[BookieOdds]]-LayTable[[#This Row],[BookieInnsats]])*(1-LayTable[[#This Row],[C% Bookie]])</f>
        <v>0</v>
      </c>
      <c r="AA1981" s="43">
        <f>LayTable[[#This Row],[LayInnsats]]*(1-LayTable[[#This Row],[C% Lay]])</f>
        <v>0</v>
      </c>
      <c r="AB1981" s="43" t="str">
        <f>IFERROR(IF(LayTable[[#This Row],[Sport]]="",AB1980,LayTable[[#This Row],[Faktisk res]]+AB1980),"")</f>
        <v/>
      </c>
      <c r="AC1981" s="43">
        <f>(LayTable[[#This Row],[BackWin-Commission]]+LayTable[[#This Row],[BookieInnsats]])</f>
        <v>0</v>
      </c>
      <c r="AD1981" s="43" t="e">
        <f>(LayTable[[#This Row],[LayWin-Commission]])+LayTable[[#This Row],[LayLiability]]</f>
        <v>#VALUE!</v>
      </c>
      <c r="AE1981" s="43"/>
      <c r="AF1981" s="181"/>
    </row>
    <row r="1982" spans="1:32">
      <c r="A1982" s="84"/>
      <c r="B1982" s="39"/>
      <c r="C1982" s="40"/>
      <c r="D1982" s="41"/>
      <c r="E1982" s="40"/>
      <c r="F1982" s="41"/>
      <c r="G1982" s="101"/>
      <c r="H1982" s="38"/>
      <c r="I1982" s="42"/>
      <c r="J1982" s="42"/>
      <c r="K1982" s="43"/>
      <c r="L1982" s="43"/>
      <c r="M1982" s="44" t="str">
        <f>IF(LayTable[[#This Row],[Sport]]="","",LayTable[[#This Row],[LayInnsats]]*(LayTable[[#This Row],[LayOdds]]-1))</f>
        <v/>
      </c>
      <c r="N1982" s="45" t="str">
        <f>IF(LayTable[[#This Row],[Sport]]="","",1/((1/LayTable[[#This Row],[BookieOdds]])+(1/((1/((1+((LayTable[[#This Row],[LayOdds]]-1)*(1+LayTable[[#This Row],[C% Lay]])))-1))+1)))-1)</f>
        <v/>
      </c>
      <c r="Q1982" s="46" t="str">
        <f>IF(LayTable[[#This Row],[Sport]]="","",LayTable[[#This Row],[BookieInnsats]]+LayTable[[#This Row],[LayLiability]])</f>
        <v/>
      </c>
      <c r="R19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2" s="47" t="str">
        <f>IF(LayTable[[#This Row],[Utfall bookie]]="","",LayTable[[#This Row],[WBABack]]+LayTable[[#This Row],[WBALay]]-LayTable[[#This Row],[Total inns]])</f>
        <v/>
      </c>
      <c r="U19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2" s="48" t="str">
        <f>IFERROR(IF(LayTable[[#This Row],[Total inns]]="","",LayTable[[#This Row],[Rback]]/LayTable[[#This Row],[Total inns]]),"")</f>
        <v/>
      </c>
      <c r="X1982" s="48" t="str">
        <f>IFERROR(IF(LayTable[[#This Row],[Total inns]]="","",LayTable[[#This Row],[Rlay]]/LayTable[[#This Row],[Total inns]]),"")</f>
        <v/>
      </c>
      <c r="Y1982" s="48" t="str">
        <f>IFERROR(LayTable[[#This Row],[Faktisk res]]/LayTable[[#This Row],[Total inns]],"")</f>
        <v/>
      </c>
      <c r="Z1982" s="47">
        <f>(LayTable[[#This Row],[BookieInnsats]]*LayTable[[#This Row],[BookieOdds]]-LayTable[[#This Row],[BookieInnsats]])*(1-LayTable[[#This Row],[C% Bookie]])</f>
        <v>0</v>
      </c>
      <c r="AA1982" s="43">
        <f>LayTable[[#This Row],[LayInnsats]]*(1-LayTable[[#This Row],[C% Lay]])</f>
        <v>0</v>
      </c>
      <c r="AB1982" s="43" t="str">
        <f>IFERROR(IF(LayTable[[#This Row],[Sport]]="",AB1981,LayTable[[#This Row],[Faktisk res]]+AB1981),"")</f>
        <v/>
      </c>
      <c r="AC1982" s="43">
        <f>(LayTable[[#This Row],[BackWin-Commission]]+LayTable[[#This Row],[BookieInnsats]])</f>
        <v>0</v>
      </c>
      <c r="AD1982" s="43" t="e">
        <f>(LayTable[[#This Row],[LayWin-Commission]])+LayTable[[#This Row],[LayLiability]]</f>
        <v>#VALUE!</v>
      </c>
      <c r="AE1982" s="43"/>
      <c r="AF1982" s="181"/>
    </row>
    <row r="1983" spans="1:32">
      <c r="A1983" s="84"/>
      <c r="B1983" s="39"/>
      <c r="C1983" s="40"/>
      <c r="D1983" s="41"/>
      <c r="E1983" s="40"/>
      <c r="F1983" s="41"/>
      <c r="G1983" s="101"/>
      <c r="H1983" s="38"/>
      <c r="I1983" s="42"/>
      <c r="J1983" s="42"/>
      <c r="K1983" s="43"/>
      <c r="L1983" s="43"/>
      <c r="M1983" s="44" t="str">
        <f>IF(LayTable[[#This Row],[Sport]]="","",LayTable[[#This Row],[LayInnsats]]*(LayTable[[#This Row],[LayOdds]]-1))</f>
        <v/>
      </c>
      <c r="N1983" s="45" t="str">
        <f>IF(LayTable[[#This Row],[Sport]]="","",1/((1/LayTable[[#This Row],[BookieOdds]])+(1/((1/((1+((LayTable[[#This Row],[LayOdds]]-1)*(1+LayTable[[#This Row],[C% Lay]])))-1))+1)))-1)</f>
        <v/>
      </c>
      <c r="Q1983" s="46" t="str">
        <f>IF(LayTable[[#This Row],[Sport]]="","",LayTable[[#This Row],[BookieInnsats]]+LayTable[[#This Row],[LayLiability]])</f>
        <v/>
      </c>
      <c r="R19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3" s="47" t="str">
        <f>IF(LayTable[[#This Row],[Utfall bookie]]="","",LayTable[[#This Row],[WBABack]]+LayTable[[#This Row],[WBALay]]-LayTable[[#This Row],[Total inns]])</f>
        <v/>
      </c>
      <c r="U19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3" s="48" t="str">
        <f>IFERROR(IF(LayTable[[#This Row],[Total inns]]="","",LayTable[[#This Row],[Rback]]/LayTable[[#This Row],[Total inns]]),"")</f>
        <v/>
      </c>
      <c r="X1983" s="48" t="str">
        <f>IFERROR(IF(LayTable[[#This Row],[Total inns]]="","",LayTable[[#This Row],[Rlay]]/LayTable[[#This Row],[Total inns]]),"")</f>
        <v/>
      </c>
      <c r="Y1983" s="48" t="str">
        <f>IFERROR(LayTable[[#This Row],[Faktisk res]]/LayTable[[#This Row],[Total inns]],"")</f>
        <v/>
      </c>
      <c r="Z1983" s="47">
        <f>(LayTable[[#This Row],[BookieInnsats]]*LayTable[[#This Row],[BookieOdds]]-LayTable[[#This Row],[BookieInnsats]])*(1-LayTable[[#This Row],[C% Bookie]])</f>
        <v>0</v>
      </c>
      <c r="AA1983" s="43">
        <f>LayTable[[#This Row],[LayInnsats]]*(1-LayTable[[#This Row],[C% Lay]])</f>
        <v>0</v>
      </c>
      <c r="AB1983" s="43" t="str">
        <f>IFERROR(IF(LayTable[[#This Row],[Sport]]="",AB1982,LayTable[[#This Row],[Faktisk res]]+AB1982),"")</f>
        <v/>
      </c>
      <c r="AC1983" s="43">
        <f>(LayTable[[#This Row],[BackWin-Commission]]+LayTable[[#This Row],[BookieInnsats]])</f>
        <v>0</v>
      </c>
      <c r="AD1983" s="43" t="e">
        <f>(LayTable[[#This Row],[LayWin-Commission]])+LayTable[[#This Row],[LayLiability]]</f>
        <v>#VALUE!</v>
      </c>
      <c r="AE1983" s="43"/>
      <c r="AF1983" s="181"/>
    </row>
    <row r="1984" spans="1:32">
      <c r="A1984" s="84"/>
      <c r="B1984" s="39"/>
      <c r="C1984" s="40"/>
      <c r="D1984" s="41"/>
      <c r="E1984" s="40"/>
      <c r="F1984" s="41"/>
      <c r="G1984" s="101"/>
      <c r="H1984" s="38"/>
      <c r="I1984" s="42"/>
      <c r="J1984" s="42"/>
      <c r="K1984" s="43"/>
      <c r="L1984" s="43"/>
      <c r="M1984" s="44" t="str">
        <f>IF(LayTable[[#This Row],[Sport]]="","",LayTable[[#This Row],[LayInnsats]]*(LayTable[[#This Row],[LayOdds]]-1))</f>
        <v/>
      </c>
      <c r="N1984" s="45" t="str">
        <f>IF(LayTable[[#This Row],[Sport]]="","",1/((1/LayTable[[#This Row],[BookieOdds]])+(1/((1/((1+((LayTable[[#This Row],[LayOdds]]-1)*(1+LayTable[[#This Row],[C% Lay]])))-1))+1)))-1)</f>
        <v/>
      </c>
      <c r="Q1984" s="46" t="str">
        <f>IF(LayTable[[#This Row],[Sport]]="","",LayTable[[#This Row],[BookieInnsats]]+LayTable[[#This Row],[LayLiability]])</f>
        <v/>
      </c>
      <c r="R19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4" s="47" t="str">
        <f>IF(LayTable[[#This Row],[Utfall bookie]]="","",LayTable[[#This Row],[WBABack]]+LayTable[[#This Row],[WBALay]]-LayTable[[#This Row],[Total inns]])</f>
        <v/>
      </c>
      <c r="U19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4" s="48" t="str">
        <f>IFERROR(IF(LayTable[[#This Row],[Total inns]]="","",LayTable[[#This Row],[Rback]]/LayTable[[#This Row],[Total inns]]),"")</f>
        <v/>
      </c>
      <c r="X1984" s="48" t="str">
        <f>IFERROR(IF(LayTable[[#This Row],[Total inns]]="","",LayTable[[#This Row],[Rlay]]/LayTable[[#This Row],[Total inns]]),"")</f>
        <v/>
      </c>
      <c r="Y1984" s="48" t="str">
        <f>IFERROR(LayTable[[#This Row],[Faktisk res]]/LayTable[[#This Row],[Total inns]],"")</f>
        <v/>
      </c>
      <c r="Z1984" s="47">
        <f>(LayTable[[#This Row],[BookieInnsats]]*LayTable[[#This Row],[BookieOdds]]-LayTable[[#This Row],[BookieInnsats]])*(1-LayTable[[#This Row],[C% Bookie]])</f>
        <v>0</v>
      </c>
      <c r="AA1984" s="43">
        <f>LayTable[[#This Row],[LayInnsats]]*(1-LayTable[[#This Row],[C% Lay]])</f>
        <v>0</v>
      </c>
      <c r="AB1984" s="43" t="str">
        <f>IFERROR(IF(LayTable[[#This Row],[Sport]]="",AB1983,LayTable[[#This Row],[Faktisk res]]+AB1983),"")</f>
        <v/>
      </c>
      <c r="AC1984" s="43">
        <f>(LayTable[[#This Row],[BackWin-Commission]]+LayTable[[#This Row],[BookieInnsats]])</f>
        <v>0</v>
      </c>
      <c r="AD1984" s="43" t="e">
        <f>(LayTable[[#This Row],[LayWin-Commission]])+LayTable[[#This Row],[LayLiability]]</f>
        <v>#VALUE!</v>
      </c>
      <c r="AE1984" s="43"/>
      <c r="AF1984" s="181"/>
    </row>
    <row r="1985" spans="1:32">
      <c r="A1985" s="84"/>
      <c r="B1985" s="39"/>
      <c r="C1985" s="40"/>
      <c r="D1985" s="41"/>
      <c r="E1985" s="40"/>
      <c r="F1985" s="41"/>
      <c r="G1985" s="101"/>
      <c r="H1985" s="38"/>
      <c r="I1985" s="42"/>
      <c r="J1985" s="42"/>
      <c r="K1985" s="43"/>
      <c r="L1985" s="43"/>
      <c r="M1985" s="44" t="str">
        <f>IF(LayTable[[#This Row],[Sport]]="","",LayTable[[#This Row],[LayInnsats]]*(LayTable[[#This Row],[LayOdds]]-1))</f>
        <v/>
      </c>
      <c r="N1985" s="45" t="str">
        <f>IF(LayTable[[#This Row],[Sport]]="","",1/((1/LayTable[[#This Row],[BookieOdds]])+(1/((1/((1+((LayTable[[#This Row],[LayOdds]]-1)*(1+LayTable[[#This Row],[C% Lay]])))-1))+1)))-1)</f>
        <v/>
      </c>
      <c r="Q1985" s="46" t="str">
        <f>IF(LayTable[[#This Row],[Sport]]="","",LayTable[[#This Row],[BookieInnsats]]+LayTable[[#This Row],[LayLiability]])</f>
        <v/>
      </c>
      <c r="R19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5" s="47" t="str">
        <f>IF(LayTable[[#This Row],[Utfall bookie]]="","",LayTable[[#This Row],[WBABack]]+LayTable[[#This Row],[WBALay]]-LayTable[[#This Row],[Total inns]])</f>
        <v/>
      </c>
      <c r="U19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5" s="48" t="str">
        <f>IFERROR(IF(LayTable[[#This Row],[Total inns]]="","",LayTable[[#This Row],[Rback]]/LayTable[[#This Row],[Total inns]]),"")</f>
        <v/>
      </c>
      <c r="X1985" s="48" t="str">
        <f>IFERROR(IF(LayTable[[#This Row],[Total inns]]="","",LayTable[[#This Row],[Rlay]]/LayTable[[#This Row],[Total inns]]),"")</f>
        <v/>
      </c>
      <c r="Y1985" s="48" t="str">
        <f>IFERROR(LayTable[[#This Row],[Faktisk res]]/LayTable[[#This Row],[Total inns]],"")</f>
        <v/>
      </c>
      <c r="Z1985" s="47">
        <f>(LayTable[[#This Row],[BookieInnsats]]*LayTable[[#This Row],[BookieOdds]]-LayTable[[#This Row],[BookieInnsats]])*(1-LayTable[[#This Row],[C% Bookie]])</f>
        <v>0</v>
      </c>
      <c r="AA1985" s="43">
        <f>LayTable[[#This Row],[LayInnsats]]*(1-LayTable[[#This Row],[C% Lay]])</f>
        <v>0</v>
      </c>
      <c r="AB1985" s="43" t="str">
        <f>IFERROR(IF(LayTable[[#This Row],[Sport]]="",AB1984,LayTable[[#This Row],[Faktisk res]]+AB1984),"")</f>
        <v/>
      </c>
      <c r="AC1985" s="43">
        <f>(LayTable[[#This Row],[BackWin-Commission]]+LayTable[[#This Row],[BookieInnsats]])</f>
        <v>0</v>
      </c>
      <c r="AD1985" s="43" t="e">
        <f>(LayTable[[#This Row],[LayWin-Commission]])+LayTable[[#This Row],[LayLiability]]</f>
        <v>#VALUE!</v>
      </c>
      <c r="AE1985" s="43"/>
      <c r="AF1985" s="181"/>
    </row>
    <row r="1986" spans="1:32">
      <c r="A1986" s="84"/>
      <c r="B1986" s="39"/>
      <c r="C1986" s="40"/>
      <c r="D1986" s="41"/>
      <c r="E1986" s="40"/>
      <c r="F1986" s="41"/>
      <c r="G1986" s="101"/>
      <c r="H1986" s="38"/>
      <c r="I1986" s="42"/>
      <c r="J1986" s="42"/>
      <c r="K1986" s="43"/>
      <c r="L1986" s="43"/>
      <c r="M1986" s="44" t="str">
        <f>IF(LayTable[[#This Row],[Sport]]="","",LayTable[[#This Row],[LayInnsats]]*(LayTable[[#This Row],[LayOdds]]-1))</f>
        <v/>
      </c>
      <c r="N1986" s="45" t="str">
        <f>IF(LayTable[[#This Row],[Sport]]="","",1/((1/LayTable[[#This Row],[BookieOdds]])+(1/((1/((1+((LayTable[[#This Row],[LayOdds]]-1)*(1+LayTable[[#This Row],[C% Lay]])))-1))+1)))-1)</f>
        <v/>
      </c>
      <c r="Q1986" s="46" t="str">
        <f>IF(LayTable[[#This Row],[Sport]]="","",LayTable[[#This Row],[BookieInnsats]]+LayTable[[#This Row],[LayLiability]])</f>
        <v/>
      </c>
      <c r="R19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6" s="47" t="str">
        <f>IF(LayTable[[#This Row],[Utfall bookie]]="","",LayTable[[#This Row],[WBABack]]+LayTable[[#This Row],[WBALay]]-LayTable[[#This Row],[Total inns]])</f>
        <v/>
      </c>
      <c r="U19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6" s="48" t="str">
        <f>IFERROR(IF(LayTable[[#This Row],[Total inns]]="","",LayTable[[#This Row],[Rback]]/LayTable[[#This Row],[Total inns]]),"")</f>
        <v/>
      </c>
      <c r="X1986" s="48" t="str">
        <f>IFERROR(IF(LayTable[[#This Row],[Total inns]]="","",LayTable[[#This Row],[Rlay]]/LayTable[[#This Row],[Total inns]]),"")</f>
        <v/>
      </c>
      <c r="Y1986" s="48" t="str">
        <f>IFERROR(LayTable[[#This Row],[Faktisk res]]/LayTable[[#This Row],[Total inns]],"")</f>
        <v/>
      </c>
      <c r="Z1986" s="47">
        <f>(LayTable[[#This Row],[BookieInnsats]]*LayTable[[#This Row],[BookieOdds]]-LayTable[[#This Row],[BookieInnsats]])*(1-LayTable[[#This Row],[C% Bookie]])</f>
        <v>0</v>
      </c>
      <c r="AA1986" s="43">
        <f>LayTable[[#This Row],[LayInnsats]]*(1-LayTable[[#This Row],[C% Lay]])</f>
        <v>0</v>
      </c>
      <c r="AB1986" s="43" t="str">
        <f>IFERROR(IF(LayTable[[#This Row],[Sport]]="",AB1985,LayTable[[#This Row],[Faktisk res]]+AB1985),"")</f>
        <v/>
      </c>
      <c r="AC1986" s="43">
        <f>(LayTable[[#This Row],[BackWin-Commission]]+LayTable[[#This Row],[BookieInnsats]])</f>
        <v>0</v>
      </c>
      <c r="AD1986" s="43" t="e">
        <f>(LayTable[[#This Row],[LayWin-Commission]])+LayTable[[#This Row],[LayLiability]]</f>
        <v>#VALUE!</v>
      </c>
      <c r="AE1986" s="43"/>
      <c r="AF1986" s="181"/>
    </row>
    <row r="1987" spans="1:32">
      <c r="A1987" s="84"/>
      <c r="B1987" s="39"/>
      <c r="C1987" s="40"/>
      <c r="D1987" s="41"/>
      <c r="E1987" s="40"/>
      <c r="F1987" s="41"/>
      <c r="G1987" s="101"/>
      <c r="H1987" s="38"/>
      <c r="I1987" s="42"/>
      <c r="J1987" s="42"/>
      <c r="K1987" s="43"/>
      <c r="L1987" s="43"/>
      <c r="M1987" s="44" t="str">
        <f>IF(LayTable[[#This Row],[Sport]]="","",LayTable[[#This Row],[LayInnsats]]*(LayTable[[#This Row],[LayOdds]]-1))</f>
        <v/>
      </c>
      <c r="N1987" s="45" t="str">
        <f>IF(LayTable[[#This Row],[Sport]]="","",1/((1/LayTable[[#This Row],[BookieOdds]])+(1/((1/((1+((LayTable[[#This Row],[LayOdds]]-1)*(1+LayTable[[#This Row],[C% Lay]])))-1))+1)))-1)</f>
        <v/>
      </c>
      <c r="Q1987" s="46" t="str">
        <f>IF(LayTable[[#This Row],[Sport]]="","",LayTable[[#This Row],[BookieInnsats]]+LayTable[[#This Row],[LayLiability]])</f>
        <v/>
      </c>
      <c r="R19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7" s="47" t="str">
        <f>IF(LayTable[[#This Row],[Utfall bookie]]="","",LayTable[[#This Row],[WBABack]]+LayTable[[#This Row],[WBALay]]-LayTable[[#This Row],[Total inns]])</f>
        <v/>
      </c>
      <c r="U19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7" s="48" t="str">
        <f>IFERROR(IF(LayTable[[#This Row],[Total inns]]="","",LayTable[[#This Row],[Rback]]/LayTable[[#This Row],[Total inns]]),"")</f>
        <v/>
      </c>
      <c r="X1987" s="48" t="str">
        <f>IFERROR(IF(LayTable[[#This Row],[Total inns]]="","",LayTable[[#This Row],[Rlay]]/LayTable[[#This Row],[Total inns]]),"")</f>
        <v/>
      </c>
      <c r="Y1987" s="48" t="str">
        <f>IFERROR(LayTable[[#This Row],[Faktisk res]]/LayTable[[#This Row],[Total inns]],"")</f>
        <v/>
      </c>
      <c r="Z1987" s="47">
        <f>(LayTable[[#This Row],[BookieInnsats]]*LayTable[[#This Row],[BookieOdds]]-LayTable[[#This Row],[BookieInnsats]])*(1-LayTable[[#This Row],[C% Bookie]])</f>
        <v>0</v>
      </c>
      <c r="AA1987" s="43">
        <f>LayTable[[#This Row],[LayInnsats]]*(1-LayTable[[#This Row],[C% Lay]])</f>
        <v>0</v>
      </c>
      <c r="AB1987" s="43" t="str">
        <f>IFERROR(IF(LayTable[[#This Row],[Sport]]="",AB1986,LayTable[[#This Row],[Faktisk res]]+AB1986),"")</f>
        <v/>
      </c>
      <c r="AC1987" s="43">
        <f>(LayTable[[#This Row],[BackWin-Commission]]+LayTable[[#This Row],[BookieInnsats]])</f>
        <v>0</v>
      </c>
      <c r="AD1987" s="43" t="e">
        <f>(LayTable[[#This Row],[LayWin-Commission]])+LayTable[[#This Row],[LayLiability]]</f>
        <v>#VALUE!</v>
      </c>
      <c r="AE1987" s="43"/>
      <c r="AF1987" s="181"/>
    </row>
    <row r="1988" spans="1:32">
      <c r="A1988" s="84"/>
      <c r="B1988" s="39"/>
      <c r="C1988" s="40"/>
      <c r="D1988" s="41"/>
      <c r="E1988" s="40"/>
      <c r="F1988" s="41"/>
      <c r="G1988" s="101"/>
      <c r="H1988" s="38"/>
      <c r="I1988" s="42"/>
      <c r="J1988" s="42"/>
      <c r="K1988" s="43"/>
      <c r="L1988" s="43"/>
      <c r="M1988" s="44" t="str">
        <f>IF(LayTable[[#This Row],[Sport]]="","",LayTable[[#This Row],[LayInnsats]]*(LayTable[[#This Row],[LayOdds]]-1))</f>
        <v/>
      </c>
      <c r="N1988" s="45" t="str">
        <f>IF(LayTable[[#This Row],[Sport]]="","",1/((1/LayTable[[#This Row],[BookieOdds]])+(1/((1/((1+((LayTable[[#This Row],[LayOdds]]-1)*(1+LayTable[[#This Row],[C% Lay]])))-1))+1)))-1)</f>
        <v/>
      </c>
      <c r="Q1988" s="46" t="str">
        <f>IF(LayTable[[#This Row],[Sport]]="","",LayTable[[#This Row],[BookieInnsats]]+LayTable[[#This Row],[LayLiability]])</f>
        <v/>
      </c>
      <c r="R19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8" s="47" t="str">
        <f>IF(LayTable[[#This Row],[Utfall bookie]]="","",LayTable[[#This Row],[WBABack]]+LayTable[[#This Row],[WBALay]]-LayTable[[#This Row],[Total inns]])</f>
        <v/>
      </c>
      <c r="U19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8" s="48" t="str">
        <f>IFERROR(IF(LayTable[[#This Row],[Total inns]]="","",LayTable[[#This Row],[Rback]]/LayTable[[#This Row],[Total inns]]),"")</f>
        <v/>
      </c>
      <c r="X1988" s="48" t="str">
        <f>IFERROR(IF(LayTable[[#This Row],[Total inns]]="","",LayTable[[#This Row],[Rlay]]/LayTable[[#This Row],[Total inns]]),"")</f>
        <v/>
      </c>
      <c r="Y1988" s="48" t="str">
        <f>IFERROR(LayTable[[#This Row],[Faktisk res]]/LayTable[[#This Row],[Total inns]],"")</f>
        <v/>
      </c>
      <c r="Z1988" s="47">
        <f>(LayTable[[#This Row],[BookieInnsats]]*LayTable[[#This Row],[BookieOdds]]-LayTable[[#This Row],[BookieInnsats]])*(1-LayTable[[#This Row],[C% Bookie]])</f>
        <v>0</v>
      </c>
      <c r="AA1988" s="43">
        <f>LayTable[[#This Row],[LayInnsats]]*(1-LayTable[[#This Row],[C% Lay]])</f>
        <v>0</v>
      </c>
      <c r="AB1988" s="43" t="str">
        <f>IFERROR(IF(LayTable[[#This Row],[Sport]]="",AB1987,LayTable[[#This Row],[Faktisk res]]+AB1987),"")</f>
        <v/>
      </c>
      <c r="AC1988" s="43">
        <f>(LayTable[[#This Row],[BackWin-Commission]]+LayTable[[#This Row],[BookieInnsats]])</f>
        <v>0</v>
      </c>
      <c r="AD1988" s="43" t="e">
        <f>(LayTable[[#This Row],[LayWin-Commission]])+LayTable[[#This Row],[LayLiability]]</f>
        <v>#VALUE!</v>
      </c>
      <c r="AE1988" s="43"/>
      <c r="AF1988" s="181"/>
    </row>
    <row r="1989" spans="1:32">
      <c r="A1989" s="84"/>
      <c r="B1989" s="39"/>
      <c r="C1989" s="40"/>
      <c r="D1989" s="41"/>
      <c r="E1989" s="40"/>
      <c r="F1989" s="41"/>
      <c r="G1989" s="101"/>
      <c r="H1989" s="38"/>
      <c r="I1989" s="42"/>
      <c r="J1989" s="42"/>
      <c r="K1989" s="43"/>
      <c r="L1989" s="43"/>
      <c r="M1989" s="44" t="str">
        <f>IF(LayTable[[#This Row],[Sport]]="","",LayTable[[#This Row],[LayInnsats]]*(LayTable[[#This Row],[LayOdds]]-1))</f>
        <v/>
      </c>
      <c r="N1989" s="45" t="str">
        <f>IF(LayTable[[#This Row],[Sport]]="","",1/((1/LayTable[[#This Row],[BookieOdds]])+(1/((1/((1+((LayTable[[#This Row],[LayOdds]]-1)*(1+LayTable[[#This Row],[C% Lay]])))-1))+1)))-1)</f>
        <v/>
      </c>
      <c r="Q1989" s="46" t="str">
        <f>IF(LayTable[[#This Row],[Sport]]="","",LayTable[[#This Row],[BookieInnsats]]+LayTable[[#This Row],[LayLiability]])</f>
        <v/>
      </c>
      <c r="R19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89" s="47" t="str">
        <f>IF(LayTable[[#This Row],[Utfall bookie]]="","",LayTable[[#This Row],[WBABack]]+LayTable[[#This Row],[WBALay]]-LayTable[[#This Row],[Total inns]])</f>
        <v/>
      </c>
      <c r="U19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89" s="48" t="str">
        <f>IFERROR(IF(LayTable[[#This Row],[Total inns]]="","",LayTable[[#This Row],[Rback]]/LayTable[[#This Row],[Total inns]]),"")</f>
        <v/>
      </c>
      <c r="X1989" s="48" t="str">
        <f>IFERROR(IF(LayTable[[#This Row],[Total inns]]="","",LayTable[[#This Row],[Rlay]]/LayTable[[#This Row],[Total inns]]),"")</f>
        <v/>
      </c>
      <c r="Y1989" s="48" t="str">
        <f>IFERROR(LayTable[[#This Row],[Faktisk res]]/LayTable[[#This Row],[Total inns]],"")</f>
        <v/>
      </c>
      <c r="Z1989" s="47">
        <f>(LayTable[[#This Row],[BookieInnsats]]*LayTable[[#This Row],[BookieOdds]]-LayTable[[#This Row],[BookieInnsats]])*(1-LayTable[[#This Row],[C% Bookie]])</f>
        <v>0</v>
      </c>
      <c r="AA1989" s="43">
        <f>LayTable[[#This Row],[LayInnsats]]*(1-LayTable[[#This Row],[C% Lay]])</f>
        <v>0</v>
      </c>
      <c r="AB1989" s="43" t="str">
        <f>IFERROR(IF(LayTable[[#This Row],[Sport]]="",AB1988,LayTable[[#This Row],[Faktisk res]]+AB1988),"")</f>
        <v/>
      </c>
      <c r="AC1989" s="43">
        <f>(LayTable[[#This Row],[BackWin-Commission]]+LayTable[[#This Row],[BookieInnsats]])</f>
        <v>0</v>
      </c>
      <c r="AD1989" s="43" t="e">
        <f>(LayTable[[#This Row],[LayWin-Commission]])+LayTable[[#This Row],[LayLiability]]</f>
        <v>#VALUE!</v>
      </c>
      <c r="AE1989" s="43"/>
      <c r="AF1989" s="181"/>
    </row>
    <row r="1990" spans="1:32">
      <c r="A1990" s="84"/>
      <c r="B1990" s="39"/>
      <c r="C1990" s="40"/>
      <c r="D1990" s="41"/>
      <c r="E1990" s="40"/>
      <c r="F1990" s="41"/>
      <c r="G1990" s="101"/>
      <c r="H1990" s="38"/>
      <c r="I1990" s="42"/>
      <c r="J1990" s="42"/>
      <c r="K1990" s="43"/>
      <c r="L1990" s="43"/>
      <c r="M1990" s="44" t="str">
        <f>IF(LayTable[[#This Row],[Sport]]="","",LayTable[[#This Row],[LayInnsats]]*(LayTable[[#This Row],[LayOdds]]-1))</f>
        <v/>
      </c>
      <c r="N1990" s="45" t="str">
        <f>IF(LayTable[[#This Row],[Sport]]="","",1/((1/LayTable[[#This Row],[BookieOdds]])+(1/((1/((1+((LayTable[[#This Row],[LayOdds]]-1)*(1+LayTable[[#This Row],[C% Lay]])))-1))+1)))-1)</f>
        <v/>
      </c>
      <c r="Q1990" s="46" t="str">
        <f>IF(LayTable[[#This Row],[Sport]]="","",LayTable[[#This Row],[BookieInnsats]]+LayTable[[#This Row],[LayLiability]])</f>
        <v/>
      </c>
      <c r="R19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0" s="47" t="str">
        <f>IF(LayTable[[#This Row],[Utfall bookie]]="","",LayTable[[#This Row],[WBABack]]+LayTable[[#This Row],[WBALay]]-LayTable[[#This Row],[Total inns]])</f>
        <v/>
      </c>
      <c r="U19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0" s="48" t="str">
        <f>IFERROR(IF(LayTable[[#This Row],[Total inns]]="","",LayTable[[#This Row],[Rback]]/LayTable[[#This Row],[Total inns]]),"")</f>
        <v/>
      </c>
      <c r="X1990" s="48" t="str">
        <f>IFERROR(IF(LayTable[[#This Row],[Total inns]]="","",LayTable[[#This Row],[Rlay]]/LayTable[[#This Row],[Total inns]]),"")</f>
        <v/>
      </c>
      <c r="Y1990" s="48" t="str">
        <f>IFERROR(LayTable[[#This Row],[Faktisk res]]/LayTable[[#This Row],[Total inns]],"")</f>
        <v/>
      </c>
      <c r="Z1990" s="47">
        <f>(LayTable[[#This Row],[BookieInnsats]]*LayTable[[#This Row],[BookieOdds]]-LayTable[[#This Row],[BookieInnsats]])*(1-LayTable[[#This Row],[C% Bookie]])</f>
        <v>0</v>
      </c>
      <c r="AA1990" s="43">
        <f>LayTable[[#This Row],[LayInnsats]]*(1-LayTable[[#This Row],[C% Lay]])</f>
        <v>0</v>
      </c>
      <c r="AB1990" s="43" t="str">
        <f>IFERROR(IF(LayTable[[#This Row],[Sport]]="",AB1989,LayTable[[#This Row],[Faktisk res]]+AB1989),"")</f>
        <v/>
      </c>
      <c r="AC1990" s="43">
        <f>(LayTable[[#This Row],[BackWin-Commission]]+LayTable[[#This Row],[BookieInnsats]])</f>
        <v>0</v>
      </c>
      <c r="AD1990" s="43" t="e">
        <f>(LayTable[[#This Row],[LayWin-Commission]])+LayTable[[#This Row],[LayLiability]]</f>
        <v>#VALUE!</v>
      </c>
      <c r="AE1990" s="43"/>
      <c r="AF1990" s="181"/>
    </row>
    <row r="1991" spans="1:32">
      <c r="A1991" s="84"/>
      <c r="B1991" s="39"/>
      <c r="C1991" s="40"/>
      <c r="D1991" s="41"/>
      <c r="E1991" s="40"/>
      <c r="F1991" s="41"/>
      <c r="G1991" s="101"/>
      <c r="H1991" s="38"/>
      <c r="I1991" s="42"/>
      <c r="J1991" s="42"/>
      <c r="K1991" s="43"/>
      <c r="L1991" s="43"/>
      <c r="M1991" s="44" t="str">
        <f>IF(LayTable[[#This Row],[Sport]]="","",LayTable[[#This Row],[LayInnsats]]*(LayTable[[#This Row],[LayOdds]]-1))</f>
        <v/>
      </c>
      <c r="N1991" s="45" t="str">
        <f>IF(LayTable[[#This Row],[Sport]]="","",1/((1/LayTable[[#This Row],[BookieOdds]])+(1/((1/((1+((LayTable[[#This Row],[LayOdds]]-1)*(1+LayTable[[#This Row],[C% Lay]])))-1))+1)))-1)</f>
        <v/>
      </c>
      <c r="Q1991" s="46" t="str">
        <f>IF(LayTable[[#This Row],[Sport]]="","",LayTable[[#This Row],[BookieInnsats]]+LayTable[[#This Row],[LayLiability]])</f>
        <v/>
      </c>
      <c r="R19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1" s="47" t="str">
        <f>IF(LayTable[[#This Row],[Utfall bookie]]="","",LayTable[[#This Row],[WBABack]]+LayTable[[#This Row],[WBALay]]-LayTable[[#This Row],[Total inns]])</f>
        <v/>
      </c>
      <c r="U19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1" s="48" t="str">
        <f>IFERROR(IF(LayTable[[#This Row],[Total inns]]="","",LayTable[[#This Row],[Rback]]/LayTable[[#This Row],[Total inns]]),"")</f>
        <v/>
      </c>
      <c r="X1991" s="48" t="str">
        <f>IFERROR(IF(LayTable[[#This Row],[Total inns]]="","",LayTable[[#This Row],[Rlay]]/LayTable[[#This Row],[Total inns]]),"")</f>
        <v/>
      </c>
      <c r="Y1991" s="48" t="str">
        <f>IFERROR(LayTable[[#This Row],[Faktisk res]]/LayTable[[#This Row],[Total inns]],"")</f>
        <v/>
      </c>
      <c r="Z1991" s="47">
        <f>(LayTable[[#This Row],[BookieInnsats]]*LayTable[[#This Row],[BookieOdds]]-LayTable[[#This Row],[BookieInnsats]])*(1-LayTable[[#This Row],[C% Bookie]])</f>
        <v>0</v>
      </c>
      <c r="AA1991" s="43">
        <f>LayTable[[#This Row],[LayInnsats]]*(1-LayTable[[#This Row],[C% Lay]])</f>
        <v>0</v>
      </c>
      <c r="AB1991" s="43" t="str">
        <f>IFERROR(IF(LayTable[[#This Row],[Sport]]="",AB1990,LayTable[[#This Row],[Faktisk res]]+AB1990),"")</f>
        <v/>
      </c>
      <c r="AC1991" s="43">
        <f>(LayTable[[#This Row],[BackWin-Commission]]+LayTable[[#This Row],[BookieInnsats]])</f>
        <v>0</v>
      </c>
      <c r="AD1991" s="43" t="e">
        <f>(LayTable[[#This Row],[LayWin-Commission]])+LayTable[[#This Row],[LayLiability]]</f>
        <v>#VALUE!</v>
      </c>
      <c r="AE1991" s="43"/>
      <c r="AF1991" s="181"/>
    </row>
    <row r="1992" spans="1:32">
      <c r="A1992" s="84"/>
      <c r="B1992" s="39"/>
      <c r="C1992" s="40"/>
      <c r="D1992" s="41"/>
      <c r="E1992" s="40"/>
      <c r="F1992" s="41"/>
      <c r="G1992" s="101"/>
      <c r="H1992" s="38"/>
      <c r="I1992" s="42"/>
      <c r="J1992" s="42"/>
      <c r="K1992" s="43"/>
      <c r="L1992" s="43"/>
      <c r="M1992" s="44" t="str">
        <f>IF(LayTable[[#This Row],[Sport]]="","",LayTable[[#This Row],[LayInnsats]]*(LayTable[[#This Row],[LayOdds]]-1))</f>
        <v/>
      </c>
      <c r="N1992" s="45" t="str">
        <f>IF(LayTable[[#This Row],[Sport]]="","",1/((1/LayTable[[#This Row],[BookieOdds]])+(1/((1/((1+((LayTable[[#This Row],[LayOdds]]-1)*(1+LayTable[[#This Row],[C% Lay]])))-1))+1)))-1)</f>
        <v/>
      </c>
      <c r="Q1992" s="46" t="str">
        <f>IF(LayTable[[#This Row],[Sport]]="","",LayTable[[#This Row],[BookieInnsats]]+LayTable[[#This Row],[LayLiability]])</f>
        <v/>
      </c>
      <c r="R19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2" s="47" t="str">
        <f>IF(LayTable[[#This Row],[Utfall bookie]]="","",LayTable[[#This Row],[WBABack]]+LayTable[[#This Row],[WBALay]]-LayTable[[#This Row],[Total inns]])</f>
        <v/>
      </c>
      <c r="U19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2" s="48" t="str">
        <f>IFERROR(IF(LayTable[[#This Row],[Total inns]]="","",LayTable[[#This Row],[Rback]]/LayTable[[#This Row],[Total inns]]),"")</f>
        <v/>
      </c>
      <c r="X1992" s="48" t="str">
        <f>IFERROR(IF(LayTable[[#This Row],[Total inns]]="","",LayTable[[#This Row],[Rlay]]/LayTable[[#This Row],[Total inns]]),"")</f>
        <v/>
      </c>
      <c r="Y1992" s="48" t="str">
        <f>IFERROR(LayTable[[#This Row],[Faktisk res]]/LayTable[[#This Row],[Total inns]],"")</f>
        <v/>
      </c>
      <c r="Z1992" s="47">
        <f>(LayTable[[#This Row],[BookieInnsats]]*LayTable[[#This Row],[BookieOdds]]-LayTable[[#This Row],[BookieInnsats]])*(1-LayTable[[#This Row],[C% Bookie]])</f>
        <v>0</v>
      </c>
      <c r="AA1992" s="43">
        <f>LayTable[[#This Row],[LayInnsats]]*(1-LayTable[[#This Row],[C% Lay]])</f>
        <v>0</v>
      </c>
      <c r="AB1992" s="43" t="str">
        <f>IFERROR(IF(LayTable[[#This Row],[Sport]]="",AB1991,LayTable[[#This Row],[Faktisk res]]+AB1991),"")</f>
        <v/>
      </c>
      <c r="AC1992" s="43">
        <f>(LayTable[[#This Row],[BackWin-Commission]]+LayTable[[#This Row],[BookieInnsats]])</f>
        <v>0</v>
      </c>
      <c r="AD1992" s="43" t="e">
        <f>(LayTable[[#This Row],[LayWin-Commission]])+LayTable[[#This Row],[LayLiability]]</f>
        <v>#VALUE!</v>
      </c>
      <c r="AE1992" s="43"/>
      <c r="AF1992" s="181"/>
    </row>
    <row r="1993" spans="1:32">
      <c r="A1993" s="84"/>
      <c r="B1993" s="39"/>
      <c r="C1993" s="40"/>
      <c r="D1993" s="41"/>
      <c r="E1993" s="40"/>
      <c r="F1993" s="41"/>
      <c r="G1993" s="101"/>
      <c r="H1993" s="38"/>
      <c r="I1993" s="42"/>
      <c r="J1993" s="42"/>
      <c r="K1993" s="43"/>
      <c r="L1993" s="43"/>
      <c r="M1993" s="44" t="str">
        <f>IF(LayTable[[#This Row],[Sport]]="","",LayTable[[#This Row],[LayInnsats]]*(LayTable[[#This Row],[LayOdds]]-1))</f>
        <v/>
      </c>
      <c r="N1993" s="45" t="str">
        <f>IF(LayTable[[#This Row],[Sport]]="","",1/((1/LayTable[[#This Row],[BookieOdds]])+(1/((1/((1+((LayTable[[#This Row],[LayOdds]]-1)*(1+LayTable[[#This Row],[C% Lay]])))-1))+1)))-1)</f>
        <v/>
      </c>
      <c r="Q1993" s="46" t="str">
        <f>IF(LayTable[[#This Row],[Sport]]="","",LayTable[[#This Row],[BookieInnsats]]+LayTable[[#This Row],[LayLiability]])</f>
        <v/>
      </c>
      <c r="R19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3" s="47" t="str">
        <f>IF(LayTable[[#This Row],[Utfall bookie]]="","",LayTable[[#This Row],[WBABack]]+LayTable[[#This Row],[WBALay]]-LayTable[[#This Row],[Total inns]])</f>
        <v/>
      </c>
      <c r="U19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3" s="48" t="str">
        <f>IFERROR(IF(LayTable[[#This Row],[Total inns]]="","",LayTable[[#This Row],[Rback]]/LayTable[[#This Row],[Total inns]]),"")</f>
        <v/>
      </c>
      <c r="X1993" s="48" t="str">
        <f>IFERROR(IF(LayTable[[#This Row],[Total inns]]="","",LayTable[[#This Row],[Rlay]]/LayTable[[#This Row],[Total inns]]),"")</f>
        <v/>
      </c>
      <c r="Y1993" s="48" t="str">
        <f>IFERROR(LayTable[[#This Row],[Faktisk res]]/LayTable[[#This Row],[Total inns]],"")</f>
        <v/>
      </c>
      <c r="Z1993" s="47">
        <f>(LayTable[[#This Row],[BookieInnsats]]*LayTable[[#This Row],[BookieOdds]]-LayTable[[#This Row],[BookieInnsats]])*(1-LayTable[[#This Row],[C% Bookie]])</f>
        <v>0</v>
      </c>
      <c r="AA1993" s="43">
        <f>LayTable[[#This Row],[LayInnsats]]*(1-LayTable[[#This Row],[C% Lay]])</f>
        <v>0</v>
      </c>
      <c r="AB1993" s="43" t="str">
        <f>IFERROR(IF(LayTable[[#This Row],[Sport]]="",AB1992,LayTable[[#This Row],[Faktisk res]]+AB1992),"")</f>
        <v/>
      </c>
      <c r="AC1993" s="43">
        <f>(LayTable[[#This Row],[BackWin-Commission]]+LayTable[[#This Row],[BookieInnsats]])</f>
        <v>0</v>
      </c>
      <c r="AD1993" s="43" t="e">
        <f>(LayTable[[#This Row],[LayWin-Commission]])+LayTable[[#This Row],[LayLiability]]</f>
        <v>#VALUE!</v>
      </c>
      <c r="AE1993" s="43"/>
      <c r="AF1993" s="181"/>
    </row>
    <row r="1994" spans="1:32">
      <c r="A1994" s="84"/>
      <c r="B1994" s="39"/>
      <c r="C1994" s="40"/>
      <c r="D1994" s="41"/>
      <c r="E1994" s="40"/>
      <c r="F1994" s="41"/>
      <c r="G1994" s="101"/>
      <c r="H1994" s="38"/>
      <c r="I1994" s="42"/>
      <c r="J1994" s="42"/>
      <c r="K1994" s="43"/>
      <c r="L1994" s="43"/>
      <c r="M1994" s="44" t="str">
        <f>IF(LayTable[[#This Row],[Sport]]="","",LayTable[[#This Row],[LayInnsats]]*(LayTable[[#This Row],[LayOdds]]-1))</f>
        <v/>
      </c>
      <c r="N1994" s="45" t="str">
        <f>IF(LayTable[[#This Row],[Sport]]="","",1/((1/LayTable[[#This Row],[BookieOdds]])+(1/((1/((1+((LayTable[[#This Row],[LayOdds]]-1)*(1+LayTable[[#This Row],[C% Lay]])))-1))+1)))-1)</f>
        <v/>
      </c>
      <c r="Q1994" s="46" t="str">
        <f>IF(LayTable[[#This Row],[Sport]]="","",LayTable[[#This Row],[BookieInnsats]]+LayTable[[#This Row],[LayLiability]])</f>
        <v/>
      </c>
      <c r="R19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4" s="47" t="str">
        <f>IF(LayTable[[#This Row],[Utfall bookie]]="","",LayTable[[#This Row],[WBABack]]+LayTable[[#This Row],[WBALay]]-LayTable[[#This Row],[Total inns]])</f>
        <v/>
      </c>
      <c r="U19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4" s="48" t="str">
        <f>IFERROR(IF(LayTable[[#This Row],[Total inns]]="","",LayTable[[#This Row],[Rback]]/LayTable[[#This Row],[Total inns]]),"")</f>
        <v/>
      </c>
      <c r="X1994" s="48" t="str">
        <f>IFERROR(IF(LayTable[[#This Row],[Total inns]]="","",LayTable[[#This Row],[Rlay]]/LayTable[[#This Row],[Total inns]]),"")</f>
        <v/>
      </c>
      <c r="Y1994" s="48" t="str">
        <f>IFERROR(LayTable[[#This Row],[Faktisk res]]/LayTable[[#This Row],[Total inns]],"")</f>
        <v/>
      </c>
      <c r="Z1994" s="47">
        <f>(LayTable[[#This Row],[BookieInnsats]]*LayTable[[#This Row],[BookieOdds]]-LayTable[[#This Row],[BookieInnsats]])*(1-LayTable[[#This Row],[C% Bookie]])</f>
        <v>0</v>
      </c>
      <c r="AA1994" s="43">
        <f>LayTable[[#This Row],[LayInnsats]]*(1-LayTable[[#This Row],[C% Lay]])</f>
        <v>0</v>
      </c>
      <c r="AB1994" s="43" t="str">
        <f>IFERROR(IF(LayTable[[#This Row],[Sport]]="",AB1993,LayTable[[#This Row],[Faktisk res]]+AB1993),"")</f>
        <v/>
      </c>
      <c r="AC1994" s="43">
        <f>(LayTable[[#This Row],[BackWin-Commission]]+LayTable[[#This Row],[BookieInnsats]])</f>
        <v>0</v>
      </c>
      <c r="AD1994" s="43" t="e">
        <f>(LayTable[[#This Row],[LayWin-Commission]])+LayTable[[#This Row],[LayLiability]]</f>
        <v>#VALUE!</v>
      </c>
      <c r="AE1994" s="43"/>
      <c r="AF1994" s="181"/>
    </row>
    <row r="1995" spans="1:32">
      <c r="A1995" s="84"/>
      <c r="B1995" s="39"/>
      <c r="C1995" s="40"/>
      <c r="D1995" s="41"/>
      <c r="E1995" s="40"/>
      <c r="F1995" s="41"/>
      <c r="G1995" s="101"/>
      <c r="H1995" s="38"/>
      <c r="I1995" s="42"/>
      <c r="J1995" s="42"/>
      <c r="K1995" s="43"/>
      <c r="L1995" s="43"/>
      <c r="M1995" s="44" t="str">
        <f>IF(LayTable[[#This Row],[Sport]]="","",LayTable[[#This Row],[LayInnsats]]*(LayTable[[#This Row],[LayOdds]]-1))</f>
        <v/>
      </c>
      <c r="N1995" s="45" t="str">
        <f>IF(LayTable[[#This Row],[Sport]]="","",1/((1/LayTable[[#This Row],[BookieOdds]])+(1/((1/((1+((LayTable[[#This Row],[LayOdds]]-1)*(1+LayTable[[#This Row],[C% Lay]])))-1))+1)))-1)</f>
        <v/>
      </c>
      <c r="Q1995" s="46" t="str">
        <f>IF(LayTable[[#This Row],[Sport]]="","",LayTable[[#This Row],[BookieInnsats]]+LayTable[[#This Row],[LayLiability]])</f>
        <v/>
      </c>
      <c r="R19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5" s="47" t="str">
        <f>IF(LayTable[[#This Row],[Utfall bookie]]="","",LayTable[[#This Row],[WBABack]]+LayTable[[#This Row],[WBALay]]-LayTable[[#This Row],[Total inns]])</f>
        <v/>
      </c>
      <c r="U19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5" s="48" t="str">
        <f>IFERROR(IF(LayTable[[#This Row],[Total inns]]="","",LayTable[[#This Row],[Rback]]/LayTable[[#This Row],[Total inns]]),"")</f>
        <v/>
      </c>
      <c r="X1995" s="48" t="str">
        <f>IFERROR(IF(LayTable[[#This Row],[Total inns]]="","",LayTable[[#This Row],[Rlay]]/LayTable[[#This Row],[Total inns]]),"")</f>
        <v/>
      </c>
      <c r="Y1995" s="48" t="str">
        <f>IFERROR(LayTable[[#This Row],[Faktisk res]]/LayTable[[#This Row],[Total inns]],"")</f>
        <v/>
      </c>
      <c r="Z1995" s="47">
        <f>(LayTable[[#This Row],[BookieInnsats]]*LayTable[[#This Row],[BookieOdds]]-LayTable[[#This Row],[BookieInnsats]])*(1-LayTable[[#This Row],[C% Bookie]])</f>
        <v>0</v>
      </c>
      <c r="AA1995" s="43">
        <f>LayTable[[#This Row],[LayInnsats]]*(1-LayTable[[#This Row],[C% Lay]])</f>
        <v>0</v>
      </c>
      <c r="AB1995" s="43" t="str">
        <f>IFERROR(IF(LayTable[[#This Row],[Sport]]="",AB1994,LayTable[[#This Row],[Faktisk res]]+AB1994),"")</f>
        <v/>
      </c>
      <c r="AC1995" s="43">
        <f>(LayTable[[#This Row],[BackWin-Commission]]+LayTable[[#This Row],[BookieInnsats]])</f>
        <v>0</v>
      </c>
      <c r="AD1995" s="43" t="e">
        <f>(LayTable[[#This Row],[LayWin-Commission]])+LayTable[[#This Row],[LayLiability]]</f>
        <v>#VALUE!</v>
      </c>
      <c r="AE1995" s="43"/>
      <c r="AF1995" s="181"/>
    </row>
    <row r="1996" spans="1:32">
      <c r="A1996" s="84"/>
      <c r="B1996" s="39"/>
      <c r="C1996" s="40"/>
      <c r="D1996" s="41"/>
      <c r="E1996" s="40"/>
      <c r="F1996" s="41"/>
      <c r="G1996" s="101"/>
      <c r="H1996" s="38"/>
      <c r="I1996" s="42"/>
      <c r="J1996" s="42"/>
      <c r="K1996" s="43"/>
      <c r="L1996" s="43"/>
      <c r="M1996" s="44" t="str">
        <f>IF(LayTable[[#This Row],[Sport]]="","",LayTable[[#This Row],[LayInnsats]]*(LayTable[[#This Row],[LayOdds]]-1))</f>
        <v/>
      </c>
      <c r="N1996" s="45" t="str">
        <f>IF(LayTable[[#This Row],[Sport]]="","",1/((1/LayTable[[#This Row],[BookieOdds]])+(1/((1/((1+((LayTable[[#This Row],[LayOdds]]-1)*(1+LayTable[[#This Row],[C% Lay]])))-1))+1)))-1)</f>
        <v/>
      </c>
      <c r="Q1996" s="46" t="str">
        <f>IF(LayTable[[#This Row],[Sport]]="","",LayTable[[#This Row],[BookieInnsats]]+LayTable[[#This Row],[LayLiability]])</f>
        <v/>
      </c>
      <c r="R19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6" s="47" t="str">
        <f>IF(LayTable[[#This Row],[Utfall bookie]]="","",LayTable[[#This Row],[WBABack]]+LayTable[[#This Row],[WBALay]]-LayTable[[#This Row],[Total inns]])</f>
        <v/>
      </c>
      <c r="U19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6" s="48" t="str">
        <f>IFERROR(IF(LayTable[[#This Row],[Total inns]]="","",LayTable[[#This Row],[Rback]]/LayTable[[#This Row],[Total inns]]),"")</f>
        <v/>
      </c>
      <c r="X1996" s="48" t="str">
        <f>IFERROR(IF(LayTable[[#This Row],[Total inns]]="","",LayTable[[#This Row],[Rlay]]/LayTable[[#This Row],[Total inns]]),"")</f>
        <v/>
      </c>
      <c r="Y1996" s="48" t="str">
        <f>IFERROR(LayTable[[#This Row],[Faktisk res]]/LayTable[[#This Row],[Total inns]],"")</f>
        <v/>
      </c>
      <c r="Z1996" s="47">
        <f>(LayTable[[#This Row],[BookieInnsats]]*LayTable[[#This Row],[BookieOdds]]-LayTable[[#This Row],[BookieInnsats]])*(1-LayTable[[#This Row],[C% Bookie]])</f>
        <v>0</v>
      </c>
      <c r="AA1996" s="43">
        <f>LayTable[[#This Row],[LayInnsats]]*(1-LayTable[[#This Row],[C% Lay]])</f>
        <v>0</v>
      </c>
      <c r="AB1996" s="43" t="str">
        <f>IFERROR(IF(LayTable[[#This Row],[Sport]]="",AB1995,LayTable[[#This Row],[Faktisk res]]+AB1995),"")</f>
        <v/>
      </c>
      <c r="AC1996" s="43">
        <f>(LayTable[[#This Row],[BackWin-Commission]]+LayTable[[#This Row],[BookieInnsats]])</f>
        <v>0</v>
      </c>
      <c r="AD1996" s="43" t="e">
        <f>(LayTable[[#This Row],[LayWin-Commission]])+LayTable[[#This Row],[LayLiability]]</f>
        <v>#VALUE!</v>
      </c>
      <c r="AE1996" s="43"/>
      <c r="AF1996" s="181"/>
    </row>
    <row r="1997" spans="1:32">
      <c r="A1997" s="84"/>
      <c r="B1997" s="39"/>
      <c r="C1997" s="40"/>
      <c r="D1997" s="41"/>
      <c r="E1997" s="40"/>
      <c r="F1997" s="41"/>
      <c r="G1997" s="101"/>
      <c r="H1997" s="38"/>
      <c r="I1997" s="42"/>
      <c r="J1997" s="42"/>
      <c r="K1997" s="43"/>
      <c r="L1997" s="43"/>
      <c r="M1997" s="44" t="str">
        <f>IF(LayTable[[#This Row],[Sport]]="","",LayTable[[#This Row],[LayInnsats]]*(LayTable[[#This Row],[LayOdds]]-1))</f>
        <v/>
      </c>
      <c r="N1997" s="45" t="str">
        <f>IF(LayTable[[#This Row],[Sport]]="","",1/((1/LayTable[[#This Row],[BookieOdds]])+(1/((1/((1+((LayTable[[#This Row],[LayOdds]]-1)*(1+LayTable[[#This Row],[C% Lay]])))-1))+1)))-1)</f>
        <v/>
      </c>
      <c r="Q1997" s="46" t="str">
        <f>IF(LayTable[[#This Row],[Sport]]="","",LayTable[[#This Row],[BookieInnsats]]+LayTable[[#This Row],[LayLiability]])</f>
        <v/>
      </c>
      <c r="R19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7" s="47" t="str">
        <f>IF(LayTable[[#This Row],[Utfall bookie]]="","",LayTable[[#This Row],[WBABack]]+LayTable[[#This Row],[WBALay]]-LayTable[[#This Row],[Total inns]])</f>
        <v/>
      </c>
      <c r="U19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7" s="48" t="str">
        <f>IFERROR(IF(LayTable[[#This Row],[Total inns]]="","",LayTable[[#This Row],[Rback]]/LayTable[[#This Row],[Total inns]]),"")</f>
        <v/>
      </c>
      <c r="X1997" s="48" t="str">
        <f>IFERROR(IF(LayTable[[#This Row],[Total inns]]="","",LayTable[[#This Row],[Rlay]]/LayTable[[#This Row],[Total inns]]),"")</f>
        <v/>
      </c>
      <c r="Y1997" s="48" t="str">
        <f>IFERROR(LayTable[[#This Row],[Faktisk res]]/LayTable[[#This Row],[Total inns]],"")</f>
        <v/>
      </c>
      <c r="Z1997" s="47">
        <f>(LayTable[[#This Row],[BookieInnsats]]*LayTable[[#This Row],[BookieOdds]]-LayTable[[#This Row],[BookieInnsats]])*(1-LayTable[[#This Row],[C% Bookie]])</f>
        <v>0</v>
      </c>
      <c r="AA1997" s="43">
        <f>LayTable[[#This Row],[LayInnsats]]*(1-LayTable[[#This Row],[C% Lay]])</f>
        <v>0</v>
      </c>
      <c r="AB1997" s="43" t="str">
        <f>IFERROR(IF(LayTable[[#This Row],[Sport]]="",AB1996,LayTable[[#This Row],[Faktisk res]]+AB1996),"")</f>
        <v/>
      </c>
      <c r="AC1997" s="43">
        <f>(LayTable[[#This Row],[BackWin-Commission]]+LayTable[[#This Row],[BookieInnsats]])</f>
        <v>0</v>
      </c>
      <c r="AD1997" s="43" t="e">
        <f>(LayTable[[#This Row],[LayWin-Commission]])+LayTable[[#This Row],[LayLiability]]</f>
        <v>#VALUE!</v>
      </c>
      <c r="AE1997" s="43"/>
      <c r="AF1997" s="181"/>
    </row>
    <row r="1998" spans="1:32">
      <c r="A1998" s="84"/>
      <c r="B1998" s="39"/>
      <c r="C1998" s="40"/>
      <c r="D1998" s="41"/>
      <c r="E1998" s="40"/>
      <c r="F1998" s="41"/>
      <c r="G1998" s="101"/>
      <c r="H1998" s="38"/>
      <c r="I1998" s="42"/>
      <c r="J1998" s="42"/>
      <c r="K1998" s="43"/>
      <c r="L1998" s="43"/>
      <c r="M1998" s="44" t="str">
        <f>IF(LayTable[[#This Row],[Sport]]="","",LayTable[[#This Row],[LayInnsats]]*(LayTable[[#This Row],[LayOdds]]-1))</f>
        <v/>
      </c>
      <c r="N1998" s="45" t="str">
        <f>IF(LayTable[[#This Row],[Sport]]="","",1/((1/LayTable[[#This Row],[BookieOdds]])+(1/((1/((1+((LayTable[[#This Row],[LayOdds]]-1)*(1+LayTable[[#This Row],[C% Lay]])))-1))+1)))-1)</f>
        <v/>
      </c>
      <c r="Q1998" s="46" t="str">
        <f>IF(LayTable[[#This Row],[Sport]]="","",LayTable[[#This Row],[BookieInnsats]]+LayTable[[#This Row],[LayLiability]])</f>
        <v/>
      </c>
      <c r="R19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8" s="47" t="str">
        <f>IF(LayTable[[#This Row],[Utfall bookie]]="","",LayTable[[#This Row],[WBABack]]+LayTable[[#This Row],[WBALay]]-LayTable[[#This Row],[Total inns]])</f>
        <v/>
      </c>
      <c r="U19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8" s="48" t="str">
        <f>IFERROR(IF(LayTable[[#This Row],[Total inns]]="","",LayTable[[#This Row],[Rback]]/LayTable[[#This Row],[Total inns]]),"")</f>
        <v/>
      </c>
      <c r="X1998" s="48" t="str">
        <f>IFERROR(IF(LayTable[[#This Row],[Total inns]]="","",LayTable[[#This Row],[Rlay]]/LayTable[[#This Row],[Total inns]]),"")</f>
        <v/>
      </c>
      <c r="Y1998" s="48" t="str">
        <f>IFERROR(LayTable[[#This Row],[Faktisk res]]/LayTable[[#This Row],[Total inns]],"")</f>
        <v/>
      </c>
      <c r="Z1998" s="47">
        <f>(LayTable[[#This Row],[BookieInnsats]]*LayTable[[#This Row],[BookieOdds]]-LayTable[[#This Row],[BookieInnsats]])*(1-LayTable[[#This Row],[C% Bookie]])</f>
        <v>0</v>
      </c>
      <c r="AA1998" s="43">
        <f>LayTable[[#This Row],[LayInnsats]]*(1-LayTable[[#This Row],[C% Lay]])</f>
        <v>0</v>
      </c>
      <c r="AB1998" s="43" t="str">
        <f>IFERROR(IF(LayTable[[#This Row],[Sport]]="",AB1997,LayTable[[#This Row],[Faktisk res]]+AB1997),"")</f>
        <v/>
      </c>
      <c r="AC1998" s="43">
        <f>(LayTable[[#This Row],[BackWin-Commission]]+LayTable[[#This Row],[BookieInnsats]])</f>
        <v>0</v>
      </c>
      <c r="AD1998" s="43" t="e">
        <f>(LayTable[[#This Row],[LayWin-Commission]])+LayTable[[#This Row],[LayLiability]]</f>
        <v>#VALUE!</v>
      </c>
      <c r="AE1998" s="43"/>
      <c r="AF1998" s="181"/>
    </row>
    <row r="1999" spans="1:32">
      <c r="A1999" s="84"/>
      <c r="B1999" s="39"/>
      <c r="C1999" s="40"/>
      <c r="D1999" s="41"/>
      <c r="E1999" s="40"/>
      <c r="F1999" s="41"/>
      <c r="G1999" s="101"/>
      <c r="H1999" s="38"/>
      <c r="I1999" s="42"/>
      <c r="J1999" s="42"/>
      <c r="K1999" s="43"/>
      <c r="L1999" s="43"/>
      <c r="M1999" s="44" t="str">
        <f>IF(LayTable[[#This Row],[Sport]]="","",LayTable[[#This Row],[LayInnsats]]*(LayTable[[#This Row],[LayOdds]]-1))</f>
        <v/>
      </c>
      <c r="N1999" s="45" t="str">
        <f>IF(LayTable[[#This Row],[Sport]]="","",1/((1/LayTable[[#This Row],[BookieOdds]])+(1/((1/((1+((LayTable[[#This Row],[LayOdds]]-1)*(1+LayTable[[#This Row],[C% Lay]])))-1))+1)))-1)</f>
        <v/>
      </c>
      <c r="Q1999" s="46" t="str">
        <f>IF(LayTable[[#This Row],[Sport]]="","",LayTable[[#This Row],[BookieInnsats]]+LayTable[[#This Row],[LayLiability]])</f>
        <v/>
      </c>
      <c r="R19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19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1999" s="47" t="str">
        <f>IF(LayTable[[#This Row],[Utfall bookie]]="","",LayTable[[#This Row],[WBABack]]+LayTable[[#This Row],[WBALay]]-LayTable[[#This Row],[Total inns]])</f>
        <v/>
      </c>
      <c r="U19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19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1999" s="48" t="str">
        <f>IFERROR(IF(LayTable[[#This Row],[Total inns]]="","",LayTable[[#This Row],[Rback]]/LayTable[[#This Row],[Total inns]]),"")</f>
        <v/>
      </c>
      <c r="X1999" s="48" t="str">
        <f>IFERROR(IF(LayTable[[#This Row],[Total inns]]="","",LayTable[[#This Row],[Rlay]]/LayTable[[#This Row],[Total inns]]),"")</f>
        <v/>
      </c>
      <c r="Y1999" s="48" t="str">
        <f>IFERROR(LayTable[[#This Row],[Faktisk res]]/LayTable[[#This Row],[Total inns]],"")</f>
        <v/>
      </c>
      <c r="Z1999" s="47">
        <f>(LayTable[[#This Row],[BookieInnsats]]*LayTable[[#This Row],[BookieOdds]]-LayTable[[#This Row],[BookieInnsats]])*(1-LayTable[[#This Row],[C% Bookie]])</f>
        <v>0</v>
      </c>
      <c r="AA1999" s="43">
        <f>LayTable[[#This Row],[LayInnsats]]*(1-LayTable[[#This Row],[C% Lay]])</f>
        <v>0</v>
      </c>
      <c r="AB1999" s="43" t="str">
        <f>IFERROR(IF(LayTable[[#This Row],[Sport]]="",AB1998,LayTable[[#This Row],[Faktisk res]]+AB1998),"")</f>
        <v/>
      </c>
      <c r="AC1999" s="43">
        <f>(LayTable[[#This Row],[BackWin-Commission]]+LayTable[[#This Row],[BookieInnsats]])</f>
        <v>0</v>
      </c>
      <c r="AD1999" s="43" t="e">
        <f>(LayTable[[#This Row],[LayWin-Commission]])+LayTable[[#This Row],[LayLiability]]</f>
        <v>#VALUE!</v>
      </c>
      <c r="AE1999" s="43"/>
      <c r="AF1999" s="181"/>
    </row>
    <row r="2000" spans="1:32">
      <c r="A2000" s="84"/>
      <c r="B2000" s="39"/>
      <c r="C2000" s="40"/>
      <c r="D2000" s="41"/>
      <c r="E2000" s="40"/>
      <c r="F2000" s="41"/>
      <c r="G2000" s="101"/>
      <c r="H2000" s="38"/>
      <c r="I2000" s="42"/>
      <c r="J2000" s="42"/>
      <c r="K2000" s="43"/>
      <c r="L2000" s="43"/>
      <c r="M2000" s="44" t="str">
        <f>IF(LayTable[[#This Row],[Sport]]="","",LayTable[[#This Row],[LayInnsats]]*(LayTable[[#This Row],[LayOdds]]-1))</f>
        <v/>
      </c>
      <c r="N2000" s="45" t="str">
        <f>IF(LayTable[[#This Row],[Sport]]="","",1/((1/LayTable[[#This Row],[BookieOdds]])+(1/((1/((1+((LayTable[[#This Row],[LayOdds]]-1)*(1+LayTable[[#This Row],[C% Lay]])))-1))+1)))-1)</f>
        <v/>
      </c>
      <c r="Q2000" s="46" t="str">
        <f>IF(LayTable[[#This Row],[Sport]]="","",LayTable[[#This Row],[BookieInnsats]]+LayTable[[#This Row],[LayLiability]])</f>
        <v/>
      </c>
      <c r="R20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0" s="47" t="str">
        <f>IF(LayTable[[#This Row],[Utfall bookie]]="","",LayTable[[#This Row],[WBABack]]+LayTable[[#This Row],[WBALay]]-LayTable[[#This Row],[Total inns]])</f>
        <v/>
      </c>
      <c r="U20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0" s="48" t="str">
        <f>IFERROR(IF(LayTable[[#This Row],[Total inns]]="","",LayTable[[#This Row],[Rback]]/LayTable[[#This Row],[Total inns]]),"")</f>
        <v/>
      </c>
      <c r="X2000" s="48" t="str">
        <f>IFERROR(IF(LayTable[[#This Row],[Total inns]]="","",LayTable[[#This Row],[Rlay]]/LayTable[[#This Row],[Total inns]]),"")</f>
        <v/>
      </c>
      <c r="Y2000" s="48" t="str">
        <f>IFERROR(LayTable[[#This Row],[Faktisk res]]/LayTable[[#This Row],[Total inns]],"")</f>
        <v/>
      </c>
      <c r="Z2000" s="47">
        <f>(LayTable[[#This Row],[BookieInnsats]]*LayTable[[#This Row],[BookieOdds]]-LayTable[[#This Row],[BookieInnsats]])*(1-LayTable[[#This Row],[C% Bookie]])</f>
        <v>0</v>
      </c>
      <c r="AA2000" s="43">
        <f>LayTable[[#This Row],[LayInnsats]]*(1-LayTable[[#This Row],[C% Lay]])</f>
        <v>0</v>
      </c>
      <c r="AB2000" s="43" t="str">
        <f>IFERROR(IF(LayTable[[#This Row],[Sport]]="",AB1999,LayTable[[#This Row],[Faktisk res]]+AB1999),"")</f>
        <v/>
      </c>
      <c r="AC2000" s="43">
        <f>(LayTable[[#This Row],[BackWin-Commission]]+LayTable[[#This Row],[BookieInnsats]])</f>
        <v>0</v>
      </c>
      <c r="AD2000" s="43" t="e">
        <f>(LayTable[[#This Row],[LayWin-Commission]])+LayTable[[#This Row],[LayLiability]]</f>
        <v>#VALUE!</v>
      </c>
      <c r="AE2000" s="43"/>
      <c r="AF2000" s="181"/>
    </row>
    <row r="2001" spans="1:32">
      <c r="A2001" s="84"/>
      <c r="B2001" s="39"/>
      <c r="C2001" s="40"/>
      <c r="D2001" s="41"/>
      <c r="E2001" s="40"/>
      <c r="F2001" s="41"/>
      <c r="G2001" s="101"/>
      <c r="H2001" s="38"/>
      <c r="I2001" s="42"/>
      <c r="J2001" s="42"/>
      <c r="K2001" s="43"/>
      <c r="L2001" s="43"/>
      <c r="M2001" s="44" t="str">
        <f>IF(LayTable[[#This Row],[Sport]]="","",LayTable[[#This Row],[LayInnsats]]*(LayTable[[#This Row],[LayOdds]]-1))</f>
        <v/>
      </c>
      <c r="N2001" s="45" t="str">
        <f>IF(LayTable[[#This Row],[Sport]]="","",1/((1/LayTable[[#This Row],[BookieOdds]])+(1/((1/((1+((LayTable[[#This Row],[LayOdds]]-1)*(1+LayTable[[#This Row],[C% Lay]])))-1))+1)))-1)</f>
        <v/>
      </c>
      <c r="Q2001" s="46" t="str">
        <f>IF(LayTable[[#This Row],[Sport]]="","",LayTable[[#This Row],[BookieInnsats]]+LayTable[[#This Row],[LayLiability]])</f>
        <v/>
      </c>
      <c r="R20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1" s="47" t="str">
        <f>IF(LayTable[[#This Row],[Utfall bookie]]="","",LayTable[[#This Row],[WBABack]]+LayTable[[#This Row],[WBALay]]-LayTable[[#This Row],[Total inns]])</f>
        <v/>
      </c>
      <c r="U20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1" s="48" t="str">
        <f>IFERROR(IF(LayTable[[#This Row],[Total inns]]="","",LayTable[[#This Row],[Rback]]/LayTable[[#This Row],[Total inns]]),"")</f>
        <v/>
      </c>
      <c r="X2001" s="48" t="str">
        <f>IFERROR(IF(LayTable[[#This Row],[Total inns]]="","",LayTable[[#This Row],[Rlay]]/LayTable[[#This Row],[Total inns]]),"")</f>
        <v/>
      </c>
      <c r="Y2001" s="48" t="str">
        <f>IFERROR(LayTable[[#This Row],[Faktisk res]]/LayTable[[#This Row],[Total inns]],"")</f>
        <v/>
      </c>
      <c r="Z2001" s="47">
        <f>(LayTable[[#This Row],[BookieInnsats]]*LayTable[[#This Row],[BookieOdds]]-LayTable[[#This Row],[BookieInnsats]])*(1-LayTable[[#This Row],[C% Bookie]])</f>
        <v>0</v>
      </c>
      <c r="AA2001" s="43">
        <f>LayTable[[#This Row],[LayInnsats]]*(1-LayTable[[#This Row],[C% Lay]])</f>
        <v>0</v>
      </c>
      <c r="AB2001" s="43" t="str">
        <f>IFERROR(IF(LayTable[[#This Row],[Sport]]="",AB2000,LayTable[[#This Row],[Faktisk res]]+AB2000),"")</f>
        <v/>
      </c>
      <c r="AC2001" s="43">
        <f>(LayTable[[#This Row],[BackWin-Commission]]+LayTable[[#This Row],[BookieInnsats]])</f>
        <v>0</v>
      </c>
      <c r="AD2001" s="43" t="e">
        <f>(LayTable[[#This Row],[LayWin-Commission]])+LayTable[[#This Row],[LayLiability]]</f>
        <v>#VALUE!</v>
      </c>
      <c r="AE2001" s="43"/>
      <c r="AF2001" s="181"/>
    </row>
    <row r="2002" spans="1:32">
      <c r="A2002" s="84"/>
      <c r="B2002" s="39"/>
      <c r="C2002" s="40"/>
      <c r="D2002" s="41"/>
      <c r="E2002" s="40"/>
      <c r="F2002" s="41"/>
      <c r="G2002" s="101"/>
      <c r="H2002" s="38"/>
      <c r="I2002" s="42"/>
      <c r="J2002" s="42"/>
      <c r="K2002" s="43"/>
      <c r="L2002" s="43"/>
      <c r="M2002" s="44" t="str">
        <f>IF(LayTable[[#This Row],[Sport]]="","",LayTable[[#This Row],[LayInnsats]]*(LayTable[[#This Row],[LayOdds]]-1))</f>
        <v/>
      </c>
      <c r="N2002" s="45" t="str">
        <f>IF(LayTable[[#This Row],[Sport]]="","",1/((1/LayTable[[#This Row],[BookieOdds]])+(1/((1/((1+((LayTable[[#This Row],[LayOdds]]-1)*(1+LayTable[[#This Row],[C% Lay]])))-1))+1)))-1)</f>
        <v/>
      </c>
      <c r="Q2002" s="46" t="str">
        <f>IF(LayTable[[#This Row],[Sport]]="","",LayTable[[#This Row],[BookieInnsats]]+LayTable[[#This Row],[LayLiability]])</f>
        <v/>
      </c>
      <c r="R20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2" s="47" t="str">
        <f>IF(LayTable[[#This Row],[Utfall bookie]]="","",LayTable[[#This Row],[WBABack]]+LayTable[[#This Row],[WBALay]]-LayTable[[#This Row],[Total inns]])</f>
        <v/>
      </c>
      <c r="U20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2" s="48" t="str">
        <f>IFERROR(IF(LayTable[[#This Row],[Total inns]]="","",LayTable[[#This Row],[Rback]]/LayTable[[#This Row],[Total inns]]),"")</f>
        <v/>
      </c>
      <c r="X2002" s="48" t="str">
        <f>IFERROR(IF(LayTable[[#This Row],[Total inns]]="","",LayTable[[#This Row],[Rlay]]/LayTable[[#This Row],[Total inns]]),"")</f>
        <v/>
      </c>
      <c r="Y2002" s="48" t="str">
        <f>IFERROR(LayTable[[#This Row],[Faktisk res]]/LayTable[[#This Row],[Total inns]],"")</f>
        <v/>
      </c>
      <c r="Z2002" s="47">
        <f>(LayTable[[#This Row],[BookieInnsats]]*LayTable[[#This Row],[BookieOdds]]-LayTable[[#This Row],[BookieInnsats]])*(1-LayTable[[#This Row],[C% Bookie]])</f>
        <v>0</v>
      </c>
      <c r="AA2002" s="43">
        <f>LayTable[[#This Row],[LayInnsats]]*(1-LayTable[[#This Row],[C% Lay]])</f>
        <v>0</v>
      </c>
      <c r="AB2002" s="43" t="str">
        <f>IFERROR(IF(LayTable[[#This Row],[Sport]]="",AB2001,LayTable[[#This Row],[Faktisk res]]+AB2001),"")</f>
        <v/>
      </c>
      <c r="AC2002" s="43">
        <f>(LayTable[[#This Row],[BackWin-Commission]]+LayTable[[#This Row],[BookieInnsats]])</f>
        <v>0</v>
      </c>
      <c r="AD2002" s="43" t="e">
        <f>(LayTable[[#This Row],[LayWin-Commission]])+LayTable[[#This Row],[LayLiability]]</f>
        <v>#VALUE!</v>
      </c>
      <c r="AE2002" s="43"/>
      <c r="AF2002" s="181"/>
    </row>
    <row r="2003" spans="1:32">
      <c r="A2003" s="84"/>
      <c r="B2003" s="39"/>
      <c r="C2003" s="40"/>
      <c r="D2003" s="41"/>
      <c r="E2003" s="40"/>
      <c r="F2003" s="41"/>
      <c r="G2003" s="101"/>
      <c r="H2003" s="38"/>
      <c r="I2003" s="42"/>
      <c r="J2003" s="42"/>
      <c r="K2003" s="43"/>
      <c r="L2003" s="43"/>
      <c r="M2003" s="44" t="str">
        <f>IF(LayTable[[#This Row],[Sport]]="","",LayTable[[#This Row],[LayInnsats]]*(LayTable[[#This Row],[LayOdds]]-1))</f>
        <v/>
      </c>
      <c r="N2003" s="45" t="str">
        <f>IF(LayTable[[#This Row],[Sport]]="","",1/((1/LayTable[[#This Row],[BookieOdds]])+(1/((1/((1+((LayTable[[#This Row],[LayOdds]]-1)*(1+LayTable[[#This Row],[C% Lay]])))-1))+1)))-1)</f>
        <v/>
      </c>
      <c r="Q2003" s="46" t="str">
        <f>IF(LayTable[[#This Row],[Sport]]="","",LayTable[[#This Row],[BookieInnsats]]+LayTable[[#This Row],[LayLiability]])</f>
        <v/>
      </c>
      <c r="R20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3" s="47" t="str">
        <f>IF(LayTable[[#This Row],[Utfall bookie]]="","",LayTable[[#This Row],[WBABack]]+LayTable[[#This Row],[WBALay]]-LayTable[[#This Row],[Total inns]])</f>
        <v/>
      </c>
      <c r="U20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3" s="48" t="str">
        <f>IFERROR(IF(LayTable[[#This Row],[Total inns]]="","",LayTable[[#This Row],[Rback]]/LayTable[[#This Row],[Total inns]]),"")</f>
        <v/>
      </c>
      <c r="X2003" s="48" t="str">
        <f>IFERROR(IF(LayTable[[#This Row],[Total inns]]="","",LayTable[[#This Row],[Rlay]]/LayTable[[#This Row],[Total inns]]),"")</f>
        <v/>
      </c>
      <c r="Y2003" s="48" t="str">
        <f>IFERROR(LayTable[[#This Row],[Faktisk res]]/LayTable[[#This Row],[Total inns]],"")</f>
        <v/>
      </c>
      <c r="Z2003" s="47">
        <f>(LayTable[[#This Row],[BookieInnsats]]*LayTable[[#This Row],[BookieOdds]]-LayTable[[#This Row],[BookieInnsats]])*(1-LayTable[[#This Row],[C% Bookie]])</f>
        <v>0</v>
      </c>
      <c r="AA2003" s="43">
        <f>LayTable[[#This Row],[LayInnsats]]*(1-LayTable[[#This Row],[C% Lay]])</f>
        <v>0</v>
      </c>
      <c r="AB2003" s="43" t="str">
        <f>IFERROR(IF(LayTable[[#This Row],[Sport]]="",AB2002,LayTable[[#This Row],[Faktisk res]]+AB2002),"")</f>
        <v/>
      </c>
      <c r="AC2003" s="43">
        <f>(LayTable[[#This Row],[BackWin-Commission]]+LayTable[[#This Row],[BookieInnsats]])</f>
        <v>0</v>
      </c>
      <c r="AD2003" s="43" t="e">
        <f>(LayTable[[#This Row],[LayWin-Commission]])+LayTable[[#This Row],[LayLiability]]</f>
        <v>#VALUE!</v>
      </c>
      <c r="AE2003" s="43"/>
      <c r="AF2003" s="181"/>
    </row>
    <row r="2004" spans="1:32">
      <c r="A2004" s="84"/>
      <c r="B2004" s="39"/>
      <c r="C2004" s="40"/>
      <c r="D2004" s="41"/>
      <c r="E2004" s="40"/>
      <c r="F2004" s="41"/>
      <c r="G2004" s="101"/>
      <c r="H2004" s="38"/>
      <c r="I2004" s="42"/>
      <c r="J2004" s="42"/>
      <c r="K2004" s="43"/>
      <c r="L2004" s="43"/>
      <c r="M2004" s="44" t="str">
        <f>IF(LayTable[[#This Row],[Sport]]="","",LayTable[[#This Row],[LayInnsats]]*(LayTable[[#This Row],[LayOdds]]-1))</f>
        <v/>
      </c>
      <c r="N2004" s="45" t="str">
        <f>IF(LayTable[[#This Row],[Sport]]="","",1/((1/LayTable[[#This Row],[BookieOdds]])+(1/((1/((1+((LayTable[[#This Row],[LayOdds]]-1)*(1+LayTable[[#This Row],[C% Lay]])))-1))+1)))-1)</f>
        <v/>
      </c>
      <c r="Q2004" s="46" t="str">
        <f>IF(LayTable[[#This Row],[Sport]]="","",LayTable[[#This Row],[BookieInnsats]]+LayTable[[#This Row],[LayLiability]])</f>
        <v/>
      </c>
      <c r="R20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4" s="47" t="str">
        <f>IF(LayTable[[#This Row],[Utfall bookie]]="","",LayTable[[#This Row],[WBABack]]+LayTable[[#This Row],[WBALay]]-LayTable[[#This Row],[Total inns]])</f>
        <v/>
      </c>
      <c r="U20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4" s="48" t="str">
        <f>IFERROR(IF(LayTable[[#This Row],[Total inns]]="","",LayTable[[#This Row],[Rback]]/LayTable[[#This Row],[Total inns]]),"")</f>
        <v/>
      </c>
      <c r="X2004" s="48" t="str">
        <f>IFERROR(IF(LayTable[[#This Row],[Total inns]]="","",LayTable[[#This Row],[Rlay]]/LayTable[[#This Row],[Total inns]]),"")</f>
        <v/>
      </c>
      <c r="Y2004" s="48" t="str">
        <f>IFERROR(LayTable[[#This Row],[Faktisk res]]/LayTable[[#This Row],[Total inns]],"")</f>
        <v/>
      </c>
      <c r="Z2004" s="47">
        <f>(LayTable[[#This Row],[BookieInnsats]]*LayTable[[#This Row],[BookieOdds]]-LayTable[[#This Row],[BookieInnsats]])*(1-LayTable[[#This Row],[C% Bookie]])</f>
        <v>0</v>
      </c>
      <c r="AA2004" s="43">
        <f>LayTable[[#This Row],[LayInnsats]]*(1-LayTable[[#This Row],[C% Lay]])</f>
        <v>0</v>
      </c>
      <c r="AB2004" s="43" t="str">
        <f>IFERROR(IF(LayTable[[#This Row],[Sport]]="",AB2003,LayTable[[#This Row],[Faktisk res]]+AB2003),"")</f>
        <v/>
      </c>
      <c r="AC2004" s="43">
        <f>(LayTable[[#This Row],[BackWin-Commission]]+LayTable[[#This Row],[BookieInnsats]])</f>
        <v>0</v>
      </c>
      <c r="AD2004" s="43" t="e">
        <f>(LayTable[[#This Row],[LayWin-Commission]])+LayTable[[#This Row],[LayLiability]]</f>
        <v>#VALUE!</v>
      </c>
      <c r="AE2004" s="43"/>
      <c r="AF2004" s="181"/>
    </row>
    <row r="2005" spans="1:32">
      <c r="A2005" s="84"/>
      <c r="B2005" s="39"/>
      <c r="C2005" s="40"/>
      <c r="D2005" s="41"/>
      <c r="E2005" s="40"/>
      <c r="F2005" s="41"/>
      <c r="G2005" s="101"/>
      <c r="H2005" s="38"/>
      <c r="I2005" s="42"/>
      <c r="J2005" s="42"/>
      <c r="K2005" s="43"/>
      <c r="L2005" s="43"/>
      <c r="M2005" s="44" t="str">
        <f>IF(LayTable[[#This Row],[Sport]]="","",LayTable[[#This Row],[LayInnsats]]*(LayTable[[#This Row],[LayOdds]]-1))</f>
        <v/>
      </c>
      <c r="N2005" s="45" t="str">
        <f>IF(LayTable[[#This Row],[Sport]]="","",1/((1/LayTable[[#This Row],[BookieOdds]])+(1/((1/((1+((LayTable[[#This Row],[LayOdds]]-1)*(1+LayTable[[#This Row],[C% Lay]])))-1))+1)))-1)</f>
        <v/>
      </c>
      <c r="Q2005" s="46" t="str">
        <f>IF(LayTable[[#This Row],[Sport]]="","",LayTable[[#This Row],[BookieInnsats]]+LayTable[[#This Row],[LayLiability]])</f>
        <v/>
      </c>
      <c r="R20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5" s="47" t="str">
        <f>IF(LayTable[[#This Row],[Utfall bookie]]="","",LayTable[[#This Row],[WBABack]]+LayTable[[#This Row],[WBALay]]-LayTable[[#This Row],[Total inns]])</f>
        <v/>
      </c>
      <c r="U20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5" s="48" t="str">
        <f>IFERROR(IF(LayTable[[#This Row],[Total inns]]="","",LayTable[[#This Row],[Rback]]/LayTable[[#This Row],[Total inns]]),"")</f>
        <v/>
      </c>
      <c r="X2005" s="48" t="str">
        <f>IFERROR(IF(LayTable[[#This Row],[Total inns]]="","",LayTable[[#This Row],[Rlay]]/LayTable[[#This Row],[Total inns]]),"")</f>
        <v/>
      </c>
      <c r="Y2005" s="48" t="str">
        <f>IFERROR(LayTable[[#This Row],[Faktisk res]]/LayTable[[#This Row],[Total inns]],"")</f>
        <v/>
      </c>
      <c r="Z2005" s="47">
        <f>(LayTable[[#This Row],[BookieInnsats]]*LayTable[[#This Row],[BookieOdds]]-LayTable[[#This Row],[BookieInnsats]])*(1-LayTable[[#This Row],[C% Bookie]])</f>
        <v>0</v>
      </c>
      <c r="AA2005" s="43">
        <f>LayTable[[#This Row],[LayInnsats]]*(1-LayTable[[#This Row],[C% Lay]])</f>
        <v>0</v>
      </c>
      <c r="AB2005" s="43" t="str">
        <f>IFERROR(IF(LayTable[[#This Row],[Sport]]="",AB2004,LayTable[[#This Row],[Faktisk res]]+AB2004),"")</f>
        <v/>
      </c>
      <c r="AC2005" s="43">
        <f>(LayTable[[#This Row],[BackWin-Commission]]+LayTable[[#This Row],[BookieInnsats]])</f>
        <v>0</v>
      </c>
      <c r="AD2005" s="43" t="e">
        <f>(LayTable[[#This Row],[LayWin-Commission]])+LayTable[[#This Row],[LayLiability]]</f>
        <v>#VALUE!</v>
      </c>
      <c r="AE2005" s="43"/>
      <c r="AF2005" s="181"/>
    </row>
    <row r="2006" spans="1:32">
      <c r="A2006" s="84"/>
      <c r="B2006" s="39"/>
      <c r="C2006" s="40"/>
      <c r="D2006" s="41"/>
      <c r="E2006" s="40"/>
      <c r="F2006" s="41"/>
      <c r="G2006" s="101"/>
      <c r="H2006" s="38"/>
      <c r="I2006" s="42"/>
      <c r="J2006" s="42"/>
      <c r="K2006" s="43"/>
      <c r="L2006" s="43"/>
      <c r="M2006" s="44" t="str">
        <f>IF(LayTable[[#This Row],[Sport]]="","",LayTable[[#This Row],[LayInnsats]]*(LayTable[[#This Row],[LayOdds]]-1))</f>
        <v/>
      </c>
      <c r="N2006" s="45" t="str">
        <f>IF(LayTable[[#This Row],[Sport]]="","",1/((1/LayTable[[#This Row],[BookieOdds]])+(1/((1/((1+((LayTable[[#This Row],[LayOdds]]-1)*(1+LayTable[[#This Row],[C% Lay]])))-1))+1)))-1)</f>
        <v/>
      </c>
      <c r="Q2006" s="46" t="str">
        <f>IF(LayTable[[#This Row],[Sport]]="","",LayTable[[#This Row],[BookieInnsats]]+LayTable[[#This Row],[LayLiability]])</f>
        <v/>
      </c>
      <c r="R20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6" s="47" t="str">
        <f>IF(LayTable[[#This Row],[Utfall bookie]]="","",LayTable[[#This Row],[WBABack]]+LayTable[[#This Row],[WBALay]]-LayTable[[#This Row],[Total inns]])</f>
        <v/>
      </c>
      <c r="U20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6" s="48" t="str">
        <f>IFERROR(IF(LayTable[[#This Row],[Total inns]]="","",LayTable[[#This Row],[Rback]]/LayTable[[#This Row],[Total inns]]),"")</f>
        <v/>
      </c>
      <c r="X2006" s="48" t="str">
        <f>IFERROR(IF(LayTable[[#This Row],[Total inns]]="","",LayTable[[#This Row],[Rlay]]/LayTable[[#This Row],[Total inns]]),"")</f>
        <v/>
      </c>
      <c r="Y2006" s="48" t="str">
        <f>IFERROR(LayTable[[#This Row],[Faktisk res]]/LayTable[[#This Row],[Total inns]],"")</f>
        <v/>
      </c>
      <c r="Z2006" s="47">
        <f>(LayTable[[#This Row],[BookieInnsats]]*LayTable[[#This Row],[BookieOdds]]-LayTable[[#This Row],[BookieInnsats]])*(1-LayTable[[#This Row],[C% Bookie]])</f>
        <v>0</v>
      </c>
      <c r="AA2006" s="43">
        <f>LayTable[[#This Row],[LayInnsats]]*(1-LayTable[[#This Row],[C% Lay]])</f>
        <v>0</v>
      </c>
      <c r="AB2006" s="43" t="str">
        <f>IFERROR(IF(LayTable[[#This Row],[Sport]]="",AB2005,LayTable[[#This Row],[Faktisk res]]+AB2005),"")</f>
        <v/>
      </c>
      <c r="AC2006" s="43">
        <f>(LayTable[[#This Row],[BackWin-Commission]]+LayTable[[#This Row],[BookieInnsats]])</f>
        <v>0</v>
      </c>
      <c r="AD2006" s="43" t="e">
        <f>(LayTable[[#This Row],[LayWin-Commission]])+LayTable[[#This Row],[LayLiability]]</f>
        <v>#VALUE!</v>
      </c>
      <c r="AE2006" s="43"/>
      <c r="AF2006" s="181"/>
    </row>
    <row r="2007" spans="1:32">
      <c r="A2007" s="84"/>
      <c r="B2007" s="39"/>
      <c r="C2007" s="40"/>
      <c r="D2007" s="41"/>
      <c r="E2007" s="40"/>
      <c r="F2007" s="41"/>
      <c r="G2007" s="101"/>
      <c r="H2007" s="38"/>
      <c r="I2007" s="42"/>
      <c r="J2007" s="42"/>
      <c r="K2007" s="43"/>
      <c r="L2007" s="43"/>
      <c r="M2007" s="44" t="str">
        <f>IF(LayTable[[#This Row],[Sport]]="","",LayTable[[#This Row],[LayInnsats]]*(LayTable[[#This Row],[LayOdds]]-1))</f>
        <v/>
      </c>
      <c r="N2007" s="45" t="str">
        <f>IF(LayTable[[#This Row],[Sport]]="","",1/((1/LayTable[[#This Row],[BookieOdds]])+(1/((1/((1+((LayTable[[#This Row],[LayOdds]]-1)*(1+LayTable[[#This Row],[C% Lay]])))-1))+1)))-1)</f>
        <v/>
      </c>
      <c r="Q2007" s="46" t="str">
        <f>IF(LayTable[[#This Row],[Sport]]="","",LayTable[[#This Row],[BookieInnsats]]+LayTable[[#This Row],[LayLiability]])</f>
        <v/>
      </c>
      <c r="R20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7" s="47" t="str">
        <f>IF(LayTable[[#This Row],[Utfall bookie]]="","",LayTable[[#This Row],[WBABack]]+LayTable[[#This Row],[WBALay]]-LayTable[[#This Row],[Total inns]])</f>
        <v/>
      </c>
      <c r="U20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7" s="48" t="str">
        <f>IFERROR(IF(LayTable[[#This Row],[Total inns]]="","",LayTable[[#This Row],[Rback]]/LayTable[[#This Row],[Total inns]]),"")</f>
        <v/>
      </c>
      <c r="X2007" s="48" t="str">
        <f>IFERROR(IF(LayTable[[#This Row],[Total inns]]="","",LayTable[[#This Row],[Rlay]]/LayTable[[#This Row],[Total inns]]),"")</f>
        <v/>
      </c>
      <c r="Y2007" s="48" t="str">
        <f>IFERROR(LayTable[[#This Row],[Faktisk res]]/LayTable[[#This Row],[Total inns]],"")</f>
        <v/>
      </c>
      <c r="Z2007" s="47">
        <f>(LayTable[[#This Row],[BookieInnsats]]*LayTable[[#This Row],[BookieOdds]]-LayTable[[#This Row],[BookieInnsats]])*(1-LayTable[[#This Row],[C% Bookie]])</f>
        <v>0</v>
      </c>
      <c r="AA2007" s="43">
        <f>LayTable[[#This Row],[LayInnsats]]*(1-LayTable[[#This Row],[C% Lay]])</f>
        <v>0</v>
      </c>
      <c r="AB2007" s="43" t="str">
        <f>IFERROR(IF(LayTable[[#This Row],[Sport]]="",AB2006,LayTable[[#This Row],[Faktisk res]]+AB2006),"")</f>
        <v/>
      </c>
      <c r="AC2007" s="43">
        <f>(LayTable[[#This Row],[BackWin-Commission]]+LayTable[[#This Row],[BookieInnsats]])</f>
        <v>0</v>
      </c>
      <c r="AD2007" s="43" t="e">
        <f>(LayTable[[#This Row],[LayWin-Commission]])+LayTable[[#This Row],[LayLiability]]</f>
        <v>#VALUE!</v>
      </c>
      <c r="AE2007" s="43"/>
      <c r="AF2007" s="181"/>
    </row>
    <row r="2008" spans="1:32">
      <c r="A2008" s="84"/>
      <c r="B2008" s="39"/>
      <c r="C2008" s="40"/>
      <c r="D2008" s="41"/>
      <c r="E2008" s="40"/>
      <c r="F2008" s="41"/>
      <c r="G2008" s="101"/>
      <c r="H2008" s="38"/>
      <c r="I2008" s="42"/>
      <c r="J2008" s="42"/>
      <c r="K2008" s="43"/>
      <c r="L2008" s="43"/>
      <c r="M2008" s="44" t="str">
        <f>IF(LayTable[[#This Row],[Sport]]="","",LayTable[[#This Row],[LayInnsats]]*(LayTable[[#This Row],[LayOdds]]-1))</f>
        <v/>
      </c>
      <c r="N2008" s="45" t="str">
        <f>IF(LayTable[[#This Row],[Sport]]="","",1/((1/LayTable[[#This Row],[BookieOdds]])+(1/((1/((1+((LayTable[[#This Row],[LayOdds]]-1)*(1+LayTable[[#This Row],[C% Lay]])))-1))+1)))-1)</f>
        <v/>
      </c>
      <c r="Q2008" s="46" t="str">
        <f>IF(LayTable[[#This Row],[Sport]]="","",LayTable[[#This Row],[BookieInnsats]]+LayTable[[#This Row],[LayLiability]])</f>
        <v/>
      </c>
      <c r="R20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8" s="47" t="str">
        <f>IF(LayTable[[#This Row],[Utfall bookie]]="","",LayTable[[#This Row],[WBABack]]+LayTable[[#This Row],[WBALay]]-LayTable[[#This Row],[Total inns]])</f>
        <v/>
      </c>
      <c r="U20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8" s="48" t="str">
        <f>IFERROR(IF(LayTable[[#This Row],[Total inns]]="","",LayTable[[#This Row],[Rback]]/LayTable[[#This Row],[Total inns]]),"")</f>
        <v/>
      </c>
      <c r="X2008" s="48" t="str">
        <f>IFERROR(IF(LayTable[[#This Row],[Total inns]]="","",LayTable[[#This Row],[Rlay]]/LayTable[[#This Row],[Total inns]]),"")</f>
        <v/>
      </c>
      <c r="Y2008" s="48" t="str">
        <f>IFERROR(LayTable[[#This Row],[Faktisk res]]/LayTable[[#This Row],[Total inns]],"")</f>
        <v/>
      </c>
      <c r="Z2008" s="47">
        <f>(LayTable[[#This Row],[BookieInnsats]]*LayTable[[#This Row],[BookieOdds]]-LayTable[[#This Row],[BookieInnsats]])*(1-LayTable[[#This Row],[C% Bookie]])</f>
        <v>0</v>
      </c>
      <c r="AA2008" s="43">
        <f>LayTable[[#This Row],[LayInnsats]]*(1-LayTable[[#This Row],[C% Lay]])</f>
        <v>0</v>
      </c>
      <c r="AB2008" s="43" t="str">
        <f>IFERROR(IF(LayTable[[#This Row],[Sport]]="",AB2007,LayTable[[#This Row],[Faktisk res]]+AB2007),"")</f>
        <v/>
      </c>
      <c r="AC2008" s="43">
        <f>(LayTable[[#This Row],[BackWin-Commission]]+LayTable[[#This Row],[BookieInnsats]])</f>
        <v>0</v>
      </c>
      <c r="AD2008" s="43" t="e">
        <f>(LayTable[[#This Row],[LayWin-Commission]])+LayTable[[#This Row],[LayLiability]]</f>
        <v>#VALUE!</v>
      </c>
      <c r="AE2008" s="43"/>
      <c r="AF2008" s="181"/>
    </row>
    <row r="2009" spans="1:32">
      <c r="A2009" s="84"/>
      <c r="B2009" s="39"/>
      <c r="C2009" s="40"/>
      <c r="D2009" s="41"/>
      <c r="E2009" s="40"/>
      <c r="F2009" s="41"/>
      <c r="G2009" s="101"/>
      <c r="H2009" s="38"/>
      <c r="I2009" s="42"/>
      <c r="J2009" s="42"/>
      <c r="K2009" s="43"/>
      <c r="L2009" s="43"/>
      <c r="M2009" s="44" t="str">
        <f>IF(LayTable[[#This Row],[Sport]]="","",LayTable[[#This Row],[LayInnsats]]*(LayTable[[#This Row],[LayOdds]]-1))</f>
        <v/>
      </c>
      <c r="N2009" s="45" t="str">
        <f>IF(LayTable[[#This Row],[Sport]]="","",1/((1/LayTable[[#This Row],[BookieOdds]])+(1/((1/((1+((LayTable[[#This Row],[LayOdds]]-1)*(1+LayTable[[#This Row],[C% Lay]])))-1))+1)))-1)</f>
        <v/>
      </c>
      <c r="Q2009" s="46" t="str">
        <f>IF(LayTable[[#This Row],[Sport]]="","",LayTable[[#This Row],[BookieInnsats]]+LayTable[[#This Row],[LayLiability]])</f>
        <v/>
      </c>
      <c r="R20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09" s="47" t="str">
        <f>IF(LayTable[[#This Row],[Utfall bookie]]="","",LayTable[[#This Row],[WBABack]]+LayTable[[#This Row],[WBALay]]-LayTable[[#This Row],[Total inns]])</f>
        <v/>
      </c>
      <c r="U20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09" s="48" t="str">
        <f>IFERROR(IF(LayTable[[#This Row],[Total inns]]="","",LayTable[[#This Row],[Rback]]/LayTable[[#This Row],[Total inns]]),"")</f>
        <v/>
      </c>
      <c r="X2009" s="48" t="str">
        <f>IFERROR(IF(LayTable[[#This Row],[Total inns]]="","",LayTable[[#This Row],[Rlay]]/LayTable[[#This Row],[Total inns]]),"")</f>
        <v/>
      </c>
      <c r="Y2009" s="48" t="str">
        <f>IFERROR(LayTable[[#This Row],[Faktisk res]]/LayTable[[#This Row],[Total inns]],"")</f>
        <v/>
      </c>
      <c r="Z2009" s="47">
        <f>(LayTable[[#This Row],[BookieInnsats]]*LayTable[[#This Row],[BookieOdds]]-LayTable[[#This Row],[BookieInnsats]])*(1-LayTable[[#This Row],[C% Bookie]])</f>
        <v>0</v>
      </c>
      <c r="AA2009" s="43">
        <f>LayTable[[#This Row],[LayInnsats]]*(1-LayTable[[#This Row],[C% Lay]])</f>
        <v>0</v>
      </c>
      <c r="AB2009" s="43" t="str">
        <f>IFERROR(IF(LayTable[[#This Row],[Sport]]="",AB2008,LayTable[[#This Row],[Faktisk res]]+AB2008),"")</f>
        <v/>
      </c>
      <c r="AC2009" s="43">
        <f>(LayTable[[#This Row],[BackWin-Commission]]+LayTable[[#This Row],[BookieInnsats]])</f>
        <v>0</v>
      </c>
      <c r="AD2009" s="43" t="e">
        <f>(LayTable[[#This Row],[LayWin-Commission]])+LayTable[[#This Row],[LayLiability]]</f>
        <v>#VALUE!</v>
      </c>
      <c r="AE2009" s="43"/>
      <c r="AF2009" s="181"/>
    </row>
    <row r="2010" spans="1:32">
      <c r="A2010" s="84"/>
      <c r="B2010" s="39"/>
      <c r="C2010" s="40"/>
      <c r="D2010" s="41"/>
      <c r="E2010" s="40"/>
      <c r="F2010" s="41"/>
      <c r="G2010" s="101"/>
      <c r="H2010" s="38"/>
      <c r="I2010" s="42"/>
      <c r="J2010" s="42"/>
      <c r="K2010" s="43"/>
      <c r="L2010" s="43"/>
      <c r="M2010" s="44" t="str">
        <f>IF(LayTable[[#This Row],[Sport]]="","",LayTable[[#This Row],[LayInnsats]]*(LayTable[[#This Row],[LayOdds]]-1))</f>
        <v/>
      </c>
      <c r="N2010" s="45" t="str">
        <f>IF(LayTable[[#This Row],[Sport]]="","",1/((1/LayTable[[#This Row],[BookieOdds]])+(1/((1/((1+((LayTable[[#This Row],[LayOdds]]-1)*(1+LayTable[[#This Row],[C% Lay]])))-1))+1)))-1)</f>
        <v/>
      </c>
      <c r="Q2010" s="46" t="str">
        <f>IF(LayTable[[#This Row],[Sport]]="","",LayTable[[#This Row],[BookieInnsats]]+LayTable[[#This Row],[LayLiability]])</f>
        <v/>
      </c>
      <c r="R20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0" s="47" t="str">
        <f>IF(LayTable[[#This Row],[Utfall bookie]]="","",LayTable[[#This Row],[WBABack]]+LayTable[[#This Row],[WBALay]]-LayTable[[#This Row],[Total inns]])</f>
        <v/>
      </c>
      <c r="U20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0" s="48" t="str">
        <f>IFERROR(IF(LayTable[[#This Row],[Total inns]]="","",LayTable[[#This Row],[Rback]]/LayTable[[#This Row],[Total inns]]),"")</f>
        <v/>
      </c>
      <c r="X2010" s="48" t="str">
        <f>IFERROR(IF(LayTable[[#This Row],[Total inns]]="","",LayTable[[#This Row],[Rlay]]/LayTable[[#This Row],[Total inns]]),"")</f>
        <v/>
      </c>
      <c r="Y2010" s="48" t="str">
        <f>IFERROR(LayTable[[#This Row],[Faktisk res]]/LayTable[[#This Row],[Total inns]],"")</f>
        <v/>
      </c>
      <c r="Z2010" s="47">
        <f>(LayTable[[#This Row],[BookieInnsats]]*LayTable[[#This Row],[BookieOdds]]-LayTable[[#This Row],[BookieInnsats]])*(1-LayTable[[#This Row],[C% Bookie]])</f>
        <v>0</v>
      </c>
      <c r="AA2010" s="43">
        <f>LayTable[[#This Row],[LayInnsats]]*(1-LayTable[[#This Row],[C% Lay]])</f>
        <v>0</v>
      </c>
      <c r="AB2010" s="43" t="str">
        <f>IFERROR(IF(LayTable[[#This Row],[Sport]]="",AB2009,LayTable[[#This Row],[Faktisk res]]+AB2009),"")</f>
        <v/>
      </c>
      <c r="AC2010" s="43">
        <f>(LayTable[[#This Row],[BackWin-Commission]]+LayTable[[#This Row],[BookieInnsats]])</f>
        <v>0</v>
      </c>
      <c r="AD2010" s="43" t="e">
        <f>(LayTable[[#This Row],[LayWin-Commission]])+LayTable[[#This Row],[LayLiability]]</f>
        <v>#VALUE!</v>
      </c>
      <c r="AE2010" s="43"/>
      <c r="AF2010" s="181"/>
    </row>
    <row r="2011" spans="1:32">
      <c r="A2011" s="84"/>
      <c r="B2011" s="39"/>
      <c r="C2011" s="40"/>
      <c r="D2011" s="41"/>
      <c r="E2011" s="40"/>
      <c r="F2011" s="41"/>
      <c r="G2011" s="101"/>
      <c r="H2011" s="38"/>
      <c r="I2011" s="42"/>
      <c r="J2011" s="42"/>
      <c r="K2011" s="43"/>
      <c r="L2011" s="43"/>
      <c r="M2011" s="44" t="str">
        <f>IF(LayTable[[#This Row],[Sport]]="","",LayTable[[#This Row],[LayInnsats]]*(LayTable[[#This Row],[LayOdds]]-1))</f>
        <v/>
      </c>
      <c r="N2011" s="45" t="str">
        <f>IF(LayTable[[#This Row],[Sport]]="","",1/((1/LayTable[[#This Row],[BookieOdds]])+(1/((1/((1+((LayTable[[#This Row],[LayOdds]]-1)*(1+LayTable[[#This Row],[C% Lay]])))-1))+1)))-1)</f>
        <v/>
      </c>
      <c r="Q2011" s="46" t="str">
        <f>IF(LayTable[[#This Row],[Sport]]="","",LayTable[[#This Row],[BookieInnsats]]+LayTable[[#This Row],[LayLiability]])</f>
        <v/>
      </c>
      <c r="R20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1" s="47" t="str">
        <f>IF(LayTable[[#This Row],[Utfall bookie]]="","",LayTable[[#This Row],[WBABack]]+LayTable[[#This Row],[WBALay]]-LayTable[[#This Row],[Total inns]])</f>
        <v/>
      </c>
      <c r="U20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1" s="48" t="str">
        <f>IFERROR(IF(LayTable[[#This Row],[Total inns]]="","",LayTable[[#This Row],[Rback]]/LayTable[[#This Row],[Total inns]]),"")</f>
        <v/>
      </c>
      <c r="X2011" s="48" t="str">
        <f>IFERROR(IF(LayTable[[#This Row],[Total inns]]="","",LayTable[[#This Row],[Rlay]]/LayTable[[#This Row],[Total inns]]),"")</f>
        <v/>
      </c>
      <c r="Y2011" s="48" t="str">
        <f>IFERROR(LayTable[[#This Row],[Faktisk res]]/LayTable[[#This Row],[Total inns]],"")</f>
        <v/>
      </c>
      <c r="Z2011" s="47">
        <f>(LayTable[[#This Row],[BookieInnsats]]*LayTable[[#This Row],[BookieOdds]]-LayTable[[#This Row],[BookieInnsats]])*(1-LayTable[[#This Row],[C% Bookie]])</f>
        <v>0</v>
      </c>
      <c r="AA2011" s="43">
        <f>LayTable[[#This Row],[LayInnsats]]*(1-LayTable[[#This Row],[C% Lay]])</f>
        <v>0</v>
      </c>
      <c r="AB2011" s="43" t="str">
        <f>IFERROR(IF(LayTable[[#This Row],[Sport]]="",AB2010,LayTable[[#This Row],[Faktisk res]]+AB2010),"")</f>
        <v/>
      </c>
      <c r="AC2011" s="43">
        <f>(LayTable[[#This Row],[BackWin-Commission]]+LayTable[[#This Row],[BookieInnsats]])</f>
        <v>0</v>
      </c>
      <c r="AD2011" s="43" t="e">
        <f>(LayTable[[#This Row],[LayWin-Commission]])+LayTable[[#This Row],[LayLiability]]</f>
        <v>#VALUE!</v>
      </c>
      <c r="AE2011" s="43"/>
      <c r="AF2011" s="181"/>
    </row>
    <row r="2012" spans="1:32">
      <c r="A2012" s="84"/>
      <c r="B2012" s="39"/>
      <c r="C2012" s="40"/>
      <c r="D2012" s="41"/>
      <c r="E2012" s="40"/>
      <c r="F2012" s="41"/>
      <c r="G2012" s="101"/>
      <c r="H2012" s="38"/>
      <c r="I2012" s="42"/>
      <c r="J2012" s="42"/>
      <c r="K2012" s="43"/>
      <c r="L2012" s="43"/>
      <c r="M2012" s="44" t="str">
        <f>IF(LayTable[[#This Row],[Sport]]="","",LayTable[[#This Row],[LayInnsats]]*(LayTable[[#This Row],[LayOdds]]-1))</f>
        <v/>
      </c>
      <c r="N2012" s="45" t="str">
        <f>IF(LayTable[[#This Row],[Sport]]="","",1/((1/LayTable[[#This Row],[BookieOdds]])+(1/((1/((1+((LayTable[[#This Row],[LayOdds]]-1)*(1+LayTable[[#This Row],[C% Lay]])))-1))+1)))-1)</f>
        <v/>
      </c>
      <c r="Q2012" s="46" t="str">
        <f>IF(LayTable[[#This Row],[Sport]]="","",LayTable[[#This Row],[BookieInnsats]]+LayTable[[#This Row],[LayLiability]])</f>
        <v/>
      </c>
      <c r="R20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2" s="47" t="str">
        <f>IF(LayTable[[#This Row],[Utfall bookie]]="","",LayTable[[#This Row],[WBABack]]+LayTable[[#This Row],[WBALay]]-LayTable[[#This Row],[Total inns]])</f>
        <v/>
      </c>
      <c r="U20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2" s="48" t="str">
        <f>IFERROR(IF(LayTable[[#This Row],[Total inns]]="","",LayTable[[#This Row],[Rback]]/LayTable[[#This Row],[Total inns]]),"")</f>
        <v/>
      </c>
      <c r="X2012" s="48" t="str">
        <f>IFERROR(IF(LayTable[[#This Row],[Total inns]]="","",LayTable[[#This Row],[Rlay]]/LayTable[[#This Row],[Total inns]]),"")</f>
        <v/>
      </c>
      <c r="Y2012" s="48" t="str">
        <f>IFERROR(LayTable[[#This Row],[Faktisk res]]/LayTable[[#This Row],[Total inns]],"")</f>
        <v/>
      </c>
      <c r="Z2012" s="47">
        <f>(LayTable[[#This Row],[BookieInnsats]]*LayTable[[#This Row],[BookieOdds]]-LayTable[[#This Row],[BookieInnsats]])*(1-LayTable[[#This Row],[C% Bookie]])</f>
        <v>0</v>
      </c>
      <c r="AA2012" s="43">
        <f>LayTable[[#This Row],[LayInnsats]]*(1-LayTable[[#This Row],[C% Lay]])</f>
        <v>0</v>
      </c>
      <c r="AB2012" s="43" t="str">
        <f>IFERROR(IF(LayTable[[#This Row],[Sport]]="",AB2011,LayTable[[#This Row],[Faktisk res]]+AB2011),"")</f>
        <v/>
      </c>
      <c r="AC2012" s="43">
        <f>(LayTable[[#This Row],[BackWin-Commission]]+LayTable[[#This Row],[BookieInnsats]])</f>
        <v>0</v>
      </c>
      <c r="AD2012" s="43" t="e">
        <f>(LayTable[[#This Row],[LayWin-Commission]])+LayTable[[#This Row],[LayLiability]]</f>
        <v>#VALUE!</v>
      </c>
      <c r="AE2012" s="43"/>
      <c r="AF2012" s="181"/>
    </row>
    <row r="2013" spans="1:32">
      <c r="A2013" s="84"/>
      <c r="B2013" s="39"/>
      <c r="C2013" s="40"/>
      <c r="D2013" s="41"/>
      <c r="E2013" s="40"/>
      <c r="F2013" s="41"/>
      <c r="G2013" s="101"/>
      <c r="H2013" s="38"/>
      <c r="I2013" s="42"/>
      <c r="J2013" s="42"/>
      <c r="K2013" s="43"/>
      <c r="L2013" s="43"/>
      <c r="M2013" s="44" t="str">
        <f>IF(LayTable[[#This Row],[Sport]]="","",LayTable[[#This Row],[LayInnsats]]*(LayTable[[#This Row],[LayOdds]]-1))</f>
        <v/>
      </c>
      <c r="N2013" s="45" t="str">
        <f>IF(LayTable[[#This Row],[Sport]]="","",1/((1/LayTable[[#This Row],[BookieOdds]])+(1/((1/((1+((LayTable[[#This Row],[LayOdds]]-1)*(1+LayTable[[#This Row],[C% Lay]])))-1))+1)))-1)</f>
        <v/>
      </c>
      <c r="Q2013" s="46" t="str">
        <f>IF(LayTable[[#This Row],[Sport]]="","",LayTable[[#This Row],[BookieInnsats]]+LayTable[[#This Row],[LayLiability]])</f>
        <v/>
      </c>
      <c r="R20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3" s="47" t="str">
        <f>IF(LayTable[[#This Row],[Utfall bookie]]="","",LayTable[[#This Row],[WBABack]]+LayTable[[#This Row],[WBALay]]-LayTable[[#This Row],[Total inns]])</f>
        <v/>
      </c>
      <c r="U20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3" s="48" t="str">
        <f>IFERROR(IF(LayTable[[#This Row],[Total inns]]="","",LayTable[[#This Row],[Rback]]/LayTable[[#This Row],[Total inns]]),"")</f>
        <v/>
      </c>
      <c r="X2013" s="48" t="str">
        <f>IFERROR(IF(LayTable[[#This Row],[Total inns]]="","",LayTable[[#This Row],[Rlay]]/LayTable[[#This Row],[Total inns]]),"")</f>
        <v/>
      </c>
      <c r="Y2013" s="48" t="str">
        <f>IFERROR(LayTable[[#This Row],[Faktisk res]]/LayTable[[#This Row],[Total inns]],"")</f>
        <v/>
      </c>
      <c r="Z2013" s="47">
        <f>(LayTable[[#This Row],[BookieInnsats]]*LayTable[[#This Row],[BookieOdds]]-LayTable[[#This Row],[BookieInnsats]])*(1-LayTable[[#This Row],[C% Bookie]])</f>
        <v>0</v>
      </c>
      <c r="AA2013" s="43">
        <f>LayTable[[#This Row],[LayInnsats]]*(1-LayTable[[#This Row],[C% Lay]])</f>
        <v>0</v>
      </c>
      <c r="AB2013" s="43" t="str">
        <f>IFERROR(IF(LayTable[[#This Row],[Sport]]="",AB2012,LayTable[[#This Row],[Faktisk res]]+AB2012),"")</f>
        <v/>
      </c>
      <c r="AC2013" s="43">
        <f>(LayTable[[#This Row],[BackWin-Commission]]+LayTable[[#This Row],[BookieInnsats]])</f>
        <v>0</v>
      </c>
      <c r="AD2013" s="43" t="e">
        <f>(LayTable[[#This Row],[LayWin-Commission]])+LayTable[[#This Row],[LayLiability]]</f>
        <v>#VALUE!</v>
      </c>
      <c r="AE2013" s="43"/>
      <c r="AF2013" s="181"/>
    </row>
    <row r="2014" spans="1:32">
      <c r="A2014" s="84"/>
      <c r="B2014" s="39"/>
      <c r="C2014" s="40"/>
      <c r="D2014" s="41"/>
      <c r="E2014" s="40"/>
      <c r="F2014" s="41"/>
      <c r="G2014" s="101"/>
      <c r="H2014" s="38"/>
      <c r="I2014" s="42"/>
      <c r="J2014" s="42"/>
      <c r="K2014" s="43"/>
      <c r="L2014" s="43"/>
      <c r="M2014" s="44" t="str">
        <f>IF(LayTable[[#This Row],[Sport]]="","",LayTable[[#This Row],[LayInnsats]]*(LayTable[[#This Row],[LayOdds]]-1))</f>
        <v/>
      </c>
      <c r="N2014" s="45" t="str">
        <f>IF(LayTable[[#This Row],[Sport]]="","",1/((1/LayTable[[#This Row],[BookieOdds]])+(1/((1/((1+((LayTable[[#This Row],[LayOdds]]-1)*(1+LayTable[[#This Row],[C% Lay]])))-1))+1)))-1)</f>
        <v/>
      </c>
      <c r="Q2014" s="46" t="str">
        <f>IF(LayTable[[#This Row],[Sport]]="","",LayTable[[#This Row],[BookieInnsats]]+LayTable[[#This Row],[LayLiability]])</f>
        <v/>
      </c>
      <c r="R20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4" s="47" t="str">
        <f>IF(LayTable[[#This Row],[Utfall bookie]]="","",LayTable[[#This Row],[WBABack]]+LayTable[[#This Row],[WBALay]]-LayTable[[#This Row],[Total inns]])</f>
        <v/>
      </c>
      <c r="U20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4" s="48" t="str">
        <f>IFERROR(IF(LayTable[[#This Row],[Total inns]]="","",LayTable[[#This Row],[Rback]]/LayTable[[#This Row],[Total inns]]),"")</f>
        <v/>
      </c>
      <c r="X2014" s="48" t="str">
        <f>IFERROR(IF(LayTable[[#This Row],[Total inns]]="","",LayTable[[#This Row],[Rlay]]/LayTable[[#This Row],[Total inns]]),"")</f>
        <v/>
      </c>
      <c r="Y2014" s="48" t="str">
        <f>IFERROR(LayTable[[#This Row],[Faktisk res]]/LayTable[[#This Row],[Total inns]],"")</f>
        <v/>
      </c>
      <c r="Z2014" s="47">
        <f>(LayTable[[#This Row],[BookieInnsats]]*LayTable[[#This Row],[BookieOdds]]-LayTable[[#This Row],[BookieInnsats]])*(1-LayTable[[#This Row],[C% Bookie]])</f>
        <v>0</v>
      </c>
      <c r="AA2014" s="43">
        <f>LayTable[[#This Row],[LayInnsats]]*(1-LayTable[[#This Row],[C% Lay]])</f>
        <v>0</v>
      </c>
      <c r="AB2014" s="43" t="str">
        <f>IFERROR(IF(LayTable[[#This Row],[Sport]]="",AB2013,LayTable[[#This Row],[Faktisk res]]+AB2013),"")</f>
        <v/>
      </c>
      <c r="AC2014" s="43">
        <f>(LayTable[[#This Row],[BackWin-Commission]]+LayTable[[#This Row],[BookieInnsats]])</f>
        <v>0</v>
      </c>
      <c r="AD2014" s="43" t="e">
        <f>(LayTable[[#This Row],[LayWin-Commission]])+LayTable[[#This Row],[LayLiability]]</f>
        <v>#VALUE!</v>
      </c>
      <c r="AE2014" s="43"/>
      <c r="AF2014" s="181"/>
    </row>
    <row r="2015" spans="1:32">
      <c r="A2015" s="84"/>
      <c r="B2015" s="39"/>
      <c r="C2015" s="40"/>
      <c r="D2015" s="41"/>
      <c r="E2015" s="40"/>
      <c r="F2015" s="41"/>
      <c r="G2015" s="101"/>
      <c r="H2015" s="38"/>
      <c r="I2015" s="42"/>
      <c r="J2015" s="42"/>
      <c r="K2015" s="43"/>
      <c r="L2015" s="43"/>
      <c r="M2015" s="44" t="str">
        <f>IF(LayTable[[#This Row],[Sport]]="","",LayTable[[#This Row],[LayInnsats]]*(LayTable[[#This Row],[LayOdds]]-1))</f>
        <v/>
      </c>
      <c r="N2015" s="45" t="str">
        <f>IF(LayTable[[#This Row],[Sport]]="","",1/((1/LayTable[[#This Row],[BookieOdds]])+(1/((1/((1+((LayTable[[#This Row],[LayOdds]]-1)*(1+LayTable[[#This Row],[C% Lay]])))-1))+1)))-1)</f>
        <v/>
      </c>
      <c r="Q2015" s="46" t="str">
        <f>IF(LayTable[[#This Row],[Sport]]="","",LayTable[[#This Row],[BookieInnsats]]+LayTable[[#This Row],[LayLiability]])</f>
        <v/>
      </c>
      <c r="R20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5" s="47" t="str">
        <f>IF(LayTable[[#This Row],[Utfall bookie]]="","",LayTable[[#This Row],[WBABack]]+LayTable[[#This Row],[WBALay]]-LayTable[[#This Row],[Total inns]])</f>
        <v/>
      </c>
      <c r="U20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5" s="48" t="str">
        <f>IFERROR(IF(LayTable[[#This Row],[Total inns]]="","",LayTable[[#This Row],[Rback]]/LayTable[[#This Row],[Total inns]]),"")</f>
        <v/>
      </c>
      <c r="X2015" s="48" t="str">
        <f>IFERROR(IF(LayTable[[#This Row],[Total inns]]="","",LayTable[[#This Row],[Rlay]]/LayTable[[#This Row],[Total inns]]),"")</f>
        <v/>
      </c>
      <c r="Y2015" s="48" t="str">
        <f>IFERROR(LayTable[[#This Row],[Faktisk res]]/LayTable[[#This Row],[Total inns]],"")</f>
        <v/>
      </c>
      <c r="Z2015" s="47">
        <f>(LayTable[[#This Row],[BookieInnsats]]*LayTable[[#This Row],[BookieOdds]]-LayTable[[#This Row],[BookieInnsats]])*(1-LayTable[[#This Row],[C% Bookie]])</f>
        <v>0</v>
      </c>
      <c r="AA2015" s="43">
        <f>LayTable[[#This Row],[LayInnsats]]*(1-LayTable[[#This Row],[C% Lay]])</f>
        <v>0</v>
      </c>
      <c r="AB2015" s="43" t="str">
        <f>IFERROR(IF(LayTable[[#This Row],[Sport]]="",AB2014,LayTable[[#This Row],[Faktisk res]]+AB2014),"")</f>
        <v/>
      </c>
      <c r="AC2015" s="43">
        <f>(LayTable[[#This Row],[BackWin-Commission]]+LayTable[[#This Row],[BookieInnsats]])</f>
        <v>0</v>
      </c>
      <c r="AD2015" s="43" t="e">
        <f>(LayTable[[#This Row],[LayWin-Commission]])+LayTable[[#This Row],[LayLiability]]</f>
        <v>#VALUE!</v>
      </c>
      <c r="AE2015" s="43"/>
      <c r="AF2015" s="181"/>
    </row>
    <row r="2016" spans="1:32">
      <c r="A2016" s="84"/>
      <c r="B2016" s="39"/>
      <c r="C2016" s="40"/>
      <c r="D2016" s="41"/>
      <c r="E2016" s="40"/>
      <c r="F2016" s="41"/>
      <c r="G2016" s="101"/>
      <c r="H2016" s="38"/>
      <c r="I2016" s="42"/>
      <c r="J2016" s="42"/>
      <c r="K2016" s="43"/>
      <c r="L2016" s="43"/>
      <c r="M2016" s="44" t="str">
        <f>IF(LayTable[[#This Row],[Sport]]="","",LayTable[[#This Row],[LayInnsats]]*(LayTable[[#This Row],[LayOdds]]-1))</f>
        <v/>
      </c>
      <c r="N2016" s="45" t="str">
        <f>IF(LayTable[[#This Row],[Sport]]="","",1/((1/LayTable[[#This Row],[BookieOdds]])+(1/((1/((1+((LayTable[[#This Row],[LayOdds]]-1)*(1+LayTable[[#This Row],[C% Lay]])))-1))+1)))-1)</f>
        <v/>
      </c>
      <c r="Q2016" s="46" t="str">
        <f>IF(LayTable[[#This Row],[Sport]]="","",LayTable[[#This Row],[BookieInnsats]]+LayTable[[#This Row],[LayLiability]])</f>
        <v/>
      </c>
      <c r="R20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6" s="47" t="str">
        <f>IF(LayTable[[#This Row],[Utfall bookie]]="","",LayTable[[#This Row],[WBABack]]+LayTable[[#This Row],[WBALay]]-LayTable[[#This Row],[Total inns]])</f>
        <v/>
      </c>
      <c r="U20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6" s="48" t="str">
        <f>IFERROR(IF(LayTable[[#This Row],[Total inns]]="","",LayTable[[#This Row],[Rback]]/LayTable[[#This Row],[Total inns]]),"")</f>
        <v/>
      </c>
      <c r="X2016" s="48" t="str">
        <f>IFERROR(IF(LayTable[[#This Row],[Total inns]]="","",LayTable[[#This Row],[Rlay]]/LayTable[[#This Row],[Total inns]]),"")</f>
        <v/>
      </c>
      <c r="Y2016" s="48" t="str">
        <f>IFERROR(LayTable[[#This Row],[Faktisk res]]/LayTable[[#This Row],[Total inns]],"")</f>
        <v/>
      </c>
      <c r="Z2016" s="47">
        <f>(LayTable[[#This Row],[BookieInnsats]]*LayTable[[#This Row],[BookieOdds]]-LayTable[[#This Row],[BookieInnsats]])*(1-LayTable[[#This Row],[C% Bookie]])</f>
        <v>0</v>
      </c>
      <c r="AA2016" s="43">
        <f>LayTable[[#This Row],[LayInnsats]]*(1-LayTable[[#This Row],[C% Lay]])</f>
        <v>0</v>
      </c>
      <c r="AB2016" s="43" t="str">
        <f>IFERROR(IF(LayTable[[#This Row],[Sport]]="",AB2015,LayTable[[#This Row],[Faktisk res]]+AB2015),"")</f>
        <v/>
      </c>
      <c r="AC2016" s="43">
        <f>(LayTable[[#This Row],[BackWin-Commission]]+LayTable[[#This Row],[BookieInnsats]])</f>
        <v>0</v>
      </c>
      <c r="AD2016" s="43" t="e">
        <f>(LayTable[[#This Row],[LayWin-Commission]])+LayTable[[#This Row],[LayLiability]]</f>
        <v>#VALUE!</v>
      </c>
      <c r="AE2016" s="43"/>
      <c r="AF2016" s="181"/>
    </row>
    <row r="2017" spans="1:32">
      <c r="A2017" s="84"/>
      <c r="B2017" s="39"/>
      <c r="C2017" s="40"/>
      <c r="D2017" s="41"/>
      <c r="E2017" s="40"/>
      <c r="F2017" s="41"/>
      <c r="G2017" s="101"/>
      <c r="H2017" s="38"/>
      <c r="I2017" s="42"/>
      <c r="J2017" s="42"/>
      <c r="K2017" s="43"/>
      <c r="L2017" s="43"/>
      <c r="M2017" s="44" t="str">
        <f>IF(LayTable[[#This Row],[Sport]]="","",LayTable[[#This Row],[LayInnsats]]*(LayTable[[#This Row],[LayOdds]]-1))</f>
        <v/>
      </c>
      <c r="N2017" s="45" t="str">
        <f>IF(LayTable[[#This Row],[Sport]]="","",1/((1/LayTable[[#This Row],[BookieOdds]])+(1/((1/((1+((LayTable[[#This Row],[LayOdds]]-1)*(1+LayTable[[#This Row],[C% Lay]])))-1))+1)))-1)</f>
        <v/>
      </c>
      <c r="Q2017" s="46" t="str">
        <f>IF(LayTable[[#This Row],[Sport]]="","",LayTable[[#This Row],[BookieInnsats]]+LayTable[[#This Row],[LayLiability]])</f>
        <v/>
      </c>
      <c r="R20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7" s="47" t="str">
        <f>IF(LayTable[[#This Row],[Utfall bookie]]="","",LayTable[[#This Row],[WBABack]]+LayTable[[#This Row],[WBALay]]-LayTable[[#This Row],[Total inns]])</f>
        <v/>
      </c>
      <c r="U20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7" s="48" t="str">
        <f>IFERROR(IF(LayTable[[#This Row],[Total inns]]="","",LayTable[[#This Row],[Rback]]/LayTable[[#This Row],[Total inns]]),"")</f>
        <v/>
      </c>
      <c r="X2017" s="48" t="str">
        <f>IFERROR(IF(LayTable[[#This Row],[Total inns]]="","",LayTable[[#This Row],[Rlay]]/LayTable[[#This Row],[Total inns]]),"")</f>
        <v/>
      </c>
      <c r="Y2017" s="48" t="str">
        <f>IFERROR(LayTable[[#This Row],[Faktisk res]]/LayTable[[#This Row],[Total inns]],"")</f>
        <v/>
      </c>
      <c r="Z2017" s="47">
        <f>(LayTable[[#This Row],[BookieInnsats]]*LayTable[[#This Row],[BookieOdds]]-LayTable[[#This Row],[BookieInnsats]])*(1-LayTable[[#This Row],[C% Bookie]])</f>
        <v>0</v>
      </c>
      <c r="AA2017" s="43">
        <f>LayTable[[#This Row],[LayInnsats]]*(1-LayTable[[#This Row],[C% Lay]])</f>
        <v>0</v>
      </c>
      <c r="AB2017" s="43" t="str">
        <f>IFERROR(IF(LayTable[[#This Row],[Sport]]="",AB2016,LayTable[[#This Row],[Faktisk res]]+AB2016),"")</f>
        <v/>
      </c>
      <c r="AC2017" s="43">
        <f>(LayTable[[#This Row],[BackWin-Commission]]+LayTable[[#This Row],[BookieInnsats]])</f>
        <v>0</v>
      </c>
      <c r="AD2017" s="43" t="e">
        <f>(LayTable[[#This Row],[LayWin-Commission]])+LayTable[[#This Row],[LayLiability]]</f>
        <v>#VALUE!</v>
      </c>
      <c r="AE2017" s="43"/>
      <c r="AF2017" s="181"/>
    </row>
    <row r="2018" spans="1:32">
      <c r="A2018" s="84"/>
      <c r="B2018" s="39"/>
      <c r="C2018" s="40"/>
      <c r="D2018" s="41"/>
      <c r="E2018" s="40"/>
      <c r="F2018" s="41"/>
      <c r="G2018" s="101"/>
      <c r="H2018" s="38"/>
      <c r="I2018" s="42"/>
      <c r="J2018" s="42"/>
      <c r="K2018" s="43"/>
      <c r="L2018" s="43"/>
      <c r="M2018" s="44" t="str">
        <f>IF(LayTable[[#This Row],[Sport]]="","",LayTable[[#This Row],[LayInnsats]]*(LayTable[[#This Row],[LayOdds]]-1))</f>
        <v/>
      </c>
      <c r="N2018" s="45" t="str">
        <f>IF(LayTable[[#This Row],[Sport]]="","",1/((1/LayTable[[#This Row],[BookieOdds]])+(1/((1/((1+((LayTable[[#This Row],[LayOdds]]-1)*(1+LayTable[[#This Row],[C% Lay]])))-1))+1)))-1)</f>
        <v/>
      </c>
      <c r="Q2018" s="46" t="str">
        <f>IF(LayTable[[#This Row],[Sport]]="","",LayTable[[#This Row],[BookieInnsats]]+LayTable[[#This Row],[LayLiability]])</f>
        <v/>
      </c>
      <c r="R20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8" s="47" t="str">
        <f>IF(LayTable[[#This Row],[Utfall bookie]]="","",LayTable[[#This Row],[WBABack]]+LayTable[[#This Row],[WBALay]]-LayTable[[#This Row],[Total inns]])</f>
        <v/>
      </c>
      <c r="U20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8" s="48" t="str">
        <f>IFERROR(IF(LayTable[[#This Row],[Total inns]]="","",LayTable[[#This Row],[Rback]]/LayTable[[#This Row],[Total inns]]),"")</f>
        <v/>
      </c>
      <c r="X2018" s="48" t="str">
        <f>IFERROR(IF(LayTable[[#This Row],[Total inns]]="","",LayTable[[#This Row],[Rlay]]/LayTable[[#This Row],[Total inns]]),"")</f>
        <v/>
      </c>
      <c r="Y2018" s="48" t="str">
        <f>IFERROR(LayTable[[#This Row],[Faktisk res]]/LayTable[[#This Row],[Total inns]],"")</f>
        <v/>
      </c>
      <c r="Z2018" s="47">
        <f>(LayTable[[#This Row],[BookieInnsats]]*LayTable[[#This Row],[BookieOdds]]-LayTable[[#This Row],[BookieInnsats]])*(1-LayTable[[#This Row],[C% Bookie]])</f>
        <v>0</v>
      </c>
      <c r="AA2018" s="43">
        <f>LayTable[[#This Row],[LayInnsats]]*(1-LayTable[[#This Row],[C% Lay]])</f>
        <v>0</v>
      </c>
      <c r="AB2018" s="43" t="str">
        <f>IFERROR(IF(LayTable[[#This Row],[Sport]]="",AB2017,LayTable[[#This Row],[Faktisk res]]+AB2017),"")</f>
        <v/>
      </c>
      <c r="AC2018" s="43">
        <f>(LayTable[[#This Row],[BackWin-Commission]]+LayTable[[#This Row],[BookieInnsats]])</f>
        <v>0</v>
      </c>
      <c r="AD2018" s="43" t="e">
        <f>(LayTable[[#This Row],[LayWin-Commission]])+LayTable[[#This Row],[LayLiability]]</f>
        <v>#VALUE!</v>
      </c>
      <c r="AE2018" s="43"/>
      <c r="AF2018" s="181"/>
    </row>
    <row r="2019" spans="1:32">
      <c r="A2019" s="84"/>
      <c r="B2019" s="39"/>
      <c r="C2019" s="40"/>
      <c r="D2019" s="41"/>
      <c r="E2019" s="40"/>
      <c r="F2019" s="41"/>
      <c r="G2019" s="101"/>
      <c r="H2019" s="38"/>
      <c r="I2019" s="42"/>
      <c r="J2019" s="42"/>
      <c r="K2019" s="43"/>
      <c r="L2019" s="43"/>
      <c r="M2019" s="44" t="str">
        <f>IF(LayTable[[#This Row],[Sport]]="","",LayTable[[#This Row],[LayInnsats]]*(LayTable[[#This Row],[LayOdds]]-1))</f>
        <v/>
      </c>
      <c r="N2019" s="45" t="str">
        <f>IF(LayTable[[#This Row],[Sport]]="","",1/((1/LayTable[[#This Row],[BookieOdds]])+(1/((1/((1+((LayTable[[#This Row],[LayOdds]]-1)*(1+LayTable[[#This Row],[C% Lay]])))-1))+1)))-1)</f>
        <v/>
      </c>
      <c r="Q2019" s="46" t="str">
        <f>IF(LayTable[[#This Row],[Sport]]="","",LayTable[[#This Row],[BookieInnsats]]+LayTable[[#This Row],[LayLiability]])</f>
        <v/>
      </c>
      <c r="R20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19" s="47" t="str">
        <f>IF(LayTable[[#This Row],[Utfall bookie]]="","",LayTable[[#This Row],[WBABack]]+LayTable[[#This Row],[WBALay]]-LayTable[[#This Row],[Total inns]])</f>
        <v/>
      </c>
      <c r="U20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19" s="48" t="str">
        <f>IFERROR(IF(LayTable[[#This Row],[Total inns]]="","",LayTable[[#This Row],[Rback]]/LayTable[[#This Row],[Total inns]]),"")</f>
        <v/>
      </c>
      <c r="X2019" s="48" t="str">
        <f>IFERROR(IF(LayTable[[#This Row],[Total inns]]="","",LayTable[[#This Row],[Rlay]]/LayTable[[#This Row],[Total inns]]),"")</f>
        <v/>
      </c>
      <c r="Y2019" s="48" t="str">
        <f>IFERROR(LayTable[[#This Row],[Faktisk res]]/LayTable[[#This Row],[Total inns]],"")</f>
        <v/>
      </c>
      <c r="Z2019" s="47">
        <f>(LayTable[[#This Row],[BookieInnsats]]*LayTable[[#This Row],[BookieOdds]]-LayTable[[#This Row],[BookieInnsats]])*(1-LayTable[[#This Row],[C% Bookie]])</f>
        <v>0</v>
      </c>
      <c r="AA2019" s="43">
        <f>LayTable[[#This Row],[LayInnsats]]*(1-LayTable[[#This Row],[C% Lay]])</f>
        <v>0</v>
      </c>
      <c r="AB2019" s="43" t="str">
        <f>IFERROR(IF(LayTable[[#This Row],[Sport]]="",AB2018,LayTable[[#This Row],[Faktisk res]]+AB2018),"")</f>
        <v/>
      </c>
      <c r="AC2019" s="43">
        <f>(LayTable[[#This Row],[BackWin-Commission]]+LayTable[[#This Row],[BookieInnsats]])</f>
        <v>0</v>
      </c>
      <c r="AD2019" s="43" t="e">
        <f>(LayTable[[#This Row],[LayWin-Commission]])+LayTable[[#This Row],[LayLiability]]</f>
        <v>#VALUE!</v>
      </c>
      <c r="AE2019" s="43"/>
      <c r="AF2019" s="181"/>
    </row>
    <row r="2020" spans="1:32">
      <c r="A2020" s="84"/>
      <c r="B2020" s="39"/>
      <c r="C2020" s="40"/>
      <c r="D2020" s="41"/>
      <c r="E2020" s="40"/>
      <c r="F2020" s="41"/>
      <c r="G2020" s="101"/>
      <c r="H2020" s="38"/>
      <c r="I2020" s="42"/>
      <c r="J2020" s="42"/>
      <c r="K2020" s="43"/>
      <c r="L2020" s="43"/>
      <c r="M2020" s="44" t="str">
        <f>IF(LayTable[[#This Row],[Sport]]="","",LayTable[[#This Row],[LayInnsats]]*(LayTable[[#This Row],[LayOdds]]-1))</f>
        <v/>
      </c>
      <c r="N2020" s="45" t="str">
        <f>IF(LayTable[[#This Row],[Sport]]="","",1/((1/LayTable[[#This Row],[BookieOdds]])+(1/((1/((1+((LayTable[[#This Row],[LayOdds]]-1)*(1+LayTable[[#This Row],[C% Lay]])))-1))+1)))-1)</f>
        <v/>
      </c>
      <c r="Q2020" s="46" t="str">
        <f>IF(LayTable[[#This Row],[Sport]]="","",LayTable[[#This Row],[BookieInnsats]]+LayTable[[#This Row],[LayLiability]])</f>
        <v/>
      </c>
      <c r="R20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0" s="47" t="str">
        <f>IF(LayTable[[#This Row],[Utfall bookie]]="","",LayTable[[#This Row],[WBABack]]+LayTable[[#This Row],[WBALay]]-LayTable[[#This Row],[Total inns]])</f>
        <v/>
      </c>
      <c r="U20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0" s="48" t="str">
        <f>IFERROR(IF(LayTable[[#This Row],[Total inns]]="","",LayTable[[#This Row],[Rback]]/LayTable[[#This Row],[Total inns]]),"")</f>
        <v/>
      </c>
      <c r="X2020" s="48" t="str">
        <f>IFERROR(IF(LayTable[[#This Row],[Total inns]]="","",LayTable[[#This Row],[Rlay]]/LayTable[[#This Row],[Total inns]]),"")</f>
        <v/>
      </c>
      <c r="Y2020" s="48" t="str">
        <f>IFERROR(LayTable[[#This Row],[Faktisk res]]/LayTable[[#This Row],[Total inns]],"")</f>
        <v/>
      </c>
      <c r="Z2020" s="47">
        <f>(LayTable[[#This Row],[BookieInnsats]]*LayTable[[#This Row],[BookieOdds]]-LayTable[[#This Row],[BookieInnsats]])*(1-LayTable[[#This Row],[C% Bookie]])</f>
        <v>0</v>
      </c>
      <c r="AA2020" s="43">
        <f>LayTable[[#This Row],[LayInnsats]]*(1-LayTable[[#This Row],[C% Lay]])</f>
        <v>0</v>
      </c>
      <c r="AB2020" s="43" t="str">
        <f>IFERROR(IF(LayTable[[#This Row],[Sport]]="",AB2019,LayTable[[#This Row],[Faktisk res]]+AB2019),"")</f>
        <v/>
      </c>
      <c r="AC2020" s="43">
        <f>(LayTable[[#This Row],[BackWin-Commission]]+LayTable[[#This Row],[BookieInnsats]])</f>
        <v>0</v>
      </c>
      <c r="AD2020" s="43" t="e">
        <f>(LayTable[[#This Row],[LayWin-Commission]])+LayTable[[#This Row],[LayLiability]]</f>
        <v>#VALUE!</v>
      </c>
      <c r="AE2020" s="43"/>
      <c r="AF2020" s="181"/>
    </row>
    <row r="2021" spans="1:32">
      <c r="A2021" s="84"/>
      <c r="B2021" s="39"/>
      <c r="C2021" s="40"/>
      <c r="D2021" s="41"/>
      <c r="E2021" s="40"/>
      <c r="F2021" s="41"/>
      <c r="G2021" s="101"/>
      <c r="H2021" s="38"/>
      <c r="I2021" s="42"/>
      <c r="J2021" s="42"/>
      <c r="K2021" s="43"/>
      <c r="L2021" s="43"/>
      <c r="M2021" s="44" t="str">
        <f>IF(LayTable[[#This Row],[Sport]]="","",LayTable[[#This Row],[LayInnsats]]*(LayTable[[#This Row],[LayOdds]]-1))</f>
        <v/>
      </c>
      <c r="N2021" s="45" t="str">
        <f>IF(LayTable[[#This Row],[Sport]]="","",1/((1/LayTable[[#This Row],[BookieOdds]])+(1/((1/((1+((LayTable[[#This Row],[LayOdds]]-1)*(1+LayTable[[#This Row],[C% Lay]])))-1))+1)))-1)</f>
        <v/>
      </c>
      <c r="Q2021" s="46" t="str">
        <f>IF(LayTable[[#This Row],[Sport]]="","",LayTable[[#This Row],[BookieInnsats]]+LayTable[[#This Row],[LayLiability]])</f>
        <v/>
      </c>
      <c r="R20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1" s="47" t="str">
        <f>IF(LayTable[[#This Row],[Utfall bookie]]="","",LayTable[[#This Row],[WBABack]]+LayTable[[#This Row],[WBALay]]-LayTable[[#This Row],[Total inns]])</f>
        <v/>
      </c>
      <c r="U20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1" s="48" t="str">
        <f>IFERROR(IF(LayTable[[#This Row],[Total inns]]="","",LayTable[[#This Row],[Rback]]/LayTable[[#This Row],[Total inns]]),"")</f>
        <v/>
      </c>
      <c r="X2021" s="48" t="str">
        <f>IFERROR(IF(LayTable[[#This Row],[Total inns]]="","",LayTable[[#This Row],[Rlay]]/LayTable[[#This Row],[Total inns]]),"")</f>
        <v/>
      </c>
      <c r="Y2021" s="48" t="str">
        <f>IFERROR(LayTable[[#This Row],[Faktisk res]]/LayTable[[#This Row],[Total inns]],"")</f>
        <v/>
      </c>
      <c r="Z2021" s="47">
        <f>(LayTable[[#This Row],[BookieInnsats]]*LayTable[[#This Row],[BookieOdds]]-LayTable[[#This Row],[BookieInnsats]])*(1-LayTable[[#This Row],[C% Bookie]])</f>
        <v>0</v>
      </c>
      <c r="AA2021" s="43">
        <f>LayTable[[#This Row],[LayInnsats]]*(1-LayTable[[#This Row],[C% Lay]])</f>
        <v>0</v>
      </c>
      <c r="AB2021" s="43" t="str">
        <f>IFERROR(IF(LayTable[[#This Row],[Sport]]="",AB2020,LayTable[[#This Row],[Faktisk res]]+AB2020),"")</f>
        <v/>
      </c>
      <c r="AC2021" s="43">
        <f>(LayTable[[#This Row],[BackWin-Commission]]+LayTable[[#This Row],[BookieInnsats]])</f>
        <v>0</v>
      </c>
      <c r="AD2021" s="43" t="e">
        <f>(LayTable[[#This Row],[LayWin-Commission]])+LayTable[[#This Row],[LayLiability]]</f>
        <v>#VALUE!</v>
      </c>
      <c r="AE2021" s="43"/>
      <c r="AF2021" s="181"/>
    </row>
    <row r="2022" spans="1:32">
      <c r="A2022" s="84"/>
      <c r="B2022" s="39"/>
      <c r="C2022" s="40"/>
      <c r="D2022" s="41"/>
      <c r="E2022" s="40"/>
      <c r="F2022" s="41"/>
      <c r="G2022" s="101"/>
      <c r="H2022" s="38"/>
      <c r="I2022" s="42"/>
      <c r="J2022" s="42"/>
      <c r="K2022" s="43"/>
      <c r="L2022" s="43"/>
      <c r="M2022" s="44" t="str">
        <f>IF(LayTable[[#This Row],[Sport]]="","",LayTable[[#This Row],[LayInnsats]]*(LayTable[[#This Row],[LayOdds]]-1))</f>
        <v/>
      </c>
      <c r="N2022" s="45" t="str">
        <f>IF(LayTable[[#This Row],[Sport]]="","",1/((1/LayTable[[#This Row],[BookieOdds]])+(1/((1/((1+((LayTable[[#This Row],[LayOdds]]-1)*(1+LayTable[[#This Row],[C% Lay]])))-1))+1)))-1)</f>
        <v/>
      </c>
      <c r="Q2022" s="46" t="str">
        <f>IF(LayTable[[#This Row],[Sport]]="","",LayTable[[#This Row],[BookieInnsats]]+LayTable[[#This Row],[LayLiability]])</f>
        <v/>
      </c>
      <c r="R20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2" s="47" t="str">
        <f>IF(LayTable[[#This Row],[Utfall bookie]]="","",LayTable[[#This Row],[WBABack]]+LayTable[[#This Row],[WBALay]]-LayTable[[#This Row],[Total inns]])</f>
        <v/>
      </c>
      <c r="U20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2" s="48" t="str">
        <f>IFERROR(IF(LayTable[[#This Row],[Total inns]]="","",LayTable[[#This Row],[Rback]]/LayTable[[#This Row],[Total inns]]),"")</f>
        <v/>
      </c>
      <c r="X2022" s="48" t="str">
        <f>IFERROR(IF(LayTable[[#This Row],[Total inns]]="","",LayTable[[#This Row],[Rlay]]/LayTable[[#This Row],[Total inns]]),"")</f>
        <v/>
      </c>
      <c r="Y2022" s="48" t="str">
        <f>IFERROR(LayTable[[#This Row],[Faktisk res]]/LayTable[[#This Row],[Total inns]],"")</f>
        <v/>
      </c>
      <c r="Z2022" s="47">
        <f>(LayTable[[#This Row],[BookieInnsats]]*LayTable[[#This Row],[BookieOdds]]-LayTable[[#This Row],[BookieInnsats]])*(1-LayTable[[#This Row],[C% Bookie]])</f>
        <v>0</v>
      </c>
      <c r="AA2022" s="43">
        <f>LayTable[[#This Row],[LayInnsats]]*(1-LayTable[[#This Row],[C% Lay]])</f>
        <v>0</v>
      </c>
      <c r="AB2022" s="43" t="str">
        <f>IFERROR(IF(LayTable[[#This Row],[Sport]]="",AB2021,LayTable[[#This Row],[Faktisk res]]+AB2021),"")</f>
        <v/>
      </c>
      <c r="AC2022" s="43">
        <f>(LayTable[[#This Row],[BackWin-Commission]]+LayTable[[#This Row],[BookieInnsats]])</f>
        <v>0</v>
      </c>
      <c r="AD2022" s="43" t="e">
        <f>(LayTable[[#This Row],[LayWin-Commission]])+LayTable[[#This Row],[LayLiability]]</f>
        <v>#VALUE!</v>
      </c>
      <c r="AE2022" s="43"/>
      <c r="AF2022" s="181"/>
    </row>
    <row r="2023" spans="1:32">
      <c r="A2023" s="84"/>
      <c r="B2023" s="39"/>
      <c r="C2023" s="40"/>
      <c r="D2023" s="41"/>
      <c r="E2023" s="40"/>
      <c r="F2023" s="41"/>
      <c r="G2023" s="101"/>
      <c r="H2023" s="38"/>
      <c r="I2023" s="42"/>
      <c r="J2023" s="42"/>
      <c r="K2023" s="43"/>
      <c r="L2023" s="43"/>
      <c r="M2023" s="44" t="str">
        <f>IF(LayTable[[#This Row],[Sport]]="","",LayTable[[#This Row],[LayInnsats]]*(LayTable[[#This Row],[LayOdds]]-1))</f>
        <v/>
      </c>
      <c r="N2023" s="45" t="str">
        <f>IF(LayTable[[#This Row],[Sport]]="","",1/((1/LayTable[[#This Row],[BookieOdds]])+(1/((1/((1+((LayTable[[#This Row],[LayOdds]]-1)*(1+LayTable[[#This Row],[C% Lay]])))-1))+1)))-1)</f>
        <v/>
      </c>
      <c r="Q2023" s="46" t="str">
        <f>IF(LayTable[[#This Row],[Sport]]="","",LayTable[[#This Row],[BookieInnsats]]+LayTable[[#This Row],[LayLiability]])</f>
        <v/>
      </c>
      <c r="R20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3" s="47" t="str">
        <f>IF(LayTable[[#This Row],[Utfall bookie]]="","",LayTable[[#This Row],[WBABack]]+LayTable[[#This Row],[WBALay]]-LayTable[[#This Row],[Total inns]])</f>
        <v/>
      </c>
      <c r="U20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3" s="48" t="str">
        <f>IFERROR(IF(LayTable[[#This Row],[Total inns]]="","",LayTable[[#This Row],[Rback]]/LayTable[[#This Row],[Total inns]]),"")</f>
        <v/>
      </c>
      <c r="X2023" s="48" t="str">
        <f>IFERROR(IF(LayTable[[#This Row],[Total inns]]="","",LayTable[[#This Row],[Rlay]]/LayTable[[#This Row],[Total inns]]),"")</f>
        <v/>
      </c>
      <c r="Y2023" s="48" t="str">
        <f>IFERROR(LayTable[[#This Row],[Faktisk res]]/LayTable[[#This Row],[Total inns]],"")</f>
        <v/>
      </c>
      <c r="Z2023" s="47">
        <f>(LayTable[[#This Row],[BookieInnsats]]*LayTable[[#This Row],[BookieOdds]]-LayTable[[#This Row],[BookieInnsats]])*(1-LayTable[[#This Row],[C% Bookie]])</f>
        <v>0</v>
      </c>
      <c r="AA2023" s="43">
        <f>LayTable[[#This Row],[LayInnsats]]*(1-LayTable[[#This Row],[C% Lay]])</f>
        <v>0</v>
      </c>
      <c r="AB2023" s="43" t="str">
        <f>IFERROR(IF(LayTable[[#This Row],[Sport]]="",AB2022,LayTable[[#This Row],[Faktisk res]]+AB2022),"")</f>
        <v/>
      </c>
      <c r="AC2023" s="43">
        <f>(LayTable[[#This Row],[BackWin-Commission]]+LayTable[[#This Row],[BookieInnsats]])</f>
        <v>0</v>
      </c>
      <c r="AD2023" s="43" t="e">
        <f>(LayTable[[#This Row],[LayWin-Commission]])+LayTable[[#This Row],[LayLiability]]</f>
        <v>#VALUE!</v>
      </c>
      <c r="AE2023" s="43"/>
      <c r="AF2023" s="181"/>
    </row>
    <row r="2024" spans="1:32">
      <c r="A2024" s="84"/>
      <c r="B2024" s="39"/>
      <c r="C2024" s="40"/>
      <c r="D2024" s="41"/>
      <c r="E2024" s="40"/>
      <c r="F2024" s="41"/>
      <c r="G2024" s="101"/>
      <c r="H2024" s="38"/>
      <c r="I2024" s="42"/>
      <c r="J2024" s="42"/>
      <c r="K2024" s="43"/>
      <c r="L2024" s="43"/>
      <c r="M2024" s="44" t="str">
        <f>IF(LayTable[[#This Row],[Sport]]="","",LayTable[[#This Row],[LayInnsats]]*(LayTable[[#This Row],[LayOdds]]-1))</f>
        <v/>
      </c>
      <c r="N2024" s="45" t="str">
        <f>IF(LayTable[[#This Row],[Sport]]="","",1/((1/LayTable[[#This Row],[BookieOdds]])+(1/((1/((1+((LayTable[[#This Row],[LayOdds]]-1)*(1+LayTable[[#This Row],[C% Lay]])))-1))+1)))-1)</f>
        <v/>
      </c>
      <c r="Q2024" s="46" t="str">
        <f>IF(LayTable[[#This Row],[Sport]]="","",LayTable[[#This Row],[BookieInnsats]]+LayTable[[#This Row],[LayLiability]])</f>
        <v/>
      </c>
      <c r="R20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4" s="47" t="str">
        <f>IF(LayTable[[#This Row],[Utfall bookie]]="","",LayTable[[#This Row],[WBABack]]+LayTable[[#This Row],[WBALay]]-LayTable[[#This Row],[Total inns]])</f>
        <v/>
      </c>
      <c r="U20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4" s="48" t="str">
        <f>IFERROR(IF(LayTable[[#This Row],[Total inns]]="","",LayTable[[#This Row],[Rback]]/LayTable[[#This Row],[Total inns]]),"")</f>
        <v/>
      </c>
      <c r="X2024" s="48" t="str">
        <f>IFERROR(IF(LayTable[[#This Row],[Total inns]]="","",LayTable[[#This Row],[Rlay]]/LayTable[[#This Row],[Total inns]]),"")</f>
        <v/>
      </c>
      <c r="Y2024" s="48" t="str">
        <f>IFERROR(LayTable[[#This Row],[Faktisk res]]/LayTable[[#This Row],[Total inns]],"")</f>
        <v/>
      </c>
      <c r="Z2024" s="47">
        <f>(LayTable[[#This Row],[BookieInnsats]]*LayTable[[#This Row],[BookieOdds]]-LayTable[[#This Row],[BookieInnsats]])*(1-LayTable[[#This Row],[C% Bookie]])</f>
        <v>0</v>
      </c>
      <c r="AA2024" s="43">
        <f>LayTable[[#This Row],[LayInnsats]]*(1-LayTable[[#This Row],[C% Lay]])</f>
        <v>0</v>
      </c>
      <c r="AB2024" s="43" t="str">
        <f>IFERROR(IF(LayTable[[#This Row],[Sport]]="",AB2023,LayTable[[#This Row],[Faktisk res]]+AB2023),"")</f>
        <v/>
      </c>
      <c r="AC2024" s="43">
        <f>(LayTable[[#This Row],[BackWin-Commission]]+LayTable[[#This Row],[BookieInnsats]])</f>
        <v>0</v>
      </c>
      <c r="AD2024" s="43" t="e">
        <f>(LayTable[[#This Row],[LayWin-Commission]])+LayTable[[#This Row],[LayLiability]]</f>
        <v>#VALUE!</v>
      </c>
      <c r="AE2024" s="43"/>
      <c r="AF2024" s="181"/>
    </row>
    <row r="2025" spans="1:32">
      <c r="A2025" s="84"/>
      <c r="B2025" s="39"/>
      <c r="C2025" s="40"/>
      <c r="D2025" s="41"/>
      <c r="E2025" s="40"/>
      <c r="F2025" s="41"/>
      <c r="G2025" s="101"/>
      <c r="H2025" s="38"/>
      <c r="I2025" s="42"/>
      <c r="J2025" s="42"/>
      <c r="K2025" s="43"/>
      <c r="L2025" s="43"/>
      <c r="M2025" s="44" t="str">
        <f>IF(LayTable[[#This Row],[Sport]]="","",LayTable[[#This Row],[LayInnsats]]*(LayTable[[#This Row],[LayOdds]]-1))</f>
        <v/>
      </c>
      <c r="N2025" s="45" t="str">
        <f>IF(LayTable[[#This Row],[Sport]]="","",1/((1/LayTable[[#This Row],[BookieOdds]])+(1/((1/((1+((LayTable[[#This Row],[LayOdds]]-1)*(1+LayTable[[#This Row],[C% Lay]])))-1))+1)))-1)</f>
        <v/>
      </c>
      <c r="Q2025" s="46" t="str">
        <f>IF(LayTable[[#This Row],[Sport]]="","",LayTable[[#This Row],[BookieInnsats]]+LayTable[[#This Row],[LayLiability]])</f>
        <v/>
      </c>
      <c r="R20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5" s="47" t="str">
        <f>IF(LayTable[[#This Row],[Utfall bookie]]="","",LayTable[[#This Row],[WBABack]]+LayTable[[#This Row],[WBALay]]-LayTable[[#This Row],[Total inns]])</f>
        <v/>
      </c>
      <c r="U20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5" s="48" t="str">
        <f>IFERROR(IF(LayTable[[#This Row],[Total inns]]="","",LayTable[[#This Row],[Rback]]/LayTable[[#This Row],[Total inns]]),"")</f>
        <v/>
      </c>
      <c r="X2025" s="48" t="str">
        <f>IFERROR(IF(LayTable[[#This Row],[Total inns]]="","",LayTable[[#This Row],[Rlay]]/LayTable[[#This Row],[Total inns]]),"")</f>
        <v/>
      </c>
      <c r="Y2025" s="48" t="str">
        <f>IFERROR(LayTable[[#This Row],[Faktisk res]]/LayTable[[#This Row],[Total inns]],"")</f>
        <v/>
      </c>
      <c r="Z2025" s="47">
        <f>(LayTable[[#This Row],[BookieInnsats]]*LayTable[[#This Row],[BookieOdds]]-LayTable[[#This Row],[BookieInnsats]])*(1-LayTable[[#This Row],[C% Bookie]])</f>
        <v>0</v>
      </c>
      <c r="AA2025" s="43">
        <f>LayTable[[#This Row],[LayInnsats]]*(1-LayTable[[#This Row],[C% Lay]])</f>
        <v>0</v>
      </c>
      <c r="AB2025" s="43" t="str">
        <f>IFERROR(IF(LayTable[[#This Row],[Sport]]="",AB2024,LayTable[[#This Row],[Faktisk res]]+AB2024),"")</f>
        <v/>
      </c>
      <c r="AC2025" s="43">
        <f>(LayTable[[#This Row],[BackWin-Commission]]+LayTable[[#This Row],[BookieInnsats]])</f>
        <v>0</v>
      </c>
      <c r="AD2025" s="43" t="e">
        <f>(LayTable[[#This Row],[LayWin-Commission]])+LayTable[[#This Row],[LayLiability]]</f>
        <v>#VALUE!</v>
      </c>
      <c r="AE2025" s="43"/>
      <c r="AF2025" s="181"/>
    </row>
    <row r="2026" spans="1:32">
      <c r="A2026" s="84"/>
      <c r="B2026" s="39"/>
      <c r="C2026" s="40"/>
      <c r="D2026" s="41"/>
      <c r="E2026" s="40"/>
      <c r="F2026" s="41"/>
      <c r="G2026" s="101"/>
      <c r="H2026" s="38"/>
      <c r="I2026" s="42"/>
      <c r="J2026" s="42"/>
      <c r="K2026" s="43"/>
      <c r="L2026" s="43"/>
      <c r="M2026" s="44" t="str">
        <f>IF(LayTable[[#This Row],[Sport]]="","",LayTable[[#This Row],[LayInnsats]]*(LayTable[[#This Row],[LayOdds]]-1))</f>
        <v/>
      </c>
      <c r="N2026" s="45" t="str">
        <f>IF(LayTable[[#This Row],[Sport]]="","",1/((1/LayTable[[#This Row],[BookieOdds]])+(1/((1/((1+((LayTable[[#This Row],[LayOdds]]-1)*(1+LayTable[[#This Row],[C% Lay]])))-1))+1)))-1)</f>
        <v/>
      </c>
      <c r="Q2026" s="46" t="str">
        <f>IF(LayTable[[#This Row],[Sport]]="","",LayTable[[#This Row],[BookieInnsats]]+LayTable[[#This Row],[LayLiability]])</f>
        <v/>
      </c>
      <c r="R20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6" s="47" t="str">
        <f>IF(LayTable[[#This Row],[Utfall bookie]]="","",LayTable[[#This Row],[WBABack]]+LayTable[[#This Row],[WBALay]]-LayTable[[#This Row],[Total inns]])</f>
        <v/>
      </c>
      <c r="U20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6" s="48" t="str">
        <f>IFERROR(IF(LayTable[[#This Row],[Total inns]]="","",LayTable[[#This Row],[Rback]]/LayTable[[#This Row],[Total inns]]),"")</f>
        <v/>
      </c>
      <c r="X2026" s="48" t="str">
        <f>IFERROR(IF(LayTable[[#This Row],[Total inns]]="","",LayTable[[#This Row],[Rlay]]/LayTable[[#This Row],[Total inns]]),"")</f>
        <v/>
      </c>
      <c r="Y2026" s="48" t="str">
        <f>IFERROR(LayTable[[#This Row],[Faktisk res]]/LayTable[[#This Row],[Total inns]],"")</f>
        <v/>
      </c>
      <c r="Z2026" s="47">
        <f>(LayTable[[#This Row],[BookieInnsats]]*LayTable[[#This Row],[BookieOdds]]-LayTable[[#This Row],[BookieInnsats]])*(1-LayTable[[#This Row],[C% Bookie]])</f>
        <v>0</v>
      </c>
      <c r="AA2026" s="43">
        <f>LayTable[[#This Row],[LayInnsats]]*(1-LayTable[[#This Row],[C% Lay]])</f>
        <v>0</v>
      </c>
      <c r="AB2026" s="43" t="str">
        <f>IFERROR(IF(LayTable[[#This Row],[Sport]]="",AB2025,LayTable[[#This Row],[Faktisk res]]+AB2025),"")</f>
        <v/>
      </c>
      <c r="AC2026" s="43">
        <f>(LayTable[[#This Row],[BackWin-Commission]]+LayTable[[#This Row],[BookieInnsats]])</f>
        <v>0</v>
      </c>
      <c r="AD2026" s="43" t="e">
        <f>(LayTable[[#This Row],[LayWin-Commission]])+LayTable[[#This Row],[LayLiability]]</f>
        <v>#VALUE!</v>
      </c>
      <c r="AE2026" s="43"/>
      <c r="AF2026" s="181"/>
    </row>
    <row r="2027" spans="1:32">
      <c r="A2027" s="84"/>
      <c r="B2027" s="39"/>
      <c r="C2027" s="40"/>
      <c r="D2027" s="41"/>
      <c r="E2027" s="40"/>
      <c r="F2027" s="41"/>
      <c r="G2027" s="101"/>
      <c r="H2027" s="38"/>
      <c r="I2027" s="42"/>
      <c r="J2027" s="42"/>
      <c r="K2027" s="43"/>
      <c r="L2027" s="43"/>
      <c r="M2027" s="44" t="str">
        <f>IF(LayTable[[#This Row],[Sport]]="","",LayTable[[#This Row],[LayInnsats]]*(LayTable[[#This Row],[LayOdds]]-1))</f>
        <v/>
      </c>
      <c r="N2027" s="45" t="str">
        <f>IF(LayTable[[#This Row],[Sport]]="","",1/((1/LayTable[[#This Row],[BookieOdds]])+(1/((1/((1+((LayTable[[#This Row],[LayOdds]]-1)*(1+LayTable[[#This Row],[C% Lay]])))-1))+1)))-1)</f>
        <v/>
      </c>
      <c r="Q2027" s="46" t="str">
        <f>IF(LayTable[[#This Row],[Sport]]="","",LayTable[[#This Row],[BookieInnsats]]+LayTable[[#This Row],[LayLiability]])</f>
        <v/>
      </c>
      <c r="R20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7" s="47" t="str">
        <f>IF(LayTable[[#This Row],[Utfall bookie]]="","",LayTable[[#This Row],[WBABack]]+LayTable[[#This Row],[WBALay]]-LayTable[[#This Row],[Total inns]])</f>
        <v/>
      </c>
      <c r="U20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7" s="48" t="str">
        <f>IFERROR(IF(LayTable[[#This Row],[Total inns]]="","",LayTable[[#This Row],[Rback]]/LayTable[[#This Row],[Total inns]]),"")</f>
        <v/>
      </c>
      <c r="X2027" s="48" t="str">
        <f>IFERROR(IF(LayTable[[#This Row],[Total inns]]="","",LayTable[[#This Row],[Rlay]]/LayTable[[#This Row],[Total inns]]),"")</f>
        <v/>
      </c>
      <c r="Y2027" s="48" t="str">
        <f>IFERROR(LayTable[[#This Row],[Faktisk res]]/LayTable[[#This Row],[Total inns]],"")</f>
        <v/>
      </c>
      <c r="Z2027" s="47">
        <f>(LayTable[[#This Row],[BookieInnsats]]*LayTable[[#This Row],[BookieOdds]]-LayTable[[#This Row],[BookieInnsats]])*(1-LayTable[[#This Row],[C% Bookie]])</f>
        <v>0</v>
      </c>
      <c r="AA2027" s="43">
        <f>LayTable[[#This Row],[LayInnsats]]*(1-LayTable[[#This Row],[C% Lay]])</f>
        <v>0</v>
      </c>
      <c r="AB2027" s="43" t="str">
        <f>IFERROR(IF(LayTable[[#This Row],[Sport]]="",AB2026,LayTable[[#This Row],[Faktisk res]]+AB2026),"")</f>
        <v/>
      </c>
      <c r="AC2027" s="43">
        <f>(LayTable[[#This Row],[BackWin-Commission]]+LayTable[[#This Row],[BookieInnsats]])</f>
        <v>0</v>
      </c>
      <c r="AD2027" s="43" t="e">
        <f>(LayTable[[#This Row],[LayWin-Commission]])+LayTable[[#This Row],[LayLiability]]</f>
        <v>#VALUE!</v>
      </c>
      <c r="AE2027" s="43"/>
      <c r="AF2027" s="181"/>
    </row>
    <row r="2028" spans="1:32">
      <c r="A2028" s="84"/>
      <c r="B2028" s="39"/>
      <c r="C2028" s="40"/>
      <c r="D2028" s="41"/>
      <c r="E2028" s="40"/>
      <c r="F2028" s="41"/>
      <c r="G2028" s="101"/>
      <c r="H2028" s="38"/>
      <c r="I2028" s="42"/>
      <c r="J2028" s="42"/>
      <c r="K2028" s="43"/>
      <c r="L2028" s="43"/>
      <c r="M2028" s="44" t="str">
        <f>IF(LayTable[[#This Row],[Sport]]="","",LayTable[[#This Row],[LayInnsats]]*(LayTable[[#This Row],[LayOdds]]-1))</f>
        <v/>
      </c>
      <c r="N2028" s="45" t="str">
        <f>IF(LayTable[[#This Row],[Sport]]="","",1/((1/LayTable[[#This Row],[BookieOdds]])+(1/((1/((1+((LayTable[[#This Row],[LayOdds]]-1)*(1+LayTable[[#This Row],[C% Lay]])))-1))+1)))-1)</f>
        <v/>
      </c>
      <c r="Q2028" s="46" t="str">
        <f>IF(LayTable[[#This Row],[Sport]]="","",LayTable[[#This Row],[BookieInnsats]]+LayTable[[#This Row],[LayLiability]])</f>
        <v/>
      </c>
      <c r="R20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8" s="47" t="str">
        <f>IF(LayTable[[#This Row],[Utfall bookie]]="","",LayTable[[#This Row],[WBABack]]+LayTable[[#This Row],[WBALay]]-LayTable[[#This Row],[Total inns]])</f>
        <v/>
      </c>
      <c r="U20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8" s="48" t="str">
        <f>IFERROR(IF(LayTable[[#This Row],[Total inns]]="","",LayTable[[#This Row],[Rback]]/LayTable[[#This Row],[Total inns]]),"")</f>
        <v/>
      </c>
      <c r="X2028" s="48" t="str">
        <f>IFERROR(IF(LayTable[[#This Row],[Total inns]]="","",LayTable[[#This Row],[Rlay]]/LayTable[[#This Row],[Total inns]]),"")</f>
        <v/>
      </c>
      <c r="Y2028" s="48" t="str">
        <f>IFERROR(LayTable[[#This Row],[Faktisk res]]/LayTable[[#This Row],[Total inns]],"")</f>
        <v/>
      </c>
      <c r="Z2028" s="47">
        <f>(LayTable[[#This Row],[BookieInnsats]]*LayTable[[#This Row],[BookieOdds]]-LayTable[[#This Row],[BookieInnsats]])*(1-LayTable[[#This Row],[C% Bookie]])</f>
        <v>0</v>
      </c>
      <c r="AA2028" s="43">
        <f>LayTable[[#This Row],[LayInnsats]]*(1-LayTable[[#This Row],[C% Lay]])</f>
        <v>0</v>
      </c>
      <c r="AB2028" s="43" t="str">
        <f>IFERROR(IF(LayTable[[#This Row],[Sport]]="",AB2027,LayTable[[#This Row],[Faktisk res]]+AB2027),"")</f>
        <v/>
      </c>
      <c r="AC2028" s="43">
        <f>(LayTable[[#This Row],[BackWin-Commission]]+LayTable[[#This Row],[BookieInnsats]])</f>
        <v>0</v>
      </c>
      <c r="AD2028" s="43" t="e">
        <f>(LayTable[[#This Row],[LayWin-Commission]])+LayTable[[#This Row],[LayLiability]]</f>
        <v>#VALUE!</v>
      </c>
      <c r="AE2028" s="43"/>
      <c r="AF2028" s="181"/>
    </row>
    <row r="2029" spans="1:32">
      <c r="A2029" s="84"/>
      <c r="B2029" s="39"/>
      <c r="C2029" s="40"/>
      <c r="D2029" s="41"/>
      <c r="E2029" s="40"/>
      <c r="F2029" s="41"/>
      <c r="G2029" s="101"/>
      <c r="H2029" s="38"/>
      <c r="I2029" s="42"/>
      <c r="J2029" s="42"/>
      <c r="K2029" s="43"/>
      <c r="L2029" s="43"/>
      <c r="M2029" s="44" t="str">
        <f>IF(LayTable[[#This Row],[Sport]]="","",LayTable[[#This Row],[LayInnsats]]*(LayTable[[#This Row],[LayOdds]]-1))</f>
        <v/>
      </c>
      <c r="N2029" s="45" t="str">
        <f>IF(LayTable[[#This Row],[Sport]]="","",1/((1/LayTable[[#This Row],[BookieOdds]])+(1/((1/((1+((LayTable[[#This Row],[LayOdds]]-1)*(1+LayTable[[#This Row],[C% Lay]])))-1))+1)))-1)</f>
        <v/>
      </c>
      <c r="Q2029" s="46" t="str">
        <f>IF(LayTable[[#This Row],[Sport]]="","",LayTable[[#This Row],[BookieInnsats]]+LayTable[[#This Row],[LayLiability]])</f>
        <v/>
      </c>
      <c r="R20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29" s="47" t="str">
        <f>IF(LayTable[[#This Row],[Utfall bookie]]="","",LayTable[[#This Row],[WBABack]]+LayTable[[#This Row],[WBALay]]-LayTable[[#This Row],[Total inns]])</f>
        <v/>
      </c>
      <c r="U20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29" s="48" t="str">
        <f>IFERROR(IF(LayTable[[#This Row],[Total inns]]="","",LayTable[[#This Row],[Rback]]/LayTable[[#This Row],[Total inns]]),"")</f>
        <v/>
      </c>
      <c r="X2029" s="48" t="str">
        <f>IFERROR(IF(LayTable[[#This Row],[Total inns]]="","",LayTable[[#This Row],[Rlay]]/LayTable[[#This Row],[Total inns]]),"")</f>
        <v/>
      </c>
      <c r="Y2029" s="48" t="str">
        <f>IFERROR(LayTable[[#This Row],[Faktisk res]]/LayTable[[#This Row],[Total inns]],"")</f>
        <v/>
      </c>
      <c r="Z2029" s="47">
        <f>(LayTable[[#This Row],[BookieInnsats]]*LayTable[[#This Row],[BookieOdds]]-LayTable[[#This Row],[BookieInnsats]])*(1-LayTable[[#This Row],[C% Bookie]])</f>
        <v>0</v>
      </c>
      <c r="AA2029" s="43">
        <f>LayTable[[#This Row],[LayInnsats]]*(1-LayTable[[#This Row],[C% Lay]])</f>
        <v>0</v>
      </c>
      <c r="AB2029" s="43" t="str">
        <f>IFERROR(IF(LayTable[[#This Row],[Sport]]="",AB2028,LayTable[[#This Row],[Faktisk res]]+AB2028),"")</f>
        <v/>
      </c>
      <c r="AC2029" s="43">
        <f>(LayTable[[#This Row],[BackWin-Commission]]+LayTable[[#This Row],[BookieInnsats]])</f>
        <v>0</v>
      </c>
      <c r="AD2029" s="43" t="e">
        <f>(LayTable[[#This Row],[LayWin-Commission]])+LayTable[[#This Row],[LayLiability]]</f>
        <v>#VALUE!</v>
      </c>
      <c r="AE2029" s="43"/>
      <c r="AF2029" s="181"/>
    </row>
    <row r="2030" spans="1:32">
      <c r="A2030" s="84"/>
      <c r="B2030" s="39"/>
      <c r="C2030" s="40"/>
      <c r="D2030" s="41"/>
      <c r="E2030" s="40"/>
      <c r="F2030" s="41"/>
      <c r="G2030" s="101"/>
      <c r="H2030" s="38"/>
      <c r="I2030" s="42"/>
      <c r="J2030" s="42"/>
      <c r="K2030" s="43"/>
      <c r="L2030" s="43"/>
      <c r="M2030" s="44" t="str">
        <f>IF(LayTable[[#This Row],[Sport]]="","",LayTable[[#This Row],[LayInnsats]]*(LayTable[[#This Row],[LayOdds]]-1))</f>
        <v/>
      </c>
      <c r="N2030" s="45" t="str">
        <f>IF(LayTable[[#This Row],[Sport]]="","",1/((1/LayTable[[#This Row],[BookieOdds]])+(1/((1/((1+((LayTable[[#This Row],[LayOdds]]-1)*(1+LayTable[[#This Row],[C% Lay]])))-1))+1)))-1)</f>
        <v/>
      </c>
      <c r="Q2030" s="46" t="str">
        <f>IF(LayTable[[#This Row],[Sport]]="","",LayTable[[#This Row],[BookieInnsats]]+LayTable[[#This Row],[LayLiability]])</f>
        <v/>
      </c>
      <c r="R20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0" s="47" t="str">
        <f>IF(LayTable[[#This Row],[Utfall bookie]]="","",LayTable[[#This Row],[WBABack]]+LayTable[[#This Row],[WBALay]]-LayTable[[#This Row],[Total inns]])</f>
        <v/>
      </c>
      <c r="U20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0" s="48" t="str">
        <f>IFERROR(IF(LayTable[[#This Row],[Total inns]]="","",LayTable[[#This Row],[Rback]]/LayTable[[#This Row],[Total inns]]),"")</f>
        <v/>
      </c>
      <c r="X2030" s="48" t="str">
        <f>IFERROR(IF(LayTable[[#This Row],[Total inns]]="","",LayTable[[#This Row],[Rlay]]/LayTable[[#This Row],[Total inns]]),"")</f>
        <v/>
      </c>
      <c r="Y2030" s="48" t="str">
        <f>IFERROR(LayTable[[#This Row],[Faktisk res]]/LayTable[[#This Row],[Total inns]],"")</f>
        <v/>
      </c>
      <c r="Z2030" s="47">
        <f>(LayTable[[#This Row],[BookieInnsats]]*LayTable[[#This Row],[BookieOdds]]-LayTable[[#This Row],[BookieInnsats]])*(1-LayTable[[#This Row],[C% Bookie]])</f>
        <v>0</v>
      </c>
      <c r="AA2030" s="43">
        <f>LayTable[[#This Row],[LayInnsats]]*(1-LayTable[[#This Row],[C% Lay]])</f>
        <v>0</v>
      </c>
      <c r="AB2030" s="43" t="str">
        <f>IFERROR(IF(LayTable[[#This Row],[Sport]]="",AB2029,LayTable[[#This Row],[Faktisk res]]+AB2029),"")</f>
        <v/>
      </c>
      <c r="AC2030" s="43">
        <f>(LayTable[[#This Row],[BackWin-Commission]]+LayTable[[#This Row],[BookieInnsats]])</f>
        <v>0</v>
      </c>
      <c r="AD2030" s="43" t="e">
        <f>(LayTable[[#This Row],[LayWin-Commission]])+LayTable[[#This Row],[LayLiability]]</f>
        <v>#VALUE!</v>
      </c>
      <c r="AE2030" s="43"/>
      <c r="AF2030" s="181"/>
    </row>
    <row r="2031" spans="1:32">
      <c r="A2031" s="84"/>
      <c r="B2031" s="39"/>
      <c r="C2031" s="40"/>
      <c r="D2031" s="41"/>
      <c r="E2031" s="40"/>
      <c r="F2031" s="41"/>
      <c r="G2031" s="101"/>
      <c r="H2031" s="38"/>
      <c r="I2031" s="42"/>
      <c r="J2031" s="42"/>
      <c r="K2031" s="43"/>
      <c r="L2031" s="43"/>
      <c r="M2031" s="44" t="str">
        <f>IF(LayTable[[#This Row],[Sport]]="","",LayTable[[#This Row],[LayInnsats]]*(LayTable[[#This Row],[LayOdds]]-1))</f>
        <v/>
      </c>
      <c r="N2031" s="45" t="str">
        <f>IF(LayTable[[#This Row],[Sport]]="","",1/((1/LayTable[[#This Row],[BookieOdds]])+(1/((1/((1+((LayTable[[#This Row],[LayOdds]]-1)*(1+LayTable[[#This Row],[C% Lay]])))-1))+1)))-1)</f>
        <v/>
      </c>
      <c r="Q2031" s="46" t="str">
        <f>IF(LayTable[[#This Row],[Sport]]="","",LayTable[[#This Row],[BookieInnsats]]+LayTable[[#This Row],[LayLiability]])</f>
        <v/>
      </c>
      <c r="R20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1" s="47" t="str">
        <f>IF(LayTable[[#This Row],[Utfall bookie]]="","",LayTable[[#This Row],[WBABack]]+LayTable[[#This Row],[WBALay]]-LayTable[[#This Row],[Total inns]])</f>
        <v/>
      </c>
      <c r="U20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1" s="48" t="str">
        <f>IFERROR(IF(LayTable[[#This Row],[Total inns]]="","",LayTable[[#This Row],[Rback]]/LayTable[[#This Row],[Total inns]]),"")</f>
        <v/>
      </c>
      <c r="X2031" s="48" t="str">
        <f>IFERROR(IF(LayTable[[#This Row],[Total inns]]="","",LayTable[[#This Row],[Rlay]]/LayTable[[#This Row],[Total inns]]),"")</f>
        <v/>
      </c>
      <c r="Y2031" s="48" t="str">
        <f>IFERROR(LayTable[[#This Row],[Faktisk res]]/LayTable[[#This Row],[Total inns]],"")</f>
        <v/>
      </c>
      <c r="Z2031" s="47">
        <f>(LayTable[[#This Row],[BookieInnsats]]*LayTable[[#This Row],[BookieOdds]]-LayTable[[#This Row],[BookieInnsats]])*(1-LayTable[[#This Row],[C% Bookie]])</f>
        <v>0</v>
      </c>
      <c r="AA2031" s="43">
        <f>LayTable[[#This Row],[LayInnsats]]*(1-LayTable[[#This Row],[C% Lay]])</f>
        <v>0</v>
      </c>
      <c r="AB2031" s="43" t="str">
        <f>IFERROR(IF(LayTable[[#This Row],[Sport]]="",AB2030,LayTable[[#This Row],[Faktisk res]]+AB2030),"")</f>
        <v/>
      </c>
      <c r="AC2031" s="43">
        <f>(LayTable[[#This Row],[BackWin-Commission]]+LayTable[[#This Row],[BookieInnsats]])</f>
        <v>0</v>
      </c>
      <c r="AD2031" s="43" t="e">
        <f>(LayTable[[#This Row],[LayWin-Commission]])+LayTable[[#This Row],[LayLiability]]</f>
        <v>#VALUE!</v>
      </c>
      <c r="AE2031" s="43"/>
      <c r="AF2031" s="181"/>
    </row>
    <row r="2032" spans="1:32">
      <c r="A2032" s="84"/>
      <c r="B2032" s="39"/>
      <c r="C2032" s="40"/>
      <c r="D2032" s="41"/>
      <c r="E2032" s="40"/>
      <c r="F2032" s="41"/>
      <c r="G2032" s="101"/>
      <c r="H2032" s="38"/>
      <c r="I2032" s="42"/>
      <c r="J2032" s="42"/>
      <c r="K2032" s="43"/>
      <c r="L2032" s="43"/>
      <c r="M2032" s="44" t="str">
        <f>IF(LayTable[[#This Row],[Sport]]="","",LayTable[[#This Row],[LayInnsats]]*(LayTable[[#This Row],[LayOdds]]-1))</f>
        <v/>
      </c>
      <c r="N2032" s="45" t="str">
        <f>IF(LayTable[[#This Row],[Sport]]="","",1/((1/LayTable[[#This Row],[BookieOdds]])+(1/((1/((1+((LayTable[[#This Row],[LayOdds]]-1)*(1+LayTable[[#This Row],[C% Lay]])))-1))+1)))-1)</f>
        <v/>
      </c>
      <c r="Q2032" s="46" t="str">
        <f>IF(LayTable[[#This Row],[Sport]]="","",LayTable[[#This Row],[BookieInnsats]]+LayTable[[#This Row],[LayLiability]])</f>
        <v/>
      </c>
      <c r="R20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2" s="47" t="str">
        <f>IF(LayTable[[#This Row],[Utfall bookie]]="","",LayTable[[#This Row],[WBABack]]+LayTable[[#This Row],[WBALay]]-LayTable[[#This Row],[Total inns]])</f>
        <v/>
      </c>
      <c r="U20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2" s="48" t="str">
        <f>IFERROR(IF(LayTable[[#This Row],[Total inns]]="","",LayTable[[#This Row],[Rback]]/LayTable[[#This Row],[Total inns]]),"")</f>
        <v/>
      </c>
      <c r="X2032" s="48" t="str">
        <f>IFERROR(IF(LayTable[[#This Row],[Total inns]]="","",LayTable[[#This Row],[Rlay]]/LayTable[[#This Row],[Total inns]]),"")</f>
        <v/>
      </c>
      <c r="Y2032" s="48" t="str">
        <f>IFERROR(LayTable[[#This Row],[Faktisk res]]/LayTable[[#This Row],[Total inns]],"")</f>
        <v/>
      </c>
      <c r="Z2032" s="47">
        <f>(LayTable[[#This Row],[BookieInnsats]]*LayTable[[#This Row],[BookieOdds]]-LayTable[[#This Row],[BookieInnsats]])*(1-LayTable[[#This Row],[C% Bookie]])</f>
        <v>0</v>
      </c>
      <c r="AA2032" s="43">
        <f>LayTable[[#This Row],[LayInnsats]]*(1-LayTable[[#This Row],[C% Lay]])</f>
        <v>0</v>
      </c>
      <c r="AB2032" s="43" t="str">
        <f>IFERROR(IF(LayTable[[#This Row],[Sport]]="",AB2031,LayTable[[#This Row],[Faktisk res]]+AB2031),"")</f>
        <v/>
      </c>
      <c r="AC2032" s="43">
        <f>(LayTable[[#This Row],[BackWin-Commission]]+LayTable[[#This Row],[BookieInnsats]])</f>
        <v>0</v>
      </c>
      <c r="AD2032" s="43" t="e">
        <f>(LayTable[[#This Row],[LayWin-Commission]])+LayTable[[#This Row],[LayLiability]]</f>
        <v>#VALUE!</v>
      </c>
      <c r="AE2032" s="43"/>
      <c r="AF2032" s="181"/>
    </row>
    <row r="2033" spans="1:32">
      <c r="A2033" s="84"/>
      <c r="B2033" s="39"/>
      <c r="C2033" s="40"/>
      <c r="D2033" s="41"/>
      <c r="E2033" s="40"/>
      <c r="F2033" s="41"/>
      <c r="G2033" s="101"/>
      <c r="H2033" s="38"/>
      <c r="I2033" s="42"/>
      <c r="J2033" s="42"/>
      <c r="K2033" s="43"/>
      <c r="L2033" s="43"/>
      <c r="M2033" s="44" t="str">
        <f>IF(LayTable[[#This Row],[Sport]]="","",LayTable[[#This Row],[LayInnsats]]*(LayTable[[#This Row],[LayOdds]]-1))</f>
        <v/>
      </c>
      <c r="N2033" s="45" t="str">
        <f>IF(LayTable[[#This Row],[Sport]]="","",1/((1/LayTable[[#This Row],[BookieOdds]])+(1/((1/((1+((LayTable[[#This Row],[LayOdds]]-1)*(1+LayTable[[#This Row],[C% Lay]])))-1))+1)))-1)</f>
        <v/>
      </c>
      <c r="Q2033" s="46" t="str">
        <f>IF(LayTable[[#This Row],[Sport]]="","",LayTable[[#This Row],[BookieInnsats]]+LayTable[[#This Row],[LayLiability]])</f>
        <v/>
      </c>
      <c r="R20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3" s="47" t="str">
        <f>IF(LayTable[[#This Row],[Utfall bookie]]="","",LayTable[[#This Row],[WBABack]]+LayTable[[#This Row],[WBALay]]-LayTable[[#This Row],[Total inns]])</f>
        <v/>
      </c>
      <c r="U20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3" s="48" t="str">
        <f>IFERROR(IF(LayTable[[#This Row],[Total inns]]="","",LayTable[[#This Row],[Rback]]/LayTable[[#This Row],[Total inns]]),"")</f>
        <v/>
      </c>
      <c r="X2033" s="48" t="str">
        <f>IFERROR(IF(LayTable[[#This Row],[Total inns]]="","",LayTable[[#This Row],[Rlay]]/LayTable[[#This Row],[Total inns]]),"")</f>
        <v/>
      </c>
      <c r="Y2033" s="48" t="str">
        <f>IFERROR(LayTable[[#This Row],[Faktisk res]]/LayTable[[#This Row],[Total inns]],"")</f>
        <v/>
      </c>
      <c r="Z2033" s="47">
        <f>(LayTable[[#This Row],[BookieInnsats]]*LayTable[[#This Row],[BookieOdds]]-LayTable[[#This Row],[BookieInnsats]])*(1-LayTable[[#This Row],[C% Bookie]])</f>
        <v>0</v>
      </c>
      <c r="AA2033" s="43">
        <f>LayTable[[#This Row],[LayInnsats]]*(1-LayTable[[#This Row],[C% Lay]])</f>
        <v>0</v>
      </c>
      <c r="AB2033" s="43" t="str">
        <f>IFERROR(IF(LayTable[[#This Row],[Sport]]="",AB2032,LayTable[[#This Row],[Faktisk res]]+AB2032),"")</f>
        <v/>
      </c>
      <c r="AC2033" s="43">
        <f>(LayTable[[#This Row],[BackWin-Commission]]+LayTable[[#This Row],[BookieInnsats]])</f>
        <v>0</v>
      </c>
      <c r="AD2033" s="43" t="e">
        <f>(LayTable[[#This Row],[LayWin-Commission]])+LayTable[[#This Row],[LayLiability]]</f>
        <v>#VALUE!</v>
      </c>
      <c r="AE2033" s="43"/>
      <c r="AF2033" s="181"/>
    </row>
    <row r="2034" spans="1:32">
      <c r="A2034" s="84"/>
      <c r="B2034" s="39"/>
      <c r="C2034" s="40"/>
      <c r="D2034" s="41"/>
      <c r="E2034" s="40"/>
      <c r="F2034" s="41"/>
      <c r="G2034" s="101"/>
      <c r="H2034" s="38"/>
      <c r="I2034" s="42"/>
      <c r="J2034" s="42"/>
      <c r="K2034" s="43"/>
      <c r="L2034" s="43"/>
      <c r="M2034" s="44" t="str">
        <f>IF(LayTable[[#This Row],[Sport]]="","",LayTable[[#This Row],[LayInnsats]]*(LayTable[[#This Row],[LayOdds]]-1))</f>
        <v/>
      </c>
      <c r="N2034" s="45" t="str">
        <f>IF(LayTable[[#This Row],[Sport]]="","",1/((1/LayTable[[#This Row],[BookieOdds]])+(1/((1/((1+((LayTable[[#This Row],[LayOdds]]-1)*(1+LayTable[[#This Row],[C% Lay]])))-1))+1)))-1)</f>
        <v/>
      </c>
      <c r="Q2034" s="46" t="str">
        <f>IF(LayTable[[#This Row],[Sport]]="","",LayTable[[#This Row],[BookieInnsats]]+LayTable[[#This Row],[LayLiability]])</f>
        <v/>
      </c>
      <c r="R20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4" s="47" t="str">
        <f>IF(LayTable[[#This Row],[Utfall bookie]]="","",LayTable[[#This Row],[WBABack]]+LayTable[[#This Row],[WBALay]]-LayTable[[#This Row],[Total inns]])</f>
        <v/>
      </c>
      <c r="U20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4" s="48" t="str">
        <f>IFERROR(IF(LayTable[[#This Row],[Total inns]]="","",LayTable[[#This Row],[Rback]]/LayTable[[#This Row],[Total inns]]),"")</f>
        <v/>
      </c>
      <c r="X2034" s="48" t="str">
        <f>IFERROR(IF(LayTable[[#This Row],[Total inns]]="","",LayTable[[#This Row],[Rlay]]/LayTable[[#This Row],[Total inns]]),"")</f>
        <v/>
      </c>
      <c r="Y2034" s="48" t="str">
        <f>IFERROR(LayTable[[#This Row],[Faktisk res]]/LayTable[[#This Row],[Total inns]],"")</f>
        <v/>
      </c>
      <c r="Z2034" s="47">
        <f>(LayTable[[#This Row],[BookieInnsats]]*LayTable[[#This Row],[BookieOdds]]-LayTable[[#This Row],[BookieInnsats]])*(1-LayTable[[#This Row],[C% Bookie]])</f>
        <v>0</v>
      </c>
      <c r="AA2034" s="43">
        <f>LayTable[[#This Row],[LayInnsats]]*(1-LayTable[[#This Row],[C% Lay]])</f>
        <v>0</v>
      </c>
      <c r="AB2034" s="43" t="str">
        <f>IFERROR(IF(LayTable[[#This Row],[Sport]]="",AB2033,LayTable[[#This Row],[Faktisk res]]+AB2033),"")</f>
        <v/>
      </c>
      <c r="AC2034" s="43">
        <f>(LayTable[[#This Row],[BackWin-Commission]]+LayTable[[#This Row],[BookieInnsats]])</f>
        <v>0</v>
      </c>
      <c r="AD2034" s="43" t="e">
        <f>(LayTable[[#This Row],[LayWin-Commission]])+LayTable[[#This Row],[LayLiability]]</f>
        <v>#VALUE!</v>
      </c>
      <c r="AE2034" s="43"/>
      <c r="AF2034" s="181"/>
    </row>
    <row r="2035" spans="1:32">
      <c r="A2035" s="84"/>
      <c r="B2035" s="39"/>
      <c r="C2035" s="40"/>
      <c r="D2035" s="41"/>
      <c r="E2035" s="40"/>
      <c r="F2035" s="41"/>
      <c r="G2035" s="101"/>
      <c r="H2035" s="38"/>
      <c r="I2035" s="42"/>
      <c r="J2035" s="42"/>
      <c r="K2035" s="43"/>
      <c r="L2035" s="43"/>
      <c r="M2035" s="44" t="str">
        <f>IF(LayTable[[#This Row],[Sport]]="","",LayTable[[#This Row],[LayInnsats]]*(LayTable[[#This Row],[LayOdds]]-1))</f>
        <v/>
      </c>
      <c r="N2035" s="45" t="str">
        <f>IF(LayTable[[#This Row],[Sport]]="","",1/((1/LayTable[[#This Row],[BookieOdds]])+(1/((1/((1+((LayTable[[#This Row],[LayOdds]]-1)*(1+LayTable[[#This Row],[C% Lay]])))-1))+1)))-1)</f>
        <v/>
      </c>
      <c r="Q2035" s="46" t="str">
        <f>IF(LayTable[[#This Row],[Sport]]="","",LayTable[[#This Row],[BookieInnsats]]+LayTable[[#This Row],[LayLiability]])</f>
        <v/>
      </c>
      <c r="R20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5" s="47" t="str">
        <f>IF(LayTable[[#This Row],[Utfall bookie]]="","",LayTable[[#This Row],[WBABack]]+LayTable[[#This Row],[WBALay]]-LayTable[[#This Row],[Total inns]])</f>
        <v/>
      </c>
      <c r="U20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5" s="48" t="str">
        <f>IFERROR(IF(LayTable[[#This Row],[Total inns]]="","",LayTable[[#This Row],[Rback]]/LayTable[[#This Row],[Total inns]]),"")</f>
        <v/>
      </c>
      <c r="X2035" s="48" t="str">
        <f>IFERROR(IF(LayTable[[#This Row],[Total inns]]="","",LayTable[[#This Row],[Rlay]]/LayTable[[#This Row],[Total inns]]),"")</f>
        <v/>
      </c>
      <c r="Y2035" s="48" t="str">
        <f>IFERROR(LayTable[[#This Row],[Faktisk res]]/LayTable[[#This Row],[Total inns]],"")</f>
        <v/>
      </c>
      <c r="Z2035" s="47">
        <f>(LayTable[[#This Row],[BookieInnsats]]*LayTable[[#This Row],[BookieOdds]]-LayTable[[#This Row],[BookieInnsats]])*(1-LayTable[[#This Row],[C% Bookie]])</f>
        <v>0</v>
      </c>
      <c r="AA2035" s="43">
        <f>LayTable[[#This Row],[LayInnsats]]*(1-LayTable[[#This Row],[C% Lay]])</f>
        <v>0</v>
      </c>
      <c r="AB2035" s="43" t="str">
        <f>IFERROR(IF(LayTable[[#This Row],[Sport]]="",AB2034,LayTable[[#This Row],[Faktisk res]]+AB2034),"")</f>
        <v/>
      </c>
      <c r="AC2035" s="43">
        <f>(LayTable[[#This Row],[BackWin-Commission]]+LayTable[[#This Row],[BookieInnsats]])</f>
        <v>0</v>
      </c>
      <c r="AD2035" s="43" t="e">
        <f>(LayTable[[#This Row],[LayWin-Commission]])+LayTable[[#This Row],[LayLiability]]</f>
        <v>#VALUE!</v>
      </c>
      <c r="AE2035" s="43"/>
      <c r="AF2035" s="181"/>
    </row>
    <row r="2036" spans="1:32">
      <c r="A2036" s="84"/>
      <c r="B2036" s="39"/>
      <c r="C2036" s="40"/>
      <c r="D2036" s="41"/>
      <c r="E2036" s="40"/>
      <c r="F2036" s="41"/>
      <c r="G2036" s="101"/>
      <c r="H2036" s="38"/>
      <c r="I2036" s="42"/>
      <c r="J2036" s="42"/>
      <c r="K2036" s="43"/>
      <c r="L2036" s="43"/>
      <c r="M2036" s="44" t="str">
        <f>IF(LayTable[[#This Row],[Sport]]="","",LayTable[[#This Row],[LayInnsats]]*(LayTable[[#This Row],[LayOdds]]-1))</f>
        <v/>
      </c>
      <c r="N2036" s="45" t="str">
        <f>IF(LayTable[[#This Row],[Sport]]="","",1/((1/LayTable[[#This Row],[BookieOdds]])+(1/((1/((1+((LayTable[[#This Row],[LayOdds]]-1)*(1+LayTable[[#This Row],[C% Lay]])))-1))+1)))-1)</f>
        <v/>
      </c>
      <c r="Q2036" s="46" t="str">
        <f>IF(LayTable[[#This Row],[Sport]]="","",LayTable[[#This Row],[BookieInnsats]]+LayTable[[#This Row],[LayLiability]])</f>
        <v/>
      </c>
      <c r="R20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6" s="47" t="str">
        <f>IF(LayTable[[#This Row],[Utfall bookie]]="","",LayTable[[#This Row],[WBABack]]+LayTable[[#This Row],[WBALay]]-LayTable[[#This Row],[Total inns]])</f>
        <v/>
      </c>
      <c r="U20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6" s="48" t="str">
        <f>IFERROR(IF(LayTable[[#This Row],[Total inns]]="","",LayTable[[#This Row],[Rback]]/LayTable[[#This Row],[Total inns]]),"")</f>
        <v/>
      </c>
      <c r="X2036" s="48" t="str">
        <f>IFERROR(IF(LayTable[[#This Row],[Total inns]]="","",LayTable[[#This Row],[Rlay]]/LayTable[[#This Row],[Total inns]]),"")</f>
        <v/>
      </c>
      <c r="Y2036" s="48" t="str">
        <f>IFERROR(LayTable[[#This Row],[Faktisk res]]/LayTable[[#This Row],[Total inns]],"")</f>
        <v/>
      </c>
      <c r="Z2036" s="47">
        <f>(LayTable[[#This Row],[BookieInnsats]]*LayTable[[#This Row],[BookieOdds]]-LayTable[[#This Row],[BookieInnsats]])*(1-LayTable[[#This Row],[C% Bookie]])</f>
        <v>0</v>
      </c>
      <c r="AA2036" s="43">
        <f>LayTable[[#This Row],[LayInnsats]]*(1-LayTable[[#This Row],[C% Lay]])</f>
        <v>0</v>
      </c>
      <c r="AB2036" s="43" t="str">
        <f>IFERROR(IF(LayTable[[#This Row],[Sport]]="",AB2035,LayTable[[#This Row],[Faktisk res]]+AB2035),"")</f>
        <v/>
      </c>
      <c r="AC2036" s="43">
        <f>(LayTable[[#This Row],[BackWin-Commission]]+LayTable[[#This Row],[BookieInnsats]])</f>
        <v>0</v>
      </c>
      <c r="AD2036" s="43" t="e">
        <f>(LayTable[[#This Row],[LayWin-Commission]])+LayTable[[#This Row],[LayLiability]]</f>
        <v>#VALUE!</v>
      </c>
      <c r="AE2036" s="43"/>
      <c r="AF2036" s="181"/>
    </row>
    <row r="2037" spans="1:32">
      <c r="A2037" s="84"/>
      <c r="B2037" s="39"/>
      <c r="C2037" s="40"/>
      <c r="D2037" s="41"/>
      <c r="E2037" s="40"/>
      <c r="F2037" s="41"/>
      <c r="G2037" s="101"/>
      <c r="H2037" s="38"/>
      <c r="I2037" s="42"/>
      <c r="J2037" s="42"/>
      <c r="K2037" s="43"/>
      <c r="L2037" s="43"/>
      <c r="M2037" s="44" t="str">
        <f>IF(LayTable[[#This Row],[Sport]]="","",LayTable[[#This Row],[LayInnsats]]*(LayTable[[#This Row],[LayOdds]]-1))</f>
        <v/>
      </c>
      <c r="N2037" s="45" t="str">
        <f>IF(LayTable[[#This Row],[Sport]]="","",1/((1/LayTable[[#This Row],[BookieOdds]])+(1/((1/((1+((LayTable[[#This Row],[LayOdds]]-1)*(1+LayTable[[#This Row],[C% Lay]])))-1))+1)))-1)</f>
        <v/>
      </c>
      <c r="Q2037" s="46" t="str">
        <f>IF(LayTable[[#This Row],[Sport]]="","",LayTable[[#This Row],[BookieInnsats]]+LayTable[[#This Row],[LayLiability]])</f>
        <v/>
      </c>
      <c r="R20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7" s="47" t="str">
        <f>IF(LayTable[[#This Row],[Utfall bookie]]="","",LayTable[[#This Row],[WBABack]]+LayTable[[#This Row],[WBALay]]-LayTable[[#This Row],[Total inns]])</f>
        <v/>
      </c>
      <c r="U20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7" s="48" t="str">
        <f>IFERROR(IF(LayTable[[#This Row],[Total inns]]="","",LayTable[[#This Row],[Rback]]/LayTable[[#This Row],[Total inns]]),"")</f>
        <v/>
      </c>
      <c r="X2037" s="48" t="str">
        <f>IFERROR(IF(LayTable[[#This Row],[Total inns]]="","",LayTable[[#This Row],[Rlay]]/LayTable[[#This Row],[Total inns]]),"")</f>
        <v/>
      </c>
      <c r="Y2037" s="48" t="str">
        <f>IFERROR(LayTable[[#This Row],[Faktisk res]]/LayTable[[#This Row],[Total inns]],"")</f>
        <v/>
      </c>
      <c r="Z2037" s="47">
        <f>(LayTable[[#This Row],[BookieInnsats]]*LayTable[[#This Row],[BookieOdds]]-LayTable[[#This Row],[BookieInnsats]])*(1-LayTable[[#This Row],[C% Bookie]])</f>
        <v>0</v>
      </c>
      <c r="AA2037" s="43">
        <f>LayTable[[#This Row],[LayInnsats]]*(1-LayTable[[#This Row],[C% Lay]])</f>
        <v>0</v>
      </c>
      <c r="AB2037" s="43" t="str">
        <f>IFERROR(IF(LayTable[[#This Row],[Sport]]="",AB2036,LayTable[[#This Row],[Faktisk res]]+AB2036),"")</f>
        <v/>
      </c>
      <c r="AC2037" s="43">
        <f>(LayTable[[#This Row],[BackWin-Commission]]+LayTable[[#This Row],[BookieInnsats]])</f>
        <v>0</v>
      </c>
      <c r="AD2037" s="43" t="e">
        <f>(LayTable[[#This Row],[LayWin-Commission]])+LayTable[[#This Row],[LayLiability]]</f>
        <v>#VALUE!</v>
      </c>
      <c r="AE2037" s="43"/>
      <c r="AF2037" s="181"/>
    </row>
    <row r="2038" spans="1:32">
      <c r="A2038" s="84"/>
      <c r="B2038" s="39"/>
      <c r="C2038" s="40"/>
      <c r="D2038" s="41"/>
      <c r="E2038" s="40"/>
      <c r="F2038" s="41"/>
      <c r="G2038" s="101"/>
      <c r="H2038" s="38"/>
      <c r="I2038" s="42"/>
      <c r="J2038" s="42"/>
      <c r="K2038" s="43"/>
      <c r="L2038" s="43"/>
      <c r="M2038" s="44" t="str">
        <f>IF(LayTable[[#This Row],[Sport]]="","",LayTable[[#This Row],[LayInnsats]]*(LayTable[[#This Row],[LayOdds]]-1))</f>
        <v/>
      </c>
      <c r="N2038" s="45" t="str">
        <f>IF(LayTable[[#This Row],[Sport]]="","",1/((1/LayTable[[#This Row],[BookieOdds]])+(1/((1/((1+((LayTable[[#This Row],[LayOdds]]-1)*(1+LayTable[[#This Row],[C% Lay]])))-1))+1)))-1)</f>
        <v/>
      </c>
      <c r="Q2038" s="46" t="str">
        <f>IF(LayTable[[#This Row],[Sport]]="","",LayTable[[#This Row],[BookieInnsats]]+LayTable[[#This Row],[LayLiability]])</f>
        <v/>
      </c>
      <c r="R20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8" s="47" t="str">
        <f>IF(LayTable[[#This Row],[Utfall bookie]]="","",LayTable[[#This Row],[WBABack]]+LayTable[[#This Row],[WBALay]]-LayTable[[#This Row],[Total inns]])</f>
        <v/>
      </c>
      <c r="U20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8" s="48" t="str">
        <f>IFERROR(IF(LayTable[[#This Row],[Total inns]]="","",LayTable[[#This Row],[Rback]]/LayTable[[#This Row],[Total inns]]),"")</f>
        <v/>
      </c>
      <c r="X2038" s="48" t="str">
        <f>IFERROR(IF(LayTable[[#This Row],[Total inns]]="","",LayTable[[#This Row],[Rlay]]/LayTable[[#This Row],[Total inns]]),"")</f>
        <v/>
      </c>
      <c r="Y2038" s="48" t="str">
        <f>IFERROR(LayTable[[#This Row],[Faktisk res]]/LayTable[[#This Row],[Total inns]],"")</f>
        <v/>
      </c>
      <c r="Z2038" s="47">
        <f>(LayTable[[#This Row],[BookieInnsats]]*LayTable[[#This Row],[BookieOdds]]-LayTable[[#This Row],[BookieInnsats]])*(1-LayTable[[#This Row],[C% Bookie]])</f>
        <v>0</v>
      </c>
      <c r="AA2038" s="43">
        <f>LayTable[[#This Row],[LayInnsats]]*(1-LayTable[[#This Row],[C% Lay]])</f>
        <v>0</v>
      </c>
      <c r="AB2038" s="43" t="str">
        <f>IFERROR(IF(LayTable[[#This Row],[Sport]]="",AB2037,LayTable[[#This Row],[Faktisk res]]+AB2037),"")</f>
        <v/>
      </c>
      <c r="AC2038" s="43">
        <f>(LayTable[[#This Row],[BackWin-Commission]]+LayTable[[#This Row],[BookieInnsats]])</f>
        <v>0</v>
      </c>
      <c r="AD2038" s="43" t="e">
        <f>(LayTable[[#This Row],[LayWin-Commission]])+LayTable[[#This Row],[LayLiability]]</f>
        <v>#VALUE!</v>
      </c>
      <c r="AE2038" s="43"/>
      <c r="AF2038" s="181"/>
    </row>
    <row r="2039" spans="1:32">
      <c r="A2039" s="84"/>
      <c r="B2039" s="39"/>
      <c r="C2039" s="40"/>
      <c r="D2039" s="41"/>
      <c r="E2039" s="40"/>
      <c r="F2039" s="41"/>
      <c r="G2039" s="101"/>
      <c r="H2039" s="38"/>
      <c r="I2039" s="42"/>
      <c r="J2039" s="42"/>
      <c r="K2039" s="43"/>
      <c r="L2039" s="43"/>
      <c r="M2039" s="44" t="str">
        <f>IF(LayTable[[#This Row],[Sport]]="","",LayTable[[#This Row],[LayInnsats]]*(LayTable[[#This Row],[LayOdds]]-1))</f>
        <v/>
      </c>
      <c r="N2039" s="45" t="str">
        <f>IF(LayTable[[#This Row],[Sport]]="","",1/((1/LayTable[[#This Row],[BookieOdds]])+(1/((1/((1+((LayTable[[#This Row],[LayOdds]]-1)*(1+LayTable[[#This Row],[C% Lay]])))-1))+1)))-1)</f>
        <v/>
      </c>
      <c r="Q2039" s="46" t="str">
        <f>IF(LayTable[[#This Row],[Sport]]="","",LayTable[[#This Row],[BookieInnsats]]+LayTable[[#This Row],[LayLiability]])</f>
        <v/>
      </c>
      <c r="R20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39" s="47" t="str">
        <f>IF(LayTable[[#This Row],[Utfall bookie]]="","",LayTable[[#This Row],[WBABack]]+LayTable[[#This Row],[WBALay]]-LayTable[[#This Row],[Total inns]])</f>
        <v/>
      </c>
      <c r="U20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39" s="48" t="str">
        <f>IFERROR(IF(LayTable[[#This Row],[Total inns]]="","",LayTable[[#This Row],[Rback]]/LayTable[[#This Row],[Total inns]]),"")</f>
        <v/>
      </c>
      <c r="X2039" s="48" t="str">
        <f>IFERROR(IF(LayTable[[#This Row],[Total inns]]="","",LayTable[[#This Row],[Rlay]]/LayTable[[#This Row],[Total inns]]),"")</f>
        <v/>
      </c>
      <c r="Y2039" s="48" t="str">
        <f>IFERROR(LayTable[[#This Row],[Faktisk res]]/LayTable[[#This Row],[Total inns]],"")</f>
        <v/>
      </c>
      <c r="Z2039" s="47">
        <f>(LayTable[[#This Row],[BookieInnsats]]*LayTable[[#This Row],[BookieOdds]]-LayTable[[#This Row],[BookieInnsats]])*(1-LayTable[[#This Row],[C% Bookie]])</f>
        <v>0</v>
      </c>
      <c r="AA2039" s="43">
        <f>LayTable[[#This Row],[LayInnsats]]*(1-LayTable[[#This Row],[C% Lay]])</f>
        <v>0</v>
      </c>
      <c r="AB2039" s="43" t="str">
        <f>IFERROR(IF(LayTable[[#This Row],[Sport]]="",AB2038,LayTable[[#This Row],[Faktisk res]]+AB2038),"")</f>
        <v/>
      </c>
      <c r="AC2039" s="43">
        <f>(LayTable[[#This Row],[BackWin-Commission]]+LayTable[[#This Row],[BookieInnsats]])</f>
        <v>0</v>
      </c>
      <c r="AD2039" s="43" t="e">
        <f>(LayTable[[#This Row],[LayWin-Commission]])+LayTable[[#This Row],[LayLiability]]</f>
        <v>#VALUE!</v>
      </c>
      <c r="AE2039" s="43"/>
      <c r="AF2039" s="181"/>
    </row>
    <row r="2040" spans="1:32">
      <c r="A2040" s="84"/>
      <c r="B2040" s="39"/>
      <c r="C2040" s="40"/>
      <c r="D2040" s="41"/>
      <c r="E2040" s="40"/>
      <c r="F2040" s="41"/>
      <c r="G2040" s="101"/>
      <c r="H2040" s="38"/>
      <c r="I2040" s="42"/>
      <c r="J2040" s="42"/>
      <c r="K2040" s="43"/>
      <c r="L2040" s="43"/>
      <c r="M2040" s="44" t="str">
        <f>IF(LayTable[[#This Row],[Sport]]="","",LayTable[[#This Row],[LayInnsats]]*(LayTable[[#This Row],[LayOdds]]-1))</f>
        <v/>
      </c>
      <c r="N2040" s="45" t="str">
        <f>IF(LayTable[[#This Row],[Sport]]="","",1/((1/LayTable[[#This Row],[BookieOdds]])+(1/((1/((1+((LayTable[[#This Row],[LayOdds]]-1)*(1+LayTable[[#This Row],[C% Lay]])))-1))+1)))-1)</f>
        <v/>
      </c>
      <c r="Q2040" s="46" t="str">
        <f>IF(LayTable[[#This Row],[Sport]]="","",LayTable[[#This Row],[BookieInnsats]]+LayTable[[#This Row],[LayLiability]])</f>
        <v/>
      </c>
      <c r="R20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0" s="47" t="str">
        <f>IF(LayTable[[#This Row],[Utfall bookie]]="","",LayTable[[#This Row],[WBABack]]+LayTable[[#This Row],[WBALay]]-LayTable[[#This Row],[Total inns]])</f>
        <v/>
      </c>
      <c r="U20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0" s="48" t="str">
        <f>IFERROR(IF(LayTable[[#This Row],[Total inns]]="","",LayTable[[#This Row],[Rback]]/LayTable[[#This Row],[Total inns]]),"")</f>
        <v/>
      </c>
      <c r="X2040" s="48" t="str">
        <f>IFERROR(IF(LayTable[[#This Row],[Total inns]]="","",LayTable[[#This Row],[Rlay]]/LayTable[[#This Row],[Total inns]]),"")</f>
        <v/>
      </c>
      <c r="Y2040" s="48" t="str">
        <f>IFERROR(LayTable[[#This Row],[Faktisk res]]/LayTable[[#This Row],[Total inns]],"")</f>
        <v/>
      </c>
      <c r="Z2040" s="47">
        <f>(LayTable[[#This Row],[BookieInnsats]]*LayTable[[#This Row],[BookieOdds]]-LayTable[[#This Row],[BookieInnsats]])*(1-LayTable[[#This Row],[C% Bookie]])</f>
        <v>0</v>
      </c>
      <c r="AA2040" s="43">
        <f>LayTable[[#This Row],[LayInnsats]]*(1-LayTable[[#This Row],[C% Lay]])</f>
        <v>0</v>
      </c>
      <c r="AB2040" s="43" t="str">
        <f>IFERROR(IF(LayTable[[#This Row],[Sport]]="",AB2039,LayTable[[#This Row],[Faktisk res]]+AB2039),"")</f>
        <v/>
      </c>
      <c r="AC2040" s="43">
        <f>(LayTable[[#This Row],[BackWin-Commission]]+LayTable[[#This Row],[BookieInnsats]])</f>
        <v>0</v>
      </c>
      <c r="AD2040" s="43" t="e">
        <f>(LayTable[[#This Row],[LayWin-Commission]])+LayTable[[#This Row],[LayLiability]]</f>
        <v>#VALUE!</v>
      </c>
      <c r="AE2040" s="43"/>
      <c r="AF2040" s="181"/>
    </row>
    <row r="2041" spans="1:32">
      <c r="A2041" s="84"/>
      <c r="B2041" s="39"/>
      <c r="C2041" s="40"/>
      <c r="D2041" s="41"/>
      <c r="E2041" s="40"/>
      <c r="F2041" s="41"/>
      <c r="G2041" s="101"/>
      <c r="H2041" s="38"/>
      <c r="I2041" s="42"/>
      <c r="J2041" s="42"/>
      <c r="K2041" s="43"/>
      <c r="L2041" s="43"/>
      <c r="M2041" s="44" t="str">
        <f>IF(LayTable[[#This Row],[Sport]]="","",LayTable[[#This Row],[LayInnsats]]*(LayTable[[#This Row],[LayOdds]]-1))</f>
        <v/>
      </c>
      <c r="N2041" s="45" t="str">
        <f>IF(LayTable[[#This Row],[Sport]]="","",1/((1/LayTable[[#This Row],[BookieOdds]])+(1/((1/((1+((LayTable[[#This Row],[LayOdds]]-1)*(1+LayTable[[#This Row],[C% Lay]])))-1))+1)))-1)</f>
        <v/>
      </c>
      <c r="Q2041" s="46" t="str">
        <f>IF(LayTable[[#This Row],[Sport]]="","",LayTable[[#This Row],[BookieInnsats]]+LayTable[[#This Row],[LayLiability]])</f>
        <v/>
      </c>
      <c r="R20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1" s="47" t="str">
        <f>IF(LayTable[[#This Row],[Utfall bookie]]="","",LayTable[[#This Row],[WBABack]]+LayTable[[#This Row],[WBALay]]-LayTable[[#This Row],[Total inns]])</f>
        <v/>
      </c>
      <c r="U20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1" s="48" t="str">
        <f>IFERROR(IF(LayTable[[#This Row],[Total inns]]="","",LayTable[[#This Row],[Rback]]/LayTable[[#This Row],[Total inns]]),"")</f>
        <v/>
      </c>
      <c r="X2041" s="48" t="str">
        <f>IFERROR(IF(LayTable[[#This Row],[Total inns]]="","",LayTable[[#This Row],[Rlay]]/LayTable[[#This Row],[Total inns]]),"")</f>
        <v/>
      </c>
      <c r="Y2041" s="48" t="str">
        <f>IFERROR(LayTable[[#This Row],[Faktisk res]]/LayTable[[#This Row],[Total inns]],"")</f>
        <v/>
      </c>
      <c r="Z2041" s="47">
        <f>(LayTable[[#This Row],[BookieInnsats]]*LayTable[[#This Row],[BookieOdds]]-LayTable[[#This Row],[BookieInnsats]])*(1-LayTable[[#This Row],[C% Bookie]])</f>
        <v>0</v>
      </c>
      <c r="AA2041" s="43">
        <f>LayTable[[#This Row],[LayInnsats]]*(1-LayTable[[#This Row],[C% Lay]])</f>
        <v>0</v>
      </c>
      <c r="AB2041" s="43" t="str">
        <f>IFERROR(IF(LayTable[[#This Row],[Sport]]="",AB2040,LayTable[[#This Row],[Faktisk res]]+AB2040),"")</f>
        <v/>
      </c>
      <c r="AC2041" s="43">
        <f>(LayTable[[#This Row],[BackWin-Commission]]+LayTable[[#This Row],[BookieInnsats]])</f>
        <v>0</v>
      </c>
      <c r="AD2041" s="43" t="e">
        <f>(LayTable[[#This Row],[LayWin-Commission]])+LayTable[[#This Row],[LayLiability]]</f>
        <v>#VALUE!</v>
      </c>
      <c r="AE2041" s="43"/>
      <c r="AF2041" s="181"/>
    </row>
    <row r="2042" spans="1:32">
      <c r="A2042" s="84"/>
      <c r="B2042" s="39"/>
      <c r="C2042" s="40"/>
      <c r="D2042" s="41"/>
      <c r="E2042" s="40"/>
      <c r="F2042" s="41"/>
      <c r="G2042" s="101"/>
      <c r="H2042" s="38"/>
      <c r="I2042" s="42"/>
      <c r="J2042" s="42"/>
      <c r="K2042" s="43"/>
      <c r="L2042" s="43"/>
      <c r="M2042" s="44" t="str">
        <f>IF(LayTable[[#This Row],[Sport]]="","",LayTable[[#This Row],[LayInnsats]]*(LayTable[[#This Row],[LayOdds]]-1))</f>
        <v/>
      </c>
      <c r="N2042" s="45" t="str">
        <f>IF(LayTable[[#This Row],[Sport]]="","",1/((1/LayTable[[#This Row],[BookieOdds]])+(1/((1/((1+((LayTable[[#This Row],[LayOdds]]-1)*(1+LayTable[[#This Row],[C% Lay]])))-1))+1)))-1)</f>
        <v/>
      </c>
      <c r="Q2042" s="46" t="str">
        <f>IF(LayTable[[#This Row],[Sport]]="","",LayTable[[#This Row],[BookieInnsats]]+LayTable[[#This Row],[LayLiability]])</f>
        <v/>
      </c>
      <c r="R20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2" s="47" t="str">
        <f>IF(LayTable[[#This Row],[Utfall bookie]]="","",LayTable[[#This Row],[WBABack]]+LayTable[[#This Row],[WBALay]]-LayTable[[#This Row],[Total inns]])</f>
        <v/>
      </c>
      <c r="U20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2" s="48" t="str">
        <f>IFERROR(IF(LayTable[[#This Row],[Total inns]]="","",LayTable[[#This Row],[Rback]]/LayTable[[#This Row],[Total inns]]),"")</f>
        <v/>
      </c>
      <c r="X2042" s="48" t="str">
        <f>IFERROR(IF(LayTable[[#This Row],[Total inns]]="","",LayTable[[#This Row],[Rlay]]/LayTable[[#This Row],[Total inns]]),"")</f>
        <v/>
      </c>
      <c r="Y2042" s="48" t="str">
        <f>IFERROR(LayTable[[#This Row],[Faktisk res]]/LayTable[[#This Row],[Total inns]],"")</f>
        <v/>
      </c>
      <c r="Z2042" s="47">
        <f>(LayTable[[#This Row],[BookieInnsats]]*LayTable[[#This Row],[BookieOdds]]-LayTable[[#This Row],[BookieInnsats]])*(1-LayTable[[#This Row],[C% Bookie]])</f>
        <v>0</v>
      </c>
      <c r="AA2042" s="43">
        <f>LayTable[[#This Row],[LayInnsats]]*(1-LayTable[[#This Row],[C% Lay]])</f>
        <v>0</v>
      </c>
      <c r="AB2042" s="43" t="str">
        <f>IFERROR(IF(LayTable[[#This Row],[Sport]]="",AB2041,LayTable[[#This Row],[Faktisk res]]+AB2041),"")</f>
        <v/>
      </c>
      <c r="AC2042" s="43">
        <f>(LayTable[[#This Row],[BackWin-Commission]]+LayTable[[#This Row],[BookieInnsats]])</f>
        <v>0</v>
      </c>
      <c r="AD2042" s="43" t="e">
        <f>(LayTable[[#This Row],[LayWin-Commission]])+LayTable[[#This Row],[LayLiability]]</f>
        <v>#VALUE!</v>
      </c>
      <c r="AE2042" s="43"/>
      <c r="AF2042" s="181"/>
    </row>
    <row r="2043" spans="1:32">
      <c r="A2043" s="84"/>
      <c r="B2043" s="39"/>
      <c r="C2043" s="40"/>
      <c r="D2043" s="41"/>
      <c r="E2043" s="40"/>
      <c r="F2043" s="41"/>
      <c r="G2043" s="101"/>
      <c r="H2043" s="38"/>
      <c r="I2043" s="42"/>
      <c r="J2043" s="42"/>
      <c r="K2043" s="43"/>
      <c r="L2043" s="43"/>
      <c r="M2043" s="44" t="str">
        <f>IF(LayTable[[#This Row],[Sport]]="","",LayTable[[#This Row],[LayInnsats]]*(LayTable[[#This Row],[LayOdds]]-1))</f>
        <v/>
      </c>
      <c r="N2043" s="45" t="str">
        <f>IF(LayTable[[#This Row],[Sport]]="","",1/((1/LayTable[[#This Row],[BookieOdds]])+(1/((1/((1+((LayTable[[#This Row],[LayOdds]]-1)*(1+LayTable[[#This Row],[C% Lay]])))-1))+1)))-1)</f>
        <v/>
      </c>
      <c r="Q2043" s="46" t="str">
        <f>IF(LayTable[[#This Row],[Sport]]="","",LayTable[[#This Row],[BookieInnsats]]+LayTable[[#This Row],[LayLiability]])</f>
        <v/>
      </c>
      <c r="R20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3" s="47" t="str">
        <f>IF(LayTable[[#This Row],[Utfall bookie]]="","",LayTable[[#This Row],[WBABack]]+LayTable[[#This Row],[WBALay]]-LayTable[[#This Row],[Total inns]])</f>
        <v/>
      </c>
      <c r="U20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3" s="48" t="str">
        <f>IFERROR(IF(LayTable[[#This Row],[Total inns]]="","",LayTable[[#This Row],[Rback]]/LayTable[[#This Row],[Total inns]]),"")</f>
        <v/>
      </c>
      <c r="X2043" s="48" t="str">
        <f>IFERROR(IF(LayTable[[#This Row],[Total inns]]="","",LayTable[[#This Row],[Rlay]]/LayTable[[#This Row],[Total inns]]),"")</f>
        <v/>
      </c>
      <c r="Y2043" s="48" t="str">
        <f>IFERROR(LayTable[[#This Row],[Faktisk res]]/LayTable[[#This Row],[Total inns]],"")</f>
        <v/>
      </c>
      <c r="Z2043" s="47">
        <f>(LayTable[[#This Row],[BookieInnsats]]*LayTable[[#This Row],[BookieOdds]]-LayTable[[#This Row],[BookieInnsats]])*(1-LayTable[[#This Row],[C% Bookie]])</f>
        <v>0</v>
      </c>
      <c r="AA2043" s="43">
        <f>LayTable[[#This Row],[LayInnsats]]*(1-LayTable[[#This Row],[C% Lay]])</f>
        <v>0</v>
      </c>
      <c r="AB2043" s="43" t="str">
        <f>IFERROR(IF(LayTable[[#This Row],[Sport]]="",AB2042,LayTable[[#This Row],[Faktisk res]]+AB2042),"")</f>
        <v/>
      </c>
      <c r="AC2043" s="43">
        <f>(LayTable[[#This Row],[BackWin-Commission]]+LayTable[[#This Row],[BookieInnsats]])</f>
        <v>0</v>
      </c>
      <c r="AD2043" s="43" t="e">
        <f>(LayTable[[#This Row],[LayWin-Commission]])+LayTable[[#This Row],[LayLiability]]</f>
        <v>#VALUE!</v>
      </c>
      <c r="AE2043" s="43"/>
      <c r="AF2043" s="181"/>
    </row>
    <row r="2044" spans="1:32">
      <c r="A2044" s="84"/>
      <c r="B2044" s="39"/>
      <c r="C2044" s="40"/>
      <c r="D2044" s="41"/>
      <c r="E2044" s="40"/>
      <c r="F2044" s="41"/>
      <c r="G2044" s="101"/>
      <c r="H2044" s="38"/>
      <c r="I2044" s="42"/>
      <c r="J2044" s="42"/>
      <c r="K2044" s="43"/>
      <c r="L2044" s="43"/>
      <c r="M2044" s="44" t="str">
        <f>IF(LayTable[[#This Row],[Sport]]="","",LayTable[[#This Row],[LayInnsats]]*(LayTable[[#This Row],[LayOdds]]-1))</f>
        <v/>
      </c>
      <c r="N2044" s="45" t="str">
        <f>IF(LayTable[[#This Row],[Sport]]="","",1/((1/LayTable[[#This Row],[BookieOdds]])+(1/((1/((1+((LayTable[[#This Row],[LayOdds]]-1)*(1+LayTable[[#This Row],[C% Lay]])))-1))+1)))-1)</f>
        <v/>
      </c>
      <c r="Q2044" s="46" t="str">
        <f>IF(LayTable[[#This Row],[Sport]]="","",LayTable[[#This Row],[BookieInnsats]]+LayTable[[#This Row],[LayLiability]])</f>
        <v/>
      </c>
      <c r="R20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4" s="47" t="str">
        <f>IF(LayTable[[#This Row],[Utfall bookie]]="","",LayTable[[#This Row],[WBABack]]+LayTable[[#This Row],[WBALay]]-LayTable[[#This Row],[Total inns]])</f>
        <v/>
      </c>
      <c r="U20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4" s="48" t="str">
        <f>IFERROR(IF(LayTable[[#This Row],[Total inns]]="","",LayTable[[#This Row],[Rback]]/LayTable[[#This Row],[Total inns]]),"")</f>
        <v/>
      </c>
      <c r="X2044" s="48" t="str">
        <f>IFERROR(IF(LayTable[[#This Row],[Total inns]]="","",LayTable[[#This Row],[Rlay]]/LayTable[[#This Row],[Total inns]]),"")</f>
        <v/>
      </c>
      <c r="Y2044" s="48" t="str">
        <f>IFERROR(LayTable[[#This Row],[Faktisk res]]/LayTable[[#This Row],[Total inns]],"")</f>
        <v/>
      </c>
      <c r="Z2044" s="47">
        <f>(LayTable[[#This Row],[BookieInnsats]]*LayTable[[#This Row],[BookieOdds]]-LayTable[[#This Row],[BookieInnsats]])*(1-LayTable[[#This Row],[C% Bookie]])</f>
        <v>0</v>
      </c>
      <c r="AA2044" s="43">
        <f>LayTable[[#This Row],[LayInnsats]]*(1-LayTable[[#This Row],[C% Lay]])</f>
        <v>0</v>
      </c>
      <c r="AB2044" s="43" t="str">
        <f>IFERROR(IF(LayTable[[#This Row],[Sport]]="",AB2043,LayTable[[#This Row],[Faktisk res]]+AB2043),"")</f>
        <v/>
      </c>
      <c r="AC2044" s="43">
        <f>(LayTable[[#This Row],[BackWin-Commission]]+LayTable[[#This Row],[BookieInnsats]])</f>
        <v>0</v>
      </c>
      <c r="AD2044" s="43" t="e">
        <f>(LayTable[[#This Row],[LayWin-Commission]])+LayTable[[#This Row],[LayLiability]]</f>
        <v>#VALUE!</v>
      </c>
      <c r="AE2044" s="43"/>
      <c r="AF2044" s="181"/>
    </row>
    <row r="2045" spans="1:32">
      <c r="A2045" s="84"/>
      <c r="B2045" s="39"/>
      <c r="C2045" s="40"/>
      <c r="D2045" s="41"/>
      <c r="E2045" s="40"/>
      <c r="F2045" s="41"/>
      <c r="G2045" s="101"/>
      <c r="H2045" s="38"/>
      <c r="I2045" s="42"/>
      <c r="J2045" s="42"/>
      <c r="K2045" s="43"/>
      <c r="L2045" s="43"/>
      <c r="M2045" s="44" t="str">
        <f>IF(LayTable[[#This Row],[Sport]]="","",LayTable[[#This Row],[LayInnsats]]*(LayTable[[#This Row],[LayOdds]]-1))</f>
        <v/>
      </c>
      <c r="N2045" s="45" t="str">
        <f>IF(LayTable[[#This Row],[Sport]]="","",1/((1/LayTable[[#This Row],[BookieOdds]])+(1/((1/((1+((LayTable[[#This Row],[LayOdds]]-1)*(1+LayTable[[#This Row],[C% Lay]])))-1))+1)))-1)</f>
        <v/>
      </c>
      <c r="Q2045" s="46" t="str">
        <f>IF(LayTable[[#This Row],[Sport]]="","",LayTable[[#This Row],[BookieInnsats]]+LayTable[[#This Row],[LayLiability]])</f>
        <v/>
      </c>
      <c r="R20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5" s="47" t="str">
        <f>IF(LayTable[[#This Row],[Utfall bookie]]="","",LayTable[[#This Row],[WBABack]]+LayTable[[#This Row],[WBALay]]-LayTable[[#This Row],[Total inns]])</f>
        <v/>
      </c>
      <c r="U20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5" s="48" t="str">
        <f>IFERROR(IF(LayTable[[#This Row],[Total inns]]="","",LayTable[[#This Row],[Rback]]/LayTable[[#This Row],[Total inns]]),"")</f>
        <v/>
      </c>
      <c r="X2045" s="48" t="str">
        <f>IFERROR(IF(LayTable[[#This Row],[Total inns]]="","",LayTable[[#This Row],[Rlay]]/LayTable[[#This Row],[Total inns]]),"")</f>
        <v/>
      </c>
      <c r="Y2045" s="48" t="str">
        <f>IFERROR(LayTable[[#This Row],[Faktisk res]]/LayTable[[#This Row],[Total inns]],"")</f>
        <v/>
      </c>
      <c r="Z2045" s="47">
        <f>(LayTable[[#This Row],[BookieInnsats]]*LayTable[[#This Row],[BookieOdds]]-LayTable[[#This Row],[BookieInnsats]])*(1-LayTable[[#This Row],[C% Bookie]])</f>
        <v>0</v>
      </c>
      <c r="AA2045" s="43">
        <f>LayTable[[#This Row],[LayInnsats]]*(1-LayTable[[#This Row],[C% Lay]])</f>
        <v>0</v>
      </c>
      <c r="AB2045" s="43" t="str">
        <f>IFERROR(IF(LayTable[[#This Row],[Sport]]="",AB2044,LayTable[[#This Row],[Faktisk res]]+AB2044),"")</f>
        <v/>
      </c>
      <c r="AC2045" s="43">
        <f>(LayTable[[#This Row],[BackWin-Commission]]+LayTable[[#This Row],[BookieInnsats]])</f>
        <v>0</v>
      </c>
      <c r="AD2045" s="43" t="e">
        <f>(LayTable[[#This Row],[LayWin-Commission]])+LayTable[[#This Row],[LayLiability]]</f>
        <v>#VALUE!</v>
      </c>
      <c r="AE2045" s="43"/>
      <c r="AF2045" s="181"/>
    </row>
    <row r="2046" spans="1:32">
      <c r="A2046" s="84"/>
      <c r="B2046" s="39"/>
      <c r="C2046" s="40"/>
      <c r="D2046" s="41"/>
      <c r="E2046" s="40"/>
      <c r="F2046" s="41"/>
      <c r="G2046" s="101"/>
      <c r="H2046" s="38"/>
      <c r="I2046" s="42"/>
      <c r="J2046" s="42"/>
      <c r="K2046" s="43"/>
      <c r="L2046" s="43"/>
      <c r="M2046" s="44" t="str">
        <f>IF(LayTable[[#This Row],[Sport]]="","",LayTable[[#This Row],[LayInnsats]]*(LayTable[[#This Row],[LayOdds]]-1))</f>
        <v/>
      </c>
      <c r="N2046" s="45" t="str">
        <f>IF(LayTable[[#This Row],[Sport]]="","",1/((1/LayTable[[#This Row],[BookieOdds]])+(1/((1/((1+((LayTable[[#This Row],[LayOdds]]-1)*(1+LayTable[[#This Row],[C% Lay]])))-1))+1)))-1)</f>
        <v/>
      </c>
      <c r="Q2046" s="46" t="str">
        <f>IF(LayTable[[#This Row],[Sport]]="","",LayTable[[#This Row],[BookieInnsats]]+LayTable[[#This Row],[LayLiability]])</f>
        <v/>
      </c>
      <c r="R20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6" s="47" t="str">
        <f>IF(LayTable[[#This Row],[Utfall bookie]]="","",LayTable[[#This Row],[WBABack]]+LayTable[[#This Row],[WBALay]]-LayTable[[#This Row],[Total inns]])</f>
        <v/>
      </c>
      <c r="U20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6" s="48" t="str">
        <f>IFERROR(IF(LayTable[[#This Row],[Total inns]]="","",LayTable[[#This Row],[Rback]]/LayTable[[#This Row],[Total inns]]),"")</f>
        <v/>
      </c>
      <c r="X2046" s="48" t="str">
        <f>IFERROR(IF(LayTable[[#This Row],[Total inns]]="","",LayTable[[#This Row],[Rlay]]/LayTable[[#This Row],[Total inns]]),"")</f>
        <v/>
      </c>
      <c r="Y2046" s="48" t="str">
        <f>IFERROR(LayTable[[#This Row],[Faktisk res]]/LayTable[[#This Row],[Total inns]],"")</f>
        <v/>
      </c>
      <c r="Z2046" s="47">
        <f>(LayTable[[#This Row],[BookieInnsats]]*LayTable[[#This Row],[BookieOdds]]-LayTable[[#This Row],[BookieInnsats]])*(1-LayTable[[#This Row],[C% Bookie]])</f>
        <v>0</v>
      </c>
      <c r="AA2046" s="43">
        <f>LayTable[[#This Row],[LayInnsats]]*(1-LayTable[[#This Row],[C% Lay]])</f>
        <v>0</v>
      </c>
      <c r="AB2046" s="43" t="str">
        <f>IFERROR(IF(LayTable[[#This Row],[Sport]]="",AB2045,LayTable[[#This Row],[Faktisk res]]+AB2045),"")</f>
        <v/>
      </c>
      <c r="AC2046" s="43">
        <f>(LayTable[[#This Row],[BackWin-Commission]]+LayTable[[#This Row],[BookieInnsats]])</f>
        <v>0</v>
      </c>
      <c r="AD2046" s="43" t="e">
        <f>(LayTable[[#This Row],[LayWin-Commission]])+LayTable[[#This Row],[LayLiability]]</f>
        <v>#VALUE!</v>
      </c>
      <c r="AE2046" s="43"/>
      <c r="AF2046" s="181"/>
    </row>
    <row r="2047" spans="1:32">
      <c r="A2047" s="84"/>
      <c r="B2047" s="39"/>
      <c r="C2047" s="40"/>
      <c r="D2047" s="41"/>
      <c r="E2047" s="40"/>
      <c r="F2047" s="41"/>
      <c r="G2047" s="101"/>
      <c r="H2047" s="38"/>
      <c r="I2047" s="42"/>
      <c r="J2047" s="42"/>
      <c r="K2047" s="43"/>
      <c r="L2047" s="43"/>
      <c r="M2047" s="44" t="str">
        <f>IF(LayTable[[#This Row],[Sport]]="","",LayTable[[#This Row],[LayInnsats]]*(LayTable[[#This Row],[LayOdds]]-1))</f>
        <v/>
      </c>
      <c r="N2047" s="45" t="str">
        <f>IF(LayTable[[#This Row],[Sport]]="","",1/((1/LayTable[[#This Row],[BookieOdds]])+(1/((1/((1+((LayTable[[#This Row],[LayOdds]]-1)*(1+LayTable[[#This Row],[C% Lay]])))-1))+1)))-1)</f>
        <v/>
      </c>
      <c r="Q2047" s="46" t="str">
        <f>IF(LayTable[[#This Row],[Sport]]="","",LayTable[[#This Row],[BookieInnsats]]+LayTable[[#This Row],[LayLiability]])</f>
        <v/>
      </c>
      <c r="R20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7" s="47" t="str">
        <f>IF(LayTable[[#This Row],[Utfall bookie]]="","",LayTable[[#This Row],[WBABack]]+LayTable[[#This Row],[WBALay]]-LayTable[[#This Row],[Total inns]])</f>
        <v/>
      </c>
      <c r="U20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7" s="48" t="str">
        <f>IFERROR(IF(LayTable[[#This Row],[Total inns]]="","",LayTable[[#This Row],[Rback]]/LayTable[[#This Row],[Total inns]]),"")</f>
        <v/>
      </c>
      <c r="X2047" s="48" t="str">
        <f>IFERROR(IF(LayTable[[#This Row],[Total inns]]="","",LayTable[[#This Row],[Rlay]]/LayTable[[#This Row],[Total inns]]),"")</f>
        <v/>
      </c>
      <c r="Y2047" s="48" t="str">
        <f>IFERROR(LayTable[[#This Row],[Faktisk res]]/LayTable[[#This Row],[Total inns]],"")</f>
        <v/>
      </c>
      <c r="Z2047" s="47">
        <f>(LayTable[[#This Row],[BookieInnsats]]*LayTable[[#This Row],[BookieOdds]]-LayTable[[#This Row],[BookieInnsats]])*(1-LayTable[[#This Row],[C% Bookie]])</f>
        <v>0</v>
      </c>
      <c r="AA2047" s="43">
        <f>LayTable[[#This Row],[LayInnsats]]*(1-LayTable[[#This Row],[C% Lay]])</f>
        <v>0</v>
      </c>
      <c r="AB2047" s="43" t="str">
        <f>IFERROR(IF(LayTable[[#This Row],[Sport]]="",AB2046,LayTable[[#This Row],[Faktisk res]]+AB2046),"")</f>
        <v/>
      </c>
      <c r="AC2047" s="43">
        <f>(LayTable[[#This Row],[BackWin-Commission]]+LayTable[[#This Row],[BookieInnsats]])</f>
        <v>0</v>
      </c>
      <c r="AD2047" s="43" t="e">
        <f>(LayTable[[#This Row],[LayWin-Commission]])+LayTable[[#This Row],[LayLiability]]</f>
        <v>#VALUE!</v>
      </c>
      <c r="AE2047" s="43"/>
      <c r="AF2047" s="181"/>
    </row>
    <row r="2048" spans="1:32">
      <c r="A2048" s="84"/>
      <c r="B2048" s="39"/>
      <c r="C2048" s="40"/>
      <c r="D2048" s="41"/>
      <c r="E2048" s="40"/>
      <c r="F2048" s="41"/>
      <c r="G2048" s="101"/>
      <c r="H2048" s="38"/>
      <c r="I2048" s="42"/>
      <c r="J2048" s="42"/>
      <c r="K2048" s="43"/>
      <c r="L2048" s="43"/>
      <c r="M2048" s="44" t="str">
        <f>IF(LayTable[[#This Row],[Sport]]="","",LayTable[[#This Row],[LayInnsats]]*(LayTable[[#This Row],[LayOdds]]-1))</f>
        <v/>
      </c>
      <c r="N2048" s="45" t="str">
        <f>IF(LayTable[[#This Row],[Sport]]="","",1/((1/LayTable[[#This Row],[BookieOdds]])+(1/((1/((1+((LayTable[[#This Row],[LayOdds]]-1)*(1+LayTable[[#This Row],[C% Lay]])))-1))+1)))-1)</f>
        <v/>
      </c>
      <c r="Q2048" s="46" t="str">
        <f>IF(LayTable[[#This Row],[Sport]]="","",LayTable[[#This Row],[BookieInnsats]]+LayTable[[#This Row],[LayLiability]])</f>
        <v/>
      </c>
      <c r="R20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8" s="47" t="str">
        <f>IF(LayTable[[#This Row],[Utfall bookie]]="","",LayTable[[#This Row],[WBABack]]+LayTable[[#This Row],[WBALay]]-LayTable[[#This Row],[Total inns]])</f>
        <v/>
      </c>
      <c r="U20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8" s="48" t="str">
        <f>IFERROR(IF(LayTable[[#This Row],[Total inns]]="","",LayTable[[#This Row],[Rback]]/LayTable[[#This Row],[Total inns]]),"")</f>
        <v/>
      </c>
      <c r="X2048" s="48" t="str">
        <f>IFERROR(IF(LayTable[[#This Row],[Total inns]]="","",LayTable[[#This Row],[Rlay]]/LayTable[[#This Row],[Total inns]]),"")</f>
        <v/>
      </c>
      <c r="Y2048" s="48" t="str">
        <f>IFERROR(LayTable[[#This Row],[Faktisk res]]/LayTable[[#This Row],[Total inns]],"")</f>
        <v/>
      </c>
      <c r="Z2048" s="47">
        <f>(LayTable[[#This Row],[BookieInnsats]]*LayTable[[#This Row],[BookieOdds]]-LayTable[[#This Row],[BookieInnsats]])*(1-LayTable[[#This Row],[C% Bookie]])</f>
        <v>0</v>
      </c>
      <c r="AA2048" s="43">
        <f>LayTable[[#This Row],[LayInnsats]]*(1-LayTable[[#This Row],[C% Lay]])</f>
        <v>0</v>
      </c>
      <c r="AB2048" s="43" t="str">
        <f>IFERROR(IF(LayTable[[#This Row],[Sport]]="",AB2047,LayTable[[#This Row],[Faktisk res]]+AB2047),"")</f>
        <v/>
      </c>
      <c r="AC2048" s="43">
        <f>(LayTable[[#This Row],[BackWin-Commission]]+LayTable[[#This Row],[BookieInnsats]])</f>
        <v>0</v>
      </c>
      <c r="AD2048" s="43" t="e">
        <f>(LayTable[[#This Row],[LayWin-Commission]])+LayTable[[#This Row],[LayLiability]]</f>
        <v>#VALUE!</v>
      </c>
      <c r="AE2048" s="43"/>
      <c r="AF2048" s="181"/>
    </row>
    <row r="2049" spans="1:32">
      <c r="A2049" s="84"/>
      <c r="B2049" s="39"/>
      <c r="C2049" s="40"/>
      <c r="D2049" s="41"/>
      <c r="E2049" s="40"/>
      <c r="F2049" s="41"/>
      <c r="G2049" s="101"/>
      <c r="H2049" s="38"/>
      <c r="I2049" s="42"/>
      <c r="J2049" s="42"/>
      <c r="K2049" s="43"/>
      <c r="L2049" s="43"/>
      <c r="M2049" s="44" t="str">
        <f>IF(LayTable[[#This Row],[Sport]]="","",LayTable[[#This Row],[LayInnsats]]*(LayTable[[#This Row],[LayOdds]]-1))</f>
        <v/>
      </c>
      <c r="N2049" s="45" t="str">
        <f>IF(LayTable[[#This Row],[Sport]]="","",1/((1/LayTable[[#This Row],[BookieOdds]])+(1/((1/((1+((LayTable[[#This Row],[LayOdds]]-1)*(1+LayTable[[#This Row],[C% Lay]])))-1))+1)))-1)</f>
        <v/>
      </c>
      <c r="Q2049" s="46" t="str">
        <f>IF(LayTable[[#This Row],[Sport]]="","",LayTable[[#This Row],[BookieInnsats]]+LayTable[[#This Row],[LayLiability]])</f>
        <v/>
      </c>
      <c r="R20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49" s="47" t="str">
        <f>IF(LayTable[[#This Row],[Utfall bookie]]="","",LayTable[[#This Row],[WBABack]]+LayTable[[#This Row],[WBALay]]-LayTable[[#This Row],[Total inns]])</f>
        <v/>
      </c>
      <c r="U20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49" s="48" t="str">
        <f>IFERROR(IF(LayTable[[#This Row],[Total inns]]="","",LayTable[[#This Row],[Rback]]/LayTable[[#This Row],[Total inns]]),"")</f>
        <v/>
      </c>
      <c r="X2049" s="48" t="str">
        <f>IFERROR(IF(LayTable[[#This Row],[Total inns]]="","",LayTable[[#This Row],[Rlay]]/LayTable[[#This Row],[Total inns]]),"")</f>
        <v/>
      </c>
      <c r="Y2049" s="48" t="str">
        <f>IFERROR(LayTable[[#This Row],[Faktisk res]]/LayTable[[#This Row],[Total inns]],"")</f>
        <v/>
      </c>
      <c r="Z2049" s="47">
        <f>(LayTable[[#This Row],[BookieInnsats]]*LayTable[[#This Row],[BookieOdds]]-LayTable[[#This Row],[BookieInnsats]])*(1-LayTable[[#This Row],[C% Bookie]])</f>
        <v>0</v>
      </c>
      <c r="AA2049" s="43">
        <f>LayTable[[#This Row],[LayInnsats]]*(1-LayTable[[#This Row],[C% Lay]])</f>
        <v>0</v>
      </c>
      <c r="AB2049" s="43" t="str">
        <f>IFERROR(IF(LayTable[[#This Row],[Sport]]="",AB2048,LayTable[[#This Row],[Faktisk res]]+AB2048),"")</f>
        <v/>
      </c>
      <c r="AC2049" s="43">
        <f>(LayTable[[#This Row],[BackWin-Commission]]+LayTable[[#This Row],[BookieInnsats]])</f>
        <v>0</v>
      </c>
      <c r="AD2049" s="43" t="e">
        <f>(LayTable[[#This Row],[LayWin-Commission]])+LayTable[[#This Row],[LayLiability]]</f>
        <v>#VALUE!</v>
      </c>
      <c r="AE2049" s="43"/>
      <c r="AF2049" s="181"/>
    </row>
    <row r="2050" spans="1:32">
      <c r="A2050" s="84"/>
      <c r="B2050" s="39"/>
      <c r="C2050" s="40"/>
      <c r="D2050" s="41"/>
      <c r="E2050" s="40"/>
      <c r="F2050" s="41"/>
      <c r="G2050" s="101"/>
      <c r="H2050" s="38"/>
      <c r="I2050" s="42"/>
      <c r="J2050" s="42"/>
      <c r="K2050" s="43"/>
      <c r="L2050" s="43"/>
      <c r="M2050" s="44" t="str">
        <f>IF(LayTable[[#This Row],[Sport]]="","",LayTable[[#This Row],[LayInnsats]]*(LayTable[[#This Row],[LayOdds]]-1))</f>
        <v/>
      </c>
      <c r="N2050" s="45" t="str">
        <f>IF(LayTable[[#This Row],[Sport]]="","",1/((1/LayTable[[#This Row],[BookieOdds]])+(1/((1/((1+((LayTable[[#This Row],[LayOdds]]-1)*(1+LayTable[[#This Row],[C% Lay]])))-1))+1)))-1)</f>
        <v/>
      </c>
      <c r="Q2050" s="46" t="str">
        <f>IF(LayTable[[#This Row],[Sport]]="","",LayTable[[#This Row],[BookieInnsats]]+LayTable[[#This Row],[LayLiability]])</f>
        <v/>
      </c>
      <c r="R20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0" s="47" t="str">
        <f>IF(LayTable[[#This Row],[Utfall bookie]]="","",LayTable[[#This Row],[WBABack]]+LayTable[[#This Row],[WBALay]]-LayTable[[#This Row],[Total inns]])</f>
        <v/>
      </c>
      <c r="U20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0" s="48" t="str">
        <f>IFERROR(IF(LayTable[[#This Row],[Total inns]]="","",LayTable[[#This Row],[Rback]]/LayTable[[#This Row],[Total inns]]),"")</f>
        <v/>
      </c>
      <c r="X2050" s="48" t="str">
        <f>IFERROR(IF(LayTable[[#This Row],[Total inns]]="","",LayTable[[#This Row],[Rlay]]/LayTable[[#This Row],[Total inns]]),"")</f>
        <v/>
      </c>
      <c r="Y2050" s="48" t="str">
        <f>IFERROR(LayTable[[#This Row],[Faktisk res]]/LayTable[[#This Row],[Total inns]],"")</f>
        <v/>
      </c>
      <c r="Z2050" s="47">
        <f>(LayTable[[#This Row],[BookieInnsats]]*LayTable[[#This Row],[BookieOdds]]-LayTable[[#This Row],[BookieInnsats]])*(1-LayTable[[#This Row],[C% Bookie]])</f>
        <v>0</v>
      </c>
      <c r="AA2050" s="43">
        <f>LayTable[[#This Row],[LayInnsats]]*(1-LayTable[[#This Row],[C% Lay]])</f>
        <v>0</v>
      </c>
      <c r="AB2050" s="43" t="str">
        <f>IFERROR(IF(LayTable[[#This Row],[Sport]]="",AB2049,LayTable[[#This Row],[Faktisk res]]+AB2049),"")</f>
        <v/>
      </c>
      <c r="AC2050" s="43">
        <f>(LayTable[[#This Row],[BackWin-Commission]]+LayTable[[#This Row],[BookieInnsats]])</f>
        <v>0</v>
      </c>
      <c r="AD2050" s="43" t="e">
        <f>(LayTable[[#This Row],[LayWin-Commission]])+LayTable[[#This Row],[LayLiability]]</f>
        <v>#VALUE!</v>
      </c>
      <c r="AE2050" s="43"/>
      <c r="AF2050" s="181"/>
    </row>
    <row r="2051" spans="1:32">
      <c r="A2051" s="84"/>
      <c r="B2051" s="39"/>
      <c r="C2051" s="40"/>
      <c r="D2051" s="41"/>
      <c r="E2051" s="40"/>
      <c r="F2051" s="41"/>
      <c r="G2051" s="101"/>
      <c r="H2051" s="38"/>
      <c r="I2051" s="42"/>
      <c r="J2051" s="42"/>
      <c r="K2051" s="43"/>
      <c r="L2051" s="43"/>
      <c r="M2051" s="44" t="str">
        <f>IF(LayTable[[#This Row],[Sport]]="","",LayTable[[#This Row],[LayInnsats]]*(LayTable[[#This Row],[LayOdds]]-1))</f>
        <v/>
      </c>
      <c r="N2051" s="45" t="str">
        <f>IF(LayTable[[#This Row],[Sport]]="","",1/((1/LayTable[[#This Row],[BookieOdds]])+(1/((1/((1+((LayTable[[#This Row],[LayOdds]]-1)*(1+LayTable[[#This Row],[C% Lay]])))-1))+1)))-1)</f>
        <v/>
      </c>
      <c r="Q2051" s="46" t="str">
        <f>IF(LayTable[[#This Row],[Sport]]="","",LayTable[[#This Row],[BookieInnsats]]+LayTable[[#This Row],[LayLiability]])</f>
        <v/>
      </c>
      <c r="R20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1" s="47" t="str">
        <f>IF(LayTable[[#This Row],[Utfall bookie]]="","",LayTable[[#This Row],[WBABack]]+LayTable[[#This Row],[WBALay]]-LayTable[[#This Row],[Total inns]])</f>
        <v/>
      </c>
      <c r="U20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1" s="48" t="str">
        <f>IFERROR(IF(LayTable[[#This Row],[Total inns]]="","",LayTable[[#This Row],[Rback]]/LayTable[[#This Row],[Total inns]]),"")</f>
        <v/>
      </c>
      <c r="X2051" s="48" t="str">
        <f>IFERROR(IF(LayTable[[#This Row],[Total inns]]="","",LayTable[[#This Row],[Rlay]]/LayTable[[#This Row],[Total inns]]),"")</f>
        <v/>
      </c>
      <c r="Y2051" s="48" t="str">
        <f>IFERROR(LayTable[[#This Row],[Faktisk res]]/LayTable[[#This Row],[Total inns]],"")</f>
        <v/>
      </c>
      <c r="Z2051" s="47">
        <f>(LayTable[[#This Row],[BookieInnsats]]*LayTable[[#This Row],[BookieOdds]]-LayTable[[#This Row],[BookieInnsats]])*(1-LayTable[[#This Row],[C% Bookie]])</f>
        <v>0</v>
      </c>
      <c r="AA2051" s="43">
        <f>LayTable[[#This Row],[LayInnsats]]*(1-LayTable[[#This Row],[C% Lay]])</f>
        <v>0</v>
      </c>
      <c r="AB2051" s="43" t="str">
        <f>IFERROR(IF(LayTable[[#This Row],[Sport]]="",AB2050,LayTable[[#This Row],[Faktisk res]]+AB2050),"")</f>
        <v/>
      </c>
      <c r="AC2051" s="43">
        <f>(LayTable[[#This Row],[BackWin-Commission]]+LayTable[[#This Row],[BookieInnsats]])</f>
        <v>0</v>
      </c>
      <c r="AD2051" s="43" t="e">
        <f>(LayTable[[#This Row],[LayWin-Commission]])+LayTable[[#This Row],[LayLiability]]</f>
        <v>#VALUE!</v>
      </c>
      <c r="AE2051" s="43"/>
      <c r="AF2051" s="181"/>
    </row>
    <row r="2052" spans="1:32">
      <c r="A2052" s="84"/>
      <c r="B2052" s="39"/>
      <c r="C2052" s="40"/>
      <c r="D2052" s="41"/>
      <c r="E2052" s="40"/>
      <c r="F2052" s="41"/>
      <c r="G2052" s="101"/>
      <c r="H2052" s="38"/>
      <c r="I2052" s="42"/>
      <c r="J2052" s="42"/>
      <c r="K2052" s="43"/>
      <c r="L2052" s="43"/>
      <c r="M2052" s="44" t="str">
        <f>IF(LayTable[[#This Row],[Sport]]="","",LayTable[[#This Row],[LayInnsats]]*(LayTable[[#This Row],[LayOdds]]-1))</f>
        <v/>
      </c>
      <c r="N2052" s="45" t="str">
        <f>IF(LayTable[[#This Row],[Sport]]="","",1/((1/LayTable[[#This Row],[BookieOdds]])+(1/((1/((1+((LayTable[[#This Row],[LayOdds]]-1)*(1+LayTable[[#This Row],[C% Lay]])))-1))+1)))-1)</f>
        <v/>
      </c>
      <c r="Q2052" s="46" t="str">
        <f>IF(LayTable[[#This Row],[Sport]]="","",LayTable[[#This Row],[BookieInnsats]]+LayTable[[#This Row],[LayLiability]])</f>
        <v/>
      </c>
      <c r="R20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2" s="47" t="str">
        <f>IF(LayTable[[#This Row],[Utfall bookie]]="","",LayTable[[#This Row],[WBABack]]+LayTable[[#This Row],[WBALay]]-LayTable[[#This Row],[Total inns]])</f>
        <v/>
      </c>
      <c r="U20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2" s="48" t="str">
        <f>IFERROR(IF(LayTable[[#This Row],[Total inns]]="","",LayTable[[#This Row],[Rback]]/LayTable[[#This Row],[Total inns]]),"")</f>
        <v/>
      </c>
      <c r="X2052" s="48" t="str">
        <f>IFERROR(IF(LayTable[[#This Row],[Total inns]]="","",LayTable[[#This Row],[Rlay]]/LayTable[[#This Row],[Total inns]]),"")</f>
        <v/>
      </c>
      <c r="Y2052" s="48" t="str">
        <f>IFERROR(LayTable[[#This Row],[Faktisk res]]/LayTable[[#This Row],[Total inns]],"")</f>
        <v/>
      </c>
      <c r="Z2052" s="47">
        <f>(LayTable[[#This Row],[BookieInnsats]]*LayTable[[#This Row],[BookieOdds]]-LayTable[[#This Row],[BookieInnsats]])*(1-LayTable[[#This Row],[C% Bookie]])</f>
        <v>0</v>
      </c>
      <c r="AA2052" s="43">
        <f>LayTable[[#This Row],[LayInnsats]]*(1-LayTable[[#This Row],[C% Lay]])</f>
        <v>0</v>
      </c>
      <c r="AB2052" s="43" t="str">
        <f>IFERROR(IF(LayTable[[#This Row],[Sport]]="",AB2051,LayTable[[#This Row],[Faktisk res]]+AB2051),"")</f>
        <v/>
      </c>
      <c r="AC2052" s="43">
        <f>(LayTable[[#This Row],[BackWin-Commission]]+LayTable[[#This Row],[BookieInnsats]])</f>
        <v>0</v>
      </c>
      <c r="AD2052" s="43" t="e">
        <f>(LayTable[[#This Row],[LayWin-Commission]])+LayTable[[#This Row],[LayLiability]]</f>
        <v>#VALUE!</v>
      </c>
      <c r="AE2052" s="43"/>
      <c r="AF2052" s="181"/>
    </row>
    <row r="2053" spans="1:32">
      <c r="A2053" s="84"/>
      <c r="B2053" s="39"/>
      <c r="C2053" s="40"/>
      <c r="D2053" s="41"/>
      <c r="E2053" s="40"/>
      <c r="F2053" s="41"/>
      <c r="G2053" s="101"/>
      <c r="H2053" s="38"/>
      <c r="I2053" s="42"/>
      <c r="J2053" s="42"/>
      <c r="K2053" s="43"/>
      <c r="L2053" s="43"/>
      <c r="M2053" s="44" t="str">
        <f>IF(LayTable[[#This Row],[Sport]]="","",LayTable[[#This Row],[LayInnsats]]*(LayTable[[#This Row],[LayOdds]]-1))</f>
        <v/>
      </c>
      <c r="N2053" s="45" t="str">
        <f>IF(LayTable[[#This Row],[Sport]]="","",1/((1/LayTable[[#This Row],[BookieOdds]])+(1/((1/((1+((LayTable[[#This Row],[LayOdds]]-1)*(1+LayTable[[#This Row],[C% Lay]])))-1))+1)))-1)</f>
        <v/>
      </c>
      <c r="Q2053" s="46" t="str">
        <f>IF(LayTable[[#This Row],[Sport]]="","",LayTable[[#This Row],[BookieInnsats]]+LayTable[[#This Row],[LayLiability]])</f>
        <v/>
      </c>
      <c r="R20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3" s="47" t="str">
        <f>IF(LayTable[[#This Row],[Utfall bookie]]="","",LayTable[[#This Row],[WBABack]]+LayTable[[#This Row],[WBALay]]-LayTable[[#This Row],[Total inns]])</f>
        <v/>
      </c>
      <c r="U20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3" s="48" t="str">
        <f>IFERROR(IF(LayTable[[#This Row],[Total inns]]="","",LayTable[[#This Row],[Rback]]/LayTable[[#This Row],[Total inns]]),"")</f>
        <v/>
      </c>
      <c r="X2053" s="48" t="str">
        <f>IFERROR(IF(LayTable[[#This Row],[Total inns]]="","",LayTable[[#This Row],[Rlay]]/LayTable[[#This Row],[Total inns]]),"")</f>
        <v/>
      </c>
      <c r="Y2053" s="48" t="str">
        <f>IFERROR(LayTable[[#This Row],[Faktisk res]]/LayTable[[#This Row],[Total inns]],"")</f>
        <v/>
      </c>
      <c r="Z2053" s="47">
        <f>(LayTable[[#This Row],[BookieInnsats]]*LayTable[[#This Row],[BookieOdds]]-LayTable[[#This Row],[BookieInnsats]])*(1-LayTable[[#This Row],[C% Bookie]])</f>
        <v>0</v>
      </c>
      <c r="AA2053" s="43">
        <f>LayTable[[#This Row],[LayInnsats]]*(1-LayTable[[#This Row],[C% Lay]])</f>
        <v>0</v>
      </c>
      <c r="AB2053" s="43" t="str">
        <f>IFERROR(IF(LayTable[[#This Row],[Sport]]="",AB2052,LayTable[[#This Row],[Faktisk res]]+AB2052),"")</f>
        <v/>
      </c>
      <c r="AC2053" s="43">
        <f>(LayTable[[#This Row],[BackWin-Commission]]+LayTable[[#This Row],[BookieInnsats]])</f>
        <v>0</v>
      </c>
      <c r="AD2053" s="43" t="e">
        <f>(LayTable[[#This Row],[LayWin-Commission]])+LayTable[[#This Row],[LayLiability]]</f>
        <v>#VALUE!</v>
      </c>
      <c r="AE2053" s="43"/>
      <c r="AF2053" s="181"/>
    </row>
    <row r="2054" spans="1:32">
      <c r="A2054" s="84"/>
      <c r="B2054" s="39"/>
      <c r="C2054" s="40"/>
      <c r="D2054" s="41"/>
      <c r="E2054" s="40"/>
      <c r="F2054" s="41"/>
      <c r="G2054" s="101"/>
      <c r="H2054" s="38"/>
      <c r="I2054" s="42"/>
      <c r="J2054" s="42"/>
      <c r="K2054" s="43"/>
      <c r="L2054" s="43"/>
      <c r="M2054" s="44" t="str">
        <f>IF(LayTable[[#This Row],[Sport]]="","",LayTable[[#This Row],[LayInnsats]]*(LayTable[[#This Row],[LayOdds]]-1))</f>
        <v/>
      </c>
      <c r="N2054" s="45" t="str">
        <f>IF(LayTable[[#This Row],[Sport]]="","",1/((1/LayTable[[#This Row],[BookieOdds]])+(1/((1/((1+((LayTable[[#This Row],[LayOdds]]-1)*(1+LayTable[[#This Row],[C% Lay]])))-1))+1)))-1)</f>
        <v/>
      </c>
      <c r="Q2054" s="46" t="str">
        <f>IF(LayTable[[#This Row],[Sport]]="","",LayTable[[#This Row],[BookieInnsats]]+LayTable[[#This Row],[LayLiability]])</f>
        <v/>
      </c>
      <c r="R20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4" s="47" t="str">
        <f>IF(LayTable[[#This Row],[Utfall bookie]]="","",LayTable[[#This Row],[WBABack]]+LayTable[[#This Row],[WBALay]]-LayTable[[#This Row],[Total inns]])</f>
        <v/>
      </c>
      <c r="U20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4" s="48" t="str">
        <f>IFERROR(IF(LayTable[[#This Row],[Total inns]]="","",LayTable[[#This Row],[Rback]]/LayTable[[#This Row],[Total inns]]),"")</f>
        <v/>
      </c>
      <c r="X2054" s="48" t="str">
        <f>IFERROR(IF(LayTable[[#This Row],[Total inns]]="","",LayTable[[#This Row],[Rlay]]/LayTable[[#This Row],[Total inns]]),"")</f>
        <v/>
      </c>
      <c r="Y2054" s="48" t="str">
        <f>IFERROR(LayTable[[#This Row],[Faktisk res]]/LayTable[[#This Row],[Total inns]],"")</f>
        <v/>
      </c>
      <c r="Z2054" s="47">
        <f>(LayTable[[#This Row],[BookieInnsats]]*LayTable[[#This Row],[BookieOdds]]-LayTable[[#This Row],[BookieInnsats]])*(1-LayTable[[#This Row],[C% Bookie]])</f>
        <v>0</v>
      </c>
      <c r="AA2054" s="43">
        <f>LayTable[[#This Row],[LayInnsats]]*(1-LayTable[[#This Row],[C% Lay]])</f>
        <v>0</v>
      </c>
      <c r="AB2054" s="43" t="str">
        <f>IFERROR(IF(LayTable[[#This Row],[Sport]]="",AB2053,LayTable[[#This Row],[Faktisk res]]+AB2053),"")</f>
        <v/>
      </c>
      <c r="AC2054" s="43">
        <f>(LayTable[[#This Row],[BackWin-Commission]]+LayTable[[#This Row],[BookieInnsats]])</f>
        <v>0</v>
      </c>
      <c r="AD2054" s="43" t="e">
        <f>(LayTable[[#This Row],[LayWin-Commission]])+LayTable[[#This Row],[LayLiability]]</f>
        <v>#VALUE!</v>
      </c>
      <c r="AE2054" s="43"/>
      <c r="AF2054" s="181"/>
    </row>
    <row r="2055" spans="1:32">
      <c r="A2055" s="84"/>
      <c r="B2055" s="39"/>
      <c r="C2055" s="40"/>
      <c r="D2055" s="41"/>
      <c r="E2055" s="40"/>
      <c r="F2055" s="41"/>
      <c r="G2055" s="101"/>
      <c r="H2055" s="38"/>
      <c r="I2055" s="42"/>
      <c r="J2055" s="42"/>
      <c r="K2055" s="43"/>
      <c r="L2055" s="43"/>
      <c r="M2055" s="44" t="str">
        <f>IF(LayTable[[#This Row],[Sport]]="","",LayTable[[#This Row],[LayInnsats]]*(LayTable[[#This Row],[LayOdds]]-1))</f>
        <v/>
      </c>
      <c r="N2055" s="45" t="str">
        <f>IF(LayTable[[#This Row],[Sport]]="","",1/((1/LayTable[[#This Row],[BookieOdds]])+(1/((1/((1+((LayTable[[#This Row],[LayOdds]]-1)*(1+LayTable[[#This Row],[C% Lay]])))-1))+1)))-1)</f>
        <v/>
      </c>
      <c r="Q2055" s="46" t="str">
        <f>IF(LayTable[[#This Row],[Sport]]="","",LayTable[[#This Row],[BookieInnsats]]+LayTable[[#This Row],[LayLiability]])</f>
        <v/>
      </c>
      <c r="R20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5" s="47" t="str">
        <f>IF(LayTable[[#This Row],[Utfall bookie]]="","",LayTable[[#This Row],[WBABack]]+LayTable[[#This Row],[WBALay]]-LayTable[[#This Row],[Total inns]])</f>
        <v/>
      </c>
      <c r="U20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5" s="48" t="str">
        <f>IFERROR(IF(LayTable[[#This Row],[Total inns]]="","",LayTable[[#This Row],[Rback]]/LayTable[[#This Row],[Total inns]]),"")</f>
        <v/>
      </c>
      <c r="X2055" s="48" t="str">
        <f>IFERROR(IF(LayTable[[#This Row],[Total inns]]="","",LayTable[[#This Row],[Rlay]]/LayTable[[#This Row],[Total inns]]),"")</f>
        <v/>
      </c>
      <c r="Y2055" s="48" t="str">
        <f>IFERROR(LayTable[[#This Row],[Faktisk res]]/LayTable[[#This Row],[Total inns]],"")</f>
        <v/>
      </c>
      <c r="Z2055" s="47">
        <f>(LayTable[[#This Row],[BookieInnsats]]*LayTable[[#This Row],[BookieOdds]]-LayTable[[#This Row],[BookieInnsats]])*(1-LayTable[[#This Row],[C% Bookie]])</f>
        <v>0</v>
      </c>
      <c r="AA2055" s="43">
        <f>LayTable[[#This Row],[LayInnsats]]*(1-LayTable[[#This Row],[C% Lay]])</f>
        <v>0</v>
      </c>
      <c r="AB2055" s="43" t="str">
        <f>IFERROR(IF(LayTable[[#This Row],[Sport]]="",AB2054,LayTable[[#This Row],[Faktisk res]]+AB2054),"")</f>
        <v/>
      </c>
      <c r="AC2055" s="43">
        <f>(LayTable[[#This Row],[BackWin-Commission]]+LayTable[[#This Row],[BookieInnsats]])</f>
        <v>0</v>
      </c>
      <c r="AD2055" s="43" t="e">
        <f>(LayTable[[#This Row],[LayWin-Commission]])+LayTable[[#This Row],[LayLiability]]</f>
        <v>#VALUE!</v>
      </c>
      <c r="AE2055" s="43"/>
      <c r="AF2055" s="181"/>
    </row>
    <row r="2056" spans="1:32">
      <c r="A2056" s="84"/>
      <c r="B2056" s="39"/>
      <c r="C2056" s="40"/>
      <c r="D2056" s="41"/>
      <c r="E2056" s="40"/>
      <c r="F2056" s="41"/>
      <c r="G2056" s="101"/>
      <c r="H2056" s="38"/>
      <c r="I2056" s="42"/>
      <c r="J2056" s="42"/>
      <c r="K2056" s="43"/>
      <c r="L2056" s="43"/>
      <c r="M2056" s="44" t="str">
        <f>IF(LayTable[[#This Row],[Sport]]="","",LayTable[[#This Row],[LayInnsats]]*(LayTable[[#This Row],[LayOdds]]-1))</f>
        <v/>
      </c>
      <c r="N2056" s="45" t="str">
        <f>IF(LayTable[[#This Row],[Sport]]="","",1/((1/LayTable[[#This Row],[BookieOdds]])+(1/((1/((1+((LayTable[[#This Row],[LayOdds]]-1)*(1+LayTable[[#This Row],[C% Lay]])))-1))+1)))-1)</f>
        <v/>
      </c>
      <c r="Q2056" s="46" t="str">
        <f>IF(LayTable[[#This Row],[Sport]]="","",LayTable[[#This Row],[BookieInnsats]]+LayTable[[#This Row],[LayLiability]])</f>
        <v/>
      </c>
      <c r="R20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6" s="47" t="str">
        <f>IF(LayTable[[#This Row],[Utfall bookie]]="","",LayTable[[#This Row],[WBABack]]+LayTable[[#This Row],[WBALay]]-LayTable[[#This Row],[Total inns]])</f>
        <v/>
      </c>
      <c r="U20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6" s="48" t="str">
        <f>IFERROR(IF(LayTable[[#This Row],[Total inns]]="","",LayTable[[#This Row],[Rback]]/LayTable[[#This Row],[Total inns]]),"")</f>
        <v/>
      </c>
      <c r="X2056" s="48" t="str">
        <f>IFERROR(IF(LayTable[[#This Row],[Total inns]]="","",LayTable[[#This Row],[Rlay]]/LayTable[[#This Row],[Total inns]]),"")</f>
        <v/>
      </c>
      <c r="Y2056" s="48" t="str">
        <f>IFERROR(LayTable[[#This Row],[Faktisk res]]/LayTable[[#This Row],[Total inns]],"")</f>
        <v/>
      </c>
      <c r="Z2056" s="47">
        <f>(LayTable[[#This Row],[BookieInnsats]]*LayTable[[#This Row],[BookieOdds]]-LayTable[[#This Row],[BookieInnsats]])*(1-LayTable[[#This Row],[C% Bookie]])</f>
        <v>0</v>
      </c>
      <c r="AA2056" s="43">
        <f>LayTable[[#This Row],[LayInnsats]]*(1-LayTable[[#This Row],[C% Lay]])</f>
        <v>0</v>
      </c>
      <c r="AB2056" s="43" t="str">
        <f>IFERROR(IF(LayTable[[#This Row],[Sport]]="",AB2055,LayTable[[#This Row],[Faktisk res]]+AB2055),"")</f>
        <v/>
      </c>
      <c r="AC2056" s="43">
        <f>(LayTable[[#This Row],[BackWin-Commission]]+LayTable[[#This Row],[BookieInnsats]])</f>
        <v>0</v>
      </c>
      <c r="AD2056" s="43" t="e">
        <f>(LayTable[[#This Row],[LayWin-Commission]])+LayTable[[#This Row],[LayLiability]]</f>
        <v>#VALUE!</v>
      </c>
      <c r="AE2056" s="43"/>
      <c r="AF2056" s="181"/>
    </row>
    <row r="2057" spans="1:32">
      <c r="A2057" s="84"/>
      <c r="B2057" s="39"/>
      <c r="C2057" s="40"/>
      <c r="D2057" s="41"/>
      <c r="E2057" s="40"/>
      <c r="F2057" s="41"/>
      <c r="G2057" s="101"/>
      <c r="H2057" s="38"/>
      <c r="I2057" s="42"/>
      <c r="J2057" s="42"/>
      <c r="K2057" s="43"/>
      <c r="L2057" s="43"/>
      <c r="M2057" s="44" t="str">
        <f>IF(LayTable[[#This Row],[Sport]]="","",LayTable[[#This Row],[LayInnsats]]*(LayTable[[#This Row],[LayOdds]]-1))</f>
        <v/>
      </c>
      <c r="N2057" s="45" t="str">
        <f>IF(LayTable[[#This Row],[Sport]]="","",1/((1/LayTable[[#This Row],[BookieOdds]])+(1/((1/((1+((LayTable[[#This Row],[LayOdds]]-1)*(1+LayTable[[#This Row],[C% Lay]])))-1))+1)))-1)</f>
        <v/>
      </c>
      <c r="Q2057" s="46" t="str">
        <f>IF(LayTable[[#This Row],[Sport]]="","",LayTable[[#This Row],[BookieInnsats]]+LayTable[[#This Row],[LayLiability]])</f>
        <v/>
      </c>
      <c r="R20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7" s="47" t="str">
        <f>IF(LayTable[[#This Row],[Utfall bookie]]="","",LayTable[[#This Row],[WBABack]]+LayTable[[#This Row],[WBALay]]-LayTable[[#This Row],[Total inns]])</f>
        <v/>
      </c>
      <c r="U20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7" s="48" t="str">
        <f>IFERROR(IF(LayTable[[#This Row],[Total inns]]="","",LayTable[[#This Row],[Rback]]/LayTable[[#This Row],[Total inns]]),"")</f>
        <v/>
      </c>
      <c r="X2057" s="48" t="str">
        <f>IFERROR(IF(LayTable[[#This Row],[Total inns]]="","",LayTable[[#This Row],[Rlay]]/LayTable[[#This Row],[Total inns]]),"")</f>
        <v/>
      </c>
      <c r="Y2057" s="48" t="str">
        <f>IFERROR(LayTable[[#This Row],[Faktisk res]]/LayTable[[#This Row],[Total inns]],"")</f>
        <v/>
      </c>
      <c r="Z2057" s="47">
        <f>(LayTable[[#This Row],[BookieInnsats]]*LayTable[[#This Row],[BookieOdds]]-LayTable[[#This Row],[BookieInnsats]])*(1-LayTable[[#This Row],[C% Bookie]])</f>
        <v>0</v>
      </c>
      <c r="AA2057" s="43">
        <f>LayTable[[#This Row],[LayInnsats]]*(1-LayTable[[#This Row],[C% Lay]])</f>
        <v>0</v>
      </c>
      <c r="AB2057" s="43" t="str">
        <f>IFERROR(IF(LayTable[[#This Row],[Sport]]="",AB2056,LayTable[[#This Row],[Faktisk res]]+AB2056),"")</f>
        <v/>
      </c>
      <c r="AC2057" s="43">
        <f>(LayTable[[#This Row],[BackWin-Commission]]+LayTable[[#This Row],[BookieInnsats]])</f>
        <v>0</v>
      </c>
      <c r="AD2057" s="43" t="e">
        <f>(LayTable[[#This Row],[LayWin-Commission]])+LayTable[[#This Row],[LayLiability]]</f>
        <v>#VALUE!</v>
      </c>
      <c r="AE2057" s="43"/>
      <c r="AF2057" s="181"/>
    </row>
    <row r="2058" spans="1:32">
      <c r="A2058" s="84"/>
      <c r="B2058" s="39"/>
      <c r="C2058" s="40"/>
      <c r="D2058" s="41"/>
      <c r="E2058" s="40"/>
      <c r="F2058" s="41"/>
      <c r="G2058" s="101"/>
      <c r="H2058" s="38"/>
      <c r="I2058" s="42"/>
      <c r="J2058" s="42"/>
      <c r="K2058" s="43"/>
      <c r="L2058" s="43"/>
      <c r="M2058" s="44" t="str">
        <f>IF(LayTable[[#This Row],[Sport]]="","",LayTable[[#This Row],[LayInnsats]]*(LayTable[[#This Row],[LayOdds]]-1))</f>
        <v/>
      </c>
      <c r="N2058" s="45" t="str">
        <f>IF(LayTable[[#This Row],[Sport]]="","",1/((1/LayTable[[#This Row],[BookieOdds]])+(1/((1/((1+((LayTable[[#This Row],[LayOdds]]-1)*(1+LayTable[[#This Row],[C% Lay]])))-1))+1)))-1)</f>
        <v/>
      </c>
      <c r="Q2058" s="46" t="str">
        <f>IF(LayTable[[#This Row],[Sport]]="","",LayTable[[#This Row],[BookieInnsats]]+LayTable[[#This Row],[LayLiability]])</f>
        <v/>
      </c>
      <c r="R20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8" s="47" t="str">
        <f>IF(LayTable[[#This Row],[Utfall bookie]]="","",LayTable[[#This Row],[WBABack]]+LayTable[[#This Row],[WBALay]]-LayTable[[#This Row],[Total inns]])</f>
        <v/>
      </c>
      <c r="U20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8" s="48" t="str">
        <f>IFERROR(IF(LayTable[[#This Row],[Total inns]]="","",LayTable[[#This Row],[Rback]]/LayTable[[#This Row],[Total inns]]),"")</f>
        <v/>
      </c>
      <c r="X2058" s="48" t="str">
        <f>IFERROR(IF(LayTable[[#This Row],[Total inns]]="","",LayTable[[#This Row],[Rlay]]/LayTable[[#This Row],[Total inns]]),"")</f>
        <v/>
      </c>
      <c r="Y2058" s="48" t="str">
        <f>IFERROR(LayTable[[#This Row],[Faktisk res]]/LayTable[[#This Row],[Total inns]],"")</f>
        <v/>
      </c>
      <c r="Z2058" s="47">
        <f>(LayTable[[#This Row],[BookieInnsats]]*LayTable[[#This Row],[BookieOdds]]-LayTable[[#This Row],[BookieInnsats]])*(1-LayTable[[#This Row],[C% Bookie]])</f>
        <v>0</v>
      </c>
      <c r="AA2058" s="43">
        <f>LayTable[[#This Row],[LayInnsats]]*(1-LayTable[[#This Row],[C% Lay]])</f>
        <v>0</v>
      </c>
      <c r="AB2058" s="43" t="str">
        <f>IFERROR(IF(LayTable[[#This Row],[Sport]]="",AB2057,LayTable[[#This Row],[Faktisk res]]+AB2057),"")</f>
        <v/>
      </c>
      <c r="AC2058" s="43">
        <f>(LayTable[[#This Row],[BackWin-Commission]]+LayTable[[#This Row],[BookieInnsats]])</f>
        <v>0</v>
      </c>
      <c r="AD2058" s="43" t="e">
        <f>(LayTable[[#This Row],[LayWin-Commission]])+LayTable[[#This Row],[LayLiability]]</f>
        <v>#VALUE!</v>
      </c>
      <c r="AE2058" s="43"/>
      <c r="AF2058" s="181"/>
    </row>
    <row r="2059" spans="1:32">
      <c r="A2059" s="84"/>
      <c r="B2059" s="39"/>
      <c r="C2059" s="40"/>
      <c r="D2059" s="41"/>
      <c r="E2059" s="40"/>
      <c r="F2059" s="41"/>
      <c r="G2059" s="101"/>
      <c r="H2059" s="38"/>
      <c r="I2059" s="42"/>
      <c r="J2059" s="42"/>
      <c r="K2059" s="43"/>
      <c r="L2059" s="43"/>
      <c r="M2059" s="44" t="str">
        <f>IF(LayTable[[#This Row],[Sport]]="","",LayTable[[#This Row],[LayInnsats]]*(LayTable[[#This Row],[LayOdds]]-1))</f>
        <v/>
      </c>
      <c r="N2059" s="45" t="str">
        <f>IF(LayTable[[#This Row],[Sport]]="","",1/((1/LayTable[[#This Row],[BookieOdds]])+(1/((1/((1+((LayTable[[#This Row],[LayOdds]]-1)*(1+LayTable[[#This Row],[C% Lay]])))-1))+1)))-1)</f>
        <v/>
      </c>
      <c r="Q2059" s="46" t="str">
        <f>IF(LayTable[[#This Row],[Sport]]="","",LayTable[[#This Row],[BookieInnsats]]+LayTable[[#This Row],[LayLiability]])</f>
        <v/>
      </c>
      <c r="R20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59" s="47" t="str">
        <f>IF(LayTable[[#This Row],[Utfall bookie]]="","",LayTable[[#This Row],[WBABack]]+LayTable[[#This Row],[WBALay]]-LayTable[[#This Row],[Total inns]])</f>
        <v/>
      </c>
      <c r="U20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59" s="48" t="str">
        <f>IFERROR(IF(LayTable[[#This Row],[Total inns]]="","",LayTable[[#This Row],[Rback]]/LayTable[[#This Row],[Total inns]]),"")</f>
        <v/>
      </c>
      <c r="X2059" s="48" t="str">
        <f>IFERROR(IF(LayTable[[#This Row],[Total inns]]="","",LayTable[[#This Row],[Rlay]]/LayTable[[#This Row],[Total inns]]),"")</f>
        <v/>
      </c>
      <c r="Y2059" s="48" t="str">
        <f>IFERROR(LayTable[[#This Row],[Faktisk res]]/LayTable[[#This Row],[Total inns]],"")</f>
        <v/>
      </c>
      <c r="Z2059" s="47">
        <f>(LayTable[[#This Row],[BookieInnsats]]*LayTable[[#This Row],[BookieOdds]]-LayTable[[#This Row],[BookieInnsats]])*(1-LayTable[[#This Row],[C% Bookie]])</f>
        <v>0</v>
      </c>
      <c r="AA2059" s="43">
        <f>LayTable[[#This Row],[LayInnsats]]*(1-LayTable[[#This Row],[C% Lay]])</f>
        <v>0</v>
      </c>
      <c r="AB2059" s="43" t="str">
        <f>IFERROR(IF(LayTable[[#This Row],[Sport]]="",AB2058,LayTable[[#This Row],[Faktisk res]]+AB2058),"")</f>
        <v/>
      </c>
      <c r="AC2059" s="43">
        <f>(LayTable[[#This Row],[BackWin-Commission]]+LayTable[[#This Row],[BookieInnsats]])</f>
        <v>0</v>
      </c>
      <c r="AD2059" s="43" t="e">
        <f>(LayTable[[#This Row],[LayWin-Commission]])+LayTable[[#This Row],[LayLiability]]</f>
        <v>#VALUE!</v>
      </c>
      <c r="AE2059" s="43"/>
      <c r="AF2059" s="181"/>
    </row>
    <row r="2060" spans="1:32">
      <c r="A2060" s="84"/>
      <c r="B2060" s="39"/>
      <c r="C2060" s="40"/>
      <c r="D2060" s="41"/>
      <c r="E2060" s="40"/>
      <c r="F2060" s="41"/>
      <c r="G2060" s="101"/>
      <c r="H2060" s="38"/>
      <c r="I2060" s="42"/>
      <c r="J2060" s="42"/>
      <c r="K2060" s="43"/>
      <c r="L2060" s="43"/>
      <c r="M2060" s="44" t="str">
        <f>IF(LayTable[[#This Row],[Sport]]="","",LayTable[[#This Row],[LayInnsats]]*(LayTable[[#This Row],[LayOdds]]-1))</f>
        <v/>
      </c>
      <c r="N2060" s="45" t="str">
        <f>IF(LayTable[[#This Row],[Sport]]="","",1/((1/LayTable[[#This Row],[BookieOdds]])+(1/((1/((1+((LayTable[[#This Row],[LayOdds]]-1)*(1+LayTable[[#This Row],[C% Lay]])))-1))+1)))-1)</f>
        <v/>
      </c>
      <c r="Q2060" s="46" t="str">
        <f>IF(LayTable[[#This Row],[Sport]]="","",LayTable[[#This Row],[BookieInnsats]]+LayTable[[#This Row],[LayLiability]])</f>
        <v/>
      </c>
      <c r="R20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0" s="47" t="str">
        <f>IF(LayTable[[#This Row],[Utfall bookie]]="","",LayTable[[#This Row],[WBABack]]+LayTable[[#This Row],[WBALay]]-LayTable[[#This Row],[Total inns]])</f>
        <v/>
      </c>
      <c r="U20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0" s="48" t="str">
        <f>IFERROR(IF(LayTable[[#This Row],[Total inns]]="","",LayTable[[#This Row],[Rback]]/LayTable[[#This Row],[Total inns]]),"")</f>
        <v/>
      </c>
      <c r="X2060" s="48" t="str">
        <f>IFERROR(IF(LayTable[[#This Row],[Total inns]]="","",LayTable[[#This Row],[Rlay]]/LayTable[[#This Row],[Total inns]]),"")</f>
        <v/>
      </c>
      <c r="Y2060" s="48" t="str">
        <f>IFERROR(LayTable[[#This Row],[Faktisk res]]/LayTable[[#This Row],[Total inns]],"")</f>
        <v/>
      </c>
      <c r="Z2060" s="47">
        <f>(LayTable[[#This Row],[BookieInnsats]]*LayTable[[#This Row],[BookieOdds]]-LayTable[[#This Row],[BookieInnsats]])*(1-LayTable[[#This Row],[C% Bookie]])</f>
        <v>0</v>
      </c>
      <c r="AA2060" s="43">
        <f>LayTable[[#This Row],[LayInnsats]]*(1-LayTable[[#This Row],[C% Lay]])</f>
        <v>0</v>
      </c>
      <c r="AB2060" s="43" t="str">
        <f>IFERROR(IF(LayTable[[#This Row],[Sport]]="",AB2059,LayTable[[#This Row],[Faktisk res]]+AB2059),"")</f>
        <v/>
      </c>
      <c r="AC2060" s="43">
        <f>(LayTable[[#This Row],[BackWin-Commission]]+LayTable[[#This Row],[BookieInnsats]])</f>
        <v>0</v>
      </c>
      <c r="AD2060" s="43" t="e">
        <f>(LayTable[[#This Row],[LayWin-Commission]])+LayTable[[#This Row],[LayLiability]]</f>
        <v>#VALUE!</v>
      </c>
      <c r="AE2060" s="43"/>
      <c r="AF2060" s="181"/>
    </row>
    <row r="2061" spans="1:32">
      <c r="A2061" s="84"/>
      <c r="B2061" s="39"/>
      <c r="C2061" s="40"/>
      <c r="D2061" s="41"/>
      <c r="E2061" s="40"/>
      <c r="F2061" s="41"/>
      <c r="G2061" s="101"/>
      <c r="H2061" s="38"/>
      <c r="I2061" s="42"/>
      <c r="J2061" s="42"/>
      <c r="K2061" s="43"/>
      <c r="L2061" s="43"/>
      <c r="M2061" s="44" t="str">
        <f>IF(LayTable[[#This Row],[Sport]]="","",LayTable[[#This Row],[LayInnsats]]*(LayTable[[#This Row],[LayOdds]]-1))</f>
        <v/>
      </c>
      <c r="N2061" s="45" t="str">
        <f>IF(LayTable[[#This Row],[Sport]]="","",1/((1/LayTable[[#This Row],[BookieOdds]])+(1/((1/((1+((LayTable[[#This Row],[LayOdds]]-1)*(1+LayTable[[#This Row],[C% Lay]])))-1))+1)))-1)</f>
        <v/>
      </c>
      <c r="Q2061" s="46" t="str">
        <f>IF(LayTable[[#This Row],[Sport]]="","",LayTable[[#This Row],[BookieInnsats]]+LayTable[[#This Row],[LayLiability]])</f>
        <v/>
      </c>
      <c r="R20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1" s="47" t="str">
        <f>IF(LayTable[[#This Row],[Utfall bookie]]="","",LayTable[[#This Row],[WBABack]]+LayTable[[#This Row],[WBALay]]-LayTable[[#This Row],[Total inns]])</f>
        <v/>
      </c>
      <c r="U20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1" s="48" t="str">
        <f>IFERROR(IF(LayTable[[#This Row],[Total inns]]="","",LayTable[[#This Row],[Rback]]/LayTable[[#This Row],[Total inns]]),"")</f>
        <v/>
      </c>
      <c r="X2061" s="48" t="str">
        <f>IFERROR(IF(LayTable[[#This Row],[Total inns]]="","",LayTable[[#This Row],[Rlay]]/LayTable[[#This Row],[Total inns]]),"")</f>
        <v/>
      </c>
      <c r="Y2061" s="48" t="str">
        <f>IFERROR(LayTable[[#This Row],[Faktisk res]]/LayTable[[#This Row],[Total inns]],"")</f>
        <v/>
      </c>
      <c r="Z2061" s="47">
        <f>(LayTable[[#This Row],[BookieInnsats]]*LayTable[[#This Row],[BookieOdds]]-LayTable[[#This Row],[BookieInnsats]])*(1-LayTable[[#This Row],[C% Bookie]])</f>
        <v>0</v>
      </c>
      <c r="AA2061" s="43">
        <f>LayTable[[#This Row],[LayInnsats]]*(1-LayTable[[#This Row],[C% Lay]])</f>
        <v>0</v>
      </c>
      <c r="AB2061" s="43" t="str">
        <f>IFERROR(IF(LayTable[[#This Row],[Sport]]="",AB2060,LayTable[[#This Row],[Faktisk res]]+AB2060),"")</f>
        <v/>
      </c>
      <c r="AC2061" s="43">
        <f>(LayTable[[#This Row],[BackWin-Commission]]+LayTable[[#This Row],[BookieInnsats]])</f>
        <v>0</v>
      </c>
      <c r="AD2061" s="43" t="e">
        <f>(LayTable[[#This Row],[LayWin-Commission]])+LayTable[[#This Row],[LayLiability]]</f>
        <v>#VALUE!</v>
      </c>
      <c r="AE2061" s="43"/>
      <c r="AF2061" s="181"/>
    </row>
    <row r="2062" spans="1:32">
      <c r="A2062" s="84"/>
      <c r="B2062" s="39"/>
      <c r="C2062" s="40"/>
      <c r="D2062" s="41"/>
      <c r="E2062" s="40"/>
      <c r="F2062" s="41"/>
      <c r="G2062" s="101"/>
      <c r="H2062" s="38"/>
      <c r="I2062" s="42"/>
      <c r="J2062" s="42"/>
      <c r="K2062" s="43"/>
      <c r="L2062" s="43"/>
      <c r="M2062" s="44" t="str">
        <f>IF(LayTable[[#This Row],[Sport]]="","",LayTable[[#This Row],[LayInnsats]]*(LayTable[[#This Row],[LayOdds]]-1))</f>
        <v/>
      </c>
      <c r="N2062" s="45" t="str">
        <f>IF(LayTable[[#This Row],[Sport]]="","",1/((1/LayTable[[#This Row],[BookieOdds]])+(1/((1/((1+((LayTable[[#This Row],[LayOdds]]-1)*(1+LayTable[[#This Row],[C% Lay]])))-1))+1)))-1)</f>
        <v/>
      </c>
      <c r="Q2062" s="46" t="str">
        <f>IF(LayTable[[#This Row],[Sport]]="","",LayTable[[#This Row],[BookieInnsats]]+LayTable[[#This Row],[LayLiability]])</f>
        <v/>
      </c>
      <c r="R20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2" s="47" t="str">
        <f>IF(LayTable[[#This Row],[Utfall bookie]]="","",LayTable[[#This Row],[WBABack]]+LayTable[[#This Row],[WBALay]]-LayTable[[#This Row],[Total inns]])</f>
        <v/>
      </c>
      <c r="U20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2" s="48" t="str">
        <f>IFERROR(IF(LayTable[[#This Row],[Total inns]]="","",LayTable[[#This Row],[Rback]]/LayTable[[#This Row],[Total inns]]),"")</f>
        <v/>
      </c>
      <c r="X2062" s="48" t="str">
        <f>IFERROR(IF(LayTable[[#This Row],[Total inns]]="","",LayTable[[#This Row],[Rlay]]/LayTable[[#This Row],[Total inns]]),"")</f>
        <v/>
      </c>
      <c r="Y2062" s="48" t="str">
        <f>IFERROR(LayTable[[#This Row],[Faktisk res]]/LayTable[[#This Row],[Total inns]],"")</f>
        <v/>
      </c>
      <c r="Z2062" s="47">
        <f>(LayTable[[#This Row],[BookieInnsats]]*LayTable[[#This Row],[BookieOdds]]-LayTable[[#This Row],[BookieInnsats]])*(1-LayTable[[#This Row],[C% Bookie]])</f>
        <v>0</v>
      </c>
      <c r="AA2062" s="43">
        <f>LayTable[[#This Row],[LayInnsats]]*(1-LayTable[[#This Row],[C% Lay]])</f>
        <v>0</v>
      </c>
      <c r="AB2062" s="43" t="str">
        <f>IFERROR(IF(LayTable[[#This Row],[Sport]]="",AB2061,LayTable[[#This Row],[Faktisk res]]+AB2061),"")</f>
        <v/>
      </c>
      <c r="AC2062" s="43">
        <f>(LayTable[[#This Row],[BackWin-Commission]]+LayTable[[#This Row],[BookieInnsats]])</f>
        <v>0</v>
      </c>
      <c r="AD2062" s="43" t="e">
        <f>(LayTable[[#This Row],[LayWin-Commission]])+LayTable[[#This Row],[LayLiability]]</f>
        <v>#VALUE!</v>
      </c>
      <c r="AE2062" s="43"/>
      <c r="AF2062" s="181"/>
    </row>
    <row r="2063" spans="1:32">
      <c r="A2063" s="84"/>
      <c r="B2063" s="39"/>
      <c r="C2063" s="40"/>
      <c r="D2063" s="41"/>
      <c r="E2063" s="40"/>
      <c r="F2063" s="41"/>
      <c r="G2063" s="101"/>
      <c r="H2063" s="38"/>
      <c r="I2063" s="42"/>
      <c r="J2063" s="42"/>
      <c r="K2063" s="43"/>
      <c r="L2063" s="43"/>
      <c r="M2063" s="44" t="str">
        <f>IF(LayTable[[#This Row],[Sport]]="","",LayTable[[#This Row],[LayInnsats]]*(LayTable[[#This Row],[LayOdds]]-1))</f>
        <v/>
      </c>
      <c r="N2063" s="45" t="str">
        <f>IF(LayTable[[#This Row],[Sport]]="","",1/((1/LayTable[[#This Row],[BookieOdds]])+(1/((1/((1+((LayTable[[#This Row],[LayOdds]]-1)*(1+LayTable[[#This Row],[C% Lay]])))-1))+1)))-1)</f>
        <v/>
      </c>
      <c r="Q2063" s="46" t="str">
        <f>IF(LayTable[[#This Row],[Sport]]="","",LayTable[[#This Row],[BookieInnsats]]+LayTable[[#This Row],[LayLiability]])</f>
        <v/>
      </c>
      <c r="R20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3" s="47" t="str">
        <f>IF(LayTable[[#This Row],[Utfall bookie]]="","",LayTable[[#This Row],[WBABack]]+LayTable[[#This Row],[WBALay]]-LayTable[[#This Row],[Total inns]])</f>
        <v/>
      </c>
      <c r="U20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3" s="48" t="str">
        <f>IFERROR(IF(LayTable[[#This Row],[Total inns]]="","",LayTable[[#This Row],[Rback]]/LayTable[[#This Row],[Total inns]]),"")</f>
        <v/>
      </c>
      <c r="X2063" s="48" t="str">
        <f>IFERROR(IF(LayTable[[#This Row],[Total inns]]="","",LayTable[[#This Row],[Rlay]]/LayTable[[#This Row],[Total inns]]),"")</f>
        <v/>
      </c>
      <c r="Y2063" s="48" t="str">
        <f>IFERROR(LayTable[[#This Row],[Faktisk res]]/LayTable[[#This Row],[Total inns]],"")</f>
        <v/>
      </c>
      <c r="Z2063" s="47">
        <f>(LayTable[[#This Row],[BookieInnsats]]*LayTable[[#This Row],[BookieOdds]]-LayTable[[#This Row],[BookieInnsats]])*(1-LayTable[[#This Row],[C% Bookie]])</f>
        <v>0</v>
      </c>
      <c r="AA2063" s="43">
        <f>LayTable[[#This Row],[LayInnsats]]*(1-LayTable[[#This Row],[C% Lay]])</f>
        <v>0</v>
      </c>
      <c r="AB2063" s="43" t="str">
        <f>IFERROR(IF(LayTable[[#This Row],[Sport]]="",AB2062,LayTable[[#This Row],[Faktisk res]]+AB2062),"")</f>
        <v/>
      </c>
      <c r="AC2063" s="43">
        <f>(LayTable[[#This Row],[BackWin-Commission]]+LayTable[[#This Row],[BookieInnsats]])</f>
        <v>0</v>
      </c>
      <c r="AD2063" s="43" t="e">
        <f>(LayTable[[#This Row],[LayWin-Commission]])+LayTable[[#This Row],[LayLiability]]</f>
        <v>#VALUE!</v>
      </c>
      <c r="AE2063" s="43"/>
      <c r="AF2063" s="181"/>
    </row>
    <row r="2064" spans="1:32">
      <c r="A2064" s="84"/>
      <c r="B2064" s="39"/>
      <c r="C2064" s="40"/>
      <c r="D2064" s="41"/>
      <c r="E2064" s="40"/>
      <c r="F2064" s="41"/>
      <c r="G2064" s="101"/>
      <c r="H2064" s="38"/>
      <c r="I2064" s="42"/>
      <c r="J2064" s="42"/>
      <c r="K2064" s="43"/>
      <c r="L2064" s="43"/>
      <c r="M2064" s="44" t="str">
        <f>IF(LayTable[[#This Row],[Sport]]="","",LayTable[[#This Row],[LayInnsats]]*(LayTable[[#This Row],[LayOdds]]-1))</f>
        <v/>
      </c>
      <c r="N2064" s="45" t="str">
        <f>IF(LayTable[[#This Row],[Sport]]="","",1/((1/LayTable[[#This Row],[BookieOdds]])+(1/((1/((1+((LayTable[[#This Row],[LayOdds]]-1)*(1+LayTable[[#This Row],[C% Lay]])))-1))+1)))-1)</f>
        <v/>
      </c>
      <c r="Q2064" s="46" t="str">
        <f>IF(LayTable[[#This Row],[Sport]]="","",LayTable[[#This Row],[BookieInnsats]]+LayTable[[#This Row],[LayLiability]])</f>
        <v/>
      </c>
      <c r="R206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4" s="47" t="str">
        <f>IF(LayTable[[#This Row],[Utfall bookie]]="","",LayTable[[#This Row],[WBABack]]+LayTable[[#This Row],[WBALay]]-LayTable[[#This Row],[Total inns]])</f>
        <v/>
      </c>
      <c r="U206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4" s="48" t="str">
        <f>IFERROR(IF(LayTable[[#This Row],[Total inns]]="","",LayTable[[#This Row],[Rback]]/LayTable[[#This Row],[Total inns]]),"")</f>
        <v/>
      </c>
      <c r="X2064" s="48" t="str">
        <f>IFERROR(IF(LayTable[[#This Row],[Total inns]]="","",LayTable[[#This Row],[Rlay]]/LayTable[[#This Row],[Total inns]]),"")</f>
        <v/>
      </c>
      <c r="Y2064" s="48" t="str">
        <f>IFERROR(LayTable[[#This Row],[Faktisk res]]/LayTable[[#This Row],[Total inns]],"")</f>
        <v/>
      </c>
      <c r="Z2064" s="47">
        <f>(LayTable[[#This Row],[BookieInnsats]]*LayTable[[#This Row],[BookieOdds]]-LayTable[[#This Row],[BookieInnsats]])*(1-LayTable[[#This Row],[C% Bookie]])</f>
        <v>0</v>
      </c>
      <c r="AA2064" s="43">
        <f>LayTable[[#This Row],[LayInnsats]]*(1-LayTable[[#This Row],[C% Lay]])</f>
        <v>0</v>
      </c>
      <c r="AB2064" s="43" t="str">
        <f>IFERROR(IF(LayTable[[#This Row],[Sport]]="",AB2063,LayTable[[#This Row],[Faktisk res]]+AB2063),"")</f>
        <v/>
      </c>
      <c r="AC2064" s="43">
        <f>(LayTable[[#This Row],[BackWin-Commission]]+LayTable[[#This Row],[BookieInnsats]])</f>
        <v>0</v>
      </c>
      <c r="AD2064" s="43" t="e">
        <f>(LayTable[[#This Row],[LayWin-Commission]])+LayTable[[#This Row],[LayLiability]]</f>
        <v>#VALUE!</v>
      </c>
      <c r="AE2064" s="43"/>
      <c r="AF2064" s="181"/>
    </row>
    <row r="2065" spans="1:32">
      <c r="A2065" s="84"/>
      <c r="B2065" s="39"/>
      <c r="C2065" s="40"/>
      <c r="D2065" s="41"/>
      <c r="E2065" s="40"/>
      <c r="F2065" s="41"/>
      <c r="G2065" s="101"/>
      <c r="H2065" s="38"/>
      <c r="I2065" s="42"/>
      <c r="J2065" s="42"/>
      <c r="K2065" s="43"/>
      <c r="L2065" s="43"/>
      <c r="M2065" s="44" t="str">
        <f>IF(LayTable[[#This Row],[Sport]]="","",LayTable[[#This Row],[LayInnsats]]*(LayTable[[#This Row],[LayOdds]]-1))</f>
        <v/>
      </c>
      <c r="N2065" s="45" t="str">
        <f>IF(LayTable[[#This Row],[Sport]]="","",1/((1/LayTable[[#This Row],[BookieOdds]])+(1/((1/((1+((LayTable[[#This Row],[LayOdds]]-1)*(1+LayTable[[#This Row],[C% Lay]])))-1))+1)))-1)</f>
        <v/>
      </c>
      <c r="Q2065" s="46" t="str">
        <f>IF(LayTable[[#This Row],[Sport]]="","",LayTable[[#This Row],[BookieInnsats]]+LayTable[[#This Row],[LayLiability]])</f>
        <v/>
      </c>
      <c r="R206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5" s="47" t="str">
        <f>IF(LayTable[[#This Row],[Utfall bookie]]="","",LayTable[[#This Row],[WBABack]]+LayTable[[#This Row],[WBALay]]-LayTable[[#This Row],[Total inns]])</f>
        <v/>
      </c>
      <c r="U206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5" s="48" t="str">
        <f>IFERROR(IF(LayTable[[#This Row],[Total inns]]="","",LayTable[[#This Row],[Rback]]/LayTable[[#This Row],[Total inns]]),"")</f>
        <v/>
      </c>
      <c r="X2065" s="48" t="str">
        <f>IFERROR(IF(LayTable[[#This Row],[Total inns]]="","",LayTable[[#This Row],[Rlay]]/LayTable[[#This Row],[Total inns]]),"")</f>
        <v/>
      </c>
      <c r="Y2065" s="48" t="str">
        <f>IFERROR(LayTable[[#This Row],[Faktisk res]]/LayTable[[#This Row],[Total inns]],"")</f>
        <v/>
      </c>
      <c r="Z2065" s="47">
        <f>(LayTable[[#This Row],[BookieInnsats]]*LayTable[[#This Row],[BookieOdds]]-LayTable[[#This Row],[BookieInnsats]])*(1-LayTable[[#This Row],[C% Bookie]])</f>
        <v>0</v>
      </c>
      <c r="AA2065" s="43">
        <f>LayTable[[#This Row],[LayInnsats]]*(1-LayTable[[#This Row],[C% Lay]])</f>
        <v>0</v>
      </c>
      <c r="AB2065" s="43" t="str">
        <f>IFERROR(IF(LayTable[[#This Row],[Sport]]="",AB2064,LayTable[[#This Row],[Faktisk res]]+AB2064),"")</f>
        <v/>
      </c>
      <c r="AC2065" s="43">
        <f>(LayTable[[#This Row],[BackWin-Commission]]+LayTable[[#This Row],[BookieInnsats]])</f>
        <v>0</v>
      </c>
      <c r="AD2065" s="43" t="e">
        <f>(LayTable[[#This Row],[LayWin-Commission]])+LayTable[[#This Row],[LayLiability]]</f>
        <v>#VALUE!</v>
      </c>
      <c r="AE2065" s="43"/>
      <c r="AF2065" s="181"/>
    </row>
    <row r="2066" spans="1:32">
      <c r="A2066" s="84"/>
      <c r="B2066" s="39"/>
      <c r="C2066" s="40"/>
      <c r="D2066" s="41"/>
      <c r="E2066" s="40"/>
      <c r="F2066" s="41"/>
      <c r="G2066" s="101"/>
      <c r="H2066" s="38"/>
      <c r="I2066" s="42"/>
      <c r="J2066" s="42"/>
      <c r="K2066" s="43"/>
      <c r="L2066" s="43"/>
      <c r="M2066" s="44" t="str">
        <f>IF(LayTable[[#This Row],[Sport]]="","",LayTable[[#This Row],[LayInnsats]]*(LayTable[[#This Row],[LayOdds]]-1))</f>
        <v/>
      </c>
      <c r="N2066" s="45" t="str">
        <f>IF(LayTable[[#This Row],[Sport]]="","",1/((1/LayTable[[#This Row],[BookieOdds]])+(1/((1/((1+((LayTable[[#This Row],[LayOdds]]-1)*(1+LayTable[[#This Row],[C% Lay]])))-1))+1)))-1)</f>
        <v/>
      </c>
      <c r="Q2066" s="46" t="str">
        <f>IF(LayTable[[#This Row],[Sport]]="","",LayTable[[#This Row],[BookieInnsats]]+LayTable[[#This Row],[LayLiability]])</f>
        <v/>
      </c>
      <c r="R206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6" s="47" t="str">
        <f>IF(LayTable[[#This Row],[Utfall bookie]]="","",LayTable[[#This Row],[WBABack]]+LayTable[[#This Row],[WBALay]]-LayTable[[#This Row],[Total inns]])</f>
        <v/>
      </c>
      <c r="U206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6" s="48" t="str">
        <f>IFERROR(IF(LayTable[[#This Row],[Total inns]]="","",LayTable[[#This Row],[Rback]]/LayTable[[#This Row],[Total inns]]),"")</f>
        <v/>
      </c>
      <c r="X2066" s="48" t="str">
        <f>IFERROR(IF(LayTable[[#This Row],[Total inns]]="","",LayTable[[#This Row],[Rlay]]/LayTable[[#This Row],[Total inns]]),"")</f>
        <v/>
      </c>
      <c r="Y2066" s="48" t="str">
        <f>IFERROR(LayTable[[#This Row],[Faktisk res]]/LayTable[[#This Row],[Total inns]],"")</f>
        <v/>
      </c>
      <c r="Z2066" s="47">
        <f>(LayTable[[#This Row],[BookieInnsats]]*LayTable[[#This Row],[BookieOdds]]-LayTable[[#This Row],[BookieInnsats]])*(1-LayTable[[#This Row],[C% Bookie]])</f>
        <v>0</v>
      </c>
      <c r="AA2066" s="43">
        <f>LayTable[[#This Row],[LayInnsats]]*(1-LayTable[[#This Row],[C% Lay]])</f>
        <v>0</v>
      </c>
      <c r="AB2066" s="43" t="str">
        <f>IFERROR(IF(LayTable[[#This Row],[Sport]]="",AB2065,LayTable[[#This Row],[Faktisk res]]+AB2065),"")</f>
        <v/>
      </c>
      <c r="AC2066" s="43">
        <f>(LayTable[[#This Row],[BackWin-Commission]]+LayTable[[#This Row],[BookieInnsats]])</f>
        <v>0</v>
      </c>
      <c r="AD2066" s="43" t="e">
        <f>(LayTable[[#This Row],[LayWin-Commission]])+LayTable[[#This Row],[LayLiability]]</f>
        <v>#VALUE!</v>
      </c>
      <c r="AE2066" s="43"/>
      <c r="AF2066" s="181"/>
    </row>
    <row r="2067" spans="1:32">
      <c r="A2067" s="84"/>
      <c r="B2067" s="39"/>
      <c r="C2067" s="40"/>
      <c r="D2067" s="41"/>
      <c r="E2067" s="40"/>
      <c r="F2067" s="41"/>
      <c r="G2067" s="101"/>
      <c r="H2067" s="38"/>
      <c r="I2067" s="42"/>
      <c r="J2067" s="42"/>
      <c r="K2067" s="43"/>
      <c r="L2067" s="43"/>
      <c r="M2067" s="44" t="str">
        <f>IF(LayTable[[#This Row],[Sport]]="","",LayTable[[#This Row],[LayInnsats]]*(LayTable[[#This Row],[LayOdds]]-1))</f>
        <v/>
      </c>
      <c r="N2067" s="45" t="str">
        <f>IF(LayTable[[#This Row],[Sport]]="","",1/((1/LayTable[[#This Row],[BookieOdds]])+(1/((1/((1+((LayTable[[#This Row],[LayOdds]]-1)*(1+LayTable[[#This Row],[C% Lay]])))-1))+1)))-1)</f>
        <v/>
      </c>
      <c r="Q2067" s="46" t="str">
        <f>IF(LayTable[[#This Row],[Sport]]="","",LayTable[[#This Row],[BookieInnsats]]+LayTable[[#This Row],[LayLiability]])</f>
        <v/>
      </c>
      <c r="R20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7" s="47" t="str">
        <f>IF(LayTable[[#This Row],[Utfall bookie]]="","",LayTable[[#This Row],[WBABack]]+LayTable[[#This Row],[WBALay]]-LayTable[[#This Row],[Total inns]])</f>
        <v/>
      </c>
      <c r="U20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7" s="48" t="str">
        <f>IFERROR(IF(LayTable[[#This Row],[Total inns]]="","",LayTable[[#This Row],[Rback]]/LayTable[[#This Row],[Total inns]]),"")</f>
        <v/>
      </c>
      <c r="X2067" s="48" t="str">
        <f>IFERROR(IF(LayTable[[#This Row],[Total inns]]="","",LayTable[[#This Row],[Rlay]]/LayTable[[#This Row],[Total inns]]),"")</f>
        <v/>
      </c>
      <c r="Y2067" s="48" t="str">
        <f>IFERROR(LayTable[[#This Row],[Faktisk res]]/LayTable[[#This Row],[Total inns]],"")</f>
        <v/>
      </c>
      <c r="Z2067" s="47">
        <f>(LayTable[[#This Row],[BookieInnsats]]*LayTable[[#This Row],[BookieOdds]]-LayTable[[#This Row],[BookieInnsats]])*(1-LayTable[[#This Row],[C% Bookie]])</f>
        <v>0</v>
      </c>
      <c r="AA2067" s="43">
        <f>LayTable[[#This Row],[LayInnsats]]*(1-LayTable[[#This Row],[C% Lay]])</f>
        <v>0</v>
      </c>
      <c r="AB2067" s="43" t="str">
        <f>IFERROR(IF(LayTable[[#This Row],[Sport]]="",AB2066,LayTable[[#This Row],[Faktisk res]]+AB2066),"")</f>
        <v/>
      </c>
      <c r="AC2067" s="43">
        <f>(LayTable[[#This Row],[BackWin-Commission]]+LayTable[[#This Row],[BookieInnsats]])</f>
        <v>0</v>
      </c>
      <c r="AD2067" s="43" t="e">
        <f>(LayTable[[#This Row],[LayWin-Commission]])+LayTable[[#This Row],[LayLiability]]</f>
        <v>#VALUE!</v>
      </c>
      <c r="AE2067" s="43"/>
      <c r="AF2067" s="181"/>
    </row>
    <row r="2068" spans="1:32">
      <c r="A2068" s="84"/>
      <c r="B2068" s="39"/>
      <c r="C2068" s="40"/>
      <c r="D2068" s="41"/>
      <c r="E2068" s="40"/>
      <c r="F2068" s="41"/>
      <c r="G2068" s="101"/>
      <c r="H2068" s="38"/>
      <c r="I2068" s="42"/>
      <c r="J2068" s="42"/>
      <c r="K2068" s="43"/>
      <c r="L2068" s="43"/>
      <c r="M2068" s="44" t="str">
        <f>IF(LayTable[[#This Row],[Sport]]="","",LayTable[[#This Row],[LayInnsats]]*(LayTable[[#This Row],[LayOdds]]-1))</f>
        <v/>
      </c>
      <c r="N2068" s="45" t="str">
        <f>IF(LayTable[[#This Row],[Sport]]="","",1/((1/LayTable[[#This Row],[BookieOdds]])+(1/((1/((1+((LayTable[[#This Row],[LayOdds]]-1)*(1+LayTable[[#This Row],[C% Lay]])))-1))+1)))-1)</f>
        <v/>
      </c>
      <c r="Q2068" s="46" t="str">
        <f>IF(LayTable[[#This Row],[Sport]]="","",LayTable[[#This Row],[BookieInnsats]]+LayTable[[#This Row],[LayLiability]])</f>
        <v/>
      </c>
      <c r="R20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8" s="47" t="str">
        <f>IF(LayTable[[#This Row],[Utfall bookie]]="","",LayTable[[#This Row],[WBABack]]+LayTable[[#This Row],[WBALay]]-LayTable[[#This Row],[Total inns]])</f>
        <v/>
      </c>
      <c r="U20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8" s="48" t="str">
        <f>IFERROR(IF(LayTable[[#This Row],[Total inns]]="","",LayTable[[#This Row],[Rback]]/LayTable[[#This Row],[Total inns]]),"")</f>
        <v/>
      </c>
      <c r="X2068" s="48" t="str">
        <f>IFERROR(IF(LayTable[[#This Row],[Total inns]]="","",LayTable[[#This Row],[Rlay]]/LayTable[[#This Row],[Total inns]]),"")</f>
        <v/>
      </c>
      <c r="Y2068" s="48" t="str">
        <f>IFERROR(LayTable[[#This Row],[Faktisk res]]/LayTable[[#This Row],[Total inns]],"")</f>
        <v/>
      </c>
      <c r="Z2068" s="47">
        <f>(LayTable[[#This Row],[BookieInnsats]]*LayTable[[#This Row],[BookieOdds]]-LayTable[[#This Row],[BookieInnsats]])*(1-LayTable[[#This Row],[C% Bookie]])</f>
        <v>0</v>
      </c>
      <c r="AA2068" s="43">
        <f>LayTable[[#This Row],[LayInnsats]]*(1-LayTable[[#This Row],[C% Lay]])</f>
        <v>0</v>
      </c>
      <c r="AB2068" s="43" t="str">
        <f>IFERROR(IF(LayTable[[#This Row],[Sport]]="",AB2067,LayTable[[#This Row],[Faktisk res]]+AB2067),"")</f>
        <v/>
      </c>
      <c r="AC2068" s="43">
        <f>(LayTable[[#This Row],[BackWin-Commission]]+LayTable[[#This Row],[BookieInnsats]])</f>
        <v>0</v>
      </c>
      <c r="AD2068" s="43" t="e">
        <f>(LayTable[[#This Row],[LayWin-Commission]])+LayTable[[#This Row],[LayLiability]]</f>
        <v>#VALUE!</v>
      </c>
      <c r="AE2068" s="43"/>
      <c r="AF2068" s="181"/>
    </row>
    <row r="2069" spans="1:32">
      <c r="A2069" s="84"/>
      <c r="B2069" s="39"/>
      <c r="C2069" s="40"/>
      <c r="D2069" s="41"/>
      <c r="E2069" s="40"/>
      <c r="F2069" s="41"/>
      <c r="G2069" s="101"/>
      <c r="H2069" s="38"/>
      <c r="I2069" s="42"/>
      <c r="J2069" s="42"/>
      <c r="K2069" s="43"/>
      <c r="L2069" s="43"/>
      <c r="M2069" s="44" t="str">
        <f>IF(LayTable[[#This Row],[Sport]]="","",LayTable[[#This Row],[LayInnsats]]*(LayTable[[#This Row],[LayOdds]]-1))</f>
        <v/>
      </c>
      <c r="N2069" s="45" t="str">
        <f>IF(LayTable[[#This Row],[Sport]]="","",1/((1/LayTable[[#This Row],[BookieOdds]])+(1/((1/((1+((LayTable[[#This Row],[LayOdds]]-1)*(1+LayTable[[#This Row],[C% Lay]])))-1))+1)))-1)</f>
        <v/>
      </c>
      <c r="Q2069" s="46" t="str">
        <f>IF(LayTable[[#This Row],[Sport]]="","",LayTable[[#This Row],[BookieInnsats]]+LayTable[[#This Row],[LayLiability]])</f>
        <v/>
      </c>
      <c r="R20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69" s="47" t="str">
        <f>IF(LayTable[[#This Row],[Utfall bookie]]="","",LayTable[[#This Row],[WBABack]]+LayTable[[#This Row],[WBALay]]-LayTable[[#This Row],[Total inns]])</f>
        <v/>
      </c>
      <c r="U20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69" s="48" t="str">
        <f>IFERROR(IF(LayTable[[#This Row],[Total inns]]="","",LayTable[[#This Row],[Rback]]/LayTable[[#This Row],[Total inns]]),"")</f>
        <v/>
      </c>
      <c r="X2069" s="48" t="str">
        <f>IFERROR(IF(LayTable[[#This Row],[Total inns]]="","",LayTable[[#This Row],[Rlay]]/LayTable[[#This Row],[Total inns]]),"")</f>
        <v/>
      </c>
      <c r="Y2069" s="48" t="str">
        <f>IFERROR(LayTable[[#This Row],[Faktisk res]]/LayTable[[#This Row],[Total inns]],"")</f>
        <v/>
      </c>
      <c r="Z2069" s="47">
        <f>(LayTable[[#This Row],[BookieInnsats]]*LayTable[[#This Row],[BookieOdds]]-LayTable[[#This Row],[BookieInnsats]])*(1-LayTable[[#This Row],[C% Bookie]])</f>
        <v>0</v>
      </c>
      <c r="AA2069" s="43">
        <f>LayTable[[#This Row],[LayInnsats]]*(1-LayTable[[#This Row],[C% Lay]])</f>
        <v>0</v>
      </c>
      <c r="AB2069" s="43" t="str">
        <f>IFERROR(IF(LayTable[[#This Row],[Sport]]="",AB2068,LayTable[[#This Row],[Faktisk res]]+AB2068),"")</f>
        <v/>
      </c>
      <c r="AC2069" s="43">
        <f>(LayTable[[#This Row],[BackWin-Commission]]+LayTable[[#This Row],[BookieInnsats]])</f>
        <v>0</v>
      </c>
      <c r="AD2069" s="43" t="e">
        <f>(LayTable[[#This Row],[LayWin-Commission]])+LayTable[[#This Row],[LayLiability]]</f>
        <v>#VALUE!</v>
      </c>
      <c r="AE2069" s="43"/>
      <c r="AF2069" s="181"/>
    </row>
    <row r="2070" spans="1:32">
      <c r="A2070" s="84"/>
      <c r="B2070" s="39"/>
      <c r="C2070" s="40"/>
      <c r="D2070" s="41"/>
      <c r="E2070" s="40"/>
      <c r="F2070" s="41"/>
      <c r="G2070" s="101"/>
      <c r="H2070" s="38"/>
      <c r="I2070" s="42"/>
      <c r="J2070" s="42"/>
      <c r="K2070" s="43"/>
      <c r="L2070" s="43"/>
      <c r="M2070" s="44" t="str">
        <f>IF(LayTable[[#This Row],[Sport]]="","",LayTable[[#This Row],[LayInnsats]]*(LayTable[[#This Row],[LayOdds]]-1))</f>
        <v/>
      </c>
      <c r="N2070" s="45" t="str">
        <f>IF(LayTable[[#This Row],[Sport]]="","",1/((1/LayTable[[#This Row],[BookieOdds]])+(1/((1/((1+((LayTable[[#This Row],[LayOdds]]-1)*(1+LayTable[[#This Row],[C% Lay]])))-1))+1)))-1)</f>
        <v/>
      </c>
      <c r="Q2070" s="46" t="str">
        <f>IF(LayTable[[#This Row],[Sport]]="","",LayTable[[#This Row],[BookieInnsats]]+LayTable[[#This Row],[LayLiability]])</f>
        <v/>
      </c>
      <c r="R20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0" s="47" t="str">
        <f>IF(LayTable[[#This Row],[Utfall bookie]]="","",LayTable[[#This Row],[WBABack]]+LayTable[[#This Row],[WBALay]]-LayTable[[#This Row],[Total inns]])</f>
        <v/>
      </c>
      <c r="U20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0" s="48" t="str">
        <f>IFERROR(IF(LayTable[[#This Row],[Total inns]]="","",LayTable[[#This Row],[Rback]]/LayTable[[#This Row],[Total inns]]),"")</f>
        <v/>
      </c>
      <c r="X2070" s="48" t="str">
        <f>IFERROR(IF(LayTable[[#This Row],[Total inns]]="","",LayTable[[#This Row],[Rlay]]/LayTable[[#This Row],[Total inns]]),"")</f>
        <v/>
      </c>
      <c r="Y2070" s="48" t="str">
        <f>IFERROR(LayTable[[#This Row],[Faktisk res]]/LayTable[[#This Row],[Total inns]],"")</f>
        <v/>
      </c>
      <c r="Z2070" s="47">
        <f>(LayTable[[#This Row],[BookieInnsats]]*LayTable[[#This Row],[BookieOdds]]-LayTable[[#This Row],[BookieInnsats]])*(1-LayTable[[#This Row],[C% Bookie]])</f>
        <v>0</v>
      </c>
      <c r="AA2070" s="43">
        <f>LayTable[[#This Row],[LayInnsats]]*(1-LayTable[[#This Row],[C% Lay]])</f>
        <v>0</v>
      </c>
      <c r="AB2070" s="43" t="str">
        <f>IFERROR(IF(LayTable[[#This Row],[Sport]]="",AB2069,LayTable[[#This Row],[Faktisk res]]+AB2069),"")</f>
        <v/>
      </c>
      <c r="AC2070" s="43">
        <f>(LayTable[[#This Row],[BackWin-Commission]]+LayTable[[#This Row],[BookieInnsats]])</f>
        <v>0</v>
      </c>
      <c r="AD2070" s="43" t="e">
        <f>(LayTable[[#This Row],[LayWin-Commission]])+LayTable[[#This Row],[LayLiability]]</f>
        <v>#VALUE!</v>
      </c>
      <c r="AE2070" s="43"/>
      <c r="AF2070" s="181"/>
    </row>
    <row r="2071" spans="1:32">
      <c r="A2071" s="84"/>
      <c r="B2071" s="39"/>
      <c r="C2071" s="40"/>
      <c r="D2071" s="41"/>
      <c r="E2071" s="40"/>
      <c r="F2071" s="41"/>
      <c r="G2071" s="101"/>
      <c r="H2071" s="38"/>
      <c r="I2071" s="42"/>
      <c r="J2071" s="42"/>
      <c r="K2071" s="43"/>
      <c r="L2071" s="43"/>
      <c r="M2071" s="44" t="str">
        <f>IF(LayTable[[#This Row],[Sport]]="","",LayTable[[#This Row],[LayInnsats]]*(LayTable[[#This Row],[LayOdds]]-1))</f>
        <v/>
      </c>
      <c r="N2071" s="45" t="str">
        <f>IF(LayTable[[#This Row],[Sport]]="","",1/((1/LayTable[[#This Row],[BookieOdds]])+(1/((1/((1+((LayTable[[#This Row],[LayOdds]]-1)*(1+LayTable[[#This Row],[C% Lay]])))-1))+1)))-1)</f>
        <v/>
      </c>
      <c r="Q2071" s="46" t="str">
        <f>IF(LayTable[[#This Row],[Sport]]="","",LayTable[[#This Row],[BookieInnsats]]+LayTable[[#This Row],[LayLiability]])</f>
        <v/>
      </c>
      <c r="R20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1" s="47" t="str">
        <f>IF(LayTable[[#This Row],[Utfall bookie]]="","",LayTable[[#This Row],[WBABack]]+LayTable[[#This Row],[WBALay]]-LayTable[[#This Row],[Total inns]])</f>
        <v/>
      </c>
      <c r="U20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1" s="48" t="str">
        <f>IFERROR(IF(LayTable[[#This Row],[Total inns]]="","",LayTable[[#This Row],[Rback]]/LayTable[[#This Row],[Total inns]]),"")</f>
        <v/>
      </c>
      <c r="X2071" s="48" t="str">
        <f>IFERROR(IF(LayTable[[#This Row],[Total inns]]="","",LayTable[[#This Row],[Rlay]]/LayTable[[#This Row],[Total inns]]),"")</f>
        <v/>
      </c>
      <c r="Y2071" s="48" t="str">
        <f>IFERROR(LayTable[[#This Row],[Faktisk res]]/LayTable[[#This Row],[Total inns]],"")</f>
        <v/>
      </c>
      <c r="Z2071" s="47">
        <f>(LayTable[[#This Row],[BookieInnsats]]*LayTable[[#This Row],[BookieOdds]]-LayTable[[#This Row],[BookieInnsats]])*(1-LayTable[[#This Row],[C% Bookie]])</f>
        <v>0</v>
      </c>
      <c r="AA2071" s="43">
        <f>LayTable[[#This Row],[LayInnsats]]*(1-LayTable[[#This Row],[C% Lay]])</f>
        <v>0</v>
      </c>
      <c r="AB2071" s="43" t="str">
        <f>IFERROR(IF(LayTable[[#This Row],[Sport]]="",AB2070,LayTable[[#This Row],[Faktisk res]]+AB2070),"")</f>
        <v/>
      </c>
      <c r="AC2071" s="43">
        <f>(LayTable[[#This Row],[BackWin-Commission]]+LayTable[[#This Row],[BookieInnsats]])</f>
        <v>0</v>
      </c>
      <c r="AD2071" s="43" t="e">
        <f>(LayTable[[#This Row],[LayWin-Commission]])+LayTable[[#This Row],[LayLiability]]</f>
        <v>#VALUE!</v>
      </c>
      <c r="AE2071" s="43"/>
      <c r="AF2071" s="181"/>
    </row>
    <row r="2072" spans="1:32">
      <c r="A2072" s="84"/>
      <c r="B2072" s="39"/>
      <c r="C2072" s="40"/>
      <c r="D2072" s="41"/>
      <c r="E2072" s="40"/>
      <c r="F2072" s="41"/>
      <c r="G2072" s="101"/>
      <c r="H2072" s="38"/>
      <c r="I2072" s="42"/>
      <c r="J2072" s="42"/>
      <c r="K2072" s="43"/>
      <c r="L2072" s="43"/>
      <c r="M2072" s="44" t="str">
        <f>IF(LayTable[[#This Row],[Sport]]="","",LayTable[[#This Row],[LayInnsats]]*(LayTable[[#This Row],[LayOdds]]-1))</f>
        <v/>
      </c>
      <c r="N2072" s="45" t="str">
        <f>IF(LayTable[[#This Row],[Sport]]="","",1/((1/LayTable[[#This Row],[BookieOdds]])+(1/((1/((1+((LayTable[[#This Row],[LayOdds]]-1)*(1+LayTable[[#This Row],[C% Lay]])))-1))+1)))-1)</f>
        <v/>
      </c>
      <c r="Q2072" s="46" t="str">
        <f>IF(LayTable[[#This Row],[Sport]]="","",LayTable[[#This Row],[BookieInnsats]]+LayTable[[#This Row],[LayLiability]])</f>
        <v/>
      </c>
      <c r="R20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2" s="47" t="str">
        <f>IF(LayTable[[#This Row],[Utfall bookie]]="","",LayTable[[#This Row],[WBABack]]+LayTable[[#This Row],[WBALay]]-LayTable[[#This Row],[Total inns]])</f>
        <v/>
      </c>
      <c r="U20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2" s="48" t="str">
        <f>IFERROR(IF(LayTable[[#This Row],[Total inns]]="","",LayTable[[#This Row],[Rback]]/LayTable[[#This Row],[Total inns]]),"")</f>
        <v/>
      </c>
      <c r="X2072" s="48" t="str">
        <f>IFERROR(IF(LayTable[[#This Row],[Total inns]]="","",LayTable[[#This Row],[Rlay]]/LayTable[[#This Row],[Total inns]]),"")</f>
        <v/>
      </c>
      <c r="Y2072" s="48" t="str">
        <f>IFERROR(LayTable[[#This Row],[Faktisk res]]/LayTable[[#This Row],[Total inns]],"")</f>
        <v/>
      </c>
      <c r="Z2072" s="47">
        <f>(LayTable[[#This Row],[BookieInnsats]]*LayTable[[#This Row],[BookieOdds]]-LayTable[[#This Row],[BookieInnsats]])*(1-LayTable[[#This Row],[C% Bookie]])</f>
        <v>0</v>
      </c>
      <c r="AA2072" s="43">
        <f>LayTable[[#This Row],[LayInnsats]]*(1-LayTable[[#This Row],[C% Lay]])</f>
        <v>0</v>
      </c>
      <c r="AB2072" s="43" t="str">
        <f>IFERROR(IF(LayTable[[#This Row],[Sport]]="",AB2071,LayTable[[#This Row],[Faktisk res]]+AB2071),"")</f>
        <v/>
      </c>
      <c r="AC2072" s="43">
        <f>(LayTable[[#This Row],[BackWin-Commission]]+LayTable[[#This Row],[BookieInnsats]])</f>
        <v>0</v>
      </c>
      <c r="AD2072" s="43" t="e">
        <f>(LayTable[[#This Row],[LayWin-Commission]])+LayTable[[#This Row],[LayLiability]]</f>
        <v>#VALUE!</v>
      </c>
      <c r="AE2072" s="43"/>
      <c r="AF2072" s="181"/>
    </row>
    <row r="2073" spans="1:32">
      <c r="A2073" s="84"/>
      <c r="B2073" s="39"/>
      <c r="C2073" s="40"/>
      <c r="D2073" s="41"/>
      <c r="E2073" s="40"/>
      <c r="F2073" s="41"/>
      <c r="G2073" s="101"/>
      <c r="H2073" s="38"/>
      <c r="I2073" s="42"/>
      <c r="J2073" s="42"/>
      <c r="K2073" s="43"/>
      <c r="L2073" s="43"/>
      <c r="M2073" s="44" t="str">
        <f>IF(LayTable[[#This Row],[Sport]]="","",LayTable[[#This Row],[LayInnsats]]*(LayTable[[#This Row],[LayOdds]]-1))</f>
        <v/>
      </c>
      <c r="N2073" s="45" t="str">
        <f>IF(LayTable[[#This Row],[Sport]]="","",1/((1/LayTable[[#This Row],[BookieOdds]])+(1/((1/((1+((LayTable[[#This Row],[LayOdds]]-1)*(1+LayTable[[#This Row],[C% Lay]])))-1))+1)))-1)</f>
        <v/>
      </c>
      <c r="Q2073" s="46" t="str">
        <f>IF(LayTable[[#This Row],[Sport]]="","",LayTable[[#This Row],[BookieInnsats]]+LayTable[[#This Row],[LayLiability]])</f>
        <v/>
      </c>
      <c r="R20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3" s="47" t="str">
        <f>IF(LayTable[[#This Row],[Utfall bookie]]="","",LayTable[[#This Row],[WBABack]]+LayTable[[#This Row],[WBALay]]-LayTable[[#This Row],[Total inns]])</f>
        <v/>
      </c>
      <c r="U20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3" s="48" t="str">
        <f>IFERROR(IF(LayTable[[#This Row],[Total inns]]="","",LayTable[[#This Row],[Rback]]/LayTable[[#This Row],[Total inns]]),"")</f>
        <v/>
      </c>
      <c r="X2073" s="48" t="str">
        <f>IFERROR(IF(LayTable[[#This Row],[Total inns]]="","",LayTable[[#This Row],[Rlay]]/LayTable[[#This Row],[Total inns]]),"")</f>
        <v/>
      </c>
      <c r="Y2073" s="48" t="str">
        <f>IFERROR(LayTable[[#This Row],[Faktisk res]]/LayTable[[#This Row],[Total inns]],"")</f>
        <v/>
      </c>
      <c r="Z2073" s="47">
        <f>(LayTable[[#This Row],[BookieInnsats]]*LayTable[[#This Row],[BookieOdds]]-LayTable[[#This Row],[BookieInnsats]])*(1-LayTable[[#This Row],[C% Bookie]])</f>
        <v>0</v>
      </c>
      <c r="AA2073" s="43">
        <f>LayTable[[#This Row],[LayInnsats]]*(1-LayTable[[#This Row],[C% Lay]])</f>
        <v>0</v>
      </c>
      <c r="AB2073" s="43" t="str">
        <f>IFERROR(IF(LayTable[[#This Row],[Sport]]="",AB2072,LayTable[[#This Row],[Faktisk res]]+AB2072),"")</f>
        <v/>
      </c>
      <c r="AC2073" s="43">
        <f>(LayTable[[#This Row],[BackWin-Commission]]+LayTable[[#This Row],[BookieInnsats]])</f>
        <v>0</v>
      </c>
      <c r="AD2073" s="43" t="e">
        <f>(LayTable[[#This Row],[LayWin-Commission]])+LayTable[[#This Row],[LayLiability]]</f>
        <v>#VALUE!</v>
      </c>
      <c r="AE2073" s="43"/>
      <c r="AF2073" s="181"/>
    </row>
    <row r="2074" spans="1:32">
      <c r="A2074" s="84"/>
      <c r="B2074" s="39"/>
      <c r="C2074" s="40"/>
      <c r="D2074" s="41"/>
      <c r="E2074" s="40"/>
      <c r="F2074" s="41"/>
      <c r="G2074" s="101"/>
      <c r="H2074" s="38"/>
      <c r="I2074" s="42"/>
      <c r="J2074" s="42"/>
      <c r="K2074" s="43"/>
      <c r="L2074" s="43"/>
      <c r="M2074" s="44" t="str">
        <f>IF(LayTable[[#This Row],[Sport]]="","",LayTable[[#This Row],[LayInnsats]]*(LayTable[[#This Row],[LayOdds]]-1))</f>
        <v/>
      </c>
      <c r="N2074" s="45" t="str">
        <f>IF(LayTable[[#This Row],[Sport]]="","",1/((1/LayTable[[#This Row],[BookieOdds]])+(1/((1/((1+((LayTable[[#This Row],[LayOdds]]-1)*(1+LayTable[[#This Row],[C% Lay]])))-1))+1)))-1)</f>
        <v/>
      </c>
      <c r="Q2074" s="46" t="str">
        <f>IF(LayTable[[#This Row],[Sport]]="","",LayTable[[#This Row],[BookieInnsats]]+LayTable[[#This Row],[LayLiability]])</f>
        <v/>
      </c>
      <c r="R20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4" s="47" t="str">
        <f>IF(LayTable[[#This Row],[Utfall bookie]]="","",LayTable[[#This Row],[WBABack]]+LayTable[[#This Row],[WBALay]]-LayTable[[#This Row],[Total inns]])</f>
        <v/>
      </c>
      <c r="U20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4" s="48" t="str">
        <f>IFERROR(IF(LayTable[[#This Row],[Total inns]]="","",LayTable[[#This Row],[Rback]]/LayTable[[#This Row],[Total inns]]),"")</f>
        <v/>
      </c>
      <c r="X2074" s="48" t="str">
        <f>IFERROR(IF(LayTable[[#This Row],[Total inns]]="","",LayTable[[#This Row],[Rlay]]/LayTable[[#This Row],[Total inns]]),"")</f>
        <v/>
      </c>
      <c r="Y2074" s="48" t="str">
        <f>IFERROR(LayTable[[#This Row],[Faktisk res]]/LayTable[[#This Row],[Total inns]],"")</f>
        <v/>
      </c>
      <c r="Z2074" s="47">
        <f>(LayTable[[#This Row],[BookieInnsats]]*LayTable[[#This Row],[BookieOdds]]-LayTable[[#This Row],[BookieInnsats]])*(1-LayTable[[#This Row],[C% Bookie]])</f>
        <v>0</v>
      </c>
      <c r="AA2074" s="43">
        <f>LayTable[[#This Row],[LayInnsats]]*(1-LayTable[[#This Row],[C% Lay]])</f>
        <v>0</v>
      </c>
      <c r="AB2074" s="43" t="str">
        <f>IFERROR(IF(LayTable[[#This Row],[Sport]]="",AB2073,LayTable[[#This Row],[Faktisk res]]+AB2073),"")</f>
        <v/>
      </c>
      <c r="AC2074" s="43">
        <f>(LayTable[[#This Row],[BackWin-Commission]]+LayTable[[#This Row],[BookieInnsats]])</f>
        <v>0</v>
      </c>
      <c r="AD2074" s="43" t="e">
        <f>(LayTable[[#This Row],[LayWin-Commission]])+LayTable[[#This Row],[LayLiability]]</f>
        <v>#VALUE!</v>
      </c>
      <c r="AE2074" s="43"/>
      <c r="AF2074" s="181"/>
    </row>
    <row r="2075" spans="1:32">
      <c r="A2075" s="84"/>
      <c r="B2075" s="39"/>
      <c r="C2075" s="40"/>
      <c r="D2075" s="41"/>
      <c r="E2075" s="40"/>
      <c r="F2075" s="41"/>
      <c r="G2075" s="101"/>
      <c r="H2075" s="38"/>
      <c r="I2075" s="42"/>
      <c r="J2075" s="42"/>
      <c r="K2075" s="43"/>
      <c r="L2075" s="43"/>
      <c r="M2075" s="44" t="str">
        <f>IF(LayTable[[#This Row],[Sport]]="","",LayTable[[#This Row],[LayInnsats]]*(LayTable[[#This Row],[LayOdds]]-1))</f>
        <v/>
      </c>
      <c r="N2075" s="45" t="str">
        <f>IF(LayTable[[#This Row],[Sport]]="","",1/((1/LayTable[[#This Row],[BookieOdds]])+(1/((1/((1+((LayTable[[#This Row],[LayOdds]]-1)*(1+LayTable[[#This Row],[C% Lay]])))-1))+1)))-1)</f>
        <v/>
      </c>
      <c r="Q2075" s="46" t="str">
        <f>IF(LayTable[[#This Row],[Sport]]="","",LayTable[[#This Row],[BookieInnsats]]+LayTable[[#This Row],[LayLiability]])</f>
        <v/>
      </c>
      <c r="R20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5" s="47" t="str">
        <f>IF(LayTable[[#This Row],[Utfall bookie]]="","",LayTable[[#This Row],[WBABack]]+LayTable[[#This Row],[WBALay]]-LayTable[[#This Row],[Total inns]])</f>
        <v/>
      </c>
      <c r="U20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5" s="48" t="str">
        <f>IFERROR(IF(LayTable[[#This Row],[Total inns]]="","",LayTable[[#This Row],[Rback]]/LayTable[[#This Row],[Total inns]]),"")</f>
        <v/>
      </c>
      <c r="X2075" s="48" t="str">
        <f>IFERROR(IF(LayTable[[#This Row],[Total inns]]="","",LayTable[[#This Row],[Rlay]]/LayTable[[#This Row],[Total inns]]),"")</f>
        <v/>
      </c>
      <c r="Y2075" s="48" t="str">
        <f>IFERROR(LayTable[[#This Row],[Faktisk res]]/LayTable[[#This Row],[Total inns]],"")</f>
        <v/>
      </c>
      <c r="Z2075" s="47">
        <f>(LayTable[[#This Row],[BookieInnsats]]*LayTable[[#This Row],[BookieOdds]]-LayTable[[#This Row],[BookieInnsats]])*(1-LayTable[[#This Row],[C% Bookie]])</f>
        <v>0</v>
      </c>
      <c r="AA2075" s="43">
        <f>LayTable[[#This Row],[LayInnsats]]*(1-LayTable[[#This Row],[C% Lay]])</f>
        <v>0</v>
      </c>
      <c r="AB2075" s="43" t="str">
        <f>IFERROR(IF(LayTable[[#This Row],[Sport]]="",AB2074,LayTable[[#This Row],[Faktisk res]]+AB2074),"")</f>
        <v/>
      </c>
      <c r="AC2075" s="43">
        <f>(LayTable[[#This Row],[BackWin-Commission]]+LayTable[[#This Row],[BookieInnsats]])</f>
        <v>0</v>
      </c>
      <c r="AD2075" s="43" t="e">
        <f>(LayTable[[#This Row],[LayWin-Commission]])+LayTable[[#This Row],[LayLiability]]</f>
        <v>#VALUE!</v>
      </c>
      <c r="AE2075" s="43"/>
      <c r="AF2075" s="181"/>
    </row>
    <row r="2076" spans="1:32">
      <c r="A2076" s="84"/>
      <c r="B2076" s="39"/>
      <c r="C2076" s="40"/>
      <c r="D2076" s="41"/>
      <c r="E2076" s="40"/>
      <c r="F2076" s="41"/>
      <c r="G2076" s="101"/>
      <c r="H2076" s="38"/>
      <c r="I2076" s="42"/>
      <c r="J2076" s="42"/>
      <c r="K2076" s="43"/>
      <c r="L2076" s="43"/>
      <c r="M2076" s="44" t="str">
        <f>IF(LayTable[[#This Row],[Sport]]="","",LayTable[[#This Row],[LayInnsats]]*(LayTable[[#This Row],[LayOdds]]-1))</f>
        <v/>
      </c>
      <c r="N2076" s="45" t="str">
        <f>IF(LayTable[[#This Row],[Sport]]="","",1/((1/LayTable[[#This Row],[BookieOdds]])+(1/((1/((1+((LayTable[[#This Row],[LayOdds]]-1)*(1+LayTable[[#This Row],[C% Lay]])))-1))+1)))-1)</f>
        <v/>
      </c>
      <c r="Q2076" s="46" t="str">
        <f>IF(LayTable[[#This Row],[Sport]]="","",LayTable[[#This Row],[BookieInnsats]]+LayTable[[#This Row],[LayLiability]])</f>
        <v/>
      </c>
      <c r="R20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6" s="47" t="str">
        <f>IF(LayTable[[#This Row],[Utfall bookie]]="","",LayTable[[#This Row],[WBABack]]+LayTable[[#This Row],[WBALay]]-LayTable[[#This Row],[Total inns]])</f>
        <v/>
      </c>
      <c r="U20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6" s="48" t="str">
        <f>IFERROR(IF(LayTable[[#This Row],[Total inns]]="","",LayTable[[#This Row],[Rback]]/LayTable[[#This Row],[Total inns]]),"")</f>
        <v/>
      </c>
      <c r="X2076" s="48" t="str">
        <f>IFERROR(IF(LayTable[[#This Row],[Total inns]]="","",LayTable[[#This Row],[Rlay]]/LayTable[[#This Row],[Total inns]]),"")</f>
        <v/>
      </c>
      <c r="Y2076" s="48" t="str">
        <f>IFERROR(LayTable[[#This Row],[Faktisk res]]/LayTable[[#This Row],[Total inns]],"")</f>
        <v/>
      </c>
      <c r="Z2076" s="47">
        <f>(LayTable[[#This Row],[BookieInnsats]]*LayTable[[#This Row],[BookieOdds]]-LayTable[[#This Row],[BookieInnsats]])*(1-LayTable[[#This Row],[C% Bookie]])</f>
        <v>0</v>
      </c>
      <c r="AA2076" s="43">
        <f>LayTable[[#This Row],[LayInnsats]]*(1-LayTable[[#This Row],[C% Lay]])</f>
        <v>0</v>
      </c>
      <c r="AB2076" s="43" t="str">
        <f>IFERROR(IF(LayTable[[#This Row],[Sport]]="",AB2075,LayTable[[#This Row],[Faktisk res]]+AB2075),"")</f>
        <v/>
      </c>
      <c r="AC2076" s="43">
        <f>(LayTable[[#This Row],[BackWin-Commission]]+LayTable[[#This Row],[BookieInnsats]])</f>
        <v>0</v>
      </c>
      <c r="AD2076" s="43" t="e">
        <f>(LayTable[[#This Row],[LayWin-Commission]])+LayTable[[#This Row],[LayLiability]]</f>
        <v>#VALUE!</v>
      </c>
      <c r="AE2076" s="43"/>
      <c r="AF2076" s="181"/>
    </row>
    <row r="2077" spans="1:32">
      <c r="A2077" s="84"/>
      <c r="B2077" s="39"/>
      <c r="C2077" s="40"/>
      <c r="D2077" s="41"/>
      <c r="E2077" s="40"/>
      <c r="F2077" s="41"/>
      <c r="G2077" s="101"/>
      <c r="H2077" s="38"/>
      <c r="I2077" s="42"/>
      <c r="J2077" s="42"/>
      <c r="K2077" s="43"/>
      <c r="L2077" s="43"/>
      <c r="M2077" s="44" t="str">
        <f>IF(LayTable[[#This Row],[Sport]]="","",LayTable[[#This Row],[LayInnsats]]*(LayTable[[#This Row],[LayOdds]]-1))</f>
        <v/>
      </c>
      <c r="N2077" s="45" t="str">
        <f>IF(LayTable[[#This Row],[Sport]]="","",1/((1/LayTable[[#This Row],[BookieOdds]])+(1/((1/((1+((LayTable[[#This Row],[LayOdds]]-1)*(1+LayTable[[#This Row],[C% Lay]])))-1))+1)))-1)</f>
        <v/>
      </c>
      <c r="Q2077" s="46" t="str">
        <f>IF(LayTable[[#This Row],[Sport]]="","",LayTable[[#This Row],[BookieInnsats]]+LayTable[[#This Row],[LayLiability]])</f>
        <v/>
      </c>
      <c r="R20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7" s="47" t="str">
        <f>IF(LayTable[[#This Row],[Utfall bookie]]="","",LayTable[[#This Row],[WBABack]]+LayTable[[#This Row],[WBALay]]-LayTable[[#This Row],[Total inns]])</f>
        <v/>
      </c>
      <c r="U20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7" s="48" t="str">
        <f>IFERROR(IF(LayTable[[#This Row],[Total inns]]="","",LayTable[[#This Row],[Rback]]/LayTable[[#This Row],[Total inns]]),"")</f>
        <v/>
      </c>
      <c r="X2077" s="48" t="str">
        <f>IFERROR(IF(LayTable[[#This Row],[Total inns]]="","",LayTable[[#This Row],[Rlay]]/LayTable[[#This Row],[Total inns]]),"")</f>
        <v/>
      </c>
      <c r="Y2077" s="48" t="str">
        <f>IFERROR(LayTable[[#This Row],[Faktisk res]]/LayTable[[#This Row],[Total inns]],"")</f>
        <v/>
      </c>
      <c r="Z2077" s="47">
        <f>(LayTable[[#This Row],[BookieInnsats]]*LayTable[[#This Row],[BookieOdds]]-LayTable[[#This Row],[BookieInnsats]])*(1-LayTable[[#This Row],[C% Bookie]])</f>
        <v>0</v>
      </c>
      <c r="AA2077" s="43">
        <f>LayTable[[#This Row],[LayInnsats]]*(1-LayTable[[#This Row],[C% Lay]])</f>
        <v>0</v>
      </c>
      <c r="AB2077" s="43" t="str">
        <f>IFERROR(IF(LayTable[[#This Row],[Sport]]="",AB2076,LayTable[[#This Row],[Faktisk res]]+AB2076),"")</f>
        <v/>
      </c>
      <c r="AC2077" s="43">
        <f>(LayTable[[#This Row],[BackWin-Commission]]+LayTable[[#This Row],[BookieInnsats]])</f>
        <v>0</v>
      </c>
      <c r="AD2077" s="43" t="e">
        <f>(LayTable[[#This Row],[LayWin-Commission]])+LayTable[[#This Row],[LayLiability]]</f>
        <v>#VALUE!</v>
      </c>
      <c r="AE2077" s="43"/>
      <c r="AF2077" s="181"/>
    </row>
    <row r="2078" spans="1:32">
      <c r="A2078" s="84"/>
      <c r="B2078" s="39"/>
      <c r="C2078" s="40"/>
      <c r="D2078" s="41"/>
      <c r="E2078" s="40"/>
      <c r="F2078" s="41"/>
      <c r="G2078" s="101"/>
      <c r="H2078" s="38"/>
      <c r="I2078" s="42"/>
      <c r="J2078" s="42"/>
      <c r="K2078" s="43"/>
      <c r="L2078" s="43"/>
      <c r="M2078" s="44" t="str">
        <f>IF(LayTable[[#This Row],[Sport]]="","",LayTable[[#This Row],[LayInnsats]]*(LayTable[[#This Row],[LayOdds]]-1))</f>
        <v/>
      </c>
      <c r="N2078" s="45" t="str">
        <f>IF(LayTable[[#This Row],[Sport]]="","",1/((1/LayTable[[#This Row],[BookieOdds]])+(1/((1/((1+((LayTable[[#This Row],[LayOdds]]-1)*(1+LayTable[[#This Row],[C% Lay]])))-1))+1)))-1)</f>
        <v/>
      </c>
      <c r="Q2078" s="46" t="str">
        <f>IF(LayTable[[#This Row],[Sport]]="","",LayTable[[#This Row],[BookieInnsats]]+LayTable[[#This Row],[LayLiability]])</f>
        <v/>
      </c>
      <c r="R20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8" s="47" t="str">
        <f>IF(LayTable[[#This Row],[Utfall bookie]]="","",LayTable[[#This Row],[WBABack]]+LayTable[[#This Row],[WBALay]]-LayTable[[#This Row],[Total inns]])</f>
        <v/>
      </c>
      <c r="U20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8" s="48" t="str">
        <f>IFERROR(IF(LayTable[[#This Row],[Total inns]]="","",LayTable[[#This Row],[Rback]]/LayTable[[#This Row],[Total inns]]),"")</f>
        <v/>
      </c>
      <c r="X2078" s="48" t="str">
        <f>IFERROR(IF(LayTable[[#This Row],[Total inns]]="","",LayTable[[#This Row],[Rlay]]/LayTable[[#This Row],[Total inns]]),"")</f>
        <v/>
      </c>
      <c r="Y2078" s="48" t="str">
        <f>IFERROR(LayTable[[#This Row],[Faktisk res]]/LayTable[[#This Row],[Total inns]],"")</f>
        <v/>
      </c>
      <c r="Z2078" s="47">
        <f>(LayTable[[#This Row],[BookieInnsats]]*LayTable[[#This Row],[BookieOdds]]-LayTable[[#This Row],[BookieInnsats]])*(1-LayTable[[#This Row],[C% Bookie]])</f>
        <v>0</v>
      </c>
      <c r="AA2078" s="43">
        <f>LayTable[[#This Row],[LayInnsats]]*(1-LayTable[[#This Row],[C% Lay]])</f>
        <v>0</v>
      </c>
      <c r="AB2078" s="43" t="str">
        <f>IFERROR(IF(LayTable[[#This Row],[Sport]]="",AB2077,LayTable[[#This Row],[Faktisk res]]+AB2077),"")</f>
        <v/>
      </c>
      <c r="AC2078" s="43">
        <f>(LayTable[[#This Row],[BackWin-Commission]]+LayTable[[#This Row],[BookieInnsats]])</f>
        <v>0</v>
      </c>
      <c r="AD2078" s="43" t="e">
        <f>(LayTable[[#This Row],[LayWin-Commission]])+LayTable[[#This Row],[LayLiability]]</f>
        <v>#VALUE!</v>
      </c>
      <c r="AE2078" s="43"/>
      <c r="AF2078" s="181"/>
    </row>
    <row r="2079" spans="1:32">
      <c r="A2079" s="84"/>
      <c r="B2079" s="39"/>
      <c r="C2079" s="40"/>
      <c r="D2079" s="41"/>
      <c r="E2079" s="40"/>
      <c r="F2079" s="41"/>
      <c r="G2079" s="101"/>
      <c r="H2079" s="38"/>
      <c r="I2079" s="42"/>
      <c r="J2079" s="42"/>
      <c r="K2079" s="43"/>
      <c r="L2079" s="43"/>
      <c r="M2079" s="44" t="str">
        <f>IF(LayTable[[#This Row],[Sport]]="","",LayTable[[#This Row],[LayInnsats]]*(LayTable[[#This Row],[LayOdds]]-1))</f>
        <v/>
      </c>
      <c r="N2079" s="45" t="str">
        <f>IF(LayTable[[#This Row],[Sport]]="","",1/((1/LayTable[[#This Row],[BookieOdds]])+(1/((1/((1+((LayTable[[#This Row],[LayOdds]]-1)*(1+LayTable[[#This Row],[C% Lay]])))-1))+1)))-1)</f>
        <v/>
      </c>
      <c r="Q2079" s="46" t="str">
        <f>IF(LayTable[[#This Row],[Sport]]="","",LayTable[[#This Row],[BookieInnsats]]+LayTable[[#This Row],[LayLiability]])</f>
        <v/>
      </c>
      <c r="R20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79" s="47" t="str">
        <f>IF(LayTable[[#This Row],[Utfall bookie]]="","",LayTable[[#This Row],[WBABack]]+LayTable[[#This Row],[WBALay]]-LayTable[[#This Row],[Total inns]])</f>
        <v/>
      </c>
      <c r="U20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79" s="48" t="str">
        <f>IFERROR(IF(LayTable[[#This Row],[Total inns]]="","",LayTable[[#This Row],[Rback]]/LayTable[[#This Row],[Total inns]]),"")</f>
        <v/>
      </c>
      <c r="X2079" s="48" t="str">
        <f>IFERROR(IF(LayTable[[#This Row],[Total inns]]="","",LayTable[[#This Row],[Rlay]]/LayTable[[#This Row],[Total inns]]),"")</f>
        <v/>
      </c>
      <c r="Y2079" s="48" t="str">
        <f>IFERROR(LayTable[[#This Row],[Faktisk res]]/LayTable[[#This Row],[Total inns]],"")</f>
        <v/>
      </c>
      <c r="Z2079" s="47">
        <f>(LayTable[[#This Row],[BookieInnsats]]*LayTable[[#This Row],[BookieOdds]]-LayTable[[#This Row],[BookieInnsats]])*(1-LayTable[[#This Row],[C% Bookie]])</f>
        <v>0</v>
      </c>
      <c r="AA2079" s="43">
        <f>LayTable[[#This Row],[LayInnsats]]*(1-LayTable[[#This Row],[C% Lay]])</f>
        <v>0</v>
      </c>
      <c r="AB2079" s="43" t="str">
        <f>IFERROR(IF(LayTable[[#This Row],[Sport]]="",AB2078,LayTable[[#This Row],[Faktisk res]]+AB2078),"")</f>
        <v/>
      </c>
      <c r="AC2079" s="43">
        <f>(LayTable[[#This Row],[BackWin-Commission]]+LayTable[[#This Row],[BookieInnsats]])</f>
        <v>0</v>
      </c>
      <c r="AD2079" s="43" t="e">
        <f>(LayTable[[#This Row],[LayWin-Commission]])+LayTable[[#This Row],[LayLiability]]</f>
        <v>#VALUE!</v>
      </c>
      <c r="AE2079" s="43"/>
      <c r="AF2079" s="181"/>
    </row>
    <row r="2080" spans="1:32">
      <c r="A2080" s="84"/>
      <c r="B2080" s="39"/>
      <c r="C2080" s="40"/>
      <c r="D2080" s="41"/>
      <c r="E2080" s="40"/>
      <c r="F2080" s="41"/>
      <c r="G2080" s="101"/>
      <c r="H2080" s="38"/>
      <c r="I2080" s="42"/>
      <c r="J2080" s="42"/>
      <c r="K2080" s="43"/>
      <c r="L2080" s="43"/>
      <c r="M2080" s="44" t="str">
        <f>IF(LayTable[[#This Row],[Sport]]="","",LayTable[[#This Row],[LayInnsats]]*(LayTable[[#This Row],[LayOdds]]-1))</f>
        <v/>
      </c>
      <c r="N2080" s="45" t="str">
        <f>IF(LayTable[[#This Row],[Sport]]="","",1/((1/LayTable[[#This Row],[BookieOdds]])+(1/((1/((1+((LayTable[[#This Row],[LayOdds]]-1)*(1+LayTable[[#This Row],[C% Lay]])))-1))+1)))-1)</f>
        <v/>
      </c>
      <c r="Q2080" s="46" t="str">
        <f>IF(LayTable[[#This Row],[Sport]]="","",LayTable[[#This Row],[BookieInnsats]]+LayTable[[#This Row],[LayLiability]])</f>
        <v/>
      </c>
      <c r="R20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0" s="47" t="str">
        <f>IF(LayTable[[#This Row],[Utfall bookie]]="","",LayTable[[#This Row],[WBABack]]+LayTable[[#This Row],[WBALay]]-LayTable[[#This Row],[Total inns]])</f>
        <v/>
      </c>
      <c r="U20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0" s="48" t="str">
        <f>IFERROR(IF(LayTable[[#This Row],[Total inns]]="","",LayTable[[#This Row],[Rback]]/LayTable[[#This Row],[Total inns]]),"")</f>
        <v/>
      </c>
      <c r="X2080" s="48" t="str">
        <f>IFERROR(IF(LayTable[[#This Row],[Total inns]]="","",LayTable[[#This Row],[Rlay]]/LayTable[[#This Row],[Total inns]]),"")</f>
        <v/>
      </c>
      <c r="Y2080" s="48" t="str">
        <f>IFERROR(LayTable[[#This Row],[Faktisk res]]/LayTable[[#This Row],[Total inns]],"")</f>
        <v/>
      </c>
      <c r="Z2080" s="47">
        <f>(LayTable[[#This Row],[BookieInnsats]]*LayTable[[#This Row],[BookieOdds]]-LayTable[[#This Row],[BookieInnsats]])*(1-LayTable[[#This Row],[C% Bookie]])</f>
        <v>0</v>
      </c>
      <c r="AA2080" s="43">
        <f>LayTable[[#This Row],[LayInnsats]]*(1-LayTable[[#This Row],[C% Lay]])</f>
        <v>0</v>
      </c>
      <c r="AB2080" s="43" t="str">
        <f>IFERROR(IF(LayTable[[#This Row],[Sport]]="",AB2079,LayTable[[#This Row],[Faktisk res]]+AB2079),"")</f>
        <v/>
      </c>
      <c r="AC2080" s="43">
        <f>(LayTable[[#This Row],[BackWin-Commission]]+LayTable[[#This Row],[BookieInnsats]])</f>
        <v>0</v>
      </c>
      <c r="AD2080" s="43" t="e">
        <f>(LayTable[[#This Row],[LayWin-Commission]])+LayTable[[#This Row],[LayLiability]]</f>
        <v>#VALUE!</v>
      </c>
      <c r="AE2080" s="43"/>
      <c r="AF2080" s="181"/>
    </row>
    <row r="2081" spans="1:32">
      <c r="A2081" s="84"/>
      <c r="B2081" s="39"/>
      <c r="C2081" s="40"/>
      <c r="D2081" s="41"/>
      <c r="E2081" s="40"/>
      <c r="F2081" s="41"/>
      <c r="G2081" s="101"/>
      <c r="H2081" s="38"/>
      <c r="I2081" s="42"/>
      <c r="J2081" s="42"/>
      <c r="K2081" s="43"/>
      <c r="L2081" s="43"/>
      <c r="M2081" s="44" t="str">
        <f>IF(LayTable[[#This Row],[Sport]]="","",LayTable[[#This Row],[LayInnsats]]*(LayTable[[#This Row],[LayOdds]]-1))</f>
        <v/>
      </c>
      <c r="N2081" s="45" t="str">
        <f>IF(LayTable[[#This Row],[Sport]]="","",1/((1/LayTable[[#This Row],[BookieOdds]])+(1/((1/((1+((LayTable[[#This Row],[LayOdds]]-1)*(1+LayTable[[#This Row],[C% Lay]])))-1))+1)))-1)</f>
        <v/>
      </c>
      <c r="Q2081" s="46" t="str">
        <f>IF(LayTable[[#This Row],[Sport]]="","",LayTable[[#This Row],[BookieInnsats]]+LayTable[[#This Row],[LayLiability]])</f>
        <v/>
      </c>
      <c r="R20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1" s="47" t="str">
        <f>IF(LayTable[[#This Row],[Utfall bookie]]="","",LayTable[[#This Row],[WBABack]]+LayTable[[#This Row],[WBALay]]-LayTable[[#This Row],[Total inns]])</f>
        <v/>
      </c>
      <c r="U20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1" s="48" t="str">
        <f>IFERROR(IF(LayTable[[#This Row],[Total inns]]="","",LayTable[[#This Row],[Rback]]/LayTable[[#This Row],[Total inns]]),"")</f>
        <v/>
      </c>
      <c r="X2081" s="48" t="str">
        <f>IFERROR(IF(LayTable[[#This Row],[Total inns]]="","",LayTable[[#This Row],[Rlay]]/LayTable[[#This Row],[Total inns]]),"")</f>
        <v/>
      </c>
      <c r="Y2081" s="48" t="str">
        <f>IFERROR(LayTable[[#This Row],[Faktisk res]]/LayTable[[#This Row],[Total inns]],"")</f>
        <v/>
      </c>
      <c r="Z2081" s="47">
        <f>(LayTable[[#This Row],[BookieInnsats]]*LayTable[[#This Row],[BookieOdds]]-LayTable[[#This Row],[BookieInnsats]])*(1-LayTable[[#This Row],[C% Bookie]])</f>
        <v>0</v>
      </c>
      <c r="AA2081" s="43">
        <f>LayTable[[#This Row],[LayInnsats]]*(1-LayTable[[#This Row],[C% Lay]])</f>
        <v>0</v>
      </c>
      <c r="AB2081" s="43" t="str">
        <f>IFERROR(IF(LayTable[[#This Row],[Sport]]="",AB2080,LayTable[[#This Row],[Faktisk res]]+AB2080),"")</f>
        <v/>
      </c>
      <c r="AC2081" s="43">
        <f>(LayTable[[#This Row],[BackWin-Commission]]+LayTable[[#This Row],[BookieInnsats]])</f>
        <v>0</v>
      </c>
      <c r="AD2081" s="43" t="e">
        <f>(LayTable[[#This Row],[LayWin-Commission]])+LayTable[[#This Row],[LayLiability]]</f>
        <v>#VALUE!</v>
      </c>
      <c r="AE2081" s="43"/>
      <c r="AF2081" s="181"/>
    </row>
    <row r="2082" spans="1:32">
      <c r="A2082" s="84"/>
      <c r="B2082" s="39"/>
      <c r="C2082" s="40"/>
      <c r="D2082" s="41"/>
      <c r="E2082" s="40"/>
      <c r="F2082" s="41"/>
      <c r="G2082" s="101"/>
      <c r="H2082" s="38"/>
      <c r="I2082" s="42"/>
      <c r="J2082" s="42"/>
      <c r="K2082" s="43"/>
      <c r="L2082" s="43"/>
      <c r="M2082" s="44" t="str">
        <f>IF(LayTable[[#This Row],[Sport]]="","",LayTable[[#This Row],[LayInnsats]]*(LayTable[[#This Row],[LayOdds]]-1))</f>
        <v/>
      </c>
      <c r="N2082" s="45" t="str">
        <f>IF(LayTable[[#This Row],[Sport]]="","",1/((1/LayTable[[#This Row],[BookieOdds]])+(1/((1/((1+((LayTable[[#This Row],[LayOdds]]-1)*(1+LayTable[[#This Row],[C% Lay]])))-1))+1)))-1)</f>
        <v/>
      </c>
      <c r="Q2082" s="46" t="str">
        <f>IF(LayTable[[#This Row],[Sport]]="","",LayTable[[#This Row],[BookieInnsats]]+LayTable[[#This Row],[LayLiability]])</f>
        <v/>
      </c>
      <c r="R20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2" s="47" t="str">
        <f>IF(LayTable[[#This Row],[Utfall bookie]]="","",LayTable[[#This Row],[WBABack]]+LayTable[[#This Row],[WBALay]]-LayTable[[#This Row],[Total inns]])</f>
        <v/>
      </c>
      <c r="U20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2" s="48" t="str">
        <f>IFERROR(IF(LayTable[[#This Row],[Total inns]]="","",LayTable[[#This Row],[Rback]]/LayTable[[#This Row],[Total inns]]),"")</f>
        <v/>
      </c>
      <c r="X2082" s="48" t="str">
        <f>IFERROR(IF(LayTable[[#This Row],[Total inns]]="","",LayTable[[#This Row],[Rlay]]/LayTable[[#This Row],[Total inns]]),"")</f>
        <v/>
      </c>
      <c r="Y2082" s="48" t="str">
        <f>IFERROR(LayTable[[#This Row],[Faktisk res]]/LayTable[[#This Row],[Total inns]],"")</f>
        <v/>
      </c>
      <c r="Z2082" s="47">
        <f>(LayTable[[#This Row],[BookieInnsats]]*LayTable[[#This Row],[BookieOdds]]-LayTable[[#This Row],[BookieInnsats]])*(1-LayTable[[#This Row],[C% Bookie]])</f>
        <v>0</v>
      </c>
      <c r="AA2082" s="43">
        <f>LayTable[[#This Row],[LayInnsats]]*(1-LayTable[[#This Row],[C% Lay]])</f>
        <v>0</v>
      </c>
      <c r="AB2082" s="43" t="str">
        <f>IFERROR(IF(LayTable[[#This Row],[Sport]]="",AB2081,LayTable[[#This Row],[Faktisk res]]+AB2081),"")</f>
        <v/>
      </c>
      <c r="AC2082" s="43">
        <f>(LayTable[[#This Row],[BackWin-Commission]]+LayTable[[#This Row],[BookieInnsats]])</f>
        <v>0</v>
      </c>
      <c r="AD2082" s="43" t="e">
        <f>(LayTable[[#This Row],[LayWin-Commission]])+LayTable[[#This Row],[LayLiability]]</f>
        <v>#VALUE!</v>
      </c>
      <c r="AE2082" s="43"/>
      <c r="AF2082" s="181"/>
    </row>
    <row r="2083" spans="1:32">
      <c r="A2083" s="84"/>
      <c r="B2083" s="39"/>
      <c r="C2083" s="40"/>
      <c r="D2083" s="41"/>
      <c r="E2083" s="40"/>
      <c r="F2083" s="41"/>
      <c r="G2083" s="101"/>
      <c r="H2083" s="38"/>
      <c r="I2083" s="42"/>
      <c r="J2083" s="42"/>
      <c r="K2083" s="43"/>
      <c r="L2083" s="43"/>
      <c r="M2083" s="44" t="str">
        <f>IF(LayTable[[#This Row],[Sport]]="","",LayTable[[#This Row],[LayInnsats]]*(LayTable[[#This Row],[LayOdds]]-1))</f>
        <v/>
      </c>
      <c r="N2083" s="45" t="str">
        <f>IF(LayTable[[#This Row],[Sport]]="","",1/((1/LayTable[[#This Row],[BookieOdds]])+(1/((1/((1+((LayTable[[#This Row],[LayOdds]]-1)*(1+LayTable[[#This Row],[C% Lay]])))-1))+1)))-1)</f>
        <v/>
      </c>
      <c r="Q2083" s="46" t="str">
        <f>IF(LayTable[[#This Row],[Sport]]="","",LayTable[[#This Row],[BookieInnsats]]+LayTable[[#This Row],[LayLiability]])</f>
        <v/>
      </c>
      <c r="R20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3" s="47" t="str">
        <f>IF(LayTable[[#This Row],[Utfall bookie]]="","",LayTable[[#This Row],[WBABack]]+LayTable[[#This Row],[WBALay]]-LayTable[[#This Row],[Total inns]])</f>
        <v/>
      </c>
      <c r="U20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3" s="48" t="str">
        <f>IFERROR(IF(LayTable[[#This Row],[Total inns]]="","",LayTable[[#This Row],[Rback]]/LayTable[[#This Row],[Total inns]]),"")</f>
        <v/>
      </c>
      <c r="X2083" s="48" t="str">
        <f>IFERROR(IF(LayTable[[#This Row],[Total inns]]="","",LayTable[[#This Row],[Rlay]]/LayTable[[#This Row],[Total inns]]),"")</f>
        <v/>
      </c>
      <c r="Y2083" s="48" t="str">
        <f>IFERROR(LayTable[[#This Row],[Faktisk res]]/LayTable[[#This Row],[Total inns]],"")</f>
        <v/>
      </c>
      <c r="Z2083" s="47">
        <f>(LayTable[[#This Row],[BookieInnsats]]*LayTable[[#This Row],[BookieOdds]]-LayTable[[#This Row],[BookieInnsats]])*(1-LayTable[[#This Row],[C% Bookie]])</f>
        <v>0</v>
      </c>
      <c r="AA2083" s="43">
        <f>LayTable[[#This Row],[LayInnsats]]*(1-LayTable[[#This Row],[C% Lay]])</f>
        <v>0</v>
      </c>
      <c r="AB2083" s="43" t="str">
        <f>IFERROR(IF(LayTable[[#This Row],[Sport]]="",AB2082,LayTable[[#This Row],[Faktisk res]]+AB2082),"")</f>
        <v/>
      </c>
      <c r="AC2083" s="43">
        <f>(LayTable[[#This Row],[BackWin-Commission]]+LayTable[[#This Row],[BookieInnsats]])</f>
        <v>0</v>
      </c>
      <c r="AD2083" s="43" t="e">
        <f>(LayTable[[#This Row],[LayWin-Commission]])+LayTable[[#This Row],[LayLiability]]</f>
        <v>#VALUE!</v>
      </c>
      <c r="AE2083" s="43"/>
      <c r="AF2083" s="181"/>
    </row>
    <row r="2084" spans="1:32">
      <c r="A2084" s="84"/>
      <c r="B2084" s="39"/>
      <c r="C2084" s="40"/>
      <c r="D2084" s="41"/>
      <c r="E2084" s="40"/>
      <c r="F2084" s="41"/>
      <c r="G2084" s="101"/>
      <c r="H2084" s="38"/>
      <c r="I2084" s="42"/>
      <c r="J2084" s="42"/>
      <c r="K2084" s="43"/>
      <c r="L2084" s="43"/>
      <c r="M2084" s="44" t="str">
        <f>IF(LayTable[[#This Row],[Sport]]="","",LayTable[[#This Row],[LayInnsats]]*(LayTable[[#This Row],[LayOdds]]-1))</f>
        <v/>
      </c>
      <c r="N2084" s="45" t="str">
        <f>IF(LayTable[[#This Row],[Sport]]="","",1/((1/LayTable[[#This Row],[BookieOdds]])+(1/((1/((1+((LayTable[[#This Row],[LayOdds]]-1)*(1+LayTable[[#This Row],[C% Lay]])))-1))+1)))-1)</f>
        <v/>
      </c>
      <c r="Q2084" s="46" t="str">
        <f>IF(LayTable[[#This Row],[Sport]]="","",LayTable[[#This Row],[BookieInnsats]]+LayTable[[#This Row],[LayLiability]])</f>
        <v/>
      </c>
      <c r="R20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4" s="47" t="str">
        <f>IF(LayTable[[#This Row],[Utfall bookie]]="","",LayTable[[#This Row],[WBABack]]+LayTable[[#This Row],[WBALay]]-LayTable[[#This Row],[Total inns]])</f>
        <v/>
      </c>
      <c r="U20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4" s="48" t="str">
        <f>IFERROR(IF(LayTable[[#This Row],[Total inns]]="","",LayTable[[#This Row],[Rback]]/LayTable[[#This Row],[Total inns]]),"")</f>
        <v/>
      </c>
      <c r="X2084" s="48" t="str">
        <f>IFERROR(IF(LayTable[[#This Row],[Total inns]]="","",LayTable[[#This Row],[Rlay]]/LayTable[[#This Row],[Total inns]]),"")</f>
        <v/>
      </c>
      <c r="Y2084" s="48" t="str">
        <f>IFERROR(LayTable[[#This Row],[Faktisk res]]/LayTable[[#This Row],[Total inns]],"")</f>
        <v/>
      </c>
      <c r="Z2084" s="47">
        <f>(LayTable[[#This Row],[BookieInnsats]]*LayTable[[#This Row],[BookieOdds]]-LayTable[[#This Row],[BookieInnsats]])*(1-LayTable[[#This Row],[C% Bookie]])</f>
        <v>0</v>
      </c>
      <c r="AA2084" s="43">
        <f>LayTable[[#This Row],[LayInnsats]]*(1-LayTable[[#This Row],[C% Lay]])</f>
        <v>0</v>
      </c>
      <c r="AB2084" s="43" t="str">
        <f>IFERROR(IF(LayTable[[#This Row],[Sport]]="",AB2083,LayTable[[#This Row],[Faktisk res]]+AB2083),"")</f>
        <v/>
      </c>
      <c r="AC2084" s="43">
        <f>(LayTable[[#This Row],[BackWin-Commission]]+LayTable[[#This Row],[BookieInnsats]])</f>
        <v>0</v>
      </c>
      <c r="AD2084" s="43" t="e">
        <f>(LayTable[[#This Row],[LayWin-Commission]])+LayTable[[#This Row],[LayLiability]]</f>
        <v>#VALUE!</v>
      </c>
      <c r="AE2084" s="43"/>
      <c r="AF2084" s="181"/>
    </row>
    <row r="2085" spans="1:32">
      <c r="A2085" s="84"/>
      <c r="B2085" s="39"/>
      <c r="C2085" s="40"/>
      <c r="D2085" s="41"/>
      <c r="E2085" s="40"/>
      <c r="F2085" s="41"/>
      <c r="G2085" s="101"/>
      <c r="H2085" s="38"/>
      <c r="I2085" s="42"/>
      <c r="J2085" s="42"/>
      <c r="K2085" s="43"/>
      <c r="L2085" s="43"/>
      <c r="M2085" s="44" t="str">
        <f>IF(LayTable[[#This Row],[Sport]]="","",LayTable[[#This Row],[LayInnsats]]*(LayTable[[#This Row],[LayOdds]]-1))</f>
        <v/>
      </c>
      <c r="N2085" s="45" t="str">
        <f>IF(LayTable[[#This Row],[Sport]]="","",1/((1/LayTable[[#This Row],[BookieOdds]])+(1/((1/((1+((LayTable[[#This Row],[LayOdds]]-1)*(1+LayTable[[#This Row],[C% Lay]])))-1))+1)))-1)</f>
        <v/>
      </c>
      <c r="Q2085" s="46" t="str">
        <f>IF(LayTable[[#This Row],[Sport]]="","",LayTable[[#This Row],[BookieInnsats]]+LayTable[[#This Row],[LayLiability]])</f>
        <v/>
      </c>
      <c r="R20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5" s="47" t="str">
        <f>IF(LayTable[[#This Row],[Utfall bookie]]="","",LayTable[[#This Row],[WBABack]]+LayTable[[#This Row],[WBALay]]-LayTable[[#This Row],[Total inns]])</f>
        <v/>
      </c>
      <c r="U20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5" s="48" t="str">
        <f>IFERROR(IF(LayTable[[#This Row],[Total inns]]="","",LayTable[[#This Row],[Rback]]/LayTable[[#This Row],[Total inns]]),"")</f>
        <v/>
      </c>
      <c r="X2085" s="48" t="str">
        <f>IFERROR(IF(LayTable[[#This Row],[Total inns]]="","",LayTable[[#This Row],[Rlay]]/LayTable[[#This Row],[Total inns]]),"")</f>
        <v/>
      </c>
      <c r="Y2085" s="48" t="str">
        <f>IFERROR(LayTable[[#This Row],[Faktisk res]]/LayTable[[#This Row],[Total inns]],"")</f>
        <v/>
      </c>
      <c r="Z2085" s="47">
        <f>(LayTable[[#This Row],[BookieInnsats]]*LayTable[[#This Row],[BookieOdds]]-LayTable[[#This Row],[BookieInnsats]])*(1-LayTable[[#This Row],[C% Bookie]])</f>
        <v>0</v>
      </c>
      <c r="AA2085" s="43">
        <f>LayTable[[#This Row],[LayInnsats]]*(1-LayTable[[#This Row],[C% Lay]])</f>
        <v>0</v>
      </c>
      <c r="AB2085" s="43" t="str">
        <f>IFERROR(IF(LayTable[[#This Row],[Sport]]="",AB2084,LayTable[[#This Row],[Faktisk res]]+AB2084),"")</f>
        <v/>
      </c>
      <c r="AC2085" s="43">
        <f>(LayTable[[#This Row],[BackWin-Commission]]+LayTable[[#This Row],[BookieInnsats]])</f>
        <v>0</v>
      </c>
      <c r="AD2085" s="43" t="e">
        <f>(LayTable[[#This Row],[LayWin-Commission]])+LayTable[[#This Row],[LayLiability]]</f>
        <v>#VALUE!</v>
      </c>
      <c r="AE2085" s="43"/>
      <c r="AF2085" s="181"/>
    </row>
    <row r="2086" spans="1:32">
      <c r="A2086" s="84"/>
      <c r="B2086" s="39"/>
      <c r="C2086" s="40"/>
      <c r="D2086" s="41"/>
      <c r="E2086" s="40"/>
      <c r="F2086" s="41"/>
      <c r="G2086" s="101"/>
      <c r="H2086" s="38"/>
      <c r="I2086" s="42"/>
      <c r="J2086" s="42"/>
      <c r="K2086" s="43"/>
      <c r="L2086" s="43"/>
      <c r="M2086" s="44" t="str">
        <f>IF(LayTable[[#This Row],[Sport]]="","",LayTable[[#This Row],[LayInnsats]]*(LayTable[[#This Row],[LayOdds]]-1))</f>
        <v/>
      </c>
      <c r="N2086" s="45" t="str">
        <f>IF(LayTable[[#This Row],[Sport]]="","",1/((1/LayTable[[#This Row],[BookieOdds]])+(1/((1/((1+((LayTable[[#This Row],[LayOdds]]-1)*(1+LayTable[[#This Row],[C% Lay]])))-1))+1)))-1)</f>
        <v/>
      </c>
      <c r="Q2086" s="46" t="str">
        <f>IF(LayTable[[#This Row],[Sport]]="","",LayTable[[#This Row],[BookieInnsats]]+LayTable[[#This Row],[LayLiability]])</f>
        <v/>
      </c>
      <c r="R20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6" s="47" t="str">
        <f>IF(LayTable[[#This Row],[Utfall bookie]]="","",LayTable[[#This Row],[WBABack]]+LayTable[[#This Row],[WBALay]]-LayTable[[#This Row],[Total inns]])</f>
        <v/>
      </c>
      <c r="U20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6" s="48" t="str">
        <f>IFERROR(IF(LayTable[[#This Row],[Total inns]]="","",LayTable[[#This Row],[Rback]]/LayTable[[#This Row],[Total inns]]),"")</f>
        <v/>
      </c>
      <c r="X2086" s="48" t="str">
        <f>IFERROR(IF(LayTable[[#This Row],[Total inns]]="","",LayTable[[#This Row],[Rlay]]/LayTable[[#This Row],[Total inns]]),"")</f>
        <v/>
      </c>
      <c r="Y2086" s="48" t="str">
        <f>IFERROR(LayTable[[#This Row],[Faktisk res]]/LayTable[[#This Row],[Total inns]],"")</f>
        <v/>
      </c>
      <c r="Z2086" s="47">
        <f>(LayTable[[#This Row],[BookieInnsats]]*LayTable[[#This Row],[BookieOdds]]-LayTable[[#This Row],[BookieInnsats]])*(1-LayTable[[#This Row],[C% Bookie]])</f>
        <v>0</v>
      </c>
      <c r="AA2086" s="43">
        <f>LayTable[[#This Row],[LayInnsats]]*(1-LayTable[[#This Row],[C% Lay]])</f>
        <v>0</v>
      </c>
      <c r="AB2086" s="43" t="str">
        <f>IFERROR(IF(LayTable[[#This Row],[Sport]]="",AB2085,LayTable[[#This Row],[Faktisk res]]+AB2085),"")</f>
        <v/>
      </c>
      <c r="AC2086" s="43">
        <f>(LayTable[[#This Row],[BackWin-Commission]]+LayTable[[#This Row],[BookieInnsats]])</f>
        <v>0</v>
      </c>
      <c r="AD2086" s="43" t="e">
        <f>(LayTable[[#This Row],[LayWin-Commission]])+LayTable[[#This Row],[LayLiability]]</f>
        <v>#VALUE!</v>
      </c>
      <c r="AE2086" s="43"/>
      <c r="AF2086" s="181"/>
    </row>
    <row r="2087" spans="1:32">
      <c r="A2087" s="84"/>
      <c r="B2087" s="39"/>
      <c r="C2087" s="40"/>
      <c r="D2087" s="41"/>
      <c r="E2087" s="40"/>
      <c r="F2087" s="41"/>
      <c r="G2087" s="101"/>
      <c r="H2087" s="38"/>
      <c r="I2087" s="42"/>
      <c r="J2087" s="42"/>
      <c r="K2087" s="43"/>
      <c r="L2087" s="43"/>
      <c r="M2087" s="44" t="str">
        <f>IF(LayTable[[#This Row],[Sport]]="","",LayTable[[#This Row],[LayInnsats]]*(LayTable[[#This Row],[LayOdds]]-1))</f>
        <v/>
      </c>
      <c r="N2087" s="45" t="str">
        <f>IF(LayTable[[#This Row],[Sport]]="","",1/((1/LayTable[[#This Row],[BookieOdds]])+(1/((1/((1+((LayTable[[#This Row],[LayOdds]]-1)*(1+LayTable[[#This Row],[C% Lay]])))-1))+1)))-1)</f>
        <v/>
      </c>
      <c r="Q2087" s="46" t="str">
        <f>IF(LayTable[[#This Row],[Sport]]="","",LayTable[[#This Row],[BookieInnsats]]+LayTable[[#This Row],[LayLiability]])</f>
        <v/>
      </c>
      <c r="R20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7" s="47" t="str">
        <f>IF(LayTable[[#This Row],[Utfall bookie]]="","",LayTable[[#This Row],[WBABack]]+LayTable[[#This Row],[WBALay]]-LayTable[[#This Row],[Total inns]])</f>
        <v/>
      </c>
      <c r="U20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7" s="48" t="str">
        <f>IFERROR(IF(LayTable[[#This Row],[Total inns]]="","",LayTable[[#This Row],[Rback]]/LayTable[[#This Row],[Total inns]]),"")</f>
        <v/>
      </c>
      <c r="X2087" s="48" t="str">
        <f>IFERROR(IF(LayTable[[#This Row],[Total inns]]="","",LayTable[[#This Row],[Rlay]]/LayTable[[#This Row],[Total inns]]),"")</f>
        <v/>
      </c>
      <c r="Y2087" s="48" t="str">
        <f>IFERROR(LayTable[[#This Row],[Faktisk res]]/LayTable[[#This Row],[Total inns]],"")</f>
        <v/>
      </c>
      <c r="Z2087" s="47">
        <f>(LayTable[[#This Row],[BookieInnsats]]*LayTable[[#This Row],[BookieOdds]]-LayTable[[#This Row],[BookieInnsats]])*(1-LayTable[[#This Row],[C% Bookie]])</f>
        <v>0</v>
      </c>
      <c r="AA2087" s="43">
        <f>LayTable[[#This Row],[LayInnsats]]*(1-LayTable[[#This Row],[C% Lay]])</f>
        <v>0</v>
      </c>
      <c r="AB2087" s="43" t="str">
        <f>IFERROR(IF(LayTable[[#This Row],[Sport]]="",AB2086,LayTable[[#This Row],[Faktisk res]]+AB2086),"")</f>
        <v/>
      </c>
      <c r="AC2087" s="43">
        <f>(LayTable[[#This Row],[BackWin-Commission]]+LayTable[[#This Row],[BookieInnsats]])</f>
        <v>0</v>
      </c>
      <c r="AD2087" s="43" t="e">
        <f>(LayTable[[#This Row],[LayWin-Commission]])+LayTable[[#This Row],[LayLiability]]</f>
        <v>#VALUE!</v>
      </c>
      <c r="AE2087" s="43"/>
      <c r="AF2087" s="181"/>
    </row>
    <row r="2088" spans="1:32">
      <c r="A2088" s="84"/>
      <c r="B2088" s="39"/>
      <c r="C2088" s="40"/>
      <c r="D2088" s="41"/>
      <c r="E2088" s="40"/>
      <c r="F2088" s="41"/>
      <c r="G2088" s="101"/>
      <c r="H2088" s="38"/>
      <c r="I2088" s="42"/>
      <c r="J2088" s="42"/>
      <c r="K2088" s="43"/>
      <c r="L2088" s="43"/>
      <c r="M2088" s="44" t="str">
        <f>IF(LayTable[[#This Row],[Sport]]="","",LayTable[[#This Row],[LayInnsats]]*(LayTable[[#This Row],[LayOdds]]-1))</f>
        <v/>
      </c>
      <c r="N2088" s="45" t="str">
        <f>IF(LayTable[[#This Row],[Sport]]="","",1/((1/LayTable[[#This Row],[BookieOdds]])+(1/((1/((1+((LayTable[[#This Row],[LayOdds]]-1)*(1+LayTable[[#This Row],[C% Lay]])))-1))+1)))-1)</f>
        <v/>
      </c>
      <c r="Q2088" s="46" t="str">
        <f>IF(LayTable[[#This Row],[Sport]]="","",LayTable[[#This Row],[BookieInnsats]]+LayTable[[#This Row],[LayLiability]])</f>
        <v/>
      </c>
      <c r="R20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8" s="47" t="str">
        <f>IF(LayTable[[#This Row],[Utfall bookie]]="","",LayTable[[#This Row],[WBABack]]+LayTable[[#This Row],[WBALay]]-LayTable[[#This Row],[Total inns]])</f>
        <v/>
      </c>
      <c r="U20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8" s="48" t="str">
        <f>IFERROR(IF(LayTable[[#This Row],[Total inns]]="","",LayTable[[#This Row],[Rback]]/LayTable[[#This Row],[Total inns]]),"")</f>
        <v/>
      </c>
      <c r="X2088" s="48" t="str">
        <f>IFERROR(IF(LayTable[[#This Row],[Total inns]]="","",LayTable[[#This Row],[Rlay]]/LayTable[[#This Row],[Total inns]]),"")</f>
        <v/>
      </c>
      <c r="Y2088" s="48" t="str">
        <f>IFERROR(LayTable[[#This Row],[Faktisk res]]/LayTable[[#This Row],[Total inns]],"")</f>
        <v/>
      </c>
      <c r="Z2088" s="47">
        <f>(LayTable[[#This Row],[BookieInnsats]]*LayTable[[#This Row],[BookieOdds]]-LayTable[[#This Row],[BookieInnsats]])*(1-LayTable[[#This Row],[C% Bookie]])</f>
        <v>0</v>
      </c>
      <c r="AA2088" s="43">
        <f>LayTable[[#This Row],[LayInnsats]]*(1-LayTable[[#This Row],[C% Lay]])</f>
        <v>0</v>
      </c>
      <c r="AB2088" s="43" t="str">
        <f>IFERROR(IF(LayTable[[#This Row],[Sport]]="",AB2087,LayTable[[#This Row],[Faktisk res]]+AB2087),"")</f>
        <v/>
      </c>
      <c r="AC2088" s="43">
        <f>(LayTable[[#This Row],[BackWin-Commission]]+LayTable[[#This Row],[BookieInnsats]])</f>
        <v>0</v>
      </c>
      <c r="AD2088" s="43" t="e">
        <f>(LayTable[[#This Row],[LayWin-Commission]])+LayTable[[#This Row],[LayLiability]]</f>
        <v>#VALUE!</v>
      </c>
      <c r="AE2088" s="43"/>
      <c r="AF2088" s="181"/>
    </row>
    <row r="2089" spans="1:32">
      <c r="A2089" s="84"/>
      <c r="B2089" s="39"/>
      <c r="C2089" s="40"/>
      <c r="D2089" s="41"/>
      <c r="E2089" s="40"/>
      <c r="F2089" s="41"/>
      <c r="G2089" s="101"/>
      <c r="H2089" s="38"/>
      <c r="I2089" s="42"/>
      <c r="J2089" s="42"/>
      <c r="K2089" s="43"/>
      <c r="L2089" s="43"/>
      <c r="M2089" s="44" t="str">
        <f>IF(LayTable[[#This Row],[Sport]]="","",LayTable[[#This Row],[LayInnsats]]*(LayTable[[#This Row],[LayOdds]]-1))</f>
        <v/>
      </c>
      <c r="N2089" s="45" t="str">
        <f>IF(LayTable[[#This Row],[Sport]]="","",1/((1/LayTable[[#This Row],[BookieOdds]])+(1/((1/((1+((LayTable[[#This Row],[LayOdds]]-1)*(1+LayTable[[#This Row],[C% Lay]])))-1))+1)))-1)</f>
        <v/>
      </c>
      <c r="Q2089" s="46" t="str">
        <f>IF(LayTable[[#This Row],[Sport]]="","",LayTable[[#This Row],[BookieInnsats]]+LayTable[[#This Row],[LayLiability]])</f>
        <v/>
      </c>
      <c r="R20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89" s="47" t="str">
        <f>IF(LayTable[[#This Row],[Utfall bookie]]="","",LayTable[[#This Row],[WBABack]]+LayTable[[#This Row],[WBALay]]-LayTable[[#This Row],[Total inns]])</f>
        <v/>
      </c>
      <c r="U20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89" s="48" t="str">
        <f>IFERROR(IF(LayTable[[#This Row],[Total inns]]="","",LayTable[[#This Row],[Rback]]/LayTable[[#This Row],[Total inns]]),"")</f>
        <v/>
      </c>
      <c r="X2089" s="48" t="str">
        <f>IFERROR(IF(LayTable[[#This Row],[Total inns]]="","",LayTable[[#This Row],[Rlay]]/LayTable[[#This Row],[Total inns]]),"")</f>
        <v/>
      </c>
      <c r="Y2089" s="48" t="str">
        <f>IFERROR(LayTable[[#This Row],[Faktisk res]]/LayTable[[#This Row],[Total inns]],"")</f>
        <v/>
      </c>
      <c r="Z2089" s="47">
        <f>(LayTable[[#This Row],[BookieInnsats]]*LayTable[[#This Row],[BookieOdds]]-LayTable[[#This Row],[BookieInnsats]])*(1-LayTable[[#This Row],[C% Bookie]])</f>
        <v>0</v>
      </c>
      <c r="AA2089" s="43">
        <f>LayTable[[#This Row],[LayInnsats]]*(1-LayTable[[#This Row],[C% Lay]])</f>
        <v>0</v>
      </c>
      <c r="AB2089" s="43" t="str">
        <f>IFERROR(IF(LayTable[[#This Row],[Sport]]="",AB2088,LayTable[[#This Row],[Faktisk res]]+AB2088),"")</f>
        <v/>
      </c>
      <c r="AC2089" s="43">
        <f>(LayTable[[#This Row],[BackWin-Commission]]+LayTable[[#This Row],[BookieInnsats]])</f>
        <v>0</v>
      </c>
      <c r="AD2089" s="43" t="e">
        <f>(LayTable[[#This Row],[LayWin-Commission]])+LayTable[[#This Row],[LayLiability]]</f>
        <v>#VALUE!</v>
      </c>
      <c r="AE2089" s="43"/>
      <c r="AF2089" s="181"/>
    </row>
    <row r="2090" spans="1:32">
      <c r="A2090" s="84"/>
      <c r="B2090" s="39"/>
      <c r="C2090" s="40"/>
      <c r="D2090" s="41"/>
      <c r="E2090" s="40"/>
      <c r="F2090" s="41"/>
      <c r="G2090" s="101"/>
      <c r="H2090" s="38"/>
      <c r="I2090" s="42"/>
      <c r="J2090" s="42"/>
      <c r="K2090" s="43"/>
      <c r="L2090" s="43"/>
      <c r="M2090" s="44" t="str">
        <f>IF(LayTable[[#This Row],[Sport]]="","",LayTable[[#This Row],[LayInnsats]]*(LayTable[[#This Row],[LayOdds]]-1))</f>
        <v/>
      </c>
      <c r="N2090" s="45" t="str">
        <f>IF(LayTable[[#This Row],[Sport]]="","",1/((1/LayTable[[#This Row],[BookieOdds]])+(1/((1/((1+((LayTable[[#This Row],[LayOdds]]-1)*(1+LayTable[[#This Row],[C% Lay]])))-1))+1)))-1)</f>
        <v/>
      </c>
      <c r="Q2090" s="46" t="str">
        <f>IF(LayTable[[#This Row],[Sport]]="","",LayTable[[#This Row],[BookieInnsats]]+LayTable[[#This Row],[LayLiability]])</f>
        <v/>
      </c>
      <c r="R20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0" s="47" t="str">
        <f>IF(LayTable[[#This Row],[Utfall bookie]]="","",LayTable[[#This Row],[WBABack]]+LayTable[[#This Row],[WBALay]]-LayTable[[#This Row],[Total inns]])</f>
        <v/>
      </c>
      <c r="U20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0" s="48" t="str">
        <f>IFERROR(IF(LayTable[[#This Row],[Total inns]]="","",LayTable[[#This Row],[Rback]]/LayTable[[#This Row],[Total inns]]),"")</f>
        <v/>
      </c>
      <c r="X2090" s="48" t="str">
        <f>IFERROR(IF(LayTable[[#This Row],[Total inns]]="","",LayTable[[#This Row],[Rlay]]/LayTable[[#This Row],[Total inns]]),"")</f>
        <v/>
      </c>
      <c r="Y2090" s="48" t="str">
        <f>IFERROR(LayTable[[#This Row],[Faktisk res]]/LayTable[[#This Row],[Total inns]],"")</f>
        <v/>
      </c>
      <c r="Z2090" s="47">
        <f>(LayTable[[#This Row],[BookieInnsats]]*LayTable[[#This Row],[BookieOdds]]-LayTable[[#This Row],[BookieInnsats]])*(1-LayTable[[#This Row],[C% Bookie]])</f>
        <v>0</v>
      </c>
      <c r="AA2090" s="43">
        <f>LayTable[[#This Row],[LayInnsats]]*(1-LayTable[[#This Row],[C% Lay]])</f>
        <v>0</v>
      </c>
      <c r="AB2090" s="43" t="str">
        <f>IFERROR(IF(LayTable[[#This Row],[Sport]]="",AB2089,LayTable[[#This Row],[Faktisk res]]+AB2089),"")</f>
        <v/>
      </c>
      <c r="AC2090" s="43">
        <f>(LayTable[[#This Row],[BackWin-Commission]]+LayTable[[#This Row],[BookieInnsats]])</f>
        <v>0</v>
      </c>
      <c r="AD2090" s="43" t="e">
        <f>(LayTable[[#This Row],[LayWin-Commission]])+LayTable[[#This Row],[LayLiability]]</f>
        <v>#VALUE!</v>
      </c>
      <c r="AE2090" s="43"/>
      <c r="AF2090" s="181"/>
    </row>
    <row r="2091" spans="1:32">
      <c r="A2091" s="84"/>
      <c r="B2091" s="39"/>
      <c r="C2091" s="40"/>
      <c r="D2091" s="41"/>
      <c r="E2091" s="40"/>
      <c r="F2091" s="41"/>
      <c r="G2091" s="101"/>
      <c r="H2091" s="38"/>
      <c r="I2091" s="42"/>
      <c r="J2091" s="42"/>
      <c r="K2091" s="43"/>
      <c r="L2091" s="43"/>
      <c r="M2091" s="44" t="str">
        <f>IF(LayTable[[#This Row],[Sport]]="","",LayTable[[#This Row],[LayInnsats]]*(LayTable[[#This Row],[LayOdds]]-1))</f>
        <v/>
      </c>
      <c r="N2091" s="45" t="str">
        <f>IF(LayTable[[#This Row],[Sport]]="","",1/((1/LayTable[[#This Row],[BookieOdds]])+(1/((1/((1+((LayTable[[#This Row],[LayOdds]]-1)*(1+LayTable[[#This Row],[C% Lay]])))-1))+1)))-1)</f>
        <v/>
      </c>
      <c r="Q2091" s="46" t="str">
        <f>IF(LayTable[[#This Row],[Sport]]="","",LayTable[[#This Row],[BookieInnsats]]+LayTable[[#This Row],[LayLiability]])</f>
        <v/>
      </c>
      <c r="R20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1" s="47" t="str">
        <f>IF(LayTable[[#This Row],[Utfall bookie]]="","",LayTable[[#This Row],[WBABack]]+LayTable[[#This Row],[WBALay]]-LayTable[[#This Row],[Total inns]])</f>
        <v/>
      </c>
      <c r="U20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1" s="48" t="str">
        <f>IFERROR(IF(LayTable[[#This Row],[Total inns]]="","",LayTable[[#This Row],[Rback]]/LayTable[[#This Row],[Total inns]]),"")</f>
        <v/>
      </c>
      <c r="X2091" s="48" t="str">
        <f>IFERROR(IF(LayTable[[#This Row],[Total inns]]="","",LayTable[[#This Row],[Rlay]]/LayTable[[#This Row],[Total inns]]),"")</f>
        <v/>
      </c>
      <c r="Y2091" s="48" t="str">
        <f>IFERROR(LayTable[[#This Row],[Faktisk res]]/LayTable[[#This Row],[Total inns]],"")</f>
        <v/>
      </c>
      <c r="Z2091" s="47">
        <f>(LayTable[[#This Row],[BookieInnsats]]*LayTable[[#This Row],[BookieOdds]]-LayTable[[#This Row],[BookieInnsats]])*(1-LayTable[[#This Row],[C% Bookie]])</f>
        <v>0</v>
      </c>
      <c r="AA2091" s="43">
        <f>LayTable[[#This Row],[LayInnsats]]*(1-LayTable[[#This Row],[C% Lay]])</f>
        <v>0</v>
      </c>
      <c r="AB2091" s="43" t="str">
        <f>IFERROR(IF(LayTable[[#This Row],[Sport]]="",AB2090,LayTable[[#This Row],[Faktisk res]]+AB2090),"")</f>
        <v/>
      </c>
      <c r="AC2091" s="43">
        <f>(LayTable[[#This Row],[BackWin-Commission]]+LayTable[[#This Row],[BookieInnsats]])</f>
        <v>0</v>
      </c>
      <c r="AD2091" s="43" t="e">
        <f>(LayTable[[#This Row],[LayWin-Commission]])+LayTable[[#This Row],[LayLiability]]</f>
        <v>#VALUE!</v>
      </c>
      <c r="AE2091" s="43"/>
      <c r="AF2091" s="181"/>
    </row>
    <row r="2092" spans="1:32">
      <c r="A2092" s="84"/>
      <c r="B2092" s="39"/>
      <c r="C2092" s="40"/>
      <c r="D2092" s="41"/>
      <c r="E2092" s="40"/>
      <c r="F2092" s="41"/>
      <c r="G2092" s="101"/>
      <c r="H2092" s="38"/>
      <c r="I2092" s="42"/>
      <c r="J2092" s="42"/>
      <c r="K2092" s="43"/>
      <c r="L2092" s="43"/>
      <c r="M2092" s="44" t="str">
        <f>IF(LayTable[[#This Row],[Sport]]="","",LayTable[[#This Row],[LayInnsats]]*(LayTable[[#This Row],[LayOdds]]-1))</f>
        <v/>
      </c>
      <c r="N2092" s="45" t="str">
        <f>IF(LayTable[[#This Row],[Sport]]="","",1/((1/LayTable[[#This Row],[BookieOdds]])+(1/((1/((1+((LayTable[[#This Row],[LayOdds]]-1)*(1+LayTable[[#This Row],[C% Lay]])))-1))+1)))-1)</f>
        <v/>
      </c>
      <c r="Q2092" s="46" t="str">
        <f>IF(LayTable[[#This Row],[Sport]]="","",LayTable[[#This Row],[BookieInnsats]]+LayTable[[#This Row],[LayLiability]])</f>
        <v/>
      </c>
      <c r="R20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2" s="47" t="str">
        <f>IF(LayTable[[#This Row],[Utfall bookie]]="","",LayTable[[#This Row],[WBABack]]+LayTable[[#This Row],[WBALay]]-LayTable[[#This Row],[Total inns]])</f>
        <v/>
      </c>
      <c r="U20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2" s="48" t="str">
        <f>IFERROR(IF(LayTable[[#This Row],[Total inns]]="","",LayTable[[#This Row],[Rback]]/LayTable[[#This Row],[Total inns]]),"")</f>
        <v/>
      </c>
      <c r="X2092" s="48" t="str">
        <f>IFERROR(IF(LayTable[[#This Row],[Total inns]]="","",LayTable[[#This Row],[Rlay]]/LayTable[[#This Row],[Total inns]]),"")</f>
        <v/>
      </c>
      <c r="Y2092" s="48" t="str">
        <f>IFERROR(LayTable[[#This Row],[Faktisk res]]/LayTable[[#This Row],[Total inns]],"")</f>
        <v/>
      </c>
      <c r="Z2092" s="47">
        <f>(LayTable[[#This Row],[BookieInnsats]]*LayTable[[#This Row],[BookieOdds]]-LayTable[[#This Row],[BookieInnsats]])*(1-LayTable[[#This Row],[C% Bookie]])</f>
        <v>0</v>
      </c>
      <c r="AA2092" s="43">
        <f>LayTable[[#This Row],[LayInnsats]]*(1-LayTable[[#This Row],[C% Lay]])</f>
        <v>0</v>
      </c>
      <c r="AB2092" s="43" t="str">
        <f>IFERROR(IF(LayTable[[#This Row],[Sport]]="",AB2091,LayTable[[#This Row],[Faktisk res]]+AB2091),"")</f>
        <v/>
      </c>
      <c r="AC2092" s="43">
        <f>(LayTable[[#This Row],[BackWin-Commission]]+LayTable[[#This Row],[BookieInnsats]])</f>
        <v>0</v>
      </c>
      <c r="AD2092" s="43" t="e">
        <f>(LayTable[[#This Row],[LayWin-Commission]])+LayTable[[#This Row],[LayLiability]]</f>
        <v>#VALUE!</v>
      </c>
      <c r="AE2092" s="43"/>
      <c r="AF2092" s="181"/>
    </row>
    <row r="2093" spans="1:32">
      <c r="A2093" s="84"/>
      <c r="B2093" s="39"/>
      <c r="C2093" s="40"/>
      <c r="D2093" s="41"/>
      <c r="E2093" s="40"/>
      <c r="F2093" s="41"/>
      <c r="G2093" s="101"/>
      <c r="H2093" s="38"/>
      <c r="I2093" s="42"/>
      <c r="J2093" s="42"/>
      <c r="K2093" s="43"/>
      <c r="L2093" s="43"/>
      <c r="M2093" s="44" t="str">
        <f>IF(LayTable[[#This Row],[Sport]]="","",LayTable[[#This Row],[LayInnsats]]*(LayTable[[#This Row],[LayOdds]]-1))</f>
        <v/>
      </c>
      <c r="N2093" s="45" t="str">
        <f>IF(LayTable[[#This Row],[Sport]]="","",1/((1/LayTable[[#This Row],[BookieOdds]])+(1/((1/((1+((LayTable[[#This Row],[LayOdds]]-1)*(1+LayTable[[#This Row],[C% Lay]])))-1))+1)))-1)</f>
        <v/>
      </c>
      <c r="Q2093" s="46" t="str">
        <f>IF(LayTable[[#This Row],[Sport]]="","",LayTable[[#This Row],[BookieInnsats]]+LayTable[[#This Row],[LayLiability]])</f>
        <v/>
      </c>
      <c r="R20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3" s="47" t="str">
        <f>IF(LayTable[[#This Row],[Utfall bookie]]="","",LayTable[[#This Row],[WBABack]]+LayTable[[#This Row],[WBALay]]-LayTable[[#This Row],[Total inns]])</f>
        <v/>
      </c>
      <c r="U20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3" s="48" t="str">
        <f>IFERROR(IF(LayTable[[#This Row],[Total inns]]="","",LayTable[[#This Row],[Rback]]/LayTable[[#This Row],[Total inns]]),"")</f>
        <v/>
      </c>
      <c r="X2093" s="48" t="str">
        <f>IFERROR(IF(LayTable[[#This Row],[Total inns]]="","",LayTable[[#This Row],[Rlay]]/LayTable[[#This Row],[Total inns]]),"")</f>
        <v/>
      </c>
      <c r="Y2093" s="48" t="str">
        <f>IFERROR(LayTable[[#This Row],[Faktisk res]]/LayTable[[#This Row],[Total inns]],"")</f>
        <v/>
      </c>
      <c r="Z2093" s="47">
        <f>(LayTable[[#This Row],[BookieInnsats]]*LayTable[[#This Row],[BookieOdds]]-LayTable[[#This Row],[BookieInnsats]])*(1-LayTable[[#This Row],[C% Bookie]])</f>
        <v>0</v>
      </c>
      <c r="AA2093" s="43">
        <f>LayTable[[#This Row],[LayInnsats]]*(1-LayTable[[#This Row],[C% Lay]])</f>
        <v>0</v>
      </c>
      <c r="AB2093" s="43" t="str">
        <f>IFERROR(IF(LayTable[[#This Row],[Sport]]="",AB2092,LayTable[[#This Row],[Faktisk res]]+AB2092),"")</f>
        <v/>
      </c>
      <c r="AC2093" s="43">
        <f>(LayTable[[#This Row],[BackWin-Commission]]+LayTable[[#This Row],[BookieInnsats]])</f>
        <v>0</v>
      </c>
      <c r="AD2093" s="43" t="e">
        <f>(LayTable[[#This Row],[LayWin-Commission]])+LayTable[[#This Row],[LayLiability]]</f>
        <v>#VALUE!</v>
      </c>
      <c r="AE2093" s="43"/>
      <c r="AF2093" s="181"/>
    </row>
    <row r="2094" spans="1:32">
      <c r="A2094" s="84"/>
      <c r="B2094" s="39"/>
      <c r="C2094" s="40"/>
      <c r="D2094" s="41"/>
      <c r="E2094" s="40"/>
      <c r="F2094" s="41"/>
      <c r="G2094" s="101"/>
      <c r="H2094" s="38"/>
      <c r="I2094" s="42"/>
      <c r="J2094" s="42"/>
      <c r="K2094" s="43"/>
      <c r="L2094" s="43"/>
      <c r="M2094" s="44" t="str">
        <f>IF(LayTable[[#This Row],[Sport]]="","",LayTable[[#This Row],[LayInnsats]]*(LayTable[[#This Row],[LayOdds]]-1))</f>
        <v/>
      </c>
      <c r="N2094" s="45" t="str">
        <f>IF(LayTable[[#This Row],[Sport]]="","",1/((1/LayTable[[#This Row],[BookieOdds]])+(1/((1/((1+((LayTable[[#This Row],[LayOdds]]-1)*(1+LayTable[[#This Row],[C% Lay]])))-1))+1)))-1)</f>
        <v/>
      </c>
      <c r="Q2094" s="46" t="str">
        <f>IF(LayTable[[#This Row],[Sport]]="","",LayTable[[#This Row],[BookieInnsats]]+LayTable[[#This Row],[LayLiability]])</f>
        <v/>
      </c>
      <c r="R20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4" s="47" t="str">
        <f>IF(LayTable[[#This Row],[Utfall bookie]]="","",LayTable[[#This Row],[WBABack]]+LayTable[[#This Row],[WBALay]]-LayTable[[#This Row],[Total inns]])</f>
        <v/>
      </c>
      <c r="U20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4" s="48" t="str">
        <f>IFERROR(IF(LayTable[[#This Row],[Total inns]]="","",LayTable[[#This Row],[Rback]]/LayTable[[#This Row],[Total inns]]),"")</f>
        <v/>
      </c>
      <c r="X2094" s="48" t="str">
        <f>IFERROR(IF(LayTable[[#This Row],[Total inns]]="","",LayTable[[#This Row],[Rlay]]/LayTable[[#This Row],[Total inns]]),"")</f>
        <v/>
      </c>
      <c r="Y2094" s="48" t="str">
        <f>IFERROR(LayTable[[#This Row],[Faktisk res]]/LayTable[[#This Row],[Total inns]],"")</f>
        <v/>
      </c>
      <c r="Z2094" s="47">
        <f>(LayTable[[#This Row],[BookieInnsats]]*LayTable[[#This Row],[BookieOdds]]-LayTable[[#This Row],[BookieInnsats]])*(1-LayTable[[#This Row],[C% Bookie]])</f>
        <v>0</v>
      </c>
      <c r="AA2094" s="43">
        <f>LayTable[[#This Row],[LayInnsats]]*(1-LayTable[[#This Row],[C% Lay]])</f>
        <v>0</v>
      </c>
      <c r="AB2094" s="43" t="str">
        <f>IFERROR(IF(LayTable[[#This Row],[Sport]]="",AB2093,LayTable[[#This Row],[Faktisk res]]+AB2093),"")</f>
        <v/>
      </c>
      <c r="AC2094" s="43">
        <f>(LayTable[[#This Row],[BackWin-Commission]]+LayTable[[#This Row],[BookieInnsats]])</f>
        <v>0</v>
      </c>
      <c r="AD2094" s="43" t="e">
        <f>(LayTable[[#This Row],[LayWin-Commission]])+LayTable[[#This Row],[LayLiability]]</f>
        <v>#VALUE!</v>
      </c>
      <c r="AE2094" s="43"/>
      <c r="AF2094" s="181"/>
    </row>
    <row r="2095" spans="1:32">
      <c r="A2095" s="84"/>
      <c r="B2095" s="39"/>
      <c r="C2095" s="40"/>
      <c r="D2095" s="41"/>
      <c r="E2095" s="40"/>
      <c r="F2095" s="41"/>
      <c r="G2095" s="101"/>
      <c r="H2095" s="38"/>
      <c r="I2095" s="42"/>
      <c r="J2095" s="42"/>
      <c r="K2095" s="43"/>
      <c r="L2095" s="43"/>
      <c r="M2095" s="44" t="str">
        <f>IF(LayTable[[#This Row],[Sport]]="","",LayTable[[#This Row],[LayInnsats]]*(LayTable[[#This Row],[LayOdds]]-1))</f>
        <v/>
      </c>
      <c r="N2095" s="45" t="str">
        <f>IF(LayTable[[#This Row],[Sport]]="","",1/((1/LayTable[[#This Row],[BookieOdds]])+(1/((1/((1+((LayTable[[#This Row],[LayOdds]]-1)*(1+LayTable[[#This Row],[C% Lay]])))-1))+1)))-1)</f>
        <v/>
      </c>
      <c r="Q2095" s="46" t="str">
        <f>IF(LayTable[[#This Row],[Sport]]="","",LayTable[[#This Row],[BookieInnsats]]+LayTable[[#This Row],[LayLiability]])</f>
        <v/>
      </c>
      <c r="R20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5" s="47" t="str">
        <f>IF(LayTable[[#This Row],[Utfall bookie]]="","",LayTable[[#This Row],[WBABack]]+LayTable[[#This Row],[WBALay]]-LayTable[[#This Row],[Total inns]])</f>
        <v/>
      </c>
      <c r="U20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5" s="48" t="str">
        <f>IFERROR(IF(LayTable[[#This Row],[Total inns]]="","",LayTable[[#This Row],[Rback]]/LayTable[[#This Row],[Total inns]]),"")</f>
        <v/>
      </c>
      <c r="X2095" s="48" t="str">
        <f>IFERROR(IF(LayTable[[#This Row],[Total inns]]="","",LayTable[[#This Row],[Rlay]]/LayTable[[#This Row],[Total inns]]),"")</f>
        <v/>
      </c>
      <c r="Y2095" s="48" t="str">
        <f>IFERROR(LayTable[[#This Row],[Faktisk res]]/LayTable[[#This Row],[Total inns]],"")</f>
        <v/>
      </c>
      <c r="Z2095" s="47">
        <f>(LayTable[[#This Row],[BookieInnsats]]*LayTable[[#This Row],[BookieOdds]]-LayTable[[#This Row],[BookieInnsats]])*(1-LayTable[[#This Row],[C% Bookie]])</f>
        <v>0</v>
      </c>
      <c r="AA2095" s="43">
        <f>LayTable[[#This Row],[LayInnsats]]*(1-LayTable[[#This Row],[C% Lay]])</f>
        <v>0</v>
      </c>
      <c r="AB2095" s="43" t="str">
        <f>IFERROR(IF(LayTable[[#This Row],[Sport]]="",AB2094,LayTable[[#This Row],[Faktisk res]]+AB2094),"")</f>
        <v/>
      </c>
      <c r="AC2095" s="43">
        <f>(LayTable[[#This Row],[BackWin-Commission]]+LayTable[[#This Row],[BookieInnsats]])</f>
        <v>0</v>
      </c>
      <c r="AD2095" s="43" t="e">
        <f>(LayTable[[#This Row],[LayWin-Commission]])+LayTable[[#This Row],[LayLiability]]</f>
        <v>#VALUE!</v>
      </c>
      <c r="AE2095" s="43"/>
      <c r="AF2095" s="181"/>
    </row>
    <row r="2096" spans="1:32">
      <c r="A2096" s="84"/>
      <c r="B2096" s="39"/>
      <c r="C2096" s="40"/>
      <c r="D2096" s="41"/>
      <c r="E2096" s="40"/>
      <c r="F2096" s="41"/>
      <c r="G2096" s="101"/>
      <c r="H2096" s="38"/>
      <c r="I2096" s="42"/>
      <c r="J2096" s="42"/>
      <c r="K2096" s="43"/>
      <c r="L2096" s="43"/>
      <c r="M2096" s="44" t="str">
        <f>IF(LayTable[[#This Row],[Sport]]="","",LayTable[[#This Row],[LayInnsats]]*(LayTable[[#This Row],[LayOdds]]-1))</f>
        <v/>
      </c>
      <c r="N2096" s="45" t="str">
        <f>IF(LayTable[[#This Row],[Sport]]="","",1/((1/LayTable[[#This Row],[BookieOdds]])+(1/((1/((1+((LayTable[[#This Row],[LayOdds]]-1)*(1+LayTable[[#This Row],[C% Lay]])))-1))+1)))-1)</f>
        <v/>
      </c>
      <c r="Q2096" s="46" t="str">
        <f>IF(LayTable[[#This Row],[Sport]]="","",LayTable[[#This Row],[BookieInnsats]]+LayTable[[#This Row],[LayLiability]])</f>
        <v/>
      </c>
      <c r="R20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6" s="47" t="str">
        <f>IF(LayTable[[#This Row],[Utfall bookie]]="","",LayTable[[#This Row],[WBABack]]+LayTable[[#This Row],[WBALay]]-LayTable[[#This Row],[Total inns]])</f>
        <v/>
      </c>
      <c r="U20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6" s="48" t="str">
        <f>IFERROR(IF(LayTable[[#This Row],[Total inns]]="","",LayTable[[#This Row],[Rback]]/LayTable[[#This Row],[Total inns]]),"")</f>
        <v/>
      </c>
      <c r="X2096" s="48" t="str">
        <f>IFERROR(IF(LayTable[[#This Row],[Total inns]]="","",LayTable[[#This Row],[Rlay]]/LayTable[[#This Row],[Total inns]]),"")</f>
        <v/>
      </c>
      <c r="Y2096" s="48" t="str">
        <f>IFERROR(LayTable[[#This Row],[Faktisk res]]/LayTable[[#This Row],[Total inns]],"")</f>
        <v/>
      </c>
      <c r="Z2096" s="47">
        <f>(LayTable[[#This Row],[BookieInnsats]]*LayTable[[#This Row],[BookieOdds]]-LayTable[[#This Row],[BookieInnsats]])*(1-LayTable[[#This Row],[C% Bookie]])</f>
        <v>0</v>
      </c>
      <c r="AA2096" s="43">
        <f>LayTable[[#This Row],[LayInnsats]]*(1-LayTable[[#This Row],[C% Lay]])</f>
        <v>0</v>
      </c>
      <c r="AB2096" s="43" t="str">
        <f>IFERROR(IF(LayTable[[#This Row],[Sport]]="",AB2095,LayTable[[#This Row],[Faktisk res]]+AB2095),"")</f>
        <v/>
      </c>
      <c r="AC2096" s="43">
        <f>(LayTable[[#This Row],[BackWin-Commission]]+LayTable[[#This Row],[BookieInnsats]])</f>
        <v>0</v>
      </c>
      <c r="AD2096" s="43" t="e">
        <f>(LayTable[[#This Row],[LayWin-Commission]])+LayTable[[#This Row],[LayLiability]]</f>
        <v>#VALUE!</v>
      </c>
      <c r="AE2096" s="43"/>
      <c r="AF2096" s="181"/>
    </row>
    <row r="2097" spans="1:32">
      <c r="A2097" s="84"/>
      <c r="B2097" s="39"/>
      <c r="C2097" s="40"/>
      <c r="D2097" s="41"/>
      <c r="E2097" s="40"/>
      <c r="F2097" s="41"/>
      <c r="G2097" s="101"/>
      <c r="H2097" s="38"/>
      <c r="I2097" s="42"/>
      <c r="J2097" s="42"/>
      <c r="K2097" s="43"/>
      <c r="L2097" s="43"/>
      <c r="M2097" s="44" t="str">
        <f>IF(LayTable[[#This Row],[Sport]]="","",LayTable[[#This Row],[LayInnsats]]*(LayTable[[#This Row],[LayOdds]]-1))</f>
        <v/>
      </c>
      <c r="N2097" s="45" t="str">
        <f>IF(LayTable[[#This Row],[Sport]]="","",1/((1/LayTable[[#This Row],[BookieOdds]])+(1/((1/((1+((LayTable[[#This Row],[LayOdds]]-1)*(1+LayTable[[#This Row],[C% Lay]])))-1))+1)))-1)</f>
        <v/>
      </c>
      <c r="Q2097" s="46" t="str">
        <f>IF(LayTable[[#This Row],[Sport]]="","",LayTable[[#This Row],[BookieInnsats]]+LayTable[[#This Row],[LayLiability]])</f>
        <v/>
      </c>
      <c r="R20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7" s="47" t="str">
        <f>IF(LayTable[[#This Row],[Utfall bookie]]="","",LayTable[[#This Row],[WBABack]]+LayTable[[#This Row],[WBALay]]-LayTable[[#This Row],[Total inns]])</f>
        <v/>
      </c>
      <c r="U20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7" s="48" t="str">
        <f>IFERROR(IF(LayTable[[#This Row],[Total inns]]="","",LayTable[[#This Row],[Rback]]/LayTable[[#This Row],[Total inns]]),"")</f>
        <v/>
      </c>
      <c r="X2097" s="48" t="str">
        <f>IFERROR(IF(LayTable[[#This Row],[Total inns]]="","",LayTable[[#This Row],[Rlay]]/LayTable[[#This Row],[Total inns]]),"")</f>
        <v/>
      </c>
      <c r="Y2097" s="48" t="str">
        <f>IFERROR(LayTable[[#This Row],[Faktisk res]]/LayTable[[#This Row],[Total inns]],"")</f>
        <v/>
      </c>
      <c r="Z2097" s="47">
        <f>(LayTable[[#This Row],[BookieInnsats]]*LayTable[[#This Row],[BookieOdds]]-LayTable[[#This Row],[BookieInnsats]])*(1-LayTable[[#This Row],[C% Bookie]])</f>
        <v>0</v>
      </c>
      <c r="AA2097" s="43">
        <f>LayTable[[#This Row],[LayInnsats]]*(1-LayTable[[#This Row],[C% Lay]])</f>
        <v>0</v>
      </c>
      <c r="AB2097" s="43" t="str">
        <f>IFERROR(IF(LayTable[[#This Row],[Sport]]="",AB2096,LayTable[[#This Row],[Faktisk res]]+AB2096),"")</f>
        <v/>
      </c>
      <c r="AC2097" s="43">
        <f>(LayTable[[#This Row],[BackWin-Commission]]+LayTable[[#This Row],[BookieInnsats]])</f>
        <v>0</v>
      </c>
      <c r="AD2097" s="43" t="e">
        <f>(LayTable[[#This Row],[LayWin-Commission]])+LayTable[[#This Row],[LayLiability]]</f>
        <v>#VALUE!</v>
      </c>
      <c r="AE2097" s="43"/>
      <c r="AF2097" s="181"/>
    </row>
    <row r="2098" spans="1:32">
      <c r="A2098" s="84"/>
      <c r="B2098" s="39"/>
      <c r="C2098" s="40"/>
      <c r="D2098" s="41"/>
      <c r="E2098" s="40"/>
      <c r="F2098" s="41"/>
      <c r="G2098" s="101"/>
      <c r="H2098" s="38"/>
      <c r="I2098" s="42"/>
      <c r="J2098" s="42"/>
      <c r="K2098" s="43"/>
      <c r="L2098" s="43"/>
      <c r="M2098" s="44" t="str">
        <f>IF(LayTable[[#This Row],[Sport]]="","",LayTable[[#This Row],[LayInnsats]]*(LayTable[[#This Row],[LayOdds]]-1))</f>
        <v/>
      </c>
      <c r="N2098" s="45" t="str">
        <f>IF(LayTable[[#This Row],[Sport]]="","",1/((1/LayTable[[#This Row],[BookieOdds]])+(1/((1/((1+((LayTable[[#This Row],[LayOdds]]-1)*(1+LayTable[[#This Row],[C% Lay]])))-1))+1)))-1)</f>
        <v/>
      </c>
      <c r="Q2098" s="46" t="str">
        <f>IF(LayTable[[#This Row],[Sport]]="","",LayTable[[#This Row],[BookieInnsats]]+LayTable[[#This Row],[LayLiability]])</f>
        <v/>
      </c>
      <c r="R20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8" s="47" t="str">
        <f>IF(LayTable[[#This Row],[Utfall bookie]]="","",LayTable[[#This Row],[WBABack]]+LayTable[[#This Row],[WBALay]]-LayTable[[#This Row],[Total inns]])</f>
        <v/>
      </c>
      <c r="U20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8" s="48" t="str">
        <f>IFERROR(IF(LayTable[[#This Row],[Total inns]]="","",LayTable[[#This Row],[Rback]]/LayTable[[#This Row],[Total inns]]),"")</f>
        <v/>
      </c>
      <c r="X2098" s="48" t="str">
        <f>IFERROR(IF(LayTable[[#This Row],[Total inns]]="","",LayTable[[#This Row],[Rlay]]/LayTable[[#This Row],[Total inns]]),"")</f>
        <v/>
      </c>
      <c r="Y2098" s="48" t="str">
        <f>IFERROR(LayTable[[#This Row],[Faktisk res]]/LayTable[[#This Row],[Total inns]],"")</f>
        <v/>
      </c>
      <c r="Z2098" s="47">
        <f>(LayTable[[#This Row],[BookieInnsats]]*LayTable[[#This Row],[BookieOdds]]-LayTable[[#This Row],[BookieInnsats]])*(1-LayTable[[#This Row],[C% Bookie]])</f>
        <v>0</v>
      </c>
      <c r="AA2098" s="43">
        <f>LayTable[[#This Row],[LayInnsats]]*(1-LayTable[[#This Row],[C% Lay]])</f>
        <v>0</v>
      </c>
      <c r="AB2098" s="43" t="str">
        <f>IFERROR(IF(LayTable[[#This Row],[Sport]]="",AB2097,LayTable[[#This Row],[Faktisk res]]+AB2097),"")</f>
        <v/>
      </c>
      <c r="AC2098" s="43">
        <f>(LayTable[[#This Row],[BackWin-Commission]]+LayTable[[#This Row],[BookieInnsats]])</f>
        <v>0</v>
      </c>
      <c r="AD2098" s="43" t="e">
        <f>(LayTable[[#This Row],[LayWin-Commission]])+LayTable[[#This Row],[LayLiability]]</f>
        <v>#VALUE!</v>
      </c>
      <c r="AE2098" s="43"/>
      <c r="AF2098" s="181"/>
    </row>
    <row r="2099" spans="1:32">
      <c r="A2099" s="84"/>
      <c r="B2099" s="39"/>
      <c r="C2099" s="40"/>
      <c r="D2099" s="41"/>
      <c r="E2099" s="40"/>
      <c r="F2099" s="41"/>
      <c r="G2099" s="101"/>
      <c r="H2099" s="38"/>
      <c r="I2099" s="42"/>
      <c r="J2099" s="42"/>
      <c r="K2099" s="43"/>
      <c r="L2099" s="43"/>
      <c r="M2099" s="44" t="str">
        <f>IF(LayTable[[#This Row],[Sport]]="","",LayTable[[#This Row],[LayInnsats]]*(LayTable[[#This Row],[LayOdds]]-1))</f>
        <v/>
      </c>
      <c r="N2099" s="45" t="str">
        <f>IF(LayTable[[#This Row],[Sport]]="","",1/((1/LayTable[[#This Row],[BookieOdds]])+(1/((1/((1+((LayTable[[#This Row],[LayOdds]]-1)*(1+LayTable[[#This Row],[C% Lay]])))-1))+1)))-1)</f>
        <v/>
      </c>
      <c r="Q2099" s="46" t="str">
        <f>IF(LayTable[[#This Row],[Sport]]="","",LayTable[[#This Row],[BookieInnsats]]+LayTable[[#This Row],[LayLiability]])</f>
        <v/>
      </c>
      <c r="R20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0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099" s="47" t="str">
        <f>IF(LayTable[[#This Row],[Utfall bookie]]="","",LayTable[[#This Row],[WBABack]]+LayTable[[#This Row],[WBALay]]-LayTable[[#This Row],[Total inns]])</f>
        <v/>
      </c>
      <c r="U20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0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099" s="48" t="str">
        <f>IFERROR(IF(LayTable[[#This Row],[Total inns]]="","",LayTable[[#This Row],[Rback]]/LayTable[[#This Row],[Total inns]]),"")</f>
        <v/>
      </c>
      <c r="X2099" s="48" t="str">
        <f>IFERROR(IF(LayTable[[#This Row],[Total inns]]="","",LayTable[[#This Row],[Rlay]]/LayTable[[#This Row],[Total inns]]),"")</f>
        <v/>
      </c>
      <c r="Y2099" s="48" t="str">
        <f>IFERROR(LayTable[[#This Row],[Faktisk res]]/LayTable[[#This Row],[Total inns]],"")</f>
        <v/>
      </c>
      <c r="Z2099" s="47">
        <f>(LayTable[[#This Row],[BookieInnsats]]*LayTable[[#This Row],[BookieOdds]]-LayTable[[#This Row],[BookieInnsats]])*(1-LayTable[[#This Row],[C% Bookie]])</f>
        <v>0</v>
      </c>
      <c r="AA2099" s="43">
        <f>LayTable[[#This Row],[LayInnsats]]*(1-LayTable[[#This Row],[C% Lay]])</f>
        <v>0</v>
      </c>
      <c r="AB2099" s="43" t="str">
        <f>IFERROR(IF(LayTable[[#This Row],[Sport]]="",AB2098,LayTable[[#This Row],[Faktisk res]]+AB2098),"")</f>
        <v/>
      </c>
      <c r="AC2099" s="43">
        <f>(LayTable[[#This Row],[BackWin-Commission]]+LayTable[[#This Row],[BookieInnsats]])</f>
        <v>0</v>
      </c>
      <c r="AD2099" s="43" t="e">
        <f>(LayTable[[#This Row],[LayWin-Commission]])+LayTable[[#This Row],[LayLiability]]</f>
        <v>#VALUE!</v>
      </c>
      <c r="AE2099" s="43"/>
      <c r="AF2099" s="181"/>
    </row>
    <row r="2100" spans="1:32">
      <c r="A2100" s="84"/>
      <c r="B2100" s="39"/>
      <c r="C2100" s="40"/>
      <c r="D2100" s="41"/>
      <c r="E2100" s="40"/>
      <c r="F2100" s="41"/>
      <c r="G2100" s="101"/>
      <c r="H2100" s="38"/>
      <c r="I2100" s="42"/>
      <c r="J2100" s="42"/>
      <c r="K2100" s="43"/>
      <c r="L2100" s="43"/>
      <c r="M2100" s="44" t="str">
        <f>IF(LayTable[[#This Row],[Sport]]="","",LayTable[[#This Row],[LayInnsats]]*(LayTable[[#This Row],[LayOdds]]-1))</f>
        <v/>
      </c>
      <c r="N2100" s="45" t="str">
        <f>IF(LayTable[[#This Row],[Sport]]="","",1/((1/LayTable[[#This Row],[BookieOdds]])+(1/((1/((1+((LayTable[[#This Row],[LayOdds]]-1)*(1+LayTable[[#This Row],[C% Lay]])))-1))+1)))-1)</f>
        <v/>
      </c>
      <c r="Q2100" s="46" t="str">
        <f>IF(LayTable[[#This Row],[Sport]]="","",LayTable[[#This Row],[BookieInnsats]]+LayTable[[#This Row],[LayLiability]])</f>
        <v/>
      </c>
      <c r="R21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0" s="47" t="str">
        <f>IF(LayTable[[#This Row],[Utfall bookie]]="","",LayTable[[#This Row],[WBABack]]+LayTable[[#This Row],[WBALay]]-LayTable[[#This Row],[Total inns]])</f>
        <v/>
      </c>
      <c r="U21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0" s="48" t="str">
        <f>IFERROR(IF(LayTable[[#This Row],[Total inns]]="","",LayTable[[#This Row],[Rback]]/LayTable[[#This Row],[Total inns]]),"")</f>
        <v/>
      </c>
      <c r="X2100" s="48" t="str">
        <f>IFERROR(IF(LayTable[[#This Row],[Total inns]]="","",LayTable[[#This Row],[Rlay]]/LayTable[[#This Row],[Total inns]]),"")</f>
        <v/>
      </c>
      <c r="Y2100" s="48" t="str">
        <f>IFERROR(LayTable[[#This Row],[Faktisk res]]/LayTable[[#This Row],[Total inns]],"")</f>
        <v/>
      </c>
      <c r="Z2100" s="47">
        <f>(LayTable[[#This Row],[BookieInnsats]]*LayTable[[#This Row],[BookieOdds]]-LayTable[[#This Row],[BookieInnsats]])*(1-LayTable[[#This Row],[C% Bookie]])</f>
        <v>0</v>
      </c>
      <c r="AA2100" s="43">
        <f>LayTable[[#This Row],[LayInnsats]]*(1-LayTable[[#This Row],[C% Lay]])</f>
        <v>0</v>
      </c>
      <c r="AB2100" s="43" t="str">
        <f>IFERROR(IF(LayTable[[#This Row],[Sport]]="",AB2099,LayTable[[#This Row],[Faktisk res]]+AB2099),"")</f>
        <v/>
      </c>
      <c r="AC2100" s="43">
        <f>(LayTable[[#This Row],[BackWin-Commission]]+LayTable[[#This Row],[BookieInnsats]])</f>
        <v>0</v>
      </c>
      <c r="AD2100" s="43" t="e">
        <f>(LayTable[[#This Row],[LayWin-Commission]])+LayTable[[#This Row],[LayLiability]]</f>
        <v>#VALUE!</v>
      </c>
      <c r="AE2100" s="43"/>
      <c r="AF2100" s="181"/>
    </row>
    <row r="2101" spans="1:32">
      <c r="A2101" s="84"/>
      <c r="B2101" s="39"/>
      <c r="C2101" s="40"/>
      <c r="D2101" s="41"/>
      <c r="E2101" s="40"/>
      <c r="F2101" s="41"/>
      <c r="G2101" s="101"/>
      <c r="H2101" s="38"/>
      <c r="I2101" s="42"/>
      <c r="J2101" s="42"/>
      <c r="K2101" s="43"/>
      <c r="L2101" s="43"/>
      <c r="M2101" s="44" t="str">
        <f>IF(LayTable[[#This Row],[Sport]]="","",LayTable[[#This Row],[LayInnsats]]*(LayTable[[#This Row],[LayOdds]]-1))</f>
        <v/>
      </c>
      <c r="N2101" s="45" t="str">
        <f>IF(LayTable[[#This Row],[Sport]]="","",1/((1/LayTable[[#This Row],[BookieOdds]])+(1/((1/((1+((LayTable[[#This Row],[LayOdds]]-1)*(1+LayTable[[#This Row],[C% Lay]])))-1))+1)))-1)</f>
        <v/>
      </c>
      <c r="Q2101" s="46" t="str">
        <f>IF(LayTable[[#This Row],[Sport]]="","",LayTable[[#This Row],[BookieInnsats]]+LayTable[[#This Row],[LayLiability]])</f>
        <v/>
      </c>
      <c r="R21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1" s="47" t="str">
        <f>IF(LayTable[[#This Row],[Utfall bookie]]="","",LayTable[[#This Row],[WBABack]]+LayTable[[#This Row],[WBALay]]-LayTable[[#This Row],[Total inns]])</f>
        <v/>
      </c>
      <c r="U21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1" s="48" t="str">
        <f>IFERROR(IF(LayTable[[#This Row],[Total inns]]="","",LayTable[[#This Row],[Rback]]/LayTable[[#This Row],[Total inns]]),"")</f>
        <v/>
      </c>
      <c r="X2101" s="48" t="str">
        <f>IFERROR(IF(LayTable[[#This Row],[Total inns]]="","",LayTable[[#This Row],[Rlay]]/LayTable[[#This Row],[Total inns]]),"")</f>
        <v/>
      </c>
      <c r="Y2101" s="48" t="str">
        <f>IFERROR(LayTable[[#This Row],[Faktisk res]]/LayTable[[#This Row],[Total inns]],"")</f>
        <v/>
      </c>
      <c r="Z2101" s="47">
        <f>(LayTable[[#This Row],[BookieInnsats]]*LayTable[[#This Row],[BookieOdds]]-LayTable[[#This Row],[BookieInnsats]])*(1-LayTable[[#This Row],[C% Bookie]])</f>
        <v>0</v>
      </c>
      <c r="AA2101" s="43">
        <f>LayTable[[#This Row],[LayInnsats]]*(1-LayTable[[#This Row],[C% Lay]])</f>
        <v>0</v>
      </c>
      <c r="AB2101" s="43" t="str">
        <f>IFERROR(IF(LayTable[[#This Row],[Sport]]="",AB2100,LayTable[[#This Row],[Faktisk res]]+AB2100),"")</f>
        <v/>
      </c>
      <c r="AC2101" s="43">
        <f>(LayTable[[#This Row],[BackWin-Commission]]+LayTable[[#This Row],[BookieInnsats]])</f>
        <v>0</v>
      </c>
      <c r="AD2101" s="43" t="e">
        <f>(LayTable[[#This Row],[LayWin-Commission]])+LayTable[[#This Row],[LayLiability]]</f>
        <v>#VALUE!</v>
      </c>
      <c r="AE2101" s="43"/>
      <c r="AF2101" s="181"/>
    </row>
    <row r="2102" spans="1:32">
      <c r="A2102" s="84"/>
      <c r="B2102" s="39"/>
      <c r="C2102" s="40"/>
      <c r="D2102" s="41"/>
      <c r="E2102" s="40"/>
      <c r="F2102" s="41"/>
      <c r="G2102" s="101"/>
      <c r="H2102" s="38"/>
      <c r="I2102" s="42"/>
      <c r="J2102" s="42"/>
      <c r="K2102" s="43"/>
      <c r="L2102" s="43"/>
      <c r="M2102" s="44" t="str">
        <f>IF(LayTable[[#This Row],[Sport]]="","",LayTable[[#This Row],[LayInnsats]]*(LayTable[[#This Row],[LayOdds]]-1))</f>
        <v/>
      </c>
      <c r="N2102" s="45" t="str">
        <f>IF(LayTable[[#This Row],[Sport]]="","",1/((1/LayTable[[#This Row],[BookieOdds]])+(1/((1/((1+((LayTable[[#This Row],[LayOdds]]-1)*(1+LayTable[[#This Row],[C% Lay]])))-1))+1)))-1)</f>
        <v/>
      </c>
      <c r="Q2102" s="46" t="str">
        <f>IF(LayTable[[#This Row],[Sport]]="","",LayTable[[#This Row],[BookieInnsats]]+LayTable[[#This Row],[LayLiability]])</f>
        <v/>
      </c>
      <c r="R21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2" s="47" t="str">
        <f>IF(LayTable[[#This Row],[Utfall bookie]]="","",LayTable[[#This Row],[WBABack]]+LayTable[[#This Row],[WBALay]]-LayTable[[#This Row],[Total inns]])</f>
        <v/>
      </c>
      <c r="U21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2" s="48" t="str">
        <f>IFERROR(IF(LayTable[[#This Row],[Total inns]]="","",LayTable[[#This Row],[Rback]]/LayTable[[#This Row],[Total inns]]),"")</f>
        <v/>
      </c>
      <c r="X2102" s="48" t="str">
        <f>IFERROR(IF(LayTable[[#This Row],[Total inns]]="","",LayTable[[#This Row],[Rlay]]/LayTable[[#This Row],[Total inns]]),"")</f>
        <v/>
      </c>
      <c r="Y2102" s="48" t="str">
        <f>IFERROR(LayTable[[#This Row],[Faktisk res]]/LayTable[[#This Row],[Total inns]],"")</f>
        <v/>
      </c>
      <c r="Z2102" s="47">
        <f>(LayTable[[#This Row],[BookieInnsats]]*LayTable[[#This Row],[BookieOdds]]-LayTable[[#This Row],[BookieInnsats]])*(1-LayTable[[#This Row],[C% Bookie]])</f>
        <v>0</v>
      </c>
      <c r="AA2102" s="43">
        <f>LayTable[[#This Row],[LayInnsats]]*(1-LayTable[[#This Row],[C% Lay]])</f>
        <v>0</v>
      </c>
      <c r="AB2102" s="43" t="str">
        <f>IFERROR(IF(LayTable[[#This Row],[Sport]]="",AB2101,LayTable[[#This Row],[Faktisk res]]+AB2101),"")</f>
        <v/>
      </c>
      <c r="AC2102" s="43">
        <f>(LayTable[[#This Row],[BackWin-Commission]]+LayTable[[#This Row],[BookieInnsats]])</f>
        <v>0</v>
      </c>
      <c r="AD2102" s="43" t="e">
        <f>(LayTable[[#This Row],[LayWin-Commission]])+LayTable[[#This Row],[LayLiability]]</f>
        <v>#VALUE!</v>
      </c>
      <c r="AE2102" s="43"/>
      <c r="AF2102" s="181"/>
    </row>
    <row r="2103" spans="1:32">
      <c r="A2103" s="84"/>
      <c r="B2103" s="39"/>
      <c r="C2103" s="40"/>
      <c r="D2103" s="41"/>
      <c r="E2103" s="40"/>
      <c r="F2103" s="41"/>
      <c r="G2103" s="101"/>
      <c r="H2103" s="38"/>
      <c r="I2103" s="42"/>
      <c r="J2103" s="42"/>
      <c r="K2103" s="43"/>
      <c r="L2103" s="43"/>
      <c r="M2103" s="44" t="str">
        <f>IF(LayTable[[#This Row],[Sport]]="","",LayTable[[#This Row],[LayInnsats]]*(LayTable[[#This Row],[LayOdds]]-1))</f>
        <v/>
      </c>
      <c r="N2103" s="45" t="str">
        <f>IF(LayTable[[#This Row],[Sport]]="","",1/((1/LayTable[[#This Row],[BookieOdds]])+(1/((1/((1+((LayTable[[#This Row],[LayOdds]]-1)*(1+LayTable[[#This Row],[C% Lay]])))-1))+1)))-1)</f>
        <v/>
      </c>
      <c r="Q2103" s="46" t="str">
        <f>IF(LayTable[[#This Row],[Sport]]="","",LayTable[[#This Row],[BookieInnsats]]+LayTable[[#This Row],[LayLiability]])</f>
        <v/>
      </c>
      <c r="R21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3" s="47" t="str">
        <f>IF(LayTable[[#This Row],[Utfall bookie]]="","",LayTable[[#This Row],[WBABack]]+LayTable[[#This Row],[WBALay]]-LayTable[[#This Row],[Total inns]])</f>
        <v/>
      </c>
      <c r="U21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3" s="48" t="str">
        <f>IFERROR(IF(LayTable[[#This Row],[Total inns]]="","",LayTable[[#This Row],[Rback]]/LayTable[[#This Row],[Total inns]]),"")</f>
        <v/>
      </c>
      <c r="X2103" s="48" t="str">
        <f>IFERROR(IF(LayTable[[#This Row],[Total inns]]="","",LayTable[[#This Row],[Rlay]]/LayTable[[#This Row],[Total inns]]),"")</f>
        <v/>
      </c>
      <c r="Y2103" s="48" t="str">
        <f>IFERROR(LayTable[[#This Row],[Faktisk res]]/LayTable[[#This Row],[Total inns]],"")</f>
        <v/>
      </c>
      <c r="Z2103" s="47">
        <f>(LayTable[[#This Row],[BookieInnsats]]*LayTable[[#This Row],[BookieOdds]]-LayTable[[#This Row],[BookieInnsats]])*(1-LayTable[[#This Row],[C% Bookie]])</f>
        <v>0</v>
      </c>
      <c r="AA2103" s="43">
        <f>LayTable[[#This Row],[LayInnsats]]*(1-LayTable[[#This Row],[C% Lay]])</f>
        <v>0</v>
      </c>
      <c r="AB2103" s="43" t="str">
        <f>IFERROR(IF(LayTable[[#This Row],[Sport]]="",AB2102,LayTable[[#This Row],[Faktisk res]]+AB2102),"")</f>
        <v/>
      </c>
      <c r="AC2103" s="43">
        <f>(LayTable[[#This Row],[BackWin-Commission]]+LayTable[[#This Row],[BookieInnsats]])</f>
        <v>0</v>
      </c>
      <c r="AD2103" s="43" t="e">
        <f>(LayTable[[#This Row],[LayWin-Commission]])+LayTable[[#This Row],[LayLiability]]</f>
        <v>#VALUE!</v>
      </c>
      <c r="AE2103" s="43"/>
      <c r="AF2103" s="181"/>
    </row>
    <row r="2104" spans="1:32">
      <c r="A2104" s="84"/>
      <c r="B2104" s="39"/>
      <c r="C2104" s="40"/>
      <c r="D2104" s="41"/>
      <c r="E2104" s="40"/>
      <c r="F2104" s="41"/>
      <c r="G2104" s="101"/>
      <c r="H2104" s="38"/>
      <c r="I2104" s="42"/>
      <c r="J2104" s="42"/>
      <c r="K2104" s="43"/>
      <c r="L2104" s="43"/>
      <c r="M2104" s="44" t="str">
        <f>IF(LayTable[[#This Row],[Sport]]="","",LayTable[[#This Row],[LayInnsats]]*(LayTable[[#This Row],[LayOdds]]-1))</f>
        <v/>
      </c>
      <c r="N2104" s="45" t="str">
        <f>IF(LayTable[[#This Row],[Sport]]="","",1/((1/LayTable[[#This Row],[BookieOdds]])+(1/((1/((1+((LayTable[[#This Row],[LayOdds]]-1)*(1+LayTable[[#This Row],[C% Lay]])))-1))+1)))-1)</f>
        <v/>
      </c>
      <c r="Q2104" s="46" t="str">
        <f>IF(LayTable[[#This Row],[Sport]]="","",LayTable[[#This Row],[BookieInnsats]]+LayTable[[#This Row],[LayLiability]])</f>
        <v/>
      </c>
      <c r="R21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4" s="47" t="str">
        <f>IF(LayTable[[#This Row],[Utfall bookie]]="","",LayTable[[#This Row],[WBABack]]+LayTable[[#This Row],[WBALay]]-LayTable[[#This Row],[Total inns]])</f>
        <v/>
      </c>
      <c r="U21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4" s="48" t="str">
        <f>IFERROR(IF(LayTable[[#This Row],[Total inns]]="","",LayTable[[#This Row],[Rback]]/LayTable[[#This Row],[Total inns]]),"")</f>
        <v/>
      </c>
      <c r="X2104" s="48" t="str">
        <f>IFERROR(IF(LayTable[[#This Row],[Total inns]]="","",LayTable[[#This Row],[Rlay]]/LayTable[[#This Row],[Total inns]]),"")</f>
        <v/>
      </c>
      <c r="Y2104" s="48" t="str">
        <f>IFERROR(LayTable[[#This Row],[Faktisk res]]/LayTable[[#This Row],[Total inns]],"")</f>
        <v/>
      </c>
      <c r="Z2104" s="47">
        <f>(LayTable[[#This Row],[BookieInnsats]]*LayTable[[#This Row],[BookieOdds]]-LayTable[[#This Row],[BookieInnsats]])*(1-LayTable[[#This Row],[C% Bookie]])</f>
        <v>0</v>
      </c>
      <c r="AA2104" s="43">
        <f>LayTable[[#This Row],[LayInnsats]]*(1-LayTable[[#This Row],[C% Lay]])</f>
        <v>0</v>
      </c>
      <c r="AB2104" s="43" t="str">
        <f>IFERROR(IF(LayTable[[#This Row],[Sport]]="",AB2103,LayTable[[#This Row],[Faktisk res]]+AB2103),"")</f>
        <v/>
      </c>
      <c r="AC2104" s="43">
        <f>(LayTable[[#This Row],[BackWin-Commission]]+LayTable[[#This Row],[BookieInnsats]])</f>
        <v>0</v>
      </c>
      <c r="AD2104" s="43" t="e">
        <f>(LayTable[[#This Row],[LayWin-Commission]])+LayTable[[#This Row],[LayLiability]]</f>
        <v>#VALUE!</v>
      </c>
      <c r="AE2104" s="43"/>
      <c r="AF2104" s="181"/>
    </row>
    <row r="2105" spans="1:32">
      <c r="A2105" s="84"/>
      <c r="B2105" s="39"/>
      <c r="C2105" s="40"/>
      <c r="D2105" s="41"/>
      <c r="E2105" s="40"/>
      <c r="F2105" s="41"/>
      <c r="G2105" s="101"/>
      <c r="H2105" s="38"/>
      <c r="I2105" s="42"/>
      <c r="J2105" s="42"/>
      <c r="K2105" s="43"/>
      <c r="L2105" s="43"/>
      <c r="M2105" s="44" t="str">
        <f>IF(LayTable[[#This Row],[Sport]]="","",LayTable[[#This Row],[LayInnsats]]*(LayTable[[#This Row],[LayOdds]]-1))</f>
        <v/>
      </c>
      <c r="N2105" s="45" t="str">
        <f>IF(LayTable[[#This Row],[Sport]]="","",1/((1/LayTable[[#This Row],[BookieOdds]])+(1/((1/((1+((LayTable[[#This Row],[LayOdds]]-1)*(1+LayTable[[#This Row],[C% Lay]])))-1))+1)))-1)</f>
        <v/>
      </c>
      <c r="Q2105" s="46" t="str">
        <f>IF(LayTable[[#This Row],[Sport]]="","",LayTable[[#This Row],[BookieInnsats]]+LayTable[[#This Row],[LayLiability]])</f>
        <v/>
      </c>
      <c r="R21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5" s="47" t="str">
        <f>IF(LayTable[[#This Row],[Utfall bookie]]="","",LayTable[[#This Row],[WBABack]]+LayTable[[#This Row],[WBALay]]-LayTable[[#This Row],[Total inns]])</f>
        <v/>
      </c>
      <c r="U21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5" s="48" t="str">
        <f>IFERROR(IF(LayTable[[#This Row],[Total inns]]="","",LayTable[[#This Row],[Rback]]/LayTable[[#This Row],[Total inns]]),"")</f>
        <v/>
      </c>
      <c r="X2105" s="48" t="str">
        <f>IFERROR(IF(LayTable[[#This Row],[Total inns]]="","",LayTable[[#This Row],[Rlay]]/LayTable[[#This Row],[Total inns]]),"")</f>
        <v/>
      </c>
      <c r="Y2105" s="48" t="str">
        <f>IFERROR(LayTable[[#This Row],[Faktisk res]]/LayTable[[#This Row],[Total inns]],"")</f>
        <v/>
      </c>
      <c r="Z2105" s="47">
        <f>(LayTable[[#This Row],[BookieInnsats]]*LayTable[[#This Row],[BookieOdds]]-LayTable[[#This Row],[BookieInnsats]])*(1-LayTable[[#This Row],[C% Bookie]])</f>
        <v>0</v>
      </c>
      <c r="AA2105" s="43">
        <f>LayTable[[#This Row],[LayInnsats]]*(1-LayTable[[#This Row],[C% Lay]])</f>
        <v>0</v>
      </c>
      <c r="AB2105" s="43" t="str">
        <f>IFERROR(IF(LayTable[[#This Row],[Sport]]="",AB2104,LayTable[[#This Row],[Faktisk res]]+AB2104),"")</f>
        <v/>
      </c>
      <c r="AC2105" s="43">
        <f>(LayTable[[#This Row],[BackWin-Commission]]+LayTable[[#This Row],[BookieInnsats]])</f>
        <v>0</v>
      </c>
      <c r="AD2105" s="43" t="e">
        <f>(LayTable[[#This Row],[LayWin-Commission]])+LayTable[[#This Row],[LayLiability]]</f>
        <v>#VALUE!</v>
      </c>
      <c r="AE2105" s="43"/>
      <c r="AF2105" s="181"/>
    </row>
    <row r="2106" spans="1:32">
      <c r="A2106" s="84"/>
      <c r="B2106" s="39"/>
      <c r="C2106" s="40"/>
      <c r="D2106" s="41"/>
      <c r="E2106" s="40"/>
      <c r="F2106" s="41"/>
      <c r="G2106" s="101"/>
      <c r="H2106" s="38"/>
      <c r="I2106" s="42"/>
      <c r="J2106" s="42"/>
      <c r="K2106" s="43"/>
      <c r="L2106" s="43"/>
      <c r="M2106" s="44" t="str">
        <f>IF(LayTable[[#This Row],[Sport]]="","",LayTable[[#This Row],[LayInnsats]]*(LayTable[[#This Row],[LayOdds]]-1))</f>
        <v/>
      </c>
      <c r="N2106" s="45" t="str">
        <f>IF(LayTable[[#This Row],[Sport]]="","",1/((1/LayTable[[#This Row],[BookieOdds]])+(1/((1/((1+((LayTable[[#This Row],[LayOdds]]-1)*(1+LayTable[[#This Row],[C% Lay]])))-1))+1)))-1)</f>
        <v/>
      </c>
      <c r="Q2106" s="46" t="str">
        <f>IF(LayTable[[#This Row],[Sport]]="","",LayTable[[#This Row],[BookieInnsats]]+LayTable[[#This Row],[LayLiability]])</f>
        <v/>
      </c>
      <c r="R21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6" s="47" t="str">
        <f>IF(LayTable[[#This Row],[Utfall bookie]]="","",LayTable[[#This Row],[WBABack]]+LayTable[[#This Row],[WBALay]]-LayTable[[#This Row],[Total inns]])</f>
        <v/>
      </c>
      <c r="U21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6" s="48" t="str">
        <f>IFERROR(IF(LayTable[[#This Row],[Total inns]]="","",LayTable[[#This Row],[Rback]]/LayTable[[#This Row],[Total inns]]),"")</f>
        <v/>
      </c>
      <c r="X2106" s="48" t="str">
        <f>IFERROR(IF(LayTable[[#This Row],[Total inns]]="","",LayTable[[#This Row],[Rlay]]/LayTable[[#This Row],[Total inns]]),"")</f>
        <v/>
      </c>
      <c r="Y2106" s="48" t="str">
        <f>IFERROR(LayTable[[#This Row],[Faktisk res]]/LayTable[[#This Row],[Total inns]],"")</f>
        <v/>
      </c>
      <c r="Z2106" s="47">
        <f>(LayTable[[#This Row],[BookieInnsats]]*LayTable[[#This Row],[BookieOdds]]-LayTable[[#This Row],[BookieInnsats]])*(1-LayTable[[#This Row],[C% Bookie]])</f>
        <v>0</v>
      </c>
      <c r="AA2106" s="43">
        <f>LayTable[[#This Row],[LayInnsats]]*(1-LayTable[[#This Row],[C% Lay]])</f>
        <v>0</v>
      </c>
      <c r="AB2106" s="43" t="str">
        <f>IFERROR(IF(LayTable[[#This Row],[Sport]]="",AB2105,LayTable[[#This Row],[Faktisk res]]+AB2105),"")</f>
        <v/>
      </c>
      <c r="AC2106" s="43">
        <f>(LayTable[[#This Row],[BackWin-Commission]]+LayTable[[#This Row],[BookieInnsats]])</f>
        <v>0</v>
      </c>
      <c r="AD2106" s="43" t="e">
        <f>(LayTable[[#This Row],[LayWin-Commission]])+LayTable[[#This Row],[LayLiability]]</f>
        <v>#VALUE!</v>
      </c>
      <c r="AE2106" s="43"/>
      <c r="AF2106" s="181"/>
    </row>
    <row r="2107" spans="1:32">
      <c r="A2107" s="84"/>
      <c r="B2107" s="39"/>
      <c r="C2107" s="40"/>
      <c r="D2107" s="41"/>
      <c r="E2107" s="40"/>
      <c r="F2107" s="41"/>
      <c r="G2107" s="101"/>
      <c r="H2107" s="38"/>
      <c r="I2107" s="42"/>
      <c r="J2107" s="42"/>
      <c r="K2107" s="43"/>
      <c r="L2107" s="43"/>
      <c r="M2107" s="44" t="str">
        <f>IF(LayTable[[#This Row],[Sport]]="","",LayTable[[#This Row],[LayInnsats]]*(LayTable[[#This Row],[LayOdds]]-1))</f>
        <v/>
      </c>
      <c r="N2107" s="45" t="str">
        <f>IF(LayTable[[#This Row],[Sport]]="","",1/((1/LayTable[[#This Row],[BookieOdds]])+(1/((1/((1+((LayTable[[#This Row],[LayOdds]]-1)*(1+LayTable[[#This Row],[C% Lay]])))-1))+1)))-1)</f>
        <v/>
      </c>
      <c r="Q2107" s="46" t="str">
        <f>IF(LayTable[[#This Row],[Sport]]="","",LayTable[[#This Row],[BookieInnsats]]+LayTable[[#This Row],[LayLiability]])</f>
        <v/>
      </c>
      <c r="R21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7" s="47" t="str">
        <f>IF(LayTable[[#This Row],[Utfall bookie]]="","",LayTable[[#This Row],[WBABack]]+LayTable[[#This Row],[WBALay]]-LayTable[[#This Row],[Total inns]])</f>
        <v/>
      </c>
      <c r="U21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7" s="48" t="str">
        <f>IFERROR(IF(LayTable[[#This Row],[Total inns]]="","",LayTable[[#This Row],[Rback]]/LayTable[[#This Row],[Total inns]]),"")</f>
        <v/>
      </c>
      <c r="X2107" s="48" t="str">
        <f>IFERROR(IF(LayTable[[#This Row],[Total inns]]="","",LayTable[[#This Row],[Rlay]]/LayTable[[#This Row],[Total inns]]),"")</f>
        <v/>
      </c>
      <c r="Y2107" s="48" t="str">
        <f>IFERROR(LayTable[[#This Row],[Faktisk res]]/LayTable[[#This Row],[Total inns]],"")</f>
        <v/>
      </c>
      <c r="Z2107" s="47">
        <f>(LayTable[[#This Row],[BookieInnsats]]*LayTable[[#This Row],[BookieOdds]]-LayTable[[#This Row],[BookieInnsats]])*(1-LayTable[[#This Row],[C% Bookie]])</f>
        <v>0</v>
      </c>
      <c r="AA2107" s="43">
        <f>LayTable[[#This Row],[LayInnsats]]*(1-LayTable[[#This Row],[C% Lay]])</f>
        <v>0</v>
      </c>
      <c r="AB2107" s="43" t="str">
        <f>IFERROR(IF(LayTable[[#This Row],[Sport]]="",AB2106,LayTable[[#This Row],[Faktisk res]]+AB2106),"")</f>
        <v/>
      </c>
      <c r="AC2107" s="43">
        <f>(LayTable[[#This Row],[BackWin-Commission]]+LayTable[[#This Row],[BookieInnsats]])</f>
        <v>0</v>
      </c>
      <c r="AD2107" s="43" t="e">
        <f>(LayTable[[#This Row],[LayWin-Commission]])+LayTable[[#This Row],[LayLiability]]</f>
        <v>#VALUE!</v>
      </c>
      <c r="AE2107" s="43"/>
      <c r="AF2107" s="181"/>
    </row>
    <row r="2108" spans="1:32">
      <c r="A2108" s="84"/>
      <c r="B2108" s="39"/>
      <c r="C2108" s="40"/>
      <c r="D2108" s="41"/>
      <c r="E2108" s="40"/>
      <c r="F2108" s="41"/>
      <c r="G2108" s="101"/>
      <c r="H2108" s="38"/>
      <c r="I2108" s="42"/>
      <c r="J2108" s="42"/>
      <c r="K2108" s="43"/>
      <c r="L2108" s="43"/>
      <c r="M2108" s="44" t="str">
        <f>IF(LayTable[[#This Row],[Sport]]="","",LayTable[[#This Row],[LayInnsats]]*(LayTable[[#This Row],[LayOdds]]-1))</f>
        <v/>
      </c>
      <c r="N2108" s="45" t="str">
        <f>IF(LayTable[[#This Row],[Sport]]="","",1/((1/LayTable[[#This Row],[BookieOdds]])+(1/((1/((1+((LayTable[[#This Row],[LayOdds]]-1)*(1+LayTable[[#This Row],[C% Lay]])))-1))+1)))-1)</f>
        <v/>
      </c>
      <c r="Q2108" s="46" t="str">
        <f>IF(LayTable[[#This Row],[Sport]]="","",LayTable[[#This Row],[BookieInnsats]]+LayTable[[#This Row],[LayLiability]])</f>
        <v/>
      </c>
      <c r="R21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8" s="47" t="str">
        <f>IF(LayTable[[#This Row],[Utfall bookie]]="","",LayTable[[#This Row],[WBABack]]+LayTable[[#This Row],[WBALay]]-LayTable[[#This Row],[Total inns]])</f>
        <v/>
      </c>
      <c r="U21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8" s="48" t="str">
        <f>IFERROR(IF(LayTable[[#This Row],[Total inns]]="","",LayTable[[#This Row],[Rback]]/LayTable[[#This Row],[Total inns]]),"")</f>
        <v/>
      </c>
      <c r="X2108" s="48" t="str">
        <f>IFERROR(IF(LayTable[[#This Row],[Total inns]]="","",LayTable[[#This Row],[Rlay]]/LayTable[[#This Row],[Total inns]]),"")</f>
        <v/>
      </c>
      <c r="Y2108" s="48" t="str">
        <f>IFERROR(LayTable[[#This Row],[Faktisk res]]/LayTable[[#This Row],[Total inns]],"")</f>
        <v/>
      </c>
      <c r="Z2108" s="47">
        <f>(LayTable[[#This Row],[BookieInnsats]]*LayTable[[#This Row],[BookieOdds]]-LayTable[[#This Row],[BookieInnsats]])*(1-LayTable[[#This Row],[C% Bookie]])</f>
        <v>0</v>
      </c>
      <c r="AA2108" s="43">
        <f>LayTable[[#This Row],[LayInnsats]]*(1-LayTable[[#This Row],[C% Lay]])</f>
        <v>0</v>
      </c>
      <c r="AB2108" s="43" t="str">
        <f>IFERROR(IF(LayTable[[#This Row],[Sport]]="",AB2107,LayTable[[#This Row],[Faktisk res]]+AB2107),"")</f>
        <v/>
      </c>
      <c r="AC2108" s="43">
        <f>(LayTable[[#This Row],[BackWin-Commission]]+LayTable[[#This Row],[BookieInnsats]])</f>
        <v>0</v>
      </c>
      <c r="AD2108" s="43" t="e">
        <f>(LayTable[[#This Row],[LayWin-Commission]])+LayTable[[#This Row],[LayLiability]]</f>
        <v>#VALUE!</v>
      </c>
      <c r="AE2108" s="43"/>
      <c r="AF2108" s="181"/>
    </row>
    <row r="2109" spans="1:32">
      <c r="A2109" s="84"/>
      <c r="B2109" s="39"/>
      <c r="C2109" s="40"/>
      <c r="D2109" s="41"/>
      <c r="E2109" s="40"/>
      <c r="F2109" s="41"/>
      <c r="G2109" s="101"/>
      <c r="H2109" s="38"/>
      <c r="I2109" s="42"/>
      <c r="J2109" s="42"/>
      <c r="K2109" s="43"/>
      <c r="L2109" s="43"/>
      <c r="M2109" s="44" t="str">
        <f>IF(LayTable[[#This Row],[Sport]]="","",LayTable[[#This Row],[LayInnsats]]*(LayTable[[#This Row],[LayOdds]]-1))</f>
        <v/>
      </c>
      <c r="N2109" s="45" t="str">
        <f>IF(LayTable[[#This Row],[Sport]]="","",1/((1/LayTable[[#This Row],[BookieOdds]])+(1/((1/((1+((LayTable[[#This Row],[LayOdds]]-1)*(1+LayTable[[#This Row],[C% Lay]])))-1))+1)))-1)</f>
        <v/>
      </c>
      <c r="Q2109" s="46" t="str">
        <f>IF(LayTable[[#This Row],[Sport]]="","",LayTable[[#This Row],[BookieInnsats]]+LayTable[[#This Row],[LayLiability]])</f>
        <v/>
      </c>
      <c r="R21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09" s="47" t="str">
        <f>IF(LayTable[[#This Row],[Utfall bookie]]="","",LayTable[[#This Row],[WBABack]]+LayTable[[#This Row],[WBALay]]-LayTable[[#This Row],[Total inns]])</f>
        <v/>
      </c>
      <c r="U21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09" s="48" t="str">
        <f>IFERROR(IF(LayTable[[#This Row],[Total inns]]="","",LayTable[[#This Row],[Rback]]/LayTable[[#This Row],[Total inns]]),"")</f>
        <v/>
      </c>
      <c r="X2109" s="48" t="str">
        <f>IFERROR(IF(LayTable[[#This Row],[Total inns]]="","",LayTable[[#This Row],[Rlay]]/LayTable[[#This Row],[Total inns]]),"")</f>
        <v/>
      </c>
      <c r="Y2109" s="48" t="str">
        <f>IFERROR(LayTable[[#This Row],[Faktisk res]]/LayTable[[#This Row],[Total inns]],"")</f>
        <v/>
      </c>
      <c r="Z2109" s="47">
        <f>(LayTable[[#This Row],[BookieInnsats]]*LayTable[[#This Row],[BookieOdds]]-LayTable[[#This Row],[BookieInnsats]])*(1-LayTable[[#This Row],[C% Bookie]])</f>
        <v>0</v>
      </c>
      <c r="AA2109" s="43">
        <f>LayTable[[#This Row],[LayInnsats]]*(1-LayTable[[#This Row],[C% Lay]])</f>
        <v>0</v>
      </c>
      <c r="AB2109" s="43" t="str">
        <f>IFERROR(IF(LayTable[[#This Row],[Sport]]="",AB2108,LayTable[[#This Row],[Faktisk res]]+AB2108),"")</f>
        <v/>
      </c>
      <c r="AC2109" s="43">
        <f>(LayTable[[#This Row],[BackWin-Commission]]+LayTable[[#This Row],[BookieInnsats]])</f>
        <v>0</v>
      </c>
      <c r="AD2109" s="43" t="e">
        <f>(LayTable[[#This Row],[LayWin-Commission]])+LayTable[[#This Row],[LayLiability]]</f>
        <v>#VALUE!</v>
      </c>
      <c r="AE2109" s="43"/>
      <c r="AF2109" s="181"/>
    </row>
    <row r="2110" spans="1:32">
      <c r="A2110" s="84"/>
      <c r="B2110" s="39"/>
      <c r="C2110" s="40"/>
      <c r="D2110" s="41"/>
      <c r="E2110" s="40"/>
      <c r="F2110" s="41"/>
      <c r="G2110" s="101"/>
      <c r="H2110" s="38"/>
      <c r="I2110" s="42"/>
      <c r="J2110" s="42"/>
      <c r="K2110" s="43"/>
      <c r="L2110" s="43"/>
      <c r="M2110" s="44" t="str">
        <f>IF(LayTable[[#This Row],[Sport]]="","",LayTable[[#This Row],[LayInnsats]]*(LayTable[[#This Row],[LayOdds]]-1))</f>
        <v/>
      </c>
      <c r="N2110" s="45" t="str">
        <f>IF(LayTable[[#This Row],[Sport]]="","",1/((1/LayTable[[#This Row],[BookieOdds]])+(1/((1/((1+((LayTable[[#This Row],[LayOdds]]-1)*(1+LayTable[[#This Row],[C% Lay]])))-1))+1)))-1)</f>
        <v/>
      </c>
      <c r="Q2110" s="46" t="str">
        <f>IF(LayTable[[#This Row],[Sport]]="","",LayTable[[#This Row],[BookieInnsats]]+LayTable[[#This Row],[LayLiability]])</f>
        <v/>
      </c>
      <c r="R21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0" s="47" t="str">
        <f>IF(LayTable[[#This Row],[Utfall bookie]]="","",LayTable[[#This Row],[WBABack]]+LayTable[[#This Row],[WBALay]]-LayTable[[#This Row],[Total inns]])</f>
        <v/>
      </c>
      <c r="U21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0" s="48" t="str">
        <f>IFERROR(IF(LayTable[[#This Row],[Total inns]]="","",LayTable[[#This Row],[Rback]]/LayTable[[#This Row],[Total inns]]),"")</f>
        <v/>
      </c>
      <c r="X2110" s="48" t="str">
        <f>IFERROR(IF(LayTable[[#This Row],[Total inns]]="","",LayTable[[#This Row],[Rlay]]/LayTable[[#This Row],[Total inns]]),"")</f>
        <v/>
      </c>
      <c r="Y2110" s="48" t="str">
        <f>IFERROR(LayTable[[#This Row],[Faktisk res]]/LayTable[[#This Row],[Total inns]],"")</f>
        <v/>
      </c>
      <c r="Z2110" s="47">
        <f>(LayTable[[#This Row],[BookieInnsats]]*LayTable[[#This Row],[BookieOdds]]-LayTable[[#This Row],[BookieInnsats]])*(1-LayTable[[#This Row],[C% Bookie]])</f>
        <v>0</v>
      </c>
      <c r="AA2110" s="43">
        <f>LayTable[[#This Row],[LayInnsats]]*(1-LayTable[[#This Row],[C% Lay]])</f>
        <v>0</v>
      </c>
      <c r="AB2110" s="43" t="str">
        <f>IFERROR(IF(LayTable[[#This Row],[Sport]]="",AB2109,LayTable[[#This Row],[Faktisk res]]+AB2109),"")</f>
        <v/>
      </c>
      <c r="AC2110" s="43">
        <f>(LayTable[[#This Row],[BackWin-Commission]]+LayTable[[#This Row],[BookieInnsats]])</f>
        <v>0</v>
      </c>
      <c r="AD2110" s="43" t="e">
        <f>(LayTable[[#This Row],[LayWin-Commission]])+LayTable[[#This Row],[LayLiability]]</f>
        <v>#VALUE!</v>
      </c>
      <c r="AE2110" s="43"/>
      <c r="AF2110" s="181"/>
    </row>
    <row r="2111" spans="1:32">
      <c r="A2111" s="84"/>
      <c r="B2111" s="39"/>
      <c r="C2111" s="40"/>
      <c r="D2111" s="41"/>
      <c r="E2111" s="40"/>
      <c r="F2111" s="41"/>
      <c r="G2111" s="101"/>
      <c r="H2111" s="38"/>
      <c r="I2111" s="42"/>
      <c r="J2111" s="42"/>
      <c r="K2111" s="43"/>
      <c r="L2111" s="43"/>
      <c r="M2111" s="44" t="str">
        <f>IF(LayTable[[#This Row],[Sport]]="","",LayTable[[#This Row],[LayInnsats]]*(LayTable[[#This Row],[LayOdds]]-1))</f>
        <v/>
      </c>
      <c r="N2111" s="45" t="str">
        <f>IF(LayTable[[#This Row],[Sport]]="","",1/((1/LayTable[[#This Row],[BookieOdds]])+(1/((1/((1+((LayTable[[#This Row],[LayOdds]]-1)*(1+LayTable[[#This Row],[C% Lay]])))-1))+1)))-1)</f>
        <v/>
      </c>
      <c r="Q2111" s="46" t="str">
        <f>IF(LayTable[[#This Row],[Sport]]="","",LayTable[[#This Row],[BookieInnsats]]+LayTable[[#This Row],[LayLiability]])</f>
        <v/>
      </c>
      <c r="R21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1" s="47" t="str">
        <f>IF(LayTable[[#This Row],[Utfall bookie]]="","",LayTable[[#This Row],[WBABack]]+LayTable[[#This Row],[WBALay]]-LayTable[[#This Row],[Total inns]])</f>
        <v/>
      </c>
      <c r="U21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1" s="48" t="str">
        <f>IFERROR(IF(LayTable[[#This Row],[Total inns]]="","",LayTable[[#This Row],[Rback]]/LayTable[[#This Row],[Total inns]]),"")</f>
        <v/>
      </c>
      <c r="X2111" s="48" t="str">
        <f>IFERROR(IF(LayTable[[#This Row],[Total inns]]="","",LayTable[[#This Row],[Rlay]]/LayTable[[#This Row],[Total inns]]),"")</f>
        <v/>
      </c>
      <c r="Y2111" s="48" t="str">
        <f>IFERROR(LayTable[[#This Row],[Faktisk res]]/LayTable[[#This Row],[Total inns]],"")</f>
        <v/>
      </c>
      <c r="Z2111" s="47">
        <f>(LayTable[[#This Row],[BookieInnsats]]*LayTable[[#This Row],[BookieOdds]]-LayTable[[#This Row],[BookieInnsats]])*(1-LayTable[[#This Row],[C% Bookie]])</f>
        <v>0</v>
      </c>
      <c r="AA2111" s="43">
        <f>LayTable[[#This Row],[LayInnsats]]*(1-LayTable[[#This Row],[C% Lay]])</f>
        <v>0</v>
      </c>
      <c r="AB2111" s="43" t="str">
        <f>IFERROR(IF(LayTable[[#This Row],[Sport]]="",AB2110,LayTable[[#This Row],[Faktisk res]]+AB2110),"")</f>
        <v/>
      </c>
      <c r="AC2111" s="43">
        <f>(LayTable[[#This Row],[BackWin-Commission]]+LayTable[[#This Row],[BookieInnsats]])</f>
        <v>0</v>
      </c>
      <c r="AD2111" s="43" t="e">
        <f>(LayTable[[#This Row],[LayWin-Commission]])+LayTable[[#This Row],[LayLiability]]</f>
        <v>#VALUE!</v>
      </c>
      <c r="AE2111" s="43"/>
      <c r="AF2111" s="181"/>
    </row>
    <row r="2112" spans="1:32">
      <c r="A2112" s="84"/>
      <c r="B2112" s="39"/>
      <c r="C2112" s="40"/>
      <c r="D2112" s="41"/>
      <c r="E2112" s="40"/>
      <c r="F2112" s="41"/>
      <c r="G2112" s="101"/>
      <c r="H2112" s="38"/>
      <c r="I2112" s="42"/>
      <c r="J2112" s="42"/>
      <c r="K2112" s="43"/>
      <c r="L2112" s="43"/>
      <c r="M2112" s="44" t="str">
        <f>IF(LayTable[[#This Row],[Sport]]="","",LayTable[[#This Row],[LayInnsats]]*(LayTable[[#This Row],[LayOdds]]-1))</f>
        <v/>
      </c>
      <c r="N2112" s="45" t="str">
        <f>IF(LayTable[[#This Row],[Sport]]="","",1/((1/LayTable[[#This Row],[BookieOdds]])+(1/((1/((1+((LayTable[[#This Row],[LayOdds]]-1)*(1+LayTable[[#This Row],[C% Lay]])))-1))+1)))-1)</f>
        <v/>
      </c>
      <c r="Q2112" s="46" t="str">
        <f>IF(LayTable[[#This Row],[Sport]]="","",LayTable[[#This Row],[BookieInnsats]]+LayTable[[#This Row],[LayLiability]])</f>
        <v/>
      </c>
      <c r="R21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2" s="47" t="str">
        <f>IF(LayTable[[#This Row],[Utfall bookie]]="","",LayTable[[#This Row],[WBABack]]+LayTable[[#This Row],[WBALay]]-LayTable[[#This Row],[Total inns]])</f>
        <v/>
      </c>
      <c r="U21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2" s="48" t="str">
        <f>IFERROR(IF(LayTable[[#This Row],[Total inns]]="","",LayTable[[#This Row],[Rback]]/LayTable[[#This Row],[Total inns]]),"")</f>
        <v/>
      </c>
      <c r="X2112" s="48" t="str">
        <f>IFERROR(IF(LayTable[[#This Row],[Total inns]]="","",LayTable[[#This Row],[Rlay]]/LayTable[[#This Row],[Total inns]]),"")</f>
        <v/>
      </c>
      <c r="Y2112" s="48" t="str">
        <f>IFERROR(LayTable[[#This Row],[Faktisk res]]/LayTable[[#This Row],[Total inns]],"")</f>
        <v/>
      </c>
      <c r="Z2112" s="47">
        <f>(LayTable[[#This Row],[BookieInnsats]]*LayTable[[#This Row],[BookieOdds]]-LayTable[[#This Row],[BookieInnsats]])*(1-LayTable[[#This Row],[C% Bookie]])</f>
        <v>0</v>
      </c>
      <c r="AA2112" s="43">
        <f>LayTable[[#This Row],[LayInnsats]]*(1-LayTable[[#This Row],[C% Lay]])</f>
        <v>0</v>
      </c>
      <c r="AB2112" s="43" t="str">
        <f>IFERROR(IF(LayTable[[#This Row],[Sport]]="",AB2111,LayTable[[#This Row],[Faktisk res]]+AB2111),"")</f>
        <v/>
      </c>
      <c r="AC2112" s="43">
        <f>(LayTable[[#This Row],[BackWin-Commission]]+LayTable[[#This Row],[BookieInnsats]])</f>
        <v>0</v>
      </c>
      <c r="AD2112" s="43" t="e">
        <f>(LayTable[[#This Row],[LayWin-Commission]])+LayTable[[#This Row],[LayLiability]]</f>
        <v>#VALUE!</v>
      </c>
      <c r="AE2112" s="43"/>
      <c r="AF2112" s="181"/>
    </row>
    <row r="2113" spans="1:32">
      <c r="A2113" s="84"/>
      <c r="B2113" s="39"/>
      <c r="C2113" s="40"/>
      <c r="D2113" s="41"/>
      <c r="E2113" s="40"/>
      <c r="F2113" s="41"/>
      <c r="G2113" s="101"/>
      <c r="H2113" s="38"/>
      <c r="I2113" s="42"/>
      <c r="J2113" s="42"/>
      <c r="K2113" s="43"/>
      <c r="L2113" s="43"/>
      <c r="M2113" s="44" t="str">
        <f>IF(LayTable[[#This Row],[Sport]]="","",LayTable[[#This Row],[LayInnsats]]*(LayTable[[#This Row],[LayOdds]]-1))</f>
        <v/>
      </c>
      <c r="N2113" s="45" t="str">
        <f>IF(LayTable[[#This Row],[Sport]]="","",1/((1/LayTable[[#This Row],[BookieOdds]])+(1/((1/((1+((LayTable[[#This Row],[LayOdds]]-1)*(1+LayTable[[#This Row],[C% Lay]])))-1))+1)))-1)</f>
        <v/>
      </c>
      <c r="Q2113" s="46" t="str">
        <f>IF(LayTable[[#This Row],[Sport]]="","",LayTable[[#This Row],[BookieInnsats]]+LayTable[[#This Row],[LayLiability]])</f>
        <v/>
      </c>
      <c r="R21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3" s="47" t="str">
        <f>IF(LayTable[[#This Row],[Utfall bookie]]="","",LayTable[[#This Row],[WBABack]]+LayTable[[#This Row],[WBALay]]-LayTable[[#This Row],[Total inns]])</f>
        <v/>
      </c>
      <c r="U21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3" s="48" t="str">
        <f>IFERROR(IF(LayTable[[#This Row],[Total inns]]="","",LayTable[[#This Row],[Rback]]/LayTable[[#This Row],[Total inns]]),"")</f>
        <v/>
      </c>
      <c r="X2113" s="48" t="str">
        <f>IFERROR(IF(LayTable[[#This Row],[Total inns]]="","",LayTable[[#This Row],[Rlay]]/LayTable[[#This Row],[Total inns]]),"")</f>
        <v/>
      </c>
      <c r="Y2113" s="48" t="str">
        <f>IFERROR(LayTable[[#This Row],[Faktisk res]]/LayTable[[#This Row],[Total inns]],"")</f>
        <v/>
      </c>
      <c r="Z2113" s="47">
        <f>(LayTable[[#This Row],[BookieInnsats]]*LayTable[[#This Row],[BookieOdds]]-LayTable[[#This Row],[BookieInnsats]])*(1-LayTable[[#This Row],[C% Bookie]])</f>
        <v>0</v>
      </c>
      <c r="AA2113" s="43">
        <f>LayTable[[#This Row],[LayInnsats]]*(1-LayTable[[#This Row],[C% Lay]])</f>
        <v>0</v>
      </c>
      <c r="AB2113" s="43" t="str">
        <f>IFERROR(IF(LayTable[[#This Row],[Sport]]="",AB2112,LayTable[[#This Row],[Faktisk res]]+AB2112),"")</f>
        <v/>
      </c>
      <c r="AC2113" s="43">
        <f>(LayTable[[#This Row],[BackWin-Commission]]+LayTable[[#This Row],[BookieInnsats]])</f>
        <v>0</v>
      </c>
      <c r="AD2113" s="43" t="e">
        <f>(LayTable[[#This Row],[LayWin-Commission]])+LayTable[[#This Row],[LayLiability]]</f>
        <v>#VALUE!</v>
      </c>
      <c r="AE2113" s="43"/>
      <c r="AF2113" s="181"/>
    </row>
    <row r="2114" spans="1:32">
      <c r="A2114" s="84"/>
      <c r="B2114" s="39"/>
      <c r="C2114" s="40"/>
      <c r="D2114" s="41"/>
      <c r="E2114" s="40"/>
      <c r="F2114" s="41"/>
      <c r="G2114" s="101"/>
      <c r="H2114" s="38"/>
      <c r="I2114" s="42"/>
      <c r="J2114" s="42"/>
      <c r="K2114" s="43"/>
      <c r="L2114" s="43"/>
      <c r="M2114" s="44" t="str">
        <f>IF(LayTable[[#This Row],[Sport]]="","",LayTable[[#This Row],[LayInnsats]]*(LayTable[[#This Row],[LayOdds]]-1))</f>
        <v/>
      </c>
      <c r="N2114" s="45" t="str">
        <f>IF(LayTable[[#This Row],[Sport]]="","",1/((1/LayTable[[#This Row],[BookieOdds]])+(1/((1/((1+((LayTable[[#This Row],[LayOdds]]-1)*(1+LayTable[[#This Row],[C% Lay]])))-1))+1)))-1)</f>
        <v/>
      </c>
      <c r="Q2114" s="46" t="str">
        <f>IF(LayTable[[#This Row],[Sport]]="","",LayTable[[#This Row],[BookieInnsats]]+LayTable[[#This Row],[LayLiability]])</f>
        <v/>
      </c>
      <c r="R21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4" s="47" t="str">
        <f>IF(LayTable[[#This Row],[Utfall bookie]]="","",LayTable[[#This Row],[WBABack]]+LayTable[[#This Row],[WBALay]]-LayTable[[#This Row],[Total inns]])</f>
        <v/>
      </c>
      <c r="U21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4" s="48" t="str">
        <f>IFERROR(IF(LayTable[[#This Row],[Total inns]]="","",LayTable[[#This Row],[Rback]]/LayTable[[#This Row],[Total inns]]),"")</f>
        <v/>
      </c>
      <c r="X2114" s="48" t="str">
        <f>IFERROR(IF(LayTable[[#This Row],[Total inns]]="","",LayTable[[#This Row],[Rlay]]/LayTable[[#This Row],[Total inns]]),"")</f>
        <v/>
      </c>
      <c r="Y2114" s="48" t="str">
        <f>IFERROR(LayTable[[#This Row],[Faktisk res]]/LayTable[[#This Row],[Total inns]],"")</f>
        <v/>
      </c>
      <c r="Z2114" s="47">
        <f>(LayTable[[#This Row],[BookieInnsats]]*LayTable[[#This Row],[BookieOdds]]-LayTable[[#This Row],[BookieInnsats]])*(1-LayTable[[#This Row],[C% Bookie]])</f>
        <v>0</v>
      </c>
      <c r="AA2114" s="43">
        <f>LayTable[[#This Row],[LayInnsats]]*(1-LayTable[[#This Row],[C% Lay]])</f>
        <v>0</v>
      </c>
      <c r="AB2114" s="43" t="str">
        <f>IFERROR(IF(LayTable[[#This Row],[Sport]]="",AB2113,LayTable[[#This Row],[Faktisk res]]+AB2113),"")</f>
        <v/>
      </c>
      <c r="AC2114" s="43">
        <f>(LayTable[[#This Row],[BackWin-Commission]]+LayTable[[#This Row],[BookieInnsats]])</f>
        <v>0</v>
      </c>
      <c r="AD2114" s="43" t="e">
        <f>(LayTable[[#This Row],[LayWin-Commission]])+LayTable[[#This Row],[LayLiability]]</f>
        <v>#VALUE!</v>
      </c>
      <c r="AE2114" s="43"/>
      <c r="AF2114" s="181"/>
    </row>
    <row r="2115" spans="1:32">
      <c r="A2115" s="84"/>
      <c r="B2115" s="39"/>
      <c r="C2115" s="40"/>
      <c r="D2115" s="41"/>
      <c r="E2115" s="40"/>
      <c r="F2115" s="41"/>
      <c r="G2115" s="101"/>
      <c r="H2115" s="38"/>
      <c r="I2115" s="42"/>
      <c r="J2115" s="42"/>
      <c r="K2115" s="43"/>
      <c r="L2115" s="43"/>
      <c r="M2115" s="44" t="str">
        <f>IF(LayTable[[#This Row],[Sport]]="","",LayTable[[#This Row],[LayInnsats]]*(LayTable[[#This Row],[LayOdds]]-1))</f>
        <v/>
      </c>
      <c r="N2115" s="45" t="str">
        <f>IF(LayTable[[#This Row],[Sport]]="","",1/((1/LayTable[[#This Row],[BookieOdds]])+(1/((1/((1+((LayTable[[#This Row],[LayOdds]]-1)*(1+LayTable[[#This Row],[C% Lay]])))-1))+1)))-1)</f>
        <v/>
      </c>
      <c r="Q2115" s="46" t="str">
        <f>IF(LayTable[[#This Row],[Sport]]="","",LayTable[[#This Row],[BookieInnsats]]+LayTable[[#This Row],[LayLiability]])</f>
        <v/>
      </c>
      <c r="R21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5" s="47" t="str">
        <f>IF(LayTable[[#This Row],[Utfall bookie]]="","",LayTable[[#This Row],[WBABack]]+LayTable[[#This Row],[WBALay]]-LayTable[[#This Row],[Total inns]])</f>
        <v/>
      </c>
      <c r="U21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5" s="48" t="str">
        <f>IFERROR(IF(LayTable[[#This Row],[Total inns]]="","",LayTable[[#This Row],[Rback]]/LayTable[[#This Row],[Total inns]]),"")</f>
        <v/>
      </c>
      <c r="X2115" s="48" t="str">
        <f>IFERROR(IF(LayTable[[#This Row],[Total inns]]="","",LayTable[[#This Row],[Rlay]]/LayTable[[#This Row],[Total inns]]),"")</f>
        <v/>
      </c>
      <c r="Y2115" s="48" t="str">
        <f>IFERROR(LayTable[[#This Row],[Faktisk res]]/LayTable[[#This Row],[Total inns]],"")</f>
        <v/>
      </c>
      <c r="Z2115" s="47">
        <f>(LayTable[[#This Row],[BookieInnsats]]*LayTable[[#This Row],[BookieOdds]]-LayTable[[#This Row],[BookieInnsats]])*(1-LayTable[[#This Row],[C% Bookie]])</f>
        <v>0</v>
      </c>
      <c r="AA2115" s="43">
        <f>LayTable[[#This Row],[LayInnsats]]*(1-LayTable[[#This Row],[C% Lay]])</f>
        <v>0</v>
      </c>
      <c r="AB2115" s="43" t="str">
        <f>IFERROR(IF(LayTable[[#This Row],[Sport]]="",AB2114,LayTable[[#This Row],[Faktisk res]]+AB2114),"")</f>
        <v/>
      </c>
      <c r="AC2115" s="43">
        <f>(LayTable[[#This Row],[BackWin-Commission]]+LayTable[[#This Row],[BookieInnsats]])</f>
        <v>0</v>
      </c>
      <c r="AD2115" s="43" t="e">
        <f>(LayTable[[#This Row],[LayWin-Commission]])+LayTable[[#This Row],[LayLiability]]</f>
        <v>#VALUE!</v>
      </c>
      <c r="AE2115" s="43"/>
      <c r="AF2115" s="181"/>
    </row>
    <row r="2116" spans="1:32">
      <c r="A2116" s="84"/>
      <c r="B2116" s="39"/>
      <c r="C2116" s="40"/>
      <c r="D2116" s="41"/>
      <c r="E2116" s="40"/>
      <c r="F2116" s="41"/>
      <c r="G2116" s="101"/>
      <c r="H2116" s="38"/>
      <c r="I2116" s="42"/>
      <c r="J2116" s="42"/>
      <c r="K2116" s="43"/>
      <c r="L2116" s="43"/>
      <c r="M2116" s="44" t="str">
        <f>IF(LayTable[[#This Row],[Sport]]="","",LayTable[[#This Row],[LayInnsats]]*(LayTable[[#This Row],[LayOdds]]-1))</f>
        <v/>
      </c>
      <c r="N2116" s="45" t="str">
        <f>IF(LayTable[[#This Row],[Sport]]="","",1/((1/LayTable[[#This Row],[BookieOdds]])+(1/((1/((1+((LayTable[[#This Row],[LayOdds]]-1)*(1+LayTable[[#This Row],[C% Lay]])))-1))+1)))-1)</f>
        <v/>
      </c>
      <c r="Q2116" s="46" t="str">
        <f>IF(LayTable[[#This Row],[Sport]]="","",LayTable[[#This Row],[BookieInnsats]]+LayTable[[#This Row],[LayLiability]])</f>
        <v/>
      </c>
      <c r="R21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6" s="47" t="str">
        <f>IF(LayTable[[#This Row],[Utfall bookie]]="","",LayTable[[#This Row],[WBABack]]+LayTable[[#This Row],[WBALay]]-LayTable[[#This Row],[Total inns]])</f>
        <v/>
      </c>
      <c r="U21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6" s="48" t="str">
        <f>IFERROR(IF(LayTable[[#This Row],[Total inns]]="","",LayTable[[#This Row],[Rback]]/LayTable[[#This Row],[Total inns]]),"")</f>
        <v/>
      </c>
      <c r="X2116" s="48" t="str">
        <f>IFERROR(IF(LayTable[[#This Row],[Total inns]]="","",LayTable[[#This Row],[Rlay]]/LayTable[[#This Row],[Total inns]]),"")</f>
        <v/>
      </c>
      <c r="Y2116" s="48" t="str">
        <f>IFERROR(LayTable[[#This Row],[Faktisk res]]/LayTable[[#This Row],[Total inns]],"")</f>
        <v/>
      </c>
      <c r="Z2116" s="47">
        <f>(LayTable[[#This Row],[BookieInnsats]]*LayTable[[#This Row],[BookieOdds]]-LayTable[[#This Row],[BookieInnsats]])*(1-LayTable[[#This Row],[C% Bookie]])</f>
        <v>0</v>
      </c>
      <c r="AA2116" s="43">
        <f>LayTable[[#This Row],[LayInnsats]]*(1-LayTable[[#This Row],[C% Lay]])</f>
        <v>0</v>
      </c>
      <c r="AB2116" s="43" t="str">
        <f>IFERROR(IF(LayTable[[#This Row],[Sport]]="",AB2115,LayTable[[#This Row],[Faktisk res]]+AB2115),"")</f>
        <v/>
      </c>
      <c r="AC2116" s="43">
        <f>(LayTable[[#This Row],[BackWin-Commission]]+LayTable[[#This Row],[BookieInnsats]])</f>
        <v>0</v>
      </c>
      <c r="AD2116" s="43" t="e">
        <f>(LayTable[[#This Row],[LayWin-Commission]])+LayTable[[#This Row],[LayLiability]]</f>
        <v>#VALUE!</v>
      </c>
      <c r="AE2116" s="43"/>
      <c r="AF2116" s="181"/>
    </row>
    <row r="2117" spans="1:32">
      <c r="A2117" s="84"/>
      <c r="B2117" s="39"/>
      <c r="C2117" s="40"/>
      <c r="D2117" s="41"/>
      <c r="E2117" s="40"/>
      <c r="F2117" s="41"/>
      <c r="G2117" s="101"/>
      <c r="H2117" s="38"/>
      <c r="I2117" s="42"/>
      <c r="J2117" s="42"/>
      <c r="K2117" s="43"/>
      <c r="L2117" s="43"/>
      <c r="M2117" s="44" t="str">
        <f>IF(LayTable[[#This Row],[Sport]]="","",LayTable[[#This Row],[LayInnsats]]*(LayTable[[#This Row],[LayOdds]]-1))</f>
        <v/>
      </c>
      <c r="N2117" s="45" t="str">
        <f>IF(LayTable[[#This Row],[Sport]]="","",1/((1/LayTable[[#This Row],[BookieOdds]])+(1/((1/((1+((LayTable[[#This Row],[LayOdds]]-1)*(1+LayTable[[#This Row],[C% Lay]])))-1))+1)))-1)</f>
        <v/>
      </c>
      <c r="Q2117" s="46" t="str">
        <f>IF(LayTable[[#This Row],[Sport]]="","",LayTable[[#This Row],[BookieInnsats]]+LayTable[[#This Row],[LayLiability]])</f>
        <v/>
      </c>
      <c r="R21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7" s="47" t="str">
        <f>IF(LayTable[[#This Row],[Utfall bookie]]="","",LayTable[[#This Row],[WBABack]]+LayTable[[#This Row],[WBALay]]-LayTable[[#This Row],[Total inns]])</f>
        <v/>
      </c>
      <c r="U21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7" s="48" t="str">
        <f>IFERROR(IF(LayTable[[#This Row],[Total inns]]="","",LayTable[[#This Row],[Rback]]/LayTable[[#This Row],[Total inns]]),"")</f>
        <v/>
      </c>
      <c r="X2117" s="48" t="str">
        <f>IFERROR(IF(LayTable[[#This Row],[Total inns]]="","",LayTable[[#This Row],[Rlay]]/LayTable[[#This Row],[Total inns]]),"")</f>
        <v/>
      </c>
      <c r="Y2117" s="48" t="str">
        <f>IFERROR(LayTable[[#This Row],[Faktisk res]]/LayTable[[#This Row],[Total inns]],"")</f>
        <v/>
      </c>
      <c r="Z2117" s="47">
        <f>(LayTable[[#This Row],[BookieInnsats]]*LayTable[[#This Row],[BookieOdds]]-LayTable[[#This Row],[BookieInnsats]])*(1-LayTable[[#This Row],[C% Bookie]])</f>
        <v>0</v>
      </c>
      <c r="AA2117" s="43">
        <f>LayTable[[#This Row],[LayInnsats]]*(1-LayTable[[#This Row],[C% Lay]])</f>
        <v>0</v>
      </c>
      <c r="AB2117" s="43" t="str">
        <f>IFERROR(IF(LayTable[[#This Row],[Sport]]="",AB2116,LayTable[[#This Row],[Faktisk res]]+AB2116),"")</f>
        <v/>
      </c>
      <c r="AC2117" s="43">
        <f>(LayTable[[#This Row],[BackWin-Commission]]+LayTable[[#This Row],[BookieInnsats]])</f>
        <v>0</v>
      </c>
      <c r="AD2117" s="43" t="e">
        <f>(LayTable[[#This Row],[LayWin-Commission]])+LayTable[[#This Row],[LayLiability]]</f>
        <v>#VALUE!</v>
      </c>
      <c r="AE2117" s="43"/>
      <c r="AF2117" s="181"/>
    </row>
    <row r="2118" spans="1:32">
      <c r="A2118" s="84"/>
      <c r="B2118" s="39"/>
      <c r="C2118" s="40"/>
      <c r="D2118" s="41"/>
      <c r="E2118" s="40"/>
      <c r="F2118" s="41"/>
      <c r="G2118" s="101"/>
      <c r="H2118" s="38"/>
      <c r="I2118" s="42"/>
      <c r="J2118" s="42"/>
      <c r="K2118" s="43"/>
      <c r="L2118" s="43"/>
      <c r="M2118" s="44" t="str">
        <f>IF(LayTable[[#This Row],[Sport]]="","",LayTable[[#This Row],[LayInnsats]]*(LayTable[[#This Row],[LayOdds]]-1))</f>
        <v/>
      </c>
      <c r="N2118" s="45" t="str">
        <f>IF(LayTable[[#This Row],[Sport]]="","",1/((1/LayTable[[#This Row],[BookieOdds]])+(1/((1/((1+((LayTable[[#This Row],[LayOdds]]-1)*(1+LayTable[[#This Row],[C% Lay]])))-1))+1)))-1)</f>
        <v/>
      </c>
      <c r="Q2118" s="46" t="str">
        <f>IF(LayTable[[#This Row],[Sport]]="","",LayTable[[#This Row],[BookieInnsats]]+LayTable[[#This Row],[LayLiability]])</f>
        <v/>
      </c>
      <c r="R21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8" s="47" t="str">
        <f>IF(LayTable[[#This Row],[Utfall bookie]]="","",LayTable[[#This Row],[WBABack]]+LayTable[[#This Row],[WBALay]]-LayTable[[#This Row],[Total inns]])</f>
        <v/>
      </c>
      <c r="U21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8" s="48" t="str">
        <f>IFERROR(IF(LayTable[[#This Row],[Total inns]]="","",LayTable[[#This Row],[Rback]]/LayTable[[#This Row],[Total inns]]),"")</f>
        <v/>
      </c>
      <c r="X2118" s="48" t="str">
        <f>IFERROR(IF(LayTable[[#This Row],[Total inns]]="","",LayTable[[#This Row],[Rlay]]/LayTable[[#This Row],[Total inns]]),"")</f>
        <v/>
      </c>
      <c r="Y2118" s="48" t="str">
        <f>IFERROR(LayTable[[#This Row],[Faktisk res]]/LayTable[[#This Row],[Total inns]],"")</f>
        <v/>
      </c>
      <c r="Z2118" s="47">
        <f>(LayTable[[#This Row],[BookieInnsats]]*LayTable[[#This Row],[BookieOdds]]-LayTable[[#This Row],[BookieInnsats]])*(1-LayTable[[#This Row],[C% Bookie]])</f>
        <v>0</v>
      </c>
      <c r="AA2118" s="43">
        <f>LayTable[[#This Row],[LayInnsats]]*(1-LayTable[[#This Row],[C% Lay]])</f>
        <v>0</v>
      </c>
      <c r="AB2118" s="43" t="str">
        <f>IFERROR(IF(LayTable[[#This Row],[Sport]]="",AB2117,LayTable[[#This Row],[Faktisk res]]+AB2117),"")</f>
        <v/>
      </c>
      <c r="AC2118" s="43">
        <f>(LayTable[[#This Row],[BackWin-Commission]]+LayTable[[#This Row],[BookieInnsats]])</f>
        <v>0</v>
      </c>
      <c r="AD2118" s="43" t="e">
        <f>(LayTable[[#This Row],[LayWin-Commission]])+LayTable[[#This Row],[LayLiability]]</f>
        <v>#VALUE!</v>
      </c>
      <c r="AE2118" s="43"/>
      <c r="AF2118" s="181"/>
    </row>
    <row r="2119" spans="1:32">
      <c r="A2119" s="84"/>
      <c r="B2119" s="39"/>
      <c r="C2119" s="40"/>
      <c r="D2119" s="41"/>
      <c r="E2119" s="40"/>
      <c r="F2119" s="41"/>
      <c r="G2119" s="101"/>
      <c r="H2119" s="38"/>
      <c r="I2119" s="42"/>
      <c r="J2119" s="42"/>
      <c r="K2119" s="43"/>
      <c r="L2119" s="43"/>
      <c r="M2119" s="44" t="str">
        <f>IF(LayTable[[#This Row],[Sport]]="","",LayTable[[#This Row],[LayInnsats]]*(LayTable[[#This Row],[LayOdds]]-1))</f>
        <v/>
      </c>
      <c r="N2119" s="45" t="str">
        <f>IF(LayTable[[#This Row],[Sport]]="","",1/((1/LayTable[[#This Row],[BookieOdds]])+(1/((1/((1+((LayTable[[#This Row],[LayOdds]]-1)*(1+LayTable[[#This Row],[C% Lay]])))-1))+1)))-1)</f>
        <v/>
      </c>
      <c r="Q2119" s="46" t="str">
        <f>IF(LayTable[[#This Row],[Sport]]="","",LayTable[[#This Row],[BookieInnsats]]+LayTable[[#This Row],[LayLiability]])</f>
        <v/>
      </c>
      <c r="R21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19" s="47" t="str">
        <f>IF(LayTable[[#This Row],[Utfall bookie]]="","",LayTable[[#This Row],[WBABack]]+LayTable[[#This Row],[WBALay]]-LayTable[[#This Row],[Total inns]])</f>
        <v/>
      </c>
      <c r="U21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19" s="48" t="str">
        <f>IFERROR(IF(LayTable[[#This Row],[Total inns]]="","",LayTable[[#This Row],[Rback]]/LayTable[[#This Row],[Total inns]]),"")</f>
        <v/>
      </c>
      <c r="X2119" s="48" t="str">
        <f>IFERROR(IF(LayTable[[#This Row],[Total inns]]="","",LayTable[[#This Row],[Rlay]]/LayTable[[#This Row],[Total inns]]),"")</f>
        <v/>
      </c>
      <c r="Y2119" s="48" t="str">
        <f>IFERROR(LayTable[[#This Row],[Faktisk res]]/LayTable[[#This Row],[Total inns]],"")</f>
        <v/>
      </c>
      <c r="Z2119" s="47">
        <f>(LayTable[[#This Row],[BookieInnsats]]*LayTable[[#This Row],[BookieOdds]]-LayTable[[#This Row],[BookieInnsats]])*(1-LayTable[[#This Row],[C% Bookie]])</f>
        <v>0</v>
      </c>
      <c r="AA2119" s="43">
        <f>LayTable[[#This Row],[LayInnsats]]*(1-LayTable[[#This Row],[C% Lay]])</f>
        <v>0</v>
      </c>
      <c r="AB2119" s="43" t="str">
        <f>IFERROR(IF(LayTable[[#This Row],[Sport]]="",AB2118,LayTable[[#This Row],[Faktisk res]]+AB2118),"")</f>
        <v/>
      </c>
      <c r="AC2119" s="43">
        <f>(LayTable[[#This Row],[BackWin-Commission]]+LayTable[[#This Row],[BookieInnsats]])</f>
        <v>0</v>
      </c>
      <c r="AD2119" s="43" t="e">
        <f>(LayTable[[#This Row],[LayWin-Commission]])+LayTable[[#This Row],[LayLiability]]</f>
        <v>#VALUE!</v>
      </c>
      <c r="AE2119" s="43"/>
      <c r="AF2119" s="181"/>
    </row>
    <row r="2120" spans="1:32">
      <c r="A2120" s="84"/>
      <c r="B2120" s="39"/>
      <c r="C2120" s="40"/>
      <c r="D2120" s="41"/>
      <c r="E2120" s="40"/>
      <c r="F2120" s="41"/>
      <c r="G2120" s="101"/>
      <c r="H2120" s="38"/>
      <c r="I2120" s="42"/>
      <c r="J2120" s="42"/>
      <c r="K2120" s="43"/>
      <c r="L2120" s="43"/>
      <c r="M2120" s="44" t="str">
        <f>IF(LayTable[[#This Row],[Sport]]="","",LayTable[[#This Row],[LayInnsats]]*(LayTable[[#This Row],[LayOdds]]-1))</f>
        <v/>
      </c>
      <c r="N2120" s="45" t="str">
        <f>IF(LayTable[[#This Row],[Sport]]="","",1/((1/LayTable[[#This Row],[BookieOdds]])+(1/((1/((1+((LayTable[[#This Row],[LayOdds]]-1)*(1+LayTable[[#This Row],[C% Lay]])))-1))+1)))-1)</f>
        <v/>
      </c>
      <c r="Q2120" s="46" t="str">
        <f>IF(LayTable[[#This Row],[Sport]]="","",LayTable[[#This Row],[BookieInnsats]]+LayTable[[#This Row],[LayLiability]])</f>
        <v/>
      </c>
      <c r="R21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0" s="47" t="str">
        <f>IF(LayTable[[#This Row],[Utfall bookie]]="","",LayTable[[#This Row],[WBABack]]+LayTable[[#This Row],[WBALay]]-LayTable[[#This Row],[Total inns]])</f>
        <v/>
      </c>
      <c r="U21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0" s="48" t="str">
        <f>IFERROR(IF(LayTable[[#This Row],[Total inns]]="","",LayTable[[#This Row],[Rback]]/LayTable[[#This Row],[Total inns]]),"")</f>
        <v/>
      </c>
      <c r="X2120" s="48" t="str">
        <f>IFERROR(IF(LayTable[[#This Row],[Total inns]]="","",LayTable[[#This Row],[Rlay]]/LayTable[[#This Row],[Total inns]]),"")</f>
        <v/>
      </c>
      <c r="Y2120" s="48" t="str">
        <f>IFERROR(LayTable[[#This Row],[Faktisk res]]/LayTable[[#This Row],[Total inns]],"")</f>
        <v/>
      </c>
      <c r="Z2120" s="47">
        <f>(LayTable[[#This Row],[BookieInnsats]]*LayTable[[#This Row],[BookieOdds]]-LayTable[[#This Row],[BookieInnsats]])*(1-LayTable[[#This Row],[C% Bookie]])</f>
        <v>0</v>
      </c>
      <c r="AA2120" s="43">
        <f>LayTable[[#This Row],[LayInnsats]]*(1-LayTable[[#This Row],[C% Lay]])</f>
        <v>0</v>
      </c>
      <c r="AB2120" s="43" t="str">
        <f>IFERROR(IF(LayTable[[#This Row],[Sport]]="",AB2119,LayTable[[#This Row],[Faktisk res]]+AB2119),"")</f>
        <v/>
      </c>
      <c r="AC2120" s="43">
        <f>(LayTable[[#This Row],[BackWin-Commission]]+LayTable[[#This Row],[BookieInnsats]])</f>
        <v>0</v>
      </c>
      <c r="AD2120" s="43" t="e">
        <f>(LayTable[[#This Row],[LayWin-Commission]])+LayTable[[#This Row],[LayLiability]]</f>
        <v>#VALUE!</v>
      </c>
      <c r="AE2120" s="43"/>
      <c r="AF2120" s="181"/>
    </row>
    <row r="2121" spans="1:32">
      <c r="A2121" s="84"/>
      <c r="B2121" s="39"/>
      <c r="C2121" s="40"/>
      <c r="D2121" s="41"/>
      <c r="E2121" s="40"/>
      <c r="F2121" s="41"/>
      <c r="G2121" s="101"/>
      <c r="H2121" s="38"/>
      <c r="I2121" s="42"/>
      <c r="J2121" s="42"/>
      <c r="K2121" s="43"/>
      <c r="L2121" s="43"/>
      <c r="M2121" s="44" t="str">
        <f>IF(LayTable[[#This Row],[Sport]]="","",LayTable[[#This Row],[LayInnsats]]*(LayTable[[#This Row],[LayOdds]]-1))</f>
        <v/>
      </c>
      <c r="N2121" s="45" t="str">
        <f>IF(LayTable[[#This Row],[Sport]]="","",1/((1/LayTable[[#This Row],[BookieOdds]])+(1/((1/((1+((LayTable[[#This Row],[LayOdds]]-1)*(1+LayTable[[#This Row],[C% Lay]])))-1))+1)))-1)</f>
        <v/>
      </c>
      <c r="Q2121" s="46" t="str">
        <f>IF(LayTable[[#This Row],[Sport]]="","",LayTable[[#This Row],[BookieInnsats]]+LayTable[[#This Row],[LayLiability]])</f>
        <v/>
      </c>
      <c r="R21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1" s="47" t="str">
        <f>IF(LayTable[[#This Row],[Utfall bookie]]="","",LayTable[[#This Row],[WBABack]]+LayTable[[#This Row],[WBALay]]-LayTable[[#This Row],[Total inns]])</f>
        <v/>
      </c>
      <c r="U21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1" s="48" t="str">
        <f>IFERROR(IF(LayTable[[#This Row],[Total inns]]="","",LayTable[[#This Row],[Rback]]/LayTable[[#This Row],[Total inns]]),"")</f>
        <v/>
      </c>
      <c r="X2121" s="48" t="str">
        <f>IFERROR(IF(LayTable[[#This Row],[Total inns]]="","",LayTable[[#This Row],[Rlay]]/LayTable[[#This Row],[Total inns]]),"")</f>
        <v/>
      </c>
      <c r="Y2121" s="48" t="str">
        <f>IFERROR(LayTable[[#This Row],[Faktisk res]]/LayTable[[#This Row],[Total inns]],"")</f>
        <v/>
      </c>
      <c r="Z2121" s="47">
        <f>(LayTable[[#This Row],[BookieInnsats]]*LayTable[[#This Row],[BookieOdds]]-LayTable[[#This Row],[BookieInnsats]])*(1-LayTable[[#This Row],[C% Bookie]])</f>
        <v>0</v>
      </c>
      <c r="AA2121" s="43">
        <f>LayTable[[#This Row],[LayInnsats]]*(1-LayTable[[#This Row],[C% Lay]])</f>
        <v>0</v>
      </c>
      <c r="AB2121" s="43" t="str">
        <f>IFERROR(IF(LayTable[[#This Row],[Sport]]="",AB2120,LayTable[[#This Row],[Faktisk res]]+AB2120),"")</f>
        <v/>
      </c>
      <c r="AC2121" s="43">
        <f>(LayTable[[#This Row],[BackWin-Commission]]+LayTable[[#This Row],[BookieInnsats]])</f>
        <v>0</v>
      </c>
      <c r="AD2121" s="43" t="e">
        <f>(LayTable[[#This Row],[LayWin-Commission]])+LayTable[[#This Row],[LayLiability]]</f>
        <v>#VALUE!</v>
      </c>
      <c r="AE2121" s="43"/>
      <c r="AF2121" s="181"/>
    </row>
    <row r="2122" spans="1:32">
      <c r="A2122" s="84"/>
      <c r="B2122" s="39"/>
      <c r="C2122" s="40"/>
      <c r="D2122" s="41"/>
      <c r="E2122" s="40"/>
      <c r="F2122" s="41"/>
      <c r="G2122" s="101"/>
      <c r="H2122" s="38"/>
      <c r="I2122" s="42"/>
      <c r="J2122" s="42"/>
      <c r="K2122" s="43"/>
      <c r="L2122" s="43"/>
      <c r="M2122" s="44" t="str">
        <f>IF(LayTable[[#This Row],[Sport]]="","",LayTable[[#This Row],[LayInnsats]]*(LayTable[[#This Row],[LayOdds]]-1))</f>
        <v/>
      </c>
      <c r="N2122" s="45" t="str">
        <f>IF(LayTable[[#This Row],[Sport]]="","",1/((1/LayTable[[#This Row],[BookieOdds]])+(1/((1/((1+((LayTable[[#This Row],[LayOdds]]-1)*(1+LayTable[[#This Row],[C% Lay]])))-1))+1)))-1)</f>
        <v/>
      </c>
      <c r="Q2122" s="46" t="str">
        <f>IF(LayTable[[#This Row],[Sport]]="","",LayTable[[#This Row],[BookieInnsats]]+LayTable[[#This Row],[LayLiability]])</f>
        <v/>
      </c>
      <c r="R21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2" s="47" t="str">
        <f>IF(LayTable[[#This Row],[Utfall bookie]]="","",LayTable[[#This Row],[WBABack]]+LayTable[[#This Row],[WBALay]]-LayTable[[#This Row],[Total inns]])</f>
        <v/>
      </c>
      <c r="U21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2" s="48" t="str">
        <f>IFERROR(IF(LayTable[[#This Row],[Total inns]]="","",LayTable[[#This Row],[Rback]]/LayTable[[#This Row],[Total inns]]),"")</f>
        <v/>
      </c>
      <c r="X2122" s="48" t="str">
        <f>IFERROR(IF(LayTable[[#This Row],[Total inns]]="","",LayTable[[#This Row],[Rlay]]/LayTable[[#This Row],[Total inns]]),"")</f>
        <v/>
      </c>
      <c r="Y2122" s="48" t="str">
        <f>IFERROR(LayTable[[#This Row],[Faktisk res]]/LayTable[[#This Row],[Total inns]],"")</f>
        <v/>
      </c>
      <c r="Z2122" s="47">
        <f>(LayTable[[#This Row],[BookieInnsats]]*LayTable[[#This Row],[BookieOdds]]-LayTable[[#This Row],[BookieInnsats]])*(1-LayTable[[#This Row],[C% Bookie]])</f>
        <v>0</v>
      </c>
      <c r="AA2122" s="43">
        <f>LayTable[[#This Row],[LayInnsats]]*(1-LayTable[[#This Row],[C% Lay]])</f>
        <v>0</v>
      </c>
      <c r="AB2122" s="43" t="str">
        <f>IFERROR(IF(LayTable[[#This Row],[Sport]]="",AB2121,LayTable[[#This Row],[Faktisk res]]+AB2121),"")</f>
        <v/>
      </c>
      <c r="AC2122" s="43">
        <f>(LayTable[[#This Row],[BackWin-Commission]]+LayTable[[#This Row],[BookieInnsats]])</f>
        <v>0</v>
      </c>
      <c r="AD2122" s="43" t="e">
        <f>(LayTable[[#This Row],[LayWin-Commission]])+LayTable[[#This Row],[LayLiability]]</f>
        <v>#VALUE!</v>
      </c>
      <c r="AE2122" s="43"/>
      <c r="AF2122" s="181"/>
    </row>
    <row r="2123" spans="1:32">
      <c r="A2123" s="84"/>
      <c r="B2123" s="39"/>
      <c r="C2123" s="40"/>
      <c r="D2123" s="41"/>
      <c r="E2123" s="40"/>
      <c r="F2123" s="41"/>
      <c r="G2123" s="101"/>
      <c r="H2123" s="38"/>
      <c r="I2123" s="42"/>
      <c r="J2123" s="42"/>
      <c r="K2123" s="43"/>
      <c r="L2123" s="43"/>
      <c r="M2123" s="44" t="str">
        <f>IF(LayTable[[#This Row],[Sport]]="","",LayTable[[#This Row],[LayInnsats]]*(LayTable[[#This Row],[LayOdds]]-1))</f>
        <v/>
      </c>
      <c r="N2123" s="45" t="str">
        <f>IF(LayTable[[#This Row],[Sport]]="","",1/((1/LayTable[[#This Row],[BookieOdds]])+(1/((1/((1+((LayTable[[#This Row],[LayOdds]]-1)*(1+LayTable[[#This Row],[C% Lay]])))-1))+1)))-1)</f>
        <v/>
      </c>
      <c r="Q2123" s="46" t="str">
        <f>IF(LayTable[[#This Row],[Sport]]="","",LayTable[[#This Row],[BookieInnsats]]+LayTable[[#This Row],[LayLiability]])</f>
        <v/>
      </c>
      <c r="R21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3" s="47" t="str">
        <f>IF(LayTable[[#This Row],[Utfall bookie]]="","",LayTable[[#This Row],[WBABack]]+LayTable[[#This Row],[WBALay]]-LayTable[[#This Row],[Total inns]])</f>
        <v/>
      </c>
      <c r="U21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3" s="48" t="str">
        <f>IFERROR(IF(LayTable[[#This Row],[Total inns]]="","",LayTable[[#This Row],[Rback]]/LayTable[[#This Row],[Total inns]]),"")</f>
        <v/>
      </c>
      <c r="X2123" s="48" t="str">
        <f>IFERROR(IF(LayTable[[#This Row],[Total inns]]="","",LayTable[[#This Row],[Rlay]]/LayTable[[#This Row],[Total inns]]),"")</f>
        <v/>
      </c>
      <c r="Y2123" s="48" t="str">
        <f>IFERROR(LayTable[[#This Row],[Faktisk res]]/LayTable[[#This Row],[Total inns]],"")</f>
        <v/>
      </c>
      <c r="Z2123" s="47">
        <f>(LayTable[[#This Row],[BookieInnsats]]*LayTable[[#This Row],[BookieOdds]]-LayTable[[#This Row],[BookieInnsats]])*(1-LayTable[[#This Row],[C% Bookie]])</f>
        <v>0</v>
      </c>
      <c r="AA2123" s="43">
        <f>LayTable[[#This Row],[LayInnsats]]*(1-LayTable[[#This Row],[C% Lay]])</f>
        <v>0</v>
      </c>
      <c r="AB2123" s="43" t="str">
        <f>IFERROR(IF(LayTable[[#This Row],[Sport]]="",AB2122,LayTable[[#This Row],[Faktisk res]]+AB2122),"")</f>
        <v/>
      </c>
      <c r="AC2123" s="43">
        <f>(LayTable[[#This Row],[BackWin-Commission]]+LayTable[[#This Row],[BookieInnsats]])</f>
        <v>0</v>
      </c>
      <c r="AD2123" s="43" t="e">
        <f>(LayTable[[#This Row],[LayWin-Commission]])+LayTable[[#This Row],[LayLiability]]</f>
        <v>#VALUE!</v>
      </c>
      <c r="AE2123" s="43"/>
      <c r="AF2123" s="181"/>
    </row>
    <row r="2124" spans="1:32">
      <c r="A2124" s="84"/>
      <c r="B2124" s="39"/>
      <c r="C2124" s="40"/>
      <c r="D2124" s="41"/>
      <c r="E2124" s="40"/>
      <c r="F2124" s="41"/>
      <c r="G2124" s="101"/>
      <c r="H2124" s="38"/>
      <c r="I2124" s="42"/>
      <c r="J2124" s="42"/>
      <c r="K2124" s="43"/>
      <c r="L2124" s="43"/>
      <c r="M2124" s="44" t="str">
        <f>IF(LayTable[[#This Row],[Sport]]="","",LayTable[[#This Row],[LayInnsats]]*(LayTable[[#This Row],[LayOdds]]-1))</f>
        <v/>
      </c>
      <c r="N2124" s="45" t="str">
        <f>IF(LayTable[[#This Row],[Sport]]="","",1/((1/LayTable[[#This Row],[BookieOdds]])+(1/((1/((1+((LayTable[[#This Row],[LayOdds]]-1)*(1+LayTable[[#This Row],[C% Lay]])))-1))+1)))-1)</f>
        <v/>
      </c>
      <c r="Q2124" s="46" t="str">
        <f>IF(LayTable[[#This Row],[Sport]]="","",LayTable[[#This Row],[BookieInnsats]]+LayTable[[#This Row],[LayLiability]])</f>
        <v/>
      </c>
      <c r="R21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4" s="47" t="str">
        <f>IF(LayTable[[#This Row],[Utfall bookie]]="","",LayTable[[#This Row],[WBABack]]+LayTable[[#This Row],[WBALay]]-LayTable[[#This Row],[Total inns]])</f>
        <v/>
      </c>
      <c r="U21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4" s="48" t="str">
        <f>IFERROR(IF(LayTable[[#This Row],[Total inns]]="","",LayTable[[#This Row],[Rback]]/LayTable[[#This Row],[Total inns]]),"")</f>
        <v/>
      </c>
      <c r="X2124" s="48" t="str">
        <f>IFERROR(IF(LayTable[[#This Row],[Total inns]]="","",LayTable[[#This Row],[Rlay]]/LayTable[[#This Row],[Total inns]]),"")</f>
        <v/>
      </c>
      <c r="Y2124" s="48" t="str">
        <f>IFERROR(LayTable[[#This Row],[Faktisk res]]/LayTable[[#This Row],[Total inns]],"")</f>
        <v/>
      </c>
      <c r="Z2124" s="47">
        <f>(LayTable[[#This Row],[BookieInnsats]]*LayTable[[#This Row],[BookieOdds]]-LayTable[[#This Row],[BookieInnsats]])*(1-LayTable[[#This Row],[C% Bookie]])</f>
        <v>0</v>
      </c>
      <c r="AA2124" s="43">
        <f>LayTable[[#This Row],[LayInnsats]]*(1-LayTable[[#This Row],[C% Lay]])</f>
        <v>0</v>
      </c>
      <c r="AB2124" s="43" t="str">
        <f>IFERROR(IF(LayTable[[#This Row],[Sport]]="",AB2123,LayTable[[#This Row],[Faktisk res]]+AB2123),"")</f>
        <v/>
      </c>
      <c r="AC2124" s="43">
        <f>(LayTable[[#This Row],[BackWin-Commission]]+LayTable[[#This Row],[BookieInnsats]])</f>
        <v>0</v>
      </c>
      <c r="AD2124" s="43" t="e">
        <f>(LayTable[[#This Row],[LayWin-Commission]])+LayTable[[#This Row],[LayLiability]]</f>
        <v>#VALUE!</v>
      </c>
      <c r="AE2124" s="43"/>
      <c r="AF2124" s="181"/>
    </row>
    <row r="2125" spans="1:32">
      <c r="A2125" s="84"/>
      <c r="B2125" s="39"/>
      <c r="C2125" s="40"/>
      <c r="D2125" s="41"/>
      <c r="E2125" s="40"/>
      <c r="F2125" s="41"/>
      <c r="G2125" s="101"/>
      <c r="H2125" s="38"/>
      <c r="I2125" s="42"/>
      <c r="J2125" s="42"/>
      <c r="K2125" s="43"/>
      <c r="L2125" s="43"/>
      <c r="M2125" s="44" t="str">
        <f>IF(LayTable[[#This Row],[Sport]]="","",LayTable[[#This Row],[LayInnsats]]*(LayTable[[#This Row],[LayOdds]]-1))</f>
        <v/>
      </c>
      <c r="N2125" s="45" t="str">
        <f>IF(LayTable[[#This Row],[Sport]]="","",1/((1/LayTable[[#This Row],[BookieOdds]])+(1/((1/((1+((LayTable[[#This Row],[LayOdds]]-1)*(1+LayTable[[#This Row],[C% Lay]])))-1))+1)))-1)</f>
        <v/>
      </c>
      <c r="Q2125" s="46" t="str">
        <f>IF(LayTable[[#This Row],[Sport]]="","",LayTable[[#This Row],[BookieInnsats]]+LayTable[[#This Row],[LayLiability]])</f>
        <v/>
      </c>
      <c r="R21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5" s="47" t="str">
        <f>IF(LayTable[[#This Row],[Utfall bookie]]="","",LayTable[[#This Row],[WBABack]]+LayTable[[#This Row],[WBALay]]-LayTable[[#This Row],[Total inns]])</f>
        <v/>
      </c>
      <c r="U21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5" s="48" t="str">
        <f>IFERROR(IF(LayTable[[#This Row],[Total inns]]="","",LayTable[[#This Row],[Rback]]/LayTable[[#This Row],[Total inns]]),"")</f>
        <v/>
      </c>
      <c r="X2125" s="48" t="str">
        <f>IFERROR(IF(LayTable[[#This Row],[Total inns]]="","",LayTable[[#This Row],[Rlay]]/LayTable[[#This Row],[Total inns]]),"")</f>
        <v/>
      </c>
      <c r="Y2125" s="48" t="str">
        <f>IFERROR(LayTable[[#This Row],[Faktisk res]]/LayTable[[#This Row],[Total inns]],"")</f>
        <v/>
      </c>
      <c r="Z2125" s="47">
        <f>(LayTable[[#This Row],[BookieInnsats]]*LayTable[[#This Row],[BookieOdds]]-LayTable[[#This Row],[BookieInnsats]])*(1-LayTable[[#This Row],[C% Bookie]])</f>
        <v>0</v>
      </c>
      <c r="AA2125" s="43">
        <f>LayTable[[#This Row],[LayInnsats]]*(1-LayTable[[#This Row],[C% Lay]])</f>
        <v>0</v>
      </c>
      <c r="AB2125" s="43" t="str">
        <f>IFERROR(IF(LayTable[[#This Row],[Sport]]="",AB2124,LayTable[[#This Row],[Faktisk res]]+AB2124),"")</f>
        <v/>
      </c>
      <c r="AC2125" s="43">
        <f>(LayTable[[#This Row],[BackWin-Commission]]+LayTable[[#This Row],[BookieInnsats]])</f>
        <v>0</v>
      </c>
      <c r="AD2125" s="43" t="e">
        <f>(LayTable[[#This Row],[LayWin-Commission]])+LayTable[[#This Row],[LayLiability]]</f>
        <v>#VALUE!</v>
      </c>
      <c r="AE2125" s="43"/>
      <c r="AF2125" s="181"/>
    </row>
    <row r="2126" spans="1:32">
      <c r="A2126" s="84"/>
      <c r="B2126" s="39"/>
      <c r="C2126" s="40"/>
      <c r="D2126" s="41"/>
      <c r="E2126" s="40"/>
      <c r="F2126" s="41"/>
      <c r="G2126" s="101"/>
      <c r="H2126" s="38"/>
      <c r="I2126" s="42"/>
      <c r="J2126" s="42"/>
      <c r="K2126" s="43"/>
      <c r="L2126" s="43"/>
      <c r="M2126" s="44" t="str">
        <f>IF(LayTable[[#This Row],[Sport]]="","",LayTable[[#This Row],[LayInnsats]]*(LayTable[[#This Row],[LayOdds]]-1))</f>
        <v/>
      </c>
      <c r="N2126" s="45" t="str">
        <f>IF(LayTable[[#This Row],[Sport]]="","",1/((1/LayTable[[#This Row],[BookieOdds]])+(1/((1/((1+((LayTable[[#This Row],[LayOdds]]-1)*(1+LayTable[[#This Row],[C% Lay]])))-1))+1)))-1)</f>
        <v/>
      </c>
      <c r="Q2126" s="46" t="str">
        <f>IF(LayTable[[#This Row],[Sport]]="","",LayTable[[#This Row],[BookieInnsats]]+LayTable[[#This Row],[LayLiability]])</f>
        <v/>
      </c>
      <c r="R21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6" s="47" t="str">
        <f>IF(LayTable[[#This Row],[Utfall bookie]]="","",LayTable[[#This Row],[WBABack]]+LayTable[[#This Row],[WBALay]]-LayTable[[#This Row],[Total inns]])</f>
        <v/>
      </c>
      <c r="U21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6" s="48" t="str">
        <f>IFERROR(IF(LayTable[[#This Row],[Total inns]]="","",LayTable[[#This Row],[Rback]]/LayTable[[#This Row],[Total inns]]),"")</f>
        <v/>
      </c>
      <c r="X2126" s="48" t="str">
        <f>IFERROR(IF(LayTable[[#This Row],[Total inns]]="","",LayTable[[#This Row],[Rlay]]/LayTable[[#This Row],[Total inns]]),"")</f>
        <v/>
      </c>
      <c r="Y2126" s="48" t="str">
        <f>IFERROR(LayTable[[#This Row],[Faktisk res]]/LayTable[[#This Row],[Total inns]],"")</f>
        <v/>
      </c>
      <c r="Z2126" s="47">
        <f>(LayTable[[#This Row],[BookieInnsats]]*LayTable[[#This Row],[BookieOdds]]-LayTable[[#This Row],[BookieInnsats]])*(1-LayTable[[#This Row],[C% Bookie]])</f>
        <v>0</v>
      </c>
      <c r="AA2126" s="43">
        <f>LayTable[[#This Row],[LayInnsats]]*(1-LayTable[[#This Row],[C% Lay]])</f>
        <v>0</v>
      </c>
      <c r="AB2126" s="43" t="str">
        <f>IFERROR(IF(LayTable[[#This Row],[Sport]]="",AB2125,LayTable[[#This Row],[Faktisk res]]+AB2125),"")</f>
        <v/>
      </c>
      <c r="AC2126" s="43">
        <f>(LayTable[[#This Row],[BackWin-Commission]]+LayTable[[#This Row],[BookieInnsats]])</f>
        <v>0</v>
      </c>
      <c r="AD2126" s="43" t="e">
        <f>(LayTable[[#This Row],[LayWin-Commission]])+LayTable[[#This Row],[LayLiability]]</f>
        <v>#VALUE!</v>
      </c>
      <c r="AE2126" s="43"/>
      <c r="AF2126" s="181"/>
    </row>
    <row r="2127" spans="1:32">
      <c r="A2127" s="84"/>
      <c r="B2127" s="39"/>
      <c r="C2127" s="40"/>
      <c r="D2127" s="41"/>
      <c r="E2127" s="40"/>
      <c r="F2127" s="41"/>
      <c r="G2127" s="101"/>
      <c r="H2127" s="38"/>
      <c r="I2127" s="42"/>
      <c r="J2127" s="42"/>
      <c r="K2127" s="43"/>
      <c r="L2127" s="43"/>
      <c r="M2127" s="44" t="str">
        <f>IF(LayTable[[#This Row],[Sport]]="","",LayTable[[#This Row],[LayInnsats]]*(LayTable[[#This Row],[LayOdds]]-1))</f>
        <v/>
      </c>
      <c r="N2127" s="45" t="str">
        <f>IF(LayTable[[#This Row],[Sport]]="","",1/((1/LayTable[[#This Row],[BookieOdds]])+(1/((1/((1+((LayTable[[#This Row],[LayOdds]]-1)*(1+LayTable[[#This Row],[C% Lay]])))-1))+1)))-1)</f>
        <v/>
      </c>
      <c r="Q2127" s="46" t="str">
        <f>IF(LayTable[[#This Row],[Sport]]="","",LayTable[[#This Row],[BookieInnsats]]+LayTable[[#This Row],[LayLiability]])</f>
        <v/>
      </c>
      <c r="R21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7" s="47" t="str">
        <f>IF(LayTable[[#This Row],[Utfall bookie]]="","",LayTable[[#This Row],[WBABack]]+LayTable[[#This Row],[WBALay]]-LayTable[[#This Row],[Total inns]])</f>
        <v/>
      </c>
      <c r="U21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7" s="48" t="str">
        <f>IFERROR(IF(LayTable[[#This Row],[Total inns]]="","",LayTable[[#This Row],[Rback]]/LayTable[[#This Row],[Total inns]]),"")</f>
        <v/>
      </c>
      <c r="X2127" s="48" t="str">
        <f>IFERROR(IF(LayTable[[#This Row],[Total inns]]="","",LayTable[[#This Row],[Rlay]]/LayTable[[#This Row],[Total inns]]),"")</f>
        <v/>
      </c>
      <c r="Y2127" s="48" t="str">
        <f>IFERROR(LayTable[[#This Row],[Faktisk res]]/LayTable[[#This Row],[Total inns]],"")</f>
        <v/>
      </c>
      <c r="Z2127" s="47">
        <f>(LayTable[[#This Row],[BookieInnsats]]*LayTable[[#This Row],[BookieOdds]]-LayTable[[#This Row],[BookieInnsats]])*(1-LayTable[[#This Row],[C% Bookie]])</f>
        <v>0</v>
      </c>
      <c r="AA2127" s="43">
        <f>LayTable[[#This Row],[LayInnsats]]*(1-LayTable[[#This Row],[C% Lay]])</f>
        <v>0</v>
      </c>
      <c r="AB2127" s="43" t="str">
        <f>IFERROR(IF(LayTable[[#This Row],[Sport]]="",AB2126,LayTable[[#This Row],[Faktisk res]]+AB2126),"")</f>
        <v/>
      </c>
      <c r="AC2127" s="43">
        <f>(LayTable[[#This Row],[BackWin-Commission]]+LayTable[[#This Row],[BookieInnsats]])</f>
        <v>0</v>
      </c>
      <c r="AD2127" s="43" t="e">
        <f>(LayTable[[#This Row],[LayWin-Commission]])+LayTable[[#This Row],[LayLiability]]</f>
        <v>#VALUE!</v>
      </c>
      <c r="AE2127" s="43"/>
      <c r="AF2127" s="181"/>
    </row>
    <row r="2128" spans="1:32">
      <c r="A2128" s="84"/>
      <c r="B2128" s="39"/>
      <c r="C2128" s="40"/>
      <c r="D2128" s="41"/>
      <c r="E2128" s="40"/>
      <c r="F2128" s="41"/>
      <c r="G2128" s="101"/>
      <c r="H2128" s="38"/>
      <c r="I2128" s="42"/>
      <c r="J2128" s="42"/>
      <c r="K2128" s="43"/>
      <c r="L2128" s="43"/>
      <c r="M2128" s="44" t="str">
        <f>IF(LayTable[[#This Row],[Sport]]="","",LayTable[[#This Row],[LayInnsats]]*(LayTable[[#This Row],[LayOdds]]-1))</f>
        <v/>
      </c>
      <c r="N2128" s="45" t="str">
        <f>IF(LayTable[[#This Row],[Sport]]="","",1/((1/LayTable[[#This Row],[BookieOdds]])+(1/((1/((1+((LayTable[[#This Row],[LayOdds]]-1)*(1+LayTable[[#This Row],[C% Lay]])))-1))+1)))-1)</f>
        <v/>
      </c>
      <c r="Q2128" s="46" t="str">
        <f>IF(LayTable[[#This Row],[Sport]]="","",LayTable[[#This Row],[BookieInnsats]]+LayTable[[#This Row],[LayLiability]])</f>
        <v/>
      </c>
      <c r="R21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8" s="47" t="str">
        <f>IF(LayTable[[#This Row],[Utfall bookie]]="","",LayTable[[#This Row],[WBABack]]+LayTable[[#This Row],[WBALay]]-LayTable[[#This Row],[Total inns]])</f>
        <v/>
      </c>
      <c r="U21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8" s="48" t="str">
        <f>IFERROR(IF(LayTable[[#This Row],[Total inns]]="","",LayTable[[#This Row],[Rback]]/LayTable[[#This Row],[Total inns]]),"")</f>
        <v/>
      </c>
      <c r="X2128" s="48" t="str">
        <f>IFERROR(IF(LayTable[[#This Row],[Total inns]]="","",LayTable[[#This Row],[Rlay]]/LayTable[[#This Row],[Total inns]]),"")</f>
        <v/>
      </c>
      <c r="Y2128" s="48" t="str">
        <f>IFERROR(LayTable[[#This Row],[Faktisk res]]/LayTable[[#This Row],[Total inns]],"")</f>
        <v/>
      </c>
      <c r="Z2128" s="47">
        <f>(LayTable[[#This Row],[BookieInnsats]]*LayTable[[#This Row],[BookieOdds]]-LayTable[[#This Row],[BookieInnsats]])*(1-LayTable[[#This Row],[C% Bookie]])</f>
        <v>0</v>
      </c>
      <c r="AA2128" s="43">
        <f>LayTable[[#This Row],[LayInnsats]]*(1-LayTable[[#This Row],[C% Lay]])</f>
        <v>0</v>
      </c>
      <c r="AB2128" s="43" t="str">
        <f>IFERROR(IF(LayTable[[#This Row],[Sport]]="",AB2127,LayTable[[#This Row],[Faktisk res]]+AB2127),"")</f>
        <v/>
      </c>
      <c r="AC2128" s="43">
        <f>(LayTable[[#This Row],[BackWin-Commission]]+LayTable[[#This Row],[BookieInnsats]])</f>
        <v>0</v>
      </c>
      <c r="AD2128" s="43" t="e">
        <f>(LayTable[[#This Row],[LayWin-Commission]])+LayTable[[#This Row],[LayLiability]]</f>
        <v>#VALUE!</v>
      </c>
      <c r="AE2128" s="43"/>
      <c r="AF2128" s="181"/>
    </row>
    <row r="2129" spans="1:32">
      <c r="A2129" s="84"/>
      <c r="B2129" s="39"/>
      <c r="C2129" s="40"/>
      <c r="D2129" s="41"/>
      <c r="E2129" s="40"/>
      <c r="F2129" s="41"/>
      <c r="G2129" s="101"/>
      <c r="H2129" s="38"/>
      <c r="I2129" s="42"/>
      <c r="J2129" s="42"/>
      <c r="K2129" s="43"/>
      <c r="L2129" s="43"/>
      <c r="M2129" s="44" t="str">
        <f>IF(LayTable[[#This Row],[Sport]]="","",LayTable[[#This Row],[LayInnsats]]*(LayTable[[#This Row],[LayOdds]]-1))</f>
        <v/>
      </c>
      <c r="N2129" s="45" t="str">
        <f>IF(LayTable[[#This Row],[Sport]]="","",1/((1/LayTable[[#This Row],[BookieOdds]])+(1/((1/((1+((LayTable[[#This Row],[LayOdds]]-1)*(1+LayTable[[#This Row],[C% Lay]])))-1))+1)))-1)</f>
        <v/>
      </c>
      <c r="Q2129" s="46" t="str">
        <f>IF(LayTable[[#This Row],[Sport]]="","",LayTable[[#This Row],[BookieInnsats]]+LayTable[[#This Row],[LayLiability]])</f>
        <v/>
      </c>
      <c r="R21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29" s="47" t="str">
        <f>IF(LayTable[[#This Row],[Utfall bookie]]="","",LayTable[[#This Row],[WBABack]]+LayTable[[#This Row],[WBALay]]-LayTable[[#This Row],[Total inns]])</f>
        <v/>
      </c>
      <c r="U21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29" s="48" t="str">
        <f>IFERROR(IF(LayTable[[#This Row],[Total inns]]="","",LayTable[[#This Row],[Rback]]/LayTable[[#This Row],[Total inns]]),"")</f>
        <v/>
      </c>
      <c r="X2129" s="48" t="str">
        <f>IFERROR(IF(LayTable[[#This Row],[Total inns]]="","",LayTable[[#This Row],[Rlay]]/LayTable[[#This Row],[Total inns]]),"")</f>
        <v/>
      </c>
      <c r="Y2129" s="48" t="str">
        <f>IFERROR(LayTable[[#This Row],[Faktisk res]]/LayTable[[#This Row],[Total inns]],"")</f>
        <v/>
      </c>
      <c r="Z2129" s="47">
        <f>(LayTable[[#This Row],[BookieInnsats]]*LayTable[[#This Row],[BookieOdds]]-LayTable[[#This Row],[BookieInnsats]])*(1-LayTable[[#This Row],[C% Bookie]])</f>
        <v>0</v>
      </c>
      <c r="AA2129" s="43">
        <f>LayTable[[#This Row],[LayInnsats]]*(1-LayTable[[#This Row],[C% Lay]])</f>
        <v>0</v>
      </c>
      <c r="AB2129" s="43" t="str">
        <f>IFERROR(IF(LayTable[[#This Row],[Sport]]="",AB2128,LayTable[[#This Row],[Faktisk res]]+AB2128),"")</f>
        <v/>
      </c>
      <c r="AC2129" s="43">
        <f>(LayTable[[#This Row],[BackWin-Commission]]+LayTable[[#This Row],[BookieInnsats]])</f>
        <v>0</v>
      </c>
      <c r="AD2129" s="43" t="e">
        <f>(LayTable[[#This Row],[LayWin-Commission]])+LayTable[[#This Row],[LayLiability]]</f>
        <v>#VALUE!</v>
      </c>
      <c r="AE2129" s="43"/>
      <c r="AF2129" s="181"/>
    </row>
    <row r="2130" spans="1:32">
      <c r="A2130" s="84"/>
      <c r="B2130" s="39"/>
      <c r="C2130" s="40"/>
      <c r="D2130" s="41"/>
      <c r="E2130" s="40"/>
      <c r="F2130" s="41"/>
      <c r="G2130" s="101"/>
      <c r="H2130" s="38"/>
      <c r="I2130" s="42"/>
      <c r="J2130" s="42"/>
      <c r="K2130" s="43"/>
      <c r="L2130" s="43"/>
      <c r="M2130" s="44" t="str">
        <f>IF(LayTable[[#This Row],[Sport]]="","",LayTable[[#This Row],[LayInnsats]]*(LayTable[[#This Row],[LayOdds]]-1))</f>
        <v/>
      </c>
      <c r="N2130" s="45" t="str">
        <f>IF(LayTable[[#This Row],[Sport]]="","",1/((1/LayTable[[#This Row],[BookieOdds]])+(1/((1/((1+((LayTable[[#This Row],[LayOdds]]-1)*(1+LayTable[[#This Row],[C% Lay]])))-1))+1)))-1)</f>
        <v/>
      </c>
      <c r="Q2130" s="46" t="str">
        <f>IF(LayTable[[#This Row],[Sport]]="","",LayTable[[#This Row],[BookieInnsats]]+LayTable[[#This Row],[LayLiability]])</f>
        <v/>
      </c>
      <c r="R21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0" s="47" t="str">
        <f>IF(LayTable[[#This Row],[Utfall bookie]]="","",LayTable[[#This Row],[WBABack]]+LayTable[[#This Row],[WBALay]]-LayTable[[#This Row],[Total inns]])</f>
        <v/>
      </c>
      <c r="U21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0" s="48" t="str">
        <f>IFERROR(IF(LayTable[[#This Row],[Total inns]]="","",LayTable[[#This Row],[Rback]]/LayTable[[#This Row],[Total inns]]),"")</f>
        <v/>
      </c>
      <c r="X2130" s="48" t="str">
        <f>IFERROR(IF(LayTable[[#This Row],[Total inns]]="","",LayTable[[#This Row],[Rlay]]/LayTable[[#This Row],[Total inns]]),"")</f>
        <v/>
      </c>
      <c r="Y2130" s="48" t="str">
        <f>IFERROR(LayTable[[#This Row],[Faktisk res]]/LayTable[[#This Row],[Total inns]],"")</f>
        <v/>
      </c>
      <c r="Z2130" s="47">
        <f>(LayTable[[#This Row],[BookieInnsats]]*LayTable[[#This Row],[BookieOdds]]-LayTable[[#This Row],[BookieInnsats]])*(1-LayTable[[#This Row],[C% Bookie]])</f>
        <v>0</v>
      </c>
      <c r="AA2130" s="43">
        <f>LayTable[[#This Row],[LayInnsats]]*(1-LayTable[[#This Row],[C% Lay]])</f>
        <v>0</v>
      </c>
      <c r="AB2130" s="43" t="str">
        <f>IFERROR(IF(LayTable[[#This Row],[Sport]]="",AB2129,LayTable[[#This Row],[Faktisk res]]+AB2129),"")</f>
        <v/>
      </c>
      <c r="AC2130" s="43">
        <f>(LayTable[[#This Row],[BackWin-Commission]]+LayTable[[#This Row],[BookieInnsats]])</f>
        <v>0</v>
      </c>
      <c r="AD2130" s="43" t="e">
        <f>(LayTable[[#This Row],[LayWin-Commission]])+LayTable[[#This Row],[LayLiability]]</f>
        <v>#VALUE!</v>
      </c>
      <c r="AE2130" s="43"/>
      <c r="AF2130" s="181"/>
    </row>
    <row r="2131" spans="1:32">
      <c r="A2131" s="84"/>
      <c r="B2131" s="39"/>
      <c r="C2131" s="40"/>
      <c r="D2131" s="41"/>
      <c r="E2131" s="40"/>
      <c r="F2131" s="41"/>
      <c r="G2131" s="101"/>
      <c r="H2131" s="38"/>
      <c r="I2131" s="42"/>
      <c r="J2131" s="42"/>
      <c r="K2131" s="43"/>
      <c r="L2131" s="43"/>
      <c r="M2131" s="44" t="str">
        <f>IF(LayTable[[#This Row],[Sport]]="","",LayTable[[#This Row],[LayInnsats]]*(LayTable[[#This Row],[LayOdds]]-1))</f>
        <v/>
      </c>
      <c r="N2131" s="45" t="str">
        <f>IF(LayTable[[#This Row],[Sport]]="","",1/((1/LayTable[[#This Row],[BookieOdds]])+(1/((1/((1+((LayTable[[#This Row],[LayOdds]]-1)*(1+LayTable[[#This Row],[C% Lay]])))-1))+1)))-1)</f>
        <v/>
      </c>
      <c r="Q2131" s="46" t="str">
        <f>IF(LayTable[[#This Row],[Sport]]="","",LayTable[[#This Row],[BookieInnsats]]+LayTable[[#This Row],[LayLiability]])</f>
        <v/>
      </c>
      <c r="R21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1" s="47" t="str">
        <f>IF(LayTable[[#This Row],[Utfall bookie]]="","",LayTable[[#This Row],[WBABack]]+LayTable[[#This Row],[WBALay]]-LayTable[[#This Row],[Total inns]])</f>
        <v/>
      </c>
      <c r="U21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1" s="48" t="str">
        <f>IFERROR(IF(LayTable[[#This Row],[Total inns]]="","",LayTable[[#This Row],[Rback]]/LayTable[[#This Row],[Total inns]]),"")</f>
        <v/>
      </c>
      <c r="X2131" s="48" t="str">
        <f>IFERROR(IF(LayTable[[#This Row],[Total inns]]="","",LayTable[[#This Row],[Rlay]]/LayTable[[#This Row],[Total inns]]),"")</f>
        <v/>
      </c>
      <c r="Y2131" s="48" t="str">
        <f>IFERROR(LayTable[[#This Row],[Faktisk res]]/LayTable[[#This Row],[Total inns]],"")</f>
        <v/>
      </c>
      <c r="Z2131" s="47">
        <f>(LayTable[[#This Row],[BookieInnsats]]*LayTable[[#This Row],[BookieOdds]]-LayTable[[#This Row],[BookieInnsats]])*(1-LayTable[[#This Row],[C% Bookie]])</f>
        <v>0</v>
      </c>
      <c r="AA2131" s="43">
        <f>LayTable[[#This Row],[LayInnsats]]*(1-LayTable[[#This Row],[C% Lay]])</f>
        <v>0</v>
      </c>
      <c r="AB2131" s="43" t="str">
        <f>IFERROR(IF(LayTable[[#This Row],[Sport]]="",AB2130,LayTable[[#This Row],[Faktisk res]]+AB2130),"")</f>
        <v/>
      </c>
      <c r="AC2131" s="43">
        <f>(LayTable[[#This Row],[BackWin-Commission]]+LayTable[[#This Row],[BookieInnsats]])</f>
        <v>0</v>
      </c>
      <c r="AD2131" s="43" t="e">
        <f>(LayTable[[#This Row],[LayWin-Commission]])+LayTable[[#This Row],[LayLiability]]</f>
        <v>#VALUE!</v>
      </c>
      <c r="AE2131" s="43"/>
      <c r="AF2131" s="181"/>
    </row>
    <row r="2132" spans="1:32">
      <c r="A2132" s="84"/>
      <c r="B2132" s="39"/>
      <c r="C2132" s="40"/>
      <c r="D2132" s="41"/>
      <c r="E2132" s="40"/>
      <c r="F2132" s="41"/>
      <c r="G2132" s="101"/>
      <c r="H2132" s="38"/>
      <c r="I2132" s="42"/>
      <c r="J2132" s="42"/>
      <c r="K2132" s="43"/>
      <c r="L2132" s="43"/>
      <c r="M2132" s="44" t="str">
        <f>IF(LayTable[[#This Row],[Sport]]="","",LayTable[[#This Row],[LayInnsats]]*(LayTable[[#This Row],[LayOdds]]-1))</f>
        <v/>
      </c>
      <c r="N2132" s="45" t="str">
        <f>IF(LayTable[[#This Row],[Sport]]="","",1/((1/LayTable[[#This Row],[BookieOdds]])+(1/((1/((1+((LayTable[[#This Row],[LayOdds]]-1)*(1+LayTable[[#This Row],[C% Lay]])))-1))+1)))-1)</f>
        <v/>
      </c>
      <c r="Q2132" s="46" t="str">
        <f>IF(LayTable[[#This Row],[Sport]]="","",LayTable[[#This Row],[BookieInnsats]]+LayTable[[#This Row],[LayLiability]])</f>
        <v/>
      </c>
      <c r="R21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2" s="47" t="str">
        <f>IF(LayTable[[#This Row],[Utfall bookie]]="","",LayTable[[#This Row],[WBABack]]+LayTable[[#This Row],[WBALay]]-LayTable[[#This Row],[Total inns]])</f>
        <v/>
      </c>
      <c r="U21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2" s="48" t="str">
        <f>IFERROR(IF(LayTable[[#This Row],[Total inns]]="","",LayTable[[#This Row],[Rback]]/LayTable[[#This Row],[Total inns]]),"")</f>
        <v/>
      </c>
      <c r="X2132" s="48" t="str">
        <f>IFERROR(IF(LayTable[[#This Row],[Total inns]]="","",LayTable[[#This Row],[Rlay]]/LayTable[[#This Row],[Total inns]]),"")</f>
        <v/>
      </c>
      <c r="Y2132" s="48" t="str">
        <f>IFERROR(LayTable[[#This Row],[Faktisk res]]/LayTable[[#This Row],[Total inns]],"")</f>
        <v/>
      </c>
      <c r="Z2132" s="47">
        <f>(LayTable[[#This Row],[BookieInnsats]]*LayTable[[#This Row],[BookieOdds]]-LayTable[[#This Row],[BookieInnsats]])*(1-LayTable[[#This Row],[C% Bookie]])</f>
        <v>0</v>
      </c>
      <c r="AA2132" s="43">
        <f>LayTable[[#This Row],[LayInnsats]]*(1-LayTable[[#This Row],[C% Lay]])</f>
        <v>0</v>
      </c>
      <c r="AB2132" s="43" t="str">
        <f>IFERROR(IF(LayTable[[#This Row],[Sport]]="",AB2131,LayTable[[#This Row],[Faktisk res]]+AB2131),"")</f>
        <v/>
      </c>
      <c r="AC2132" s="43">
        <f>(LayTable[[#This Row],[BackWin-Commission]]+LayTable[[#This Row],[BookieInnsats]])</f>
        <v>0</v>
      </c>
      <c r="AD2132" s="43" t="e">
        <f>(LayTable[[#This Row],[LayWin-Commission]])+LayTable[[#This Row],[LayLiability]]</f>
        <v>#VALUE!</v>
      </c>
      <c r="AE2132" s="43"/>
      <c r="AF2132" s="181"/>
    </row>
    <row r="2133" spans="1:32">
      <c r="A2133" s="84"/>
      <c r="B2133" s="39"/>
      <c r="C2133" s="40"/>
      <c r="D2133" s="41"/>
      <c r="E2133" s="40"/>
      <c r="F2133" s="41"/>
      <c r="G2133" s="101"/>
      <c r="H2133" s="38"/>
      <c r="I2133" s="42"/>
      <c r="J2133" s="42"/>
      <c r="K2133" s="43"/>
      <c r="L2133" s="43"/>
      <c r="M2133" s="44" t="str">
        <f>IF(LayTable[[#This Row],[Sport]]="","",LayTable[[#This Row],[LayInnsats]]*(LayTable[[#This Row],[LayOdds]]-1))</f>
        <v/>
      </c>
      <c r="N2133" s="45" t="str">
        <f>IF(LayTable[[#This Row],[Sport]]="","",1/((1/LayTable[[#This Row],[BookieOdds]])+(1/((1/((1+((LayTable[[#This Row],[LayOdds]]-1)*(1+LayTable[[#This Row],[C% Lay]])))-1))+1)))-1)</f>
        <v/>
      </c>
      <c r="Q2133" s="46" t="str">
        <f>IF(LayTable[[#This Row],[Sport]]="","",LayTable[[#This Row],[BookieInnsats]]+LayTable[[#This Row],[LayLiability]])</f>
        <v/>
      </c>
      <c r="R21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3" s="47" t="str">
        <f>IF(LayTable[[#This Row],[Utfall bookie]]="","",LayTable[[#This Row],[WBABack]]+LayTable[[#This Row],[WBALay]]-LayTable[[#This Row],[Total inns]])</f>
        <v/>
      </c>
      <c r="U21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3" s="48" t="str">
        <f>IFERROR(IF(LayTable[[#This Row],[Total inns]]="","",LayTable[[#This Row],[Rback]]/LayTable[[#This Row],[Total inns]]),"")</f>
        <v/>
      </c>
      <c r="X2133" s="48" t="str">
        <f>IFERROR(IF(LayTable[[#This Row],[Total inns]]="","",LayTable[[#This Row],[Rlay]]/LayTable[[#This Row],[Total inns]]),"")</f>
        <v/>
      </c>
      <c r="Y2133" s="48" t="str">
        <f>IFERROR(LayTable[[#This Row],[Faktisk res]]/LayTable[[#This Row],[Total inns]],"")</f>
        <v/>
      </c>
      <c r="Z2133" s="47">
        <f>(LayTable[[#This Row],[BookieInnsats]]*LayTable[[#This Row],[BookieOdds]]-LayTable[[#This Row],[BookieInnsats]])*(1-LayTable[[#This Row],[C% Bookie]])</f>
        <v>0</v>
      </c>
      <c r="AA2133" s="43">
        <f>LayTable[[#This Row],[LayInnsats]]*(1-LayTable[[#This Row],[C% Lay]])</f>
        <v>0</v>
      </c>
      <c r="AB2133" s="43" t="str">
        <f>IFERROR(IF(LayTable[[#This Row],[Sport]]="",AB2132,LayTable[[#This Row],[Faktisk res]]+AB2132),"")</f>
        <v/>
      </c>
      <c r="AC2133" s="43">
        <f>(LayTable[[#This Row],[BackWin-Commission]]+LayTable[[#This Row],[BookieInnsats]])</f>
        <v>0</v>
      </c>
      <c r="AD2133" s="43" t="e">
        <f>(LayTable[[#This Row],[LayWin-Commission]])+LayTable[[#This Row],[LayLiability]]</f>
        <v>#VALUE!</v>
      </c>
      <c r="AE2133" s="43"/>
      <c r="AF2133" s="181"/>
    </row>
    <row r="2134" spans="1:32">
      <c r="A2134" s="84"/>
      <c r="B2134" s="39"/>
      <c r="C2134" s="40"/>
      <c r="D2134" s="41"/>
      <c r="E2134" s="40"/>
      <c r="F2134" s="41"/>
      <c r="G2134" s="101"/>
      <c r="H2134" s="38"/>
      <c r="I2134" s="42"/>
      <c r="J2134" s="42"/>
      <c r="K2134" s="43"/>
      <c r="L2134" s="43"/>
      <c r="M2134" s="44" t="str">
        <f>IF(LayTable[[#This Row],[Sport]]="","",LayTable[[#This Row],[LayInnsats]]*(LayTable[[#This Row],[LayOdds]]-1))</f>
        <v/>
      </c>
      <c r="N2134" s="45" t="str">
        <f>IF(LayTable[[#This Row],[Sport]]="","",1/((1/LayTable[[#This Row],[BookieOdds]])+(1/((1/((1+((LayTable[[#This Row],[LayOdds]]-1)*(1+LayTable[[#This Row],[C% Lay]])))-1))+1)))-1)</f>
        <v/>
      </c>
      <c r="Q2134" s="46" t="str">
        <f>IF(LayTable[[#This Row],[Sport]]="","",LayTable[[#This Row],[BookieInnsats]]+LayTable[[#This Row],[LayLiability]])</f>
        <v/>
      </c>
      <c r="R21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4" s="47" t="str">
        <f>IF(LayTable[[#This Row],[Utfall bookie]]="","",LayTable[[#This Row],[WBABack]]+LayTable[[#This Row],[WBALay]]-LayTable[[#This Row],[Total inns]])</f>
        <v/>
      </c>
      <c r="U21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4" s="48" t="str">
        <f>IFERROR(IF(LayTable[[#This Row],[Total inns]]="","",LayTable[[#This Row],[Rback]]/LayTable[[#This Row],[Total inns]]),"")</f>
        <v/>
      </c>
      <c r="X2134" s="48" t="str">
        <f>IFERROR(IF(LayTable[[#This Row],[Total inns]]="","",LayTable[[#This Row],[Rlay]]/LayTable[[#This Row],[Total inns]]),"")</f>
        <v/>
      </c>
      <c r="Y2134" s="48" t="str">
        <f>IFERROR(LayTable[[#This Row],[Faktisk res]]/LayTable[[#This Row],[Total inns]],"")</f>
        <v/>
      </c>
      <c r="Z2134" s="47">
        <f>(LayTable[[#This Row],[BookieInnsats]]*LayTable[[#This Row],[BookieOdds]]-LayTable[[#This Row],[BookieInnsats]])*(1-LayTable[[#This Row],[C% Bookie]])</f>
        <v>0</v>
      </c>
      <c r="AA2134" s="43">
        <f>LayTable[[#This Row],[LayInnsats]]*(1-LayTable[[#This Row],[C% Lay]])</f>
        <v>0</v>
      </c>
      <c r="AB2134" s="43" t="str">
        <f>IFERROR(IF(LayTable[[#This Row],[Sport]]="",AB2133,LayTable[[#This Row],[Faktisk res]]+AB2133),"")</f>
        <v/>
      </c>
      <c r="AC2134" s="43">
        <f>(LayTable[[#This Row],[BackWin-Commission]]+LayTable[[#This Row],[BookieInnsats]])</f>
        <v>0</v>
      </c>
      <c r="AD2134" s="43" t="e">
        <f>(LayTable[[#This Row],[LayWin-Commission]])+LayTable[[#This Row],[LayLiability]]</f>
        <v>#VALUE!</v>
      </c>
      <c r="AE2134" s="43"/>
      <c r="AF2134" s="181"/>
    </row>
    <row r="2135" spans="1:32">
      <c r="A2135" s="84"/>
      <c r="B2135" s="39"/>
      <c r="C2135" s="40"/>
      <c r="D2135" s="41"/>
      <c r="E2135" s="40"/>
      <c r="F2135" s="41"/>
      <c r="G2135" s="101"/>
      <c r="H2135" s="38"/>
      <c r="I2135" s="42"/>
      <c r="J2135" s="42"/>
      <c r="K2135" s="43"/>
      <c r="L2135" s="43"/>
      <c r="M2135" s="44" t="str">
        <f>IF(LayTable[[#This Row],[Sport]]="","",LayTable[[#This Row],[LayInnsats]]*(LayTable[[#This Row],[LayOdds]]-1))</f>
        <v/>
      </c>
      <c r="N2135" s="45" t="str">
        <f>IF(LayTable[[#This Row],[Sport]]="","",1/((1/LayTable[[#This Row],[BookieOdds]])+(1/((1/((1+((LayTable[[#This Row],[LayOdds]]-1)*(1+LayTable[[#This Row],[C% Lay]])))-1))+1)))-1)</f>
        <v/>
      </c>
      <c r="Q2135" s="46" t="str">
        <f>IF(LayTable[[#This Row],[Sport]]="","",LayTable[[#This Row],[BookieInnsats]]+LayTable[[#This Row],[LayLiability]])</f>
        <v/>
      </c>
      <c r="R21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5" s="47" t="str">
        <f>IF(LayTable[[#This Row],[Utfall bookie]]="","",LayTable[[#This Row],[WBABack]]+LayTable[[#This Row],[WBALay]]-LayTable[[#This Row],[Total inns]])</f>
        <v/>
      </c>
      <c r="U21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5" s="48" t="str">
        <f>IFERROR(IF(LayTable[[#This Row],[Total inns]]="","",LayTable[[#This Row],[Rback]]/LayTable[[#This Row],[Total inns]]),"")</f>
        <v/>
      </c>
      <c r="X2135" s="48" t="str">
        <f>IFERROR(IF(LayTable[[#This Row],[Total inns]]="","",LayTable[[#This Row],[Rlay]]/LayTable[[#This Row],[Total inns]]),"")</f>
        <v/>
      </c>
      <c r="Y2135" s="48" t="str">
        <f>IFERROR(LayTable[[#This Row],[Faktisk res]]/LayTable[[#This Row],[Total inns]],"")</f>
        <v/>
      </c>
      <c r="Z2135" s="47">
        <f>(LayTable[[#This Row],[BookieInnsats]]*LayTable[[#This Row],[BookieOdds]]-LayTable[[#This Row],[BookieInnsats]])*(1-LayTable[[#This Row],[C% Bookie]])</f>
        <v>0</v>
      </c>
      <c r="AA2135" s="43">
        <f>LayTable[[#This Row],[LayInnsats]]*(1-LayTable[[#This Row],[C% Lay]])</f>
        <v>0</v>
      </c>
      <c r="AB2135" s="43" t="str">
        <f>IFERROR(IF(LayTable[[#This Row],[Sport]]="",AB2134,LayTable[[#This Row],[Faktisk res]]+AB2134),"")</f>
        <v/>
      </c>
      <c r="AC2135" s="43">
        <f>(LayTable[[#This Row],[BackWin-Commission]]+LayTable[[#This Row],[BookieInnsats]])</f>
        <v>0</v>
      </c>
      <c r="AD2135" s="43" t="e">
        <f>(LayTable[[#This Row],[LayWin-Commission]])+LayTable[[#This Row],[LayLiability]]</f>
        <v>#VALUE!</v>
      </c>
      <c r="AE2135" s="43"/>
      <c r="AF2135" s="181"/>
    </row>
    <row r="2136" spans="1:32">
      <c r="A2136" s="84"/>
      <c r="B2136" s="39"/>
      <c r="C2136" s="40"/>
      <c r="D2136" s="41"/>
      <c r="E2136" s="40"/>
      <c r="F2136" s="41"/>
      <c r="G2136" s="101"/>
      <c r="H2136" s="38"/>
      <c r="I2136" s="42"/>
      <c r="J2136" s="42"/>
      <c r="K2136" s="43"/>
      <c r="L2136" s="43"/>
      <c r="M2136" s="44" t="str">
        <f>IF(LayTable[[#This Row],[Sport]]="","",LayTable[[#This Row],[LayInnsats]]*(LayTable[[#This Row],[LayOdds]]-1))</f>
        <v/>
      </c>
      <c r="N2136" s="45" t="str">
        <f>IF(LayTable[[#This Row],[Sport]]="","",1/((1/LayTable[[#This Row],[BookieOdds]])+(1/((1/((1+((LayTable[[#This Row],[LayOdds]]-1)*(1+LayTable[[#This Row],[C% Lay]])))-1))+1)))-1)</f>
        <v/>
      </c>
      <c r="Q2136" s="46" t="str">
        <f>IF(LayTable[[#This Row],[Sport]]="","",LayTable[[#This Row],[BookieInnsats]]+LayTable[[#This Row],[LayLiability]])</f>
        <v/>
      </c>
      <c r="R21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6" s="47" t="str">
        <f>IF(LayTable[[#This Row],[Utfall bookie]]="","",LayTable[[#This Row],[WBABack]]+LayTable[[#This Row],[WBALay]]-LayTable[[#This Row],[Total inns]])</f>
        <v/>
      </c>
      <c r="U21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6" s="48" t="str">
        <f>IFERROR(IF(LayTable[[#This Row],[Total inns]]="","",LayTable[[#This Row],[Rback]]/LayTable[[#This Row],[Total inns]]),"")</f>
        <v/>
      </c>
      <c r="X2136" s="48" t="str">
        <f>IFERROR(IF(LayTable[[#This Row],[Total inns]]="","",LayTable[[#This Row],[Rlay]]/LayTable[[#This Row],[Total inns]]),"")</f>
        <v/>
      </c>
      <c r="Y2136" s="48" t="str">
        <f>IFERROR(LayTable[[#This Row],[Faktisk res]]/LayTable[[#This Row],[Total inns]],"")</f>
        <v/>
      </c>
      <c r="Z2136" s="47">
        <f>(LayTable[[#This Row],[BookieInnsats]]*LayTable[[#This Row],[BookieOdds]]-LayTable[[#This Row],[BookieInnsats]])*(1-LayTable[[#This Row],[C% Bookie]])</f>
        <v>0</v>
      </c>
      <c r="AA2136" s="43">
        <f>LayTable[[#This Row],[LayInnsats]]*(1-LayTable[[#This Row],[C% Lay]])</f>
        <v>0</v>
      </c>
      <c r="AB2136" s="43" t="str">
        <f>IFERROR(IF(LayTable[[#This Row],[Sport]]="",AB2135,LayTable[[#This Row],[Faktisk res]]+AB2135),"")</f>
        <v/>
      </c>
      <c r="AC2136" s="43">
        <f>(LayTable[[#This Row],[BackWin-Commission]]+LayTable[[#This Row],[BookieInnsats]])</f>
        <v>0</v>
      </c>
      <c r="AD2136" s="43" t="e">
        <f>(LayTable[[#This Row],[LayWin-Commission]])+LayTable[[#This Row],[LayLiability]]</f>
        <v>#VALUE!</v>
      </c>
      <c r="AE2136" s="43"/>
      <c r="AF2136" s="181"/>
    </row>
    <row r="2137" spans="1:32">
      <c r="A2137" s="84"/>
      <c r="B2137" s="39"/>
      <c r="C2137" s="40"/>
      <c r="D2137" s="41"/>
      <c r="E2137" s="40"/>
      <c r="F2137" s="41"/>
      <c r="G2137" s="101"/>
      <c r="H2137" s="38"/>
      <c r="I2137" s="42"/>
      <c r="J2137" s="42"/>
      <c r="K2137" s="43"/>
      <c r="L2137" s="43"/>
      <c r="M2137" s="44" t="str">
        <f>IF(LayTable[[#This Row],[Sport]]="","",LayTable[[#This Row],[LayInnsats]]*(LayTable[[#This Row],[LayOdds]]-1))</f>
        <v/>
      </c>
      <c r="N2137" s="45" t="str">
        <f>IF(LayTable[[#This Row],[Sport]]="","",1/((1/LayTable[[#This Row],[BookieOdds]])+(1/((1/((1+((LayTable[[#This Row],[LayOdds]]-1)*(1+LayTable[[#This Row],[C% Lay]])))-1))+1)))-1)</f>
        <v/>
      </c>
      <c r="Q2137" s="46" t="str">
        <f>IF(LayTable[[#This Row],[Sport]]="","",LayTable[[#This Row],[BookieInnsats]]+LayTable[[#This Row],[LayLiability]])</f>
        <v/>
      </c>
      <c r="R21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7" s="47" t="str">
        <f>IF(LayTable[[#This Row],[Utfall bookie]]="","",LayTable[[#This Row],[WBABack]]+LayTable[[#This Row],[WBALay]]-LayTable[[#This Row],[Total inns]])</f>
        <v/>
      </c>
      <c r="U21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7" s="48" t="str">
        <f>IFERROR(IF(LayTable[[#This Row],[Total inns]]="","",LayTable[[#This Row],[Rback]]/LayTable[[#This Row],[Total inns]]),"")</f>
        <v/>
      </c>
      <c r="X2137" s="48" t="str">
        <f>IFERROR(IF(LayTable[[#This Row],[Total inns]]="","",LayTable[[#This Row],[Rlay]]/LayTable[[#This Row],[Total inns]]),"")</f>
        <v/>
      </c>
      <c r="Y2137" s="48" t="str">
        <f>IFERROR(LayTable[[#This Row],[Faktisk res]]/LayTable[[#This Row],[Total inns]],"")</f>
        <v/>
      </c>
      <c r="Z2137" s="47">
        <f>(LayTable[[#This Row],[BookieInnsats]]*LayTable[[#This Row],[BookieOdds]]-LayTable[[#This Row],[BookieInnsats]])*(1-LayTable[[#This Row],[C% Bookie]])</f>
        <v>0</v>
      </c>
      <c r="AA2137" s="43">
        <f>LayTable[[#This Row],[LayInnsats]]*(1-LayTable[[#This Row],[C% Lay]])</f>
        <v>0</v>
      </c>
      <c r="AB2137" s="43" t="str">
        <f>IFERROR(IF(LayTable[[#This Row],[Sport]]="",AB2136,LayTable[[#This Row],[Faktisk res]]+AB2136),"")</f>
        <v/>
      </c>
      <c r="AC2137" s="43">
        <f>(LayTable[[#This Row],[BackWin-Commission]]+LayTable[[#This Row],[BookieInnsats]])</f>
        <v>0</v>
      </c>
      <c r="AD2137" s="43" t="e">
        <f>(LayTable[[#This Row],[LayWin-Commission]])+LayTable[[#This Row],[LayLiability]]</f>
        <v>#VALUE!</v>
      </c>
      <c r="AE2137" s="43"/>
      <c r="AF2137" s="181"/>
    </row>
    <row r="2138" spans="1:32">
      <c r="A2138" s="84"/>
      <c r="B2138" s="39"/>
      <c r="C2138" s="40"/>
      <c r="D2138" s="41"/>
      <c r="E2138" s="40"/>
      <c r="F2138" s="41"/>
      <c r="G2138" s="101"/>
      <c r="H2138" s="38"/>
      <c r="I2138" s="42"/>
      <c r="J2138" s="42"/>
      <c r="K2138" s="43"/>
      <c r="L2138" s="43"/>
      <c r="M2138" s="44" t="str">
        <f>IF(LayTable[[#This Row],[Sport]]="","",LayTable[[#This Row],[LayInnsats]]*(LayTable[[#This Row],[LayOdds]]-1))</f>
        <v/>
      </c>
      <c r="N2138" s="45" t="str">
        <f>IF(LayTable[[#This Row],[Sport]]="","",1/((1/LayTable[[#This Row],[BookieOdds]])+(1/((1/((1+((LayTable[[#This Row],[LayOdds]]-1)*(1+LayTable[[#This Row],[C% Lay]])))-1))+1)))-1)</f>
        <v/>
      </c>
      <c r="Q2138" s="46" t="str">
        <f>IF(LayTable[[#This Row],[Sport]]="","",LayTable[[#This Row],[BookieInnsats]]+LayTable[[#This Row],[LayLiability]])</f>
        <v/>
      </c>
      <c r="R21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8" s="47" t="str">
        <f>IF(LayTable[[#This Row],[Utfall bookie]]="","",LayTable[[#This Row],[WBABack]]+LayTable[[#This Row],[WBALay]]-LayTable[[#This Row],[Total inns]])</f>
        <v/>
      </c>
      <c r="U21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8" s="48" t="str">
        <f>IFERROR(IF(LayTable[[#This Row],[Total inns]]="","",LayTable[[#This Row],[Rback]]/LayTable[[#This Row],[Total inns]]),"")</f>
        <v/>
      </c>
      <c r="X2138" s="48" t="str">
        <f>IFERROR(IF(LayTable[[#This Row],[Total inns]]="","",LayTable[[#This Row],[Rlay]]/LayTable[[#This Row],[Total inns]]),"")</f>
        <v/>
      </c>
      <c r="Y2138" s="48" t="str">
        <f>IFERROR(LayTable[[#This Row],[Faktisk res]]/LayTable[[#This Row],[Total inns]],"")</f>
        <v/>
      </c>
      <c r="Z2138" s="47">
        <f>(LayTable[[#This Row],[BookieInnsats]]*LayTable[[#This Row],[BookieOdds]]-LayTable[[#This Row],[BookieInnsats]])*(1-LayTable[[#This Row],[C% Bookie]])</f>
        <v>0</v>
      </c>
      <c r="AA2138" s="43">
        <f>LayTable[[#This Row],[LayInnsats]]*(1-LayTable[[#This Row],[C% Lay]])</f>
        <v>0</v>
      </c>
      <c r="AB2138" s="43" t="str">
        <f>IFERROR(IF(LayTable[[#This Row],[Sport]]="",AB2137,LayTable[[#This Row],[Faktisk res]]+AB2137),"")</f>
        <v/>
      </c>
      <c r="AC2138" s="43">
        <f>(LayTable[[#This Row],[BackWin-Commission]]+LayTable[[#This Row],[BookieInnsats]])</f>
        <v>0</v>
      </c>
      <c r="AD2138" s="43" t="e">
        <f>(LayTable[[#This Row],[LayWin-Commission]])+LayTable[[#This Row],[LayLiability]]</f>
        <v>#VALUE!</v>
      </c>
      <c r="AE2138" s="43"/>
      <c r="AF2138" s="181"/>
    </row>
    <row r="2139" spans="1:32">
      <c r="A2139" s="84"/>
      <c r="B2139" s="39"/>
      <c r="C2139" s="40"/>
      <c r="D2139" s="41"/>
      <c r="E2139" s="40"/>
      <c r="F2139" s="41"/>
      <c r="G2139" s="101"/>
      <c r="H2139" s="38"/>
      <c r="I2139" s="42"/>
      <c r="J2139" s="42"/>
      <c r="K2139" s="43"/>
      <c r="L2139" s="43"/>
      <c r="M2139" s="44" t="str">
        <f>IF(LayTable[[#This Row],[Sport]]="","",LayTable[[#This Row],[LayInnsats]]*(LayTable[[#This Row],[LayOdds]]-1))</f>
        <v/>
      </c>
      <c r="N2139" s="45" t="str">
        <f>IF(LayTable[[#This Row],[Sport]]="","",1/((1/LayTable[[#This Row],[BookieOdds]])+(1/((1/((1+((LayTable[[#This Row],[LayOdds]]-1)*(1+LayTable[[#This Row],[C% Lay]])))-1))+1)))-1)</f>
        <v/>
      </c>
      <c r="Q2139" s="46" t="str">
        <f>IF(LayTable[[#This Row],[Sport]]="","",LayTable[[#This Row],[BookieInnsats]]+LayTable[[#This Row],[LayLiability]])</f>
        <v/>
      </c>
      <c r="R21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39" s="47" t="str">
        <f>IF(LayTable[[#This Row],[Utfall bookie]]="","",LayTable[[#This Row],[WBABack]]+LayTable[[#This Row],[WBALay]]-LayTable[[#This Row],[Total inns]])</f>
        <v/>
      </c>
      <c r="U21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39" s="48" t="str">
        <f>IFERROR(IF(LayTable[[#This Row],[Total inns]]="","",LayTable[[#This Row],[Rback]]/LayTable[[#This Row],[Total inns]]),"")</f>
        <v/>
      </c>
      <c r="X2139" s="48" t="str">
        <f>IFERROR(IF(LayTable[[#This Row],[Total inns]]="","",LayTable[[#This Row],[Rlay]]/LayTable[[#This Row],[Total inns]]),"")</f>
        <v/>
      </c>
      <c r="Y2139" s="48" t="str">
        <f>IFERROR(LayTable[[#This Row],[Faktisk res]]/LayTable[[#This Row],[Total inns]],"")</f>
        <v/>
      </c>
      <c r="Z2139" s="47">
        <f>(LayTable[[#This Row],[BookieInnsats]]*LayTable[[#This Row],[BookieOdds]]-LayTable[[#This Row],[BookieInnsats]])*(1-LayTable[[#This Row],[C% Bookie]])</f>
        <v>0</v>
      </c>
      <c r="AA2139" s="43">
        <f>LayTable[[#This Row],[LayInnsats]]*(1-LayTable[[#This Row],[C% Lay]])</f>
        <v>0</v>
      </c>
      <c r="AB2139" s="43" t="str">
        <f>IFERROR(IF(LayTable[[#This Row],[Sport]]="",AB2138,LayTable[[#This Row],[Faktisk res]]+AB2138),"")</f>
        <v/>
      </c>
      <c r="AC2139" s="43">
        <f>(LayTable[[#This Row],[BackWin-Commission]]+LayTable[[#This Row],[BookieInnsats]])</f>
        <v>0</v>
      </c>
      <c r="AD2139" s="43" t="e">
        <f>(LayTable[[#This Row],[LayWin-Commission]])+LayTable[[#This Row],[LayLiability]]</f>
        <v>#VALUE!</v>
      </c>
      <c r="AE2139" s="43"/>
      <c r="AF2139" s="181"/>
    </row>
    <row r="2140" spans="1:32">
      <c r="A2140" s="84"/>
      <c r="B2140" s="39"/>
      <c r="C2140" s="40"/>
      <c r="D2140" s="41"/>
      <c r="E2140" s="40"/>
      <c r="F2140" s="41"/>
      <c r="G2140" s="101"/>
      <c r="H2140" s="38"/>
      <c r="I2140" s="42"/>
      <c r="J2140" s="42"/>
      <c r="K2140" s="43"/>
      <c r="L2140" s="43"/>
      <c r="M2140" s="44" t="str">
        <f>IF(LayTable[[#This Row],[Sport]]="","",LayTable[[#This Row],[LayInnsats]]*(LayTable[[#This Row],[LayOdds]]-1))</f>
        <v/>
      </c>
      <c r="N2140" s="45" t="str">
        <f>IF(LayTable[[#This Row],[Sport]]="","",1/((1/LayTable[[#This Row],[BookieOdds]])+(1/((1/((1+((LayTable[[#This Row],[LayOdds]]-1)*(1+LayTable[[#This Row],[C% Lay]])))-1))+1)))-1)</f>
        <v/>
      </c>
      <c r="Q2140" s="46" t="str">
        <f>IF(LayTable[[#This Row],[Sport]]="","",LayTable[[#This Row],[BookieInnsats]]+LayTable[[#This Row],[LayLiability]])</f>
        <v/>
      </c>
      <c r="R21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0" s="47" t="str">
        <f>IF(LayTable[[#This Row],[Utfall bookie]]="","",LayTable[[#This Row],[WBABack]]+LayTable[[#This Row],[WBALay]]-LayTable[[#This Row],[Total inns]])</f>
        <v/>
      </c>
      <c r="U21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0" s="48" t="str">
        <f>IFERROR(IF(LayTable[[#This Row],[Total inns]]="","",LayTable[[#This Row],[Rback]]/LayTable[[#This Row],[Total inns]]),"")</f>
        <v/>
      </c>
      <c r="X2140" s="48" t="str">
        <f>IFERROR(IF(LayTable[[#This Row],[Total inns]]="","",LayTable[[#This Row],[Rlay]]/LayTable[[#This Row],[Total inns]]),"")</f>
        <v/>
      </c>
      <c r="Y2140" s="48" t="str">
        <f>IFERROR(LayTable[[#This Row],[Faktisk res]]/LayTable[[#This Row],[Total inns]],"")</f>
        <v/>
      </c>
      <c r="Z2140" s="47">
        <f>(LayTable[[#This Row],[BookieInnsats]]*LayTable[[#This Row],[BookieOdds]]-LayTable[[#This Row],[BookieInnsats]])*(1-LayTable[[#This Row],[C% Bookie]])</f>
        <v>0</v>
      </c>
      <c r="AA2140" s="43">
        <f>LayTable[[#This Row],[LayInnsats]]*(1-LayTable[[#This Row],[C% Lay]])</f>
        <v>0</v>
      </c>
      <c r="AB2140" s="43" t="str">
        <f>IFERROR(IF(LayTable[[#This Row],[Sport]]="",AB2139,LayTable[[#This Row],[Faktisk res]]+AB2139),"")</f>
        <v/>
      </c>
      <c r="AC2140" s="43">
        <f>(LayTable[[#This Row],[BackWin-Commission]]+LayTable[[#This Row],[BookieInnsats]])</f>
        <v>0</v>
      </c>
      <c r="AD2140" s="43" t="e">
        <f>(LayTable[[#This Row],[LayWin-Commission]])+LayTable[[#This Row],[LayLiability]]</f>
        <v>#VALUE!</v>
      </c>
      <c r="AE2140" s="43"/>
      <c r="AF2140" s="181"/>
    </row>
    <row r="2141" spans="1:32">
      <c r="A2141" s="84"/>
      <c r="B2141" s="39"/>
      <c r="C2141" s="40"/>
      <c r="D2141" s="41"/>
      <c r="E2141" s="40"/>
      <c r="F2141" s="41"/>
      <c r="G2141" s="101"/>
      <c r="H2141" s="38"/>
      <c r="I2141" s="74"/>
      <c r="J2141" s="74"/>
      <c r="K2141" s="75"/>
      <c r="L2141" s="75"/>
      <c r="M2141" s="76" t="str">
        <f>IF(LayTable[[#This Row],[Sport]]="","",LayTable[[#This Row],[LayInnsats]]*(LayTable[[#This Row],[LayOdds]]-1))</f>
        <v/>
      </c>
      <c r="N2141" s="77" t="str">
        <f>IF(LayTable[[#This Row],[Sport]]="","",1/((1/LayTable[[#This Row],[BookieOdds]])+(1/((1/((1+((LayTable[[#This Row],[LayOdds]]-1)*(1+LayTable[[#This Row],[C% Lay]])))-1))+1)))-1)</f>
        <v/>
      </c>
      <c r="Q2141" s="78" t="str">
        <f>IF(LayTable[[#This Row],[Sport]]="","",LayTable[[#This Row],[BookieInnsats]]+LayTable[[#This Row],[LayLiability]])</f>
        <v/>
      </c>
      <c r="R2141"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1"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1" s="79" t="str">
        <f>IF(LayTable[[#This Row],[Utfall bookie]]="","",LayTable[[#This Row],[WBABack]]+LayTable[[#This Row],[WBALay]]-LayTable[[#This Row],[Total inns]])</f>
        <v/>
      </c>
      <c r="U2141"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1"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1" s="80" t="str">
        <f>IFERROR(IF(LayTable[[#This Row],[Total inns]]="","",LayTable[[#This Row],[Rback]]/LayTable[[#This Row],[Total inns]]),"")</f>
        <v/>
      </c>
      <c r="X2141" s="80" t="str">
        <f>IFERROR(IF(LayTable[[#This Row],[Total inns]]="","",LayTable[[#This Row],[Rlay]]/LayTable[[#This Row],[Total inns]]),"")</f>
        <v/>
      </c>
      <c r="Y2141" s="80" t="str">
        <f>IFERROR(LayTable[[#This Row],[Faktisk res]]/LayTable[[#This Row],[Total inns]],"")</f>
        <v/>
      </c>
      <c r="Z2141" s="79">
        <f>(LayTable[[#This Row],[BookieInnsats]]*LayTable[[#This Row],[BookieOdds]]-LayTable[[#This Row],[BookieInnsats]])*(1-LayTable[[#This Row],[C% Bookie]])</f>
        <v>0</v>
      </c>
      <c r="AA2141" s="75">
        <f>LayTable[[#This Row],[LayInnsats]]*(1-LayTable[[#This Row],[C% Lay]])</f>
        <v>0</v>
      </c>
      <c r="AB2141" s="75" t="str">
        <f>IFERROR(IF(LayTable[[#This Row],[Sport]]="",AB2140,LayTable[[#This Row],[Faktisk res]]+AB2140),"")</f>
        <v/>
      </c>
      <c r="AC2141" s="75">
        <f>(LayTable[[#This Row],[BackWin-Commission]]+LayTable[[#This Row],[BookieInnsats]])</f>
        <v>0</v>
      </c>
      <c r="AD2141" s="75" t="e">
        <f>(LayTable[[#This Row],[LayWin-Commission]])+LayTable[[#This Row],[LayLiability]]</f>
        <v>#VALUE!</v>
      </c>
      <c r="AE2141" s="43"/>
      <c r="AF2141" s="181"/>
    </row>
    <row r="2142" spans="1:32">
      <c r="A2142" s="84"/>
      <c r="B2142" s="39"/>
      <c r="C2142" s="40"/>
      <c r="D2142" s="73"/>
      <c r="E2142" s="40"/>
      <c r="F2142" s="73"/>
      <c r="G2142" s="101"/>
      <c r="H2142" s="38"/>
      <c r="I2142" s="74"/>
      <c r="J2142" s="74"/>
      <c r="K2142" s="75"/>
      <c r="L2142" s="75"/>
      <c r="M2142" s="76" t="str">
        <f>IF(LayTable[[#This Row],[Sport]]="","",LayTable[[#This Row],[LayInnsats]]*(LayTable[[#This Row],[LayOdds]]-1))</f>
        <v/>
      </c>
      <c r="N2142" s="77" t="str">
        <f>IF(LayTable[[#This Row],[Sport]]="","",1/((1/LayTable[[#This Row],[BookieOdds]])+(1/((1/((1+((LayTable[[#This Row],[LayOdds]]-1)*(1+LayTable[[#This Row],[C% Lay]])))-1))+1)))-1)</f>
        <v/>
      </c>
      <c r="Q2142" s="78" t="str">
        <f>IF(LayTable[[#This Row],[Sport]]="","",LayTable[[#This Row],[BookieInnsats]]+LayTable[[#This Row],[LayLiability]])</f>
        <v/>
      </c>
      <c r="R2142"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2"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2" s="79" t="str">
        <f>IF(LayTable[[#This Row],[Utfall bookie]]="","",LayTable[[#This Row],[WBABack]]+LayTable[[#This Row],[WBALay]]-LayTable[[#This Row],[Total inns]])</f>
        <v/>
      </c>
      <c r="U2142"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2"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2" s="80" t="str">
        <f>IFERROR(IF(LayTable[[#This Row],[Total inns]]="","",LayTable[[#This Row],[Rback]]/LayTable[[#This Row],[Total inns]]),"")</f>
        <v/>
      </c>
      <c r="X2142" s="80" t="str">
        <f>IFERROR(IF(LayTable[[#This Row],[Total inns]]="","",LayTable[[#This Row],[Rlay]]/LayTable[[#This Row],[Total inns]]),"")</f>
        <v/>
      </c>
      <c r="Y2142" s="80" t="str">
        <f>IFERROR(LayTable[[#This Row],[Faktisk res]]/LayTable[[#This Row],[Total inns]],"")</f>
        <v/>
      </c>
      <c r="Z2142" s="79">
        <f>(LayTable[[#This Row],[BookieInnsats]]*LayTable[[#This Row],[BookieOdds]]-LayTable[[#This Row],[BookieInnsats]])*(1-LayTable[[#This Row],[C% Bookie]])</f>
        <v>0</v>
      </c>
      <c r="AA2142" s="75">
        <f>LayTable[[#This Row],[LayInnsats]]*(1-LayTable[[#This Row],[C% Lay]])</f>
        <v>0</v>
      </c>
      <c r="AB2142" s="75" t="str">
        <f>IFERROR(IF(LayTable[[#This Row],[Sport]]="",AB2141,LayTable[[#This Row],[Faktisk res]]+AB2141),"")</f>
        <v/>
      </c>
      <c r="AC2142" s="75">
        <f>(LayTable[[#This Row],[BackWin-Commission]]+LayTable[[#This Row],[BookieInnsats]])</f>
        <v>0</v>
      </c>
      <c r="AD2142" s="75" t="e">
        <f>(LayTable[[#This Row],[LayWin-Commission]])+LayTable[[#This Row],[LayLiability]]</f>
        <v>#VALUE!</v>
      </c>
      <c r="AE2142" s="43"/>
      <c r="AF2142" s="181"/>
    </row>
    <row r="2143" spans="1:32">
      <c r="A2143" s="84"/>
      <c r="B2143" s="39"/>
      <c r="C2143" s="40"/>
      <c r="D2143" s="73"/>
      <c r="E2143" s="40"/>
      <c r="F2143" s="73"/>
      <c r="G2143" s="101"/>
      <c r="H2143" s="38"/>
      <c r="I2143" s="74"/>
      <c r="J2143" s="74"/>
      <c r="K2143" s="75"/>
      <c r="L2143" s="75"/>
      <c r="M2143" s="76" t="str">
        <f>IF(LayTable[[#This Row],[Sport]]="","",LayTable[[#This Row],[LayInnsats]]*(LayTable[[#This Row],[LayOdds]]-1))</f>
        <v/>
      </c>
      <c r="N2143" s="77" t="str">
        <f>IF(LayTable[[#This Row],[Sport]]="","",1/((1/LayTable[[#This Row],[BookieOdds]])+(1/((1/((1+((LayTable[[#This Row],[LayOdds]]-1)*(1+LayTable[[#This Row],[C% Lay]])))-1))+1)))-1)</f>
        <v/>
      </c>
      <c r="Q2143" s="78" t="str">
        <f>IF(LayTable[[#This Row],[Sport]]="","",LayTable[[#This Row],[BookieInnsats]]+LayTable[[#This Row],[LayLiability]])</f>
        <v/>
      </c>
      <c r="R2143"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3"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3" s="79" t="str">
        <f>IF(LayTable[[#This Row],[Utfall bookie]]="","",LayTable[[#This Row],[WBABack]]+LayTable[[#This Row],[WBALay]]-LayTable[[#This Row],[Total inns]])</f>
        <v/>
      </c>
      <c r="U2143"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3"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3" s="80" t="str">
        <f>IFERROR(IF(LayTable[[#This Row],[Total inns]]="","",LayTable[[#This Row],[Rback]]/LayTable[[#This Row],[Total inns]]),"")</f>
        <v/>
      </c>
      <c r="X2143" s="80" t="str">
        <f>IFERROR(IF(LayTable[[#This Row],[Total inns]]="","",LayTable[[#This Row],[Rlay]]/LayTable[[#This Row],[Total inns]]),"")</f>
        <v/>
      </c>
      <c r="Y2143" s="80" t="str">
        <f>IFERROR(LayTable[[#This Row],[Faktisk res]]/LayTable[[#This Row],[Total inns]],"")</f>
        <v/>
      </c>
      <c r="Z2143" s="79">
        <f>(LayTable[[#This Row],[BookieInnsats]]*LayTable[[#This Row],[BookieOdds]]-LayTable[[#This Row],[BookieInnsats]])*(1-LayTable[[#This Row],[C% Bookie]])</f>
        <v>0</v>
      </c>
      <c r="AA2143" s="75">
        <f>LayTable[[#This Row],[LayInnsats]]*(1-LayTable[[#This Row],[C% Lay]])</f>
        <v>0</v>
      </c>
      <c r="AB2143" s="75" t="str">
        <f>IFERROR(IF(LayTable[[#This Row],[Sport]]="",AB2142,LayTable[[#This Row],[Faktisk res]]+AB2142),"")</f>
        <v/>
      </c>
      <c r="AC2143" s="75">
        <f>(LayTable[[#This Row],[BackWin-Commission]]+LayTable[[#This Row],[BookieInnsats]])</f>
        <v>0</v>
      </c>
      <c r="AD2143" s="75" t="e">
        <f>(LayTable[[#This Row],[LayWin-Commission]])+LayTable[[#This Row],[LayLiability]]</f>
        <v>#VALUE!</v>
      </c>
      <c r="AE2143" s="43"/>
      <c r="AF2143" s="181"/>
    </row>
    <row r="2144" spans="1:32">
      <c r="A2144" s="84"/>
      <c r="B2144" s="39"/>
      <c r="C2144" s="40"/>
      <c r="D2144" s="73"/>
      <c r="E2144" s="40"/>
      <c r="F2144" s="73"/>
      <c r="G2144" s="101"/>
      <c r="H2144" s="38"/>
      <c r="I2144" s="74"/>
      <c r="J2144" s="74"/>
      <c r="K2144" s="75"/>
      <c r="L2144" s="75"/>
      <c r="M2144" s="76" t="str">
        <f>IF(LayTable[[#This Row],[Sport]]="","",LayTable[[#This Row],[LayInnsats]]*(LayTable[[#This Row],[LayOdds]]-1))</f>
        <v/>
      </c>
      <c r="N2144" s="77" t="str">
        <f>IF(LayTable[[#This Row],[Sport]]="","",1/((1/LayTable[[#This Row],[BookieOdds]])+(1/((1/((1+((LayTable[[#This Row],[LayOdds]]-1)*(1+LayTable[[#This Row],[C% Lay]])))-1))+1)))-1)</f>
        <v/>
      </c>
      <c r="Q2144" s="78" t="str">
        <f>IF(LayTable[[#This Row],[Sport]]="","",LayTable[[#This Row],[BookieInnsats]]+LayTable[[#This Row],[LayLiability]])</f>
        <v/>
      </c>
      <c r="R2144"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4"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4" s="79" t="str">
        <f>IF(LayTable[[#This Row],[Utfall bookie]]="","",LayTable[[#This Row],[WBABack]]+LayTable[[#This Row],[WBALay]]-LayTable[[#This Row],[Total inns]])</f>
        <v/>
      </c>
      <c r="U2144"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4"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4" s="80" t="str">
        <f>IFERROR(IF(LayTable[[#This Row],[Total inns]]="","",LayTable[[#This Row],[Rback]]/LayTable[[#This Row],[Total inns]]),"")</f>
        <v/>
      </c>
      <c r="X2144" s="80" t="str">
        <f>IFERROR(IF(LayTable[[#This Row],[Total inns]]="","",LayTable[[#This Row],[Rlay]]/LayTable[[#This Row],[Total inns]]),"")</f>
        <v/>
      </c>
      <c r="Y2144" s="80" t="str">
        <f>IFERROR(LayTable[[#This Row],[Faktisk res]]/LayTable[[#This Row],[Total inns]],"")</f>
        <v/>
      </c>
      <c r="Z2144" s="79">
        <f>(LayTable[[#This Row],[BookieInnsats]]*LayTable[[#This Row],[BookieOdds]]-LayTable[[#This Row],[BookieInnsats]])*(1-LayTable[[#This Row],[C% Bookie]])</f>
        <v>0</v>
      </c>
      <c r="AA2144" s="75">
        <f>LayTable[[#This Row],[LayInnsats]]*(1-LayTable[[#This Row],[C% Lay]])</f>
        <v>0</v>
      </c>
      <c r="AB2144" s="75" t="str">
        <f>IFERROR(IF(LayTable[[#This Row],[Sport]]="",AB2143,LayTable[[#This Row],[Faktisk res]]+AB2143),"")</f>
        <v/>
      </c>
      <c r="AC2144" s="75">
        <f>(LayTable[[#This Row],[BackWin-Commission]]+LayTable[[#This Row],[BookieInnsats]])</f>
        <v>0</v>
      </c>
      <c r="AD2144" s="75" t="e">
        <f>(LayTable[[#This Row],[LayWin-Commission]])+LayTable[[#This Row],[LayLiability]]</f>
        <v>#VALUE!</v>
      </c>
      <c r="AE2144" s="43"/>
      <c r="AF2144" s="181"/>
    </row>
    <row r="2145" spans="1:32">
      <c r="A2145" s="84"/>
      <c r="B2145" s="39"/>
      <c r="C2145" s="40"/>
      <c r="D2145" s="73"/>
      <c r="E2145" s="40"/>
      <c r="F2145" s="73"/>
      <c r="G2145" s="101"/>
      <c r="H2145" s="38"/>
      <c r="I2145" s="74"/>
      <c r="J2145" s="74"/>
      <c r="K2145" s="75"/>
      <c r="L2145" s="75"/>
      <c r="M2145" s="76" t="str">
        <f>IF(LayTable[[#This Row],[Sport]]="","",LayTable[[#This Row],[LayInnsats]]*(LayTable[[#This Row],[LayOdds]]-1))</f>
        <v/>
      </c>
      <c r="N2145" s="77" t="str">
        <f>IF(LayTable[[#This Row],[Sport]]="","",1/((1/LayTable[[#This Row],[BookieOdds]])+(1/((1/((1+((LayTable[[#This Row],[LayOdds]]-1)*(1+LayTable[[#This Row],[C% Lay]])))-1))+1)))-1)</f>
        <v/>
      </c>
      <c r="Q2145" s="78" t="str">
        <f>IF(LayTable[[#This Row],[Sport]]="","",LayTable[[#This Row],[BookieInnsats]]+LayTable[[#This Row],[LayLiability]])</f>
        <v/>
      </c>
      <c r="R2145"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5"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5" s="79" t="str">
        <f>IF(LayTable[[#This Row],[Utfall bookie]]="","",LayTable[[#This Row],[WBABack]]+LayTable[[#This Row],[WBALay]]-LayTable[[#This Row],[Total inns]])</f>
        <v/>
      </c>
      <c r="U2145"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5"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5" s="80" t="str">
        <f>IFERROR(IF(LayTable[[#This Row],[Total inns]]="","",LayTable[[#This Row],[Rback]]/LayTable[[#This Row],[Total inns]]),"")</f>
        <v/>
      </c>
      <c r="X2145" s="80" t="str">
        <f>IFERROR(IF(LayTable[[#This Row],[Total inns]]="","",LayTable[[#This Row],[Rlay]]/LayTable[[#This Row],[Total inns]]),"")</f>
        <v/>
      </c>
      <c r="Y2145" s="80" t="str">
        <f>IFERROR(LayTable[[#This Row],[Faktisk res]]/LayTable[[#This Row],[Total inns]],"")</f>
        <v/>
      </c>
      <c r="Z2145" s="79">
        <f>(LayTable[[#This Row],[BookieInnsats]]*LayTable[[#This Row],[BookieOdds]]-LayTable[[#This Row],[BookieInnsats]])*(1-LayTable[[#This Row],[C% Bookie]])</f>
        <v>0</v>
      </c>
      <c r="AA2145" s="75">
        <f>LayTable[[#This Row],[LayInnsats]]*(1-LayTable[[#This Row],[C% Lay]])</f>
        <v>0</v>
      </c>
      <c r="AB2145" s="75" t="str">
        <f>IFERROR(IF(LayTable[[#This Row],[Sport]]="",AB2144,LayTable[[#This Row],[Faktisk res]]+AB2144),"")</f>
        <v/>
      </c>
      <c r="AC2145" s="75">
        <f>(LayTable[[#This Row],[BackWin-Commission]]+LayTable[[#This Row],[BookieInnsats]])</f>
        <v>0</v>
      </c>
      <c r="AD2145" s="75" t="e">
        <f>(LayTable[[#This Row],[LayWin-Commission]])+LayTable[[#This Row],[LayLiability]]</f>
        <v>#VALUE!</v>
      </c>
      <c r="AE2145" s="43"/>
      <c r="AF2145" s="181"/>
    </row>
    <row r="2146" spans="1:32">
      <c r="A2146" s="84"/>
      <c r="B2146" s="39"/>
      <c r="C2146" s="40"/>
      <c r="D2146" s="73"/>
      <c r="E2146" s="40"/>
      <c r="F2146" s="73"/>
      <c r="G2146" s="101"/>
      <c r="H2146" s="38"/>
      <c r="I2146" s="74"/>
      <c r="J2146" s="74"/>
      <c r="K2146" s="75"/>
      <c r="L2146" s="75"/>
      <c r="M2146" s="76" t="str">
        <f>IF(LayTable[[#This Row],[Sport]]="","",LayTable[[#This Row],[LayInnsats]]*(LayTable[[#This Row],[LayOdds]]-1))</f>
        <v/>
      </c>
      <c r="N2146" s="77" t="str">
        <f>IF(LayTable[[#This Row],[Sport]]="","",1/((1/LayTable[[#This Row],[BookieOdds]])+(1/((1/((1+((LayTable[[#This Row],[LayOdds]]-1)*(1+LayTable[[#This Row],[C% Lay]])))-1))+1)))-1)</f>
        <v/>
      </c>
      <c r="Q2146" s="78" t="str">
        <f>IF(LayTable[[#This Row],[Sport]]="","",LayTable[[#This Row],[BookieInnsats]]+LayTable[[#This Row],[LayLiability]])</f>
        <v/>
      </c>
      <c r="R2146"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6"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6" s="79" t="str">
        <f>IF(LayTable[[#This Row],[Utfall bookie]]="","",LayTable[[#This Row],[WBABack]]+LayTable[[#This Row],[WBALay]]-LayTable[[#This Row],[Total inns]])</f>
        <v/>
      </c>
      <c r="U2146"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6"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6" s="80" t="str">
        <f>IFERROR(IF(LayTable[[#This Row],[Total inns]]="","",LayTable[[#This Row],[Rback]]/LayTable[[#This Row],[Total inns]]),"")</f>
        <v/>
      </c>
      <c r="X2146" s="80" t="str">
        <f>IFERROR(IF(LayTable[[#This Row],[Total inns]]="","",LayTable[[#This Row],[Rlay]]/LayTable[[#This Row],[Total inns]]),"")</f>
        <v/>
      </c>
      <c r="Y2146" s="80" t="str">
        <f>IFERROR(LayTable[[#This Row],[Faktisk res]]/LayTable[[#This Row],[Total inns]],"")</f>
        <v/>
      </c>
      <c r="Z2146" s="79">
        <f>(LayTable[[#This Row],[BookieInnsats]]*LayTable[[#This Row],[BookieOdds]]-LayTable[[#This Row],[BookieInnsats]])*(1-LayTable[[#This Row],[C% Bookie]])</f>
        <v>0</v>
      </c>
      <c r="AA2146" s="75">
        <f>LayTable[[#This Row],[LayInnsats]]*(1-LayTable[[#This Row],[C% Lay]])</f>
        <v>0</v>
      </c>
      <c r="AB2146" s="75" t="str">
        <f>IFERROR(IF(LayTable[[#This Row],[Sport]]="",AB2145,LayTable[[#This Row],[Faktisk res]]+AB2145),"")</f>
        <v/>
      </c>
      <c r="AC2146" s="75">
        <f>(LayTable[[#This Row],[BackWin-Commission]]+LayTable[[#This Row],[BookieInnsats]])</f>
        <v>0</v>
      </c>
      <c r="AD2146" s="75" t="e">
        <f>(LayTable[[#This Row],[LayWin-Commission]])+LayTable[[#This Row],[LayLiability]]</f>
        <v>#VALUE!</v>
      </c>
      <c r="AE2146" s="43"/>
      <c r="AF2146" s="181"/>
    </row>
    <row r="2147" spans="1:32">
      <c r="A2147" s="84"/>
      <c r="B2147" s="39"/>
      <c r="C2147" s="40"/>
      <c r="D2147" s="73"/>
      <c r="E2147" s="40"/>
      <c r="F2147" s="73"/>
      <c r="G2147" s="101"/>
      <c r="H2147" s="38"/>
      <c r="I2147" s="74"/>
      <c r="J2147" s="74"/>
      <c r="K2147" s="75"/>
      <c r="L2147" s="75"/>
      <c r="M2147" s="76" t="str">
        <f>IF(LayTable[[#This Row],[Sport]]="","",LayTable[[#This Row],[LayInnsats]]*(LayTable[[#This Row],[LayOdds]]-1))</f>
        <v/>
      </c>
      <c r="N2147" s="77" t="str">
        <f>IF(LayTable[[#This Row],[Sport]]="","",1/((1/LayTable[[#This Row],[BookieOdds]])+(1/((1/((1+((LayTable[[#This Row],[LayOdds]]-1)*(1+LayTable[[#This Row],[C% Lay]])))-1))+1)))-1)</f>
        <v/>
      </c>
      <c r="Q2147" s="78" t="str">
        <f>IF(LayTable[[#This Row],[Sport]]="","",LayTable[[#This Row],[BookieInnsats]]+LayTable[[#This Row],[LayLiability]])</f>
        <v/>
      </c>
      <c r="R2147"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7"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7" s="79" t="str">
        <f>IF(LayTable[[#This Row],[Utfall bookie]]="","",LayTable[[#This Row],[WBABack]]+LayTable[[#This Row],[WBALay]]-LayTable[[#This Row],[Total inns]])</f>
        <v/>
      </c>
      <c r="U2147"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7"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7" s="80" t="str">
        <f>IFERROR(IF(LayTable[[#This Row],[Total inns]]="","",LayTable[[#This Row],[Rback]]/LayTable[[#This Row],[Total inns]]),"")</f>
        <v/>
      </c>
      <c r="X2147" s="80" t="str">
        <f>IFERROR(IF(LayTable[[#This Row],[Total inns]]="","",LayTable[[#This Row],[Rlay]]/LayTable[[#This Row],[Total inns]]),"")</f>
        <v/>
      </c>
      <c r="Y2147" s="80" t="str">
        <f>IFERROR(LayTable[[#This Row],[Faktisk res]]/LayTable[[#This Row],[Total inns]],"")</f>
        <v/>
      </c>
      <c r="Z2147" s="79">
        <f>(LayTable[[#This Row],[BookieInnsats]]*LayTable[[#This Row],[BookieOdds]]-LayTable[[#This Row],[BookieInnsats]])*(1-LayTable[[#This Row],[C% Bookie]])</f>
        <v>0</v>
      </c>
      <c r="AA2147" s="75">
        <f>LayTable[[#This Row],[LayInnsats]]*(1-LayTable[[#This Row],[C% Lay]])</f>
        <v>0</v>
      </c>
      <c r="AB2147" s="75" t="str">
        <f>IFERROR(IF(LayTable[[#This Row],[Sport]]="",AB2146,LayTable[[#This Row],[Faktisk res]]+AB2146),"")</f>
        <v/>
      </c>
      <c r="AC2147" s="75">
        <f>(LayTable[[#This Row],[BackWin-Commission]]+LayTable[[#This Row],[BookieInnsats]])</f>
        <v>0</v>
      </c>
      <c r="AD2147" s="75" t="e">
        <f>(LayTable[[#This Row],[LayWin-Commission]])+LayTable[[#This Row],[LayLiability]]</f>
        <v>#VALUE!</v>
      </c>
      <c r="AE2147" s="43"/>
      <c r="AF2147" s="181"/>
    </row>
    <row r="2148" spans="1:32">
      <c r="A2148" s="84"/>
      <c r="B2148" s="39"/>
      <c r="C2148" s="40"/>
      <c r="D2148" s="73"/>
      <c r="E2148" s="40"/>
      <c r="F2148" s="73"/>
      <c r="G2148" s="101"/>
      <c r="H2148" s="38"/>
      <c r="I2148" s="74"/>
      <c r="J2148" s="74"/>
      <c r="K2148" s="75"/>
      <c r="L2148" s="75"/>
      <c r="M2148" s="76" t="str">
        <f>IF(LayTable[[#This Row],[Sport]]="","",LayTable[[#This Row],[LayInnsats]]*(LayTable[[#This Row],[LayOdds]]-1))</f>
        <v/>
      </c>
      <c r="N2148" s="77" t="str">
        <f>IF(LayTable[[#This Row],[Sport]]="","",1/((1/LayTable[[#This Row],[BookieOdds]])+(1/((1/((1+((LayTable[[#This Row],[LayOdds]]-1)*(1+LayTable[[#This Row],[C% Lay]])))-1))+1)))-1)</f>
        <v/>
      </c>
      <c r="Q2148" s="78" t="str">
        <f>IF(LayTable[[#This Row],[Sport]]="","",LayTable[[#This Row],[BookieInnsats]]+LayTable[[#This Row],[LayLiability]])</f>
        <v/>
      </c>
      <c r="R2148"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8"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8" s="79" t="str">
        <f>IF(LayTable[[#This Row],[Utfall bookie]]="","",LayTable[[#This Row],[WBABack]]+LayTable[[#This Row],[WBALay]]-LayTable[[#This Row],[Total inns]])</f>
        <v/>
      </c>
      <c r="U2148"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8"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8" s="80" t="str">
        <f>IFERROR(IF(LayTable[[#This Row],[Total inns]]="","",LayTable[[#This Row],[Rback]]/LayTable[[#This Row],[Total inns]]),"")</f>
        <v/>
      </c>
      <c r="X2148" s="80" t="str">
        <f>IFERROR(IF(LayTable[[#This Row],[Total inns]]="","",LayTable[[#This Row],[Rlay]]/LayTable[[#This Row],[Total inns]]),"")</f>
        <v/>
      </c>
      <c r="Y2148" s="80" t="str">
        <f>IFERROR(LayTable[[#This Row],[Faktisk res]]/LayTable[[#This Row],[Total inns]],"")</f>
        <v/>
      </c>
      <c r="Z2148" s="79">
        <f>(LayTable[[#This Row],[BookieInnsats]]*LayTable[[#This Row],[BookieOdds]]-LayTable[[#This Row],[BookieInnsats]])*(1-LayTable[[#This Row],[C% Bookie]])</f>
        <v>0</v>
      </c>
      <c r="AA2148" s="75">
        <f>LayTable[[#This Row],[LayInnsats]]*(1-LayTable[[#This Row],[C% Lay]])</f>
        <v>0</v>
      </c>
      <c r="AB2148" s="75" t="str">
        <f>IFERROR(IF(LayTable[[#This Row],[Sport]]="",AB2147,LayTable[[#This Row],[Faktisk res]]+AB2147),"")</f>
        <v/>
      </c>
      <c r="AC2148" s="75">
        <f>(LayTable[[#This Row],[BackWin-Commission]]+LayTable[[#This Row],[BookieInnsats]])</f>
        <v>0</v>
      </c>
      <c r="AD2148" s="75" t="e">
        <f>(LayTable[[#This Row],[LayWin-Commission]])+LayTable[[#This Row],[LayLiability]]</f>
        <v>#VALUE!</v>
      </c>
      <c r="AE2148" s="43"/>
      <c r="AF2148" s="181"/>
    </row>
    <row r="2149" spans="1:32">
      <c r="A2149" s="84"/>
      <c r="B2149" s="39"/>
      <c r="C2149" s="40"/>
      <c r="D2149" s="73"/>
      <c r="E2149" s="40"/>
      <c r="F2149" s="73"/>
      <c r="G2149" s="101"/>
      <c r="H2149" s="38"/>
      <c r="I2149" s="74"/>
      <c r="J2149" s="74"/>
      <c r="K2149" s="75"/>
      <c r="L2149" s="75"/>
      <c r="M2149" s="76" t="str">
        <f>IF(LayTable[[#This Row],[Sport]]="","",LayTable[[#This Row],[LayInnsats]]*(LayTable[[#This Row],[LayOdds]]-1))</f>
        <v/>
      </c>
      <c r="N2149" s="77" t="str">
        <f>IF(LayTable[[#This Row],[Sport]]="","",1/((1/LayTable[[#This Row],[BookieOdds]])+(1/((1/((1+((LayTable[[#This Row],[LayOdds]]-1)*(1+LayTable[[#This Row],[C% Lay]])))-1))+1)))-1)</f>
        <v/>
      </c>
      <c r="Q2149" s="78" t="str">
        <f>IF(LayTable[[#This Row],[Sport]]="","",LayTable[[#This Row],[BookieInnsats]]+LayTable[[#This Row],[LayLiability]])</f>
        <v/>
      </c>
      <c r="R2149"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49"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49" s="79" t="str">
        <f>IF(LayTable[[#This Row],[Utfall bookie]]="","",LayTable[[#This Row],[WBABack]]+LayTable[[#This Row],[WBALay]]-LayTable[[#This Row],[Total inns]])</f>
        <v/>
      </c>
      <c r="U2149"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49"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49" s="80" t="str">
        <f>IFERROR(IF(LayTable[[#This Row],[Total inns]]="","",LayTable[[#This Row],[Rback]]/LayTable[[#This Row],[Total inns]]),"")</f>
        <v/>
      </c>
      <c r="X2149" s="80" t="str">
        <f>IFERROR(IF(LayTable[[#This Row],[Total inns]]="","",LayTable[[#This Row],[Rlay]]/LayTable[[#This Row],[Total inns]]),"")</f>
        <v/>
      </c>
      <c r="Y2149" s="80" t="str">
        <f>IFERROR(LayTable[[#This Row],[Faktisk res]]/LayTable[[#This Row],[Total inns]],"")</f>
        <v/>
      </c>
      <c r="Z2149" s="79">
        <f>(LayTable[[#This Row],[BookieInnsats]]*LayTable[[#This Row],[BookieOdds]]-LayTable[[#This Row],[BookieInnsats]])*(1-LayTable[[#This Row],[C% Bookie]])</f>
        <v>0</v>
      </c>
      <c r="AA2149" s="75">
        <f>LayTable[[#This Row],[LayInnsats]]*(1-LayTable[[#This Row],[C% Lay]])</f>
        <v>0</v>
      </c>
      <c r="AB2149" s="75" t="str">
        <f>IFERROR(IF(LayTable[[#This Row],[Sport]]="",AB2148,LayTable[[#This Row],[Faktisk res]]+AB2148),"")</f>
        <v/>
      </c>
      <c r="AC2149" s="75">
        <f>(LayTable[[#This Row],[BackWin-Commission]]+LayTable[[#This Row],[BookieInnsats]])</f>
        <v>0</v>
      </c>
      <c r="AD2149" s="75" t="e">
        <f>(LayTable[[#This Row],[LayWin-Commission]])+LayTable[[#This Row],[LayLiability]]</f>
        <v>#VALUE!</v>
      </c>
      <c r="AE2149" s="43"/>
      <c r="AF2149" s="181"/>
    </row>
    <row r="2150" spans="1:32">
      <c r="A2150" s="84"/>
      <c r="B2150" s="39"/>
      <c r="C2150" s="40"/>
      <c r="D2150" s="73"/>
      <c r="E2150" s="40"/>
      <c r="F2150" s="73"/>
      <c r="G2150" s="101"/>
      <c r="H2150" s="38"/>
      <c r="I2150" s="74"/>
      <c r="J2150" s="74"/>
      <c r="K2150" s="75"/>
      <c r="L2150" s="75"/>
      <c r="M2150" s="76" t="str">
        <f>IF(LayTable[[#This Row],[Sport]]="","",LayTable[[#This Row],[LayInnsats]]*(LayTable[[#This Row],[LayOdds]]-1))</f>
        <v/>
      </c>
      <c r="N2150" s="77" t="str">
        <f>IF(LayTable[[#This Row],[Sport]]="","",1/((1/LayTable[[#This Row],[BookieOdds]])+(1/((1/((1+((LayTable[[#This Row],[LayOdds]]-1)*(1+LayTable[[#This Row],[C% Lay]])))-1))+1)))-1)</f>
        <v/>
      </c>
      <c r="Q2150" s="78" t="str">
        <f>IF(LayTable[[#This Row],[Sport]]="","",LayTable[[#This Row],[BookieInnsats]]+LayTable[[#This Row],[LayLiability]])</f>
        <v/>
      </c>
      <c r="R2150"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0"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0" s="79" t="str">
        <f>IF(LayTable[[#This Row],[Utfall bookie]]="","",LayTable[[#This Row],[WBABack]]+LayTable[[#This Row],[WBALay]]-LayTable[[#This Row],[Total inns]])</f>
        <v/>
      </c>
      <c r="U2150"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0"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0" s="80" t="str">
        <f>IFERROR(IF(LayTable[[#This Row],[Total inns]]="","",LayTable[[#This Row],[Rback]]/LayTable[[#This Row],[Total inns]]),"")</f>
        <v/>
      </c>
      <c r="X2150" s="80" t="str">
        <f>IFERROR(IF(LayTable[[#This Row],[Total inns]]="","",LayTable[[#This Row],[Rlay]]/LayTable[[#This Row],[Total inns]]),"")</f>
        <v/>
      </c>
      <c r="Y2150" s="80" t="str">
        <f>IFERROR(LayTable[[#This Row],[Faktisk res]]/LayTable[[#This Row],[Total inns]],"")</f>
        <v/>
      </c>
      <c r="Z2150" s="79">
        <f>(LayTable[[#This Row],[BookieInnsats]]*LayTable[[#This Row],[BookieOdds]]-LayTable[[#This Row],[BookieInnsats]])*(1-LayTable[[#This Row],[C% Bookie]])</f>
        <v>0</v>
      </c>
      <c r="AA2150" s="75">
        <f>LayTable[[#This Row],[LayInnsats]]*(1-LayTable[[#This Row],[C% Lay]])</f>
        <v>0</v>
      </c>
      <c r="AB2150" s="75" t="str">
        <f>IFERROR(IF(LayTable[[#This Row],[Sport]]="",AB2149,LayTable[[#This Row],[Faktisk res]]+AB2149),"")</f>
        <v/>
      </c>
      <c r="AC2150" s="75">
        <f>(LayTable[[#This Row],[BackWin-Commission]]+LayTable[[#This Row],[BookieInnsats]])</f>
        <v>0</v>
      </c>
      <c r="AD2150" s="75" t="e">
        <f>(LayTable[[#This Row],[LayWin-Commission]])+LayTable[[#This Row],[LayLiability]]</f>
        <v>#VALUE!</v>
      </c>
      <c r="AE2150" s="43"/>
      <c r="AF2150" s="181"/>
    </row>
    <row r="2151" spans="1:32">
      <c r="A2151" s="84"/>
      <c r="B2151" s="39"/>
      <c r="C2151" s="40"/>
      <c r="D2151" s="73"/>
      <c r="E2151" s="40"/>
      <c r="F2151" s="73"/>
      <c r="G2151" s="101"/>
      <c r="H2151" s="38"/>
      <c r="I2151" s="74"/>
      <c r="J2151" s="74"/>
      <c r="K2151" s="75"/>
      <c r="L2151" s="75"/>
      <c r="M2151" s="76" t="str">
        <f>IF(LayTable[[#This Row],[Sport]]="","",LayTable[[#This Row],[LayInnsats]]*(LayTable[[#This Row],[LayOdds]]-1))</f>
        <v/>
      </c>
      <c r="N2151" s="77" t="str">
        <f>IF(LayTable[[#This Row],[Sport]]="","",1/((1/LayTable[[#This Row],[BookieOdds]])+(1/((1/((1+((LayTable[[#This Row],[LayOdds]]-1)*(1+LayTable[[#This Row],[C% Lay]])))-1))+1)))-1)</f>
        <v/>
      </c>
      <c r="Q2151" s="78" t="str">
        <f>IF(LayTable[[#This Row],[Sport]]="","",LayTable[[#This Row],[BookieInnsats]]+LayTable[[#This Row],[LayLiability]])</f>
        <v/>
      </c>
      <c r="R2151"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1"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1" s="79" t="str">
        <f>IF(LayTable[[#This Row],[Utfall bookie]]="","",LayTable[[#This Row],[WBABack]]+LayTable[[#This Row],[WBALay]]-LayTable[[#This Row],[Total inns]])</f>
        <v/>
      </c>
      <c r="U2151"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1"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1" s="80" t="str">
        <f>IFERROR(IF(LayTable[[#This Row],[Total inns]]="","",LayTable[[#This Row],[Rback]]/LayTable[[#This Row],[Total inns]]),"")</f>
        <v/>
      </c>
      <c r="X2151" s="80" t="str">
        <f>IFERROR(IF(LayTable[[#This Row],[Total inns]]="","",LayTable[[#This Row],[Rlay]]/LayTable[[#This Row],[Total inns]]),"")</f>
        <v/>
      </c>
      <c r="Y2151" s="80" t="str">
        <f>IFERROR(LayTable[[#This Row],[Faktisk res]]/LayTable[[#This Row],[Total inns]],"")</f>
        <v/>
      </c>
      <c r="Z2151" s="79">
        <f>(LayTable[[#This Row],[BookieInnsats]]*LayTable[[#This Row],[BookieOdds]]-LayTable[[#This Row],[BookieInnsats]])*(1-LayTable[[#This Row],[C% Bookie]])</f>
        <v>0</v>
      </c>
      <c r="AA2151" s="75">
        <f>LayTable[[#This Row],[LayInnsats]]*(1-LayTable[[#This Row],[C% Lay]])</f>
        <v>0</v>
      </c>
      <c r="AB2151" s="75" t="str">
        <f>IFERROR(IF(LayTable[[#This Row],[Sport]]="",AB2150,LayTable[[#This Row],[Faktisk res]]+AB2150),"")</f>
        <v/>
      </c>
      <c r="AC2151" s="75">
        <f>(LayTable[[#This Row],[BackWin-Commission]]+LayTable[[#This Row],[BookieInnsats]])</f>
        <v>0</v>
      </c>
      <c r="AD2151" s="75" t="e">
        <f>(LayTable[[#This Row],[LayWin-Commission]])+LayTable[[#This Row],[LayLiability]]</f>
        <v>#VALUE!</v>
      </c>
      <c r="AE2151" s="43"/>
      <c r="AF2151" s="181"/>
    </row>
    <row r="2152" spans="1:32">
      <c r="A2152" s="84"/>
      <c r="B2152" s="39"/>
      <c r="C2152" s="40"/>
      <c r="D2152" s="73"/>
      <c r="E2152" s="40"/>
      <c r="F2152" s="73"/>
      <c r="G2152" s="101"/>
      <c r="H2152" s="38"/>
      <c r="I2152" s="74"/>
      <c r="J2152" s="74"/>
      <c r="K2152" s="75"/>
      <c r="L2152" s="75"/>
      <c r="M2152" s="76" t="str">
        <f>IF(LayTable[[#This Row],[Sport]]="","",LayTable[[#This Row],[LayInnsats]]*(LayTable[[#This Row],[LayOdds]]-1))</f>
        <v/>
      </c>
      <c r="N2152" s="77" t="str">
        <f>IF(LayTable[[#This Row],[Sport]]="","",1/((1/LayTable[[#This Row],[BookieOdds]])+(1/((1/((1+((LayTable[[#This Row],[LayOdds]]-1)*(1+LayTable[[#This Row],[C% Lay]])))-1))+1)))-1)</f>
        <v/>
      </c>
      <c r="Q2152" s="78" t="str">
        <f>IF(LayTable[[#This Row],[Sport]]="","",LayTable[[#This Row],[BookieInnsats]]+LayTable[[#This Row],[LayLiability]])</f>
        <v/>
      </c>
      <c r="R2152"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2"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2" s="79" t="str">
        <f>IF(LayTable[[#This Row],[Utfall bookie]]="","",LayTable[[#This Row],[WBABack]]+LayTable[[#This Row],[WBALay]]-LayTable[[#This Row],[Total inns]])</f>
        <v/>
      </c>
      <c r="U2152"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2"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2" s="80" t="str">
        <f>IFERROR(IF(LayTable[[#This Row],[Total inns]]="","",LayTable[[#This Row],[Rback]]/LayTable[[#This Row],[Total inns]]),"")</f>
        <v/>
      </c>
      <c r="X2152" s="80" t="str">
        <f>IFERROR(IF(LayTable[[#This Row],[Total inns]]="","",LayTable[[#This Row],[Rlay]]/LayTable[[#This Row],[Total inns]]),"")</f>
        <v/>
      </c>
      <c r="Y2152" s="80" t="str">
        <f>IFERROR(LayTable[[#This Row],[Faktisk res]]/LayTable[[#This Row],[Total inns]],"")</f>
        <v/>
      </c>
      <c r="Z2152" s="79">
        <f>(LayTable[[#This Row],[BookieInnsats]]*LayTable[[#This Row],[BookieOdds]]-LayTable[[#This Row],[BookieInnsats]])*(1-LayTable[[#This Row],[C% Bookie]])</f>
        <v>0</v>
      </c>
      <c r="AA2152" s="75">
        <f>LayTable[[#This Row],[LayInnsats]]*(1-LayTable[[#This Row],[C% Lay]])</f>
        <v>0</v>
      </c>
      <c r="AB2152" s="75" t="str">
        <f>IFERROR(IF(LayTable[[#This Row],[Sport]]="",AB2151,LayTable[[#This Row],[Faktisk res]]+AB2151),"")</f>
        <v/>
      </c>
      <c r="AC2152" s="75">
        <f>(LayTable[[#This Row],[BackWin-Commission]]+LayTable[[#This Row],[BookieInnsats]])</f>
        <v>0</v>
      </c>
      <c r="AD2152" s="75" t="e">
        <f>(LayTable[[#This Row],[LayWin-Commission]])+LayTable[[#This Row],[LayLiability]]</f>
        <v>#VALUE!</v>
      </c>
      <c r="AE2152" s="43"/>
      <c r="AF2152" s="181"/>
    </row>
    <row r="2153" spans="1:32">
      <c r="A2153" s="84"/>
      <c r="B2153" s="39"/>
      <c r="C2153" s="40"/>
      <c r="D2153" s="73"/>
      <c r="E2153" s="40"/>
      <c r="F2153" s="73"/>
      <c r="G2153" s="101"/>
      <c r="H2153" s="38"/>
      <c r="I2153" s="74"/>
      <c r="J2153" s="74"/>
      <c r="K2153" s="75"/>
      <c r="L2153" s="75"/>
      <c r="M2153" s="76" t="str">
        <f>IF(LayTable[[#This Row],[Sport]]="","",LayTable[[#This Row],[LayInnsats]]*(LayTable[[#This Row],[LayOdds]]-1))</f>
        <v/>
      </c>
      <c r="N2153" s="77" t="str">
        <f>IF(LayTable[[#This Row],[Sport]]="","",1/((1/LayTable[[#This Row],[BookieOdds]])+(1/((1/((1+((LayTable[[#This Row],[LayOdds]]-1)*(1+LayTable[[#This Row],[C% Lay]])))-1))+1)))-1)</f>
        <v/>
      </c>
      <c r="Q2153" s="78" t="str">
        <f>IF(LayTable[[#This Row],[Sport]]="","",LayTable[[#This Row],[BookieInnsats]]+LayTable[[#This Row],[LayLiability]])</f>
        <v/>
      </c>
      <c r="R2153"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3"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3" s="79" t="str">
        <f>IF(LayTable[[#This Row],[Utfall bookie]]="","",LayTable[[#This Row],[WBABack]]+LayTable[[#This Row],[WBALay]]-LayTable[[#This Row],[Total inns]])</f>
        <v/>
      </c>
      <c r="U2153"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3"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3" s="80" t="str">
        <f>IFERROR(IF(LayTable[[#This Row],[Total inns]]="","",LayTable[[#This Row],[Rback]]/LayTable[[#This Row],[Total inns]]),"")</f>
        <v/>
      </c>
      <c r="X2153" s="80" t="str">
        <f>IFERROR(IF(LayTable[[#This Row],[Total inns]]="","",LayTable[[#This Row],[Rlay]]/LayTable[[#This Row],[Total inns]]),"")</f>
        <v/>
      </c>
      <c r="Y2153" s="80" t="str">
        <f>IFERROR(LayTable[[#This Row],[Faktisk res]]/LayTable[[#This Row],[Total inns]],"")</f>
        <v/>
      </c>
      <c r="Z2153" s="79">
        <f>(LayTable[[#This Row],[BookieInnsats]]*LayTable[[#This Row],[BookieOdds]]-LayTable[[#This Row],[BookieInnsats]])*(1-LayTable[[#This Row],[C% Bookie]])</f>
        <v>0</v>
      </c>
      <c r="AA2153" s="75">
        <f>LayTable[[#This Row],[LayInnsats]]*(1-LayTable[[#This Row],[C% Lay]])</f>
        <v>0</v>
      </c>
      <c r="AB2153" s="75" t="str">
        <f>IFERROR(IF(LayTable[[#This Row],[Sport]]="",AB2152,LayTable[[#This Row],[Faktisk res]]+AB2152),"")</f>
        <v/>
      </c>
      <c r="AC2153" s="75">
        <f>(LayTable[[#This Row],[BackWin-Commission]]+LayTable[[#This Row],[BookieInnsats]])</f>
        <v>0</v>
      </c>
      <c r="AD2153" s="75" t="e">
        <f>(LayTable[[#This Row],[LayWin-Commission]])+LayTable[[#This Row],[LayLiability]]</f>
        <v>#VALUE!</v>
      </c>
      <c r="AE2153" s="43"/>
      <c r="AF2153" s="181"/>
    </row>
    <row r="2154" spans="1:32">
      <c r="A2154" s="84"/>
      <c r="B2154" s="39"/>
      <c r="C2154" s="40"/>
      <c r="D2154" s="73"/>
      <c r="E2154" s="40"/>
      <c r="F2154" s="73"/>
      <c r="G2154" s="101"/>
      <c r="H2154" s="38"/>
      <c r="I2154" s="74"/>
      <c r="J2154" s="74"/>
      <c r="K2154" s="75"/>
      <c r="L2154" s="75"/>
      <c r="M2154" s="76" t="str">
        <f>IF(LayTable[[#This Row],[Sport]]="","",LayTable[[#This Row],[LayInnsats]]*(LayTable[[#This Row],[LayOdds]]-1))</f>
        <v/>
      </c>
      <c r="N2154" s="77" t="str">
        <f>IF(LayTable[[#This Row],[Sport]]="","",1/((1/LayTable[[#This Row],[BookieOdds]])+(1/((1/((1+((LayTable[[#This Row],[LayOdds]]-1)*(1+LayTable[[#This Row],[C% Lay]])))-1))+1)))-1)</f>
        <v/>
      </c>
      <c r="Q2154" s="78" t="str">
        <f>IF(LayTable[[#This Row],[Sport]]="","",LayTable[[#This Row],[BookieInnsats]]+LayTable[[#This Row],[LayLiability]])</f>
        <v/>
      </c>
      <c r="R2154"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4"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4" s="79" t="str">
        <f>IF(LayTable[[#This Row],[Utfall bookie]]="","",LayTable[[#This Row],[WBABack]]+LayTable[[#This Row],[WBALay]]-LayTable[[#This Row],[Total inns]])</f>
        <v/>
      </c>
      <c r="U2154"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4"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4" s="80" t="str">
        <f>IFERROR(IF(LayTable[[#This Row],[Total inns]]="","",LayTable[[#This Row],[Rback]]/LayTable[[#This Row],[Total inns]]),"")</f>
        <v/>
      </c>
      <c r="X2154" s="80" t="str">
        <f>IFERROR(IF(LayTable[[#This Row],[Total inns]]="","",LayTable[[#This Row],[Rlay]]/LayTable[[#This Row],[Total inns]]),"")</f>
        <v/>
      </c>
      <c r="Y2154" s="80" t="str">
        <f>IFERROR(LayTable[[#This Row],[Faktisk res]]/LayTable[[#This Row],[Total inns]],"")</f>
        <v/>
      </c>
      <c r="Z2154" s="79">
        <f>(LayTable[[#This Row],[BookieInnsats]]*LayTable[[#This Row],[BookieOdds]]-LayTable[[#This Row],[BookieInnsats]])*(1-LayTable[[#This Row],[C% Bookie]])</f>
        <v>0</v>
      </c>
      <c r="AA2154" s="75">
        <f>LayTable[[#This Row],[LayInnsats]]*(1-LayTable[[#This Row],[C% Lay]])</f>
        <v>0</v>
      </c>
      <c r="AB2154" s="75" t="str">
        <f>IFERROR(IF(LayTable[[#This Row],[Sport]]="",AB2153,LayTable[[#This Row],[Faktisk res]]+AB2153),"")</f>
        <v/>
      </c>
      <c r="AC2154" s="75">
        <f>(LayTable[[#This Row],[BackWin-Commission]]+LayTable[[#This Row],[BookieInnsats]])</f>
        <v>0</v>
      </c>
      <c r="AD2154" s="75" t="e">
        <f>(LayTable[[#This Row],[LayWin-Commission]])+LayTable[[#This Row],[LayLiability]]</f>
        <v>#VALUE!</v>
      </c>
      <c r="AE2154" s="43"/>
      <c r="AF2154" s="181"/>
    </row>
    <row r="2155" spans="1:32">
      <c r="A2155" s="84"/>
      <c r="B2155" s="39"/>
      <c r="C2155" s="40"/>
      <c r="D2155" s="73"/>
      <c r="E2155" s="40"/>
      <c r="F2155" s="73"/>
      <c r="G2155" s="101"/>
      <c r="H2155" s="38"/>
      <c r="I2155" s="74"/>
      <c r="J2155" s="74"/>
      <c r="K2155" s="75"/>
      <c r="L2155" s="75"/>
      <c r="M2155" s="76" t="str">
        <f>IF(LayTable[[#This Row],[Sport]]="","",LayTable[[#This Row],[LayInnsats]]*(LayTable[[#This Row],[LayOdds]]-1))</f>
        <v/>
      </c>
      <c r="N2155" s="77" t="str">
        <f>IF(LayTable[[#This Row],[Sport]]="","",1/((1/LayTable[[#This Row],[BookieOdds]])+(1/((1/((1+((LayTable[[#This Row],[LayOdds]]-1)*(1+LayTable[[#This Row],[C% Lay]])))-1))+1)))-1)</f>
        <v/>
      </c>
      <c r="Q2155" s="78" t="str">
        <f>IF(LayTable[[#This Row],[Sport]]="","",LayTable[[#This Row],[BookieInnsats]]+LayTable[[#This Row],[LayLiability]])</f>
        <v/>
      </c>
      <c r="R2155"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5"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5" s="79" t="str">
        <f>IF(LayTable[[#This Row],[Utfall bookie]]="","",LayTable[[#This Row],[WBABack]]+LayTable[[#This Row],[WBALay]]-LayTable[[#This Row],[Total inns]])</f>
        <v/>
      </c>
      <c r="U2155"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5"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5" s="80" t="str">
        <f>IFERROR(IF(LayTable[[#This Row],[Total inns]]="","",LayTable[[#This Row],[Rback]]/LayTable[[#This Row],[Total inns]]),"")</f>
        <v/>
      </c>
      <c r="X2155" s="80" t="str">
        <f>IFERROR(IF(LayTable[[#This Row],[Total inns]]="","",LayTable[[#This Row],[Rlay]]/LayTable[[#This Row],[Total inns]]),"")</f>
        <v/>
      </c>
      <c r="Y2155" s="80" t="str">
        <f>IFERROR(LayTable[[#This Row],[Faktisk res]]/LayTable[[#This Row],[Total inns]],"")</f>
        <v/>
      </c>
      <c r="Z2155" s="79">
        <f>(LayTable[[#This Row],[BookieInnsats]]*LayTable[[#This Row],[BookieOdds]]-LayTable[[#This Row],[BookieInnsats]])*(1-LayTable[[#This Row],[C% Bookie]])</f>
        <v>0</v>
      </c>
      <c r="AA2155" s="75">
        <f>LayTable[[#This Row],[LayInnsats]]*(1-LayTable[[#This Row],[C% Lay]])</f>
        <v>0</v>
      </c>
      <c r="AB2155" s="75" t="str">
        <f>IFERROR(IF(LayTable[[#This Row],[Sport]]="",AB2154,LayTable[[#This Row],[Faktisk res]]+AB2154),"")</f>
        <v/>
      </c>
      <c r="AC2155" s="75">
        <f>(LayTable[[#This Row],[BackWin-Commission]]+LayTable[[#This Row],[BookieInnsats]])</f>
        <v>0</v>
      </c>
      <c r="AD2155" s="75" t="e">
        <f>(LayTable[[#This Row],[LayWin-Commission]])+LayTable[[#This Row],[LayLiability]]</f>
        <v>#VALUE!</v>
      </c>
      <c r="AE2155" s="43"/>
      <c r="AF2155" s="181"/>
    </row>
    <row r="2156" spans="1:32">
      <c r="A2156" s="84"/>
      <c r="B2156" s="39"/>
      <c r="C2156" s="40"/>
      <c r="D2156" s="73"/>
      <c r="E2156" s="40"/>
      <c r="F2156" s="73"/>
      <c r="G2156" s="101"/>
      <c r="H2156" s="38"/>
      <c r="I2156" s="74"/>
      <c r="J2156" s="74"/>
      <c r="K2156" s="75"/>
      <c r="L2156" s="75"/>
      <c r="M2156" s="76" t="str">
        <f>IF(LayTable[[#This Row],[Sport]]="","",LayTable[[#This Row],[LayInnsats]]*(LayTable[[#This Row],[LayOdds]]-1))</f>
        <v/>
      </c>
      <c r="N2156" s="77" t="str">
        <f>IF(LayTable[[#This Row],[Sport]]="","",1/((1/LayTable[[#This Row],[BookieOdds]])+(1/((1/((1+((LayTable[[#This Row],[LayOdds]]-1)*(1+LayTable[[#This Row],[C% Lay]])))-1))+1)))-1)</f>
        <v/>
      </c>
      <c r="Q2156" s="78" t="str">
        <f>IF(LayTable[[#This Row],[Sport]]="","",LayTable[[#This Row],[BookieInnsats]]+LayTable[[#This Row],[LayLiability]])</f>
        <v/>
      </c>
      <c r="R2156"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6"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6" s="79" t="str">
        <f>IF(LayTable[[#This Row],[Utfall bookie]]="","",LayTable[[#This Row],[WBABack]]+LayTable[[#This Row],[WBALay]]-LayTable[[#This Row],[Total inns]])</f>
        <v/>
      </c>
      <c r="U2156"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6"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6" s="80" t="str">
        <f>IFERROR(IF(LayTable[[#This Row],[Total inns]]="","",LayTable[[#This Row],[Rback]]/LayTable[[#This Row],[Total inns]]),"")</f>
        <v/>
      </c>
      <c r="X2156" s="80" t="str">
        <f>IFERROR(IF(LayTable[[#This Row],[Total inns]]="","",LayTable[[#This Row],[Rlay]]/LayTable[[#This Row],[Total inns]]),"")</f>
        <v/>
      </c>
      <c r="Y2156" s="80" t="str">
        <f>IFERROR(LayTable[[#This Row],[Faktisk res]]/LayTable[[#This Row],[Total inns]],"")</f>
        <v/>
      </c>
      <c r="Z2156" s="79">
        <f>(LayTable[[#This Row],[BookieInnsats]]*LayTable[[#This Row],[BookieOdds]]-LayTable[[#This Row],[BookieInnsats]])*(1-LayTable[[#This Row],[C% Bookie]])</f>
        <v>0</v>
      </c>
      <c r="AA2156" s="75">
        <f>LayTable[[#This Row],[LayInnsats]]*(1-LayTable[[#This Row],[C% Lay]])</f>
        <v>0</v>
      </c>
      <c r="AB2156" s="75" t="str">
        <f>IFERROR(IF(LayTable[[#This Row],[Sport]]="",AB2155,LayTable[[#This Row],[Faktisk res]]+AB2155),"")</f>
        <v/>
      </c>
      <c r="AC2156" s="75">
        <f>(LayTable[[#This Row],[BackWin-Commission]]+LayTable[[#This Row],[BookieInnsats]])</f>
        <v>0</v>
      </c>
      <c r="AD2156" s="75" t="e">
        <f>(LayTable[[#This Row],[LayWin-Commission]])+LayTable[[#This Row],[LayLiability]]</f>
        <v>#VALUE!</v>
      </c>
      <c r="AE2156" s="43"/>
      <c r="AF2156" s="181"/>
    </row>
    <row r="2157" spans="1:32">
      <c r="A2157" s="84"/>
      <c r="B2157" s="39"/>
      <c r="C2157" s="40"/>
      <c r="D2157" s="73"/>
      <c r="E2157" s="40"/>
      <c r="F2157" s="73"/>
      <c r="G2157" s="101"/>
      <c r="H2157" s="38"/>
      <c r="I2157" s="42"/>
      <c r="J2157" s="74"/>
      <c r="K2157" s="75"/>
      <c r="L2157" s="75"/>
      <c r="M2157" s="76" t="str">
        <f>IF(LayTable[[#This Row],[Sport]]="","",LayTable[[#This Row],[LayInnsats]]*(LayTable[[#This Row],[LayOdds]]-1))</f>
        <v/>
      </c>
      <c r="N2157" s="77" t="str">
        <f>IF(LayTable[[#This Row],[Sport]]="","",1/((1/LayTable[[#This Row],[BookieOdds]])+(1/((1/((1+((LayTable[[#This Row],[LayOdds]]-1)*(1+LayTable[[#This Row],[C% Lay]])))-1))+1)))-1)</f>
        <v/>
      </c>
      <c r="Q2157" s="78" t="str">
        <f>IF(LayTable[[#This Row],[Sport]]="","",LayTable[[#This Row],[BookieInnsats]]+LayTable[[#This Row],[LayLiability]])</f>
        <v/>
      </c>
      <c r="R2157"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7"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7" s="79" t="str">
        <f>IF(LayTable[[#This Row],[Utfall bookie]]="","",LayTable[[#This Row],[WBABack]]+LayTable[[#This Row],[WBALay]]-LayTable[[#This Row],[Total inns]])</f>
        <v/>
      </c>
      <c r="U2157"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7"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7" s="80" t="str">
        <f>IFERROR(IF(LayTable[[#This Row],[Total inns]]="","",LayTable[[#This Row],[Rback]]/LayTable[[#This Row],[Total inns]]),"")</f>
        <v/>
      </c>
      <c r="X2157" s="80" t="str">
        <f>IFERROR(IF(LayTable[[#This Row],[Total inns]]="","",LayTable[[#This Row],[Rlay]]/LayTable[[#This Row],[Total inns]]),"")</f>
        <v/>
      </c>
      <c r="Y2157" s="80" t="str">
        <f>IFERROR(LayTable[[#This Row],[Faktisk res]]/LayTable[[#This Row],[Total inns]],"")</f>
        <v/>
      </c>
      <c r="Z2157" s="79">
        <f>(LayTable[[#This Row],[BookieInnsats]]*LayTable[[#This Row],[BookieOdds]]-LayTable[[#This Row],[BookieInnsats]])*(1-LayTable[[#This Row],[C% Bookie]])</f>
        <v>0</v>
      </c>
      <c r="AA2157" s="75">
        <f>LayTable[[#This Row],[LayInnsats]]*(1-LayTable[[#This Row],[C% Lay]])</f>
        <v>0</v>
      </c>
      <c r="AB2157" s="75" t="str">
        <f>IFERROR(IF(LayTable[[#This Row],[Sport]]="",AB2156,LayTable[[#This Row],[Faktisk res]]+AB2156),"")</f>
        <v/>
      </c>
      <c r="AC2157" s="75">
        <f>(LayTable[[#This Row],[BackWin-Commission]]+LayTable[[#This Row],[BookieInnsats]])</f>
        <v>0</v>
      </c>
      <c r="AD2157" s="75" t="e">
        <f>(LayTable[[#This Row],[LayWin-Commission]])+LayTable[[#This Row],[LayLiability]]</f>
        <v>#VALUE!</v>
      </c>
      <c r="AE2157" s="43"/>
      <c r="AF2157" s="181"/>
    </row>
    <row r="2158" spans="1:32">
      <c r="A2158" s="84"/>
      <c r="B2158" s="39"/>
      <c r="C2158" s="40"/>
      <c r="D2158" s="73"/>
      <c r="E2158" s="40"/>
      <c r="F2158" s="73"/>
      <c r="G2158" s="101"/>
      <c r="H2158" s="38"/>
      <c r="I2158" s="74"/>
      <c r="J2158" s="74"/>
      <c r="K2158" s="75"/>
      <c r="L2158" s="75"/>
      <c r="M2158" s="76" t="str">
        <f>IF(LayTable[[#This Row],[Sport]]="","",LayTable[[#This Row],[LayInnsats]]*(LayTable[[#This Row],[LayOdds]]-1))</f>
        <v/>
      </c>
      <c r="N2158" s="77" t="str">
        <f>IF(LayTable[[#This Row],[Sport]]="","",1/((1/LayTable[[#This Row],[BookieOdds]])+(1/((1/((1+((LayTable[[#This Row],[LayOdds]]-1)*(1+LayTable[[#This Row],[C% Lay]])))-1))+1)))-1)</f>
        <v/>
      </c>
      <c r="Q2158" s="78" t="str">
        <f>IF(LayTable[[#This Row],[Sport]]="","",LayTable[[#This Row],[BookieInnsats]]+LayTable[[#This Row],[LayLiability]])</f>
        <v/>
      </c>
      <c r="R2158"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8"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8" s="79" t="str">
        <f>IF(LayTable[[#This Row],[Utfall bookie]]="","",LayTable[[#This Row],[WBABack]]+LayTable[[#This Row],[WBALay]]-LayTable[[#This Row],[Total inns]])</f>
        <v/>
      </c>
      <c r="U2158"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8"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8" s="80" t="str">
        <f>IFERROR(IF(LayTable[[#This Row],[Total inns]]="","",LayTable[[#This Row],[Rback]]/LayTable[[#This Row],[Total inns]]),"")</f>
        <v/>
      </c>
      <c r="X2158" s="80" t="str">
        <f>IFERROR(IF(LayTable[[#This Row],[Total inns]]="","",LayTable[[#This Row],[Rlay]]/LayTable[[#This Row],[Total inns]]),"")</f>
        <v/>
      </c>
      <c r="Y2158" s="80" t="str">
        <f>IFERROR(LayTable[[#This Row],[Faktisk res]]/LayTable[[#This Row],[Total inns]],"")</f>
        <v/>
      </c>
      <c r="Z2158" s="79">
        <f>(LayTable[[#This Row],[BookieInnsats]]*LayTable[[#This Row],[BookieOdds]]-LayTable[[#This Row],[BookieInnsats]])*(1-LayTable[[#This Row],[C% Bookie]])</f>
        <v>0</v>
      </c>
      <c r="AA2158" s="75">
        <f>LayTable[[#This Row],[LayInnsats]]*(1-LayTable[[#This Row],[C% Lay]])</f>
        <v>0</v>
      </c>
      <c r="AB2158" s="75" t="str">
        <f>IFERROR(IF(LayTable[[#This Row],[Sport]]="",AB2157,LayTable[[#This Row],[Faktisk res]]+AB2157),"")</f>
        <v/>
      </c>
      <c r="AC2158" s="75">
        <f>(LayTable[[#This Row],[BackWin-Commission]]+LayTable[[#This Row],[BookieInnsats]])</f>
        <v>0</v>
      </c>
      <c r="AD2158" s="75" t="e">
        <f>(LayTable[[#This Row],[LayWin-Commission]])+LayTable[[#This Row],[LayLiability]]</f>
        <v>#VALUE!</v>
      </c>
      <c r="AE2158" s="43"/>
      <c r="AF2158" s="181"/>
    </row>
    <row r="2159" spans="1:32">
      <c r="A2159" s="84"/>
      <c r="B2159" s="39"/>
      <c r="C2159" s="40"/>
      <c r="D2159" s="73"/>
      <c r="E2159" s="40"/>
      <c r="F2159" s="73"/>
      <c r="G2159" s="101"/>
      <c r="H2159" s="38"/>
      <c r="I2159" s="42"/>
      <c r="J2159" s="74"/>
      <c r="K2159" s="75"/>
      <c r="L2159" s="75"/>
      <c r="M2159" s="76" t="str">
        <f>IF(LayTable[[#This Row],[Sport]]="","",LayTable[[#This Row],[LayInnsats]]*(LayTable[[#This Row],[LayOdds]]-1))</f>
        <v/>
      </c>
      <c r="N2159" s="77" t="str">
        <f>IF(LayTable[[#This Row],[Sport]]="","",1/((1/LayTable[[#This Row],[BookieOdds]])+(1/((1/((1+((LayTable[[#This Row],[LayOdds]]-1)*(1+LayTable[[#This Row],[C% Lay]])))-1))+1)))-1)</f>
        <v/>
      </c>
      <c r="Q2159" s="78" t="str">
        <f>IF(LayTable[[#This Row],[Sport]]="","",LayTable[[#This Row],[BookieInnsats]]+LayTable[[#This Row],[LayLiability]])</f>
        <v/>
      </c>
      <c r="R2159"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59"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59" s="79" t="str">
        <f>IF(LayTable[[#This Row],[Utfall bookie]]="","",LayTable[[#This Row],[WBABack]]+LayTable[[#This Row],[WBALay]]-LayTable[[#This Row],[Total inns]])</f>
        <v/>
      </c>
      <c r="U2159"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59"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59" s="80" t="str">
        <f>IFERROR(IF(LayTable[[#This Row],[Total inns]]="","",LayTable[[#This Row],[Rback]]/LayTable[[#This Row],[Total inns]]),"")</f>
        <v/>
      </c>
      <c r="X2159" s="80" t="str">
        <f>IFERROR(IF(LayTable[[#This Row],[Total inns]]="","",LayTable[[#This Row],[Rlay]]/LayTable[[#This Row],[Total inns]]),"")</f>
        <v/>
      </c>
      <c r="Y2159" s="80" t="str">
        <f>IFERROR(LayTable[[#This Row],[Faktisk res]]/LayTable[[#This Row],[Total inns]],"")</f>
        <v/>
      </c>
      <c r="Z2159" s="79">
        <f>(LayTable[[#This Row],[BookieInnsats]]*LayTable[[#This Row],[BookieOdds]]-LayTable[[#This Row],[BookieInnsats]])*(1-LayTable[[#This Row],[C% Bookie]])</f>
        <v>0</v>
      </c>
      <c r="AA2159" s="75">
        <f>LayTable[[#This Row],[LayInnsats]]*(1-LayTable[[#This Row],[C% Lay]])</f>
        <v>0</v>
      </c>
      <c r="AB2159" s="75" t="str">
        <f>IFERROR(IF(LayTable[[#This Row],[Sport]]="",AB2158,LayTable[[#This Row],[Faktisk res]]+AB2158),"")</f>
        <v/>
      </c>
      <c r="AC2159" s="75">
        <f>(LayTable[[#This Row],[BackWin-Commission]]+LayTable[[#This Row],[BookieInnsats]])</f>
        <v>0</v>
      </c>
      <c r="AD2159" s="75" t="e">
        <f>(LayTable[[#This Row],[LayWin-Commission]])+LayTable[[#This Row],[LayLiability]]</f>
        <v>#VALUE!</v>
      </c>
      <c r="AE2159" s="43"/>
      <c r="AF2159" s="181"/>
    </row>
    <row r="2160" spans="1:32">
      <c r="A2160" s="84"/>
      <c r="B2160" s="39"/>
      <c r="C2160" s="40"/>
      <c r="D2160" s="73"/>
      <c r="E2160" s="40"/>
      <c r="F2160" s="73"/>
      <c r="G2160" s="101"/>
      <c r="H2160" s="38"/>
      <c r="I2160" s="74"/>
      <c r="J2160" s="74"/>
      <c r="K2160" s="75"/>
      <c r="L2160" s="75"/>
      <c r="M2160" s="76" t="str">
        <f>IF(LayTable[[#This Row],[Sport]]="","",LayTable[[#This Row],[LayInnsats]]*(LayTable[[#This Row],[LayOdds]]-1))</f>
        <v/>
      </c>
      <c r="N2160" s="77" t="str">
        <f>IF(LayTable[[#This Row],[Sport]]="","",1/((1/LayTable[[#This Row],[BookieOdds]])+(1/((1/((1+((LayTable[[#This Row],[LayOdds]]-1)*(1+LayTable[[#This Row],[C% Lay]])))-1))+1)))-1)</f>
        <v/>
      </c>
      <c r="Q2160" s="78" t="str">
        <f>IF(LayTable[[#This Row],[Sport]]="","",LayTable[[#This Row],[BookieInnsats]]+LayTable[[#This Row],[LayLiability]])</f>
        <v/>
      </c>
      <c r="R2160"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0"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0" s="79" t="str">
        <f>IF(LayTable[[#This Row],[Utfall bookie]]="","",LayTable[[#This Row],[WBABack]]+LayTable[[#This Row],[WBALay]]-LayTable[[#This Row],[Total inns]])</f>
        <v/>
      </c>
      <c r="U2160"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0"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0" s="80" t="str">
        <f>IFERROR(IF(LayTable[[#This Row],[Total inns]]="","",LayTable[[#This Row],[Rback]]/LayTable[[#This Row],[Total inns]]),"")</f>
        <v/>
      </c>
      <c r="X2160" s="80" t="str">
        <f>IFERROR(IF(LayTable[[#This Row],[Total inns]]="","",LayTable[[#This Row],[Rlay]]/LayTable[[#This Row],[Total inns]]),"")</f>
        <v/>
      </c>
      <c r="Y2160" s="80" t="str">
        <f>IFERROR(LayTable[[#This Row],[Faktisk res]]/LayTable[[#This Row],[Total inns]],"")</f>
        <v/>
      </c>
      <c r="Z2160" s="79">
        <f>(LayTable[[#This Row],[BookieInnsats]]*LayTable[[#This Row],[BookieOdds]]-LayTable[[#This Row],[BookieInnsats]])*(1-LayTable[[#This Row],[C% Bookie]])</f>
        <v>0</v>
      </c>
      <c r="AA2160" s="75">
        <f>LayTable[[#This Row],[LayInnsats]]*(1-LayTable[[#This Row],[C% Lay]])</f>
        <v>0</v>
      </c>
      <c r="AB2160" s="75" t="str">
        <f>IFERROR(IF(LayTable[[#This Row],[Sport]]="",AB2159,LayTable[[#This Row],[Faktisk res]]+AB2159),"")</f>
        <v/>
      </c>
      <c r="AC2160" s="75">
        <f>(LayTable[[#This Row],[BackWin-Commission]]+LayTable[[#This Row],[BookieInnsats]])</f>
        <v>0</v>
      </c>
      <c r="AD2160" s="75" t="e">
        <f>(LayTable[[#This Row],[LayWin-Commission]])+LayTable[[#This Row],[LayLiability]]</f>
        <v>#VALUE!</v>
      </c>
      <c r="AE2160" s="43"/>
      <c r="AF2160" s="181"/>
    </row>
    <row r="2161" spans="1:32">
      <c r="A2161" s="84"/>
      <c r="B2161" s="39"/>
      <c r="C2161" s="40"/>
      <c r="D2161" s="73"/>
      <c r="E2161" s="40"/>
      <c r="F2161" s="73"/>
      <c r="G2161" s="101"/>
      <c r="H2161" s="38"/>
      <c r="I2161" s="74"/>
      <c r="J2161" s="74"/>
      <c r="K2161" s="75"/>
      <c r="L2161" s="75"/>
      <c r="M2161" s="76" t="str">
        <f>IF(LayTable[[#This Row],[Sport]]="","",LayTable[[#This Row],[LayInnsats]]*(LayTable[[#This Row],[LayOdds]]-1))</f>
        <v/>
      </c>
      <c r="N2161" s="77" t="str">
        <f>IF(LayTable[[#This Row],[Sport]]="","",1/((1/LayTable[[#This Row],[BookieOdds]])+(1/((1/((1+((LayTable[[#This Row],[LayOdds]]-1)*(1+LayTable[[#This Row],[C% Lay]])))-1))+1)))-1)</f>
        <v/>
      </c>
      <c r="Q2161" s="78" t="str">
        <f>IF(LayTable[[#This Row],[Sport]]="","",LayTable[[#This Row],[BookieInnsats]]+LayTable[[#This Row],[LayLiability]])</f>
        <v/>
      </c>
      <c r="R2161"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1"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1" s="79" t="str">
        <f>IF(LayTable[[#This Row],[Utfall bookie]]="","",LayTable[[#This Row],[WBABack]]+LayTable[[#This Row],[WBALay]]-LayTable[[#This Row],[Total inns]])</f>
        <v/>
      </c>
      <c r="U2161"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1"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1" s="80" t="str">
        <f>IFERROR(IF(LayTable[[#This Row],[Total inns]]="","",LayTable[[#This Row],[Rback]]/LayTable[[#This Row],[Total inns]]),"")</f>
        <v/>
      </c>
      <c r="X2161" s="80" t="str">
        <f>IFERROR(IF(LayTable[[#This Row],[Total inns]]="","",LayTable[[#This Row],[Rlay]]/LayTable[[#This Row],[Total inns]]),"")</f>
        <v/>
      </c>
      <c r="Y2161" s="80" t="str">
        <f>IFERROR(LayTable[[#This Row],[Faktisk res]]/LayTable[[#This Row],[Total inns]],"")</f>
        <v/>
      </c>
      <c r="Z2161" s="79">
        <f>(LayTable[[#This Row],[BookieInnsats]]*LayTable[[#This Row],[BookieOdds]]-LayTable[[#This Row],[BookieInnsats]])*(1-LayTable[[#This Row],[C% Bookie]])</f>
        <v>0</v>
      </c>
      <c r="AA2161" s="75">
        <f>LayTable[[#This Row],[LayInnsats]]*(1-LayTable[[#This Row],[C% Lay]])</f>
        <v>0</v>
      </c>
      <c r="AB2161" s="75" t="str">
        <f>IFERROR(IF(LayTable[[#This Row],[Sport]]="",AB2160,LayTable[[#This Row],[Faktisk res]]+AB2160),"")</f>
        <v/>
      </c>
      <c r="AC2161" s="75">
        <f>(LayTable[[#This Row],[BackWin-Commission]]+LayTable[[#This Row],[BookieInnsats]])</f>
        <v>0</v>
      </c>
      <c r="AD2161" s="75" t="e">
        <f>(LayTable[[#This Row],[LayWin-Commission]])+LayTable[[#This Row],[LayLiability]]</f>
        <v>#VALUE!</v>
      </c>
      <c r="AE2161" s="43"/>
      <c r="AF2161" s="181"/>
    </row>
    <row r="2162" spans="1:32">
      <c r="A2162" s="84"/>
      <c r="B2162" s="39"/>
      <c r="C2162" s="40"/>
      <c r="D2162" s="73"/>
      <c r="E2162" s="40"/>
      <c r="F2162" s="73"/>
      <c r="G2162" s="101"/>
      <c r="H2162" s="38"/>
      <c r="I2162" s="74"/>
      <c r="J2162" s="74"/>
      <c r="K2162" s="75"/>
      <c r="L2162" s="75"/>
      <c r="M2162" s="76" t="str">
        <f>IF(LayTable[[#This Row],[Sport]]="","",LayTable[[#This Row],[LayInnsats]]*(LayTable[[#This Row],[LayOdds]]-1))</f>
        <v/>
      </c>
      <c r="N2162" s="77" t="str">
        <f>IF(LayTable[[#This Row],[Sport]]="","",1/((1/LayTable[[#This Row],[BookieOdds]])+(1/((1/((1+((LayTable[[#This Row],[LayOdds]]-1)*(1+LayTable[[#This Row],[C% Lay]])))-1))+1)))-1)</f>
        <v/>
      </c>
      <c r="Q2162" s="78" t="str">
        <f>IF(LayTable[[#This Row],[Sport]]="","",LayTable[[#This Row],[BookieInnsats]]+LayTable[[#This Row],[LayLiability]])</f>
        <v/>
      </c>
      <c r="R2162"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2"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2" s="79" t="str">
        <f>IF(LayTable[[#This Row],[Utfall bookie]]="","",LayTable[[#This Row],[WBABack]]+LayTable[[#This Row],[WBALay]]-LayTable[[#This Row],[Total inns]])</f>
        <v/>
      </c>
      <c r="U2162"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2"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2" s="80" t="str">
        <f>IFERROR(IF(LayTable[[#This Row],[Total inns]]="","",LayTable[[#This Row],[Rback]]/LayTable[[#This Row],[Total inns]]),"")</f>
        <v/>
      </c>
      <c r="X2162" s="80" t="str">
        <f>IFERROR(IF(LayTable[[#This Row],[Total inns]]="","",LayTable[[#This Row],[Rlay]]/LayTable[[#This Row],[Total inns]]),"")</f>
        <v/>
      </c>
      <c r="Y2162" s="80" t="str">
        <f>IFERROR(LayTable[[#This Row],[Faktisk res]]/LayTable[[#This Row],[Total inns]],"")</f>
        <v/>
      </c>
      <c r="Z2162" s="79">
        <f>(LayTable[[#This Row],[BookieInnsats]]*LayTable[[#This Row],[BookieOdds]]-LayTable[[#This Row],[BookieInnsats]])*(1-LayTable[[#This Row],[C% Bookie]])</f>
        <v>0</v>
      </c>
      <c r="AA2162" s="75">
        <f>LayTable[[#This Row],[LayInnsats]]*(1-LayTable[[#This Row],[C% Lay]])</f>
        <v>0</v>
      </c>
      <c r="AB2162" s="75" t="str">
        <f>IFERROR(IF(LayTable[[#This Row],[Sport]]="",AB2161,LayTable[[#This Row],[Faktisk res]]+AB2161),"")</f>
        <v/>
      </c>
      <c r="AC2162" s="75">
        <f>(LayTable[[#This Row],[BackWin-Commission]]+LayTable[[#This Row],[BookieInnsats]])</f>
        <v>0</v>
      </c>
      <c r="AD2162" s="75" t="e">
        <f>(LayTable[[#This Row],[LayWin-Commission]])+LayTable[[#This Row],[LayLiability]]</f>
        <v>#VALUE!</v>
      </c>
      <c r="AE2162" s="43"/>
      <c r="AF2162" s="181"/>
    </row>
    <row r="2163" spans="1:32">
      <c r="A2163" s="84"/>
      <c r="B2163" s="39"/>
      <c r="C2163" s="40"/>
      <c r="D2163" s="73"/>
      <c r="E2163" s="40"/>
      <c r="F2163" s="73"/>
      <c r="G2163" s="101"/>
      <c r="H2163" s="38"/>
      <c r="I2163" s="74"/>
      <c r="J2163" s="74"/>
      <c r="K2163" s="75"/>
      <c r="L2163" s="75"/>
      <c r="M2163" s="76" t="str">
        <f>IF(LayTable[[#This Row],[Sport]]="","",LayTable[[#This Row],[LayInnsats]]*(LayTable[[#This Row],[LayOdds]]-1))</f>
        <v/>
      </c>
      <c r="N2163" s="77" t="str">
        <f>IF(LayTable[[#This Row],[Sport]]="","",1/((1/LayTable[[#This Row],[BookieOdds]])+(1/((1/((1+((LayTable[[#This Row],[LayOdds]]-1)*(1+LayTable[[#This Row],[C% Lay]])))-1))+1)))-1)</f>
        <v/>
      </c>
      <c r="Q2163" s="78" t="str">
        <f>IF(LayTable[[#This Row],[Sport]]="","",LayTable[[#This Row],[BookieInnsats]]+LayTable[[#This Row],[LayLiability]])</f>
        <v/>
      </c>
      <c r="R2163"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3"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3" s="79" t="str">
        <f>IF(LayTable[[#This Row],[Utfall bookie]]="","",LayTable[[#This Row],[WBABack]]+LayTable[[#This Row],[WBALay]]-LayTable[[#This Row],[Total inns]])</f>
        <v/>
      </c>
      <c r="U2163"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3"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3" s="80" t="str">
        <f>IFERROR(IF(LayTable[[#This Row],[Total inns]]="","",LayTable[[#This Row],[Rback]]/LayTable[[#This Row],[Total inns]]),"")</f>
        <v/>
      </c>
      <c r="X2163" s="80" t="str">
        <f>IFERROR(IF(LayTable[[#This Row],[Total inns]]="","",LayTable[[#This Row],[Rlay]]/LayTable[[#This Row],[Total inns]]),"")</f>
        <v/>
      </c>
      <c r="Y2163" s="80" t="str">
        <f>IFERROR(LayTable[[#This Row],[Faktisk res]]/LayTable[[#This Row],[Total inns]],"")</f>
        <v/>
      </c>
      <c r="Z2163" s="79">
        <f>(LayTable[[#This Row],[BookieInnsats]]*LayTable[[#This Row],[BookieOdds]]-LayTable[[#This Row],[BookieInnsats]])*(1-LayTable[[#This Row],[C% Bookie]])</f>
        <v>0</v>
      </c>
      <c r="AA2163" s="75">
        <f>LayTable[[#This Row],[LayInnsats]]*(1-LayTable[[#This Row],[C% Lay]])</f>
        <v>0</v>
      </c>
      <c r="AB2163" s="75" t="str">
        <f>IFERROR(IF(LayTable[[#This Row],[Sport]]="",AB2162,LayTable[[#This Row],[Faktisk res]]+AB2162),"")</f>
        <v/>
      </c>
      <c r="AC2163" s="75">
        <f>(LayTable[[#This Row],[BackWin-Commission]]+LayTable[[#This Row],[BookieInnsats]])</f>
        <v>0</v>
      </c>
      <c r="AD2163" s="75" t="e">
        <f>(LayTable[[#This Row],[LayWin-Commission]])+LayTable[[#This Row],[LayLiability]]</f>
        <v>#VALUE!</v>
      </c>
      <c r="AE2163" s="43"/>
      <c r="AF2163" s="181"/>
    </row>
    <row r="2164" spans="1:32">
      <c r="A2164" s="84"/>
      <c r="B2164" s="39"/>
      <c r="C2164" s="40"/>
      <c r="D2164" s="73"/>
      <c r="E2164" s="40"/>
      <c r="F2164" s="73"/>
      <c r="G2164" s="101"/>
      <c r="H2164" s="38"/>
      <c r="I2164" s="74"/>
      <c r="J2164" s="74"/>
      <c r="K2164" s="75"/>
      <c r="L2164" s="75"/>
      <c r="M2164" s="76" t="str">
        <f>IF(LayTable[[#This Row],[Sport]]="","",LayTable[[#This Row],[LayInnsats]]*(LayTable[[#This Row],[LayOdds]]-1))</f>
        <v/>
      </c>
      <c r="N2164" s="77" t="str">
        <f>IF(LayTable[[#This Row],[Sport]]="","",1/((1/LayTable[[#This Row],[BookieOdds]])+(1/((1/((1+((LayTable[[#This Row],[LayOdds]]-1)*(1+LayTable[[#This Row],[C% Lay]])))-1))+1)))-1)</f>
        <v/>
      </c>
      <c r="Q2164" s="78" t="str">
        <f>IF(LayTable[[#This Row],[Sport]]="","",LayTable[[#This Row],[BookieInnsats]]+LayTable[[#This Row],[LayLiability]])</f>
        <v/>
      </c>
      <c r="R2164"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4"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4" s="79" t="str">
        <f>IF(LayTable[[#This Row],[Utfall bookie]]="","",LayTable[[#This Row],[WBABack]]+LayTable[[#This Row],[WBALay]]-LayTable[[#This Row],[Total inns]])</f>
        <v/>
      </c>
      <c r="U2164"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4"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4" s="80" t="str">
        <f>IFERROR(IF(LayTable[[#This Row],[Total inns]]="","",LayTable[[#This Row],[Rback]]/LayTable[[#This Row],[Total inns]]),"")</f>
        <v/>
      </c>
      <c r="X2164" s="80" t="str">
        <f>IFERROR(IF(LayTable[[#This Row],[Total inns]]="","",LayTable[[#This Row],[Rlay]]/LayTable[[#This Row],[Total inns]]),"")</f>
        <v/>
      </c>
      <c r="Y2164" s="80" t="str">
        <f>IFERROR(LayTable[[#This Row],[Faktisk res]]/LayTable[[#This Row],[Total inns]],"")</f>
        <v/>
      </c>
      <c r="Z2164" s="79">
        <f>(LayTable[[#This Row],[BookieInnsats]]*LayTable[[#This Row],[BookieOdds]]-LayTable[[#This Row],[BookieInnsats]])*(1-LayTable[[#This Row],[C% Bookie]])</f>
        <v>0</v>
      </c>
      <c r="AA2164" s="75">
        <f>LayTable[[#This Row],[LayInnsats]]*(1-LayTable[[#This Row],[C% Lay]])</f>
        <v>0</v>
      </c>
      <c r="AB2164" s="75" t="str">
        <f>IFERROR(IF(LayTable[[#This Row],[Sport]]="",AB2163,LayTable[[#This Row],[Faktisk res]]+AB2163),"")</f>
        <v/>
      </c>
      <c r="AC2164" s="75">
        <f>(LayTable[[#This Row],[BackWin-Commission]]+LayTable[[#This Row],[BookieInnsats]])</f>
        <v>0</v>
      </c>
      <c r="AD2164" s="75" t="e">
        <f>(LayTable[[#This Row],[LayWin-Commission]])+LayTable[[#This Row],[LayLiability]]</f>
        <v>#VALUE!</v>
      </c>
      <c r="AE2164" s="43"/>
      <c r="AF2164" s="181"/>
    </row>
    <row r="2165" spans="1:32">
      <c r="A2165" s="84"/>
      <c r="B2165" s="39"/>
      <c r="C2165" s="40"/>
      <c r="D2165" s="73"/>
      <c r="E2165" s="40"/>
      <c r="F2165" s="73"/>
      <c r="G2165" s="101"/>
      <c r="H2165" s="38"/>
      <c r="I2165" s="74"/>
      <c r="J2165" s="74"/>
      <c r="K2165" s="75"/>
      <c r="L2165" s="75"/>
      <c r="M2165" s="76" t="str">
        <f>IF(LayTable[[#This Row],[Sport]]="","",LayTable[[#This Row],[LayInnsats]]*(LayTable[[#This Row],[LayOdds]]-1))</f>
        <v/>
      </c>
      <c r="N2165" s="77" t="str">
        <f>IF(LayTable[[#This Row],[Sport]]="","",1/((1/LayTable[[#This Row],[BookieOdds]])+(1/((1/((1+((LayTable[[#This Row],[LayOdds]]-1)*(1+LayTable[[#This Row],[C% Lay]])))-1))+1)))-1)</f>
        <v/>
      </c>
      <c r="Q2165" s="78" t="str">
        <f>IF(LayTable[[#This Row],[Sport]]="","",LayTable[[#This Row],[BookieInnsats]]+LayTable[[#This Row],[LayLiability]])</f>
        <v/>
      </c>
      <c r="R2165"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5"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5" s="79" t="str">
        <f>IF(LayTable[[#This Row],[Utfall bookie]]="","",LayTable[[#This Row],[WBABack]]+LayTable[[#This Row],[WBALay]]-LayTable[[#This Row],[Total inns]])</f>
        <v/>
      </c>
      <c r="U2165"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5"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5" s="80" t="str">
        <f>IFERROR(IF(LayTable[[#This Row],[Total inns]]="","",LayTable[[#This Row],[Rback]]/LayTable[[#This Row],[Total inns]]),"")</f>
        <v/>
      </c>
      <c r="X2165" s="80" t="str">
        <f>IFERROR(IF(LayTable[[#This Row],[Total inns]]="","",LayTable[[#This Row],[Rlay]]/LayTable[[#This Row],[Total inns]]),"")</f>
        <v/>
      </c>
      <c r="Y2165" s="80" t="str">
        <f>IFERROR(LayTable[[#This Row],[Faktisk res]]/LayTable[[#This Row],[Total inns]],"")</f>
        <v/>
      </c>
      <c r="Z2165" s="79">
        <f>(LayTable[[#This Row],[BookieInnsats]]*LayTable[[#This Row],[BookieOdds]]-LayTable[[#This Row],[BookieInnsats]])*(1-LayTable[[#This Row],[C% Bookie]])</f>
        <v>0</v>
      </c>
      <c r="AA2165" s="75">
        <f>LayTable[[#This Row],[LayInnsats]]*(1-LayTable[[#This Row],[C% Lay]])</f>
        <v>0</v>
      </c>
      <c r="AB2165" s="75" t="str">
        <f>IFERROR(IF(LayTable[[#This Row],[Sport]]="",AB2164,LayTable[[#This Row],[Faktisk res]]+AB2164),"")</f>
        <v/>
      </c>
      <c r="AC2165" s="75">
        <f>(LayTable[[#This Row],[BackWin-Commission]]+LayTable[[#This Row],[BookieInnsats]])</f>
        <v>0</v>
      </c>
      <c r="AD2165" s="75" t="e">
        <f>(LayTable[[#This Row],[LayWin-Commission]])+LayTable[[#This Row],[LayLiability]]</f>
        <v>#VALUE!</v>
      </c>
      <c r="AE2165" s="43"/>
      <c r="AF2165" s="181"/>
    </row>
    <row r="2166" spans="1:32">
      <c r="A2166" s="84"/>
      <c r="B2166" s="39"/>
      <c r="C2166" s="40"/>
      <c r="D2166" s="73"/>
      <c r="E2166" s="40"/>
      <c r="F2166" s="73"/>
      <c r="G2166" s="101"/>
      <c r="H2166" s="38"/>
      <c r="I2166" s="74"/>
      <c r="J2166" s="74"/>
      <c r="K2166" s="75"/>
      <c r="L2166" s="75"/>
      <c r="M2166" s="76" t="str">
        <f>IF(LayTable[[#This Row],[Sport]]="","",LayTable[[#This Row],[LayInnsats]]*(LayTable[[#This Row],[LayOdds]]-1))</f>
        <v/>
      </c>
      <c r="N2166" s="77" t="str">
        <f>IF(LayTable[[#This Row],[Sport]]="","",1/((1/LayTable[[#This Row],[BookieOdds]])+(1/((1/((1+((LayTable[[#This Row],[LayOdds]]-1)*(1+LayTable[[#This Row],[C% Lay]])))-1))+1)))-1)</f>
        <v/>
      </c>
      <c r="Q2166" s="78" t="str">
        <f>IF(LayTable[[#This Row],[Sport]]="","",LayTable[[#This Row],[BookieInnsats]]+LayTable[[#This Row],[LayLiability]])</f>
        <v/>
      </c>
      <c r="R2166"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6"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6" s="79" t="str">
        <f>IF(LayTable[[#This Row],[Utfall bookie]]="","",LayTable[[#This Row],[WBABack]]+LayTable[[#This Row],[WBALay]]-LayTable[[#This Row],[Total inns]])</f>
        <v/>
      </c>
      <c r="U2166"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6"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6" s="80" t="str">
        <f>IFERROR(IF(LayTable[[#This Row],[Total inns]]="","",LayTable[[#This Row],[Rback]]/LayTable[[#This Row],[Total inns]]),"")</f>
        <v/>
      </c>
      <c r="X2166" s="80" t="str">
        <f>IFERROR(IF(LayTable[[#This Row],[Total inns]]="","",LayTable[[#This Row],[Rlay]]/LayTable[[#This Row],[Total inns]]),"")</f>
        <v/>
      </c>
      <c r="Y2166" s="80" t="str">
        <f>IFERROR(LayTable[[#This Row],[Faktisk res]]/LayTable[[#This Row],[Total inns]],"")</f>
        <v/>
      </c>
      <c r="Z2166" s="79">
        <f>(LayTable[[#This Row],[BookieInnsats]]*LayTable[[#This Row],[BookieOdds]]-LayTable[[#This Row],[BookieInnsats]])*(1-LayTable[[#This Row],[C% Bookie]])</f>
        <v>0</v>
      </c>
      <c r="AA2166" s="75">
        <f>LayTable[[#This Row],[LayInnsats]]*(1-LayTable[[#This Row],[C% Lay]])</f>
        <v>0</v>
      </c>
      <c r="AB2166" s="75" t="str">
        <f>IFERROR(IF(LayTable[[#This Row],[Sport]]="",AB2165,LayTable[[#This Row],[Faktisk res]]+AB2165),"")</f>
        <v/>
      </c>
      <c r="AC2166" s="75">
        <f>(LayTable[[#This Row],[BackWin-Commission]]+LayTable[[#This Row],[BookieInnsats]])</f>
        <v>0</v>
      </c>
      <c r="AD2166" s="75" t="e">
        <f>(LayTable[[#This Row],[LayWin-Commission]])+LayTable[[#This Row],[LayLiability]]</f>
        <v>#VALUE!</v>
      </c>
      <c r="AE2166" s="43"/>
      <c r="AF2166" s="181"/>
    </row>
    <row r="2167" spans="1:32">
      <c r="A2167" s="84"/>
      <c r="B2167" s="39"/>
      <c r="C2167" s="40"/>
      <c r="D2167" s="73"/>
      <c r="E2167" s="40"/>
      <c r="F2167" s="73"/>
      <c r="G2167" s="101"/>
      <c r="H2167" s="38"/>
      <c r="I2167" s="74"/>
      <c r="J2167" s="74"/>
      <c r="K2167" s="75"/>
      <c r="L2167" s="75"/>
      <c r="M2167" s="44" t="str">
        <f>IF(LayTable[[#This Row],[Sport]]="","",LayTable[[#This Row],[LayInnsats]]*(LayTable[[#This Row],[LayOdds]]-1))</f>
        <v/>
      </c>
      <c r="N2167" s="45" t="str">
        <f>IF(LayTable[[#This Row],[Sport]]="","",1/((1/LayTable[[#This Row],[BookieOdds]])+(1/((1/((1+((LayTable[[#This Row],[LayOdds]]-1)*(1+LayTable[[#This Row],[C% Lay]])))-1))+1)))-1)</f>
        <v/>
      </c>
      <c r="Q2167" s="46" t="str">
        <f>IF(LayTable[[#This Row],[Sport]]="","",LayTable[[#This Row],[BookieInnsats]]+LayTable[[#This Row],[LayLiability]])</f>
        <v/>
      </c>
      <c r="R216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7" s="47" t="str">
        <f>IF(LayTable[[#This Row],[Utfall bookie]]="","",LayTable[[#This Row],[WBABack]]+LayTable[[#This Row],[WBALay]]-LayTable[[#This Row],[Total inns]])</f>
        <v/>
      </c>
      <c r="U216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7" s="48" t="str">
        <f>IFERROR(IF(LayTable[[#This Row],[Total inns]]="","",LayTable[[#This Row],[Rback]]/LayTable[[#This Row],[Total inns]]),"")</f>
        <v/>
      </c>
      <c r="X2167" s="48" t="str">
        <f>IFERROR(IF(LayTable[[#This Row],[Total inns]]="","",LayTable[[#This Row],[Rlay]]/LayTable[[#This Row],[Total inns]]),"")</f>
        <v/>
      </c>
      <c r="Y2167" s="48" t="str">
        <f>IFERROR(LayTable[[#This Row],[Faktisk res]]/LayTable[[#This Row],[Total inns]],"")</f>
        <v/>
      </c>
      <c r="Z2167" s="47">
        <f>(LayTable[[#This Row],[BookieInnsats]]*LayTable[[#This Row],[BookieOdds]]-LayTable[[#This Row],[BookieInnsats]])*(1-LayTable[[#This Row],[C% Bookie]])</f>
        <v>0</v>
      </c>
      <c r="AA2167" s="43">
        <f>LayTable[[#This Row],[LayInnsats]]*(1-LayTable[[#This Row],[C% Lay]])</f>
        <v>0</v>
      </c>
      <c r="AB2167" s="43" t="str">
        <f>IFERROR(IF(LayTable[[#This Row],[Sport]]="",AB2166,LayTable[[#This Row],[Faktisk res]]+AB2166),"")</f>
        <v/>
      </c>
      <c r="AC2167" s="43">
        <f>(LayTable[[#This Row],[BackWin-Commission]]+LayTable[[#This Row],[BookieInnsats]])</f>
        <v>0</v>
      </c>
      <c r="AD2167" s="43" t="e">
        <f>(LayTable[[#This Row],[LayWin-Commission]])+LayTable[[#This Row],[LayLiability]]</f>
        <v>#VALUE!</v>
      </c>
      <c r="AE2167" s="43"/>
      <c r="AF2167" s="181"/>
    </row>
    <row r="2168" spans="1:32">
      <c r="A2168" s="84"/>
      <c r="B2168" s="39"/>
      <c r="C2168" s="40"/>
      <c r="D2168" s="73"/>
      <c r="E2168" s="40"/>
      <c r="F2168" s="73"/>
      <c r="G2168" s="101"/>
      <c r="H2168" s="38"/>
      <c r="I2168" s="42"/>
      <c r="J2168" s="42"/>
      <c r="K2168" s="43"/>
      <c r="L2168" s="43"/>
      <c r="M2168" s="44" t="str">
        <f>IF(LayTable[[#This Row],[Sport]]="","",LayTable[[#This Row],[LayInnsats]]*(LayTable[[#This Row],[LayOdds]]-1))</f>
        <v/>
      </c>
      <c r="N2168" s="45" t="str">
        <f>IF(LayTable[[#This Row],[Sport]]="","",1/((1/LayTable[[#This Row],[BookieOdds]])+(1/((1/((1+((LayTable[[#This Row],[LayOdds]]-1)*(1+LayTable[[#This Row],[C% Lay]])))-1))+1)))-1)</f>
        <v/>
      </c>
      <c r="Q2168" s="46" t="str">
        <f>IF(LayTable[[#This Row],[Sport]]="","",LayTable[[#This Row],[BookieInnsats]]+LayTable[[#This Row],[LayLiability]])</f>
        <v/>
      </c>
      <c r="R216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8" s="47" t="str">
        <f>IF(LayTable[[#This Row],[Utfall bookie]]="","",LayTable[[#This Row],[WBABack]]+LayTable[[#This Row],[WBALay]]-LayTable[[#This Row],[Total inns]])</f>
        <v/>
      </c>
      <c r="U216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8" s="48" t="str">
        <f>IFERROR(IF(LayTable[[#This Row],[Total inns]]="","",LayTable[[#This Row],[Rback]]/LayTable[[#This Row],[Total inns]]),"")</f>
        <v/>
      </c>
      <c r="X2168" s="48" t="str">
        <f>IFERROR(IF(LayTable[[#This Row],[Total inns]]="","",LayTable[[#This Row],[Rlay]]/LayTable[[#This Row],[Total inns]]),"")</f>
        <v/>
      </c>
      <c r="Y2168" s="48" t="str">
        <f>IFERROR(LayTable[[#This Row],[Faktisk res]]/LayTable[[#This Row],[Total inns]],"")</f>
        <v/>
      </c>
      <c r="Z2168" s="47">
        <f>(LayTable[[#This Row],[BookieInnsats]]*LayTable[[#This Row],[BookieOdds]]-LayTable[[#This Row],[BookieInnsats]])*(1-LayTable[[#This Row],[C% Bookie]])</f>
        <v>0</v>
      </c>
      <c r="AA2168" s="43">
        <f>LayTable[[#This Row],[LayInnsats]]*(1-LayTable[[#This Row],[C% Lay]])</f>
        <v>0</v>
      </c>
      <c r="AB2168" s="43" t="str">
        <f>IFERROR(IF(LayTable[[#This Row],[Sport]]="",AB2167,LayTable[[#This Row],[Faktisk res]]+AB2167),"")</f>
        <v/>
      </c>
      <c r="AC2168" s="43">
        <f>(LayTable[[#This Row],[BackWin-Commission]]+LayTable[[#This Row],[BookieInnsats]])</f>
        <v>0</v>
      </c>
      <c r="AD2168" s="43" t="e">
        <f>(LayTable[[#This Row],[LayWin-Commission]])+LayTable[[#This Row],[LayLiability]]</f>
        <v>#VALUE!</v>
      </c>
      <c r="AE2168" s="43"/>
      <c r="AF2168" s="181"/>
    </row>
    <row r="2169" spans="1:32">
      <c r="A2169" s="84"/>
      <c r="B2169" s="39"/>
      <c r="C2169" s="40"/>
      <c r="D2169" s="73"/>
      <c r="E2169" s="40"/>
      <c r="F2169" s="73"/>
      <c r="G2169" s="101"/>
      <c r="H2169" s="38"/>
      <c r="I2169" s="42"/>
      <c r="J2169" s="42"/>
      <c r="K2169" s="43"/>
      <c r="L2169" s="43"/>
      <c r="M2169" s="44" t="str">
        <f>IF(LayTable[[#This Row],[Sport]]="","",LayTable[[#This Row],[LayInnsats]]*(LayTable[[#This Row],[LayOdds]]-1))</f>
        <v/>
      </c>
      <c r="N2169" s="45" t="str">
        <f>IF(LayTable[[#This Row],[Sport]]="","",1/((1/LayTable[[#This Row],[BookieOdds]])+(1/((1/((1+((LayTable[[#This Row],[LayOdds]]-1)*(1+LayTable[[#This Row],[C% Lay]])))-1))+1)))-1)</f>
        <v/>
      </c>
      <c r="Q2169" s="46" t="str">
        <f>IF(LayTable[[#This Row],[Sport]]="","",LayTable[[#This Row],[BookieInnsats]]+LayTable[[#This Row],[LayLiability]])</f>
        <v/>
      </c>
      <c r="R216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6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69" s="47" t="str">
        <f>IF(LayTable[[#This Row],[Utfall bookie]]="","",LayTable[[#This Row],[WBABack]]+LayTable[[#This Row],[WBALay]]-LayTable[[#This Row],[Total inns]])</f>
        <v/>
      </c>
      <c r="U216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6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69" s="48" t="str">
        <f>IFERROR(IF(LayTable[[#This Row],[Total inns]]="","",LayTable[[#This Row],[Rback]]/LayTable[[#This Row],[Total inns]]),"")</f>
        <v/>
      </c>
      <c r="X2169" s="48" t="str">
        <f>IFERROR(IF(LayTable[[#This Row],[Total inns]]="","",LayTable[[#This Row],[Rlay]]/LayTable[[#This Row],[Total inns]]),"")</f>
        <v/>
      </c>
      <c r="Y2169" s="48" t="str">
        <f>IFERROR(LayTable[[#This Row],[Faktisk res]]/LayTable[[#This Row],[Total inns]],"")</f>
        <v/>
      </c>
      <c r="Z2169" s="47">
        <f>(LayTable[[#This Row],[BookieInnsats]]*LayTable[[#This Row],[BookieOdds]]-LayTable[[#This Row],[BookieInnsats]])*(1-LayTable[[#This Row],[C% Bookie]])</f>
        <v>0</v>
      </c>
      <c r="AA2169" s="43">
        <f>LayTable[[#This Row],[LayInnsats]]*(1-LayTable[[#This Row],[C% Lay]])</f>
        <v>0</v>
      </c>
      <c r="AB2169" s="43" t="str">
        <f>IFERROR(IF(LayTable[[#This Row],[Sport]]="",AB2168,LayTable[[#This Row],[Faktisk res]]+AB2168),"")</f>
        <v/>
      </c>
      <c r="AC2169" s="43">
        <f>(LayTable[[#This Row],[BackWin-Commission]]+LayTable[[#This Row],[BookieInnsats]])</f>
        <v>0</v>
      </c>
      <c r="AD2169" s="43" t="e">
        <f>(LayTable[[#This Row],[LayWin-Commission]])+LayTable[[#This Row],[LayLiability]]</f>
        <v>#VALUE!</v>
      </c>
      <c r="AE2169" s="43"/>
      <c r="AF2169" s="181"/>
    </row>
    <row r="2170" spans="1:32">
      <c r="A2170" s="84"/>
      <c r="B2170" s="39"/>
      <c r="C2170" s="40"/>
      <c r="D2170" s="73"/>
      <c r="E2170" s="40"/>
      <c r="F2170" s="73"/>
      <c r="G2170" s="101"/>
      <c r="H2170" s="38"/>
      <c r="I2170" s="42"/>
      <c r="J2170" s="42"/>
      <c r="K2170" s="43"/>
      <c r="L2170" s="43"/>
      <c r="M2170" s="44" t="str">
        <f>IF(LayTable[[#This Row],[Sport]]="","",LayTable[[#This Row],[LayInnsats]]*(LayTable[[#This Row],[LayOdds]]-1))</f>
        <v/>
      </c>
      <c r="N2170" s="45" t="str">
        <f>IF(LayTable[[#This Row],[Sport]]="","",1/((1/LayTable[[#This Row],[BookieOdds]])+(1/((1/((1+((LayTable[[#This Row],[LayOdds]]-1)*(1+LayTable[[#This Row],[C% Lay]])))-1))+1)))-1)</f>
        <v/>
      </c>
      <c r="Q2170" s="46" t="str">
        <f>IF(LayTable[[#This Row],[Sport]]="","",LayTable[[#This Row],[BookieInnsats]]+LayTable[[#This Row],[LayLiability]])</f>
        <v/>
      </c>
      <c r="R217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0" s="47" t="str">
        <f>IF(LayTable[[#This Row],[Utfall bookie]]="","",LayTable[[#This Row],[WBABack]]+LayTable[[#This Row],[WBALay]]-LayTable[[#This Row],[Total inns]])</f>
        <v/>
      </c>
      <c r="U217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0" s="48" t="str">
        <f>IFERROR(IF(LayTable[[#This Row],[Total inns]]="","",LayTable[[#This Row],[Rback]]/LayTable[[#This Row],[Total inns]]),"")</f>
        <v/>
      </c>
      <c r="X2170" s="48" t="str">
        <f>IFERROR(IF(LayTable[[#This Row],[Total inns]]="","",LayTable[[#This Row],[Rlay]]/LayTable[[#This Row],[Total inns]]),"")</f>
        <v/>
      </c>
      <c r="Y2170" s="48" t="str">
        <f>IFERROR(LayTable[[#This Row],[Faktisk res]]/LayTable[[#This Row],[Total inns]],"")</f>
        <v/>
      </c>
      <c r="Z2170" s="47">
        <f>(LayTable[[#This Row],[BookieInnsats]]*LayTable[[#This Row],[BookieOdds]]-LayTable[[#This Row],[BookieInnsats]])*(1-LayTable[[#This Row],[C% Bookie]])</f>
        <v>0</v>
      </c>
      <c r="AA2170" s="43">
        <f>LayTable[[#This Row],[LayInnsats]]*(1-LayTable[[#This Row],[C% Lay]])</f>
        <v>0</v>
      </c>
      <c r="AB2170" s="43" t="str">
        <f>IFERROR(IF(LayTable[[#This Row],[Sport]]="",AB2169,LayTable[[#This Row],[Faktisk res]]+AB2169),"")</f>
        <v/>
      </c>
      <c r="AC2170" s="43">
        <f>(LayTable[[#This Row],[BackWin-Commission]]+LayTable[[#This Row],[BookieInnsats]])</f>
        <v>0</v>
      </c>
      <c r="AD2170" s="43" t="e">
        <f>(LayTable[[#This Row],[LayWin-Commission]])+LayTable[[#This Row],[LayLiability]]</f>
        <v>#VALUE!</v>
      </c>
      <c r="AE2170" s="43"/>
      <c r="AF2170" s="181"/>
    </row>
    <row r="2171" spans="1:32">
      <c r="A2171" s="84"/>
      <c r="B2171" s="39"/>
      <c r="C2171" s="40"/>
      <c r="D2171" s="73"/>
      <c r="E2171" s="40"/>
      <c r="F2171" s="73"/>
      <c r="G2171" s="101"/>
      <c r="H2171" s="38"/>
      <c r="I2171" s="42"/>
      <c r="J2171" s="42"/>
      <c r="K2171" s="43"/>
      <c r="L2171" s="43"/>
      <c r="M2171" s="44" t="str">
        <f>IF(LayTable[[#This Row],[Sport]]="","",LayTable[[#This Row],[LayInnsats]]*(LayTable[[#This Row],[LayOdds]]-1))</f>
        <v/>
      </c>
      <c r="N2171" s="45" t="str">
        <f>IF(LayTable[[#This Row],[Sport]]="","",1/((1/LayTable[[#This Row],[BookieOdds]])+(1/((1/((1+((LayTable[[#This Row],[LayOdds]]-1)*(1+LayTable[[#This Row],[C% Lay]])))-1))+1)))-1)</f>
        <v/>
      </c>
      <c r="Q2171" s="46" t="str">
        <f>IF(LayTable[[#This Row],[Sport]]="","",LayTable[[#This Row],[BookieInnsats]]+LayTable[[#This Row],[LayLiability]])</f>
        <v/>
      </c>
      <c r="R217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1" s="47" t="str">
        <f>IF(LayTable[[#This Row],[Utfall bookie]]="","",LayTable[[#This Row],[WBABack]]+LayTable[[#This Row],[WBALay]]-LayTable[[#This Row],[Total inns]])</f>
        <v/>
      </c>
      <c r="U217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1" s="48" t="str">
        <f>IFERROR(IF(LayTable[[#This Row],[Total inns]]="","",LayTable[[#This Row],[Rback]]/LayTable[[#This Row],[Total inns]]),"")</f>
        <v/>
      </c>
      <c r="X2171" s="48" t="str">
        <f>IFERROR(IF(LayTable[[#This Row],[Total inns]]="","",LayTable[[#This Row],[Rlay]]/LayTable[[#This Row],[Total inns]]),"")</f>
        <v/>
      </c>
      <c r="Y2171" s="48" t="str">
        <f>IFERROR(LayTable[[#This Row],[Faktisk res]]/LayTable[[#This Row],[Total inns]],"")</f>
        <v/>
      </c>
      <c r="Z2171" s="47">
        <f>(LayTable[[#This Row],[BookieInnsats]]*LayTable[[#This Row],[BookieOdds]]-LayTable[[#This Row],[BookieInnsats]])*(1-LayTable[[#This Row],[C% Bookie]])</f>
        <v>0</v>
      </c>
      <c r="AA2171" s="43">
        <f>LayTable[[#This Row],[LayInnsats]]*(1-LayTable[[#This Row],[C% Lay]])</f>
        <v>0</v>
      </c>
      <c r="AB2171" s="43" t="str">
        <f>IFERROR(IF(LayTable[[#This Row],[Sport]]="",AB2170,LayTable[[#This Row],[Faktisk res]]+AB2170),"")</f>
        <v/>
      </c>
      <c r="AC2171" s="43">
        <f>(LayTable[[#This Row],[BackWin-Commission]]+LayTable[[#This Row],[BookieInnsats]])</f>
        <v>0</v>
      </c>
      <c r="AD2171" s="43" t="e">
        <f>(LayTable[[#This Row],[LayWin-Commission]])+LayTable[[#This Row],[LayLiability]]</f>
        <v>#VALUE!</v>
      </c>
      <c r="AE2171" s="43"/>
      <c r="AF2171" s="181"/>
    </row>
    <row r="2172" spans="1:32">
      <c r="A2172" s="84"/>
      <c r="B2172" s="39"/>
      <c r="C2172" s="40"/>
      <c r="D2172" s="73"/>
      <c r="E2172" s="40"/>
      <c r="F2172" s="73"/>
      <c r="G2172" s="101"/>
      <c r="H2172" s="38"/>
      <c r="I2172" s="42"/>
      <c r="J2172" s="42"/>
      <c r="K2172" s="43"/>
      <c r="L2172" s="43"/>
      <c r="M2172" s="44" t="str">
        <f>IF(LayTable[[#This Row],[Sport]]="","",LayTable[[#This Row],[LayInnsats]]*(LayTable[[#This Row],[LayOdds]]-1))</f>
        <v/>
      </c>
      <c r="N2172" s="45" t="str">
        <f>IF(LayTable[[#This Row],[Sport]]="","",1/((1/LayTable[[#This Row],[BookieOdds]])+(1/((1/((1+((LayTable[[#This Row],[LayOdds]]-1)*(1+LayTable[[#This Row],[C% Lay]])))-1))+1)))-1)</f>
        <v/>
      </c>
      <c r="Q2172" s="46" t="str">
        <f>IF(LayTable[[#This Row],[Sport]]="","",LayTable[[#This Row],[BookieInnsats]]+LayTable[[#This Row],[LayLiability]])</f>
        <v/>
      </c>
      <c r="R217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2" s="47" t="str">
        <f>IF(LayTable[[#This Row],[Utfall bookie]]="","",LayTable[[#This Row],[WBABack]]+LayTable[[#This Row],[WBALay]]-LayTable[[#This Row],[Total inns]])</f>
        <v/>
      </c>
      <c r="U217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2" s="48" t="str">
        <f>IFERROR(IF(LayTable[[#This Row],[Total inns]]="","",LayTable[[#This Row],[Rback]]/LayTable[[#This Row],[Total inns]]),"")</f>
        <v/>
      </c>
      <c r="X2172" s="48" t="str">
        <f>IFERROR(IF(LayTable[[#This Row],[Total inns]]="","",LayTable[[#This Row],[Rlay]]/LayTable[[#This Row],[Total inns]]),"")</f>
        <v/>
      </c>
      <c r="Y2172" s="48" t="str">
        <f>IFERROR(LayTable[[#This Row],[Faktisk res]]/LayTable[[#This Row],[Total inns]],"")</f>
        <v/>
      </c>
      <c r="Z2172" s="47">
        <f>(LayTable[[#This Row],[BookieInnsats]]*LayTable[[#This Row],[BookieOdds]]-LayTable[[#This Row],[BookieInnsats]])*(1-LayTable[[#This Row],[C% Bookie]])</f>
        <v>0</v>
      </c>
      <c r="AA2172" s="43">
        <f>LayTable[[#This Row],[LayInnsats]]*(1-LayTable[[#This Row],[C% Lay]])</f>
        <v>0</v>
      </c>
      <c r="AB2172" s="43" t="str">
        <f>IFERROR(IF(LayTable[[#This Row],[Sport]]="",AB2171,LayTable[[#This Row],[Faktisk res]]+AB2171),"")</f>
        <v/>
      </c>
      <c r="AC2172" s="43">
        <f>(LayTable[[#This Row],[BackWin-Commission]]+LayTable[[#This Row],[BookieInnsats]])</f>
        <v>0</v>
      </c>
      <c r="AD2172" s="43" t="e">
        <f>(LayTable[[#This Row],[LayWin-Commission]])+LayTable[[#This Row],[LayLiability]]</f>
        <v>#VALUE!</v>
      </c>
      <c r="AE2172" s="43"/>
      <c r="AF2172" s="181"/>
    </row>
    <row r="2173" spans="1:32">
      <c r="A2173" s="84"/>
      <c r="B2173" s="39"/>
      <c r="C2173" s="40"/>
      <c r="D2173" s="73"/>
      <c r="E2173" s="40"/>
      <c r="F2173" s="73"/>
      <c r="G2173" s="101"/>
      <c r="H2173" s="38"/>
      <c r="I2173" s="42"/>
      <c r="J2173" s="42"/>
      <c r="K2173" s="43"/>
      <c r="L2173" s="43"/>
      <c r="M2173" s="44" t="str">
        <f>IF(LayTable[[#This Row],[Sport]]="","",LayTable[[#This Row],[LayInnsats]]*(LayTable[[#This Row],[LayOdds]]-1))</f>
        <v/>
      </c>
      <c r="N2173" s="45" t="str">
        <f>IF(LayTable[[#This Row],[Sport]]="","",1/((1/LayTable[[#This Row],[BookieOdds]])+(1/((1/((1+((LayTable[[#This Row],[LayOdds]]-1)*(1+LayTable[[#This Row],[C% Lay]])))-1))+1)))-1)</f>
        <v/>
      </c>
      <c r="Q2173" s="46" t="str">
        <f>IF(LayTable[[#This Row],[Sport]]="","",LayTable[[#This Row],[BookieInnsats]]+LayTable[[#This Row],[LayLiability]])</f>
        <v/>
      </c>
      <c r="R217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3" s="47" t="str">
        <f>IF(LayTable[[#This Row],[Utfall bookie]]="","",LayTable[[#This Row],[WBABack]]+LayTable[[#This Row],[WBALay]]-LayTable[[#This Row],[Total inns]])</f>
        <v/>
      </c>
      <c r="U217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3" s="48" t="str">
        <f>IFERROR(IF(LayTable[[#This Row],[Total inns]]="","",LayTable[[#This Row],[Rback]]/LayTable[[#This Row],[Total inns]]),"")</f>
        <v/>
      </c>
      <c r="X2173" s="48" t="str">
        <f>IFERROR(IF(LayTable[[#This Row],[Total inns]]="","",LayTable[[#This Row],[Rlay]]/LayTable[[#This Row],[Total inns]]),"")</f>
        <v/>
      </c>
      <c r="Y2173" s="48" t="str">
        <f>IFERROR(LayTable[[#This Row],[Faktisk res]]/LayTable[[#This Row],[Total inns]],"")</f>
        <v/>
      </c>
      <c r="Z2173" s="47">
        <f>(LayTable[[#This Row],[BookieInnsats]]*LayTable[[#This Row],[BookieOdds]]-LayTable[[#This Row],[BookieInnsats]])*(1-LayTable[[#This Row],[C% Bookie]])</f>
        <v>0</v>
      </c>
      <c r="AA2173" s="43">
        <f>LayTable[[#This Row],[LayInnsats]]*(1-LayTable[[#This Row],[C% Lay]])</f>
        <v>0</v>
      </c>
      <c r="AB2173" s="43" t="str">
        <f>IFERROR(IF(LayTable[[#This Row],[Sport]]="",AB2172,LayTable[[#This Row],[Faktisk res]]+AB2172),"")</f>
        <v/>
      </c>
      <c r="AC2173" s="43">
        <f>(LayTable[[#This Row],[BackWin-Commission]]+LayTable[[#This Row],[BookieInnsats]])</f>
        <v>0</v>
      </c>
      <c r="AD2173" s="43" t="e">
        <f>(LayTable[[#This Row],[LayWin-Commission]])+LayTable[[#This Row],[LayLiability]]</f>
        <v>#VALUE!</v>
      </c>
      <c r="AE2173" s="43"/>
      <c r="AF2173" s="181"/>
    </row>
    <row r="2174" spans="1:32">
      <c r="A2174" s="84"/>
      <c r="B2174" s="39"/>
      <c r="C2174" s="40"/>
      <c r="D2174" s="41"/>
      <c r="E2174" s="40"/>
      <c r="F2174" s="41"/>
      <c r="G2174" s="101"/>
      <c r="H2174" s="38"/>
      <c r="I2174" s="42"/>
      <c r="J2174" s="42"/>
      <c r="K2174" s="43"/>
      <c r="L2174" s="43"/>
      <c r="M2174" s="44" t="str">
        <f>IF(LayTable[[#This Row],[Sport]]="","",LayTable[[#This Row],[LayInnsats]]*(LayTable[[#This Row],[LayOdds]]-1))</f>
        <v/>
      </c>
      <c r="N2174" s="45" t="str">
        <f>IF(LayTable[[#This Row],[Sport]]="","",1/((1/LayTable[[#This Row],[BookieOdds]])+(1/((1/((1+((LayTable[[#This Row],[LayOdds]]-1)*(1+LayTable[[#This Row],[C% Lay]])))-1))+1)))-1)</f>
        <v/>
      </c>
      <c r="Q2174" s="46" t="str">
        <f>IF(LayTable[[#This Row],[Sport]]="","",LayTable[[#This Row],[BookieInnsats]]+LayTable[[#This Row],[LayLiability]])</f>
        <v/>
      </c>
      <c r="R217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4" s="47" t="str">
        <f>IF(LayTable[[#This Row],[Utfall bookie]]="","",LayTable[[#This Row],[WBABack]]+LayTable[[#This Row],[WBALay]]-LayTable[[#This Row],[Total inns]])</f>
        <v/>
      </c>
      <c r="U217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4" s="48" t="str">
        <f>IFERROR(IF(LayTable[[#This Row],[Total inns]]="","",LayTable[[#This Row],[Rback]]/LayTable[[#This Row],[Total inns]]),"")</f>
        <v/>
      </c>
      <c r="X2174" s="48" t="str">
        <f>IFERROR(IF(LayTable[[#This Row],[Total inns]]="","",LayTable[[#This Row],[Rlay]]/LayTable[[#This Row],[Total inns]]),"")</f>
        <v/>
      </c>
      <c r="Y2174" s="48" t="str">
        <f>IFERROR(LayTable[[#This Row],[Faktisk res]]/LayTable[[#This Row],[Total inns]],"")</f>
        <v/>
      </c>
      <c r="Z2174" s="47">
        <f>(LayTable[[#This Row],[BookieInnsats]]*LayTable[[#This Row],[BookieOdds]]-LayTable[[#This Row],[BookieInnsats]])*(1-LayTable[[#This Row],[C% Bookie]])</f>
        <v>0</v>
      </c>
      <c r="AA2174" s="43">
        <f>LayTable[[#This Row],[LayInnsats]]*(1-LayTable[[#This Row],[C% Lay]])</f>
        <v>0</v>
      </c>
      <c r="AB2174" s="43" t="str">
        <f>IFERROR(IF(LayTable[[#This Row],[Sport]]="",AB2173,LayTable[[#This Row],[Faktisk res]]+AB2173),"")</f>
        <v/>
      </c>
      <c r="AC2174" s="43">
        <f>(LayTable[[#This Row],[BackWin-Commission]]+LayTable[[#This Row],[BookieInnsats]])</f>
        <v>0</v>
      </c>
      <c r="AD2174" s="43" t="e">
        <f>(LayTable[[#This Row],[LayWin-Commission]])+LayTable[[#This Row],[LayLiability]]</f>
        <v>#VALUE!</v>
      </c>
      <c r="AE2174" s="43"/>
      <c r="AF2174" s="181"/>
    </row>
    <row r="2175" spans="1:32">
      <c r="A2175" s="84"/>
      <c r="B2175" s="39"/>
      <c r="C2175" s="40"/>
      <c r="D2175" s="41"/>
      <c r="E2175" s="40"/>
      <c r="F2175" s="41"/>
      <c r="G2175" s="101"/>
      <c r="H2175" s="38"/>
      <c r="I2175" s="42"/>
      <c r="J2175" s="42"/>
      <c r="K2175" s="43"/>
      <c r="L2175" s="43"/>
      <c r="M2175" s="44" t="str">
        <f>IF(LayTable[[#This Row],[Sport]]="","",LayTable[[#This Row],[LayInnsats]]*(LayTable[[#This Row],[LayOdds]]-1))</f>
        <v/>
      </c>
      <c r="N2175" s="45" t="str">
        <f>IF(LayTable[[#This Row],[Sport]]="","",1/((1/LayTable[[#This Row],[BookieOdds]])+(1/((1/((1+((LayTable[[#This Row],[LayOdds]]-1)*(1+LayTable[[#This Row],[C% Lay]])))-1))+1)))-1)</f>
        <v/>
      </c>
      <c r="Q2175" s="46" t="str">
        <f>IF(LayTable[[#This Row],[Sport]]="","",LayTable[[#This Row],[BookieInnsats]]+LayTable[[#This Row],[LayLiability]])</f>
        <v/>
      </c>
      <c r="R217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5" s="47" t="str">
        <f>IF(LayTable[[#This Row],[Utfall bookie]]="","",LayTable[[#This Row],[WBABack]]+LayTable[[#This Row],[WBALay]]-LayTable[[#This Row],[Total inns]])</f>
        <v/>
      </c>
      <c r="U217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5" s="48" t="str">
        <f>IFERROR(IF(LayTable[[#This Row],[Total inns]]="","",LayTable[[#This Row],[Rback]]/LayTable[[#This Row],[Total inns]]),"")</f>
        <v/>
      </c>
      <c r="X2175" s="48" t="str">
        <f>IFERROR(IF(LayTable[[#This Row],[Total inns]]="","",LayTable[[#This Row],[Rlay]]/LayTable[[#This Row],[Total inns]]),"")</f>
        <v/>
      </c>
      <c r="Y2175" s="48" t="str">
        <f>IFERROR(LayTable[[#This Row],[Faktisk res]]/LayTable[[#This Row],[Total inns]],"")</f>
        <v/>
      </c>
      <c r="Z2175" s="47">
        <f>(LayTable[[#This Row],[BookieInnsats]]*LayTable[[#This Row],[BookieOdds]]-LayTable[[#This Row],[BookieInnsats]])*(1-LayTable[[#This Row],[C% Bookie]])</f>
        <v>0</v>
      </c>
      <c r="AA2175" s="43">
        <f>LayTable[[#This Row],[LayInnsats]]*(1-LayTable[[#This Row],[C% Lay]])</f>
        <v>0</v>
      </c>
      <c r="AB2175" s="43" t="str">
        <f>IFERROR(IF(LayTable[[#This Row],[Sport]]="",AB2174,LayTable[[#This Row],[Faktisk res]]+AB2174),"")</f>
        <v/>
      </c>
      <c r="AC2175" s="43">
        <f>(LayTable[[#This Row],[BackWin-Commission]]+LayTable[[#This Row],[BookieInnsats]])</f>
        <v>0</v>
      </c>
      <c r="AD2175" s="43" t="e">
        <f>(LayTable[[#This Row],[LayWin-Commission]])+LayTable[[#This Row],[LayLiability]]</f>
        <v>#VALUE!</v>
      </c>
      <c r="AE2175" s="43"/>
      <c r="AF2175" s="181"/>
    </row>
    <row r="2176" spans="1:32">
      <c r="A2176" s="84"/>
      <c r="B2176" s="39"/>
      <c r="C2176" s="40"/>
      <c r="D2176" s="41"/>
      <c r="E2176" s="40"/>
      <c r="F2176" s="41"/>
      <c r="G2176" s="101"/>
      <c r="H2176" s="38"/>
      <c r="I2176" s="42"/>
      <c r="J2176" s="42"/>
      <c r="K2176" s="43"/>
      <c r="L2176" s="43"/>
      <c r="M2176" s="44" t="str">
        <f>IF(LayTable[[#This Row],[Sport]]="","",LayTable[[#This Row],[LayInnsats]]*(LayTable[[#This Row],[LayOdds]]-1))</f>
        <v/>
      </c>
      <c r="N2176" s="45" t="str">
        <f>IF(LayTable[[#This Row],[Sport]]="","",1/((1/LayTable[[#This Row],[BookieOdds]])+(1/((1/((1+((LayTable[[#This Row],[LayOdds]]-1)*(1+LayTable[[#This Row],[C% Lay]])))-1))+1)))-1)</f>
        <v/>
      </c>
      <c r="Q2176" s="46" t="str">
        <f>IF(LayTable[[#This Row],[Sport]]="","",LayTable[[#This Row],[BookieInnsats]]+LayTable[[#This Row],[LayLiability]])</f>
        <v/>
      </c>
      <c r="R217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6" s="47" t="str">
        <f>IF(LayTable[[#This Row],[Utfall bookie]]="","",LayTable[[#This Row],[WBABack]]+LayTable[[#This Row],[WBALay]]-LayTable[[#This Row],[Total inns]])</f>
        <v/>
      </c>
      <c r="U217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6" s="48" t="str">
        <f>IFERROR(IF(LayTable[[#This Row],[Total inns]]="","",LayTable[[#This Row],[Rback]]/LayTable[[#This Row],[Total inns]]),"")</f>
        <v/>
      </c>
      <c r="X2176" s="48" t="str">
        <f>IFERROR(IF(LayTable[[#This Row],[Total inns]]="","",LayTable[[#This Row],[Rlay]]/LayTable[[#This Row],[Total inns]]),"")</f>
        <v/>
      </c>
      <c r="Y2176" s="48" t="str">
        <f>IFERROR(LayTable[[#This Row],[Faktisk res]]/LayTable[[#This Row],[Total inns]],"")</f>
        <v/>
      </c>
      <c r="Z2176" s="47">
        <f>(LayTable[[#This Row],[BookieInnsats]]*LayTable[[#This Row],[BookieOdds]]-LayTable[[#This Row],[BookieInnsats]])*(1-LayTable[[#This Row],[C% Bookie]])</f>
        <v>0</v>
      </c>
      <c r="AA2176" s="43">
        <f>LayTable[[#This Row],[LayInnsats]]*(1-LayTable[[#This Row],[C% Lay]])</f>
        <v>0</v>
      </c>
      <c r="AB2176" s="43" t="str">
        <f>IFERROR(IF(LayTable[[#This Row],[Sport]]="",AB2175,LayTable[[#This Row],[Faktisk res]]+AB2175),"")</f>
        <v/>
      </c>
      <c r="AC2176" s="43">
        <f>(LayTable[[#This Row],[BackWin-Commission]]+LayTable[[#This Row],[BookieInnsats]])</f>
        <v>0</v>
      </c>
      <c r="AD2176" s="43" t="e">
        <f>(LayTable[[#This Row],[LayWin-Commission]])+LayTable[[#This Row],[LayLiability]]</f>
        <v>#VALUE!</v>
      </c>
      <c r="AE2176" s="43"/>
      <c r="AF2176" s="181"/>
    </row>
    <row r="2177" spans="1:32">
      <c r="A2177" s="84"/>
      <c r="B2177" s="39"/>
      <c r="C2177" s="40"/>
      <c r="D2177" s="41"/>
      <c r="E2177" s="40"/>
      <c r="F2177" s="41"/>
      <c r="G2177" s="101"/>
      <c r="H2177" s="38"/>
      <c r="I2177" s="42"/>
      <c r="J2177" s="42"/>
      <c r="K2177" s="43"/>
      <c r="L2177" s="43"/>
      <c r="M2177" s="44" t="str">
        <f>IF(LayTable[[#This Row],[Sport]]="","",LayTable[[#This Row],[LayInnsats]]*(LayTable[[#This Row],[LayOdds]]-1))</f>
        <v/>
      </c>
      <c r="N2177" s="45" t="str">
        <f>IF(LayTable[[#This Row],[Sport]]="","",1/((1/LayTable[[#This Row],[BookieOdds]])+(1/((1/((1+((LayTable[[#This Row],[LayOdds]]-1)*(1+LayTable[[#This Row],[C% Lay]])))-1))+1)))-1)</f>
        <v/>
      </c>
      <c r="Q2177" s="46" t="str">
        <f>IF(LayTable[[#This Row],[Sport]]="","",LayTable[[#This Row],[BookieInnsats]]+LayTable[[#This Row],[LayLiability]])</f>
        <v/>
      </c>
      <c r="R217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7" s="47" t="str">
        <f>IF(LayTable[[#This Row],[Utfall bookie]]="","",LayTable[[#This Row],[WBABack]]+LayTable[[#This Row],[WBALay]]-LayTable[[#This Row],[Total inns]])</f>
        <v/>
      </c>
      <c r="U217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7" s="48" t="str">
        <f>IFERROR(IF(LayTable[[#This Row],[Total inns]]="","",LayTable[[#This Row],[Rback]]/LayTable[[#This Row],[Total inns]]),"")</f>
        <v/>
      </c>
      <c r="X2177" s="48" t="str">
        <f>IFERROR(IF(LayTable[[#This Row],[Total inns]]="","",LayTable[[#This Row],[Rlay]]/LayTable[[#This Row],[Total inns]]),"")</f>
        <v/>
      </c>
      <c r="Y2177" s="48" t="str">
        <f>IFERROR(LayTable[[#This Row],[Faktisk res]]/LayTable[[#This Row],[Total inns]],"")</f>
        <v/>
      </c>
      <c r="Z2177" s="47">
        <f>(LayTable[[#This Row],[BookieInnsats]]*LayTable[[#This Row],[BookieOdds]]-LayTable[[#This Row],[BookieInnsats]])*(1-LayTable[[#This Row],[C% Bookie]])</f>
        <v>0</v>
      </c>
      <c r="AA2177" s="43">
        <f>LayTable[[#This Row],[LayInnsats]]*(1-LayTable[[#This Row],[C% Lay]])</f>
        <v>0</v>
      </c>
      <c r="AB2177" s="43" t="str">
        <f>IFERROR(IF(LayTable[[#This Row],[Sport]]="",AB2176,LayTable[[#This Row],[Faktisk res]]+AB2176),"")</f>
        <v/>
      </c>
      <c r="AC2177" s="43">
        <f>(LayTable[[#This Row],[BackWin-Commission]]+LayTable[[#This Row],[BookieInnsats]])</f>
        <v>0</v>
      </c>
      <c r="AD2177" s="43" t="e">
        <f>(LayTable[[#This Row],[LayWin-Commission]])+LayTable[[#This Row],[LayLiability]]</f>
        <v>#VALUE!</v>
      </c>
      <c r="AE2177" s="43"/>
      <c r="AF2177" s="181"/>
    </row>
    <row r="2178" spans="1:32">
      <c r="A2178" s="84"/>
      <c r="B2178" s="39"/>
      <c r="C2178" s="40"/>
      <c r="D2178" s="41"/>
      <c r="E2178" s="40"/>
      <c r="F2178" s="41"/>
      <c r="G2178" s="101"/>
      <c r="H2178" s="38"/>
      <c r="I2178" s="42"/>
      <c r="J2178" s="42"/>
      <c r="K2178" s="43"/>
      <c r="L2178" s="43"/>
      <c r="M2178" s="44" t="str">
        <f>IF(LayTable[[#This Row],[Sport]]="","",LayTable[[#This Row],[LayInnsats]]*(LayTable[[#This Row],[LayOdds]]-1))</f>
        <v/>
      </c>
      <c r="N2178" s="45" t="str">
        <f>IF(LayTable[[#This Row],[Sport]]="","",1/((1/LayTable[[#This Row],[BookieOdds]])+(1/((1/((1+((LayTable[[#This Row],[LayOdds]]-1)*(1+LayTable[[#This Row],[C% Lay]])))-1))+1)))-1)</f>
        <v/>
      </c>
      <c r="Q2178" s="46" t="str">
        <f>IF(LayTable[[#This Row],[Sport]]="","",LayTable[[#This Row],[BookieInnsats]]+LayTable[[#This Row],[LayLiability]])</f>
        <v/>
      </c>
      <c r="R217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8" s="47" t="str">
        <f>IF(LayTable[[#This Row],[Utfall bookie]]="","",LayTable[[#This Row],[WBABack]]+LayTable[[#This Row],[WBALay]]-LayTable[[#This Row],[Total inns]])</f>
        <v/>
      </c>
      <c r="U217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8" s="48" t="str">
        <f>IFERROR(IF(LayTable[[#This Row],[Total inns]]="","",LayTable[[#This Row],[Rback]]/LayTable[[#This Row],[Total inns]]),"")</f>
        <v/>
      </c>
      <c r="X2178" s="48" t="str">
        <f>IFERROR(IF(LayTable[[#This Row],[Total inns]]="","",LayTable[[#This Row],[Rlay]]/LayTable[[#This Row],[Total inns]]),"")</f>
        <v/>
      </c>
      <c r="Y2178" s="48" t="str">
        <f>IFERROR(LayTable[[#This Row],[Faktisk res]]/LayTable[[#This Row],[Total inns]],"")</f>
        <v/>
      </c>
      <c r="Z2178" s="47">
        <f>(LayTable[[#This Row],[BookieInnsats]]*LayTable[[#This Row],[BookieOdds]]-LayTable[[#This Row],[BookieInnsats]])*(1-LayTable[[#This Row],[C% Bookie]])</f>
        <v>0</v>
      </c>
      <c r="AA2178" s="43">
        <f>LayTable[[#This Row],[LayInnsats]]*(1-LayTable[[#This Row],[C% Lay]])</f>
        <v>0</v>
      </c>
      <c r="AB2178" s="43" t="str">
        <f>IFERROR(IF(LayTable[[#This Row],[Sport]]="",AB2177,LayTable[[#This Row],[Faktisk res]]+AB2177),"")</f>
        <v/>
      </c>
      <c r="AC2178" s="43">
        <f>(LayTable[[#This Row],[BackWin-Commission]]+LayTable[[#This Row],[BookieInnsats]])</f>
        <v>0</v>
      </c>
      <c r="AD2178" s="43" t="e">
        <f>(LayTable[[#This Row],[LayWin-Commission]])+LayTable[[#This Row],[LayLiability]]</f>
        <v>#VALUE!</v>
      </c>
      <c r="AE2178" s="43"/>
      <c r="AF2178" s="181"/>
    </row>
    <row r="2179" spans="1:32">
      <c r="A2179" s="84"/>
      <c r="B2179" s="39"/>
      <c r="C2179" s="40"/>
      <c r="D2179" s="41"/>
      <c r="E2179" s="40"/>
      <c r="F2179" s="41"/>
      <c r="G2179" s="101"/>
      <c r="H2179" s="38"/>
      <c r="I2179" s="42"/>
      <c r="J2179" s="42"/>
      <c r="K2179" s="43"/>
      <c r="L2179" s="43"/>
      <c r="M2179" s="44" t="str">
        <f>IF(LayTable[[#This Row],[Sport]]="","",LayTable[[#This Row],[LayInnsats]]*(LayTable[[#This Row],[LayOdds]]-1))</f>
        <v/>
      </c>
      <c r="N2179" s="45" t="str">
        <f>IF(LayTable[[#This Row],[Sport]]="","",1/((1/LayTable[[#This Row],[BookieOdds]])+(1/((1/((1+((LayTable[[#This Row],[LayOdds]]-1)*(1+LayTable[[#This Row],[C% Lay]])))-1))+1)))-1)</f>
        <v/>
      </c>
      <c r="Q2179" s="46" t="str">
        <f>IF(LayTable[[#This Row],[Sport]]="","",LayTable[[#This Row],[BookieInnsats]]+LayTable[[#This Row],[LayLiability]])</f>
        <v/>
      </c>
      <c r="R217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7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79" s="47" t="str">
        <f>IF(LayTable[[#This Row],[Utfall bookie]]="","",LayTable[[#This Row],[WBABack]]+LayTable[[#This Row],[WBALay]]-LayTable[[#This Row],[Total inns]])</f>
        <v/>
      </c>
      <c r="U217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7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79" s="48" t="str">
        <f>IFERROR(IF(LayTable[[#This Row],[Total inns]]="","",LayTable[[#This Row],[Rback]]/LayTable[[#This Row],[Total inns]]),"")</f>
        <v/>
      </c>
      <c r="X2179" s="48" t="str">
        <f>IFERROR(IF(LayTable[[#This Row],[Total inns]]="","",LayTable[[#This Row],[Rlay]]/LayTable[[#This Row],[Total inns]]),"")</f>
        <v/>
      </c>
      <c r="Y2179" s="48" t="str">
        <f>IFERROR(LayTable[[#This Row],[Faktisk res]]/LayTable[[#This Row],[Total inns]],"")</f>
        <v/>
      </c>
      <c r="Z2179" s="47">
        <f>(LayTable[[#This Row],[BookieInnsats]]*LayTable[[#This Row],[BookieOdds]]-LayTable[[#This Row],[BookieInnsats]])*(1-LayTable[[#This Row],[C% Bookie]])</f>
        <v>0</v>
      </c>
      <c r="AA2179" s="43">
        <f>LayTable[[#This Row],[LayInnsats]]*(1-LayTable[[#This Row],[C% Lay]])</f>
        <v>0</v>
      </c>
      <c r="AB2179" s="43" t="str">
        <f>IFERROR(IF(LayTable[[#This Row],[Sport]]="",AB2178,LayTable[[#This Row],[Faktisk res]]+AB2178),"")</f>
        <v/>
      </c>
      <c r="AC2179" s="43">
        <f>(LayTable[[#This Row],[BackWin-Commission]]+LayTable[[#This Row],[BookieInnsats]])</f>
        <v>0</v>
      </c>
      <c r="AD2179" s="43" t="e">
        <f>(LayTable[[#This Row],[LayWin-Commission]])+LayTable[[#This Row],[LayLiability]]</f>
        <v>#VALUE!</v>
      </c>
      <c r="AE2179" s="43"/>
      <c r="AF2179" s="181"/>
    </row>
    <row r="2180" spans="1:32">
      <c r="A2180" s="84"/>
      <c r="B2180" s="39"/>
      <c r="C2180" s="40"/>
      <c r="D2180" s="73"/>
      <c r="E2180" s="40"/>
      <c r="F2180" s="73"/>
      <c r="G2180" s="101"/>
      <c r="H2180" s="38"/>
      <c r="I2180" s="42"/>
      <c r="J2180" s="42"/>
      <c r="K2180" s="43"/>
      <c r="L2180" s="43"/>
      <c r="M2180" s="44" t="str">
        <f>IF(LayTable[[#This Row],[Sport]]="","",LayTable[[#This Row],[LayInnsats]]*(LayTable[[#This Row],[LayOdds]]-1))</f>
        <v/>
      </c>
      <c r="N2180" s="45" t="str">
        <f>IF(LayTable[[#This Row],[Sport]]="","",1/((1/LayTable[[#This Row],[BookieOdds]])+(1/((1/((1+((LayTable[[#This Row],[LayOdds]]-1)*(1+LayTable[[#This Row],[C% Lay]])))-1))+1)))-1)</f>
        <v/>
      </c>
      <c r="Q2180" s="46" t="str">
        <f>IF(LayTable[[#This Row],[Sport]]="","",LayTable[[#This Row],[BookieInnsats]]+LayTable[[#This Row],[LayLiability]])</f>
        <v/>
      </c>
      <c r="R218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0" s="47" t="str">
        <f>IF(LayTable[[#This Row],[Utfall bookie]]="","",LayTable[[#This Row],[WBABack]]+LayTable[[#This Row],[WBALay]]-LayTable[[#This Row],[Total inns]])</f>
        <v/>
      </c>
      <c r="U218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0" s="48" t="str">
        <f>IFERROR(IF(LayTable[[#This Row],[Total inns]]="","",LayTable[[#This Row],[Rback]]/LayTable[[#This Row],[Total inns]]),"")</f>
        <v/>
      </c>
      <c r="X2180" s="48" t="str">
        <f>IFERROR(IF(LayTable[[#This Row],[Total inns]]="","",LayTable[[#This Row],[Rlay]]/LayTable[[#This Row],[Total inns]]),"")</f>
        <v/>
      </c>
      <c r="Y2180" s="48" t="str">
        <f>IFERROR(LayTable[[#This Row],[Faktisk res]]/LayTable[[#This Row],[Total inns]],"")</f>
        <v/>
      </c>
      <c r="Z2180" s="47">
        <f>(LayTable[[#This Row],[BookieInnsats]]*LayTable[[#This Row],[BookieOdds]]-LayTable[[#This Row],[BookieInnsats]])*(1-LayTable[[#This Row],[C% Bookie]])</f>
        <v>0</v>
      </c>
      <c r="AA2180" s="43">
        <f>LayTable[[#This Row],[LayInnsats]]*(1-LayTable[[#This Row],[C% Lay]])</f>
        <v>0</v>
      </c>
      <c r="AB2180" s="43" t="str">
        <f>IFERROR(IF(LayTable[[#This Row],[Sport]]="",AB2179,LayTable[[#This Row],[Faktisk res]]+AB2179),"")</f>
        <v/>
      </c>
      <c r="AC2180" s="43">
        <f>(LayTable[[#This Row],[BackWin-Commission]]+LayTable[[#This Row],[BookieInnsats]])</f>
        <v>0</v>
      </c>
      <c r="AD2180" s="43" t="e">
        <f>(LayTable[[#This Row],[LayWin-Commission]])+LayTable[[#This Row],[LayLiability]]</f>
        <v>#VALUE!</v>
      </c>
      <c r="AE2180" s="43"/>
      <c r="AF2180" s="181"/>
    </row>
    <row r="2181" spans="1:32">
      <c r="A2181" s="84"/>
      <c r="B2181" s="39"/>
      <c r="C2181" s="40"/>
      <c r="D2181" s="41"/>
      <c r="E2181" s="40"/>
      <c r="F2181" s="41"/>
      <c r="G2181" s="101"/>
      <c r="H2181" s="38"/>
      <c r="I2181" s="42"/>
      <c r="J2181" s="42"/>
      <c r="K2181" s="43"/>
      <c r="L2181" s="43"/>
      <c r="M2181" s="44" t="str">
        <f>IF(LayTable[[#This Row],[Sport]]="","",LayTable[[#This Row],[LayInnsats]]*(LayTable[[#This Row],[LayOdds]]-1))</f>
        <v/>
      </c>
      <c r="N2181" s="45" t="str">
        <f>IF(LayTable[[#This Row],[Sport]]="","",1/((1/LayTable[[#This Row],[BookieOdds]])+(1/((1/((1+((LayTable[[#This Row],[LayOdds]]-1)*(1+LayTable[[#This Row],[C% Lay]])))-1))+1)))-1)</f>
        <v/>
      </c>
      <c r="Q2181" s="46" t="str">
        <f>IF(LayTable[[#This Row],[Sport]]="","",LayTable[[#This Row],[BookieInnsats]]+LayTable[[#This Row],[LayLiability]])</f>
        <v/>
      </c>
      <c r="R218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1" s="47" t="str">
        <f>IF(LayTable[[#This Row],[Utfall bookie]]="","",LayTable[[#This Row],[WBABack]]+LayTable[[#This Row],[WBALay]]-LayTable[[#This Row],[Total inns]])</f>
        <v/>
      </c>
      <c r="U218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1" s="48" t="str">
        <f>IFERROR(IF(LayTable[[#This Row],[Total inns]]="","",LayTable[[#This Row],[Rback]]/LayTable[[#This Row],[Total inns]]),"")</f>
        <v/>
      </c>
      <c r="X2181" s="48" t="str">
        <f>IFERROR(IF(LayTable[[#This Row],[Total inns]]="","",LayTable[[#This Row],[Rlay]]/LayTable[[#This Row],[Total inns]]),"")</f>
        <v/>
      </c>
      <c r="Y2181" s="48" t="str">
        <f>IFERROR(LayTable[[#This Row],[Faktisk res]]/LayTable[[#This Row],[Total inns]],"")</f>
        <v/>
      </c>
      <c r="Z2181" s="47">
        <f>(LayTable[[#This Row],[BookieInnsats]]*LayTable[[#This Row],[BookieOdds]]-LayTable[[#This Row],[BookieInnsats]])*(1-LayTable[[#This Row],[C% Bookie]])</f>
        <v>0</v>
      </c>
      <c r="AA2181" s="43">
        <f>LayTable[[#This Row],[LayInnsats]]*(1-LayTable[[#This Row],[C% Lay]])</f>
        <v>0</v>
      </c>
      <c r="AB2181" s="43" t="str">
        <f>IFERROR(IF(LayTable[[#This Row],[Sport]]="",AB2180,LayTable[[#This Row],[Faktisk res]]+AB2180),"")</f>
        <v/>
      </c>
      <c r="AC2181" s="43">
        <f>(LayTable[[#This Row],[BackWin-Commission]]+LayTable[[#This Row],[BookieInnsats]])</f>
        <v>0</v>
      </c>
      <c r="AD2181" s="43" t="e">
        <f>(LayTable[[#This Row],[LayWin-Commission]])+LayTable[[#This Row],[LayLiability]]</f>
        <v>#VALUE!</v>
      </c>
      <c r="AE2181" s="43"/>
      <c r="AF2181" s="181"/>
    </row>
    <row r="2182" spans="1:32">
      <c r="A2182" s="84"/>
      <c r="B2182" s="39"/>
      <c r="C2182" s="40"/>
      <c r="D2182" s="41"/>
      <c r="E2182" s="40"/>
      <c r="F2182" s="41"/>
      <c r="G2182" s="101"/>
      <c r="H2182" s="38"/>
      <c r="I2182" s="42"/>
      <c r="J2182" s="42"/>
      <c r="K2182" s="43"/>
      <c r="L2182" s="43"/>
      <c r="M2182" s="44" t="str">
        <f>IF(LayTable[[#This Row],[Sport]]="","",LayTable[[#This Row],[LayInnsats]]*(LayTable[[#This Row],[LayOdds]]-1))</f>
        <v/>
      </c>
      <c r="N2182" s="45" t="str">
        <f>IF(LayTable[[#This Row],[Sport]]="","",1/((1/LayTable[[#This Row],[BookieOdds]])+(1/((1/((1+((LayTable[[#This Row],[LayOdds]]-1)*(1+LayTable[[#This Row],[C% Lay]])))-1))+1)))-1)</f>
        <v/>
      </c>
      <c r="Q2182" s="46" t="str">
        <f>IF(LayTable[[#This Row],[Sport]]="","",LayTable[[#This Row],[BookieInnsats]]+LayTable[[#This Row],[LayLiability]])</f>
        <v/>
      </c>
      <c r="R218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2" s="47" t="str">
        <f>IF(LayTable[[#This Row],[Utfall bookie]]="","",LayTable[[#This Row],[WBABack]]+LayTable[[#This Row],[WBALay]]-LayTable[[#This Row],[Total inns]])</f>
        <v/>
      </c>
      <c r="U218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2" s="48" t="str">
        <f>IFERROR(IF(LayTable[[#This Row],[Total inns]]="","",LayTable[[#This Row],[Rback]]/LayTable[[#This Row],[Total inns]]),"")</f>
        <v/>
      </c>
      <c r="X2182" s="48" t="str">
        <f>IFERROR(IF(LayTable[[#This Row],[Total inns]]="","",LayTable[[#This Row],[Rlay]]/LayTable[[#This Row],[Total inns]]),"")</f>
        <v/>
      </c>
      <c r="Y2182" s="48" t="str">
        <f>IFERROR(LayTable[[#This Row],[Faktisk res]]/LayTable[[#This Row],[Total inns]],"")</f>
        <v/>
      </c>
      <c r="Z2182" s="47">
        <f>(LayTable[[#This Row],[BookieInnsats]]*LayTable[[#This Row],[BookieOdds]]-LayTable[[#This Row],[BookieInnsats]])*(1-LayTable[[#This Row],[C% Bookie]])</f>
        <v>0</v>
      </c>
      <c r="AA2182" s="43">
        <f>LayTable[[#This Row],[LayInnsats]]*(1-LayTable[[#This Row],[C% Lay]])</f>
        <v>0</v>
      </c>
      <c r="AB2182" s="43" t="str">
        <f>IFERROR(IF(LayTable[[#This Row],[Sport]]="",AB2181,LayTable[[#This Row],[Faktisk res]]+AB2181),"")</f>
        <v/>
      </c>
      <c r="AC2182" s="43">
        <f>(LayTable[[#This Row],[BackWin-Commission]]+LayTable[[#This Row],[BookieInnsats]])</f>
        <v>0</v>
      </c>
      <c r="AD2182" s="43" t="e">
        <f>(LayTable[[#This Row],[LayWin-Commission]])+LayTable[[#This Row],[LayLiability]]</f>
        <v>#VALUE!</v>
      </c>
      <c r="AE2182" s="43"/>
      <c r="AF2182" s="181"/>
    </row>
    <row r="2183" spans="1:32">
      <c r="A2183" s="84"/>
      <c r="B2183" s="39"/>
      <c r="C2183" s="40"/>
      <c r="D2183" s="41"/>
      <c r="E2183" s="40"/>
      <c r="F2183" s="41"/>
      <c r="G2183" s="101"/>
      <c r="H2183" s="38"/>
      <c r="I2183" s="42"/>
      <c r="J2183" s="42"/>
      <c r="K2183" s="43"/>
      <c r="L2183" s="43"/>
      <c r="M2183" s="44" t="str">
        <f>IF(LayTable[[#This Row],[Sport]]="","",LayTable[[#This Row],[LayInnsats]]*(LayTable[[#This Row],[LayOdds]]-1))</f>
        <v/>
      </c>
      <c r="N2183" s="45" t="str">
        <f>IF(LayTable[[#This Row],[Sport]]="","",1/((1/LayTable[[#This Row],[BookieOdds]])+(1/((1/((1+((LayTable[[#This Row],[LayOdds]]-1)*(1+LayTable[[#This Row],[C% Lay]])))-1))+1)))-1)</f>
        <v/>
      </c>
      <c r="Q2183" s="46" t="str">
        <f>IF(LayTable[[#This Row],[Sport]]="","",LayTable[[#This Row],[BookieInnsats]]+LayTable[[#This Row],[LayLiability]])</f>
        <v/>
      </c>
      <c r="R218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3" s="47" t="str">
        <f>IF(LayTable[[#This Row],[Utfall bookie]]="","",LayTable[[#This Row],[WBABack]]+LayTable[[#This Row],[WBALay]]-LayTable[[#This Row],[Total inns]])</f>
        <v/>
      </c>
      <c r="U218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3" s="48" t="str">
        <f>IFERROR(IF(LayTable[[#This Row],[Total inns]]="","",LayTable[[#This Row],[Rback]]/LayTable[[#This Row],[Total inns]]),"")</f>
        <v/>
      </c>
      <c r="X2183" s="48" t="str">
        <f>IFERROR(IF(LayTable[[#This Row],[Total inns]]="","",LayTable[[#This Row],[Rlay]]/LayTable[[#This Row],[Total inns]]),"")</f>
        <v/>
      </c>
      <c r="Y2183" s="48" t="str">
        <f>IFERROR(LayTable[[#This Row],[Faktisk res]]/LayTable[[#This Row],[Total inns]],"")</f>
        <v/>
      </c>
      <c r="Z2183" s="47">
        <f>(LayTable[[#This Row],[BookieInnsats]]*LayTable[[#This Row],[BookieOdds]]-LayTable[[#This Row],[BookieInnsats]])*(1-LayTable[[#This Row],[C% Bookie]])</f>
        <v>0</v>
      </c>
      <c r="AA2183" s="43">
        <f>LayTable[[#This Row],[LayInnsats]]*(1-LayTable[[#This Row],[C% Lay]])</f>
        <v>0</v>
      </c>
      <c r="AB2183" s="43" t="str">
        <f>IFERROR(IF(LayTable[[#This Row],[Sport]]="",AB2182,LayTable[[#This Row],[Faktisk res]]+AB2182),"")</f>
        <v/>
      </c>
      <c r="AC2183" s="43">
        <f>(LayTable[[#This Row],[BackWin-Commission]]+LayTable[[#This Row],[BookieInnsats]])</f>
        <v>0</v>
      </c>
      <c r="AD2183" s="43" t="e">
        <f>(LayTable[[#This Row],[LayWin-Commission]])+LayTable[[#This Row],[LayLiability]]</f>
        <v>#VALUE!</v>
      </c>
      <c r="AE2183" s="43"/>
      <c r="AF2183" s="181"/>
    </row>
    <row r="2184" spans="1:32">
      <c r="A2184" s="84"/>
      <c r="B2184" s="39"/>
      <c r="C2184" s="40"/>
      <c r="D2184" s="41"/>
      <c r="E2184" s="40"/>
      <c r="F2184" s="41"/>
      <c r="G2184" s="101"/>
      <c r="H2184" s="38"/>
      <c r="I2184" s="42"/>
      <c r="J2184" s="42"/>
      <c r="K2184" s="43"/>
      <c r="L2184" s="43"/>
      <c r="M2184" s="44" t="str">
        <f>IF(LayTable[[#This Row],[Sport]]="","",LayTable[[#This Row],[LayInnsats]]*(LayTable[[#This Row],[LayOdds]]-1))</f>
        <v/>
      </c>
      <c r="N2184" s="45" t="str">
        <f>IF(LayTable[[#This Row],[Sport]]="","",1/((1/LayTable[[#This Row],[BookieOdds]])+(1/((1/((1+((LayTable[[#This Row],[LayOdds]]-1)*(1+LayTable[[#This Row],[C% Lay]])))-1))+1)))-1)</f>
        <v/>
      </c>
      <c r="Q2184" s="46" t="str">
        <f>IF(LayTable[[#This Row],[Sport]]="","",LayTable[[#This Row],[BookieInnsats]]+LayTable[[#This Row],[LayLiability]])</f>
        <v/>
      </c>
      <c r="R218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4" s="47" t="str">
        <f>IF(LayTable[[#This Row],[Utfall bookie]]="","",LayTable[[#This Row],[WBABack]]+LayTable[[#This Row],[WBALay]]-LayTable[[#This Row],[Total inns]])</f>
        <v/>
      </c>
      <c r="U218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4" s="48" t="str">
        <f>IFERROR(IF(LayTable[[#This Row],[Total inns]]="","",LayTable[[#This Row],[Rback]]/LayTable[[#This Row],[Total inns]]),"")</f>
        <v/>
      </c>
      <c r="X2184" s="48" t="str">
        <f>IFERROR(IF(LayTable[[#This Row],[Total inns]]="","",LayTable[[#This Row],[Rlay]]/LayTable[[#This Row],[Total inns]]),"")</f>
        <v/>
      </c>
      <c r="Y2184" s="48" t="str">
        <f>IFERROR(LayTable[[#This Row],[Faktisk res]]/LayTable[[#This Row],[Total inns]],"")</f>
        <v/>
      </c>
      <c r="Z2184" s="47">
        <f>(LayTable[[#This Row],[BookieInnsats]]*LayTable[[#This Row],[BookieOdds]]-LayTable[[#This Row],[BookieInnsats]])*(1-LayTable[[#This Row],[C% Bookie]])</f>
        <v>0</v>
      </c>
      <c r="AA2184" s="43">
        <f>LayTable[[#This Row],[LayInnsats]]*(1-LayTable[[#This Row],[C% Lay]])</f>
        <v>0</v>
      </c>
      <c r="AB2184" s="43" t="str">
        <f>IFERROR(IF(LayTable[[#This Row],[Sport]]="",AB2183,LayTable[[#This Row],[Faktisk res]]+AB2183),"")</f>
        <v/>
      </c>
      <c r="AC2184" s="43">
        <f>(LayTable[[#This Row],[BackWin-Commission]]+LayTable[[#This Row],[BookieInnsats]])</f>
        <v>0</v>
      </c>
      <c r="AD2184" s="43" t="e">
        <f>(LayTable[[#This Row],[LayWin-Commission]])+LayTable[[#This Row],[LayLiability]]</f>
        <v>#VALUE!</v>
      </c>
      <c r="AE2184" s="43"/>
      <c r="AF2184" s="181"/>
    </row>
    <row r="2185" spans="1:32">
      <c r="A2185" s="84"/>
      <c r="B2185" s="39"/>
      <c r="C2185" s="40"/>
      <c r="D2185" s="41"/>
      <c r="E2185" s="40"/>
      <c r="F2185" s="41"/>
      <c r="G2185" s="101"/>
      <c r="H2185" s="38"/>
      <c r="I2185" s="42"/>
      <c r="J2185" s="42"/>
      <c r="K2185" s="43"/>
      <c r="L2185" s="43"/>
      <c r="M2185" s="44" t="str">
        <f>IF(LayTable[[#This Row],[Sport]]="","",LayTable[[#This Row],[LayInnsats]]*(LayTable[[#This Row],[LayOdds]]-1))</f>
        <v/>
      </c>
      <c r="N2185" s="45" t="str">
        <f>IF(LayTable[[#This Row],[Sport]]="","",1/((1/LayTable[[#This Row],[BookieOdds]])+(1/((1/((1+((LayTable[[#This Row],[LayOdds]]-1)*(1+LayTable[[#This Row],[C% Lay]])))-1))+1)))-1)</f>
        <v/>
      </c>
      <c r="Q2185" s="46" t="str">
        <f>IF(LayTable[[#This Row],[Sport]]="","",LayTable[[#This Row],[BookieInnsats]]+LayTable[[#This Row],[LayLiability]])</f>
        <v/>
      </c>
      <c r="R218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5" s="47" t="str">
        <f>IF(LayTable[[#This Row],[Utfall bookie]]="","",LayTable[[#This Row],[WBABack]]+LayTable[[#This Row],[WBALay]]-LayTable[[#This Row],[Total inns]])</f>
        <v/>
      </c>
      <c r="U218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5" s="48" t="str">
        <f>IFERROR(IF(LayTable[[#This Row],[Total inns]]="","",LayTable[[#This Row],[Rback]]/LayTable[[#This Row],[Total inns]]),"")</f>
        <v/>
      </c>
      <c r="X2185" s="48" t="str">
        <f>IFERROR(IF(LayTable[[#This Row],[Total inns]]="","",LayTable[[#This Row],[Rlay]]/LayTable[[#This Row],[Total inns]]),"")</f>
        <v/>
      </c>
      <c r="Y2185" s="48" t="str">
        <f>IFERROR(LayTable[[#This Row],[Faktisk res]]/LayTable[[#This Row],[Total inns]],"")</f>
        <v/>
      </c>
      <c r="Z2185" s="47">
        <f>(LayTable[[#This Row],[BookieInnsats]]*LayTable[[#This Row],[BookieOdds]]-LayTable[[#This Row],[BookieInnsats]])*(1-LayTable[[#This Row],[C% Bookie]])</f>
        <v>0</v>
      </c>
      <c r="AA2185" s="43">
        <f>LayTable[[#This Row],[LayInnsats]]*(1-LayTable[[#This Row],[C% Lay]])</f>
        <v>0</v>
      </c>
      <c r="AB2185" s="43" t="str">
        <f>IFERROR(IF(LayTable[[#This Row],[Sport]]="",AB2184,LayTable[[#This Row],[Faktisk res]]+AB2184),"")</f>
        <v/>
      </c>
      <c r="AC2185" s="43">
        <f>(LayTable[[#This Row],[BackWin-Commission]]+LayTable[[#This Row],[BookieInnsats]])</f>
        <v>0</v>
      </c>
      <c r="AD2185" s="43" t="e">
        <f>(LayTable[[#This Row],[LayWin-Commission]])+LayTable[[#This Row],[LayLiability]]</f>
        <v>#VALUE!</v>
      </c>
      <c r="AE2185" s="43"/>
      <c r="AF2185" s="181"/>
    </row>
    <row r="2186" spans="1:32">
      <c r="A2186" s="84"/>
      <c r="B2186" s="39"/>
      <c r="C2186" s="40"/>
      <c r="D2186" s="41"/>
      <c r="E2186" s="40"/>
      <c r="F2186" s="41"/>
      <c r="G2186" s="101"/>
      <c r="H2186" s="38"/>
      <c r="I2186" s="42"/>
      <c r="J2186" s="42"/>
      <c r="K2186" s="43"/>
      <c r="L2186" s="43"/>
      <c r="M2186" s="44" t="str">
        <f>IF(LayTable[[#This Row],[Sport]]="","",LayTable[[#This Row],[LayInnsats]]*(LayTable[[#This Row],[LayOdds]]-1))</f>
        <v/>
      </c>
      <c r="N2186" s="45" t="str">
        <f>IF(LayTable[[#This Row],[Sport]]="","",1/((1/LayTable[[#This Row],[BookieOdds]])+(1/((1/((1+((LayTable[[#This Row],[LayOdds]]-1)*(1+LayTable[[#This Row],[C% Lay]])))-1))+1)))-1)</f>
        <v/>
      </c>
      <c r="Q2186" s="46" t="str">
        <f>IF(LayTable[[#This Row],[Sport]]="","",LayTable[[#This Row],[BookieInnsats]]+LayTable[[#This Row],[LayLiability]])</f>
        <v/>
      </c>
      <c r="R218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6" s="47" t="str">
        <f>IF(LayTable[[#This Row],[Utfall bookie]]="","",LayTable[[#This Row],[WBABack]]+LayTable[[#This Row],[WBALay]]-LayTable[[#This Row],[Total inns]])</f>
        <v/>
      </c>
      <c r="U218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6" s="48" t="str">
        <f>IFERROR(IF(LayTable[[#This Row],[Total inns]]="","",LayTable[[#This Row],[Rback]]/LayTable[[#This Row],[Total inns]]),"")</f>
        <v/>
      </c>
      <c r="X2186" s="48" t="str">
        <f>IFERROR(IF(LayTable[[#This Row],[Total inns]]="","",LayTable[[#This Row],[Rlay]]/LayTable[[#This Row],[Total inns]]),"")</f>
        <v/>
      </c>
      <c r="Y2186" s="48" t="str">
        <f>IFERROR(LayTable[[#This Row],[Faktisk res]]/LayTable[[#This Row],[Total inns]],"")</f>
        <v/>
      </c>
      <c r="Z2186" s="47">
        <f>(LayTable[[#This Row],[BookieInnsats]]*LayTable[[#This Row],[BookieOdds]]-LayTable[[#This Row],[BookieInnsats]])*(1-LayTable[[#This Row],[C% Bookie]])</f>
        <v>0</v>
      </c>
      <c r="AA2186" s="43">
        <f>LayTable[[#This Row],[LayInnsats]]*(1-LayTable[[#This Row],[C% Lay]])</f>
        <v>0</v>
      </c>
      <c r="AB2186" s="43" t="str">
        <f>IFERROR(IF(LayTable[[#This Row],[Sport]]="",AB2185,LayTable[[#This Row],[Faktisk res]]+AB2185),"")</f>
        <v/>
      </c>
      <c r="AC2186" s="43">
        <f>(LayTable[[#This Row],[BackWin-Commission]]+LayTable[[#This Row],[BookieInnsats]])</f>
        <v>0</v>
      </c>
      <c r="AD2186" s="43" t="e">
        <f>(LayTable[[#This Row],[LayWin-Commission]])+LayTable[[#This Row],[LayLiability]]</f>
        <v>#VALUE!</v>
      </c>
      <c r="AE2186" s="43"/>
      <c r="AF2186" s="181"/>
    </row>
    <row r="2187" spans="1:32">
      <c r="A2187" s="84"/>
      <c r="B2187" s="39"/>
      <c r="C2187" s="40"/>
      <c r="D2187" s="41"/>
      <c r="E2187" s="40"/>
      <c r="F2187" s="41"/>
      <c r="G2187" s="101"/>
      <c r="H2187" s="38"/>
      <c r="I2187" s="42"/>
      <c r="J2187" s="42"/>
      <c r="K2187" s="43"/>
      <c r="L2187" s="43"/>
      <c r="M2187" s="44" t="str">
        <f>IF(LayTable[[#This Row],[Sport]]="","",LayTable[[#This Row],[LayInnsats]]*(LayTable[[#This Row],[LayOdds]]-1))</f>
        <v/>
      </c>
      <c r="N2187" s="45" t="str">
        <f>IF(LayTable[[#This Row],[Sport]]="","",1/((1/LayTable[[#This Row],[BookieOdds]])+(1/((1/((1+((LayTable[[#This Row],[LayOdds]]-1)*(1+LayTable[[#This Row],[C% Lay]])))-1))+1)))-1)</f>
        <v/>
      </c>
      <c r="Q2187" s="46" t="str">
        <f>IF(LayTable[[#This Row],[Sport]]="","",LayTable[[#This Row],[BookieInnsats]]+LayTable[[#This Row],[LayLiability]])</f>
        <v/>
      </c>
      <c r="R218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7" s="47" t="str">
        <f>IF(LayTable[[#This Row],[Utfall bookie]]="","",LayTable[[#This Row],[WBABack]]+LayTable[[#This Row],[WBALay]]-LayTable[[#This Row],[Total inns]])</f>
        <v/>
      </c>
      <c r="U218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7" s="48" t="str">
        <f>IFERROR(IF(LayTable[[#This Row],[Total inns]]="","",LayTable[[#This Row],[Rback]]/LayTable[[#This Row],[Total inns]]),"")</f>
        <v/>
      </c>
      <c r="X2187" s="48" t="str">
        <f>IFERROR(IF(LayTable[[#This Row],[Total inns]]="","",LayTable[[#This Row],[Rlay]]/LayTable[[#This Row],[Total inns]]),"")</f>
        <v/>
      </c>
      <c r="Y2187" s="48" t="str">
        <f>IFERROR(LayTable[[#This Row],[Faktisk res]]/LayTable[[#This Row],[Total inns]],"")</f>
        <v/>
      </c>
      <c r="Z2187" s="47">
        <f>(LayTable[[#This Row],[BookieInnsats]]*LayTable[[#This Row],[BookieOdds]]-LayTable[[#This Row],[BookieInnsats]])*(1-LayTable[[#This Row],[C% Bookie]])</f>
        <v>0</v>
      </c>
      <c r="AA2187" s="43">
        <f>LayTable[[#This Row],[LayInnsats]]*(1-LayTable[[#This Row],[C% Lay]])</f>
        <v>0</v>
      </c>
      <c r="AB2187" s="43" t="str">
        <f>IFERROR(IF(LayTable[[#This Row],[Sport]]="",AB2186,LayTable[[#This Row],[Faktisk res]]+AB2186),"")</f>
        <v/>
      </c>
      <c r="AC2187" s="43">
        <f>(LayTable[[#This Row],[BackWin-Commission]]+LayTable[[#This Row],[BookieInnsats]])</f>
        <v>0</v>
      </c>
      <c r="AD2187" s="43" t="e">
        <f>(LayTable[[#This Row],[LayWin-Commission]])+LayTable[[#This Row],[LayLiability]]</f>
        <v>#VALUE!</v>
      </c>
      <c r="AE2187" s="43"/>
      <c r="AF2187" s="181"/>
    </row>
    <row r="2188" spans="1:32">
      <c r="A2188" s="84"/>
      <c r="B2188" s="39"/>
      <c r="C2188" s="40"/>
      <c r="D2188" s="41"/>
      <c r="E2188" s="40"/>
      <c r="F2188" s="41"/>
      <c r="G2188" s="101"/>
      <c r="H2188" s="38"/>
      <c r="I2188" s="42"/>
      <c r="J2188" s="42"/>
      <c r="K2188" s="43"/>
      <c r="L2188" s="43"/>
      <c r="M2188" s="44" t="str">
        <f>IF(LayTable[[#This Row],[Sport]]="","",LayTable[[#This Row],[LayInnsats]]*(LayTable[[#This Row],[LayOdds]]-1))</f>
        <v/>
      </c>
      <c r="N2188" s="45" t="str">
        <f>IF(LayTable[[#This Row],[Sport]]="","",1/((1/LayTable[[#This Row],[BookieOdds]])+(1/((1/((1+((LayTable[[#This Row],[LayOdds]]-1)*(1+LayTable[[#This Row],[C% Lay]])))-1))+1)))-1)</f>
        <v/>
      </c>
      <c r="Q2188" s="46" t="str">
        <f>IF(LayTable[[#This Row],[Sport]]="","",LayTable[[#This Row],[BookieInnsats]]+LayTable[[#This Row],[LayLiability]])</f>
        <v/>
      </c>
      <c r="R218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8" s="47" t="str">
        <f>IF(LayTable[[#This Row],[Utfall bookie]]="","",LayTable[[#This Row],[WBABack]]+LayTable[[#This Row],[WBALay]]-LayTable[[#This Row],[Total inns]])</f>
        <v/>
      </c>
      <c r="U218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8" s="48" t="str">
        <f>IFERROR(IF(LayTable[[#This Row],[Total inns]]="","",LayTable[[#This Row],[Rback]]/LayTable[[#This Row],[Total inns]]),"")</f>
        <v/>
      </c>
      <c r="X2188" s="48" t="str">
        <f>IFERROR(IF(LayTable[[#This Row],[Total inns]]="","",LayTable[[#This Row],[Rlay]]/LayTable[[#This Row],[Total inns]]),"")</f>
        <v/>
      </c>
      <c r="Y2188" s="48" t="str">
        <f>IFERROR(LayTable[[#This Row],[Faktisk res]]/LayTable[[#This Row],[Total inns]],"")</f>
        <v/>
      </c>
      <c r="Z2188" s="47">
        <f>(LayTable[[#This Row],[BookieInnsats]]*LayTable[[#This Row],[BookieOdds]]-LayTable[[#This Row],[BookieInnsats]])*(1-LayTable[[#This Row],[C% Bookie]])</f>
        <v>0</v>
      </c>
      <c r="AA2188" s="43">
        <f>LayTable[[#This Row],[LayInnsats]]*(1-LayTable[[#This Row],[C% Lay]])</f>
        <v>0</v>
      </c>
      <c r="AB2188" s="43" t="str">
        <f>IFERROR(IF(LayTable[[#This Row],[Sport]]="",AB2187,LayTable[[#This Row],[Faktisk res]]+AB2187),"")</f>
        <v/>
      </c>
      <c r="AC2188" s="43">
        <f>(LayTable[[#This Row],[BackWin-Commission]]+LayTable[[#This Row],[BookieInnsats]])</f>
        <v>0</v>
      </c>
      <c r="AD2188" s="43" t="e">
        <f>(LayTable[[#This Row],[LayWin-Commission]])+LayTable[[#This Row],[LayLiability]]</f>
        <v>#VALUE!</v>
      </c>
      <c r="AE2188" s="43"/>
      <c r="AF2188" s="181"/>
    </row>
    <row r="2189" spans="1:32">
      <c r="A2189" s="84"/>
      <c r="B2189" s="39"/>
      <c r="C2189" s="40"/>
      <c r="D2189" s="41"/>
      <c r="E2189" s="40"/>
      <c r="F2189" s="41"/>
      <c r="G2189" s="101"/>
      <c r="H2189" s="38"/>
      <c r="I2189" s="42"/>
      <c r="J2189" s="42"/>
      <c r="K2189" s="43"/>
      <c r="L2189" s="43"/>
      <c r="M2189" s="44" t="str">
        <f>IF(LayTable[[#This Row],[Sport]]="","",LayTable[[#This Row],[LayInnsats]]*(LayTable[[#This Row],[LayOdds]]-1))</f>
        <v/>
      </c>
      <c r="N2189" s="45" t="str">
        <f>IF(LayTable[[#This Row],[Sport]]="","",1/((1/LayTable[[#This Row],[BookieOdds]])+(1/((1/((1+((LayTable[[#This Row],[LayOdds]]-1)*(1+LayTable[[#This Row],[C% Lay]])))-1))+1)))-1)</f>
        <v/>
      </c>
      <c r="Q2189" s="46" t="str">
        <f>IF(LayTable[[#This Row],[Sport]]="","",LayTable[[#This Row],[BookieInnsats]]+LayTable[[#This Row],[LayLiability]])</f>
        <v/>
      </c>
      <c r="R218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8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89" s="47" t="str">
        <f>IF(LayTable[[#This Row],[Utfall bookie]]="","",LayTable[[#This Row],[WBABack]]+LayTable[[#This Row],[WBALay]]-LayTable[[#This Row],[Total inns]])</f>
        <v/>
      </c>
      <c r="U218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8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89" s="48" t="str">
        <f>IFERROR(IF(LayTable[[#This Row],[Total inns]]="","",LayTable[[#This Row],[Rback]]/LayTable[[#This Row],[Total inns]]),"")</f>
        <v/>
      </c>
      <c r="X2189" s="48" t="str">
        <f>IFERROR(IF(LayTable[[#This Row],[Total inns]]="","",LayTable[[#This Row],[Rlay]]/LayTable[[#This Row],[Total inns]]),"")</f>
        <v/>
      </c>
      <c r="Y2189" s="48" t="str">
        <f>IFERROR(LayTable[[#This Row],[Faktisk res]]/LayTable[[#This Row],[Total inns]],"")</f>
        <v/>
      </c>
      <c r="Z2189" s="47">
        <f>(LayTable[[#This Row],[BookieInnsats]]*LayTable[[#This Row],[BookieOdds]]-LayTable[[#This Row],[BookieInnsats]])*(1-LayTable[[#This Row],[C% Bookie]])</f>
        <v>0</v>
      </c>
      <c r="AA2189" s="43">
        <f>LayTable[[#This Row],[LayInnsats]]*(1-LayTable[[#This Row],[C% Lay]])</f>
        <v>0</v>
      </c>
      <c r="AB2189" s="43" t="str">
        <f>IFERROR(IF(LayTable[[#This Row],[Sport]]="",AB2188,LayTable[[#This Row],[Faktisk res]]+AB2188),"")</f>
        <v/>
      </c>
      <c r="AC2189" s="43">
        <f>(LayTable[[#This Row],[BackWin-Commission]]+LayTable[[#This Row],[BookieInnsats]])</f>
        <v>0</v>
      </c>
      <c r="AD2189" s="43" t="e">
        <f>(LayTable[[#This Row],[LayWin-Commission]])+LayTable[[#This Row],[LayLiability]]</f>
        <v>#VALUE!</v>
      </c>
      <c r="AE2189" s="43"/>
      <c r="AF2189" s="181"/>
    </row>
    <row r="2190" spans="1:32">
      <c r="A2190" s="84"/>
      <c r="B2190" s="39"/>
      <c r="C2190" s="40"/>
      <c r="D2190" s="41"/>
      <c r="E2190" s="40"/>
      <c r="F2190" s="41"/>
      <c r="G2190" s="101"/>
      <c r="H2190" s="38"/>
      <c r="I2190" s="42"/>
      <c r="J2190" s="42"/>
      <c r="K2190" s="43"/>
      <c r="L2190" s="43"/>
      <c r="M2190" s="44" t="str">
        <f>IF(LayTable[[#This Row],[Sport]]="","",LayTable[[#This Row],[LayInnsats]]*(LayTable[[#This Row],[LayOdds]]-1))</f>
        <v/>
      </c>
      <c r="N2190" s="45" t="str">
        <f>IF(LayTable[[#This Row],[Sport]]="","",1/((1/LayTable[[#This Row],[BookieOdds]])+(1/((1/((1+((LayTable[[#This Row],[LayOdds]]-1)*(1+LayTable[[#This Row],[C% Lay]])))-1))+1)))-1)</f>
        <v/>
      </c>
      <c r="Q2190" s="46" t="str">
        <f>IF(LayTable[[#This Row],[Sport]]="","",LayTable[[#This Row],[BookieInnsats]]+LayTable[[#This Row],[LayLiability]])</f>
        <v/>
      </c>
      <c r="R219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0" s="47" t="str">
        <f>IF(LayTable[[#This Row],[Utfall bookie]]="","",LayTable[[#This Row],[WBABack]]+LayTable[[#This Row],[WBALay]]-LayTable[[#This Row],[Total inns]])</f>
        <v/>
      </c>
      <c r="U219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0" s="48" t="str">
        <f>IFERROR(IF(LayTable[[#This Row],[Total inns]]="","",LayTable[[#This Row],[Rback]]/LayTable[[#This Row],[Total inns]]),"")</f>
        <v/>
      </c>
      <c r="X2190" s="48" t="str">
        <f>IFERROR(IF(LayTable[[#This Row],[Total inns]]="","",LayTable[[#This Row],[Rlay]]/LayTable[[#This Row],[Total inns]]),"")</f>
        <v/>
      </c>
      <c r="Y2190" s="48" t="str">
        <f>IFERROR(LayTable[[#This Row],[Faktisk res]]/LayTable[[#This Row],[Total inns]],"")</f>
        <v/>
      </c>
      <c r="Z2190" s="47">
        <f>(LayTable[[#This Row],[BookieInnsats]]*LayTable[[#This Row],[BookieOdds]]-LayTable[[#This Row],[BookieInnsats]])*(1-LayTable[[#This Row],[C% Bookie]])</f>
        <v>0</v>
      </c>
      <c r="AA2190" s="43">
        <f>LayTable[[#This Row],[LayInnsats]]*(1-LayTable[[#This Row],[C% Lay]])</f>
        <v>0</v>
      </c>
      <c r="AB2190" s="43" t="str">
        <f>IFERROR(IF(LayTable[[#This Row],[Sport]]="",AB2189,LayTable[[#This Row],[Faktisk res]]+AB2189),"")</f>
        <v/>
      </c>
      <c r="AC2190" s="43">
        <f>(LayTable[[#This Row],[BackWin-Commission]]+LayTable[[#This Row],[BookieInnsats]])</f>
        <v>0</v>
      </c>
      <c r="AD2190" s="43" t="e">
        <f>(LayTable[[#This Row],[LayWin-Commission]])+LayTable[[#This Row],[LayLiability]]</f>
        <v>#VALUE!</v>
      </c>
      <c r="AE2190" s="43"/>
      <c r="AF2190" s="181"/>
    </row>
    <row r="2191" spans="1:32">
      <c r="A2191" s="84"/>
      <c r="B2191" s="39"/>
      <c r="C2191" s="40"/>
      <c r="D2191" s="41"/>
      <c r="E2191" s="40"/>
      <c r="F2191" s="41"/>
      <c r="G2191" s="101"/>
      <c r="H2191" s="38"/>
      <c r="I2191" s="42"/>
      <c r="J2191" s="42"/>
      <c r="K2191" s="43"/>
      <c r="L2191" s="43"/>
      <c r="M2191" s="44" t="str">
        <f>IF(LayTable[[#This Row],[Sport]]="","",LayTable[[#This Row],[LayInnsats]]*(LayTable[[#This Row],[LayOdds]]-1))</f>
        <v/>
      </c>
      <c r="N2191" s="45" t="str">
        <f>IF(LayTable[[#This Row],[Sport]]="","",1/((1/LayTable[[#This Row],[BookieOdds]])+(1/((1/((1+((LayTable[[#This Row],[LayOdds]]-1)*(1+LayTable[[#This Row],[C% Lay]])))-1))+1)))-1)</f>
        <v/>
      </c>
      <c r="Q2191" s="46" t="str">
        <f>IF(LayTable[[#This Row],[Sport]]="","",LayTable[[#This Row],[BookieInnsats]]+LayTable[[#This Row],[LayLiability]])</f>
        <v/>
      </c>
      <c r="R219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1" s="47" t="str">
        <f>IF(LayTable[[#This Row],[Utfall bookie]]="","",LayTable[[#This Row],[WBABack]]+LayTable[[#This Row],[WBALay]]-LayTable[[#This Row],[Total inns]])</f>
        <v/>
      </c>
      <c r="U219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1" s="48" t="str">
        <f>IFERROR(IF(LayTable[[#This Row],[Total inns]]="","",LayTable[[#This Row],[Rback]]/LayTable[[#This Row],[Total inns]]),"")</f>
        <v/>
      </c>
      <c r="X2191" s="48" t="str">
        <f>IFERROR(IF(LayTable[[#This Row],[Total inns]]="","",LayTable[[#This Row],[Rlay]]/LayTable[[#This Row],[Total inns]]),"")</f>
        <v/>
      </c>
      <c r="Y2191" s="48" t="str">
        <f>IFERROR(LayTable[[#This Row],[Faktisk res]]/LayTable[[#This Row],[Total inns]],"")</f>
        <v/>
      </c>
      <c r="Z2191" s="47">
        <f>(LayTable[[#This Row],[BookieInnsats]]*LayTable[[#This Row],[BookieOdds]]-LayTable[[#This Row],[BookieInnsats]])*(1-LayTable[[#This Row],[C% Bookie]])</f>
        <v>0</v>
      </c>
      <c r="AA2191" s="43">
        <f>LayTable[[#This Row],[LayInnsats]]*(1-LayTable[[#This Row],[C% Lay]])</f>
        <v>0</v>
      </c>
      <c r="AB2191" s="43" t="str">
        <f>IFERROR(IF(LayTable[[#This Row],[Sport]]="",AB2190,LayTable[[#This Row],[Faktisk res]]+AB2190),"")</f>
        <v/>
      </c>
      <c r="AC2191" s="43">
        <f>(LayTable[[#This Row],[BackWin-Commission]]+LayTable[[#This Row],[BookieInnsats]])</f>
        <v>0</v>
      </c>
      <c r="AD2191" s="43" t="e">
        <f>(LayTable[[#This Row],[LayWin-Commission]])+LayTable[[#This Row],[LayLiability]]</f>
        <v>#VALUE!</v>
      </c>
      <c r="AE2191" s="43"/>
      <c r="AF2191" s="181"/>
    </row>
    <row r="2192" spans="1:32">
      <c r="A2192" s="84"/>
      <c r="B2192" s="39"/>
      <c r="C2192" s="40"/>
      <c r="D2192" s="41"/>
      <c r="E2192" s="40"/>
      <c r="F2192" s="41"/>
      <c r="G2192" s="101"/>
      <c r="H2192" s="38"/>
      <c r="I2192" s="42"/>
      <c r="J2192" s="42"/>
      <c r="K2192" s="43"/>
      <c r="L2192" s="43"/>
      <c r="M2192" s="44" t="str">
        <f>IF(LayTable[[#This Row],[Sport]]="","",LayTable[[#This Row],[LayInnsats]]*(LayTable[[#This Row],[LayOdds]]-1))</f>
        <v/>
      </c>
      <c r="N2192" s="45" t="str">
        <f>IF(LayTable[[#This Row],[Sport]]="","",1/((1/LayTable[[#This Row],[BookieOdds]])+(1/((1/((1+((LayTable[[#This Row],[LayOdds]]-1)*(1+LayTable[[#This Row],[C% Lay]])))-1))+1)))-1)</f>
        <v/>
      </c>
      <c r="Q2192" s="46" t="str">
        <f>IF(LayTable[[#This Row],[Sport]]="","",LayTable[[#This Row],[BookieInnsats]]+LayTable[[#This Row],[LayLiability]])</f>
        <v/>
      </c>
      <c r="R219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2" s="47" t="str">
        <f>IF(LayTable[[#This Row],[Utfall bookie]]="","",LayTable[[#This Row],[WBABack]]+LayTable[[#This Row],[WBALay]]-LayTable[[#This Row],[Total inns]])</f>
        <v/>
      </c>
      <c r="U219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2" s="48" t="str">
        <f>IFERROR(IF(LayTable[[#This Row],[Total inns]]="","",LayTable[[#This Row],[Rback]]/LayTable[[#This Row],[Total inns]]),"")</f>
        <v/>
      </c>
      <c r="X2192" s="48" t="str">
        <f>IFERROR(IF(LayTable[[#This Row],[Total inns]]="","",LayTable[[#This Row],[Rlay]]/LayTable[[#This Row],[Total inns]]),"")</f>
        <v/>
      </c>
      <c r="Y2192" s="48" t="str">
        <f>IFERROR(LayTable[[#This Row],[Faktisk res]]/LayTable[[#This Row],[Total inns]],"")</f>
        <v/>
      </c>
      <c r="Z2192" s="47">
        <f>(LayTable[[#This Row],[BookieInnsats]]*LayTable[[#This Row],[BookieOdds]]-LayTable[[#This Row],[BookieInnsats]])*(1-LayTable[[#This Row],[C% Bookie]])</f>
        <v>0</v>
      </c>
      <c r="AA2192" s="43">
        <f>LayTable[[#This Row],[LayInnsats]]*(1-LayTable[[#This Row],[C% Lay]])</f>
        <v>0</v>
      </c>
      <c r="AB2192" s="43" t="str">
        <f>IFERROR(IF(LayTable[[#This Row],[Sport]]="",AB2191,LayTable[[#This Row],[Faktisk res]]+AB2191),"")</f>
        <v/>
      </c>
      <c r="AC2192" s="43">
        <f>(LayTable[[#This Row],[BackWin-Commission]]+LayTable[[#This Row],[BookieInnsats]])</f>
        <v>0</v>
      </c>
      <c r="AD2192" s="43" t="e">
        <f>(LayTable[[#This Row],[LayWin-Commission]])+LayTable[[#This Row],[LayLiability]]</f>
        <v>#VALUE!</v>
      </c>
      <c r="AE2192" s="43"/>
      <c r="AF2192" s="181"/>
    </row>
    <row r="2193" spans="1:32">
      <c r="A2193" s="84"/>
      <c r="B2193" s="39"/>
      <c r="C2193" s="40"/>
      <c r="D2193" s="41"/>
      <c r="E2193" s="40"/>
      <c r="F2193" s="41"/>
      <c r="G2193" s="101"/>
      <c r="H2193" s="38"/>
      <c r="I2193" s="42"/>
      <c r="J2193" s="42"/>
      <c r="K2193" s="43"/>
      <c r="L2193" s="43"/>
      <c r="M2193" s="44" t="str">
        <f>IF(LayTable[[#This Row],[Sport]]="","",LayTable[[#This Row],[LayInnsats]]*(LayTable[[#This Row],[LayOdds]]-1))</f>
        <v/>
      </c>
      <c r="N2193" s="45" t="str">
        <f>IF(LayTable[[#This Row],[Sport]]="","",1/((1/LayTable[[#This Row],[BookieOdds]])+(1/((1/((1+((LayTable[[#This Row],[LayOdds]]-1)*(1+LayTable[[#This Row],[C% Lay]])))-1))+1)))-1)</f>
        <v/>
      </c>
      <c r="Q2193" s="46" t="str">
        <f>IF(LayTable[[#This Row],[Sport]]="","",LayTable[[#This Row],[BookieInnsats]]+LayTable[[#This Row],[LayLiability]])</f>
        <v/>
      </c>
      <c r="R219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3" s="47" t="str">
        <f>IF(LayTable[[#This Row],[Utfall bookie]]="","",LayTable[[#This Row],[WBABack]]+LayTable[[#This Row],[WBALay]]-LayTable[[#This Row],[Total inns]])</f>
        <v/>
      </c>
      <c r="U219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3" s="48" t="str">
        <f>IFERROR(IF(LayTable[[#This Row],[Total inns]]="","",LayTable[[#This Row],[Rback]]/LayTable[[#This Row],[Total inns]]),"")</f>
        <v/>
      </c>
      <c r="X2193" s="48" t="str">
        <f>IFERROR(IF(LayTable[[#This Row],[Total inns]]="","",LayTable[[#This Row],[Rlay]]/LayTable[[#This Row],[Total inns]]),"")</f>
        <v/>
      </c>
      <c r="Y2193" s="48" t="str">
        <f>IFERROR(LayTable[[#This Row],[Faktisk res]]/LayTable[[#This Row],[Total inns]],"")</f>
        <v/>
      </c>
      <c r="Z2193" s="47">
        <f>(LayTable[[#This Row],[BookieInnsats]]*LayTable[[#This Row],[BookieOdds]]-LayTable[[#This Row],[BookieInnsats]])*(1-LayTable[[#This Row],[C% Bookie]])</f>
        <v>0</v>
      </c>
      <c r="AA2193" s="43">
        <f>LayTable[[#This Row],[LayInnsats]]*(1-LayTable[[#This Row],[C% Lay]])</f>
        <v>0</v>
      </c>
      <c r="AB2193" s="43" t="str">
        <f>IFERROR(IF(LayTable[[#This Row],[Sport]]="",AB2192,LayTable[[#This Row],[Faktisk res]]+AB2192),"")</f>
        <v/>
      </c>
      <c r="AC2193" s="43">
        <f>(LayTable[[#This Row],[BackWin-Commission]]+LayTable[[#This Row],[BookieInnsats]])</f>
        <v>0</v>
      </c>
      <c r="AD2193" s="43" t="e">
        <f>(LayTable[[#This Row],[LayWin-Commission]])+LayTable[[#This Row],[LayLiability]]</f>
        <v>#VALUE!</v>
      </c>
      <c r="AE2193" s="43"/>
      <c r="AF2193" s="181"/>
    </row>
    <row r="2194" spans="1:32">
      <c r="A2194" s="84"/>
      <c r="B2194" s="39"/>
      <c r="C2194" s="40"/>
      <c r="D2194" s="41"/>
      <c r="E2194" s="40"/>
      <c r="F2194" s="41"/>
      <c r="G2194" s="101"/>
      <c r="H2194" s="38"/>
      <c r="I2194" s="42"/>
      <c r="J2194" s="42"/>
      <c r="K2194" s="43"/>
      <c r="L2194" s="43"/>
      <c r="M2194" s="44" t="str">
        <f>IF(LayTable[[#This Row],[Sport]]="","",LayTable[[#This Row],[LayInnsats]]*(LayTable[[#This Row],[LayOdds]]-1))</f>
        <v/>
      </c>
      <c r="N2194" s="45" t="str">
        <f>IF(LayTable[[#This Row],[Sport]]="","",1/((1/LayTable[[#This Row],[BookieOdds]])+(1/((1/((1+((LayTable[[#This Row],[LayOdds]]-1)*(1+LayTable[[#This Row],[C% Lay]])))-1))+1)))-1)</f>
        <v/>
      </c>
      <c r="Q2194" s="46" t="str">
        <f>IF(LayTable[[#This Row],[Sport]]="","",LayTable[[#This Row],[BookieInnsats]]+LayTable[[#This Row],[LayLiability]])</f>
        <v/>
      </c>
      <c r="R219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4" s="47" t="str">
        <f>IF(LayTable[[#This Row],[Utfall bookie]]="","",LayTable[[#This Row],[WBABack]]+LayTable[[#This Row],[WBALay]]-LayTable[[#This Row],[Total inns]])</f>
        <v/>
      </c>
      <c r="U219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4" s="48" t="str">
        <f>IFERROR(IF(LayTable[[#This Row],[Total inns]]="","",LayTable[[#This Row],[Rback]]/LayTable[[#This Row],[Total inns]]),"")</f>
        <v/>
      </c>
      <c r="X2194" s="48" t="str">
        <f>IFERROR(IF(LayTable[[#This Row],[Total inns]]="","",LayTable[[#This Row],[Rlay]]/LayTable[[#This Row],[Total inns]]),"")</f>
        <v/>
      </c>
      <c r="Y2194" s="48" t="str">
        <f>IFERROR(LayTable[[#This Row],[Faktisk res]]/LayTable[[#This Row],[Total inns]],"")</f>
        <v/>
      </c>
      <c r="Z2194" s="47">
        <f>(LayTable[[#This Row],[BookieInnsats]]*LayTable[[#This Row],[BookieOdds]]-LayTable[[#This Row],[BookieInnsats]])*(1-LayTable[[#This Row],[C% Bookie]])</f>
        <v>0</v>
      </c>
      <c r="AA2194" s="43">
        <f>LayTable[[#This Row],[LayInnsats]]*(1-LayTable[[#This Row],[C% Lay]])</f>
        <v>0</v>
      </c>
      <c r="AB2194" s="43" t="str">
        <f>IFERROR(IF(LayTable[[#This Row],[Sport]]="",AB2193,LayTable[[#This Row],[Faktisk res]]+AB2193),"")</f>
        <v/>
      </c>
      <c r="AC2194" s="43">
        <f>(LayTable[[#This Row],[BackWin-Commission]]+LayTable[[#This Row],[BookieInnsats]])</f>
        <v>0</v>
      </c>
      <c r="AD2194" s="43" t="e">
        <f>(LayTable[[#This Row],[LayWin-Commission]])+LayTable[[#This Row],[LayLiability]]</f>
        <v>#VALUE!</v>
      </c>
      <c r="AE2194" s="43"/>
      <c r="AF2194" s="181"/>
    </row>
    <row r="2195" spans="1:32">
      <c r="A2195" s="84"/>
      <c r="B2195" s="39"/>
      <c r="C2195" s="40"/>
      <c r="D2195" s="41"/>
      <c r="E2195" s="40"/>
      <c r="F2195" s="41"/>
      <c r="G2195" s="101"/>
      <c r="H2195" s="38"/>
      <c r="I2195" s="42"/>
      <c r="J2195" s="42"/>
      <c r="K2195" s="43"/>
      <c r="L2195" s="43"/>
      <c r="M2195" s="44" t="str">
        <f>IF(LayTable[[#This Row],[Sport]]="","",LayTable[[#This Row],[LayInnsats]]*(LayTable[[#This Row],[LayOdds]]-1))</f>
        <v/>
      </c>
      <c r="N2195" s="45" t="str">
        <f>IF(LayTable[[#This Row],[Sport]]="","",1/((1/LayTable[[#This Row],[BookieOdds]])+(1/((1/((1+((LayTable[[#This Row],[LayOdds]]-1)*(1+LayTable[[#This Row],[C% Lay]])))-1))+1)))-1)</f>
        <v/>
      </c>
      <c r="Q2195" s="46" t="str">
        <f>IF(LayTable[[#This Row],[Sport]]="","",LayTable[[#This Row],[BookieInnsats]]+LayTable[[#This Row],[LayLiability]])</f>
        <v/>
      </c>
      <c r="R219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5" s="47" t="str">
        <f>IF(LayTable[[#This Row],[Utfall bookie]]="","",LayTable[[#This Row],[WBABack]]+LayTable[[#This Row],[WBALay]]-LayTable[[#This Row],[Total inns]])</f>
        <v/>
      </c>
      <c r="U219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5" s="48" t="str">
        <f>IFERROR(IF(LayTable[[#This Row],[Total inns]]="","",LayTable[[#This Row],[Rback]]/LayTable[[#This Row],[Total inns]]),"")</f>
        <v/>
      </c>
      <c r="X2195" s="48" t="str">
        <f>IFERROR(IF(LayTable[[#This Row],[Total inns]]="","",LayTable[[#This Row],[Rlay]]/LayTable[[#This Row],[Total inns]]),"")</f>
        <v/>
      </c>
      <c r="Y2195" s="48" t="str">
        <f>IFERROR(LayTable[[#This Row],[Faktisk res]]/LayTable[[#This Row],[Total inns]],"")</f>
        <v/>
      </c>
      <c r="Z2195" s="47">
        <f>(LayTable[[#This Row],[BookieInnsats]]*LayTable[[#This Row],[BookieOdds]]-LayTable[[#This Row],[BookieInnsats]])*(1-LayTable[[#This Row],[C% Bookie]])</f>
        <v>0</v>
      </c>
      <c r="AA2195" s="43">
        <f>LayTable[[#This Row],[LayInnsats]]*(1-LayTable[[#This Row],[C% Lay]])</f>
        <v>0</v>
      </c>
      <c r="AB2195" s="43" t="str">
        <f>IFERROR(IF(LayTable[[#This Row],[Sport]]="",AB2194,LayTable[[#This Row],[Faktisk res]]+AB2194),"")</f>
        <v/>
      </c>
      <c r="AC2195" s="43">
        <f>(LayTable[[#This Row],[BackWin-Commission]]+LayTable[[#This Row],[BookieInnsats]])</f>
        <v>0</v>
      </c>
      <c r="AD2195" s="43" t="e">
        <f>(LayTable[[#This Row],[LayWin-Commission]])+LayTable[[#This Row],[LayLiability]]</f>
        <v>#VALUE!</v>
      </c>
      <c r="AE2195" s="43"/>
      <c r="AF2195" s="181"/>
    </row>
    <row r="2196" spans="1:32">
      <c r="A2196" s="84"/>
      <c r="B2196" s="39"/>
      <c r="C2196" s="40"/>
      <c r="D2196" s="41"/>
      <c r="E2196" s="40"/>
      <c r="F2196" s="41"/>
      <c r="G2196" s="101"/>
      <c r="H2196" s="38"/>
      <c r="I2196" s="42"/>
      <c r="J2196" s="42"/>
      <c r="K2196" s="43"/>
      <c r="L2196" s="43"/>
      <c r="M2196" s="44" t="str">
        <f>IF(LayTable[[#This Row],[Sport]]="","",LayTable[[#This Row],[LayInnsats]]*(LayTable[[#This Row],[LayOdds]]-1))</f>
        <v/>
      </c>
      <c r="N2196" s="45" t="str">
        <f>IF(LayTable[[#This Row],[Sport]]="","",1/((1/LayTable[[#This Row],[BookieOdds]])+(1/((1/((1+((LayTable[[#This Row],[LayOdds]]-1)*(1+LayTable[[#This Row],[C% Lay]])))-1))+1)))-1)</f>
        <v/>
      </c>
      <c r="Q2196" s="46" t="str">
        <f>IF(LayTable[[#This Row],[Sport]]="","",LayTable[[#This Row],[BookieInnsats]]+LayTable[[#This Row],[LayLiability]])</f>
        <v/>
      </c>
      <c r="R219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6" s="47" t="str">
        <f>IF(LayTable[[#This Row],[Utfall bookie]]="","",LayTable[[#This Row],[WBABack]]+LayTable[[#This Row],[WBALay]]-LayTable[[#This Row],[Total inns]])</f>
        <v/>
      </c>
      <c r="U219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6" s="48" t="str">
        <f>IFERROR(IF(LayTable[[#This Row],[Total inns]]="","",LayTable[[#This Row],[Rback]]/LayTable[[#This Row],[Total inns]]),"")</f>
        <v/>
      </c>
      <c r="X2196" s="48" t="str">
        <f>IFERROR(IF(LayTable[[#This Row],[Total inns]]="","",LayTable[[#This Row],[Rlay]]/LayTable[[#This Row],[Total inns]]),"")</f>
        <v/>
      </c>
      <c r="Y2196" s="48" t="str">
        <f>IFERROR(LayTable[[#This Row],[Faktisk res]]/LayTable[[#This Row],[Total inns]],"")</f>
        <v/>
      </c>
      <c r="Z2196" s="47">
        <f>(LayTable[[#This Row],[BookieInnsats]]*LayTable[[#This Row],[BookieOdds]]-LayTable[[#This Row],[BookieInnsats]])*(1-LayTable[[#This Row],[C% Bookie]])</f>
        <v>0</v>
      </c>
      <c r="AA2196" s="43">
        <f>LayTable[[#This Row],[LayInnsats]]*(1-LayTable[[#This Row],[C% Lay]])</f>
        <v>0</v>
      </c>
      <c r="AB2196" s="43" t="str">
        <f>IFERROR(IF(LayTable[[#This Row],[Sport]]="",AB2195,LayTable[[#This Row],[Faktisk res]]+AB2195),"")</f>
        <v/>
      </c>
      <c r="AC2196" s="43">
        <f>(LayTable[[#This Row],[BackWin-Commission]]+LayTable[[#This Row],[BookieInnsats]])</f>
        <v>0</v>
      </c>
      <c r="AD2196" s="43" t="e">
        <f>(LayTable[[#This Row],[LayWin-Commission]])+LayTable[[#This Row],[LayLiability]]</f>
        <v>#VALUE!</v>
      </c>
      <c r="AE2196" s="43"/>
      <c r="AF2196" s="181"/>
    </row>
    <row r="2197" spans="1:32">
      <c r="A2197" s="84"/>
      <c r="B2197" s="39"/>
      <c r="C2197" s="40"/>
      <c r="D2197" s="41"/>
      <c r="E2197" s="40"/>
      <c r="F2197" s="41"/>
      <c r="G2197" s="101"/>
      <c r="H2197" s="38"/>
      <c r="I2197" s="42"/>
      <c r="J2197" s="42"/>
      <c r="K2197" s="43"/>
      <c r="L2197" s="43"/>
      <c r="M2197" s="44" t="str">
        <f>IF(LayTable[[#This Row],[Sport]]="","",LayTable[[#This Row],[LayInnsats]]*(LayTable[[#This Row],[LayOdds]]-1))</f>
        <v/>
      </c>
      <c r="N2197" s="45" t="str">
        <f>IF(LayTable[[#This Row],[Sport]]="","",1/((1/LayTable[[#This Row],[BookieOdds]])+(1/((1/((1+((LayTable[[#This Row],[LayOdds]]-1)*(1+LayTable[[#This Row],[C% Lay]])))-1))+1)))-1)</f>
        <v/>
      </c>
      <c r="Q2197" s="46" t="str">
        <f>IF(LayTable[[#This Row],[Sport]]="","",LayTable[[#This Row],[BookieInnsats]]+LayTable[[#This Row],[LayLiability]])</f>
        <v/>
      </c>
      <c r="R219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7" s="47" t="str">
        <f>IF(LayTable[[#This Row],[Utfall bookie]]="","",LayTable[[#This Row],[WBABack]]+LayTable[[#This Row],[WBALay]]-LayTable[[#This Row],[Total inns]])</f>
        <v/>
      </c>
      <c r="U219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7" s="48" t="str">
        <f>IFERROR(IF(LayTable[[#This Row],[Total inns]]="","",LayTable[[#This Row],[Rback]]/LayTable[[#This Row],[Total inns]]),"")</f>
        <v/>
      </c>
      <c r="X2197" s="48" t="str">
        <f>IFERROR(IF(LayTable[[#This Row],[Total inns]]="","",LayTable[[#This Row],[Rlay]]/LayTable[[#This Row],[Total inns]]),"")</f>
        <v/>
      </c>
      <c r="Y2197" s="48" t="str">
        <f>IFERROR(LayTable[[#This Row],[Faktisk res]]/LayTable[[#This Row],[Total inns]],"")</f>
        <v/>
      </c>
      <c r="Z2197" s="47">
        <f>(LayTable[[#This Row],[BookieInnsats]]*LayTable[[#This Row],[BookieOdds]]-LayTable[[#This Row],[BookieInnsats]])*(1-LayTable[[#This Row],[C% Bookie]])</f>
        <v>0</v>
      </c>
      <c r="AA2197" s="43">
        <f>LayTable[[#This Row],[LayInnsats]]*(1-LayTable[[#This Row],[C% Lay]])</f>
        <v>0</v>
      </c>
      <c r="AB2197" s="43" t="str">
        <f>IFERROR(IF(LayTable[[#This Row],[Sport]]="",AB2196,LayTable[[#This Row],[Faktisk res]]+AB2196),"")</f>
        <v/>
      </c>
      <c r="AC2197" s="43">
        <f>(LayTable[[#This Row],[BackWin-Commission]]+LayTable[[#This Row],[BookieInnsats]])</f>
        <v>0</v>
      </c>
      <c r="AD2197" s="43" t="e">
        <f>(LayTable[[#This Row],[LayWin-Commission]])+LayTable[[#This Row],[LayLiability]]</f>
        <v>#VALUE!</v>
      </c>
      <c r="AE2197" s="43"/>
      <c r="AF2197" s="181"/>
    </row>
    <row r="2198" spans="1:32">
      <c r="A2198" s="84"/>
      <c r="B2198" s="39"/>
      <c r="C2198" s="40"/>
      <c r="D2198" s="41"/>
      <c r="E2198" s="40"/>
      <c r="F2198" s="41"/>
      <c r="G2198" s="101"/>
      <c r="H2198" s="38"/>
      <c r="I2198" s="42"/>
      <c r="J2198" s="42"/>
      <c r="K2198" s="43"/>
      <c r="L2198" s="43"/>
      <c r="M2198" s="44" t="str">
        <f>IF(LayTable[[#This Row],[Sport]]="","",LayTable[[#This Row],[LayInnsats]]*(LayTable[[#This Row],[LayOdds]]-1))</f>
        <v/>
      </c>
      <c r="N2198" s="45" t="str">
        <f>IF(LayTable[[#This Row],[Sport]]="","",1/((1/LayTable[[#This Row],[BookieOdds]])+(1/((1/((1+((LayTable[[#This Row],[LayOdds]]-1)*(1+LayTable[[#This Row],[C% Lay]])))-1))+1)))-1)</f>
        <v/>
      </c>
      <c r="Q2198" s="46" t="str">
        <f>IF(LayTable[[#This Row],[Sport]]="","",LayTable[[#This Row],[BookieInnsats]]+LayTable[[#This Row],[LayLiability]])</f>
        <v/>
      </c>
      <c r="R219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8" s="47" t="str">
        <f>IF(LayTable[[#This Row],[Utfall bookie]]="","",LayTable[[#This Row],[WBABack]]+LayTable[[#This Row],[WBALay]]-LayTable[[#This Row],[Total inns]])</f>
        <v/>
      </c>
      <c r="U219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8" s="48" t="str">
        <f>IFERROR(IF(LayTable[[#This Row],[Total inns]]="","",LayTable[[#This Row],[Rback]]/LayTable[[#This Row],[Total inns]]),"")</f>
        <v/>
      </c>
      <c r="X2198" s="48" t="str">
        <f>IFERROR(IF(LayTable[[#This Row],[Total inns]]="","",LayTable[[#This Row],[Rlay]]/LayTable[[#This Row],[Total inns]]),"")</f>
        <v/>
      </c>
      <c r="Y2198" s="48" t="str">
        <f>IFERROR(LayTable[[#This Row],[Faktisk res]]/LayTable[[#This Row],[Total inns]],"")</f>
        <v/>
      </c>
      <c r="Z2198" s="47">
        <f>(LayTable[[#This Row],[BookieInnsats]]*LayTable[[#This Row],[BookieOdds]]-LayTable[[#This Row],[BookieInnsats]])*(1-LayTable[[#This Row],[C% Bookie]])</f>
        <v>0</v>
      </c>
      <c r="AA2198" s="43">
        <f>LayTable[[#This Row],[LayInnsats]]*(1-LayTable[[#This Row],[C% Lay]])</f>
        <v>0</v>
      </c>
      <c r="AB2198" s="43" t="str">
        <f>IFERROR(IF(LayTable[[#This Row],[Sport]]="",AB2197,LayTable[[#This Row],[Faktisk res]]+AB2197),"")</f>
        <v/>
      </c>
      <c r="AC2198" s="43">
        <f>(LayTable[[#This Row],[BackWin-Commission]]+LayTable[[#This Row],[BookieInnsats]])</f>
        <v>0</v>
      </c>
      <c r="AD2198" s="43" t="e">
        <f>(LayTable[[#This Row],[LayWin-Commission]])+LayTable[[#This Row],[LayLiability]]</f>
        <v>#VALUE!</v>
      </c>
      <c r="AE2198" s="43"/>
      <c r="AF2198" s="181"/>
    </row>
    <row r="2199" spans="1:32">
      <c r="A2199" s="84"/>
      <c r="B2199" s="39"/>
      <c r="C2199" s="40"/>
      <c r="D2199" s="41"/>
      <c r="E2199" s="40"/>
      <c r="F2199" s="41"/>
      <c r="G2199" s="101"/>
      <c r="H2199" s="38"/>
      <c r="I2199" s="42"/>
      <c r="J2199" s="42"/>
      <c r="K2199" s="43"/>
      <c r="L2199" s="43"/>
      <c r="M2199" s="44" t="str">
        <f>IF(LayTable[[#This Row],[Sport]]="","",LayTable[[#This Row],[LayInnsats]]*(LayTable[[#This Row],[LayOdds]]-1))</f>
        <v/>
      </c>
      <c r="N2199" s="45" t="str">
        <f>IF(LayTable[[#This Row],[Sport]]="","",1/((1/LayTable[[#This Row],[BookieOdds]])+(1/((1/((1+((LayTable[[#This Row],[LayOdds]]-1)*(1+LayTable[[#This Row],[C% Lay]])))-1))+1)))-1)</f>
        <v/>
      </c>
      <c r="Q2199" s="46" t="str">
        <f>IF(LayTable[[#This Row],[Sport]]="","",LayTable[[#This Row],[BookieInnsats]]+LayTable[[#This Row],[LayLiability]])</f>
        <v/>
      </c>
      <c r="R219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19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199" s="47" t="str">
        <f>IF(LayTable[[#This Row],[Utfall bookie]]="","",LayTable[[#This Row],[WBABack]]+LayTable[[#This Row],[WBALay]]-LayTable[[#This Row],[Total inns]])</f>
        <v/>
      </c>
      <c r="U219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19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199" s="48" t="str">
        <f>IFERROR(IF(LayTable[[#This Row],[Total inns]]="","",LayTable[[#This Row],[Rback]]/LayTable[[#This Row],[Total inns]]),"")</f>
        <v/>
      </c>
      <c r="X2199" s="48" t="str">
        <f>IFERROR(IF(LayTable[[#This Row],[Total inns]]="","",LayTable[[#This Row],[Rlay]]/LayTable[[#This Row],[Total inns]]),"")</f>
        <v/>
      </c>
      <c r="Y2199" s="48" t="str">
        <f>IFERROR(LayTable[[#This Row],[Faktisk res]]/LayTable[[#This Row],[Total inns]],"")</f>
        <v/>
      </c>
      <c r="Z2199" s="47">
        <f>(LayTable[[#This Row],[BookieInnsats]]*LayTable[[#This Row],[BookieOdds]]-LayTable[[#This Row],[BookieInnsats]])*(1-LayTable[[#This Row],[C% Bookie]])</f>
        <v>0</v>
      </c>
      <c r="AA2199" s="43">
        <f>LayTable[[#This Row],[LayInnsats]]*(1-LayTable[[#This Row],[C% Lay]])</f>
        <v>0</v>
      </c>
      <c r="AB2199" s="43" t="str">
        <f>IFERROR(IF(LayTable[[#This Row],[Sport]]="",AB2198,LayTable[[#This Row],[Faktisk res]]+AB2198),"")</f>
        <v/>
      </c>
      <c r="AC2199" s="43">
        <f>(LayTable[[#This Row],[BackWin-Commission]]+LayTable[[#This Row],[BookieInnsats]])</f>
        <v>0</v>
      </c>
      <c r="AD2199" s="43" t="e">
        <f>(LayTable[[#This Row],[LayWin-Commission]])+LayTable[[#This Row],[LayLiability]]</f>
        <v>#VALUE!</v>
      </c>
      <c r="AE2199" s="43"/>
      <c r="AF2199" s="181"/>
    </row>
    <row r="2200" spans="1:32">
      <c r="A2200" s="84"/>
      <c r="B2200" s="39"/>
      <c r="C2200" s="40"/>
      <c r="D2200" s="41"/>
      <c r="E2200" s="40"/>
      <c r="F2200" s="41"/>
      <c r="G2200" s="101"/>
      <c r="H2200" s="38"/>
      <c r="I2200" s="42"/>
      <c r="J2200" s="42"/>
      <c r="K2200" s="43"/>
      <c r="L2200" s="43"/>
      <c r="M2200" s="44" t="str">
        <f>IF(LayTable[[#This Row],[Sport]]="","",LayTable[[#This Row],[LayInnsats]]*(LayTable[[#This Row],[LayOdds]]-1))</f>
        <v/>
      </c>
      <c r="N2200" s="45" t="str">
        <f>IF(LayTable[[#This Row],[Sport]]="","",1/((1/LayTable[[#This Row],[BookieOdds]])+(1/((1/((1+((LayTable[[#This Row],[LayOdds]]-1)*(1+LayTable[[#This Row],[C% Lay]])))-1))+1)))-1)</f>
        <v/>
      </c>
      <c r="Q2200" s="46" t="str">
        <f>IF(LayTable[[#This Row],[Sport]]="","",LayTable[[#This Row],[BookieInnsats]]+LayTable[[#This Row],[LayLiability]])</f>
        <v/>
      </c>
      <c r="R220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0" s="47" t="str">
        <f>IF(LayTable[[#This Row],[Utfall bookie]]="","",LayTable[[#This Row],[WBABack]]+LayTable[[#This Row],[WBALay]]-LayTable[[#This Row],[Total inns]])</f>
        <v/>
      </c>
      <c r="U220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0" s="48" t="str">
        <f>IFERROR(IF(LayTable[[#This Row],[Total inns]]="","",LayTable[[#This Row],[Rback]]/LayTable[[#This Row],[Total inns]]),"")</f>
        <v/>
      </c>
      <c r="X2200" s="48" t="str">
        <f>IFERROR(IF(LayTable[[#This Row],[Total inns]]="","",LayTable[[#This Row],[Rlay]]/LayTable[[#This Row],[Total inns]]),"")</f>
        <v/>
      </c>
      <c r="Y2200" s="48" t="str">
        <f>IFERROR(LayTable[[#This Row],[Faktisk res]]/LayTable[[#This Row],[Total inns]],"")</f>
        <v/>
      </c>
      <c r="Z2200" s="47">
        <f>(LayTable[[#This Row],[BookieInnsats]]*LayTable[[#This Row],[BookieOdds]]-LayTable[[#This Row],[BookieInnsats]])*(1-LayTable[[#This Row],[C% Bookie]])</f>
        <v>0</v>
      </c>
      <c r="AA2200" s="43">
        <f>LayTable[[#This Row],[LayInnsats]]*(1-LayTable[[#This Row],[C% Lay]])</f>
        <v>0</v>
      </c>
      <c r="AB2200" s="43" t="str">
        <f>IFERROR(IF(LayTable[[#This Row],[Sport]]="",AB2199,LayTable[[#This Row],[Faktisk res]]+AB2199),"")</f>
        <v/>
      </c>
      <c r="AC2200" s="43">
        <f>(LayTable[[#This Row],[BackWin-Commission]]+LayTable[[#This Row],[BookieInnsats]])</f>
        <v>0</v>
      </c>
      <c r="AD2200" s="43" t="e">
        <f>(LayTable[[#This Row],[LayWin-Commission]])+LayTable[[#This Row],[LayLiability]]</f>
        <v>#VALUE!</v>
      </c>
      <c r="AE2200" s="43"/>
      <c r="AF2200" s="181"/>
    </row>
    <row r="2201" spans="1:32">
      <c r="A2201" s="84"/>
      <c r="B2201" s="39"/>
      <c r="C2201" s="40"/>
      <c r="D2201" s="41"/>
      <c r="E2201" s="40"/>
      <c r="F2201" s="41"/>
      <c r="G2201" s="101"/>
      <c r="H2201" s="38"/>
      <c r="I2201" s="42"/>
      <c r="J2201" s="42"/>
      <c r="K2201" s="43"/>
      <c r="L2201" s="43"/>
      <c r="M2201" s="44" t="str">
        <f>IF(LayTable[[#This Row],[Sport]]="","",LayTable[[#This Row],[LayInnsats]]*(LayTable[[#This Row],[LayOdds]]-1))</f>
        <v/>
      </c>
      <c r="N2201" s="45" t="str">
        <f>IF(LayTable[[#This Row],[Sport]]="","",1/((1/LayTable[[#This Row],[BookieOdds]])+(1/((1/((1+((LayTable[[#This Row],[LayOdds]]-1)*(1+LayTable[[#This Row],[C% Lay]])))-1))+1)))-1)</f>
        <v/>
      </c>
      <c r="Q2201" s="46" t="str">
        <f>IF(LayTable[[#This Row],[Sport]]="","",LayTable[[#This Row],[BookieInnsats]]+LayTable[[#This Row],[LayLiability]])</f>
        <v/>
      </c>
      <c r="R220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1" s="47" t="str">
        <f>IF(LayTable[[#This Row],[Utfall bookie]]="","",LayTable[[#This Row],[WBABack]]+LayTable[[#This Row],[WBALay]]-LayTable[[#This Row],[Total inns]])</f>
        <v/>
      </c>
      <c r="U220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1" s="48" t="str">
        <f>IFERROR(IF(LayTable[[#This Row],[Total inns]]="","",LayTable[[#This Row],[Rback]]/LayTable[[#This Row],[Total inns]]),"")</f>
        <v/>
      </c>
      <c r="X2201" s="48" t="str">
        <f>IFERROR(IF(LayTable[[#This Row],[Total inns]]="","",LayTable[[#This Row],[Rlay]]/LayTable[[#This Row],[Total inns]]),"")</f>
        <v/>
      </c>
      <c r="Y2201" s="48" t="str">
        <f>IFERROR(LayTable[[#This Row],[Faktisk res]]/LayTable[[#This Row],[Total inns]],"")</f>
        <v/>
      </c>
      <c r="Z2201" s="47">
        <f>(LayTable[[#This Row],[BookieInnsats]]*LayTable[[#This Row],[BookieOdds]]-LayTable[[#This Row],[BookieInnsats]])*(1-LayTable[[#This Row],[C% Bookie]])</f>
        <v>0</v>
      </c>
      <c r="AA2201" s="43">
        <f>LayTable[[#This Row],[LayInnsats]]*(1-LayTable[[#This Row],[C% Lay]])</f>
        <v>0</v>
      </c>
      <c r="AB2201" s="43" t="str">
        <f>IFERROR(IF(LayTable[[#This Row],[Sport]]="",AB2200,LayTable[[#This Row],[Faktisk res]]+AB2200),"")</f>
        <v/>
      </c>
      <c r="AC2201" s="43">
        <f>(LayTable[[#This Row],[BackWin-Commission]]+LayTable[[#This Row],[BookieInnsats]])</f>
        <v>0</v>
      </c>
      <c r="AD2201" s="43" t="e">
        <f>(LayTable[[#This Row],[LayWin-Commission]])+LayTable[[#This Row],[LayLiability]]</f>
        <v>#VALUE!</v>
      </c>
      <c r="AE2201" s="43"/>
      <c r="AF2201" s="181"/>
    </row>
    <row r="2202" spans="1:32">
      <c r="A2202" s="84"/>
      <c r="B2202" s="39"/>
      <c r="C2202" s="40"/>
      <c r="D2202" s="41"/>
      <c r="E2202" s="40"/>
      <c r="F2202" s="41"/>
      <c r="G2202" s="101"/>
      <c r="H2202" s="38"/>
      <c r="I2202" s="42"/>
      <c r="J2202" s="42"/>
      <c r="K2202" s="43"/>
      <c r="L2202" s="43"/>
      <c r="M2202" s="44" t="str">
        <f>IF(LayTable[[#This Row],[Sport]]="","",LayTable[[#This Row],[LayInnsats]]*(LayTable[[#This Row],[LayOdds]]-1))</f>
        <v/>
      </c>
      <c r="N2202" s="45" t="str">
        <f>IF(LayTable[[#This Row],[Sport]]="","",1/((1/LayTable[[#This Row],[BookieOdds]])+(1/((1/((1+((LayTable[[#This Row],[LayOdds]]-1)*(1+LayTable[[#This Row],[C% Lay]])))-1))+1)))-1)</f>
        <v/>
      </c>
      <c r="Q2202" s="46" t="str">
        <f>IF(LayTable[[#This Row],[Sport]]="","",LayTable[[#This Row],[BookieInnsats]]+LayTable[[#This Row],[LayLiability]])</f>
        <v/>
      </c>
      <c r="R220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2" s="47" t="str">
        <f>IF(LayTable[[#This Row],[Utfall bookie]]="","",LayTable[[#This Row],[WBABack]]+LayTable[[#This Row],[WBALay]]-LayTable[[#This Row],[Total inns]])</f>
        <v/>
      </c>
      <c r="U220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2" s="48" t="str">
        <f>IFERROR(IF(LayTable[[#This Row],[Total inns]]="","",LayTable[[#This Row],[Rback]]/LayTable[[#This Row],[Total inns]]),"")</f>
        <v/>
      </c>
      <c r="X2202" s="48" t="str">
        <f>IFERROR(IF(LayTable[[#This Row],[Total inns]]="","",LayTable[[#This Row],[Rlay]]/LayTable[[#This Row],[Total inns]]),"")</f>
        <v/>
      </c>
      <c r="Y2202" s="48" t="str">
        <f>IFERROR(LayTable[[#This Row],[Faktisk res]]/LayTable[[#This Row],[Total inns]],"")</f>
        <v/>
      </c>
      <c r="Z2202" s="47">
        <f>(LayTable[[#This Row],[BookieInnsats]]*LayTable[[#This Row],[BookieOdds]]-LayTable[[#This Row],[BookieInnsats]])*(1-LayTable[[#This Row],[C% Bookie]])</f>
        <v>0</v>
      </c>
      <c r="AA2202" s="43">
        <f>LayTable[[#This Row],[LayInnsats]]*(1-LayTable[[#This Row],[C% Lay]])</f>
        <v>0</v>
      </c>
      <c r="AB2202" s="43" t="str">
        <f>IFERROR(IF(LayTable[[#This Row],[Sport]]="",AB2201,LayTable[[#This Row],[Faktisk res]]+AB2201),"")</f>
        <v/>
      </c>
      <c r="AC2202" s="43">
        <f>(LayTable[[#This Row],[BackWin-Commission]]+LayTable[[#This Row],[BookieInnsats]])</f>
        <v>0</v>
      </c>
      <c r="AD2202" s="43" t="e">
        <f>(LayTable[[#This Row],[LayWin-Commission]])+LayTable[[#This Row],[LayLiability]]</f>
        <v>#VALUE!</v>
      </c>
      <c r="AE2202" s="43"/>
      <c r="AF2202" s="181"/>
    </row>
    <row r="2203" spans="1:32">
      <c r="A2203" s="84"/>
      <c r="B2203" s="39"/>
      <c r="C2203" s="40"/>
      <c r="D2203" s="41"/>
      <c r="E2203" s="40"/>
      <c r="F2203" s="41"/>
      <c r="G2203" s="101"/>
      <c r="H2203" s="38"/>
      <c r="I2203" s="42"/>
      <c r="J2203" s="42"/>
      <c r="K2203" s="43"/>
      <c r="L2203" s="43"/>
      <c r="M2203" s="44" t="str">
        <f>IF(LayTable[[#This Row],[Sport]]="","",LayTable[[#This Row],[LayInnsats]]*(LayTable[[#This Row],[LayOdds]]-1))</f>
        <v/>
      </c>
      <c r="N2203" s="45" t="str">
        <f>IF(LayTable[[#This Row],[Sport]]="","",1/((1/LayTable[[#This Row],[BookieOdds]])+(1/((1/((1+((LayTable[[#This Row],[LayOdds]]-1)*(1+LayTable[[#This Row],[C% Lay]])))-1))+1)))-1)</f>
        <v/>
      </c>
      <c r="Q2203" s="46" t="str">
        <f>IF(LayTable[[#This Row],[Sport]]="","",LayTable[[#This Row],[BookieInnsats]]+LayTable[[#This Row],[LayLiability]])</f>
        <v/>
      </c>
      <c r="R220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3" s="47" t="str">
        <f>IF(LayTable[[#This Row],[Utfall bookie]]="","",LayTable[[#This Row],[WBABack]]+LayTable[[#This Row],[WBALay]]-LayTable[[#This Row],[Total inns]])</f>
        <v/>
      </c>
      <c r="U220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3" s="48" t="str">
        <f>IFERROR(IF(LayTable[[#This Row],[Total inns]]="","",LayTable[[#This Row],[Rback]]/LayTable[[#This Row],[Total inns]]),"")</f>
        <v/>
      </c>
      <c r="X2203" s="48" t="str">
        <f>IFERROR(IF(LayTable[[#This Row],[Total inns]]="","",LayTable[[#This Row],[Rlay]]/LayTable[[#This Row],[Total inns]]),"")</f>
        <v/>
      </c>
      <c r="Y2203" s="48" t="str">
        <f>IFERROR(LayTable[[#This Row],[Faktisk res]]/LayTable[[#This Row],[Total inns]],"")</f>
        <v/>
      </c>
      <c r="Z2203" s="47">
        <f>(LayTable[[#This Row],[BookieInnsats]]*LayTable[[#This Row],[BookieOdds]]-LayTable[[#This Row],[BookieInnsats]])*(1-LayTable[[#This Row],[C% Bookie]])</f>
        <v>0</v>
      </c>
      <c r="AA2203" s="43">
        <f>LayTable[[#This Row],[LayInnsats]]*(1-LayTable[[#This Row],[C% Lay]])</f>
        <v>0</v>
      </c>
      <c r="AB2203" s="43" t="str">
        <f>IFERROR(IF(LayTable[[#This Row],[Sport]]="",AB2202,LayTable[[#This Row],[Faktisk res]]+AB2202),"")</f>
        <v/>
      </c>
      <c r="AC2203" s="43">
        <f>(LayTable[[#This Row],[BackWin-Commission]]+LayTable[[#This Row],[BookieInnsats]])</f>
        <v>0</v>
      </c>
      <c r="AD2203" s="43" t="e">
        <f>(LayTable[[#This Row],[LayWin-Commission]])+LayTable[[#This Row],[LayLiability]]</f>
        <v>#VALUE!</v>
      </c>
      <c r="AE2203" s="43"/>
      <c r="AF2203" s="181"/>
    </row>
    <row r="2204" spans="1:32">
      <c r="A2204" s="84"/>
      <c r="B2204" s="39"/>
      <c r="C2204" s="40"/>
      <c r="D2204" s="41"/>
      <c r="E2204" s="40"/>
      <c r="F2204" s="41"/>
      <c r="G2204" s="101"/>
      <c r="H2204" s="38"/>
      <c r="I2204" s="42"/>
      <c r="J2204" s="42"/>
      <c r="K2204" s="43"/>
      <c r="L2204" s="43"/>
      <c r="M2204" s="44" t="str">
        <f>IF(LayTable[[#This Row],[Sport]]="","",LayTable[[#This Row],[LayInnsats]]*(LayTable[[#This Row],[LayOdds]]-1))</f>
        <v/>
      </c>
      <c r="N2204" s="45" t="str">
        <f>IF(LayTable[[#This Row],[Sport]]="","",1/((1/LayTable[[#This Row],[BookieOdds]])+(1/((1/((1+((LayTable[[#This Row],[LayOdds]]-1)*(1+LayTable[[#This Row],[C% Lay]])))-1))+1)))-1)</f>
        <v/>
      </c>
      <c r="Q2204" s="46" t="str">
        <f>IF(LayTable[[#This Row],[Sport]]="","",LayTable[[#This Row],[BookieInnsats]]+LayTable[[#This Row],[LayLiability]])</f>
        <v/>
      </c>
      <c r="R220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4" s="47" t="str">
        <f>IF(LayTable[[#This Row],[Utfall bookie]]="","",LayTable[[#This Row],[WBABack]]+LayTable[[#This Row],[WBALay]]-LayTable[[#This Row],[Total inns]])</f>
        <v/>
      </c>
      <c r="U220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4" s="48" t="str">
        <f>IFERROR(IF(LayTable[[#This Row],[Total inns]]="","",LayTable[[#This Row],[Rback]]/LayTable[[#This Row],[Total inns]]),"")</f>
        <v/>
      </c>
      <c r="X2204" s="48" t="str">
        <f>IFERROR(IF(LayTable[[#This Row],[Total inns]]="","",LayTable[[#This Row],[Rlay]]/LayTable[[#This Row],[Total inns]]),"")</f>
        <v/>
      </c>
      <c r="Y2204" s="48" t="str">
        <f>IFERROR(LayTable[[#This Row],[Faktisk res]]/LayTable[[#This Row],[Total inns]],"")</f>
        <v/>
      </c>
      <c r="Z2204" s="47">
        <f>(LayTable[[#This Row],[BookieInnsats]]*LayTable[[#This Row],[BookieOdds]]-LayTable[[#This Row],[BookieInnsats]])*(1-LayTable[[#This Row],[C% Bookie]])</f>
        <v>0</v>
      </c>
      <c r="AA2204" s="43">
        <f>LayTable[[#This Row],[LayInnsats]]*(1-LayTable[[#This Row],[C% Lay]])</f>
        <v>0</v>
      </c>
      <c r="AB2204" s="43" t="str">
        <f>IFERROR(IF(LayTable[[#This Row],[Sport]]="",AB2203,LayTable[[#This Row],[Faktisk res]]+AB2203),"")</f>
        <v/>
      </c>
      <c r="AC2204" s="43">
        <f>(LayTable[[#This Row],[BackWin-Commission]]+LayTable[[#This Row],[BookieInnsats]])</f>
        <v>0</v>
      </c>
      <c r="AD2204" s="43" t="e">
        <f>(LayTable[[#This Row],[LayWin-Commission]])+LayTable[[#This Row],[LayLiability]]</f>
        <v>#VALUE!</v>
      </c>
      <c r="AE2204" s="43"/>
      <c r="AF2204" s="181"/>
    </row>
    <row r="2205" spans="1:32">
      <c r="A2205" s="84"/>
      <c r="B2205" s="39"/>
      <c r="C2205" s="40"/>
      <c r="D2205" s="41"/>
      <c r="E2205" s="40"/>
      <c r="F2205" s="41"/>
      <c r="G2205" s="101"/>
      <c r="H2205" s="38"/>
      <c r="I2205" s="42"/>
      <c r="J2205" s="42"/>
      <c r="K2205" s="43"/>
      <c r="L2205" s="43"/>
      <c r="M2205" s="44" t="str">
        <f>IF(LayTable[[#This Row],[Sport]]="","",LayTable[[#This Row],[LayInnsats]]*(LayTable[[#This Row],[LayOdds]]-1))</f>
        <v/>
      </c>
      <c r="N2205" s="45" t="str">
        <f>IF(LayTable[[#This Row],[Sport]]="","",1/((1/LayTable[[#This Row],[BookieOdds]])+(1/((1/((1+((LayTable[[#This Row],[LayOdds]]-1)*(1+LayTable[[#This Row],[C% Lay]])))-1))+1)))-1)</f>
        <v/>
      </c>
      <c r="Q2205" s="46" t="str">
        <f>IF(LayTable[[#This Row],[Sport]]="","",LayTable[[#This Row],[BookieInnsats]]+LayTable[[#This Row],[LayLiability]])</f>
        <v/>
      </c>
      <c r="R220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5" s="47" t="str">
        <f>IF(LayTable[[#This Row],[Utfall bookie]]="","",LayTable[[#This Row],[WBABack]]+LayTable[[#This Row],[WBALay]]-LayTable[[#This Row],[Total inns]])</f>
        <v/>
      </c>
      <c r="U220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5" s="48" t="str">
        <f>IFERROR(IF(LayTable[[#This Row],[Total inns]]="","",LayTable[[#This Row],[Rback]]/LayTable[[#This Row],[Total inns]]),"")</f>
        <v/>
      </c>
      <c r="X2205" s="48" t="str">
        <f>IFERROR(IF(LayTable[[#This Row],[Total inns]]="","",LayTable[[#This Row],[Rlay]]/LayTable[[#This Row],[Total inns]]),"")</f>
        <v/>
      </c>
      <c r="Y2205" s="48" t="str">
        <f>IFERROR(LayTable[[#This Row],[Faktisk res]]/LayTable[[#This Row],[Total inns]],"")</f>
        <v/>
      </c>
      <c r="Z2205" s="47">
        <f>(LayTable[[#This Row],[BookieInnsats]]*LayTable[[#This Row],[BookieOdds]]-LayTable[[#This Row],[BookieInnsats]])*(1-LayTable[[#This Row],[C% Bookie]])</f>
        <v>0</v>
      </c>
      <c r="AA2205" s="43">
        <f>LayTable[[#This Row],[LayInnsats]]*(1-LayTable[[#This Row],[C% Lay]])</f>
        <v>0</v>
      </c>
      <c r="AB2205" s="43" t="str">
        <f>IFERROR(IF(LayTable[[#This Row],[Sport]]="",AB2204,LayTable[[#This Row],[Faktisk res]]+AB2204),"")</f>
        <v/>
      </c>
      <c r="AC2205" s="43">
        <f>(LayTable[[#This Row],[BackWin-Commission]]+LayTable[[#This Row],[BookieInnsats]])</f>
        <v>0</v>
      </c>
      <c r="AD2205" s="43" t="e">
        <f>(LayTable[[#This Row],[LayWin-Commission]])+LayTable[[#This Row],[LayLiability]]</f>
        <v>#VALUE!</v>
      </c>
      <c r="AE2205" s="43"/>
      <c r="AF2205" s="181"/>
    </row>
    <row r="2206" spans="1:32">
      <c r="A2206" s="84"/>
      <c r="B2206" s="39"/>
      <c r="C2206" s="40"/>
      <c r="D2206" s="41"/>
      <c r="E2206" s="40"/>
      <c r="F2206" s="41"/>
      <c r="G2206" s="101"/>
      <c r="H2206" s="38"/>
      <c r="I2206" s="42"/>
      <c r="J2206" s="42"/>
      <c r="K2206" s="43"/>
      <c r="L2206" s="43"/>
      <c r="M2206" s="44" t="str">
        <f>IF(LayTable[[#This Row],[Sport]]="","",LayTable[[#This Row],[LayInnsats]]*(LayTable[[#This Row],[LayOdds]]-1))</f>
        <v/>
      </c>
      <c r="N2206" s="45" t="str">
        <f>IF(LayTable[[#This Row],[Sport]]="","",1/((1/LayTable[[#This Row],[BookieOdds]])+(1/((1/((1+((LayTable[[#This Row],[LayOdds]]-1)*(1+LayTable[[#This Row],[C% Lay]])))-1))+1)))-1)</f>
        <v/>
      </c>
      <c r="Q2206" s="46" t="str">
        <f>IF(LayTable[[#This Row],[Sport]]="","",LayTable[[#This Row],[BookieInnsats]]+LayTable[[#This Row],[LayLiability]])</f>
        <v/>
      </c>
      <c r="R220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6" s="47" t="str">
        <f>IF(LayTable[[#This Row],[Utfall bookie]]="","",LayTable[[#This Row],[WBABack]]+LayTable[[#This Row],[WBALay]]-LayTable[[#This Row],[Total inns]])</f>
        <v/>
      </c>
      <c r="U220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6" s="48" t="str">
        <f>IFERROR(IF(LayTable[[#This Row],[Total inns]]="","",LayTable[[#This Row],[Rback]]/LayTable[[#This Row],[Total inns]]),"")</f>
        <v/>
      </c>
      <c r="X2206" s="48" t="str">
        <f>IFERROR(IF(LayTable[[#This Row],[Total inns]]="","",LayTable[[#This Row],[Rlay]]/LayTable[[#This Row],[Total inns]]),"")</f>
        <v/>
      </c>
      <c r="Y2206" s="48" t="str">
        <f>IFERROR(LayTable[[#This Row],[Faktisk res]]/LayTable[[#This Row],[Total inns]],"")</f>
        <v/>
      </c>
      <c r="Z2206" s="47">
        <f>(LayTable[[#This Row],[BookieInnsats]]*LayTable[[#This Row],[BookieOdds]]-LayTable[[#This Row],[BookieInnsats]])*(1-LayTable[[#This Row],[C% Bookie]])</f>
        <v>0</v>
      </c>
      <c r="AA2206" s="43">
        <f>LayTable[[#This Row],[LayInnsats]]*(1-LayTable[[#This Row],[C% Lay]])</f>
        <v>0</v>
      </c>
      <c r="AB2206" s="43" t="str">
        <f>IFERROR(IF(LayTable[[#This Row],[Sport]]="",AB2205,LayTable[[#This Row],[Faktisk res]]+AB2205),"")</f>
        <v/>
      </c>
      <c r="AC2206" s="43">
        <f>(LayTable[[#This Row],[BackWin-Commission]]+LayTable[[#This Row],[BookieInnsats]])</f>
        <v>0</v>
      </c>
      <c r="AD2206" s="43" t="e">
        <f>(LayTable[[#This Row],[LayWin-Commission]])+LayTable[[#This Row],[LayLiability]]</f>
        <v>#VALUE!</v>
      </c>
      <c r="AE2206" s="43"/>
      <c r="AF2206" s="181"/>
    </row>
    <row r="2207" spans="1:32">
      <c r="A2207" s="84"/>
      <c r="B2207" s="39"/>
      <c r="C2207" s="40"/>
      <c r="D2207" s="41"/>
      <c r="E2207" s="40"/>
      <c r="F2207" s="41"/>
      <c r="G2207" s="101"/>
      <c r="H2207" s="38"/>
      <c r="I2207" s="42"/>
      <c r="J2207" s="42"/>
      <c r="K2207" s="43"/>
      <c r="L2207" s="43"/>
      <c r="M2207" s="44" t="str">
        <f>IF(LayTable[[#This Row],[Sport]]="","",LayTable[[#This Row],[LayInnsats]]*(LayTable[[#This Row],[LayOdds]]-1))</f>
        <v/>
      </c>
      <c r="N2207" s="45" t="str">
        <f>IF(LayTable[[#This Row],[Sport]]="","",1/((1/LayTable[[#This Row],[BookieOdds]])+(1/((1/((1+((LayTable[[#This Row],[LayOdds]]-1)*(1+LayTable[[#This Row],[C% Lay]])))-1))+1)))-1)</f>
        <v/>
      </c>
      <c r="Q2207" s="46" t="str">
        <f>IF(LayTable[[#This Row],[Sport]]="","",LayTable[[#This Row],[BookieInnsats]]+LayTable[[#This Row],[LayLiability]])</f>
        <v/>
      </c>
      <c r="R220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7" s="47" t="str">
        <f>IF(LayTable[[#This Row],[Utfall bookie]]="","",LayTable[[#This Row],[WBABack]]+LayTable[[#This Row],[WBALay]]-LayTable[[#This Row],[Total inns]])</f>
        <v/>
      </c>
      <c r="U220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7" s="48" t="str">
        <f>IFERROR(IF(LayTable[[#This Row],[Total inns]]="","",LayTable[[#This Row],[Rback]]/LayTable[[#This Row],[Total inns]]),"")</f>
        <v/>
      </c>
      <c r="X2207" s="48" t="str">
        <f>IFERROR(IF(LayTable[[#This Row],[Total inns]]="","",LayTable[[#This Row],[Rlay]]/LayTable[[#This Row],[Total inns]]),"")</f>
        <v/>
      </c>
      <c r="Y2207" s="48" t="str">
        <f>IFERROR(LayTable[[#This Row],[Faktisk res]]/LayTable[[#This Row],[Total inns]],"")</f>
        <v/>
      </c>
      <c r="Z2207" s="47">
        <f>(LayTable[[#This Row],[BookieInnsats]]*LayTable[[#This Row],[BookieOdds]]-LayTable[[#This Row],[BookieInnsats]])*(1-LayTable[[#This Row],[C% Bookie]])</f>
        <v>0</v>
      </c>
      <c r="AA2207" s="43">
        <f>LayTable[[#This Row],[LayInnsats]]*(1-LayTable[[#This Row],[C% Lay]])</f>
        <v>0</v>
      </c>
      <c r="AB2207" s="43" t="str">
        <f>IFERROR(IF(LayTable[[#This Row],[Sport]]="",AB2206,LayTable[[#This Row],[Faktisk res]]+AB2206),"")</f>
        <v/>
      </c>
      <c r="AC2207" s="43">
        <f>(LayTable[[#This Row],[BackWin-Commission]]+LayTable[[#This Row],[BookieInnsats]])</f>
        <v>0</v>
      </c>
      <c r="AD2207" s="43" t="e">
        <f>(LayTable[[#This Row],[LayWin-Commission]])+LayTable[[#This Row],[LayLiability]]</f>
        <v>#VALUE!</v>
      </c>
      <c r="AE2207" s="43"/>
      <c r="AF2207" s="181"/>
    </row>
    <row r="2208" spans="1:32">
      <c r="A2208" s="84"/>
      <c r="B2208" s="39"/>
      <c r="C2208" s="40"/>
      <c r="D2208" s="41"/>
      <c r="E2208" s="40"/>
      <c r="F2208" s="41"/>
      <c r="G2208" s="101"/>
      <c r="H2208" s="38"/>
      <c r="I2208" s="42"/>
      <c r="J2208" s="42"/>
      <c r="K2208" s="43"/>
      <c r="L2208" s="43"/>
      <c r="M2208" s="44" t="str">
        <f>IF(LayTable[[#This Row],[Sport]]="","",LayTable[[#This Row],[LayInnsats]]*(LayTable[[#This Row],[LayOdds]]-1))</f>
        <v/>
      </c>
      <c r="N2208" s="45" t="str">
        <f>IF(LayTable[[#This Row],[Sport]]="","",1/((1/LayTable[[#This Row],[BookieOdds]])+(1/((1/((1+((LayTable[[#This Row],[LayOdds]]-1)*(1+LayTable[[#This Row],[C% Lay]])))-1))+1)))-1)</f>
        <v/>
      </c>
      <c r="Q2208" s="46" t="str">
        <f>IF(LayTable[[#This Row],[Sport]]="","",LayTable[[#This Row],[BookieInnsats]]+LayTable[[#This Row],[LayLiability]])</f>
        <v/>
      </c>
      <c r="R220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8" s="47" t="str">
        <f>IF(LayTable[[#This Row],[Utfall bookie]]="","",LayTable[[#This Row],[WBABack]]+LayTable[[#This Row],[WBALay]]-LayTable[[#This Row],[Total inns]])</f>
        <v/>
      </c>
      <c r="U220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8" s="48" t="str">
        <f>IFERROR(IF(LayTable[[#This Row],[Total inns]]="","",LayTable[[#This Row],[Rback]]/LayTable[[#This Row],[Total inns]]),"")</f>
        <v/>
      </c>
      <c r="X2208" s="48" t="str">
        <f>IFERROR(IF(LayTable[[#This Row],[Total inns]]="","",LayTable[[#This Row],[Rlay]]/LayTable[[#This Row],[Total inns]]),"")</f>
        <v/>
      </c>
      <c r="Y2208" s="48" t="str">
        <f>IFERROR(LayTable[[#This Row],[Faktisk res]]/LayTable[[#This Row],[Total inns]],"")</f>
        <v/>
      </c>
      <c r="Z2208" s="47">
        <f>(LayTable[[#This Row],[BookieInnsats]]*LayTable[[#This Row],[BookieOdds]]-LayTable[[#This Row],[BookieInnsats]])*(1-LayTable[[#This Row],[C% Bookie]])</f>
        <v>0</v>
      </c>
      <c r="AA2208" s="43">
        <f>LayTable[[#This Row],[LayInnsats]]*(1-LayTable[[#This Row],[C% Lay]])</f>
        <v>0</v>
      </c>
      <c r="AB2208" s="43" t="str">
        <f>IFERROR(IF(LayTable[[#This Row],[Sport]]="",AB2207,LayTable[[#This Row],[Faktisk res]]+AB2207),"")</f>
        <v/>
      </c>
      <c r="AC2208" s="43">
        <f>(LayTable[[#This Row],[BackWin-Commission]]+LayTable[[#This Row],[BookieInnsats]])</f>
        <v>0</v>
      </c>
      <c r="AD2208" s="43" t="e">
        <f>(LayTable[[#This Row],[LayWin-Commission]])+LayTable[[#This Row],[LayLiability]]</f>
        <v>#VALUE!</v>
      </c>
      <c r="AE2208" s="43"/>
      <c r="AF2208" s="181"/>
    </row>
    <row r="2209" spans="1:32">
      <c r="A2209" s="84"/>
      <c r="B2209" s="39"/>
      <c r="C2209" s="40"/>
      <c r="D2209" s="41"/>
      <c r="E2209" s="40"/>
      <c r="F2209" s="41"/>
      <c r="G2209" s="101"/>
      <c r="H2209" s="38"/>
      <c r="I2209" s="42"/>
      <c r="J2209" s="42"/>
      <c r="K2209" s="43"/>
      <c r="L2209" s="43"/>
      <c r="M2209" s="44" t="str">
        <f>IF(LayTable[[#This Row],[Sport]]="","",LayTable[[#This Row],[LayInnsats]]*(LayTable[[#This Row],[LayOdds]]-1))</f>
        <v/>
      </c>
      <c r="N2209" s="45" t="str">
        <f>IF(LayTable[[#This Row],[Sport]]="","",1/((1/LayTable[[#This Row],[BookieOdds]])+(1/((1/((1+((LayTable[[#This Row],[LayOdds]]-1)*(1+LayTable[[#This Row],[C% Lay]])))-1))+1)))-1)</f>
        <v/>
      </c>
      <c r="Q2209" s="46" t="str">
        <f>IF(LayTable[[#This Row],[Sport]]="","",LayTable[[#This Row],[BookieInnsats]]+LayTable[[#This Row],[LayLiability]])</f>
        <v/>
      </c>
      <c r="R220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0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09" s="47" t="str">
        <f>IF(LayTable[[#This Row],[Utfall bookie]]="","",LayTable[[#This Row],[WBABack]]+LayTable[[#This Row],[WBALay]]-LayTable[[#This Row],[Total inns]])</f>
        <v/>
      </c>
      <c r="U220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0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09" s="48" t="str">
        <f>IFERROR(IF(LayTable[[#This Row],[Total inns]]="","",LayTable[[#This Row],[Rback]]/LayTable[[#This Row],[Total inns]]),"")</f>
        <v/>
      </c>
      <c r="X2209" s="48" t="str">
        <f>IFERROR(IF(LayTable[[#This Row],[Total inns]]="","",LayTable[[#This Row],[Rlay]]/LayTable[[#This Row],[Total inns]]),"")</f>
        <v/>
      </c>
      <c r="Y2209" s="48" t="str">
        <f>IFERROR(LayTable[[#This Row],[Faktisk res]]/LayTable[[#This Row],[Total inns]],"")</f>
        <v/>
      </c>
      <c r="Z2209" s="47">
        <f>(LayTable[[#This Row],[BookieInnsats]]*LayTable[[#This Row],[BookieOdds]]-LayTable[[#This Row],[BookieInnsats]])*(1-LayTable[[#This Row],[C% Bookie]])</f>
        <v>0</v>
      </c>
      <c r="AA2209" s="43">
        <f>LayTable[[#This Row],[LayInnsats]]*(1-LayTable[[#This Row],[C% Lay]])</f>
        <v>0</v>
      </c>
      <c r="AB2209" s="43" t="str">
        <f>IFERROR(IF(LayTable[[#This Row],[Sport]]="",AB2208,LayTable[[#This Row],[Faktisk res]]+AB2208),"")</f>
        <v/>
      </c>
      <c r="AC2209" s="43">
        <f>(LayTable[[#This Row],[BackWin-Commission]]+LayTable[[#This Row],[BookieInnsats]])</f>
        <v>0</v>
      </c>
      <c r="AD2209" s="43" t="e">
        <f>(LayTable[[#This Row],[LayWin-Commission]])+LayTable[[#This Row],[LayLiability]]</f>
        <v>#VALUE!</v>
      </c>
      <c r="AE2209" s="43"/>
      <c r="AF2209" s="181"/>
    </row>
    <row r="2210" spans="1:32">
      <c r="A2210" s="84"/>
      <c r="B2210" s="39"/>
      <c r="C2210" s="40"/>
      <c r="D2210" s="41"/>
      <c r="E2210" s="40"/>
      <c r="F2210" s="41"/>
      <c r="G2210" s="101"/>
      <c r="H2210" s="38"/>
      <c r="I2210" s="42"/>
      <c r="J2210" s="42"/>
      <c r="K2210" s="43"/>
      <c r="L2210" s="43"/>
      <c r="M2210" s="44" t="str">
        <f>IF(LayTable[[#This Row],[Sport]]="","",LayTable[[#This Row],[LayInnsats]]*(LayTable[[#This Row],[LayOdds]]-1))</f>
        <v/>
      </c>
      <c r="N2210" s="45" t="str">
        <f>IF(LayTable[[#This Row],[Sport]]="","",1/((1/LayTable[[#This Row],[BookieOdds]])+(1/((1/((1+((LayTable[[#This Row],[LayOdds]]-1)*(1+LayTable[[#This Row],[C% Lay]])))-1))+1)))-1)</f>
        <v/>
      </c>
      <c r="Q2210" s="46" t="str">
        <f>IF(LayTable[[#This Row],[Sport]]="","",LayTable[[#This Row],[BookieInnsats]]+LayTable[[#This Row],[LayLiability]])</f>
        <v/>
      </c>
      <c r="R221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0" s="47" t="str">
        <f>IF(LayTable[[#This Row],[Utfall bookie]]="","",LayTable[[#This Row],[WBABack]]+LayTable[[#This Row],[WBALay]]-LayTable[[#This Row],[Total inns]])</f>
        <v/>
      </c>
      <c r="U221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0" s="48" t="str">
        <f>IFERROR(IF(LayTable[[#This Row],[Total inns]]="","",LayTable[[#This Row],[Rback]]/LayTable[[#This Row],[Total inns]]),"")</f>
        <v/>
      </c>
      <c r="X2210" s="48" t="str">
        <f>IFERROR(IF(LayTable[[#This Row],[Total inns]]="","",LayTable[[#This Row],[Rlay]]/LayTable[[#This Row],[Total inns]]),"")</f>
        <v/>
      </c>
      <c r="Y2210" s="48" t="str">
        <f>IFERROR(LayTable[[#This Row],[Faktisk res]]/LayTable[[#This Row],[Total inns]],"")</f>
        <v/>
      </c>
      <c r="Z2210" s="47">
        <f>(LayTable[[#This Row],[BookieInnsats]]*LayTable[[#This Row],[BookieOdds]]-LayTable[[#This Row],[BookieInnsats]])*(1-LayTable[[#This Row],[C% Bookie]])</f>
        <v>0</v>
      </c>
      <c r="AA2210" s="43">
        <f>LayTable[[#This Row],[LayInnsats]]*(1-LayTable[[#This Row],[C% Lay]])</f>
        <v>0</v>
      </c>
      <c r="AB2210" s="43" t="str">
        <f>IFERROR(IF(LayTable[[#This Row],[Sport]]="",AB2209,LayTable[[#This Row],[Faktisk res]]+AB2209),"")</f>
        <v/>
      </c>
      <c r="AC2210" s="43">
        <f>(LayTable[[#This Row],[BackWin-Commission]]+LayTable[[#This Row],[BookieInnsats]])</f>
        <v>0</v>
      </c>
      <c r="AD2210" s="43" t="e">
        <f>(LayTable[[#This Row],[LayWin-Commission]])+LayTable[[#This Row],[LayLiability]]</f>
        <v>#VALUE!</v>
      </c>
      <c r="AE2210" s="43"/>
      <c r="AF2210" s="181"/>
    </row>
    <row r="2211" spans="1:32">
      <c r="A2211" s="84"/>
      <c r="B2211" s="39"/>
      <c r="C2211" s="40"/>
      <c r="D2211" s="41"/>
      <c r="E2211" s="40"/>
      <c r="F2211" s="41"/>
      <c r="G2211" s="101"/>
      <c r="H2211" s="38"/>
      <c r="I2211" s="42"/>
      <c r="J2211" s="42"/>
      <c r="K2211" s="43"/>
      <c r="L2211" s="43"/>
      <c r="M2211" s="44" t="str">
        <f>IF(LayTable[[#This Row],[Sport]]="","",LayTable[[#This Row],[LayInnsats]]*(LayTable[[#This Row],[LayOdds]]-1))</f>
        <v/>
      </c>
      <c r="N2211" s="45" t="str">
        <f>IF(LayTable[[#This Row],[Sport]]="","",1/((1/LayTable[[#This Row],[BookieOdds]])+(1/((1/((1+((LayTable[[#This Row],[LayOdds]]-1)*(1+LayTable[[#This Row],[C% Lay]])))-1))+1)))-1)</f>
        <v/>
      </c>
      <c r="Q2211" s="46" t="str">
        <f>IF(LayTable[[#This Row],[Sport]]="","",LayTable[[#This Row],[BookieInnsats]]+LayTable[[#This Row],[LayLiability]])</f>
        <v/>
      </c>
      <c r="R221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1" s="47" t="str">
        <f>IF(LayTable[[#This Row],[Utfall bookie]]="","",LayTable[[#This Row],[WBABack]]+LayTable[[#This Row],[WBALay]]-LayTable[[#This Row],[Total inns]])</f>
        <v/>
      </c>
      <c r="U221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1" s="48" t="str">
        <f>IFERROR(IF(LayTable[[#This Row],[Total inns]]="","",LayTable[[#This Row],[Rback]]/LayTable[[#This Row],[Total inns]]),"")</f>
        <v/>
      </c>
      <c r="X2211" s="48" t="str">
        <f>IFERROR(IF(LayTable[[#This Row],[Total inns]]="","",LayTable[[#This Row],[Rlay]]/LayTable[[#This Row],[Total inns]]),"")</f>
        <v/>
      </c>
      <c r="Y2211" s="48" t="str">
        <f>IFERROR(LayTable[[#This Row],[Faktisk res]]/LayTable[[#This Row],[Total inns]],"")</f>
        <v/>
      </c>
      <c r="Z2211" s="47">
        <f>(LayTable[[#This Row],[BookieInnsats]]*LayTable[[#This Row],[BookieOdds]]-LayTable[[#This Row],[BookieInnsats]])*(1-LayTable[[#This Row],[C% Bookie]])</f>
        <v>0</v>
      </c>
      <c r="AA2211" s="43">
        <f>LayTable[[#This Row],[LayInnsats]]*(1-LayTable[[#This Row],[C% Lay]])</f>
        <v>0</v>
      </c>
      <c r="AB2211" s="43" t="str">
        <f>IFERROR(IF(LayTable[[#This Row],[Sport]]="",AB2210,LayTable[[#This Row],[Faktisk res]]+AB2210),"")</f>
        <v/>
      </c>
      <c r="AC2211" s="43">
        <f>(LayTable[[#This Row],[BackWin-Commission]]+LayTable[[#This Row],[BookieInnsats]])</f>
        <v>0</v>
      </c>
      <c r="AD2211" s="43" t="e">
        <f>(LayTable[[#This Row],[LayWin-Commission]])+LayTable[[#This Row],[LayLiability]]</f>
        <v>#VALUE!</v>
      </c>
      <c r="AE2211" s="43"/>
      <c r="AF2211" s="181"/>
    </row>
    <row r="2212" spans="1:32">
      <c r="A2212" s="84"/>
      <c r="B2212" s="39"/>
      <c r="C2212" s="40"/>
      <c r="D2212" s="41"/>
      <c r="E2212" s="40"/>
      <c r="F2212" s="41"/>
      <c r="G2212" s="101"/>
      <c r="H2212" s="38"/>
      <c r="I2212" s="42"/>
      <c r="J2212" s="42"/>
      <c r="K2212" s="43"/>
      <c r="L2212" s="43"/>
      <c r="M2212" s="44" t="str">
        <f>IF(LayTable[[#This Row],[Sport]]="","",LayTable[[#This Row],[LayInnsats]]*(LayTable[[#This Row],[LayOdds]]-1))</f>
        <v/>
      </c>
      <c r="N2212" s="45" t="str">
        <f>IF(LayTable[[#This Row],[Sport]]="","",1/((1/LayTable[[#This Row],[BookieOdds]])+(1/((1/((1+((LayTable[[#This Row],[LayOdds]]-1)*(1+LayTable[[#This Row],[C% Lay]])))-1))+1)))-1)</f>
        <v/>
      </c>
      <c r="Q2212" s="46" t="str">
        <f>IF(LayTable[[#This Row],[Sport]]="","",LayTable[[#This Row],[BookieInnsats]]+LayTable[[#This Row],[LayLiability]])</f>
        <v/>
      </c>
      <c r="R221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2" s="47" t="str">
        <f>IF(LayTable[[#This Row],[Utfall bookie]]="","",LayTable[[#This Row],[WBABack]]+LayTable[[#This Row],[WBALay]]-LayTable[[#This Row],[Total inns]])</f>
        <v/>
      </c>
      <c r="U221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2" s="48" t="str">
        <f>IFERROR(IF(LayTable[[#This Row],[Total inns]]="","",LayTable[[#This Row],[Rback]]/LayTable[[#This Row],[Total inns]]),"")</f>
        <v/>
      </c>
      <c r="X2212" s="48" t="str">
        <f>IFERROR(IF(LayTable[[#This Row],[Total inns]]="","",LayTable[[#This Row],[Rlay]]/LayTable[[#This Row],[Total inns]]),"")</f>
        <v/>
      </c>
      <c r="Y2212" s="48" t="str">
        <f>IFERROR(LayTable[[#This Row],[Faktisk res]]/LayTable[[#This Row],[Total inns]],"")</f>
        <v/>
      </c>
      <c r="Z2212" s="47">
        <f>(LayTable[[#This Row],[BookieInnsats]]*LayTable[[#This Row],[BookieOdds]]-LayTable[[#This Row],[BookieInnsats]])*(1-LayTable[[#This Row],[C% Bookie]])</f>
        <v>0</v>
      </c>
      <c r="AA2212" s="43">
        <f>LayTable[[#This Row],[LayInnsats]]*(1-LayTable[[#This Row],[C% Lay]])</f>
        <v>0</v>
      </c>
      <c r="AB2212" s="43" t="str">
        <f>IFERROR(IF(LayTable[[#This Row],[Sport]]="",AB2211,LayTable[[#This Row],[Faktisk res]]+AB2211),"")</f>
        <v/>
      </c>
      <c r="AC2212" s="43">
        <f>(LayTable[[#This Row],[BackWin-Commission]]+LayTable[[#This Row],[BookieInnsats]])</f>
        <v>0</v>
      </c>
      <c r="AD2212" s="43" t="e">
        <f>(LayTable[[#This Row],[LayWin-Commission]])+LayTable[[#This Row],[LayLiability]]</f>
        <v>#VALUE!</v>
      </c>
      <c r="AE2212" s="43"/>
      <c r="AF2212" s="181"/>
    </row>
    <row r="2213" spans="1:32">
      <c r="A2213" s="84"/>
      <c r="B2213" s="39"/>
      <c r="C2213" s="40"/>
      <c r="D2213" s="41"/>
      <c r="E2213" s="40"/>
      <c r="F2213" s="41"/>
      <c r="G2213" s="101"/>
      <c r="H2213" s="38"/>
      <c r="I2213" s="42"/>
      <c r="J2213" s="42"/>
      <c r="K2213" s="43"/>
      <c r="L2213" s="43"/>
      <c r="M2213" s="44" t="str">
        <f>IF(LayTable[[#This Row],[Sport]]="","",LayTable[[#This Row],[LayInnsats]]*(LayTable[[#This Row],[LayOdds]]-1))</f>
        <v/>
      </c>
      <c r="N2213" s="45" t="str">
        <f>IF(LayTable[[#This Row],[Sport]]="","",1/((1/LayTable[[#This Row],[BookieOdds]])+(1/((1/((1+((LayTable[[#This Row],[LayOdds]]-1)*(1+LayTable[[#This Row],[C% Lay]])))-1))+1)))-1)</f>
        <v/>
      </c>
      <c r="Q2213" s="46" t="str">
        <f>IF(LayTable[[#This Row],[Sport]]="","",LayTable[[#This Row],[BookieInnsats]]+LayTable[[#This Row],[LayLiability]])</f>
        <v/>
      </c>
      <c r="R221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3" s="47" t="str">
        <f>IF(LayTable[[#This Row],[Utfall bookie]]="","",LayTable[[#This Row],[WBABack]]+LayTable[[#This Row],[WBALay]]-LayTable[[#This Row],[Total inns]])</f>
        <v/>
      </c>
      <c r="U221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3" s="48" t="str">
        <f>IFERROR(IF(LayTable[[#This Row],[Total inns]]="","",LayTable[[#This Row],[Rback]]/LayTable[[#This Row],[Total inns]]),"")</f>
        <v/>
      </c>
      <c r="X2213" s="48" t="str">
        <f>IFERROR(IF(LayTable[[#This Row],[Total inns]]="","",LayTable[[#This Row],[Rlay]]/LayTable[[#This Row],[Total inns]]),"")</f>
        <v/>
      </c>
      <c r="Y2213" s="48" t="str">
        <f>IFERROR(LayTable[[#This Row],[Faktisk res]]/LayTable[[#This Row],[Total inns]],"")</f>
        <v/>
      </c>
      <c r="Z2213" s="47">
        <f>(LayTable[[#This Row],[BookieInnsats]]*LayTable[[#This Row],[BookieOdds]]-LayTable[[#This Row],[BookieInnsats]])*(1-LayTable[[#This Row],[C% Bookie]])</f>
        <v>0</v>
      </c>
      <c r="AA2213" s="43">
        <f>LayTable[[#This Row],[LayInnsats]]*(1-LayTable[[#This Row],[C% Lay]])</f>
        <v>0</v>
      </c>
      <c r="AB2213" s="43" t="str">
        <f>IFERROR(IF(LayTable[[#This Row],[Sport]]="",AB2212,LayTable[[#This Row],[Faktisk res]]+AB2212),"")</f>
        <v/>
      </c>
      <c r="AC2213" s="43">
        <f>(LayTable[[#This Row],[BackWin-Commission]]+LayTable[[#This Row],[BookieInnsats]])</f>
        <v>0</v>
      </c>
      <c r="AD2213" s="43" t="e">
        <f>(LayTable[[#This Row],[LayWin-Commission]])+LayTable[[#This Row],[LayLiability]]</f>
        <v>#VALUE!</v>
      </c>
      <c r="AE2213" s="43"/>
      <c r="AF2213" s="181"/>
    </row>
    <row r="2214" spans="1:32">
      <c r="A2214" s="84"/>
      <c r="B2214" s="39"/>
      <c r="C2214" s="40"/>
      <c r="D2214" s="41"/>
      <c r="E2214" s="40"/>
      <c r="F2214" s="41"/>
      <c r="G2214" s="101"/>
      <c r="H2214" s="38"/>
      <c r="I2214" s="42"/>
      <c r="J2214" s="42"/>
      <c r="K2214" s="43"/>
      <c r="L2214" s="43"/>
      <c r="M2214" s="44" t="str">
        <f>IF(LayTable[[#This Row],[Sport]]="","",LayTable[[#This Row],[LayInnsats]]*(LayTable[[#This Row],[LayOdds]]-1))</f>
        <v/>
      </c>
      <c r="N2214" s="45" t="str">
        <f>IF(LayTable[[#This Row],[Sport]]="","",1/((1/LayTable[[#This Row],[BookieOdds]])+(1/((1/((1+((LayTable[[#This Row],[LayOdds]]-1)*(1+LayTable[[#This Row],[C% Lay]])))-1))+1)))-1)</f>
        <v/>
      </c>
      <c r="Q2214" s="46" t="str">
        <f>IF(LayTable[[#This Row],[Sport]]="","",LayTable[[#This Row],[BookieInnsats]]+LayTable[[#This Row],[LayLiability]])</f>
        <v/>
      </c>
      <c r="R221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4" s="47" t="str">
        <f>IF(LayTable[[#This Row],[Utfall bookie]]="","",LayTable[[#This Row],[WBABack]]+LayTable[[#This Row],[WBALay]]-LayTable[[#This Row],[Total inns]])</f>
        <v/>
      </c>
      <c r="U221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4" s="48" t="str">
        <f>IFERROR(IF(LayTable[[#This Row],[Total inns]]="","",LayTable[[#This Row],[Rback]]/LayTable[[#This Row],[Total inns]]),"")</f>
        <v/>
      </c>
      <c r="X2214" s="48" t="str">
        <f>IFERROR(IF(LayTable[[#This Row],[Total inns]]="","",LayTable[[#This Row],[Rlay]]/LayTable[[#This Row],[Total inns]]),"")</f>
        <v/>
      </c>
      <c r="Y2214" s="48" t="str">
        <f>IFERROR(LayTable[[#This Row],[Faktisk res]]/LayTable[[#This Row],[Total inns]],"")</f>
        <v/>
      </c>
      <c r="Z2214" s="47">
        <f>(LayTable[[#This Row],[BookieInnsats]]*LayTable[[#This Row],[BookieOdds]]-LayTable[[#This Row],[BookieInnsats]])*(1-LayTable[[#This Row],[C% Bookie]])</f>
        <v>0</v>
      </c>
      <c r="AA2214" s="43">
        <f>LayTable[[#This Row],[LayInnsats]]*(1-LayTable[[#This Row],[C% Lay]])</f>
        <v>0</v>
      </c>
      <c r="AB2214" s="43" t="str">
        <f>IFERROR(IF(LayTable[[#This Row],[Sport]]="",AB2213,LayTable[[#This Row],[Faktisk res]]+AB2213),"")</f>
        <v/>
      </c>
      <c r="AC2214" s="43">
        <f>(LayTable[[#This Row],[BackWin-Commission]]+LayTable[[#This Row],[BookieInnsats]])</f>
        <v>0</v>
      </c>
      <c r="AD2214" s="43" t="e">
        <f>(LayTable[[#This Row],[LayWin-Commission]])+LayTable[[#This Row],[LayLiability]]</f>
        <v>#VALUE!</v>
      </c>
      <c r="AE2214" s="43"/>
      <c r="AF2214" s="181"/>
    </row>
    <row r="2215" spans="1:32">
      <c r="A2215" s="84"/>
      <c r="B2215" s="39"/>
      <c r="C2215" s="40"/>
      <c r="D2215" s="41"/>
      <c r="E2215" s="40"/>
      <c r="F2215" s="41"/>
      <c r="G2215" s="101"/>
      <c r="H2215" s="38"/>
      <c r="I2215" s="42"/>
      <c r="J2215" s="42"/>
      <c r="K2215" s="43"/>
      <c r="L2215" s="43"/>
      <c r="M2215" s="44" t="str">
        <f>IF(LayTable[[#This Row],[Sport]]="","",LayTable[[#This Row],[LayInnsats]]*(LayTable[[#This Row],[LayOdds]]-1))</f>
        <v/>
      </c>
      <c r="N2215" s="45" t="str">
        <f>IF(LayTable[[#This Row],[Sport]]="","",1/((1/LayTable[[#This Row],[BookieOdds]])+(1/((1/((1+((LayTable[[#This Row],[LayOdds]]-1)*(1+LayTable[[#This Row],[C% Lay]])))-1))+1)))-1)</f>
        <v/>
      </c>
      <c r="Q2215" s="46" t="str">
        <f>IF(LayTable[[#This Row],[Sport]]="","",LayTable[[#This Row],[BookieInnsats]]+LayTable[[#This Row],[LayLiability]])</f>
        <v/>
      </c>
      <c r="R221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5" s="47" t="str">
        <f>IF(LayTable[[#This Row],[Utfall bookie]]="","",LayTable[[#This Row],[WBABack]]+LayTable[[#This Row],[WBALay]]-LayTable[[#This Row],[Total inns]])</f>
        <v/>
      </c>
      <c r="U221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5" s="48" t="str">
        <f>IFERROR(IF(LayTable[[#This Row],[Total inns]]="","",LayTable[[#This Row],[Rback]]/LayTable[[#This Row],[Total inns]]),"")</f>
        <v/>
      </c>
      <c r="X2215" s="48" t="str">
        <f>IFERROR(IF(LayTable[[#This Row],[Total inns]]="","",LayTable[[#This Row],[Rlay]]/LayTable[[#This Row],[Total inns]]),"")</f>
        <v/>
      </c>
      <c r="Y2215" s="48" t="str">
        <f>IFERROR(LayTable[[#This Row],[Faktisk res]]/LayTable[[#This Row],[Total inns]],"")</f>
        <v/>
      </c>
      <c r="Z2215" s="47">
        <f>(LayTable[[#This Row],[BookieInnsats]]*LayTable[[#This Row],[BookieOdds]]-LayTable[[#This Row],[BookieInnsats]])*(1-LayTable[[#This Row],[C% Bookie]])</f>
        <v>0</v>
      </c>
      <c r="AA2215" s="43">
        <f>LayTable[[#This Row],[LayInnsats]]*(1-LayTable[[#This Row],[C% Lay]])</f>
        <v>0</v>
      </c>
      <c r="AB2215" s="43" t="str">
        <f>IFERROR(IF(LayTable[[#This Row],[Sport]]="",AB2214,LayTable[[#This Row],[Faktisk res]]+AB2214),"")</f>
        <v/>
      </c>
      <c r="AC2215" s="43">
        <f>(LayTable[[#This Row],[BackWin-Commission]]+LayTable[[#This Row],[BookieInnsats]])</f>
        <v>0</v>
      </c>
      <c r="AD2215" s="43" t="e">
        <f>(LayTable[[#This Row],[LayWin-Commission]])+LayTable[[#This Row],[LayLiability]]</f>
        <v>#VALUE!</v>
      </c>
      <c r="AE2215" s="43"/>
      <c r="AF2215" s="181"/>
    </row>
    <row r="2216" spans="1:32">
      <c r="A2216" s="84"/>
      <c r="B2216" s="39"/>
      <c r="C2216" s="40"/>
      <c r="D2216" s="41"/>
      <c r="E2216" s="40"/>
      <c r="F2216" s="41"/>
      <c r="G2216" s="101"/>
      <c r="H2216" s="38"/>
      <c r="I2216" s="42"/>
      <c r="J2216" s="42"/>
      <c r="K2216" s="43"/>
      <c r="L2216" s="43"/>
      <c r="M2216" s="44" t="str">
        <f>IF(LayTable[[#This Row],[Sport]]="","",LayTable[[#This Row],[LayInnsats]]*(LayTable[[#This Row],[LayOdds]]-1))</f>
        <v/>
      </c>
      <c r="N2216" s="45" t="str">
        <f>IF(LayTable[[#This Row],[Sport]]="","",1/((1/LayTable[[#This Row],[BookieOdds]])+(1/((1/((1+((LayTable[[#This Row],[LayOdds]]-1)*(1+LayTable[[#This Row],[C% Lay]])))-1))+1)))-1)</f>
        <v/>
      </c>
      <c r="Q2216" s="46" t="str">
        <f>IF(LayTable[[#This Row],[Sport]]="","",LayTable[[#This Row],[BookieInnsats]]+LayTable[[#This Row],[LayLiability]])</f>
        <v/>
      </c>
      <c r="R221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6" s="47" t="str">
        <f>IF(LayTable[[#This Row],[Utfall bookie]]="","",LayTable[[#This Row],[WBABack]]+LayTable[[#This Row],[WBALay]]-LayTable[[#This Row],[Total inns]])</f>
        <v/>
      </c>
      <c r="U221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6" s="48" t="str">
        <f>IFERROR(IF(LayTable[[#This Row],[Total inns]]="","",LayTable[[#This Row],[Rback]]/LayTable[[#This Row],[Total inns]]),"")</f>
        <v/>
      </c>
      <c r="X2216" s="48" t="str">
        <f>IFERROR(IF(LayTable[[#This Row],[Total inns]]="","",LayTable[[#This Row],[Rlay]]/LayTable[[#This Row],[Total inns]]),"")</f>
        <v/>
      </c>
      <c r="Y2216" s="48" t="str">
        <f>IFERROR(LayTable[[#This Row],[Faktisk res]]/LayTable[[#This Row],[Total inns]],"")</f>
        <v/>
      </c>
      <c r="Z2216" s="47">
        <f>(LayTable[[#This Row],[BookieInnsats]]*LayTable[[#This Row],[BookieOdds]]-LayTable[[#This Row],[BookieInnsats]])*(1-LayTable[[#This Row],[C% Bookie]])</f>
        <v>0</v>
      </c>
      <c r="AA2216" s="43">
        <f>LayTable[[#This Row],[LayInnsats]]*(1-LayTable[[#This Row],[C% Lay]])</f>
        <v>0</v>
      </c>
      <c r="AB2216" s="43" t="str">
        <f>IFERROR(IF(LayTable[[#This Row],[Sport]]="",AB2215,LayTable[[#This Row],[Faktisk res]]+AB2215),"")</f>
        <v/>
      </c>
      <c r="AC2216" s="43">
        <f>(LayTable[[#This Row],[BackWin-Commission]]+LayTable[[#This Row],[BookieInnsats]])</f>
        <v>0</v>
      </c>
      <c r="AD2216" s="43" t="e">
        <f>(LayTable[[#This Row],[LayWin-Commission]])+LayTable[[#This Row],[LayLiability]]</f>
        <v>#VALUE!</v>
      </c>
      <c r="AE2216" s="43"/>
      <c r="AF2216" s="181"/>
    </row>
    <row r="2217" spans="1:32">
      <c r="A2217" s="84"/>
      <c r="B2217" s="39"/>
      <c r="C2217" s="40"/>
      <c r="D2217" s="41"/>
      <c r="E2217" s="40"/>
      <c r="F2217" s="41"/>
      <c r="G2217" s="101"/>
      <c r="H2217" s="38"/>
      <c r="I2217" s="42"/>
      <c r="J2217" s="42"/>
      <c r="K2217" s="43"/>
      <c r="L2217" s="43"/>
      <c r="M2217" s="44" t="str">
        <f>IF(LayTable[[#This Row],[Sport]]="","",LayTable[[#This Row],[LayInnsats]]*(LayTable[[#This Row],[LayOdds]]-1))</f>
        <v/>
      </c>
      <c r="N2217" s="45" t="str">
        <f>IF(LayTable[[#This Row],[Sport]]="","",1/((1/LayTable[[#This Row],[BookieOdds]])+(1/((1/((1+((LayTable[[#This Row],[LayOdds]]-1)*(1+LayTable[[#This Row],[C% Lay]])))-1))+1)))-1)</f>
        <v/>
      </c>
      <c r="Q2217" s="46" t="str">
        <f>IF(LayTable[[#This Row],[Sport]]="","",LayTable[[#This Row],[BookieInnsats]]+LayTable[[#This Row],[LayLiability]])</f>
        <v/>
      </c>
      <c r="R221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7" s="47" t="str">
        <f>IF(LayTable[[#This Row],[Utfall bookie]]="","",LayTable[[#This Row],[WBABack]]+LayTable[[#This Row],[WBALay]]-LayTable[[#This Row],[Total inns]])</f>
        <v/>
      </c>
      <c r="U221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7" s="48" t="str">
        <f>IFERROR(IF(LayTable[[#This Row],[Total inns]]="","",LayTable[[#This Row],[Rback]]/LayTable[[#This Row],[Total inns]]),"")</f>
        <v/>
      </c>
      <c r="X2217" s="48" t="str">
        <f>IFERROR(IF(LayTable[[#This Row],[Total inns]]="","",LayTable[[#This Row],[Rlay]]/LayTable[[#This Row],[Total inns]]),"")</f>
        <v/>
      </c>
      <c r="Y2217" s="48" t="str">
        <f>IFERROR(LayTable[[#This Row],[Faktisk res]]/LayTable[[#This Row],[Total inns]],"")</f>
        <v/>
      </c>
      <c r="Z2217" s="47">
        <f>(LayTable[[#This Row],[BookieInnsats]]*LayTable[[#This Row],[BookieOdds]]-LayTable[[#This Row],[BookieInnsats]])*(1-LayTable[[#This Row],[C% Bookie]])</f>
        <v>0</v>
      </c>
      <c r="AA2217" s="43">
        <f>LayTable[[#This Row],[LayInnsats]]*(1-LayTable[[#This Row],[C% Lay]])</f>
        <v>0</v>
      </c>
      <c r="AB2217" s="43" t="str">
        <f>IFERROR(IF(LayTable[[#This Row],[Sport]]="",AB2216,LayTable[[#This Row],[Faktisk res]]+AB2216),"")</f>
        <v/>
      </c>
      <c r="AC2217" s="43">
        <f>(LayTable[[#This Row],[BackWin-Commission]]+LayTable[[#This Row],[BookieInnsats]])</f>
        <v>0</v>
      </c>
      <c r="AD2217" s="43" t="e">
        <f>(LayTable[[#This Row],[LayWin-Commission]])+LayTable[[#This Row],[LayLiability]]</f>
        <v>#VALUE!</v>
      </c>
      <c r="AE2217" s="43"/>
      <c r="AF2217" s="181"/>
    </row>
    <row r="2218" spans="1:32">
      <c r="A2218" s="84"/>
      <c r="B2218" s="39"/>
      <c r="C2218" s="40"/>
      <c r="D2218" s="41"/>
      <c r="E2218" s="40"/>
      <c r="F2218" s="41"/>
      <c r="G2218" s="101"/>
      <c r="H2218" s="38"/>
      <c r="I2218" s="42"/>
      <c r="J2218" s="42"/>
      <c r="K2218" s="43"/>
      <c r="L2218" s="43"/>
      <c r="M2218" s="44" t="str">
        <f>IF(LayTable[[#This Row],[Sport]]="","",LayTable[[#This Row],[LayInnsats]]*(LayTable[[#This Row],[LayOdds]]-1))</f>
        <v/>
      </c>
      <c r="N2218" s="45" t="str">
        <f>IF(LayTable[[#This Row],[Sport]]="","",1/((1/LayTable[[#This Row],[BookieOdds]])+(1/((1/((1+((LayTable[[#This Row],[LayOdds]]-1)*(1+LayTable[[#This Row],[C% Lay]])))-1))+1)))-1)</f>
        <v/>
      </c>
      <c r="Q2218" s="46" t="str">
        <f>IF(LayTable[[#This Row],[Sport]]="","",LayTable[[#This Row],[BookieInnsats]]+LayTable[[#This Row],[LayLiability]])</f>
        <v/>
      </c>
      <c r="R221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8" s="47" t="str">
        <f>IF(LayTable[[#This Row],[Utfall bookie]]="","",LayTable[[#This Row],[WBABack]]+LayTable[[#This Row],[WBALay]]-LayTable[[#This Row],[Total inns]])</f>
        <v/>
      </c>
      <c r="U221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8" s="48" t="str">
        <f>IFERROR(IF(LayTable[[#This Row],[Total inns]]="","",LayTable[[#This Row],[Rback]]/LayTable[[#This Row],[Total inns]]),"")</f>
        <v/>
      </c>
      <c r="X2218" s="48" t="str">
        <f>IFERROR(IF(LayTable[[#This Row],[Total inns]]="","",LayTable[[#This Row],[Rlay]]/LayTable[[#This Row],[Total inns]]),"")</f>
        <v/>
      </c>
      <c r="Y2218" s="48" t="str">
        <f>IFERROR(LayTable[[#This Row],[Faktisk res]]/LayTable[[#This Row],[Total inns]],"")</f>
        <v/>
      </c>
      <c r="Z2218" s="47">
        <f>(LayTable[[#This Row],[BookieInnsats]]*LayTable[[#This Row],[BookieOdds]]-LayTable[[#This Row],[BookieInnsats]])*(1-LayTable[[#This Row],[C% Bookie]])</f>
        <v>0</v>
      </c>
      <c r="AA2218" s="43">
        <f>LayTable[[#This Row],[LayInnsats]]*(1-LayTable[[#This Row],[C% Lay]])</f>
        <v>0</v>
      </c>
      <c r="AB2218" s="43" t="str">
        <f>IFERROR(IF(LayTable[[#This Row],[Sport]]="",AB2217,LayTable[[#This Row],[Faktisk res]]+AB2217),"")</f>
        <v/>
      </c>
      <c r="AC2218" s="43">
        <f>(LayTable[[#This Row],[BackWin-Commission]]+LayTable[[#This Row],[BookieInnsats]])</f>
        <v>0</v>
      </c>
      <c r="AD2218" s="43" t="e">
        <f>(LayTable[[#This Row],[LayWin-Commission]])+LayTable[[#This Row],[LayLiability]]</f>
        <v>#VALUE!</v>
      </c>
      <c r="AE2218" s="43"/>
      <c r="AF2218" s="181"/>
    </row>
    <row r="2219" spans="1:32">
      <c r="A2219" s="84"/>
      <c r="B2219" s="39"/>
      <c r="C2219" s="40"/>
      <c r="D2219" s="41"/>
      <c r="E2219" s="40"/>
      <c r="F2219" s="41"/>
      <c r="G2219" s="101"/>
      <c r="H2219" s="38"/>
      <c r="I2219" s="42"/>
      <c r="J2219" s="42"/>
      <c r="K2219" s="43"/>
      <c r="L2219" s="43"/>
      <c r="M2219" s="44" t="str">
        <f>IF(LayTable[[#This Row],[Sport]]="","",LayTable[[#This Row],[LayInnsats]]*(LayTable[[#This Row],[LayOdds]]-1))</f>
        <v/>
      </c>
      <c r="N2219" s="45" t="str">
        <f>IF(LayTable[[#This Row],[Sport]]="","",1/((1/LayTable[[#This Row],[BookieOdds]])+(1/((1/((1+((LayTable[[#This Row],[LayOdds]]-1)*(1+LayTable[[#This Row],[C% Lay]])))-1))+1)))-1)</f>
        <v/>
      </c>
      <c r="Q2219" s="46" t="str">
        <f>IF(LayTable[[#This Row],[Sport]]="","",LayTable[[#This Row],[BookieInnsats]]+LayTable[[#This Row],[LayLiability]])</f>
        <v/>
      </c>
      <c r="R221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1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19" s="47" t="str">
        <f>IF(LayTable[[#This Row],[Utfall bookie]]="","",LayTable[[#This Row],[WBABack]]+LayTable[[#This Row],[WBALay]]-LayTable[[#This Row],[Total inns]])</f>
        <v/>
      </c>
      <c r="U221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1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19" s="48" t="str">
        <f>IFERROR(IF(LayTable[[#This Row],[Total inns]]="","",LayTable[[#This Row],[Rback]]/LayTable[[#This Row],[Total inns]]),"")</f>
        <v/>
      </c>
      <c r="X2219" s="48" t="str">
        <f>IFERROR(IF(LayTable[[#This Row],[Total inns]]="","",LayTable[[#This Row],[Rlay]]/LayTable[[#This Row],[Total inns]]),"")</f>
        <v/>
      </c>
      <c r="Y2219" s="48" t="str">
        <f>IFERROR(LayTable[[#This Row],[Faktisk res]]/LayTable[[#This Row],[Total inns]],"")</f>
        <v/>
      </c>
      <c r="Z2219" s="47">
        <f>(LayTable[[#This Row],[BookieInnsats]]*LayTable[[#This Row],[BookieOdds]]-LayTable[[#This Row],[BookieInnsats]])*(1-LayTable[[#This Row],[C% Bookie]])</f>
        <v>0</v>
      </c>
      <c r="AA2219" s="43">
        <f>LayTable[[#This Row],[LayInnsats]]*(1-LayTable[[#This Row],[C% Lay]])</f>
        <v>0</v>
      </c>
      <c r="AB2219" s="43" t="str">
        <f>IFERROR(IF(LayTable[[#This Row],[Sport]]="",AB2218,LayTable[[#This Row],[Faktisk res]]+AB2218),"")</f>
        <v/>
      </c>
      <c r="AC2219" s="43">
        <f>(LayTable[[#This Row],[BackWin-Commission]]+LayTable[[#This Row],[BookieInnsats]])</f>
        <v>0</v>
      </c>
      <c r="AD2219" s="43" t="e">
        <f>(LayTable[[#This Row],[LayWin-Commission]])+LayTable[[#This Row],[LayLiability]]</f>
        <v>#VALUE!</v>
      </c>
      <c r="AE2219" s="43"/>
      <c r="AF2219" s="181"/>
    </row>
    <row r="2220" spans="1:32">
      <c r="A2220" s="84"/>
      <c r="B2220" s="39"/>
      <c r="C2220" s="40"/>
      <c r="D2220" s="41"/>
      <c r="E2220" s="40"/>
      <c r="F2220" s="41"/>
      <c r="G2220" s="101"/>
      <c r="H2220" s="38"/>
      <c r="I2220" s="42"/>
      <c r="J2220" s="42"/>
      <c r="K2220" s="43"/>
      <c r="L2220" s="43"/>
      <c r="M2220" s="44" t="str">
        <f>IF(LayTable[[#This Row],[Sport]]="","",LayTable[[#This Row],[LayInnsats]]*(LayTable[[#This Row],[LayOdds]]-1))</f>
        <v/>
      </c>
      <c r="N2220" s="45" t="str">
        <f>IF(LayTable[[#This Row],[Sport]]="","",1/((1/LayTable[[#This Row],[BookieOdds]])+(1/((1/((1+((LayTable[[#This Row],[LayOdds]]-1)*(1+LayTable[[#This Row],[C% Lay]])))-1))+1)))-1)</f>
        <v/>
      </c>
      <c r="Q2220" s="46" t="str">
        <f>IF(LayTable[[#This Row],[Sport]]="","",LayTable[[#This Row],[BookieInnsats]]+LayTable[[#This Row],[LayLiability]])</f>
        <v/>
      </c>
      <c r="R222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0" s="47" t="str">
        <f>IF(LayTable[[#This Row],[Utfall bookie]]="","",LayTable[[#This Row],[WBABack]]+LayTable[[#This Row],[WBALay]]-LayTable[[#This Row],[Total inns]])</f>
        <v/>
      </c>
      <c r="U222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0" s="48" t="str">
        <f>IFERROR(IF(LayTable[[#This Row],[Total inns]]="","",LayTable[[#This Row],[Rback]]/LayTable[[#This Row],[Total inns]]),"")</f>
        <v/>
      </c>
      <c r="X2220" s="48" t="str">
        <f>IFERROR(IF(LayTable[[#This Row],[Total inns]]="","",LayTable[[#This Row],[Rlay]]/LayTable[[#This Row],[Total inns]]),"")</f>
        <v/>
      </c>
      <c r="Y2220" s="48" t="str">
        <f>IFERROR(LayTable[[#This Row],[Faktisk res]]/LayTable[[#This Row],[Total inns]],"")</f>
        <v/>
      </c>
      <c r="Z2220" s="47">
        <f>(LayTable[[#This Row],[BookieInnsats]]*LayTable[[#This Row],[BookieOdds]]-LayTable[[#This Row],[BookieInnsats]])*(1-LayTable[[#This Row],[C% Bookie]])</f>
        <v>0</v>
      </c>
      <c r="AA2220" s="43">
        <f>LayTable[[#This Row],[LayInnsats]]*(1-LayTable[[#This Row],[C% Lay]])</f>
        <v>0</v>
      </c>
      <c r="AB2220" s="43" t="str">
        <f>IFERROR(IF(LayTable[[#This Row],[Sport]]="",AB2219,LayTable[[#This Row],[Faktisk res]]+AB2219),"")</f>
        <v/>
      </c>
      <c r="AC2220" s="43">
        <f>(LayTable[[#This Row],[BackWin-Commission]]+LayTable[[#This Row],[BookieInnsats]])</f>
        <v>0</v>
      </c>
      <c r="AD2220" s="43" t="e">
        <f>(LayTable[[#This Row],[LayWin-Commission]])+LayTable[[#This Row],[LayLiability]]</f>
        <v>#VALUE!</v>
      </c>
      <c r="AE2220" s="43"/>
      <c r="AF2220" s="181"/>
    </row>
    <row r="2221" spans="1:32">
      <c r="A2221" s="84"/>
      <c r="B2221" s="39"/>
      <c r="C2221" s="40"/>
      <c r="D2221" s="41"/>
      <c r="E2221" s="40"/>
      <c r="F2221" s="41"/>
      <c r="G2221" s="101"/>
      <c r="H2221" s="38"/>
      <c r="I2221" s="42"/>
      <c r="J2221" s="42"/>
      <c r="K2221" s="43"/>
      <c r="L2221" s="43"/>
      <c r="M2221" s="44" t="str">
        <f>IF(LayTable[[#This Row],[Sport]]="","",LayTable[[#This Row],[LayInnsats]]*(LayTable[[#This Row],[LayOdds]]-1))</f>
        <v/>
      </c>
      <c r="N2221" s="45" t="str">
        <f>IF(LayTable[[#This Row],[Sport]]="","",1/((1/LayTable[[#This Row],[BookieOdds]])+(1/((1/((1+((LayTable[[#This Row],[LayOdds]]-1)*(1+LayTable[[#This Row],[C% Lay]])))-1))+1)))-1)</f>
        <v/>
      </c>
      <c r="Q2221" s="46" t="str">
        <f>IF(LayTable[[#This Row],[Sport]]="","",LayTable[[#This Row],[BookieInnsats]]+LayTable[[#This Row],[LayLiability]])</f>
        <v/>
      </c>
      <c r="R222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1" s="47" t="str">
        <f>IF(LayTable[[#This Row],[Utfall bookie]]="","",LayTable[[#This Row],[WBABack]]+LayTable[[#This Row],[WBALay]]-LayTable[[#This Row],[Total inns]])</f>
        <v/>
      </c>
      <c r="U222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1" s="48" t="str">
        <f>IFERROR(IF(LayTable[[#This Row],[Total inns]]="","",LayTable[[#This Row],[Rback]]/LayTable[[#This Row],[Total inns]]),"")</f>
        <v/>
      </c>
      <c r="X2221" s="48" t="str">
        <f>IFERROR(IF(LayTable[[#This Row],[Total inns]]="","",LayTable[[#This Row],[Rlay]]/LayTable[[#This Row],[Total inns]]),"")</f>
        <v/>
      </c>
      <c r="Y2221" s="48" t="str">
        <f>IFERROR(LayTable[[#This Row],[Faktisk res]]/LayTable[[#This Row],[Total inns]],"")</f>
        <v/>
      </c>
      <c r="Z2221" s="47">
        <f>(LayTable[[#This Row],[BookieInnsats]]*LayTable[[#This Row],[BookieOdds]]-LayTable[[#This Row],[BookieInnsats]])*(1-LayTable[[#This Row],[C% Bookie]])</f>
        <v>0</v>
      </c>
      <c r="AA2221" s="43">
        <f>LayTable[[#This Row],[LayInnsats]]*(1-LayTable[[#This Row],[C% Lay]])</f>
        <v>0</v>
      </c>
      <c r="AB2221" s="43" t="str">
        <f>IFERROR(IF(LayTable[[#This Row],[Sport]]="",AB2220,LayTable[[#This Row],[Faktisk res]]+AB2220),"")</f>
        <v/>
      </c>
      <c r="AC2221" s="43">
        <f>(LayTable[[#This Row],[BackWin-Commission]]+LayTable[[#This Row],[BookieInnsats]])</f>
        <v>0</v>
      </c>
      <c r="AD2221" s="43" t="e">
        <f>(LayTable[[#This Row],[LayWin-Commission]])+LayTable[[#This Row],[LayLiability]]</f>
        <v>#VALUE!</v>
      </c>
      <c r="AE2221" s="43"/>
      <c r="AF2221" s="181"/>
    </row>
    <row r="2222" spans="1:32">
      <c r="A2222" s="84"/>
      <c r="B2222" s="39"/>
      <c r="C2222" s="40"/>
      <c r="D2222" s="41"/>
      <c r="E2222" s="40"/>
      <c r="F2222" s="41"/>
      <c r="G2222" s="101"/>
      <c r="H2222" s="38"/>
      <c r="I2222" s="42"/>
      <c r="J2222" s="42"/>
      <c r="K2222" s="43"/>
      <c r="L2222" s="43"/>
      <c r="M2222" s="44" t="str">
        <f>IF(LayTable[[#This Row],[Sport]]="","",LayTable[[#This Row],[LayInnsats]]*(LayTable[[#This Row],[LayOdds]]-1))</f>
        <v/>
      </c>
      <c r="N2222" s="45" t="str">
        <f>IF(LayTable[[#This Row],[Sport]]="","",1/((1/LayTable[[#This Row],[BookieOdds]])+(1/((1/((1+((LayTable[[#This Row],[LayOdds]]-1)*(1+LayTable[[#This Row],[C% Lay]])))-1))+1)))-1)</f>
        <v/>
      </c>
      <c r="Q2222" s="46" t="str">
        <f>IF(LayTable[[#This Row],[Sport]]="","",LayTable[[#This Row],[BookieInnsats]]+LayTable[[#This Row],[LayLiability]])</f>
        <v/>
      </c>
      <c r="R222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2" s="47" t="str">
        <f>IF(LayTable[[#This Row],[Utfall bookie]]="","",LayTable[[#This Row],[WBABack]]+LayTable[[#This Row],[WBALay]]-LayTable[[#This Row],[Total inns]])</f>
        <v/>
      </c>
      <c r="U222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2" s="48" t="str">
        <f>IFERROR(IF(LayTable[[#This Row],[Total inns]]="","",LayTable[[#This Row],[Rback]]/LayTable[[#This Row],[Total inns]]),"")</f>
        <v/>
      </c>
      <c r="X2222" s="48" t="str">
        <f>IFERROR(IF(LayTable[[#This Row],[Total inns]]="","",LayTable[[#This Row],[Rlay]]/LayTable[[#This Row],[Total inns]]),"")</f>
        <v/>
      </c>
      <c r="Y2222" s="48" t="str">
        <f>IFERROR(LayTable[[#This Row],[Faktisk res]]/LayTable[[#This Row],[Total inns]],"")</f>
        <v/>
      </c>
      <c r="Z2222" s="47">
        <f>(LayTable[[#This Row],[BookieInnsats]]*LayTable[[#This Row],[BookieOdds]]-LayTable[[#This Row],[BookieInnsats]])*(1-LayTable[[#This Row],[C% Bookie]])</f>
        <v>0</v>
      </c>
      <c r="AA2222" s="43">
        <f>LayTable[[#This Row],[LayInnsats]]*(1-LayTable[[#This Row],[C% Lay]])</f>
        <v>0</v>
      </c>
      <c r="AB2222" s="43" t="str">
        <f>IFERROR(IF(LayTable[[#This Row],[Sport]]="",AB2221,LayTable[[#This Row],[Faktisk res]]+AB2221),"")</f>
        <v/>
      </c>
      <c r="AC2222" s="43">
        <f>(LayTable[[#This Row],[BackWin-Commission]]+LayTable[[#This Row],[BookieInnsats]])</f>
        <v>0</v>
      </c>
      <c r="AD2222" s="43" t="e">
        <f>(LayTable[[#This Row],[LayWin-Commission]])+LayTable[[#This Row],[LayLiability]]</f>
        <v>#VALUE!</v>
      </c>
      <c r="AE2222" s="43"/>
      <c r="AF2222" s="181"/>
    </row>
    <row r="2223" spans="1:32">
      <c r="A2223" s="84"/>
      <c r="B2223" s="39"/>
      <c r="C2223" s="40"/>
      <c r="D2223" s="41"/>
      <c r="E2223" s="40"/>
      <c r="F2223" s="41"/>
      <c r="G2223" s="101"/>
      <c r="H2223" s="38"/>
      <c r="I2223" s="42"/>
      <c r="J2223" s="42"/>
      <c r="K2223" s="43"/>
      <c r="L2223" s="43"/>
      <c r="M2223" s="44" t="str">
        <f>IF(LayTable[[#This Row],[Sport]]="","",LayTable[[#This Row],[LayInnsats]]*(LayTable[[#This Row],[LayOdds]]-1))</f>
        <v/>
      </c>
      <c r="N2223" s="45" t="str">
        <f>IF(LayTable[[#This Row],[Sport]]="","",1/((1/LayTable[[#This Row],[BookieOdds]])+(1/((1/((1+((LayTable[[#This Row],[LayOdds]]-1)*(1+LayTable[[#This Row],[C% Lay]])))-1))+1)))-1)</f>
        <v/>
      </c>
      <c r="Q2223" s="46" t="str">
        <f>IF(LayTable[[#This Row],[Sport]]="","",LayTable[[#This Row],[BookieInnsats]]+LayTable[[#This Row],[LayLiability]])</f>
        <v/>
      </c>
      <c r="R222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3" s="47" t="str">
        <f>IF(LayTable[[#This Row],[Utfall bookie]]="","",LayTable[[#This Row],[WBABack]]+LayTable[[#This Row],[WBALay]]-LayTable[[#This Row],[Total inns]])</f>
        <v/>
      </c>
      <c r="U222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3" s="48" t="str">
        <f>IFERROR(IF(LayTable[[#This Row],[Total inns]]="","",LayTable[[#This Row],[Rback]]/LayTable[[#This Row],[Total inns]]),"")</f>
        <v/>
      </c>
      <c r="X2223" s="48" t="str">
        <f>IFERROR(IF(LayTable[[#This Row],[Total inns]]="","",LayTable[[#This Row],[Rlay]]/LayTable[[#This Row],[Total inns]]),"")</f>
        <v/>
      </c>
      <c r="Y2223" s="48" t="str">
        <f>IFERROR(LayTable[[#This Row],[Faktisk res]]/LayTable[[#This Row],[Total inns]],"")</f>
        <v/>
      </c>
      <c r="Z2223" s="47">
        <f>(LayTable[[#This Row],[BookieInnsats]]*LayTable[[#This Row],[BookieOdds]]-LayTable[[#This Row],[BookieInnsats]])*(1-LayTable[[#This Row],[C% Bookie]])</f>
        <v>0</v>
      </c>
      <c r="AA2223" s="43">
        <f>LayTable[[#This Row],[LayInnsats]]*(1-LayTable[[#This Row],[C% Lay]])</f>
        <v>0</v>
      </c>
      <c r="AB2223" s="43" t="str">
        <f>IFERROR(IF(LayTable[[#This Row],[Sport]]="",AB2222,LayTable[[#This Row],[Faktisk res]]+AB2222),"")</f>
        <v/>
      </c>
      <c r="AC2223" s="43">
        <f>(LayTable[[#This Row],[BackWin-Commission]]+LayTable[[#This Row],[BookieInnsats]])</f>
        <v>0</v>
      </c>
      <c r="AD2223" s="43" t="e">
        <f>(LayTable[[#This Row],[LayWin-Commission]])+LayTable[[#This Row],[LayLiability]]</f>
        <v>#VALUE!</v>
      </c>
      <c r="AE2223" s="43"/>
      <c r="AF2223" s="181"/>
    </row>
    <row r="2224" spans="1:32">
      <c r="A2224" s="84"/>
      <c r="B2224" s="39"/>
      <c r="C2224" s="40"/>
      <c r="D2224" s="41"/>
      <c r="E2224" s="40"/>
      <c r="F2224" s="41"/>
      <c r="G2224" s="101"/>
      <c r="H2224" s="38"/>
      <c r="I2224" s="42"/>
      <c r="J2224" s="42"/>
      <c r="K2224" s="43"/>
      <c r="L2224" s="43"/>
      <c r="M2224" s="44" t="str">
        <f>IF(LayTable[[#This Row],[Sport]]="","",LayTable[[#This Row],[LayInnsats]]*(LayTable[[#This Row],[LayOdds]]-1))</f>
        <v/>
      </c>
      <c r="N2224" s="45" t="str">
        <f>IF(LayTable[[#This Row],[Sport]]="","",1/((1/LayTable[[#This Row],[BookieOdds]])+(1/((1/((1+((LayTable[[#This Row],[LayOdds]]-1)*(1+LayTable[[#This Row],[C% Lay]])))-1))+1)))-1)</f>
        <v/>
      </c>
      <c r="Q2224" s="46" t="str">
        <f>IF(LayTable[[#This Row],[Sport]]="","",LayTable[[#This Row],[BookieInnsats]]+LayTable[[#This Row],[LayLiability]])</f>
        <v/>
      </c>
      <c r="R222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4" s="47" t="str">
        <f>IF(LayTable[[#This Row],[Utfall bookie]]="","",LayTable[[#This Row],[WBABack]]+LayTable[[#This Row],[WBALay]]-LayTable[[#This Row],[Total inns]])</f>
        <v/>
      </c>
      <c r="U222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4" s="48" t="str">
        <f>IFERROR(IF(LayTable[[#This Row],[Total inns]]="","",LayTable[[#This Row],[Rback]]/LayTable[[#This Row],[Total inns]]),"")</f>
        <v/>
      </c>
      <c r="X2224" s="48" t="str">
        <f>IFERROR(IF(LayTable[[#This Row],[Total inns]]="","",LayTable[[#This Row],[Rlay]]/LayTable[[#This Row],[Total inns]]),"")</f>
        <v/>
      </c>
      <c r="Y2224" s="48" t="str">
        <f>IFERROR(LayTable[[#This Row],[Faktisk res]]/LayTable[[#This Row],[Total inns]],"")</f>
        <v/>
      </c>
      <c r="Z2224" s="47">
        <f>(LayTable[[#This Row],[BookieInnsats]]*LayTable[[#This Row],[BookieOdds]]-LayTable[[#This Row],[BookieInnsats]])*(1-LayTable[[#This Row],[C% Bookie]])</f>
        <v>0</v>
      </c>
      <c r="AA2224" s="43">
        <f>LayTable[[#This Row],[LayInnsats]]*(1-LayTable[[#This Row],[C% Lay]])</f>
        <v>0</v>
      </c>
      <c r="AB2224" s="43" t="str">
        <f>IFERROR(IF(LayTable[[#This Row],[Sport]]="",AB2223,LayTable[[#This Row],[Faktisk res]]+AB2223),"")</f>
        <v/>
      </c>
      <c r="AC2224" s="43">
        <f>(LayTable[[#This Row],[BackWin-Commission]]+LayTable[[#This Row],[BookieInnsats]])</f>
        <v>0</v>
      </c>
      <c r="AD2224" s="43" t="e">
        <f>(LayTable[[#This Row],[LayWin-Commission]])+LayTable[[#This Row],[LayLiability]]</f>
        <v>#VALUE!</v>
      </c>
      <c r="AE2224" s="43"/>
      <c r="AF2224" s="181"/>
    </row>
    <row r="2225" spans="1:32">
      <c r="A2225" s="84"/>
      <c r="B2225" s="39"/>
      <c r="C2225" s="40"/>
      <c r="D2225" s="41"/>
      <c r="E2225" s="40"/>
      <c r="F2225" s="41"/>
      <c r="G2225" s="101"/>
      <c r="H2225" s="38"/>
      <c r="I2225" s="42"/>
      <c r="J2225" s="42"/>
      <c r="K2225" s="43"/>
      <c r="L2225" s="43"/>
      <c r="M2225" s="44" t="str">
        <f>IF(LayTable[[#This Row],[Sport]]="","",LayTable[[#This Row],[LayInnsats]]*(LayTable[[#This Row],[LayOdds]]-1))</f>
        <v/>
      </c>
      <c r="N2225" s="45" t="str">
        <f>IF(LayTable[[#This Row],[Sport]]="","",1/((1/LayTable[[#This Row],[BookieOdds]])+(1/((1/((1+((LayTable[[#This Row],[LayOdds]]-1)*(1+LayTable[[#This Row],[C% Lay]])))-1))+1)))-1)</f>
        <v/>
      </c>
      <c r="Q2225" s="46" t="str">
        <f>IF(LayTable[[#This Row],[Sport]]="","",LayTable[[#This Row],[BookieInnsats]]+LayTable[[#This Row],[LayLiability]])</f>
        <v/>
      </c>
      <c r="R222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5" s="47" t="str">
        <f>IF(LayTable[[#This Row],[Utfall bookie]]="","",LayTable[[#This Row],[WBABack]]+LayTable[[#This Row],[WBALay]]-LayTable[[#This Row],[Total inns]])</f>
        <v/>
      </c>
      <c r="U222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5" s="48" t="str">
        <f>IFERROR(IF(LayTable[[#This Row],[Total inns]]="","",LayTable[[#This Row],[Rback]]/LayTable[[#This Row],[Total inns]]),"")</f>
        <v/>
      </c>
      <c r="X2225" s="48" t="str">
        <f>IFERROR(IF(LayTable[[#This Row],[Total inns]]="","",LayTable[[#This Row],[Rlay]]/LayTable[[#This Row],[Total inns]]),"")</f>
        <v/>
      </c>
      <c r="Y2225" s="48" t="str">
        <f>IFERROR(LayTable[[#This Row],[Faktisk res]]/LayTable[[#This Row],[Total inns]],"")</f>
        <v/>
      </c>
      <c r="Z2225" s="47">
        <f>(LayTable[[#This Row],[BookieInnsats]]*LayTable[[#This Row],[BookieOdds]]-LayTable[[#This Row],[BookieInnsats]])*(1-LayTable[[#This Row],[C% Bookie]])</f>
        <v>0</v>
      </c>
      <c r="AA2225" s="43">
        <f>LayTable[[#This Row],[LayInnsats]]*(1-LayTable[[#This Row],[C% Lay]])</f>
        <v>0</v>
      </c>
      <c r="AB2225" s="43" t="str">
        <f>IFERROR(IF(LayTable[[#This Row],[Sport]]="",AB2224,LayTable[[#This Row],[Faktisk res]]+AB2224),"")</f>
        <v/>
      </c>
      <c r="AC2225" s="43">
        <f>(LayTable[[#This Row],[BackWin-Commission]]+LayTable[[#This Row],[BookieInnsats]])</f>
        <v>0</v>
      </c>
      <c r="AD2225" s="43" t="e">
        <f>(LayTable[[#This Row],[LayWin-Commission]])+LayTable[[#This Row],[LayLiability]]</f>
        <v>#VALUE!</v>
      </c>
      <c r="AE2225" s="43"/>
      <c r="AF2225" s="181"/>
    </row>
    <row r="2226" spans="1:32">
      <c r="A2226" s="84"/>
      <c r="B2226" s="39"/>
      <c r="C2226" s="40"/>
      <c r="D2226" s="41"/>
      <c r="E2226" s="40"/>
      <c r="F2226" s="41"/>
      <c r="G2226" s="101"/>
      <c r="H2226" s="38"/>
      <c r="I2226" s="42"/>
      <c r="J2226" s="42"/>
      <c r="K2226" s="43"/>
      <c r="L2226" s="43"/>
      <c r="M2226" s="44" t="str">
        <f>IF(LayTable[[#This Row],[Sport]]="","",LayTable[[#This Row],[LayInnsats]]*(LayTable[[#This Row],[LayOdds]]-1))</f>
        <v/>
      </c>
      <c r="N2226" s="45" t="str">
        <f>IF(LayTable[[#This Row],[Sport]]="","",1/((1/LayTable[[#This Row],[BookieOdds]])+(1/((1/((1+((LayTable[[#This Row],[LayOdds]]-1)*(1+LayTable[[#This Row],[C% Lay]])))-1))+1)))-1)</f>
        <v/>
      </c>
      <c r="Q2226" s="46" t="str">
        <f>IF(LayTable[[#This Row],[Sport]]="","",LayTable[[#This Row],[BookieInnsats]]+LayTable[[#This Row],[LayLiability]])</f>
        <v/>
      </c>
      <c r="R222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6" s="47" t="str">
        <f>IF(LayTable[[#This Row],[Utfall bookie]]="","",LayTable[[#This Row],[WBABack]]+LayTable[[#This Row],[WBALay]]-LayTable[[#This Row],[Total inns]])</f>
        <v/>
      </c>
      <c r="U222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6" s="48" t="str">
        <f>IFERROR(IF(LayTable[[#This Row],[Total inns]]="","",LayTable[[#This Row],[Rback]]/LayTable[[#This Row],[Total inns]]),"")</f>
        <v/>
      </c>
      <c r="X2226" s="48" t="str">
        <f>IFERROR(IF(LayTable[[#This Row],[Total inns]]="","",LayTable[[#This Row],[Rlay]]/LayTable[[#This Row],[Total inns]]),"")</f>
        <v/>
      </c>
      <c r="Y2226" s="48" t="str">
        <f>IFERROR(LayTable[[#This Row],[Faktisk res]]/LayTable[[#This Row],[Total inns]],"")</f>
        <v/>
      </c>
      <c r="Z2226" s="47">
        <f>(LayTable[[#This Row],[BookieInnsats]]*LayTable[[#This Row],[BookieOdds]]-LayTable[[#This Row],[BookieInnsats]])*(1-LayTable[[#This Row],[C% Bookie]])</f>
        <v>0</v>
      </c>
      <c r="AA2226" s="43">
        <f>LayTable[[#This Row],[LayInnsats]]*(1-LayTable[[#This Row],[C% Lay]])</f>
        <v>0</v>
      </c>
      <c r="AB2226" s="43" t="str">
        <f>IFERROR(IF(LayTable[[#This Row],[Sport]]="",AB2225,LayTable[[#This Row],[Faktisk res]]+AB2225),"")</f>
        <v/>
      </c>
      <c r="AC2226" s="43">
        <f>(LayTable[[#This Row],[BackWin-Commission]]+LayTable[[#This Row],[BookieInnsats]])</f>
        <v>0</v>
      </c>
      <c r="AD2226" s="43" t="e">
        <f>(LayTable[[#This Row],[LayWin-Commission]])+LayTable[[#This Row],[LayLiability]]</f>
        <v>#VALUE!</v>
      </c>
      <c r="AE2226" s="43"/>
      <c r="AF2226" s="181"/>
    </row>
    <row r="2227" spans="1:32">
      <c r="A2227" s="84"/>
      <c r="B2227" s="39"/>
      <c r="C2227" s="40"/>
      <c r="D2227" s="41"/>
      <c r="E2227" s="40"/>
      <c r="F2227" s="41"/>
      <c r="G2227" s="101"/>
      <c r="H2227" s="38"/>
      <c r="I2227" s="42"/>
      <c r="J2227" s="42"/>
      <c r="K2227" s="43"/>
      <c r="L2227" s="43"/>
      <c r="M2227" s="44" t="str">
        <f>IF(LayTable[[#This Row],[Sport]]="","",LayTable[[#This Row],[LayInnsats]]*(LayTable[[#This Row],[LayOdds]]-1))</f>
        <v/>
      </c>
      <c r="N2227" s="45" t="str">
        <f>IF(LayTable[[#This Row],[Sport]]="","",1/((1/LayTable[[#This Row],[BookieOdds]])+(1/((1/((1+((LayTable[[#This Row],[LayOdds]]-1)*(1+LayTable[[#This Row],[C% Lay]])))-1))+1)))-1)</f>
        <v/>
      </c>
      <c r="Q2227" s="46" t="str">
        <f>IF(LayTable[[#This Row],[Sport]]="","",LayTable[[#This Row],[BookieInnsats]]+LayTable[[#This Row],[LayLiability]])</f>
        <v/>
      </c>
      <c r="R222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7" s="47" t="str">
        <f>IF(LayTable[[#This Row],[Utfall bookie]]="","",LayTable[[#This Row],[WBABack]]+LayTable[[#This Row],[WBALay]]-LayTable[[#This Row],[Total inns]])</f>
        <v/>
      </c>
      <c r="U222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7" s="48" t="str">
        <f>IFERROR(IF(LayTable[[#This Row],[Total inns]]="","",LayTable[[#This Row],[Rback]]/LayTable[[#This Row],[Total inns]]),"")</f>
        <v/>
      </c>
      <c r="X2227" s="48" t="str">
        <f>IFERROR(IF(LayTable[[#This Row],[Total inns]]="","",LayTable[[#This Row],[Rlay]]/LayTable[[#This Row],[Total inns]]),"")</f>
        <v/>
      </c>
      <c r="Y2227" s="48" t="str">
        <f>IFERROR(LayTable[[#This Row],[Faktisk res]]/LayTable[[#This Row],[Total inns]],"")</f>
        <v/>
      </c>
      <c r="Z2227" s="47">
        <f>(LayTable[[#This Row],[BookieInnsats]]*LayTable[[#This Row],[BookieOdds]]-LayTable[[#This Row],[BookieInnsats]])*(1-LayTable[[#This Row],[C% Bookie]])</f>
        <v>0</v>
      </c>
      <c r="AA2227" s="43">
        <f>LayTable[[#This Row],[LayInnsats]]*(1-LayTable[[#This Row],[C% Lay]])</f>
        <v>0</v>
      </c>
      <c r="AB2227" s="43" t="str">
        <f>IFERROR(IF(LayTable[[#This Row],[Sport]]="",AB2226,LayTable[[#This Row],[Faktisk res]]+AB2226),"")</f>
        <v/>
      </c>
      <c r="AC2227" s="43">
        <f>(LayTable[[#This Row],[BackWin-Commission]]+LayTable[[#This Row],[BookieInnsats]])</f>
        <v>0</v>
      </c>
      <c r="AD2227" s="43" t="e">
        <f>(LayTable[[#This Row],[LayWin-Commission]])+LayTable[[#This Row],[LayLiability]]</f>
        <v>#VALUE!</v>
      </c>
      <c r="AE2227" s="43"/>
      <c r="AF2227" s="181"/>
    </row>
    <row r="2228" spans="1:32">
      <c r="A2228" s="84"/>
      <c r="B2228" s="39"/>
      <c r="C2228" s="40"/>
      <c r="D2228" s="41"/>
      <c r="E2228" s="40"/>
      <c r="F2228" s="41"/>
      <c r="G2228" s="101"/>
      <c r="H2228" s="38"/>
      <c r="I2228" s="42"/>
      <c r="J2228" s="42"/>
      <c r="K2228" s="43"/>
      <c r="L2228" s="43"/>
      <c r="M2228" s="44" t="str">
        <f>IF(LayTable[[#This Row],[Sport]]="","",LayTable[[#This Row],[LayInnsats]]*(LayTable[[#This Row],[LayOdds]]-1))</f>
        <v/>
      </c>
      <c r="N2228" s="45" t="str">
        <f>IF(LayTable[[#This Row],[Sport]]="","",1/((1/LayTable[[#This Row],[BookieOdds]])+(1/((1/((1+((LayTable[[#This Row],[LayOdds]]-1)*(1+LayTable[[#This Row],[C% Lay]])))-1))+1)))-1)</f>
        <v/>
      </c>
      <c r="Q2228" s="46" t="str">
        <f>IF(LayTable[[#This Row],[Sport]]="","",LayTable[[#This Row],[BookieInnsats]]+LayTable[[#This Row],[LayLiability]])</f>
        <v/>
      </c>
      <c r="R222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8" s="47" t="str">
        <f>IF(LayTable[[#This Row],[Utfall bookie]]="","",LayTable[[#This Row],[WBABack]]+LayTable[[#This Row],[WBALay]]-LayTable[[#This Row],[Total inns]])</f>
        <v/>
      </c>
      <c r="U222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8" s="48" t="str">
        <f>IFERROR(IF(LayTable[[#This Row],[Total inns]]="","",LayTable[[#This Row],[Rback]]/LayTable[[#This Row],[Total inns]]),"")</f>
        <v/>
      </c>
      <c r="X2228" s="48" t="str">
        <f>IFERROR(IF(LayTable[[#This Row],[Total inns]]="","",LayTable[[#This Row],[Rlay]]/LayTable[[#This Row],[Total inns]]),"")</f>
        <v/>
      </c>
      <c r="Y2228" s="48" t="str">
        <f>IFERROR(LayTable[[#This Row],[Faktisk res]]/LayTable[[#This Row],[Total inns]],"")</f>
        <v/>
      </c>
      <c r="Z2228" s="47">
        <f>(LayTable[[#This Row],[BookieInnsats]]*LayTable[[#This Row],[BookieOdds]]-LayTable[[#This Row],[BookieInnsats]])*(1-LayTable[[#This Row],[C% Bookie]])</f>
        <v>0</v>
      </c>
      <c r="AA2228" s="43">
        <f>LayTable[[#This Row],[LayInnsats]]*(1-LayTable[[#This Row],[C% Lay]])</f>
        <v>0</v>
      </c>
      <c r="AB2228" s="43" t="str">
        <f>IFERROR(IF(LayTable[[#This Row],[Sport]]="",AB2227,LayTable[[#This Row],[Faktisk res]]+AB2227),"")</f>
        <v/>
      </c>
      <c r="AC2228" s="43">
        <f>(LayTable[[#This Row],[BackWin-Commission]]+LayTable[[#This Row],[BookieInnsats]])</f>
        <v>0</v>
      </c>
      <c r="AD2228" s="43" t="e">
        <f>(LayTable[[#This Row],[LayWin-Commission]])+LayTable[[#This Row],[LayLiability]]</f>
        <v>#VALUE!</v>
      </c>
      <c r="AE2228" s="43"/>
      <c r="AF2228" s="181"/>
    </row>
    <row r="2229" spans="1:32">
      <c r="A2229" s="84"/>
      <c r="B2229" s="39"/>
      <c r="C2229" s="40"/>
      <c r="D2229" s="41"/>
      <c r="E2229" s="40"/>
      <c r="F2229" s="41"/>
      <c r="G2229" s="101"/>
      <c r="H2229" s="38"/>
      <c r="I2229" s="42"/>
      <c r="J2229" s="42"/>
      <c r="K2229" s="43"/>
      <c r="L2229" s="43"/>
      <c r="M2229" s="44" t="str">
        <f>IF(LayTable[[#This Row],[Sport]]="","",LayTable[[#This Row],[LayInnsats]]*(LayTable[[#This Row],[LayOdds]]-1))</f>
        <v/>
      </c>
      <c r="N2229" s="45" t="str">
        <f>IF(LayTable[[#This Row],[Sport]]="","",1/((1/LayTable[[#This Row],[BookieOdds]])+(1/((1/((1+((LayTable[[#This Row],[LayOdds]]-1)*(1+LayTable[[#This Row],[C% Lay]])))-1))+1)))-1)</f>
        <v/>
      </c>
      <c r="Q2229" s="46" t="str">
        <f>IF(LayTable[[#This Row],[Sport]]="","",LayTable[[#This Row],[BookieInnsats]]+LayTable[[#This Row],[LayLiability]])</f>
        <v/>
      </c>
      <c r="R222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2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29" s="47" t="str">
        <f>IF(LayTable[[#This Row],[Utfall bookie]]="","",LayTable[[#This Row],[WBABack]]+LayTable[[#This Row],[WBALay]]-LayTable[[#This Row],[Total inns]])</f>
        <v/>
      </c>
      <c r="U222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2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29" s="48" t="str">
        <f>IFERROR(IF(LayTable[[#This Row],[Total inns]]="","",LayTable[[#This Row],[Rback]]/LayTable[[#This Row],[Total inns]]),"")</f>
        <v/>
      </c>
      <c r="X2229" s="48" t="str">
        <f>IFERROR(IF(LayTable[[#This Row],[Total inns]]="","",LayTable[[#This Row],[Rlay]]/LayTable[[#This Row],[Total inns]]),"")</f>
        <v/>
      </c>
      <c r="Y2229" s="48" t="str">
        <f>IFERROR(LayTable[[#This Row],[Faktisk res]]/LayTable[[#This Row],[Total inns]],"")</f>
        <v/>
      </c>
      <c r="Z2229" s="47">
        <f>(LayTable[[#This Row],[BookieInnsats]]*LayTable[[#This Row],[BookieOdds]]-LayTable[[#This Row],[BookieInnsats]])*(1-LayTable[[#This Row],[C% Bookie]])</f>
        <v>0</v>
      </c>
      <c r="AA2229" s="43">
        <f>LayTable[[#This Row],[LayInnsats]]*(1-LayTable[[#This Row],[C% Lay]])</f>
        <v>0</v>
      </c>
      <c r="AB2229" s="43" t="str">
        <f>IFERROR(IF(LayTable[[#This Row],[Sport]]="",AB2228,LayTable[[#This Row],[Faktisk res]]+AB2228),"")</f>
        <v/>
      </c>
      <c r="AC2229" s="43">
        <f>(LayTable[[#This Row],[BackWin-Commission]]+LayTable[[#This Row],[BookieInnsats]])</f>
        <v>0</v>
      </c>
      <c r="AD2229" s="43" t="e">
        <f>(LayTable[[#This Row],[LayWin-Commission]])+LayTable[[#This Row],[LayLiability]]</f>
        <v>#VALUE!</v>
      </c>
      <c r="AE2229" s="43"/>
      <c r="AF2229" s="181"/>
    </row>
    <row r="2230" spans="1:32">
      <c r="A2230" s="84"/>
      <c r="B2230" s="39"/>
      <c r="C2230" s="40"/>
      <c r="D2230" s="41"/>
      <c r="E2230" s="40"/>
      <c r="F2230" s="41"/>
      <c r="G2230" s="101"/>
      <c r="H2230" s="38"/>
      <c r="I2230" s="42"/>
      <c r="J2230" s="42"/>
      <c r="K2230" s="43"/>
      <c r="L2230" s="43"/>
      <c r="M2230" s="44" t="str">
        <f>IF(LayTable[[#This Row],[Sport]]="","",LayTable[[#This Row],[LayInnsats]]*(LayTable[[#This Row],[LayOdds]]-1))</f>
        <v/>
      </c>
      <c r="N2230" s="45" t="str">
        <f>IF(LayTable[[#This Row],[Sport]]="","",1/((1/LayTable[[#This Row],[BookieOdds]])+(1/((1/((1+((LayTable[[#This Row],[LayOdds]]-1)*(1+LayTable[[#This Row],[C% Lay]])))-1))+1)))-1)</f>
        <v/>
      </c>
      <c r="Q2230" s="46" t="str">
        <f>IF(LayTable[[#This Row],[Sport]]="","",LayTable[[#This Row],[BookieInnsats]]+LayTable[[#This Row],[LayLiability]])</f>
        <v/>
      </c>
      <c r="R223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0" s="47" t="str">
        <f>IF(LayTable[[#This Row],[Utfall bookie]]="","",LayTable[[#This Row],[WBABack]]+LayTable[[#This Row],[WBALay]]-LayTable[[#This Row],[Total inns]])</f>
        <v/>
      </c>
      <c r="U223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0" s="48" t="str">
        <f>IFERROR(IF(LayTable[[#This Row],[Total inns]]="","",LayTable[[#This Row],[Rback]]/LayTable[[#This Row],[Total inns]]),"")</f>
        <v/>
      </c>
      <c r="X2230" s="48" t="str">
        <f>IFERROR(IF(LayTable[[#This Row],[Total inns]]="","",LayTable[[#This Row],[Rlay]]/LayTable[[#This Row],[Total inns]]),"")</f>
        <v/>
      </c>
      <c r="Y2230" s="48" t="str">
        <f>IFERROR(LayTable[[#This Row],[Faktisk res]]/LayTable[[#This Row],[Total inns]],"")</f>
        <v/>
      </c>
      <c r="Z2230" s="47">
        <f>(LayTable[[#This Row],[BookieInnsats]]*LayTable[[#This Row],[BookieOdds]]-LayTable[[#This Row],[BookieInnsats]])*(1-LayTable[[#This Row],[C% Bookie]])</f>
        <v>0</v>
      </c>
      <c r="AA2230" s="43">
        <f>LayTable[[#This Row],[LayInnsats]]*(1-LayTable[[#This Row],[C% Lay]])</f>
        <v>0</v>
      </c>
      <c r="AB2230" s="43" t="str">
        <f>IFERROR(IF(LayTable[[#This Row],[Sport]]="",AB2229,LayTable[[#This Row],[Faktisk res]]+AB2229),"")</f>
        <v/>
      </c>
      <c r="AC2230" s="43">
        <f>(LayTable[[#This Row],[BackWin-Commission]]+LayTable[[#This Row],[BookieInnsats]])</f>
        <v>0</v>
      </c>
      <c r="AD2230" s="43" t="e">
        <f>(LayTable[[#This Row],[LayWin-Commission]])+LayTable[[#This Row],[LayLiability]]</f>
        <v>#VALUE!</v>
      </c>
      <c r="AE2230" s="43"/>
      <c r="AF2230" s="181"/>
    </row>
    <row r="2231" spans="1:32">
      <c r="A2231" s="84"/>
      <c r="B2231" s="39"/>
      <c r="C2231" s="40"/>
      <c r="D2231" s="41"/>
      <c r="E2231" s="40"/>
      <c r="F2231" s="41"/>
      <c r="G2231" s="101"/>
      <c r="H2231" s="38"/>
      <c r="I2231" s="42"/>
      <c r="J2231" s="42"/>
      <c r="K2231" s="43"/>
      <c r="L2231" s="43"/>
      <c r="M2231" s="44" t="str">
        <f>IF(LayTable[[#This Row],[Sport]]="","",LayTable[[#This Row],[LayInnsats]]*(LayTable[[#This Row],[LayOdds]]-1))</f>
        <v/>
      </c>
      <c r="N2231" s="45" t="str">
        <f>IF(LayTable[[#This Row],[Sport]]="","",1/((1/LayTable[[#This Row],[BookieOdds]])+(1/((1/((1+((LayTable[[#This Row],[LayOdds]]-1)*(1+LayTable[[#This Row],[C% Lay]])))-1))+1)))-1)</f>
        <v/>
      </c>
      <c r="Q2231" s="46" t="str">
        <f>IF(LayTable[[#This Row],[Sport]]="","",LayTable[[#This Row],[BookieInnsats]]+LayTable[[#This Row],[LayLiability]])</f>
        <v/>
      </c>
      <c r="R223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1" s="47" t="str">
        <f>IF(LayTable[[#This Row],[Utfall bookie]]="","",LayTable[[#This Row],[WBABack]]+LayTable[[#This Row],[WBALay]]-LayTable[[#This Row],[Total inns]])</f>
        <v/>
      </c>
      <c r="U223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1" s="48" t="str">
        <f>IFERROR(IF(LayTable[[#This Row],[Total inns]]="","",LayTable[[#This Row],[Rback]]/LayTable[[#This Row],[Total inns]]),"")</f>
        <v/>
      </c>
      <c r="X2231" s="48" t="str">
        <f>IFERROR(IF(LayTable[[#This Row],[Total inns]]="","",LayTable[[#This Row],[Rlay]]/LayTable[[#This Row],[Total inns]]),"")</f>
        <v/>
      </c>
      <c r="Y2231" s="48" t="str">
        <f>IFERROR(LayTable[[#This Row],[Faktisk res]]/LayTable[[#This Row],[Total inns]],"")</f>
        <v/>
      </c>
      <c r="Z2231" s="47">
        <f>(LayTable[[#This Row],[BookieInnsats]]*LayTable[[#This Row],[BookieOdds]]-LayTable[[#This Row],[BookieInnsats]])*(1-LayTable[[#This Row],[C% Bookie]])</f>
        <v>0</v>
      </c>
      <c r="AA2231" s="43">
        <f>LayTable[[#This Row],[LayInnsats]]*(1-LayTable[[#This Row],[C% Lay]])</f>
        <v>0</v>
      </c>
      <c r="AB2231" s="43" t="str">
        <f>IFERROR(IF(LayTable[[#This Row],[Sport]]="",AB2230,LayTable[[#This Row],[Faktisk res]]+AB2230),"")</f>
        <v/>
      </c>
      <c r="AC2231" s="43">
        <f>(LayTable[[#This Row],[BackWin-Commission]]+LayTable[[#This Row],[BookieInnsats]])</f>
        <v>0</v>
      </c>
      <c r="AD2231" s="43" t="e">
        <f>(LayTable[[#This Row],[LayWin-Commission]])+LayTable[[#This Row],[LayLiability]]</f>
        <v>#VALUE!</v>
      </c>
      <c r="AE2231" s="43"/>
      <c r="AF2231" s="181"/>
    </row>
    <row r="2232" spans="1:32">
      <c r="A2232" s="84"/>
      <c r="B2232" s="39"/>
      <c r="C2232" s="40"/>
      <c r="D2232" s="41"/>
      <c r="E2232" s="40"/>
      <c r="F2232" s="41"/>
      <c r="G2232" s="101"/>
      <c r="H2232" s="38"/>
      <c r="I2232" s="42"/>
      <c r="J2232" s="42"/>
      <c r="K2232" s="43"/>
      <c r="L2232" s="43"/>
      <c r="M2232" s="44" t="str">
        <f>IF(LayTable[[#This Row],[Sport]]="","",LayTable[[#This Row],[LayInnsats]]*(LayTable[[#This Row],[LayOdds]]-1))</f>
        <v/>
      </c>
      <c r="N2232" s="45" t="str">
        <f>IF(LayTable[[#This Row],[Sport]]="","",1/((1/LayTable[[#This Row],[BookieOdds]])+(1/((1/((1+((LayTable[[#This Row],[LayOdds]]-1)*(1+LayTable[[#This Row],[C% Lay]])))-1))+1)))-1)</f>
        <v/>
      </c>
      <c r="Q2232" s="46" t="str">
        <f>IF(LayTable[[#This Row],[Sport]]="","",LayTable[[#This Row],[BookieInnsats]]+LayTable[[#This Row],[LayLiability]])</f>
        <v/>
      </c>
      <c r="R223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2" s="47" t="str">
        <f>IF(LayTable[[#This Row],[Utfall bookie]]="","",LayTable[[#This Row],[WBABack]]+LayTable[[#This Row],[WBALay]]-LayTable[[#This Row],[Total inns]])</f>
        <v/>
      </c>
      <c r="U223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2" s="48" t="str">
        <f>IFERROR(IF(LayTable[[#This Row],[Total inns]]="","",LayTable[[#This Row],[Rback]]/LayTable[[#This Row],[Total inns]]),"")</f>
        <v/>
      </c>
      <c r="X2232" s="48" t="str">
        <f>IFERROR(IF(LayTable[[#This Row],[Total inns]]="","",LayTable[[#This Row],[Rlay]]/LayTable[[#This Row],[Total inns]]),"")</f>
        <v/>
      </c>
      <c r="Y2232" s="48" t="str">
        <f>IFERROR(LayTable[[#This Row],[Faktisk res]]/LayTable[[#This Row],[Total inns]],"")</f>
        <v/>
      </c>
      <c r="Z2232" s="47">
        <f>(LayTable[[#This Row],[BookieInnsats]]*LayTable[[#This Row],[BookieOdds]]-LayTable[[#This Row],[BookieInnsats]])*(1-LayTable[[#This Row],[C% Bookie]])</f>
        <v>0</v>
      </c>
      <c r="AA2232" s="43">
        <f>LayTable[[#This Row],[LayInnsats]]*(1-LayTable[[#This Row],[C% Lay]])</f>
        <v>0</v>
      </c>
      <c r="AB2232" s="43" t="str">
        <f>IFERROR(IF(LayTable[[#This Row],[Sport]]="",AB2231,LayTable[[#This Row],[Faktisk res]]+AB2231),"")</f>
        <v/>
      </c>
      <c r="AC2232" s="43">
        <f>(LayTable[[#This Row],[BackWin-Commission]]+LayTable[[#This Row],[BookieInnsats]])</f>
        <v>0</v>
      </c>
      <c r="AD2232" s="43" t="e">
        <f>(LayTable[[#This Row],[LayWin-Commission]])+LayTable[[#This Row],[LayLiability]]</f>
        <v>#VALUE!</v>
      </c>
      <c r="AE2232" s="43"/>
      <c r="AF2232" s="181"/>
    </row>
    <row r="2233" spans="1:32">
      <c r="A2233" s="84"/>
      <c r="B2233" s="39"/>
      <c r="C2233" s="40"/>
      <c r="D2233" s="41"/>
      <c r="E2233" s="40"/>
      <c r="F2233" s="41"/>
      <c r="G2233" s="101"/>
      <c r="H2233" s="38"/>
      <c r="I2233" s="42"/>
      <c r="J2233" s="42"/>
      <c r="K2233" s="43"/>
      <c r="L2233" s="43"/>
      <c r="M2233" s="44" t="str">
        <f>IF(LayTable[[#This Row],[Sport]]="","",LayTable[[#This Row],[LayInnsats]]*(LayTable[[#This Row],[LayOdds]]-1))</f>
        <v/>
      </c>
      <c r="N2233" s="45" t="str">
        <f>IF(LayTable[[#This Row],[Sport]]="","",1/((1/LayTable[[#This Row],[BookieOdds]])+(1/((1/((1+((LayTable[[#This Row],[LayOdds]]-1)*(1+LayTable[[#This Row],[C% Lay]])))-1))+1)))-1)</f>
        <v/>
      </c>
      <c r="Q2233" s="46" t="str">
        <f>IF(LayTable[[#This Row],[Sport]]="","",LayTable[[#This Row],[BookieInnsats]]+LayTable[[#This Row],[LayLiability]])</f>
        <v/>
      </c>
      <c r="R223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3" s="47" t="str">
        <f>IF(LayTable[[#This Row],[Utfall bookie]]="","",LayTable[[#This Row],[WBABack]]+LayTable[[#This Row],[WBALay]]-LayTable[[#This Row],[Total inns]])</f>
        <v/>
      </c>
      <c r="U223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3" s="48" t="str">
        <f>IFERROR(IF(LayTable[[#This Row],[Total inns]]="","",LayTable[[#This Row],[Rback]]/LayTable[[#This Row],[Total inns]]),"")</f>
        <v/>
      </c>
      <c r="X2233" s="48" t="str">
        <f>IFERROR(IF(LayTable[[#This Row],[Total inns]]="","",LayTable[[#This Row],[Rlay]]/LayTable[[#This Row],[Total inns]]),"")</f>
        <v/>
      </c>
      <c r="Y2233" s="48" t="str">
        <f>IFERROR(LayTable[[#This Row],[Faktisk res]]/LayTable[[#This Row],[Total inns]],"")</f>
        <v/>
      </c>
      <c r="Z2233" s="47">
        <f>(LayTable[[#This Row],[BookieInnsats]]*LayTable[[#This Row],[BookieOdds]]-LayTable[[#This Row],[BookieInnsats]])*(1-LayTable[[#This Row],[C% Bookie]])</f>
        <v>0</v>
      </c>
      <c r="AA2233" s="43">
        <f>LayTable[[#This Row],[LayInnsats]]*(1-LayTable[[#This Row],[C% Lay]])</f>
        <v>0</v>
      </c>
      <c r="AB2233" s="43" t="str">
        <f>IFERROR(IF(LayTable[[#This Row],[Sport]]="",AB2232,LayTable[[#This Row],[Faktisk res]]+AB2232),"")</f>
        <v/>
      </c>
      <c r="AC2233" s="43">
        <f>(LayTable[[#This Row],[BackWin-Commission]]+LayTable[[#This Row],[BookieInnsats]])</f>
        <v>0</v>
      </c>
      <c r="AD2233" s="43" t="e">
        <f>(LayTable[[#This Row],[LayWin-Commission]])+LayTable[[#This Row],[LayLiability]]</f>
        <v>#VALUE!</v>
      </c>
      <c r="AE2233" s="43"/>
      <c r="AF2233" s="181"/>
    </row>
    <row r="2234" spans="1:32">
      <c r="A2234" s="84"/>
      <c r="B2234" s="39"/>
      <c r="C2234" s="40"/>
      <c r="D2234" s="41"/>
      <c r="E2234" s="40"/>
      <c r="F2234" s="41"/>
      <c r="G2234" s="101"/>
      <c r="H2234" s="38"/>
      <c r="I2234" s="42"/>
      <c r="J2234" s="42"/>
      <c r="K2234" s="43"/>
      <c r="L2234" s="43"/>
      <c r="M2234" s="44" t="str">
        <f>IF(LayTable[[#This Row],[Sport]]="","",LayTable[[#This Row],[LayInnsats]]*(LayTable[[#This Row],[LayOdds]]-1))</f>
        <v/>
      </c>
      <c r="N2234" s="45" t="str">
        <f>IF(LayTable[[#This Row],[Sport]]="","",1/((1/LayTable[[#This Row],[BookieOdds]])+(1/((1/((1+((LayTable[[#This Row],[LayOdds]]-1)*(1+LayTable[[#This Row],[C% Lay]])))-1))+1)))-1)</f>
        <v/>
      </c>
      <c r="Q2234" s="46" t="str">
        <f>IF(LayTable[[#This Row],[Sport]]="","",LayTable[[#This Row],[BookieInnsats]]+LayTable[[#This Row],[LayLiability]])</f>
        <v/>
      </c>
      <c r="R223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4" s="47" t="str">
        <f>IF(LayTable[[#This Row],[Utfall bookie]]="","",LayTable[[#This Row],[WBABack]]+LayTable[[#This Row],[WBALay]]-LayTable[[#This Row],[Total inns]])</f>
        <v/>
      </c>
      <c r="U223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4" s="48" t="str">
        <f>IFERROR(IF(LayTable[[#This Row],[Total inns]]="","",LayTable[[#This Row],[Rback]]/LayTable[[#This Row],[Total inns]]),"")</f>
        <v/>
      </c>
      <c r="X2234" s="48" t="str">
        <f>IFERROR(IF(LayTable[[#This Row],[Total inns]]="","",LayTable[[#This Row],[Rlay]]/LayTable[[#This Row],[Total inns]]),"")</f>
        <v/>
      </c>
      <c r="Y2234" s="48" t="str">
        <f>IFERROR(LayTable[[#This Row],[Faktisk res]]/LayTable[[#This Row],[Total inns]],"")</f>
        <v/>
      </c>
      <c r="Z2234" s="47">
        <f>(LayTable[[#This Row],[BookieInnsats]]*LayTable[[#This Row],[BookieOdds]]-LayTable[[#This Row],[BookieInnsats]])*(1-LayTable[[#This Row],[C% Bookie]])</f>
        <v>0</v>
      </c>
      <c r="AA2234" s="43">
        <f>LayTable[[#This Row],[LayInnsats]]*(1-LayTable[[#This Row],[C% Lay]])</f>
        <v>0</v>
      </c>
      <c r="AB2234" s="43" t="str">
        <f>IFERROR(IF(LayTable[[#This Row],[Sport]]="",AB2233,LayTable[[#This Row],[Faktisk res]]+AB2233),"")</f>
        <v/>
      </c>
      <c r="AC2234" s="43">
        <f>(LayTable[[#This Row],[BackWin-Commission]]+LayTable[[#This Row],[BookieInnsats]])</f>
        <v>0</v>
      </c>
      <c r="AD2234" s="43" t="e">
        <f>(LayTable[[#This Row],[LayWin-Commission]])+LayTable[[#This Row],[LayLiability]]</f>
        <v>#VALUE!</v>
      </c>
      <c r="AE2234" s="43"/>
      <c r="AF2234" s="181"/>
    </row>
    <row r="2235" spans="1:32">
      <c r="A2235" s="84"/>
      <c r="B2235" s="39"/>
      <c r="C2235" s="40"/>
      <c r="D2235" s="41"/>
      <c r="E2235" s="40"/>
      <c r="F2235" s="41"/>
      <c r="G2235" s="101"/>
      <c r="H2235" s="38"/>
      <c r="I2235" s="42"/>
      <c r="J2235" s="42"/>
      <c r="K2235" s="43"/>
      <c r="L2235" s="43"/>
      <c r="M2235" s="44" t="str">
        <f>IF(LayTable[[#This Row],[Sport]]="","",LayTable[[#This Row],[LayInnsats]]*(LayTable[[#This Row],[LayOdds]]-1))</f>
        <v/>
      </c>
      <c r="N2235" s="45" t="str">
        <f>IF(LayTable[[#This Row],[Sport]]="","",1/((1/LayTable[[#This Row],[BookieOdds]])+(1/((1/((1+((LayTable[[#This Row],[LayOdds]]-1)*(1+LayTable[[#This Row],[C% Lay]])))-1))+1)))-1)</f>
        <v/>
      </c>
      <c r="Q2235" s="46" t="str">
        <f>IF(LayTable[[#This Row],[Sport]]="","",LayTable[[#This Row],[BookieInnsats]]+LayTable[[#This Row],[LayLiability]])</f>
        <v/>
      </c>
      <c r="R223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5" s="47" t="str">
        <f>IF(LayTable[[#This Row],[Utfall bookie]]="","",LayTable[[#This Row],[WBABack]]+LayTable[[#This Row],[WBALay]]-LayTable[[#This Row],[Total inns]])</f>
        <v/>
      </c>
      <c r="U223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5" s="48" t="str">
        <f>IFERROR(IF(LayTable[[#This Row],[Total inns]]="","",LayTable[[#This Row],[Rback]]/LayTable[[#This Row],[Total inns]]),"")</f>
        <v/>
      </c>
      <c r="X2235" s="48" t="str">
        <f>IFERROR(IF(LayTable[[#This Row],[Total inns]]="","",LayTable[[#This Row],[Rlay]]/LayTable[[#This Row],[Total inns]]),"")</f>
        <v/>
      </c>
      <c r="Y2235" s="48" t="str">
        <f>IFERROR(LayTable[[#This Row],[Faktisk res]]/LayTable[[#This Row],[Total inns]],"")</f>
        <v/>
      </c>
      <c r="Z2235" s="47">
        <f>(LayTable[[#This Row],[BookieInnsats]]*LayTable[[#This Row],[BookieOdds]]-LayTable[[#This Row],[BookieInnsats]])*(1-LayTable[[#This Row],[C% Bookie]])</f>
        <v>0</v>
      </c>
      <c r="AA2235" s="43">
        <f>LayTable[[#This Row],[LayInnsats]]*(1-LayTable[[#This Row],[C% Lay]])</f>
        <v>0</v>
      </c>
      <c r="AB2235" s="43" t="str">
        <f>IFERROR(IF(LayTable[[#This Row],[Sport]]="",AB2234,LayTable[[#This Row],[Faktisk res]]+AB2234),"")</f>
        <v/>
      </c>
      <c r="AC2235" s="43">
        <f>(LayTable[[#This Row],[BackWin-Commission]]+LayTable[[#This Row],[BookieInnsats]])</f>
        <v>0</v>
      </c>
      <c r="AD2235" s="43" t="e">
        <f>(LayTable[[#This Row],[LayWin-Commission]])+LayTable[[#This Row],[LayLiability]]</f>
        <v>#VALUE!</v>
      </c>
      <c r="AE2235" s="43"/>
      <c r="AF2235" s="181"/>
    </row>
    <row r="2236" spans="1:32">
      <c r="A2236" s="84"/>
      <c r="B2236" s="39"/>
      <c r="C2236" s="40"/>
      <c r="D2236" s="41"/>
      <c r="E2236" s="40"/>
      <c r="F2236" s="41"/>
      <c r="G2236" s="101"/>
      <c r="H2236" s="38"/>
      <c r="I2236" s="42"/>
      <c r="J2236" s="42"/>
      <c r="K2236" s="43"/>
      <c r="L2236" s="43"/>
      <c r="M2236" s="44" t="str">
        <f>IF(LayTable[[#This Row],[Sport]]="","",LayTable[[#This Row],[LayInnsats]]*(LayTable[[#This Row],[LayOdds]]-1))</f>
        <v/>
      </c>
      <c r="N2236" s="45" t="str">
        <f>IF(LayTable[[#This Row],[Sport]]="","",1/((1/LayTable[[#This Row],[BookieOdds]])+(1/((1/((1+((LayTable[[#This Row],[LayOdds]]-1)*(1+LayTable[[#This Row],[C% Lay]])))-1))+1)))-1)</f>
        <v/>
      </c>
      <c r="Q2236" s="46" t="str">
        <f>IF(LayTable[[#This Row],[Sport]]="","",LayTable[[#This Row],[BookieInnsats]]+LayTable[[#This Row],[LayLiability]])</f>
        <v/>
      </c>
      <c r="R223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6" s="47" t="str">
        <f>IF(LayTable[[#This Row],[Utfall bookie]]="","",LayTable[[#This Row],[WBABack]]+LayTable[[#This Row],[WBALay]]-LayTable[[#This Row],[Total inns]])</f>
        <v/>
      </c>
      <c r="U223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6" s="48" t="str">
        <f>IFERROR(IF(LayTable[[#This Row],[Total inns]]="","",LayTable[[#This Row],[Rback]]/LayTable[[#This Row],[Total inns]]),"")</f>
        <v/>
      </c>
      <c r="X2236" s="48" t="str">
        <f>IFERROR(IF(LayTable[[#This Row],[Total inns]]="","",LayTable[[#This Row],[Rlay]]/LayTable[[#This Row],[Total inns]]),"")</f>
        <v/>
      </c>
      <c r="Y2236" s="48" t="str">
        <f>IFERROR(LayTable[[#This Row],[Faktisk res]]/LayTable[[#This Row],[Total inns]],"")</f>
        <v/>
      </c>
      <c r="Z2236" s="47">
        <f>(LayTable[[#This Row],[BookieInnsats]]*LayTable[[#This Row],[BookieOdds]]-LayTable[[#This Row],[BookieInnsats]])*(1-LayTable[[#This Row],[C% Bookie]])</f>
        <v>0</v>
      </c>
      <c r="AA2236" s="43">
        <f>LayTable[[#This Row],[LayInnsats]]*(1-LayTable[[#This Row],[C% Lay]])</f>
        <v>0</v>
      </c>
      <c r="AB2236" s="43" t="str">
        <f>IFERROR(IF(LayTable[[#This Row],[Sport]]="",AB2235,LayTable[[#This Row],[Faktisk res]]+AB2235),"")</f>
        <v/>
      </c>
      <c r="AC2236" s="43">
        <f>(LayTable[[#This Row],[BackWin-Commission]]+LayTable[[#This Row],[BookieInnsats]])</f>
        <v>0</v>
      </c>
      <c r="AD2236" s="43" t="e">
        <f>(LayTable[[#This Row],[LayWin-Commission]])+LayTable[[#This Row],[LayLiability]]</f>
        <v>#VALUE!</v>
      </c>
      <c r="AE2236" s="43"/>
      <c r="AF2236" s="181"/>
    </row>
    <row r="2237" spans="1:32">
      <c r="A2237" s="84"/>
      <c r="B2237" s="39"/>
      <c r="C2237" s="40"/>
      <c r="D2237" s="41"/>
      <c r="E2237" s="40"/>
      <c r="F2237" s="41"/>
      <c r="G2237" s="101"/>
      <c r="H2237" s="38"/>
      <c r="I2237" s="42"/>
      <c r="J2237" s="42"/>
      <c r="K2237" s="43"/>
      <c r="L2237" s="43"/>
      <c r="M2237" s="44" t="str">
        <f>IF(LayTable[[#This Row],[Sport]]="","",LayTable[[#This Row],[LayInnsats]]*(LayTable[[#This Row],[LayOdds]]-1))</f>
        <v/>
      </c>
      <c r="N2237" s="45" t="str">
        <f>IF(LayTable[[#This Row],[Sport]]="","",1/((1/LayTable[[#This Row],[BookieOdds]])+(1/((1/((1+((LayTable[[#This Row],[LayOdds]]-1)*(1+LayTable[[#This Row],[C% Lay]])))-1))+1)))-1)</f>
        <v/>
      </c>
      <c r="Q2237" s="46" t="str">
        <f>IF(LayTable[[#This Row],[Sport]]="","",LayTable[[#This Row],[BookieInnsats]]+LayTable[[#This Row],[LayLiability]])</f>
        <v/>
      </c>
      <c r="R223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7" s="47" t="str">
        <f>IF(LayTable[[#This Row],[Utfall bookie]]="","",LayTable[[#This Row],[WBABack]]+LayTable[[#This Row],[WBALay]]-LayTable[[#This Row],[Total inns]])</f>
        <v/>
      </c>
      <c r="U223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7" s="48" t="str">
        <f>IFERROR(IF(LayTable[[#This Row],[Total inns]]="","",LayTable[[#This Row],[Rback]]/LayTable[[#This Row],[Total inns]]),"")</f>
        <v/>
      </c>
      <c r="X2237" s="48" t="str">
        <f>IFERROR(IF(LayTable[[#This Row],[Total inns]]="","",LayTable[[#This Row],[Rlay]]/LayTable[[#This Row],[Total inns]]),"")</f>
        <v/>
      </c>
      <c r="Y2237" s="48" t="str">
        <f>IFERROR(LayTable[[#This Row],[Faktisk res]]/LayTable[[#This Row],[Total inns]],"")</f>
        <v/>
      </c>
      <c r="Z2237" s="47">
        <f>(LayTable[[#This Row],[BookieInnsats]]*LayTable[[#This Row],[BookieOdds]]-LayTable[[#This Row],[BookieInnsats]])*(1-LayTable[[#This Row],[C% Bookie]])</f>
        <v>0</v>
      </c>
      <c r="AA2237" s="43">
        <f>LayTable[[#This Row],[LayInnsats]]*(1-LayTable[[#This Row],[C% Lay]])</f>
        <v>0</v>
      </c>
      <c r="AB2237" s="43" t="str">
        <f>IFERROR(IF(LayTable[[#This Row],[Sport]]="",AB2236,LayTable[[#This Row],[Faktisk res]]+AB2236),"")</f>
        <v/>
      </c>
      <c r="AC2237" s="43">
        <f>(LayTable[[#This Row],[BackWin-Commission]]+LayTable[[#This Row],[BookieInnsats]])</f>
        <v>0</v>
      </c>
      <c r="AD2237" s="43" t="e">
        <f>(LayTable[[#This Row],[LayWin-Commission]])+LayTable[[#This Row],[LayLiability]]</f>
        <v>#VALUE!</v>
      </c>
      <c r="AE2237" s="43"/>
      <c r="AF2237" s="181"/>
    </row>
    <row r="2238" spans="1:32">
      <c r="A2238" s="84"/>
      <c r="B2238" s="39"/>
      <c r="C2238" s="40"/>
      <c r="D2238" s="41"/>
      <c r="E2238" s="40"/>
      <c r="F2238" s="41"/>
      <c r="G2238" s="101"/>
      <c r="H2238" s="38"/>
      <c r="I2238" s="42"/>
      <c r="J2238" s="42"/>
      <c r="K2238" s="43"/>
      <c r="L2238" s="43"/>
      <c r="M2238" s="44" t="str">
        <f>IF(LayTable[[#This Row],[Sport]]="","",LayTable[[#This Row],[LayInnsats]]*(LayTable[[#This Row],[LayOdds]]-1))</f>
        <v/>
      </c>
      <c r="N2238" s="45" t="str">
        <f>IF(LayTable[[#This Row],[Sport]]="","",1/((1/LayTable[[#This Row],[BookieOdds]])+(1/((1/((1+((LayTable[[#This Row],[LayOdds]]-1)*(1+LayTable[[#This Row],[C% Lay]])))-1))+1)))-1)</f>
        <v/>
      </c>
      <c r="Q2238" s="46" t="str">
        <f>IF(LayTable[[#This Row],[Sport]]="","",LayTable[[#This Row],[BookieInnsats]]+LayTable[[#This Row],[LayLiability]])</f>
        <v/>
      </c>
      <c r="R223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8" s="47" t="str">
        <f>IF(LayTable[[#This Row],[Utfall bookie]]="","",LayTable[[#This Row],[WBABack]]+LayTable[[#This Row],[WBALay]]-LayTable[[#This Row],[Total inns]])</f>
        <v/>
      </c>
      <c r="U223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8" s="48" t="str">
        <f>IFERROR(IF(LayTable[[#This Row],[Total inns]]="","",LayTable[[#This Row],[Rback]]/LayTable[[#This Row],[Total inns]]),"")</f>
        <v/>
      </c>
      <c r="X2238" s="48" t="str">
        <f>IFERROR(IF(LayTable[[#This Row],[Total inns]]="","",LayTable[[#This Row],[Rlay]]/LayTable[[#This Row],[Total inns]]),"")</f>
        <v/>
      </c>
      <c r="Y2238" s="48" t="str">
        <f>IFERROR(LayTable[[#This Row],[Faktisk res]]/LayTable[[#This Row],[Total inns]],"")</f>
        <v/>
      </c>
      <c r="Z2238" s="47">
        <f>(LayTable[[#This Row],[BookieInnsats]]*LayTable[[#This Row],[BookieOdds]]-LayTable[[#This Row],[BookieInnsats]])*(1-LayTable[[#This Row],[C% Bookie]])</f>
        <v>0</v>
      </c>
      <c r="AA2238" s="43">
        <f>LayTable[[#This Row],[LayInnsats]]*(1-LayTable[[#This Row],[C% Lay]])</f>
        <v>0</v>
      </c>
      <c r="AB2238" s="43" t="str">
        <f>IFERROR(IF(LayTable[[#This Row],[Sport]]="",AB2237,LayTable[[#This Row],[Faktisk res]]+AB2237),"")</f>
        <v/>
      </c>
      <c r="AC2238" s="43">
        <f>(LayTable[[#This Row],[BackWin-Commission]]+LayTable[[#This Row],[BookieInnsats]])</f>
        <v>0</v>
      </c>
      <c r="AD2238" s="43" t="e">
        <f>(LayTable[[#This Row],[LayWin-Commission]])+LayTable[[#This Row],[LayLiability]]</f>
        <v>#VALUE!</v>
      </c>
      <c r="AE2238" s="43"/>
      <c r="AF2238" s="181"/>
    </row>
    <row r="2239" spans="1:32">
      <c r="A2239" s="84"/>
      <c r="B2239" s="39"/>
      <c r="C2239" s="40"/>
      <c r="D2239" s="41"/>
      <c r="E2239" s="40"/>
      <c r="F2239" s="41"/>
      <c r="G2239" s="101"/>
      <c r="H2239" s="38"/>
      <c r="I2239" s="42"/>
      <c r="J2239" s="42"/>
      <c r="K2239" s="43"/>
      <c r="L2239" s="43"/>
      <c r="M2239" s="44" t="str">
        <f>IF(LayTable[[#This Row],[Sport]]="","",LayTable[[#This Row],[LayInnsats]]*(LayTable[[#This Row],[LayOdds]]-1))</f>
        <v/>
      </c>
      <c r="N2239" s="45" t="str">
        <f>IF(LayTable[[#This Row],[Sport]]="","",1/((1/LayTable[[#This Row],[BookieOdds]])+(1/((1/((1+((LayTable[[#This Row],[LayOdds]]-1)*(1+LayTable[[#This Row],[C% Lay]])))-1))+1)))-1)</f>
        <v/>
      </c>
      <c r="Q2239" s="46" t="str">
        <f>IF(LayTable[[#This Row],[Sport]]="","",LayTable[[#This Row],[BookieInnsats]]+LayTable[[#This Row],[LayLiability]])</f>
        <v/>
      </c>
      <c r="R223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3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39" s="47" t="str">
        <f>IF(LayTable[[#This Row],[Utfall bookie]]="","",LayTable[[#This Row],[WBABack]]+LayTable[[#This Row],[WBALay]]-LayTable[[#This Row],[Total inns]])</f>
        <v/>
      </c>
      <c r="U223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3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39" s="48" t="str">
        <f>IFERROR(IF(LayTable[[#This Row],[Total inns]]="","",LayTable[[#This Row],[Rback]]/LayTable[[#This Row],[Total inns]]),"")</f>
        <v/>
      </c>
      <c r="X2239" s="48" t="str">
        <f>IFERROR(IF(LayTable[[#This Row],[Total inns]]="","",LayTable[[#This Row],[Rlay]]/LayTable[[#This Row],[Total inns]]),"")</f>
        <v/>
      </c>
      <c r="Y2239" s="48" t="str">
        <f>IFERROR(LayTable[[#This Row],[Faktisk res]]/LayTable[[#This Row],[Total inns]],"")</f>
        <v/>
      </c>
      <c r="Z2239" s="47">
        <f>(LayTable[[#This Row],[BookieInnsats]]*LayTable[[#This Row],[BookieOdds]]-LayTable[[#This Row],[BookieInnsats]])*(1-LayTable[[#This Row],[C% Bookie]])</f>
        <v>0</v>
      </c>
      <c r="AA2239" s="43">
        <f>LayTable[[#This Row],[LayInnsats]]*(1-LayTable[[#This Row],[C% Lay]])</f>
        <v>0</v>
      </c>
      <c r="AB2239" s="43" t="str">
        <f>IFERROR(IF(LayTable[[#This Row],[Sport]]="",AB2238,LayTable[[#This Row],[Faktisk res]]+AB2238),"")</f>
        <v/>
      </c>
      <c r="AC2239" s="43">
        <f>(LayTable[[#This Row],[BackWin-Commission]]+LayTable[[#This Row],[BookieInnsats]])</f>
        <v>0</v>
      </c>
      <c r="AD2239" s="43" t="e">
        <f>(LayTable[[#This Row],[LayWin-Commission]])+LayTable[[#This Row],[LayLiability]]</f>
        <v>#VALUE!</v>
      </c>
      <c r="AE2239" s="43"/>
      <c r="AF2239" s="181"/>
    </row>
    <row r="2240" spans="1:32">
      <c r="A2240" s="84"/>
      <c r="B2240" s="39"/>
      <c r="C2240" s="40"/>
      <c r="D2240" s="41"/>
      <c r="E2240" s="40"/>
      <c r="F2240" s="41"/>
      <c r="G2240" s="101"/>
      <c r="H2240" s="38"/>
      <c r="I2240" s="42"/>
      <c r="J2240" s="42"/>
      <c r="K2240" s="43"/>
      <c r="L2240" s="43"/>
      <c r="M2240" s="44" t="str">
        <f>IF(LayTable[[#This Row],[Sport]]="","",LayTable[[#This Row],[LayInnsats]]*(LayTable[[#This Row],[LayOdds]]-1))</f>
        <v/>
      </c>
      <c r="N2240" s="45" t="str">
        <f>IF(LayTable[[#This Row],[Sport]]="","",1/((1/LayTable[[#This Row],[BookieOdds]])+(1/((1/((1+((LayTable[[#This Row],[LayOdds]]-1)*(1+LayTable[[#This Row],[C% Lay]])))-1))+1)))-1)</f>
        <v/>
      </c>
      <c r="Q2240" s="46" t="str">
        <f>IF(LayTable[[#This Row],[Sport]]="","",LayTable[[#This Row],[BookieInnsats]]+LayTable[[#This Row],[LayLiability]])</f>
        <v/>
      </c>
      <c r="R224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0" s="47" t="str">
        <f>IF(LayTable[[#This Row],[Utfall bookie]]="","",LayTable[[#This Row],[WBABack]]+LayTable[[#This Row],[WBALay]]-LayTable[[#This Row],[Total inns]])</f>
        <v/>
      </c>
      <c r="U224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0" s="48" t="str">
        <f>IFERROR(IF(LayTable[[#This Row],[Total inns]]="","",LayTable[[#This Row],[Rback]]/LayTable[[#This Row],[Total inns]]),"")</f>
        <v/>
      </c>
      <c r="X2240" s="48" t="str">
        <f>IFERROR(IF(LayTable[[#This Row],[Total inns]]="","",LayTable[[#This Row],[Rlay]]/LayTable[[#This Row],[Total inns]]),"")</f>
        <v/>
      </c>
      <c r="Y2240" s="48" t="str">
        <f>IFERROR(LayTable[[#This Row],[Faktisk res]]/LayTable[[#This Row],[Total inns]],"")</f>
        <v/>
      </c>
      <c r="Z2240" s="47">
        <f>(LayTable[[#This Row],[BookieInnsats]]*LayTable[[#This Row],[BookieOdds]]-LayTable[[#This Row],[BookieInnsats]])*(1-LayTable[[#This Row],[C% Bookie]])</f>
        <v>0</v>
      </c>
      <c r="AA2240" s="43">
        <f>LayTable[[#This Row],[LayInnsats]]*(1-LayTable[[#This Row],[C% Lay]])</f>
        <v>0</v>
      </c>
      <c r="AB2240" s="43" t="str">
        <f>IFERROR(IF(LayTable[[#This Row],[Sport]]="",AB2239,LayTable[[#This Row],[Faktisk res]]+AB2239),"")</f>
        <v/>
      </c>
      <c r="AC2240" s="43">
        <f>(LayTable[[#This Row],[BackWin-Commission]]+LayTable[[#This Row],[BookieInnsats]])</f>
        <v>0</v>
      </c>
      <c r="AD2240" s="43" t="e">
        <f>(LayTable[[#This Row],[LayWin-Commission]])+LayTable[[#This Row],[LayLiability]]</f>
        <v>#VALUE!</v>
      </c>
      <c r="AE2240" s="43"/>
      <c r="AF2240" s="181"/>
    </row>
    <row r="2241" spans="1:32">
      <c r="A2241" s="84"/>
      <c r="B2241" s="39"/>
      <c r="C2241" s="40"/>
      <c r="D2241" s="41"/>
      <c r="E2241" s="40"/>
      <c r="F2241" s="41"/>
      <c r="G2241" s="101"/>
      <c r="H2241" s="38"/>
      <c r="I2241" s="42"/>
      <c r="J2241" s="42"/>
      <c r="K2241" s="43"/>
      <c r="L2241" s="43"/>
      <c r="M2241" s="44" t="str">
        <f>IF(LayTable[[#This Row],[Sport]]="","",LayTable[[#This Row],[LayInnsats]]*(LayTable[[#This Row],[LayOdds]]-1))</f>
        <v/>
      </c>
      <c r="N2241" s="45" t="str">
        <f>IF(LayTable[[#This Row],[Sport]]="","",1/((1/LayTable[[#This Row],[BookieOdds]])+(1/((1/((1+((LayTable[[#This Row],[LayOdds]]-1)*(1+LayTable[[#This Row],[C% Lay]])))-1))+1)))-1)</f>
        <v/>
      </c>
      <c r="Q2241" s="46" t="str">
        <f>IF(LayTable[[#This Row],[Sport]]="","",LayTable[[#This Row],[BookieInnsats]]+LayTable[[#This Row],[LayLiability]])</f>
        <v/>
      </c>
      <c r="R224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1" s="47" t="str">
        <f>IF(LayTable[[#This Row],[Utfall bookie]]="","",LayTable[[#This Row],[WBABack]]+LayTable[[#This Row],[WBALay]]-LayTable[[#This Row],[Total inns]])</f>
        <v/>
      </c>
      <c r="U224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1" s="48" t="str">
        <f>IFERROR(IF(LayTable[[#This Row],[Total inns]]="","",LayTable[[#This Row],[Rback]]/LayTable[[#This Row],[Total inns]]),"")</f>
        <v/>
      </c>
      <c r="X2241" s="48" t="str">
        <f>IFERROR(IF(LayTable[[#This Row],[Total inns]]="","",LayTable[[#This Row],[Rlay]]/LayTable[[#This Row],[Total inns]]),"")</f>
        <v/>
      </c>
      <c r="Y2241" s="48" t="str">
        <f>IFERROR(LayTable[[#This Row],[Faktisk res]]/LayTable[[#This Row],[Total inns]],"")</f>
        <v/>
      </c>
      <c r="Z2241" s="47">
        <f>(LayTable[[#This Row],[BookieInnsats]]*LayTable[[#This Row],[BookieOdds]]-LayTable[[#This Row],[BookieInnsats]])*(1-LayTable[[#This Row],[C% Bookie]])</f>
        <v>0</v>
      </c>
      <c r="AA2241" s="43">
        <f>LayTable[[#This Row],[LayInnsats]]*(1-LayTable[[#This Row],[C% Lay]])</f>
        <v>0</v>
      </c>
      <c r="AB2241" s="43" t="str">
        <f>IFERROR(IF(LayTable[[#This Row],[Sport]]="",AB2240,LayTable[[#This Row],[Faktisk res]]+AB2240),"")</f>
        <v/>
      </c>
      <c r="AC2241" s="43">
        <f>(LayTable[[#This Row],[BackWin-Commission]]+LayTable[[#This Row],[BookieInnsats]])</f>
        <v>0</v>
      </c>
      <c r="AD2241" s="43" t="e">
        <f>(LayTable[[#This Row],[LayWin-Commission]])+LayTable[[#This Row],[LayLiability]]</f>
        <v>#VALUE!</v>
      </c>
      <c r="AE2241" s="43"/>
      <c r="AF2241" s="181"/>
    </row>
    <row r="2242" spans="1:32">
      <c r="A2242" s="84"/>
      <c r="B2242" s="39"/>
      <c r="C2242" s="40"/>
      <c r="D2242" s="41"/>
      <c r="E2242" s="40"/>
      <c r="F2242" s="41"/>
      <c r="G2242" s="101"/>
      <c r="H2242" s="38"/>
      <c r="I2242" s="42"/>
      <c r="J2242" s="42"/>
      <c r="K2242" s="43"/>
      <c r="L2242" s="43"/>
      <c r="M2242" s="44" t="str">
        <f>IF(LayTable[[#This Row],[Sport]]="","",LayTable[[#This Row],[LayInnsats]]*(LayTable[[#This Row],[LayOdds]]-1))</f>
        <v/>
      </c>
      <c r="N2242" s="45" t="str">
        <f>IF(LayTable[[#This Row],[Sport]]="","",1/((1/LayTable[[#This Row],[BookieOdds]])+(1/((1/((1+((LayTable[[#This Row],[LayOdds]]-1)*(1+LayTable[[#This Row],[C% Lay]])))-1))+1)))-1)</f>
        <v/>
      </c>
      <c r="Q2242" s="46" t="str">
        <f>IF(LayTable[[#This Row],[Sport]]="","",LayTable[[#This Row],[BookieInnsats]]+LayTable[[#This Row],[LayLiability]])</f>
        <v/>
      </c>
      <c r="R224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2" s="47" t="str">
        <f>IF(LayTable[[#This Row],[Utfall bookie]]="","",LayTable[[#This Row],[WBABack]]+LayTable[[#This Row],[WBALay]]-LayTable[[#This Row],[Total inns]])</f>
        <v/>
      </c>
      <c r="U224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2" s="48" t="str">
        <f>IFERROR(IF(LayTable[[#This Row],[Total inns]]="","",LayTable[[#This Row],[Rback]]/LayTable[[#This Row],[Total inns]]),"")</f>
        <v/>
      </c>
      <c r="X2242" s="48" t="str">
        <f>IFERROR(IF(LayTable[[#This Row],[Total inns]]="","",LayTable[[#This Row],[Rlay]]/LayTable[[#This Row],[Total inns]]),"")</f>
        <v/>
      </c>
      <c r="Y2242" s="48" t="str">
        <f>IFERROR(LayTable[[#This Row],[Faktisk res]]/LayTable[[#This Row],[Total inns]],"")</f>
        <v/>
      </c>
      <c r="Z2242" s="47">
        <f>(LayTable[[#This Row],[BookieInnsats]]*LayTable[[#This Row],[BookieOdds]]-LayTable[[#This Row],[BookieInnsats]])*(1-LayTable[[#This Row],[C% Bookie]])</f>
        <v>0</v>
      </c>
      <c r="AA2242" s="43">
        <f>LayTable[[#This Row],[LayInnsats]]*(1-LayTable[[#This Row],[C% Lay]])</f>
        <v>0</v>
      </c>
      <c r="AB2242" s="43" t="str">
        <f>IFERROR(IF(LayTable[[#This Row],[Sport]]="",AB2241,LayTable[[#This Row],[Faktisk res]]+AB2241),"")</f>
        <v/>
      </c>
      <c r="AC2242" s="43">
        <f>(LayTable[[#This Row],[BackWin-Commission]]+LayTable[[#This Row],[BookieInnsats]])</f>
        <v>0</v>
      </c>
      <c r="AD2242" s="43" t="e">
        <f>(LayTable[[#This Row],[LayWin-Commission]])+LayTable[[#This Row],[LayLiability]]</f>
        <v>#VALUE!</v>
      </c>
      <c r="AE2242" s="43"/>
      <c r="AF2242" s="181"/>
    </row>
    <row r="2243" spans="1:32">
      <c r="A2243" s="84"/>
      <c r="B2243" s="39"/>
      <c r="C2243" s="40"/>
      <c r="D2243" s="41"/>
      <c r="E2243" s="40"/>
      <c r="F2243" s="41"/>
      <c r="G2243" s="101"/>
      <c r="H2243" s="38"/>
      <c r="I2243" s="42"/>
      <c r="J2243" s="42"/>
      <c r="K2243" s="43"/>
      <c r="L2243" s="43"/>
      <c r="M2243" s="44" t="str">
        <f>IF(LayTable[[#This Row],[Sport]]="","",LayTable[[#This Row],[LayInnsats]]*(LayTable[[#This Row],[LayOdds]]-1))</f>
        <v/>
      </c>
      <c r="N2243" s="45" t="str">
        <f>IF(LayTable[[#This Row],[Sport]]="","",1/((1/LayTable[[#This Row],[BookieOdds]])+(1/((1/((1+((LayTable[[#This Row],[LayOdds]]-1)*(1+LayTable[[#This Row],[C% Lay]])))-1))+1)))-1)</f>
        <v/>
      </c>
      <c r="Q2243" s="46" t="str">
        <f>IF(LayTable[[#This Row],[Sport]]="","",LayTable[[#This Row],[BookieInnsats]]+LayTable[[#This Row],[LayLiability]])</f>
        <v/>
      </c>
      <c r="R224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3" s="47" t="str">
        <f>IF(LayTable[[#This Row],[Utfall bookie]]="","",LayTable[[#This Row],[WBABack]]+LayTable[[#This Row],[WBALay]]-LayTable[[#This Row],[Total inns]])</f>
        <v/>
      </c>
      <c r="U224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3" s="48" t="str">
        <f>IFERROR(IF(LayTable[[#This Row],[Total inns]]="","",LayTable[[#This Row],[Rback]]/LayTable[[#This Row],[Total inns]]),"")</f>
        <v/>
      </c>
      <c r="X2243" s="48" t="str">
        <f>IFERROR(IF(LayTable[[#This Row],[Total inns]]="","",LayTable[[#This Row],[Rlay]]/LayTable[[#This Row],[Total inns]]),"")</f>
        <v/>
      </c>
      <c r="Y2243" s="48" t="str">
        <f>IFERROR(LayTable[[#This Row],[Faktisk res]]/LayTable[[#This Row],[Total inns]],"")</f>
        <v/>
      </c>
      <c r="Z2243" s="47">
        <f>(LayTable[[#This Row],[BookieInnsats]]*LayTable[[#This Row],[BookieOdds]]-LayTable[[#This Row],[BookieInnsats]])*(1-LayTable[[#This Row],[C% Bookie]])</f>
        <v>0</v>
      </c>
      <c r="AA2243" s="43">
        <f>LayTable[[#This Row],[LayInnsats]]*(1-LayTable[[#This Row],[C% Lay]])</f>
        <v>0</v>
      </c>
      <c r="AB2243" s="43" t="str">
        <f>IFERROR(IF(LayTable[[#This Row],[Sport]]="",AB2242,LayTable[[#This Row],[Faktisk res]]+AB2242),"")</f>
        <v/>
      </c>
      <c r="AC2243" s="43">
        <f>(LayTable[[#This Row],[BackWin-Commission]]+LayTable[[#This Row],[BookieInnsats]])</f>
        <v>0</v>
      </c>
      <c r="AD2243" s="43" t="e">
        <f>(LayTable[[#This Row],[LayWin-Commission]])+LayTable[[#This Row],[LayLiability]]</f>
        <v>#VALUE!</v>
      </c>
      <c r="AE2243" s="43"/>
      <c r="AF2243" s="181"/>
    </row>
    <row r="2244" spans="1:32">
      <c r="A2244" s="84"/>
      <c r="B2244" s="39"/>
      <c r="C2244" s="40"/>
      <c r="D2244" s="41"/>
      <c r="E2244" s="40"/>
      <c r="F2244" s="41"/>
      <c r="G2244" s="101"/>
      <c r="H2244" s="38"/>
      <c r="I2244" s="42"/>
      <c r="J2244" s="42"/>
      <c r="K2244" s="43"/>
      <c r="L2244" s="43"/>
      <c r="M2244" s="44" t="str">
        <f>IF(LayTable[[#This Row],[Sport]]="","",LayTable[[#This Row],[LayInnsats]]*(LayTable[[#This Row],[LayOdds]]-1))</f>
        <v/>
      </c>
      <c r="N2244" s="45" t="str">
        <f>IF(LayTable[[#This Row],[Sport]]="","",1/((1/LayTable[[#This Row],[BookieOdds]])+(1/((1/((1+((LayTable[[#This Row],[LayOdds]]-1)*(1+LayTable[[#This Row],[C% Lay]])))-1))+1)))-1)</f>
        <v/>
      </c>
      <c r="Q2244" s="46" t="str">
        <f>IF(LayTable[[#This Row],[Sport]]="","",LayTable[[#This Row],[BookieInnsats]]+LayTable[[#This Row],[LayLiability]])</f>
        <v/>
      </c>
      <c r="R224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4" s="47" t="str">
        <f>IF(LayTable[[#This Row],[Utfall bookie]]="","",LayTable[[#This Row],[WBABack]]+LayTable[[#This Row],[WBALay]]-LayTable[[#This Row],[Total inns]])</f>
        <v/>
      </c>
      <c r="U224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4" s="48" t="str">
        <f>IFERROR(IF(LayTable[[#This Row],[Total inns]]="","",LayTable[[#This Row],[Rback]]/LayTable[[#This Row],[Total inns]]),"")</f>
        <v/>
      </c>
      <c r="X2244" s="48" t="str">
        <f>IFERROR(IF(LayTable[[#This Row],[Total inns]]="","",LayTable[[#This Row],[Rlay]]/LayTable[[#This Row],[Total inns]]),"")</f>
        <v/>
      </c>
      <c r="Y2244" s="48" t="str">
        <f>IFERROR(LayTable[[#This Row],[Faktisk res]]/LayTable[[#This Row],[Total inns]],"")</f>
        <v/>
      </c>
      <c r="Z2244" s="47">
        <f>(LayTable[[#This Row],[BookieInnsats]]*LayTable[[#This Row],[BookieOdds]]-LayTable[[#This Row],[BookieInnsats]])*(1-LayTable[[#This Row],[C% Bookie]])</f>
        <v>0</v>
      </c>
      <c r="AA2244" s="43">
        <f>LayTable[[#This Row],[LayInnsats]]*(1-LayTable[[#This Row],[C% Lay]])</f>
        <v>0</v>
      </c>
      <c r="AB2244" s="43" t="str">
        <f>IFERROR(IF(LayTable[[#This Row],[Sport]]="",AB2243,LayTable[[#This Row],[Faktisk res]]+AB2243),"")</f>
        <v/>
      </c>
      <c r="AC2244" s="43">
        <f>(LayTable[[#This Row],[BackWin-Commission]]+LayTable[[#This Row],[BookieInnsats]])</f>
        <v>0</v>
      </c>
      <c r="AD2244" s="43" t="e">
        <f>(LayTable[[#This Row],[LayWin-Commission]])+LayTable[[#This Row],[LayLiability]]</f>
        <v>#VALUE!</v>
      </c>
      <c r="AE2244" s="43"/>
      <c r="AF2244" s="181"/>
    </row>
    <row r="2245" spans="1:32">
      <c r="A2245" s="84"/>
      <c r="B2245" s="39"/>
      <c r="C2245" s="40"/>
      <c r="D2245" s="41"/>
      <c r="E2245" s="40"/>
      <c r="F2245" s="41"/>
      <c r="G2245" s="101"/>
      <c r="H2245" s="38"/>
      <c r="I2245" s="42"/>
      <c r="J2245" s="42"/>
      <c r="K2245" s="43"/>
      <c r="L2245" s="43"/>
      <c r="M2245" s="44" t="str">
        <f>IF(LayTable[[#This Row],[Sport]]="","",LayTable[[#This Row],[LayInnsats]]*(LayTable[[#This Row],[LayOdds]]-1))</f>
        <v/>
      </c>
      <c r="N2245" s="45" t="str">
        <f>IF(LayTable[[#This Row],[Sport]]="","",1/((1/LayTable[[#This Row],[BookieOdds]])+(1/((1/((1+((LayTable[[#This Row],[LayOdds]]-1)*(1+LayTable[[#This Row],[C% Lay]])))-1))+1)))-1)</f>
        <v/>
      </c>
      <c r="Q2245" s="46" t="str">
        <f>IF(LayTable[[#This Row],[Sport]]="","",LayTable[[#This Row],[BookieInnsats]]+LayTable[[#This Row],[LayLiability]])</f>
        <v/>
      </c>
      <c r="R224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5" s="47" t="str">
        <f>IF(LayTable[[#This Row],[Utfall bookie]]="","",LayTable[[#This Row],[WBABack]]+LayTable[[#This Row],[WBALay]]-LayTable[[#This Row],[Total inns]])</f>
        <v/>
      </c>
      <c r="U224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5" s="48" t="str">
        <f>IFERROR(IF(LayTable[[#This Row],[Total inns]]="","",LayTable[[#This Row],[Rback]]/LayTable[[#This Row],[Total inns]]),"")</f>
        <v/>
      </c>
      <c r="X2245" s="48" t="str">
        <f>IFERROR(IF(LayTable[[#This Row],[Total inns]]="","",LayTable[[#This Row],[Rlay]]/LayTable[[#This Row],[Total inns]]),"")</f>
        <v/>
      </c>
      <c r="Y2245" s="48" t="str">
        <f>IFERROR(LayTable[[#This Row],[Faktisk res]]/LayTable[[#This Row],[Total inns]],"")</f>
        <v/>
      </c>
      <c r="Z2245" s="47">
        <f>(LayTable[[#This Row],[BookieInnsats]]*LayTable[[#This Row],[BookieOdds]]-LayTable[[#This Row],[BookieInnsats]])*(1-LayTable[[#This Row],[C% Bookie]])</f>
        <v>0</v>
      </c>
      <c r="AA2245" s="43">
        <f>LayTable[[#This Row],[LayInnsats]]*(1-LayTable[[#This Row],[C% Lay]])</f>
        <v>0</v>
      </c>
      <c r="AB2245" s="43" t="str">
        <f>IFERROR(IF(LayTable[[#This Row],[Sport]]="",AB2244,LayTable[[#This Row],[Faktisk res]]+AB2244),"")</f>
        <v/>
      </c>
      <c r="AC2245" s="43">
        <f>(LayTable[[#This Row],[BackWin-Commission]]+LayTable[[#This Row],[BookieInnsats]])</f>
        <v>0</v>
      </c>
      <c r="AD2245" s="43" t="e">
        <f>(LayTable[[#This Row],[LayWin-Commission]])+LayTable[[#This Row],[LayLiability]]</f>
        <v>#VALUE!</v>
      </c>
      <c r="AE2245" s="43"/>
      <c r="AF2245" s="181"/>
    </row>
    <row r="2246" spans="1:32">
      <c r="A2246" s="84"/>
      <c r="B2246" s="39"/>
      <c r="C2246" s="40"/>
      <c r="D2246" s="41"/>
      <c r="E2246" s="40"/>
      <c r="F2246" s="41"/>
      <c r="G2246" s="101"/>
      <c r="H2246" s="38"/>
      <c r="I2246" s="42"/>
      <c r="J2246" s="42"/>
      <c r="K2246" s="43"/>
      <c r="L2246" s="43"/>
      <c r="M2246" s="44" t="str">
        <f>IF(LayTable[[#This Row],[Sport]]="","",LayTable[[#This Row],[LayInnsats]]*(LayTable[[#This Row],[LayOdds]]-1))</f>
        <v/>
      </c>
      <c r="N2246" s="45" t="str">
        <f>IF(LayTable[[#This Row],[Sport]]="","",1/((1/LayTable[[#This Row],[BookieOdds]])+(1/((1/((1+((LayTable[[#This Row],[LayOdds]]-1)*(1+LayTable[[#This Row],[C% Lay]])))-1))+1)))-1)</f>
        <v/>
      </c>
      <c r="Q2246" s="46" t="str">
        <f>IF(LayTable[[#This Row],[Sport]]="","",LayTable[[#This Row],[BookieInnsats]]+LayTable[[#This Row],[LayLiability]])</f>
        <v/>
      </c>
      <c r="R224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6" s="47" t="str">
        <f>IF(LayTable[[#This Row],[Utfall bookie]]="","",LayTable[[#This Row],[WBABack]]+LayTable[[#This Row],[WBALay]]-LayTable[[#This Row],[Total inns]])</f>
        <v/>
      </c>
      <c r="U224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6" s="48" t="str">
        <f>IFERROR(IF(LayTable[[#This Row],[Total inns]]="","",LayTable[[#This Row],[Rback]]/LayTable[[#This Row],[Total inns]]),"")</f>
        <v/>
      </c>
      <c r="X2246" s="48" t="str">
        <f>IFERROR(IF(LayTable[[#This Row],[Total inns]]="","",LayTable[[#This Row],[Rlay]]/LayTable[[#This Row],[Total inns]]),"")</f>
        <v/>
      </c>
      <c r="Y2246" s="48" t="str">
        <f>IFERROR(LayTable[[#This Row],[Faktisk res]]/LayTable[[#This Row],[Total inns]],"")</f>
        <v/>
      </c>
      <c r="Z2246" s="47">
        <f>(LayTable[[#This Row],[BookieInnsats]]*LayTable[[#This Row],[BookieOdds]]-LayTable[[#This Row],[BookieInnsats]])*(1-LayTable[[#This Row],[C% Bookie]])</f>
        <v>0</v>
      </c>
      <c r="AA2246" s="43">
        <f>LayTable[[#This Row],[LayInnsats]]*(1-LayTable[[#This Row],[C% Lay]])</f>
        <v>0</v>
      </c>
      <c r="AB2246" s="43" t="str">
        <f>IFERROR(IF(LayTable[[#This Row],[Sport]]="",AB2245,LayTable[[#This Row],[Faktisk res]]+AB2245),"")</f>
        <v/>
      </c>
      <c r="AC2246" s="43">
        <f>(LayTable[[#This Row],[BackWin-Commission]]+LayTable[[#This Row],[BookieInnsats]])</f>
        <v>0</v>
      </c>
      <c r="AD2246" s="43" t="e">
        <f>(LayTable[[#This Row],[LayWin-Commission]])+LayTable[[#This Row],[LayLiability]]</f>
        <v>#VALUE!</v>
      </c>
      <c r="AE2246" s="43"/>
      <c r="AF2246" s="181"/>
    </row>
    <row r="2247" spans="1:32">
      <c r="A2247" s="84"/>
      <c r="B2247" s="39"/>
      <c r="C2247" s="40"/>
      <c r="D2247" s="41"/>
      <c r="E2247" s="40"/>
      <c r="F2247" s="41"/>
      <c r="G2247" s="101"/>
      <c r="H2247" s="38"/>
      <c r="I2247" s="42"/>
      <c r="J2247" s="42"/>
      <c r="K2247" s="43"/>
      <c r="L2247" s="43"/>
      <c r="M2247" s="44" t="str">
        <f>IF(LayTable[[#This Row],[Sport]]="","",LayTable[[#This Row],[LayInnsats]]*(LayTable[[#This Row],[LayOdds]]-1))</f>
        <v/>
      </c>
      <c r="N2247" s="45" t="str">
        <f>IF(LayTable[[#This Row],[Sport]]="","",1/((1/LayTable[[#This Row],[BookieOdds]])+(1/((1/((1+((LayTable[[#This Row],[LayOdds]]-1)*(1+LayTable[[#This Row],[C% Lay]])))-1))+1)))-1)</f>
        <v/>
      </c>
      <c r="Q2247" s="46" t="str">
        <f>IF(LayTable[[#This Row],[Sport]]="","",LayTable[[#This Row],[BookieInnsats]]+LayTable[[#This Row],[LayLiability]])</f>
        <v/>
      </c>
      <c r="R224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7" s="47" t="str">
        <f>IF(LayTable[[#This Row],[Utfall bookie]]="","",LayTable[[#This Row],[WBABack]]+LayTable[[#This Row],[WBALay]]-LayTable[[#This Row],[Total inns]])</f>
        <v/>
      </c>
      <c r="U224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7" s="48" t="str">
        <f>IFERROR(IF(LayTable[[#This Row],[Total inns]]="","",LayTable[[#This Row],[Rback]]/LayTable[[#This Row],[Total inns]]),"")</f>
        <v/>
      </c>
      <c r="X2247" s="48" t="str">
        <f>IFERROR(IF(LayTable[[#This Row],[Total inns]]="","",LayTable[[#This Row],[Rlay]]/LayTable[[#This Row],[Total inns]]),"")</f>
        <v/>
      </c>
      <c r="Y2247" s="48" t="str">
        <f>IFERROR(LayTable[[#This Row],[Faktisk res]]/LayTable[[#This Row],[Total inns]],"")</f>
        <v/>
      </c>
      <c r="Z2247" s="47">
        <f>(LayTable[[#This Row],[BookieInnsats]]*LayTable[[#This Row],[BookieOdds]]-LayTable[[#This Row],[BookieInnsats]])*(1-LayTable[[#This Row],[C% Bookie]])</f>
        <v>0</v>
      </c>
      <c r="AA2247" s="43">
        <f>LayTable[[#This Row],[LayInnsats]]*(1-LayTable[[#This Row],[C% Lay]])</f>
        <v>0</v>
      </c>
      <c r="AB2247" s="43" t="str">
        <f>IFERROR(IF(LayTable[[#This Row],[Sport]]="",AB2246,LayTable[[#This Row],[Faktisk res]]+AB2246),"")</f>
        <v/>
      </c>
      <c r="AC2247" s="43">
        <f>(LayTable[[#This Row],[BackWin-Commission]]+LayTable[[#This Row],[BookieInnsats]])</f>
        <v>0</v>
      </c>
      <c r="AD2247" s="43" t="e">
        <f>(LayTable[[#This Row],[LayWin-Commission]])+LayTable[[#This Row],[LayLiability]]</f>
        <v>#VALUE!</v>
      </c>
      <c r="AE2247" s="43"/>
      <c r="AF2247" s="181"/>
    </row>
    <row r="2248" spans="1:32">
      <c r="A2248" s="84"/>
      <c r="B2248" s="39"/>
      <c r="C2248" s="40"/>
      <c r="D2248" s="41"/>
      <c r="E2248" s="40"/>
      <c r="F2248" s="41"/>
      <c r="G2248" s="101"/>
      <c r="H2248" s="38"/>
      <c r="I2248" s="42"/>
      <c r="J2248" s="42"/>
      <c r="K2248" s="43"/>
      <c r="L2248" s="43"/>
      <c r="M2248" s="44" t="str">
        <f>IF(LayTable[[#This Row],[Sport]]="","",LayTable[[#This Row],[LayInnsats]]*(LayTable[[#This Row],[LayOdds]]-1))</f>
        <v/>
      </c>
      <c r="N2248" s="45" t="str">
        <f>IF(LayTable[[#This Row],[Sport]]="","",1/((1/LayTable[[#This Row],[BookieOdds]])+(1/((1/((1+((LayTable[[#This Row],[LayOdds]]-1)*(1+LayTable[[#This Row],[C% Lay]])))-1))+1)))-1)</f>
        <v/>
      </c>
      <c r="Q2248" s="46" t="str">
        <f>IF(LayTable[[#This Row],[Sport]]="","",LayTable[[#This Row],[BookieInnsats]]+LayTable[[#This Row],[LayLiability]])</f>
        <v/>
      </c>
      <c r="R224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8" s="47" t="str">
        <f>IF(LayTable[[#This Row],[Utfall bookie]]="","",LayTable[[#This Row],[WBABack]]+LayTable[[#This Row],[WBALay]]-LayTable[[#This Row],[Total inns]])</f>
        <v/>
      </c>
      <c r="U224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8" s="48" t="str">
        <f>IFERROR(IF(LayTable[[#This Row],[Total inns]]="","",LayTable[[#This Row],[Rback]]/LayTable[[#This Row],[Total inns]]),"")</f>
        <v/>
      </c>
      <c r="X2248" s="48" t="str">
        <f>IFERROR(IF(LayTable[[#This Row],[Total inns]]="","",LayTable[[#This Row],[Rlay]]/LayTable[[#This Row],[Total inns]]),"")</f>
        <v/>
      </c>
      <c r="Y2248" s="48" t="str">
        <f>IFERROR(LayTable[[#This Row],[Faktisk res]]/LayTable[[#This Row],[Total inns]],"")</f>
        <v/>
      </c>
      <c r="Z2248" s="47">
        <f>(LayTable[[#This Row],[BookieInnsats]]*LayTable[[#This Row],[BookieOdds]]-LayTable[[#This Row],[BookieInnsats]])*(1-LayTable[[#This Row],[C% Bookie]])</f>
        <v>0</v>
      </c>
      <c r="AA2248" s="43">
        <f>LayTable[[#This Row],[LayInnsats]]*(1-LayTable[[#This Row],[C% Lay]])</f>
        <v>0</v>
      </c>
      <c r="AB2248" s="43" t="str">
        <f>IFERROR(IF(LayTable[[#This Row],[Sport]]="",AB2247,LayTable[[#This Row],[Faktisk res]]+AB2247),"")</f>
        <v/>
      </c>
      <c r="AC2248" s="43">
        <f>(LayTable[[#This Row],[BackWin-Commission]]+LayTable[[#This Row],[BookieInnsats]])</f>
        <v>0</v>
      </c>
      <c r="AD2248" s="43" t="e">
        <f>(LayTable[[#This Row],[LayWin-Commission]])+LayTable[[#This Row],[LayLiability]]</f>
        <v>#VALUE!</v>
      </c>
      <c r="AE2248" s="43"/>
      <c r="AF2248" s="181"/>
    </row>
    <row r="2249" spans="1:32">
      <c r="A2249" s="84"/>
      <c r="B2249" s="39"/>
      <c r="C2249" s="40"/>
      <c r="D2249" s="41"/>
      <c r="E2249" s="40"/>
      <c r="F2249" s="41"/>
      <c r="G2249" s="101"/>
      <c r="H2249" s="38"/>
      <c r="I2249" s="42"/>
      <c r="J2249" s="42"/>
      <c r="K2249" s="43"/>
      <c r="L2249" s="43"/>
      <c r="M2249" s="44" t="str">
        <f>IF(LayTable[[#This Row],[Sport]]="","",LayTable[[#This Row],[LayInnsats]]*(LayTable[[#This Row],[LayOdds]]-1))</f>
        <v/>
      </c>
      <c r="N2249" s="45" t="str">
        <f>IF(LayTable[[#This Row],[Sport]]="","",1/((1/LayTable[[#This Row],[BookieOdds]])+(1/((1/((1+((LayTable[[#This Row],[LayOdds]]-1)*(1+LayTable[[#This Row],[C% Lay]])))-1))+1)))-1)</f>
        <v/>
      </c>
      <c r="Q2249" s="46" t="str">
        <f>IF(LayTable[[#This Row],[Sport]]="","",LayTable[[#This Row],[BookieInnsats]]+LayTable[[#This Row],[LayLiability]])</f>
        <v/>
      </c>
      <c r="R224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4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49" s="47" t="str">
        <f>IF(LayTable[[#This Row],[Utfall bookie]]="","",LayTable[[#This Row],[WBABack]]+LayTable[[#This Row],[WBALay]]-LayTable[[#This Row],[Total inns]])</f>
        <v/>
      </c>
      <c r="U224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4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49" s="48" t="str">
        <f>IFERROR(IF(LayTable[[#This Row],[Total inns]]="","",LayTable[[#This Row],[Rback]]/LayTable[[#This Row],[Total inns]]),"")</f>
        <v/>
      </c>
      <c r="X2249" s="48" t="str">
        <f>IFERROR(IF(LayTable[[#This Row],[Total inns]]="","",LayTable[[#This Row],[Rlay]]/LayTable[[#This Row],[Total inns]]),"")</f>
        <v/>
      </c>
      <c r="Y2249" s="48" t="str">
        <f>IFERROR(LayTable[[#This Row],[Faktisk res]]/LayTable[[#This Row],[Total inns]],"")</f>
        <v/>
      </c>
      <c r="Z2249" s="47">
        <f>(LayTable[[#This Row],[BookieInnsats]]*LayTable[[#This Row],[BookieOdds]]-LayTable[[#This Row],[BookieInnsats]])*(1-LayTable[[#This Row],[C% Bookie]])</f>
        <v>0</v>
      </c>
      <c r="AA2249" s="43">
        <f>LayTable[[#This Row],[LayInnsats]]*(1-LayTable[[#This Row],[C% Lay]])</f>
        <v>0</v>
      </c>
      <c r="AB2249" s="43" t="str">
        <f>IFERROR(IF(LayTable[[#This Row],[Sport]]="",AB2248,LayTable[[#This Row],[Faktisk res]]+AB2248),"")</f>
        <v/>
      </c>
      <c r="AC2249" s="43">
        <f>(LayTable[[#This Row],[BackWin-Commission]]+LayTable[[#This Row],[BookieInnsats]])</f>
        <v>0</v>
      </c>
      <c r="AD2249" s="43" t="e">
        <f>(LayTable[[#This Row],[LayWin-Commission]])+LayTable[[#This Row],[LayLiability]]</f>
        <v>#VALUE!</v>
      </c>
      <c r="AE2249" s="43"/>
      <c r="AF2249" s="181"/>
    </row>
    <row r="2250" spans="1:32">
      <c r="A2250" s="84"/>
      <c r="B2250" s="39"/>
      <c r="C2250" s="40"/>
      <c r="D2250" s="41"/>
      <c r="E2250" s="40"/>
      <c r="F2250" s="41"/>
      <c r="G2250" s="101"/>
      <c r="H2250" s="38"/>
      <c r="I2250" s="42"/>
      <c r="J2250" s="42"/>
      <c r="K2250" s="43"/>
      <c r="L2250" s="43"/>
      <c r="M2250" s="44" t="str">
        <f>IF(LayTable[[#This Row],[Sport]]="","",LayTable[[#This Row],[LayInnsats]]*(LayTable[[#This Row],[LayOdds]]-1))</f>
        <v/>
      </c>
      <c r="N2250" s="45" t="str">
        <f>IF(LayTable[[#This Row],[Sport]]="","",1/((1/LayTable[[#This Row],[BookieOdds]])+(1/((1/((1+((LayTable[[#This Row],[LayOdds]]-1)*(1+LayTable[[#This Row],[C% Lay]])))-1))+1)))-1)</f>
        <v/>
      </c>
      <c r="Q2250" s="46" t="str">
        <f>IF(LayTable[[#This Row],[Sport]]="","",LayTable[[#This Row],[BookieInnsats]]+LayTable[[#This Row],[LayLiability]])</f>
        <v/>
      </c>
      <c r="R225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0" s="47" t="str">
        <f>IF(LayTable[[#This Row],[Utfall bookie]]="","",LayTable[[#This Row],[WBABack]]+LayTable[[#This Row],[WBALay]]-LayTable[[#This Row],[Total inns]])</f>
        <v/>
      </c>
      <c r="U225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0" s="48" t="str">
        <f>IFERROR(IF(LayTable[[#This Row],[Total inns]]="","",LayTable[[#This Row],[Rback]]/LayTable[[#This Row],[Total inns]]),"")</f>
        <v/>
      </c>
      <c r="X2250" s="48" t="str">
        <f>IFERROR(IF(LayTable[[#This Row],[Total inns]]="","",LayTable[[#This Row],[Rlay]]/LayTable[[#This Row],[Total inns]]),"")</f>
        <v/>
      </c>
      <c r="Y2250" s="48" t="str">
        <f>IFERROR(LayTable[[#This Row],[Faktisk res]]/LayTable[[#This Row],[Total inns]],"")</f>
        <v/>
      </c>
      <c r="Z2250" s="47">
        <f>(LayTable[[#This Row],[BookieInnsats]]*LayTable[[#This Row],[BookieOdds]]-LayTable[[#This Row],[BookieInnsats]])*(1-LayTable[[#This Row],[C% Bookie]])</f>
        <v>0</v>
      </c>
      <c r="AA2250" s="43">
        <f>LayTable[[#This Row],[LayInnsats]]*(1-LayTable[[#This Row],[C% Lay]])</f>
        <v>0</v>
      </c>
      <c r="AB2250" s="43" t="str">
        <f>IFERROR(IF(LayTable[[#This Row],[Sport]]="",AB2249,LayTable[[#This Row],[Faktisk res]]+AB2249),"")</f>
        <v/>
      </c>
      <c r="AC2250" s="43">
        <f>(LayTable[[#This Row],[BackWin-Commission]]+LayTable[[#This Row],[BookieInnsats]])</f>
        <v>0</v>
      </c>
      <c r="AD2250" s="43" t="e">
        <f>(LayTable[[#This Row],[LayWin-Commission]])+LayTable[[#This Row],[LayLiability]]</f>
        <v>#VALUE!</v>
      </c>
      <c r="AE2250" s="43"/>
      <c r="AF2250" s="181"/>
    </row>
    <row r="2251" spans="1:32">
      <c r="A2251" s="84"/>
      <c r="B2251" s="39"/>
      <c r="C2251" s="40"/>
      <c r="D2251" s="41"/>
      <c r="E2251" s="40"/>
      <c r="F2251" s="41"/>
      <c r="G2251" s="101"/>
      <c r="H2251" s="38"/>
      <c r="I2251" s="42"/>
      <c r="J2251" s="42"/>
      <c r="K2251" s="43"/>
      <c r="L2251" s="43"/>
      <c r="M2251" s="44" t="str">
        <f>IF(LayTable[[#This Row],[Sport]]="","",LayTable[[#This Row],[LayInnsats]]*(LayTable[[#This Row],[LayOdds]]-1))</f>
        <v/>
      </c>
      <c r="N2251" s="45" t="str">
        <f>IF(LayTable[[#This Row],[Sport]]="","",1/((1/LayTable[[#This Row],[BookieOdds]])+(1/((1/((1+((LayTable[[#This Row],[LayOdds]]-1)*(1+LayTable[[#This Row],[C% Lay]])))-1))+1)))-1)</f>
        <v/>
      </c>
      <c r="Q2251" s="46" t="str">
        <f>IF(LayTable[[#This Row],[Sport]]="","",LayTable[[#This Row],[BookieInnsats]]+LayTable[[#This Row],[LayLiability]])</f>
        <v/>
      </c>
      <c r="R225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1" s="47" t="str">
        <f>IF(LayTable[[#This Row],[Utfall bookie]]="","",LayTable[[#This Row],[WBABack]]+LayTable[[#This Row],[WBALay]]-LayTable[[#This Row],[Total inns]])</f>
        <v/>
      </c>
      <c r="U225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1" s="48" t="str">
        <f>IFERROR(IF(LayTable[[#This Row],[Total inns]]="","",LayTable[[#This Row],[Rback]]/LayTable[[#This Row],[Total inns]]),"")</f>
        <v/>
      </c>
      <c r="X2251" s="48" t="str">
        <f>IFERROR(IF(LayTable[[#This Row],[Total inns]]="","",LayTable[[#This Row],[Rlay]]/LayTable[[#This Row],[Total inns]]),"")</f>
        <v/>
      </c>
      <c r="Y2251" s="48" t="str">
        <f>IFERROR(LayTable[[#This Row],[Faktisk res]]/LayTable[[#This Row],[Total inns]],"")</f>
        <v/>
      </c>
      <c r="Z2251" s="47">
        <f>(LayTable[[#This Row],[BookieInnsats]]*LayTable[[#This Row],[BookieOdds]]-LayTable[[#This Row],[BookieInnsats]])*(1-LayTable[[#This Row],[C% Bookie]])</f>
        <v>0</v>
      </c>
      <c r="AA2251" s="43">
        <f>LayTable[[#This Row],[LayInnsats]]*(1-LayTable[[#This Row],[C% Lay]])</f>
        <v>0</v>
      </c>
      <c r="AB2251" s="43" t="str">
        <f>IFERROR(IF(LayTable[[#This Row],[Sport]]="",AB2250,LayTable[[#This Row],[Faktisk res]]+AB2250),"")</f>
        <v/>
      </c>
      <c r="AC2251" s="43">
        <f>(LayTable[[#This Row],[BackWin-Commission]]+LayTable[[#This Row],[BookieInnsats]])</f>
        <v>0</v>
      </c>
      <c r="AD2251" s="43" t="e">
        <f>(LayTable[[#This Row],[LayWin-Commission]])+LayTable[[#This Row],[LayLiability]]</f>
        <v>#VALUE!</v>
      </c>
      <c r="AE2251" s="43"/>
      <c r="AF2251" s="181"/>
    </row>
    <row r="2252" spans="1:32">
      <c r="A2252" s="84"/>
      <c r="B2252" s="39"/>
      <c r="C2252" s="40"/>
      <c r="D2252" s="41"/>
      <c r="E2252" s="40"/>
      <c r="F2252" s="41"/>
      <c r="G2252" s="101"/>
      <c r="H2252" s="38"/>
      <c r="I2252" s="42"/>
      <c r="J2252" s="42"/>
      <c r="K2252" s="43"/>
      <c r="L2252" s="43"/>
      <c r="M2252" s="44" t="str">
        <f>IF(LayTable[[#This Row],[Sport]]="","",LayTable[[#This Row],[LayInnsats]]*(LayTable[[#This Row],[LayOdds]]-1))</f>
        <v/>
      </c>
      <c r="N2252" s="45" t="str">
        <f>IF(LayTable[[#This Row],[Sport]]="","",1/((1/LayTable[[#This Row],[BookieOdds]])+(1/((1/((1+((LayTable[[#This Row],[LayOdds]]-1)*(1+LayTable[[#This Row],[C% Lay]])))-1))+1)))-1)</f>
        <v/>
      </c>
      <c r="Q2252" s="46" t="str">
        <f>IF(LayTable[[#This Row],[Sport]]="","",LayTable[[#This Row],[BookieInnsats]]+LayTable[[#This Row],[LayLiability]])</f>
        <v/>
      </c>
      <c r="R225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2" s="47" t="str">
        <f>IF(LayTable[[#This Row],[Utfall bookie]]="","",LayTable[[#This Row],[WBABack]]+LayTable[[#This Row],[WBALay]]-LayTable[[#This Row],[Total inns]])</f>
        <v/>
      </c>
      <c r="U225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2" s="48" t="str">
        <f>IFERROR(IF(LayTable[[#This Row],[Total inns]]="","",LayTable[[#This Row],[Rback]]/LayTable[[#This Row],[Total inns]]),"")</f>
        <v/>
      </c>
      <c r="X2252" s="48" t="str">
        <f>IFERROR(IF(LayTable[[#This Row],[Total inns]]="","",LayTable[[#This Row],[Rlay]]/LayTable[[#This Row],[Total inns]]),"")</f>
        <v/>
      </c>
      <c r="Y2252" s="48" t="str">
        <f>IFERROR(LayTable[[#This Row],[Faktisk res]]/LayTable[[#This Row],[Total inns]],"")</f>
        <v/>
      </c>
      <c r="Z2252" s="47">
        <f>(LayTable[[#This Row],[BookieInnsats]]*LayTable[[#This Row],[BookieOdds]]-LayTable[[#This Row],[BookieInnsats]])*(1-LayTable[[#This Row],[C% Bookie]])</f>
        <v>0</v>
      </c>
      <c r="AA2252" s="43">
        <f>LayTable[[#This Row],[LayInnsats]]*(1-LayTable[[#This Row],[C% Lay]])</f>
        <v>0</v>
      </c>
      <c r="AB2252" s="43" t="str">
        <f>IFERROR(IF(LayTable[[#This Row],[Sport]]="",AB2251,LayTable[[#This Row],[Faktisk res]]+AB2251),"")</f>
        <v/>
      </c>
      <c r="AC2252" s="43">
        <f>(LayTable[[#This Row],[BackWin-Commission]]+LayTable[[#This Row],[BookieInnsats]])</f>
        <v>0</v>
      </c>
      <c r="AD2252" s="43" t="e">
        <f>(LayTable[[#This Row],[LayWin-Commission]])+LayTable[[#This Row],[LayLiability]]</f>
        <v>#VALUE!</v>
      </c>
      <c r="AE2252" s="43"/>
      <c r="AF2252" s="181"/>
    </row>
    <row r="2253" spans="1:32">
      <c r="A2253" s="84"/>
      <c r="B2253" s="39"/>
      <c r="C2253" s="40"/>
      <c r="D2253" s="41"/>
      <c r="E2253" s="40"/>
      <c r="F2253" s="41"/>
      <c r="G2253" s="101"/>
      <c r="H2253" s="38"/>
      <c r="I2253" s="42"/>
      <c r="J2253" s="42"/>
      <c r="K2253" s="43"/>
      <c r="L2253" s="43"/>
      <c r="M2253" s="44" t="str">
        <f>IF(LayTable[[#This Row],[Sport]]="","",LayTable[[#This Row],[LayInnsats]]*(LayTable[[#This Row],[LayOdds]]-1))</f>
        <v/>
      </c>
      <c r="N2253" s="45" t="str">
        <f>IF(LayTable[[#This Row],[Sport]]="","",1/((1/LayTable[[#This Row],[BookieOdds]])+(1/((1/((1+((LayTable[[#This Row],[LayOdds]]-1)*(1+LayTable[[#This Row],[C% Lay]])))-1))+1)))-1)</f>
        <v/>
      </c>
      <c r="Q2253" s="46" t="str">
        <f>IF(LayTable[[#This Row],[Sport]]="","",LayTable[[#This Row],[BookieInnsats]]+LayTable[[#This Row],[LayLiability]])</f>
        <v/>
      </c>
      <c r="R225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3" s="47" t="str">
        <f>IF(LayTable[[#This Row],[Utfall bookie]]="","",LayTable[[#This Row],[WBABack]]+LayTable[[#This Row],[WBALay]]-LayTable[[#This Row],[Total inns]])</f>
        <v/>
      </c>
      <c r="U225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3" s="48" t="str">
        <f>IFERROR(IF(LayTable[[#This Row],[Total inns]]="","",LayTable[[#This Row],[Rback]]/LayTable[[#This Row],[Total inns]]),"")</f>
        <v/>
      </c>
      <c r="X2253" s="48" t="str">
        <f>IFERROR(IF(LayTable[[#This Row],[Total inns]]="","",LayTable[[#This Row],[Rlay]]/LayTable[[#This Row],[Total inns]]),"")</f>
        <v/>
      </c>
      <c r="Y2253" s="48" t="str">
        <f>IFERROR(LayTable[[#This Row],[Faktisk res]]/LayTable[[#This Row],[Total inns]],"")</f>
        <v/>
      </c>
      <c r="Z2253" s="47">
        <f>(LayTable[[#This Row],[BookieInnsats]]*LayTable[[#This Row],[BookieOdds]]-LayTable[[#This Row],[BookieInnsats]])*(1-LayTable[[#This Row],[C% Bookie]])</f>
        <v>0</v>
      </c>
      <c r="AA2253" s="43">
        <f>LayTable[[#This Row],[LayInnsats]]*(1-LayTable[[#This Row],[C% Lay]])</f>
        <v>0</v>
      </c>
      <c r="AB2253" s="43" t="str">
        <f>IFERROR(IF(LayTable[[#This Row],[Sport]]="",AB2252,LayTable[[#This Row],[Faktisk res]]+AB2252),"")</f>
        <v/>
      </c>
      <c r="AC2253" s="43">
        <f>(LayTable[[#This Row],[BackWin-Commission]]+LayTable[[#This Row],[BookieInnsats]])</f>
        <v>0</v>
      </c>
      <c r="AD2253" s="43" t="e">
        <f>(LayTable[[#This Row],[LayWin-Commission]])+LayTable[[#This Row],[LayLiability]]</f>
        <v>#VALUE!</v>
      </c>
      <c r="AE2253" s="43"/>
      <c r="AF2253" s="181"/>
    </row>
    <row r="2254" spans="1:32">
      <c r="A2254" s="84"/>
      <c r="B2254" s="39"/>
      <c r="C2254" s="40"/>
      <c r="D2254" s="41"/>
      <c r="E2254" s="40"/>
      <c r="F2254" s="41"/>
      <c r="G2254" s="101"/>
      <c r="H2254" s="38"/>
      <c r="I2254" s="42"/>
      <c r="J2254" s="42"/>
      <c r="K2254" s="43"/>
      <c r="L2254" s="43"/>
      <c r="M2254" s="44" t="str">
        <f>IF(LayTable[[#This Row],[Sport]]="","",LayTable[[#This Row],[LayInnsats]]*(LayTable[[#This Row],[LayOdds]]-1))</f>
        <v/>
      </c>
      <c r="N2254" s="45" t="str">
        <f>IF(LayTable[[#This Row],[Sport]]="","",1/((1/LayTable[[#This Row],[BookieOdds]])+(1/((1/((1+((LayTable[[#This Row],[LayOdds]]-1)*(1+LayTable[[#This Row],[C% Lay]])))-1))+1)))-1)</f>
        <v/>
      </c>
      <c r="Q2254" s="46" t="str">
        <f>IF(LayTable[[#This Row],[Sport]]="","",LayTable[[#This Row],[BookieInnsats]]+LayTable[[#This Row],[LayLiability]])</f>
        <v/>
      </c>
      <c r="R2254"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4"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4" s="47" t="str">
        <f>IF(LayTable[[#This Row],[Utfall bookie]]="","",LayTable[[#This Row],[WBABack]]+LayTable[[#This Row],[WBALay]]-LayTable[[#This Row],[Total inns]])</f>
        <v/>
      </c>
      <c r="U2254"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4"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4" s="48" t="str">
        <f>IFERROR(IF(LayTable[[#This Row],[Total inns]]="","",LayTable[[#This Row],[Rback]]/LayTable[[#This Row],[Total inns]]),"")</f>
        <v/>
      </c>
      <c r="X2254" s="48" t="str">
        <f>IFERROR(IF(LayTable[[#This Row],[Total inns]]="","",LayTable[[#This Row],[Rlay]]/LayTable[[#This Row],[Total inns]]),"")</f>
        <v/>
      </c>
      <c r="Y2254" s="48" t="str">
        <f>IFERROR(LayTable[[#This Row],[Faktisk res]]/LayTable[[#This Row],[Total inns]],"")</f>
        <v/>
      </c>
      <c r="Z2254" s="47">
        <f>(LayTable[[#This Row],[BookieInnsats]]*LayTable[[#This Row],[BookieOdds]]-LayTable[[#This Row],[BookieInnsats]])*(1-LayTable[[#This Row],[C% Bookie]])</f>
        <v>0</v>
      </c>
      <c r="AA2254" s="43">
        <f>LayTable[[#This Row],[LayInnsats]]*(1-LayTable[[#This Row],[C% Lay]])</f>
        <v>0</v>
      </c>
      <c r="AB2254" s="43" t="str">
        <f>IFERROR(IF(LayTable[[#This Row],[Sport]]="",AB2253,LayTable[[#This Row],[Faktisk res]]+AB2253),"")</f>
        <v/>
      </c>
      <c r="AC2254" s="43">
        <f>(LayTable[[#This Row],[BackWin-Commission]]+LayTable[[#This Row],[BookieInnsats]])</f>
        <v>0</v>
      </c>
      <c r="AD2254" s="43" t="e">
        <f>(LayTable[[#This Row],[LayWin-Commission]])+LayTable[[#This Row],[LayLiability]]</f>
        <v>#VALUE!</v>
      </c>
      <c r="AE2254" s="43"/>
      <c r="AF2254" s="181"/>
    </row>
    <row r="2255" spans="1:32">
      <c r="A2255" s="84"/>
      <c r="B2255" s="39"/>
      <c r="C2255" s="40"/>
      <c r="D2255" s="41"/>
      <c r="E2255" s="40"/>
      <c r="F2255" s="41"/>
      <c r="G2255" s="101"/>
      <c r="H2255" s="38"/>
      <c r="I2255" s="42"/>
      <c r="J2255" s="42"/>
      <c r="K2255" s="43"/>
      <c r="L2255" s="43"/>
      <c r="M2255" s="44" t="str">
        <f>IF(LayTable[[#This Row],[Sport]]="","",LayTable[[#This Row],[LayInnsats]]*(LayTable[[#This Row],[LayOdds]]-1))</f>
        <v/>
      </c>
      <c r="N2255" s="45" t="str">
        <f>IF(LayTable[[#This Row],[Sport]]="","",1/((1/LayTable[[#This Row],[BookieOdds]])+(1/((1/((1+((LayTable[[#This Row],[LayOdds]]-1)*(1+LayTable[[#This Row],[C% Lay]])))-1))+1)))-1)</f>
        <v/>
      </c>
      <c r="Q2255" s="46" t="str">
        <f>IF(LayTable[[#This Row],[Sport]]="","",LayTable[[#This Row],[BookieInnsats]]+LayTable[[#This Row],[LayLiability]])</f>
        <v/>
      </c>
      <c r="R2255"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5"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5" s="47" t="str">
        <f>IF(LayTable[[#This Row],[Utfall bookie]]="","",LayTable[[#This Row],[WBABack]]+LayTable[[#This Row],[WBALay]]-LayTable[[#This Row],[Total inns]])</f>
        <v/>
      </c>
      <c r="U2255"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5"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5" s="48" t="str">
        <f>IFERROR(IF(LayTable[[#This Row],[Total inns]]="","",LayTable[[#This Row],[Rback]]/LayTable[[#This Row],[Total inns]]),"")</f>
        <v/>
      </c>
      <c r="X2255" s="48" t="str">
        <f>IFERROR(IF(LayTable[[#This Row],[Total inns]]="","",LayTable[[#This Row],[Rlay]]/LayTable[[#This Row],[Total inns]]),"")</f>
        <v/>
      </c>
      <c r="Y2255" s="48" t="str">
        <f>IFERROR(LayTable[[#This Row],[Faktisk res]]/LayTable[[#This Row],[Total inns]],"")</f>
        <v/>
      </c>
      <c r="Z2255" s="47">
        <f>(LayTable[[#This Row],[BookieInnsats]]*LayTable[[#This Row],[BookieOdds]]-LayTable[[#This Row],[BookieInnsats]])*(1-LayTable[[#This Row],[C% Bookie]])</f>
        <v>0</v>
      </c>
      <c r="AA2255" s="43">
        <f>LayTable[[#This Row],[LayInnsats]]*(1-LayTable[[#This Row],[C% Lay]])</f>
        <v>0</v>
      </c>
      <c r="AB2255" s="43" t="str">
        <f>IFERROR(IF(LayTable[[#This Row],[Sport]]="",AB2254,LayTable[[#This Row],[Faktisk res]]+AB2254),"")</f>
        <v/>
      </c>
      <c r="AC2255" s="43">
        <f>(LayTable[[#This Row],[BackWin-Commission]]+LayTable[[#This Row],[BookieInnsats]])</f>
        <v>0</v>
      </c>
      <c r="AD2255" s="43" t="e">
        <f>(LayTable[[#This Row],[LayWin-Commission]])+LayTable[[#This Row],[LayLiability]]</f>
        <v>#VALUE!</v>
      </c>
      <c r="AE2255" s="43"/>
      <c r="AF2255" s="181"/>
    </row>
    <row r="2256" spans="1:32">
      <c r="A2256" s="84"/>
      <c r="B2256" s="39"/>
      <c r="C2256" s="40"/>
      <c r="D2256" s="41"/>
      <c r="E2256" s="40"/>
      <c r="F2256" s="41"/>
      <c r="G2256" s="101"/>
      <c r="H2256" s="38"/>
      <c r="I2256" s="42"/>
      <c r="J2256" s="42"/>
      <c r="K2256" s="43"/>
      <c r="L2256" s="43"/>
      <c r="M2256" s="44" t="str">
        <f>IF(LayTable[[#This Row],[Sport]]="","",LayTable[[#This Row],[LayInnsats]]*(LayTable[[#This Row],[LayOdds]]-1))</f>
        <v/>
      </c>
      <c r="N2256" s="45" t="str">
        <f>IF(LayTable[[#This Row],[Sport]]="","",1/((1/LayTable[[#This Row],[BookieOdds]])+(1/((1/((1+((LayTable[[#This Row],[LayOdds]]-1)*(1+LayTable[[#This Row],[C% Lay]])))-1))+1)))-1)</f>
        <v/>
      </c>
      <c r="Q2256" s="46" t="str">
        <f>IF(LayTable[[#This Row],[Sport]]="","",LayTable[[#This Row],[BookieInnsats]]+LayTable[[#This Row],[LayLiability]])</f>
        <v/>
      </c>
      <c r="R2256"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6"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6" s="47" t="str">
        <f>IF(LayTable[[#This Row],[Utfall bookie]]="","",LayTable[[#This Row],[WBABack]]+LayTable[[#This Row],[WBALay]]-LayTable[[#This Row],[Total inns]])</f>
        <v/>
      </c>
      <c r="U2256"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6"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6" s="48" t="str">
        <f>IFERROR(IF(LayTable[[#This Row],[Total inns]]="","",LayTable[[#This Row],[Rback]]/LayTable[[#This Row],[Total inns]]),"")</f>
        <v/>
      </c>
      <c r="X2256" s="48" t="str">
        <f>IFERROR(IF(LayTable[[#This Row],[Total inns]]="","",LayTable[[#This Row],[Rlay]]/LayTable[[#This Row],[Total inns]]),"")</f>
        <v/>
      </c>
      <c r="Y2256" s="48" t="str">
        <f>IFERROR(LayTable[[#This Row],[Faktisk res]]/LayTable[[#This Row],[Total inns]],"")</f>
        <v/>
      </c>
      <c r="Z2256" s="47">
        <f>(LayTable[[#This Row],[BookieInnsats]]*LayTable[[#This Row],[BookieOdds]]-LayTable[[#This Row],[BookieInnsats]])*(1-LayTable[[#This Row],[C% Bookie]])</f>
        <v>0</v>
      </c>
      <c r="AA2256" s="43">
        <f>LayTable[[#This Row],[LayInnsats]]*(1-LayTable[[#This Row],[C% Lay]])</f>
        <v>0</v>
      </c>
      <c r="AB2256" s="43" t="str">
        <f>IFERROR(IF(LayTable[[#This Row],[Sport]]="",AB2255,LayTable[[#This Row],[Faktisk res]]+AB2255),"")</f>
        <v/>
      </c>
      <c r="AC2256" s="43">
        <f>(LayTable[[#This Row],[BackWin-Commission]]+LayTable[[#This Row],[BookieInnsats]])</f>
        <v>0</v>
      </c>
      <c r="AD2256" s="43" t="e">
        <f>(LayTable[[#This Row],[LayWin-Commission]])+LayTable[[#This Row],[LayLiability]]</f>
        <v>#VALUE!</v>
      </c>
      <c r="AE2256" s="43"/>
      <c r="AF2256" s="181"/>
    </row>
    <row r="2257" spans="1:32">
      <c r="A2257" s="84"/>
      <c r="B2257" s="39"/>
      <c r="C2257" s="40"/>
      <c r="D2257" s="41"/>
      <c r="E2257" s="40"/>
      <c r="F2257" s="41"/>
      <c r="G2257" s="101"/>
      <c r="H2257" s="38"/>
      <c r="I2257" s="42"/>
      <c r="J2257" s="42"/>
      <c r="K2257" s="43"/>
      <c r="L2257" s="43"/>
      <c r="M2257" s="44" t="str">
        <f>IF(LayTable[[#This Row],[Sport]]="","",LayTable[[#This Row],[LayInnsats]]*(LayTable[[#This Row],[LayOdds]]-1))</f>
        <v/>
      </c>
      <c r="N2257" s="45" t="str">
        <f>IF(LayTable[[#This Row],[Sport]]="","",1/((1/LayTable[[#This Row],[BookieOdds]])+(1/((1/((1+((LayTable[[#This Row],[LayOdds]]-1)*(1+LayTable[[#This Row],[C% Lay]])))-1))+1)))-1)</f>
        <v/>
      </c>
      <c r="Q2257" s="46" t="str">
        <f>IF(LayTable[[#This Row],[Sport]]="","",LayTable[[#This Row],[BookieInnsats]]+LayTable[[#This Row],[LayLiability]])</f>
        <v/>
      </c>
      <c r="R2257"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7"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7" s="47" t="str">
        <f>IF(LayTable[[#This Row],[Utfall bookie]]="","",LayTable[[#This Row],[WBABack]]+LayTable[[#This Row],[WBALay]]-LayTable[[#This Row],[Total inns]])</f>
        <v/>
      </c>
      <c r="U2257"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7"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7" s="48" t="str">
        <f>IFERROR(IF(LayTable[[#This Row],[Total inns]]="","",LayTable[[#This Row],[Rback]]/LayTable[[#This Row],[Total inns]]),"")</f>
        <v/>
      </c>
      <c r="X2257" s="48" t="str">
        <f>IFERROR(IF(LayTable[[#This Row],[Total inns]]="","",LayTable[[#This Row],[Rlay]]/LayTable[[#This Row],[Total inns]]),"")</f>
        <v/>
      </c>
      <c r="Y2257" s="48" t="str">
        <f>IFERROR(LayTable[[#This Row],[Faktisk res]]/LayTable[[#This Row],[Total inns]],"")</f>
        <v/>
      </c>
      <c r="Z2257" s="47">
        <f>(LayTable[[#This Row],[BookieInnsats]]*LayTable[[#This Row],[BookieOdds]]-LayTable[[#This Row],[BookieInnsats]])*(1-LayTable[[#This Row],[C% Bookie]])</f>
        <v>0</v>
      </c>
      <c r="AA2257" s="43">
        <f>LayTable[[#This Row],[LayInnsats]]*(1-LayTable[[#This Row],[C% Lay]])</f>
        <v>0</v>
      </c>
      <c r="AB2257" s="43" t="str">
        <f>IFERROR(IF(LayTable[[#This Row],[Sport]]="",AB2256,LayTable[[#This Row],[Faktisk res]]+AB2256),"")</f>
        <v/>
      </c>
      <c r="AC2257" s="43">
        <f>(LayTable[[#This Row],[BackWin-Commission]]+LayTable[[#This Row],[BookieInnsats]])</f>
        <v>0</v>
      </c>
      <c r="AD2257" s="43" t="e">
        <f>(LayTable[[#This Row],[LayWin-Commission]])+LayTable[[#This Row],[LayLiability]]</f>
        <v>#VALUE!</v>
      </c>
      <c r="AE2257" s="43"/>
      <c r="AF2257" s="181"/>
    </row>
    <row r="2258" spans="1:32">
      <c r="A2258" s="84"/>
      <c r="B2258" s="39"/>
      <c r="C2258" s="40"/>
      <c r="D2258" s="41"/>
      <c r="E2258" s="40"/>
      <c r="F2258" s="41"/>
      <c r="G2258" s="101"/>
      <c r="H2258" s="38"/>
      <c r="I2258" s="42"/>
      <c r="J2258" s="42"/>
      <c r="K2258" s="43"/>
      <c r="L2258" s="43"/>
      <c r="M2258" s="44" t="str">
        <f>IF(LayTable[[#This Row],[Sport]]="","",LayTable[[#This Row],[LayInnsats]]*(LayTable[[#This Row],[LayOdds]]-1))</f>
        <v/>
      </c>
      <c r="N2258" s="45" t="str">
        <f>IF(LayTable[[#This Row],[Sport]]="","",1/((1/LayTable[[#This Row],[BookieOdds]])+(1/((1/((1+((LayTable[[#This Row],[LayOdds]]-1)*(1+LayTable[[#This Row],[C% Lay]])))-1))+1)))-1)</f>
        <v/>
      </c>
      <c r="Q2258" s="46" t="str">
        <f>IF(LayTable[[#This Row],[Sport]]="","",LayTable[[#This Row],[BookieInnsats]]+LayTable[[#This Row],[LayLiability]])</f>
        <v/>
      </c>
      <c r="R2258"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8"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8" s="47" t="str">
        <f>IF(LayTable[[#This Row],[Utfall bookie]]="","",LayTable[[#This Row],[WBABack]]+LayTable[[#This Row],[WBALay]]-LayTable[[#This Row],[Total inns]])</f>
        <v/>
      </c>
      <c r="U2258"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8"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8" s="48" t="str">
        <f>IFERROR(IF(LayTable[[#This Row],[Total inns]]="","",LayTable[[#This Row],[Rback]]/LayTable[[#This Row],[Total inns]]),"")</f>
        <v/>
      </c>
      <c r="X2258" s="48" t="str">
        <f>IFERROR(IF(LayTable[[#This Row],[Total inns]]="","",LayTable[[#This Row],[Rlay]]/LayTable[[#This Row],[Total inns]]),"")</f>
        <v/>
      </c>
      <c r="Y2258" s="48" t="str">
        <f>IFERROR(LayTable[[#This Row],[Faktisk res]]/LayTable[[#This Row],[Total inns]],"")</f>
        <v/>
      </c>
      <c r="Z2258" s="47">
        <f>(LayTable[[#This Row],[BookieInnsats]]*LayTable[[#This Row],[BookieOdds]]-LayTable[[#This Row],[BookieInnsats]])*(1-LayTable[[#This Row],[C% Bookie]])</f>
        <v>0</v>
      </c>
      <c r="AA2258" s="43">
        <f>LayTable[[#This Row],[LayInnsats]]*(1-LayTable[[#This Row],[C% Lay]])</f>
        <v>0</v>
      </c>
      <c r="AB2258" s="43" t="str">
        <f>IFERROR(IF(LayTable[[#This Row],[Sport]]="",AB2257,LayTable[[#This Row],[Faktisk res]]+AB2257),"")</f>
        <v/>
      </c>
      <c r="AC2258" s="43">
        <f>(LayTable[[#This Row],[BackWin-Commission]]+LayTable[[#This Row],[BookieInnsats]])</f>
        <v>0</v>
      </c>
      <c r="AD2258" s="43" t="e">
        <f>(LayTable[[#This Row],[LayWin-Commission]])+LayTable[[#This Row],[LayLiability]]</f>
        <v>#VALUE!</v>
      </c>
      <c r="AE2258" s="43"/>
      <c r="AF2258" s="181"/>
    </row>
    <row r="2259" spans="1:32">
      <c r="A2259" s="84"/>
      <c r="B2259" s="39"/>
      <c r="C2259" s="40"/>
      <c r="D2259" s="41"/>
      <c r="E2259" s="40"/>
      <c r="F2259" s="41"/>
      <c r="G2259" s="101"/>
      <c r="H2259" s="38"/>
      <c r="I2259" s="42"/>
      <c r="J2259" s="42"/>
      <c r="K2259" s="43"/>
      <c r="L2259" s="43"/>
      <c r="M2259" s="44" t="str">
        <f>IF(LayTable[[#This Row],[Sport]]="","",LayTable[[#This Row],[LayInnsats]]*(LayTable[[#This Row],[LayOdds]]-1))</f>
        <v/>
      </c>
      <c r="N2259" s="45" t="str">
        <f>IF(LayTable[[#This Row],[Sport]]="","",1/((1/LayTable[[#This Row],[BookieOdds]])+(1/((1/((1+((LayTable[[#This Row],[LayOdds]]-1)*(1+LayTable[[#This Row],[C% Lay]])))-1))+1)))-1)</f>
        <v/>
      </c>
      <c r="Q2259" s="46" t="str">
        <f>IF(LayTable[[#This Row],[Sport]]="","",LayTable[[#This Row],[BookieInnsats]]+LayTable[[#This Row],[LayLiability]])</f>
        <v/>
      </c>
      <c r="R2259"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59"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59" s="47" t="str">
        <f>IF(LayTable[[#This Row],[Utfall bookie]]="","",LayTable[[#This Row],[WBABack]]+LayTable[[#This Row],[WBALay]]-LayTable[[#This Row],[Total inns]])</f>
        <v/>
      </c>
      <c r="U2259"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59"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59" s="48" t="str">
        <f>IFERROR(IF(LayTable[[#This Row],[Total inns]]="","",LayTable[[#This Row],[Rback]]/LayTable[[#This Row],[Total inns]]),"")</f>
        <v/>
      </c>
      <c r="X2259" s="48" t="str">
        <f>IFERROR(IF(LayTable[[#This Row],[Total inns]]="","",LayTable[[#This Row],[Rlay]]/LayTable[[#This Row],[Total inns]]),"")</f>
        <v/>
      </c>
      <c r="Y2259" s="48" t="str">
        <f>IFERROR(LayTable[[#This Row],[Faktisk res]]/LayTable[[#This Row],[Total inns]],"")</f>
        <v/>
      </c>
      <c r="Z2259" s="47">
        <f>(LayTable[[#This Row],[BookieInnsats]]*LayTable[[#This Row],[BookieOdds]]-LayTable[[#This Row],[BookieInnsats]])*(1-LayTable[[#This Row],[C% Bookie]])</f>
        <v>0</v>
      </c>
      <c r="AA2259" s="43">
        <f>LayTable[[#This Row],[LayInnsats]]*(1-LayTable[[#This Row],[C% Lay]])</f>
        <v>0</v>
      </c>
      <c r="AB2259" s="43" t="str">
        <f>IFERROR(IF(LayTable[[#This Row],[Sport]]="",AB2258,LayTable[[#This Row],[Faktisk res]]+AB2258),"")</f>
        <v/>
      </c>
      <c r="AC2259" s="43">
        <f>(LayTable[[#This Row],[BackWin-Commission]]+LayTable[[#This Row],[BookieInnsats]])</f>
        <v>0</v>
      </c>
      <c r="AD2259" s="43" t="e">
        <f>(LayTable[[#This Row],[LayWin-Commission]])+LayTable[[#This Row],[LayLiability]]</f>
        <v>#VALUE!</v>
      </c>
      <c r="AE2259" s="43"/>
      <c r="AF2259" s="181"/>
    </row>
    <row r="2260" spans="1:32">
      <c r="A2260" s="84"/>
      <c r="B2260" s="39"/>
      <c r="C2260" s="40"/>
      <c r="D2260" s="41"/>
      <c r="E2260" s="40"/>
      <c r="F2260" s="41"/>
      <c r="G2260" s="101"/>
      <c r="H2260" s="38"/>
      <c r="I2260" s="42"/>
      <c r="J2260" s="42"/>
      <c r="K2260" s="43"/>
      <c r="L2260" s="43"/>
      <c r="M2260" s="44" t="str">
        <f>IF(LayTable[[#This Row],[Sport]]="","",LayTable[[#This Row],[LayInnsats]]*(LayTable[[#This Row],[LayOdds]]-1))</f>
        <v/>
      </c>
      <c r="N2260" s="45" t="str">
        <f>IF(LayTable[[#This Row],[Sport]]="","",1/((1/LayTable[[#This Row],[BookieOdds]])+(1/((1/((1+((LayTable[[#This Row],[LayOdds]]-1)*(1+LayTable[[#This Row],[C% Lay]])))-1))+1)))-1)</f>
        <v/>
      </c>
      <c r="Q2260" s="46" t="str">
        <f>IF(LayTable[[#This Row],[Sport]]="","",LayTable[[#This Row],[BookieInnsats]]+LayTable[[#This Row],[LayLiability]])</f>
        <v/>
      </c>
      <c r="R2260"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0"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0" s="47" t="str">
        <f>IF(LayTable[[#This Row],[Utfall bookie]]="","",LayTable[[#This Row],[WBABack]]+LayTable[[#This Row],[WBALay]]-LayTable[[#This Row],[Total inns]])</f>
        <v/>
      </c>
      <c r="U2260"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0"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0" s="48" t="str">
        <f>IFERROR(IF(LayTable[[#This Row],[Total inns]]="","",LayTable[[#This Row],[Rback]]/LayTable[[#This Row],[Total inns]]),"")</f>
        <v/>
      </c>
      <c r="X2260" s="48" t="str">
        <f>IFERROR(IF(LayTable[[#This Row],[Total inns]]="","",LayTable[[#This Row],[Rlay]]/LayTable[[#This Row],[Total inns]]),"")</f>
        <v/>
      </c>
      <c r="Y2260" s="48" t="str">
        <f>IFERROR(LayTable[[#This Row],[Faktisk res]]/LayTable[[#This Row],[Total inns]],"")</f>
        <v/>
      </c>
      <c r="Z2260" s="47">
        <f>(LayTable[[#This Row],[BookieInnsats]]*LayTable[[#This Row],[BookieOdds]]-LayTable[[#This Row],[BookieInnsats]])*(1-LayTable[[#This Row],[C% Bookie]])</f>
        <v>0</v>
      </c>
      <c r="AA2260" s="43">
        <f>LayTable[[#This Row],[LayInnsats]]*(1-LayTable[[#This Row],[C% Lay]])</f>
        <v>0</v>
      </c>
      <c r="AB2260" s="43" t="str">
        <f>IFERROR(IF(LayTable[[#This Row],[Sport]]="",AB2259,LayTable[[#This Row],[Faktisk res]]+AB2259),"")</f>
        <v/>
      </c>
      <c r="AC2260" s="43">
        <f>(LayTable[[#This Row],[BackWin-Commission]]+LayTable[[#This Row],[BookieInnsats]])</f>
        <v>0</v>
      </c>
      <c r="AD2260" s="43" t="e">
        <f>(LayTable[[#This Row],[LayWin-Commission]])+LayTable[[#This Row],[LayLiability]]</f>
        <v>#VALUE!</v>
      </c>
      <c r="AE2260" s="43"/>
      <c r="AF2260" s="181"/>
    </row>
    <row r="2261" spans="1:32">
      <c r="A2261" s="84"/>
      <c r="B2261" s="39"/>
      <c r="C2261" s="40"/>
      <c r="D2261" s="41"/>
      <c r="E2261" s="40"/>
      <c r="F2261" s="41"/>
      <c r="G2261" s="101"/>
      <c r="H2261" s="38"/>
      <c r="I2261" s="42"/>
      <c r="J2261" s="42"/>
      <c r="K2261" s="43"/>
      <c r="L2261" s="43"/>
      <c r="M2261" s="44" t="str">
        <f>IF(LayTable[[#This Row],[Sport]]="","",LayTable[[#This Row],[LayInnsats]]*(LayTable[[#This Row],[LayOdds]]-1))</f>
        <v/>
      </c>
      <c r="N2261" s="45" t="str">
        <f>IF(LayTable[[#This Row],[Sport]]="","",1/((1/LayTable[[#This Row],[BookieOdds]])+(1/((1/((1+((LayTable[[#This Row],[LayOdds]]-1)*(1+LayTable[[#This Row],[C% Lay]])))-1))+1)))-1)</f>
        <v/>
      </c>
      <c r="Q2261" s="46" t="str">
        <f>IF(LayTable[[#This Row],[Sport]]="","",LayTable[[#This Row],[BookieInnsats]]+LayTable[[#This Row],[LayLiability]])</f>
        <v/>
      </c>
      <c r="R2261"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1"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1" s="47" t="str">
        <f>IF(LayTable[[#This Row],[Utfall bookie]]="","",LayTable[[#This Row],[WBABack]]+LayTable[[#This Row],[WBALay]]-LayTable[[#This Row],[Total inns]])</f>
        <v/>
      </c>
      <c r="U2261"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1"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1" s="48" t="str">
        <f>IFERROR(IF(LayTable[[#This Row],[Total inns]]="","",LayTable[[#This Row],[Rback]]/LayTable[[#This Row],[Total inns]]),"")</f>
        <v/>
      </c>
      <c r="X2261" s="48" t="str">
        <f>IFERROR(IF(LayTable[[#This Row],[Total inns]]="","",LayTable[[#This Row],[Rlay]]/LayTable[[#This Row],[Total inns]]),"")</f>
        <v/>
      </c>
      <c r="Y2261" s="48" t="str">
        <f>IFERROR(LayTable[[#This Row],[Faktisk res]]/LayTable[[#This Row],[Total inns]],"")</f>
        <v/>
      </c>
      <c r="Z2261" s="47">
        <f>(LayTable[[#This Row],[BookieInnsats]]*LayTable[[#This Row],[BookieOdds]]-LayTable[[#This Row],[BookieInnsats]])*(1-LayTable[[#This Row],[C% Bookie]])</f>
        <v>0</v>
      </c>
      <c r="AA2261" s="43">
        <f>LayTable[[#This Row],[LayInnsats]]*(1-LayTable[[#This Row],[C% Lay]])</f>
        <v>0</v>
      </c>
      <c r="AB2261" s="43" t="str">
        <f>IFERROR(IF(LayTable[[#This Row],[Sport]]="",AB2260,LayTable[[#This Row],[Faktisk res]]+AB2260),"")</f>
        <v/>
      </c>
      <c r="AC2261" s="43">
        <f>(LayTable[[#This Row],[BackWin-Commission]]+LayTable[[#This Row],[BookieInnsats]])</f>
        <v>0</v>
      </c>
      <c r="AD2261" s="43" t="e">
        <f>(LayTable[[#This Row],[LayWin-Commission]])+LayTable[[#This Row],[LayLiability]]</f>
        <v>#VALUE!</v>
      </c>
      <c r="AE2261" s="43"/>
      <c r="AF2261" s="181"/>
    </row>
    <row r="2262" spans="1:32">
      <c r="A2262" s="84"/>
      <c r="B2262" s="39"/>
      <c r="C2262" s="40"/>
      <c r="D2262" s="41"/>
      <c r="E2262" s="40"/>
      <c r="F2262" s="41"/>
      <c r="G2262" s="101"/>
      <c r="H2262" s="38"/>
      <c r="I2262" s="42"/>
      <c r="J2262" s="42"/>
      <c r="K2262" s="43"/>
      <c r="L2262" s="43"/>
      <c r="M2262" s="44" t="str">
        <f>IF(LayTable[[#This Row],[Sport]]="","",LayTable[[#This Row],[LayInnsats]]*(LayTable[[#This Row],[LayOdds]]-1))</f>
        <v/>
      </c>
      <c r="N2262" s="45" t="str">
        <f>IF(LayTable[[#This Row],[Sport]]="","",1/((1/LayTable[[#This Row],[BookieOdds]])+(1/((1/((1+((LayTable[[#This Row],[LayOdds]]-1)*(1+LayTable[[#This Row],[C% Lay]])))-1))+1)))-1)</f>
        <v/>
      </c>
      <c r="Q2262" s="46" t="str">
        <f>IF(LayTable[[#This Row],[Sport]]="","",LayTable[[#This Row],[BookieInnsats]]+LayTable[[#This Row],[LayLiability]])</f>
        <v/>
      </c>
      <c r="R2262"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2"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2" s="47" t="str">
        <f>IF(LayTable[[#This Row],[Utfall bookie]]="","",LayTable[[#This Row],[WBABack]]+LayTable[[#This Row],[WBALay]]-LayTable[[#This Row],[Total inns]])</f>
        <v/>
      </c>
      <c r="U2262"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2"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2" s="48" t="str">
        <f>IFERROR(IF(LayTable[[#This Row],[Total inns]]="","",LayTable[[#This Row],[Rback]]/LayTable[[#This Row],[Total inns]]),"")</f>
        <v/>
      </c>
      <c r="X2262" s="48" t="str">
        <f>IFERROR(IF(LayTable[[#This Row],[Total inns]]="","",LayTable[[#This Row],[Rlay]]/LayTable[[#This Row],[Total inns]]),"")</f>
        <v/>
      </c>
      <c r="Y2262" s="48" t="str">
        <f>IFERROR(LayTable[[#This Row],[Faktisk res]]/LayTable[[#This Row],[Total inns]],"")</f>
        <v/>
      </c>
      <c r="Z2262" s="47">
        <f>(LayTable[[#This Row],[BookieInnsats]]*LayTable[[#This Row],[BookieOdds]]-LayTable[[#This Row],[BookieInnsats]])*(1-LayTable[[#This Row],[C% Bookie]])</f>
        <v>0</v>
      </c>
      <c r="AA2262" s="43">
        <f>LayTable[[#This Row],[LayInnsats]]*(1-LayTable[[#This Row],[C% Lay]])</f>
        <v>0</v>
      </c>
      <c r="AB2262" s="43" t="str">
        <f>IFERROR(IF(LayTable[[#This Row],[Sport]]="",AB2261,LayTable[[#This Row],[Faktisk res]]+AB2261),"")</f>
        <v/>
      </c>
      <c r="AC2262" s="43">
        <f>(LayTable[[#This Row],[BackWin-Commission]]+LayTable[[#This Row],[BookieInnsats]])</f>
        <v>0</v>
      </c>
      <c r="AD2262" s="43" t="e">
        <f>(LayTable[[#This Row],[LayWin-Commission]])+LayTable[[#This Row],[LayLiability]]</f>
        <v>#VALUE!</v>
      </c>
      <c r="AE2262" s="43"/>
      <c r="AF2262" s="181"/>
    </row>
    <row r="2263" spans="1:32">
      <c r="A2263" s="84"/>
      <c r="B2263" s="39"/>
      <c r="C2263" s="40"/>
      <c r="D2263" s="41"/>
      <c r="E2263" s="40"/>
      <c r="F2263" s="41"/>
      <c r="G2263" s="101"/>
      <c r="H2263" s="38"/>
      <c r="I2263" s="42"/>
      <c r="J2263" s="42"/>
      <c r="K2263" s="43"/>
      <c r="L2263" s="43"/>
      <c r="M2263" s="44" t="str">
        <f>IF(LayTable[[#This Row],[Sport]]="","",LayTable[[#This Row],[LayInnsats]]*(LayTable[[#This Row],[LayOdds]]-1))</f>
        <v/>
      </c>
      <c r="N2263" s="45" t="str">
        <f>IF(LayTable[[#This Row],[Sport]]="","",1/((1/LayTable[[#This Row],[BookieOdds]])+(1/((1/((1+((LayTable[[#This Row],[LayOdds]]-1)*(1+LayTable[[#This Row],[C% Lay]])))-1))+1)))-1)</f>
        <v/>
      </c>
      <c r="Q2263" s="46" t="str">
        <f>IF(LayTable[[#This Row],[Sport]]="","",LayTable[[#This Row],[BookieInnsats]]+LayTable[[#This Row],[LayLiability]])</f>
        <v/>
      </c>
      <c r="R2263" s="47"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3" s="47"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3" s="47" t="str">
        <f>IF(LayTable[[#This Row],[Utfall bookie]]="","",LayTable[[#This Row],[WBABack]]+LayTable[[#This Row],[WBALay]]-LayTable[[#This Row],[Total inns]])</f>
        <v/>
      </c>
      <c r="U2263" s="47"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3" s="47"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3" s="48" t="str">
        <f>IFERROR(IF(LayTable[[#This Row],[Total inns]]="","",LayTable[[#This Row],[Rback]]/LayTable[[#This Row],[Total inns]]),"")</f>
        <v/>
      </c>
      <c r="X2263" s="48" t="str">
        <f>IFERROR(IF(LayTable[[#This Row],[Total inns]]="","",LayTable[[#This Row],[Rlay]]/LayTable[[#This Row],[Total inns]]),"")</f>
        <v/>
      </c>
      <c r="Y2263" s="48" t="str">
        <f>IFERROR(LayTable[[#This Row],[Faktisk res]]/LayTable[[#This Row],[Total inns]],"")</f>
        <v/>
      </c>
      <c r="Z2263" s="47">
        <f>(LayTable[[#This Row],[BookieInnsats]]*LayTable[[#This Row],[BookieOdds]]-LayTable[[#This Row],[BookieInnsats]])*(1-LayTable[[#This Row],[C% Bookie]])</f>
        <v>0</v>
      </c>
      <c r="AA2263" s="43">
        <f>LayTable[[#This Row],[LayInnsats]]*(1-LayTable[[#This Row],[C% Lay]])</f>
        <v>0</v>
      </c>
      <c r="AB2263" s="43" t="str">
        <f>IFERROR(IF(LayTable[[#This Row],[Sport]]="",AB2262,LayTable[[#This Row],[Faktisk res]]+AB2262),"")</f>
        <v/>
      </c>
      <c r="AC2263" s="43">
        <f>(LayTable[[#This Row],[BackWin-Commission]]+LayTable[[#This Row],[BookieInnsats]])</f>
        <v>0</v>
      </c>
      <c r="AD2263" s="43" t="e">
        <f>(LayTable[[#This Row],[LayWin-Commission]])+LayTable[[#This Row],[LayLiability]]</f>
        <v>#VALUE!</v>
      </c>
      <c r="AE2263" s="43"/>
      <c r="AF2263" s="181"/>
    </row>
    <row r="2264" spans="1:32">
      <c r="A2264" s="84"/>
      <c r="B2264" s="39"/>
      <c r="C2264" s="40"/>
      <c r="D2264" s="41"/>
      <c r="E2264" s="40"/>
      <c r="F2264" s="41"/>
      <c r="G2264" s="101"/>
      <c r="H2264" s="38"/>
      <c r="I2264" s="42"/>
      <c r="J2264" s="42"/>
      <c r="K2264" s="43"/>
      <c r="L2264" s="43"/>
      <c r="M2264" s="76" t="str">
        <f>IF(LayTable[[#This Row],[Sport]]="","",LayTable[[#This Row],[LayInnsats]]*(LayTable[[#This Row],[LayOdds]]-1))</f>
        <v/>
      </c>
      <c r="N2264" s="77" t="str">
        <f>IF(LayTable[[#This Row],[Sport]]="","",1/((1/LayTable[[#This Row],[BookieOdds]])+(1/((1/((1+((LayTable[[#This Row],[LayOdds]]-1)*(1+LayTable[[#This Row],[C% Lay]])))-1))+1)))-1)</f>
        <v/>
      </c>
      <c r="Q2264" s="78" t="str">
        <f>IF(LayTable[[#This Row],[Sport]]="","",LayTable[[#This Row],[BookieInnsats]]+LayTable[[#This Row],[LayLiability]])</f>
        <v/>
      </c>
      <c r="R2264"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4"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4" s="79" t="str">
        <f>IF(LayTable[[#This Row],[Utfall bookie]]="","",LayTable[[#This Row],[WBABack]]+LayTable[[#This Row],[WBALay]]-LayTable[[#This Row],[Total inns]])</f>
        <v/>
      </c>
      <c r="U2264"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4"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4" s="80" t="str">
        <f>IFERROR(IF(LayTable[[#This Row],[Total inns]]="","",LayTable[[#This Row],[Rback]]/LayTable[[#This Row],[Total inns]]),"")</f>
        <v/>
      </c>
      <c r="X2264" s="80" t="str">
        <f>IFERROR(IF(LayTable[[#This Row],[Total inns]]="","",LayTable[[#This Row],[Rlay]]/LayTable[[#This Row],[Total inns]]),"")</f>
        <v/>
      </c>
      <c r="Y2264" s="80" t="str">
        <f>IFERROR(LayTable[[#This Row],[Faktisk res]]/LayTable[[#This Row],[Total inns]],"")</f>
        <v/>
      </c>
      <c r="Z2264" s="79">
        <f>(LayTable[[#This Row],[BookieInnsats]]*LayTable[[#This Row],[BookieOdds]]-LayTable[[#This Row],[BookieInnsats]])*(1-LayTable[[#This Row],[C% Bookie]])</f>
        <v>0</v>
      </c>
      <c r="AA2264" s="75">
        <f>LayTable[[#This Row],[LayInnsats]]*(1-LayTable[[#This Row],[C% Lay]])</f>
        <v>0</v>
      </c>
      <c r="AB2264" s="75" t="str">
        <f>IFERROR(IF(LayTable[[#This Row],[Sport]]="",AB2263,LayTable[[#This Row],[Faktisk res]]+AB2263),"")</f>
        <v/>
      </c>
      <c r="AC2264" s="75">
        <f>(LayTable[[#This Row],[BackWin-Commission]]+LayTable[[#This Row],[BookieInnsats]])</f>
        <v>0</v>
      </c>
      <c r="AD2264" s="75" t="e">
        <f>(LayTable[[#This Row],[LayWin-Commission]])+LayTable[[#This Row],[LayLiability]]</f>
        <v>#VALUE!</v>
      </c>
      <c r="AE2264" s="43"/>
      <c r="AF2264" s="181"/>
    </row>
    <row r="2265" spans="1:32">
      <c r="A2265" s="84"/>
      <c r="B2265" s="39"/>
      <c r="C2265" s="40"/>
      <c r="D2265" s="41"/>
      <c r="E2265" s="40"/>
      <c r="F2265" s="41"/>
      <c r="G2265" s="101"/>
      <c r="H2265" s="38"/>
      <c r="I2265" s="42"/>
      <c r="J2265" s="42"/>
      <c r="K2265" s="43"/>
      <c r="L2265" s="43"/>
      <c r="M2265" s="76" t="str">
        <f>IF(LayTable[[#This Row],[Sport]]="","",LayTable[[#This Row],[LayInnsats]]*(LayTable[[#This Row],[LayOdds]]-1))</f>
        <v/>
      </c>
      <c r="N2265" s="77" t="str">
        <f>IF(LayTable[[#This Row],[Sport]]="","",1/((1/LayTable[[#This Row],[BookieOdds]])+(1/((1/((1+((LayTable[[#This Row],[LayOdds]]-1)*(1+LayTable[[#This Row],[C% Lay]])))-1))+1)))-1)</f>
        <v/>
      </c>
      <c r="Q2265" s="78" t="str">
        <f>IF(LayTable[[#This Row],[Sport]]="","",LayTable[[#This Row],[BookieInnsats]]+LayTable[[#This Row],[LayLiability]])</f>
        <v/>
      </c>
      <c r="R2265"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5"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5" s="79" t="str">
        <f>IF(LayTable[[#This Row],[Utfall bookie]]="","",LayTable[[#This Row],[WBABack]]+LayTable[[#This Row],[WBALay]]-LayTable[[#This Row],[Total inns]])</f>
        <v/>
      </c>
      <c r="U2265"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5"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5" s="80" t="str">
        <f>IFERROR(IF(LayTable[[#This Row],[Total inns]]="","",LayTable[[#This Row],[Rback]]/LayTable[[#This Row],[Total inns]]),"")</f>
        <v/>
      </c>
      <c r="X2265" s="80" t="str">
        <f>IFERROR(IF(LayTable[[#This Row],[Total inns]]="","",LayTable[[#This Row],[Rlay]]/LayTable[[#This Row],[Total inns]]),"")</f>
        <v/>
      </c>
      <c r="Y2265" s="80" t="str">
        <f>IFERROR(LayTable[[#This Row],[Faktisk res]]/LayTable[[#This Row],[Total inns]],"")</f>
        <v/>
      </c>
      <c r="Z2265" s="79">
        <f>(LayTable[[#This Row],[BookieInnsats]]*LayTable[[#This Row],[BookieOdds]]-LayTable[[#This Row],[BookieInnsats]])*(1-LayTable[[#This Row],[C% Bookie]])</f>
        <v>0</v>
      </c>
      <c r="AA2265" s="75">
        <f>LayTable[[#This Row],[LayInnsats]]*(1-LayTable[[#This Row],[C% Lay]])</f>
        <v>0</v>
      </c>
      <c r="AB2265" s="75" t="str">
        <f>IFERROR(IF(LayTable[[#This Row],[Sport]]="",AB2264,LayTable[[#This Row],[Faktisk res]]+AB2264),"")</f>
        <v/>
      </c>
      <c r="AC2265" s="75">
        <f>(LayTable[[#This Row],[BackWin-Commission]]+LayTable[[#This Row],[BookieInnsats]])</f>
        <v>0</v>
      </c>
      <c r="AD2265" s="75" t="e">
        <f>(LayTable[[#This Row],[LayWin-Commission]])+LayTable[[#This Row],[LayLiability]]</f>
        <v>#VALUE!</v>
      </c>
      <c r="AE2265" s="43"/>
      <c r="AF2265" s="181"/>
    </row>
    <row r="2266" spans="1:32">
      <c r="A2266" s="84"/>
      <c r="B2266" s="39"/>
      <c r="C2266" s="40"/>
      <c r="D2266" s="41"/>
      <c r="E2266" s="40"/>
      <c r="F2266" s="41"/>
      <c r="G2266" s="101"/>
      <c r="H2266" s="38"/>
      <c r="I2266" s="42"/>
      <c r="J2266" s="42"/>
      <c r="K2266" s="43"/>
      <c r="L2266" s="43"/>
      <c r="M2266" s="76" t="str">
        <f>IF(LayTable[[#This Row],[Sport]]="","",LayTable[[#This Row],[LayInnsats]]*(LayTable[[#This Row],[LayOdds]]-1))</f>
        <v/>
      </c>
      <c r="N2266" s="77" t="str">
        <f>IF(LayTable[[#This Row],[Sport]]="","",1/((1/LayTable[[#This Row],[BookieOdds]])+(1/((1/((1+((LayTable[[#This Row],[LayOdds]]-1)*(1+LayTable[[#This Row],[C% Lay]])))-1))+1)))-1)</f>
        <v/>
      </c>
      <c r="Q2266" s="78" t="str">
        <f>IF(LayTable[[#This Row],[Sport]]="","",LayTable[[#This Row],[BookieInnsats]]+LayTable[[#This Row],[LayLiability]])</f>
        <v/>
      </c>
      <c r="R2266"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6"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6" s="79" t="str">
        <f>IF(LayTable[[#This Row],[Utfall bookie]]="","",LayTable[[#This Row],[WBABack]]+LayTable[[#This Row],[WBALay]]-LayTable[[#This Row],[Total inns]])</f>
        <v/>
      </c>
      <c r="U2266"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6"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6" s="80" t="str">
        <f>IFERROR(IF(LayTable[[#This Row],[Total inns]]="","",LayTable[[#This Row],[Rback]]/LayTable[[#This Row],[Total inns]]),"")</f>
        <v/>
      </c>
      <c r="X2266" s="80" t="str">
        <f>IFERROR(IF(LayTable[[#This Row],[Total inns]]="","",LayTable[[#This Row],[Rlay]]/LayTable[[#This Row],[Total inns]]),"")</f>
        <v/>
      </c>
      <c r="Y2266" s="80" t="str">
        <f>IFERROR(LayTable[[#This Row],[Faktisk res]]/LayTable[[#This Row],[Total inns]],"")</f>
        <v/>
      </c>
      <c r="Z2266" s="79">
        <f>(LayTable[[#This Row],[BookieInnsats]]*LayTable[[#This Row],[BookieOdds]]-LayTable[[#This Row],[BookieInnsats]])*(1-LayTable[[#This Row],[C% Bookie]])</f>
        <v>0</v>
      </c>
      <c r="AA2266" s="75">
        <f>LayTable[[#This Row],[LayInnsats]]*(1-LayTable[[#This Row],[C% Lay]])</f>
        <v>0</v>
      </c>
      <c r="AB2266" s="75" t="str">
        <f>IFERROR(IF(LayTable[[#This Row],[Sport]]="",AB2265,LayTable[[#This Row],[Faktisk res]]+AB2265),"")</f>
        <v/>
      </c>
      <c r="AC2266" s="75">
        <f>(LayTable[[#This Row],[BackWin-Commission]]+LayTable[[#This Row],[BookieInnsats]])</f>
        <v>0</v>
      </c>
      <c r="AD2266" s="75" t="e">
        <f>(LayTable[[#This Row],[LayWin-Commission]])+LayTable[[#This Row],[LayLiability]]</f>
        <v>#VALUE!</v>
      </c>
      <c r="AE2266" s="43"/>
      <c r="AF2266" s="181"/>
    </row>
    <row r="2267" spans="1:32">
      <c r="A2267" s="84"/>
      <c r="B2267" s="39"/>
      <c r="C2267" s="40"/>
      <c r="D2267" s="41"/>
      <c r="E2267" s="40"/>
      <c r="F2267" s="41"/>
      <c r="G2267" s="101"/>
      <c r="H2267" s="38"/>
      <c r="I2267" s="42"/>
      <c r="J2267" s="42"/>
      <c r="K2267" s="43"/>
      <c r="L2267" s="43"/>
      <c r="M2267" s="76" t="str">
        <f>IF(LayTable[[#This Row],[Sport]]="","",LayTable[[#This Row],[LayInnsats]]*(LayTable[[#This Row],[LayOdds]]-1))</f>
        <v/>
      </c>
      <c r="N2267" s="77" t="str">
        <f>IF(LayTable[[#This Row],[Sport]]="","",1/((1/LayTable[[#This Row],[BookieOdds]])+(1/((1/((1+((LayTable[[#This Row],[LayOdds]]-1)*(1+LayTable[[#This Row],[C% Lay]])))-1))+1)))-1)</f>
        <v/>
      </c>
      <c r="Q2267" s="78" t="str">
        <f>IF(LayTable[[#This Row],[Sport]]="","",LayTable[[#This Row],[BookieInnsats]]+LayTable[[#This Row],[LayLiability]])</f>
        <v/>
      </c>
      <c r="R2267"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7"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7" s="79" t="str">
        <f>IF(LayTable[[#This Row],[Utfall bookie]]="","",LayTable[[#This Row],[WBABack]]+LayTable[[#This Row],[WBALay]]-LayTable[[#This Row],[Total inns]])</f>
        <v/>
      </c>
      <c r="U2267"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7"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7" s="80" t="str">
        <f>IFERROR(IF(LayTable[[#This Row],[Total inns]]="","",LayTable[[#This Row],[Rback]]/LayTable[[#This Row],[Total inns]]),"")</f>
        <v/>
      </c>
      <c r="X2267" s="80" t="str">
        <f>IFERROR(IF(LayTable[[#This Row],[Total inns]]="","",LayTable[[#This Row],[Rlay]]/LayTable[[#This Row],[Total inns]]),"")</f>
        <v/>
      </c>
      <c r="Y2267" s="80" t="str">
        <f>IFERROR(LayTable[[#This Row],[Faktisk res]]/LayTable[[#This Row],[Total inns]],"")</f>
        <v/>
      </c>
      <c r="Z2267" s="79">
        <f>(LayTable[[#This Row],[BookieInnsats]]*LayTable[[#This Row],[BookieOdds]]-LayTable[[#This Row],[BookieInnsats]])*(1-LayTable[[#This Row],[C% Bookie]])</f>
        <v>0</v>
      </c>
      <c r="AA2267" s="75">
        <f>LayTable[[#This Row],[LayInnsats]]*(1-LayTable[[#This Row],[C% Lay]])</f>
        <v>0</v>
      </c>
      <c r="AB2267" s="75" t="str">
        <f>IFERROR(IF(LayTable[[#This Row],[Sport]]="",AB2266,LayTable[[#This Row],[Faktisk res]]+AB2266),"")</f>
        <v/>
      </c>
      <c r="AC2267" s="75">
        <f>(LayTable[[#This Row],[BackWin-Commission]]+LayTable[[#This Row],[BookieInnsats]])</f>
        <v>0</v>
      </c>
      <c r="AD2267" s="75" t="e">
        <f>(LayTable[[#This Row],[LayWin-Commission]])+LayTable[[#This Row],[LayLiability]]</f>
        <v>#VALUE!</v>
      </c>
      <c r="AE2267" s="43"/>
      <c r="AF2267" s="181"/>
    </row>
    <row r="2268" spans="1:32">
      <c r="A2268" s="84"/>
      <c r="B2268" s="39"/>
      <c r="C2268" s="40"/>
      <c r="D2268" s="41"/>
      <c r="E2268" s="40"/>
      <c r="F2268" s="41"/>
      <c r="G2268" s="101"/>
      <c r="H2268" s="38"/>
      <c r="I2268" s="42"/>
      <c r="J2268" s="42"/>
      <c r="K2268" s="43"/>
      <c r="L2268" s="43"/>
      <c r="M2268" s="76" t="str">
        <f>IF(LayTable[[#This Row],[Sport]]="","",LayTable[[#This Row],[LayInnsats]]*(LayTable[[#This Row],[LayOdds]]-1))</f>
        <v/>
      </c>
      <c r="N2268" s="77" t="str">
        <f>IF(LayTable[[#This Row],[Sport]]="","",1/((1/LayTable[[#This Row],[BookieOdds]])+(1/((1/((1+((LayTable[[#This Row],[LayOdds]]-1)*(1+LayTable[[#This Row],[C% Lay]])))-1))+1)))-1)</f>
        <v/>
      </c>
      <c r="Q2268" s="78" t="str">
        <f>IF(LayTable[[#This Row],[Sport]]="","",LayTable[[#This Row],[BookieInnsats]]+LayTable[[#This Row],[LayLiability]])</f>
        <v/>
      </c>
      <c r="R2268"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8"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8" s="79" t="str">
        <f>IF(LayTable[[#This Row],[Utfall bookie]]="","",LayTable[[#This Row],[WBABack]]+LayTable[[#This Row],[WBALay]]-LayTable[[#This Row],[Total inns]])</f>
        <v/>
      </c>
      <c r="U2268"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8"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8" s="80" t="str">
        <f>IFERROR(IF(LayTable[[#This Row],[Total inns]]="","",LayTable[[#This Row],[Rback]]/LayTable[[#This Row],[Total inns]]),"")</f>
        <v/>
      </c>
      <c r="X2268" s="80" t="str">
        <f>IFERROR(IF(LayTable[[#This Row],[Total inns]]="","",LayTable[[#This Row],[Rlay]]/LayTable[[#This Row],[Total inns]]),"")</f>
        <v/>
      </c>
      <c r="Y2268" s="80" t="str">
        <f>IFERROR(LayTable[[#This Row],[Faktisk res]]/LayTable[[#This Row],[Total inns]],"")</f>
        <v/>
      </c>
      <c r="Z2268" s="79">
        <f>(LayTable[[#This Row],[BookieInnsats]]*LayTable[[#This Row],[BookieOdds]]-LayTable[[#This Row],[BookieInnsats]])*(1-LayTable[[#This Row],[C% Bookie]])</f>
        <v>0</v>
      </c>
      <c r="AA2268" s="75">
        <f>LayTable[[#This Row],[LayInnsats]]*(1-LayTable[[#This Row],[C% Lay]])</f>
        <v>0</v>
      </c>
      <c r="AB2268" s="75" t="str">
        <f>IFERROR(IF(LayTable[[#This Row],[Sport]]="",AB2267,LayTable[[#This Row],[Faktisk res]]+AB2267),"")</f>
        <v/>
      </c>
      <c r="AC2268" s="75">
        <f>(LayTable[[#This Row],[BackWin-Commission]]+LayTable[[#This Row],[BookieInnsats]])</f>
        <v>0</v>
      </c>
      <c r="AD2268" s="75" t="e">
        <f>(LayTable[[#This Row],[LayWin-Commission]])+LayTable[[#This Row],[LayLiability]]</f>
        <v>#VALUE!</v>
      </c>
      <c r="AE2268" s="43"/>
      <c r="AF2268" s="181"/>
    </row>
    <row r="2269" spans="1:32">
      <c r="A2269" s="84"/>
      <c r="B2269" s="39"/>
      <c r="C2269" s="40"/>
      <c r="D2269" s="41"/>
      <c r="E2269" s="40"/>
      <c r="F2269" s="41"/>
      <c r="G2269" s="101"/>
      <c r="H2269" s="38"/>
      <c r="I2269" s="42"/>
      <c r="J2269" s="42"/>
      <c r="K2269" s="43"/>
      <c r="L2269" s="43"/>
      <c r="M2269" s="76" t="str">
        <f>IF(LayTable[[#This Row],[Sport]]="","",LayTable[[#This Row],[LayInnsats]]*(LayTable[[#This Row],[LayOdds]]-1))</f>
        <v/>
      </c>
      <c r="N2269" s="77" t="str">
        <f>IF(LayTable[[#This Row],[Sport]]="","",1/((1/LayTable[[#This Row],[BookieOdds]])+(1/((1/((1+((LayTable[[#This Row],[LayOdds]]-1)*(1+LayTable[[#This Row],[C% Lay]])))-1))+1)))-1)</f>
        <v/>
      </c>
      <c r="Q2269" s="78" t="str">
        <f>IF(LayTable[[#This Row],[Sport]]="","",LayTable[[#This Row],[BookieInnsats]]+LayTable[[#This Row],[LayLiability]])</f>
        <v/>
      </c>
      <c r="R2269"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69"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69" s="79" t="str">
        <f>IF(LayTable[[#This Row],[Utfall bookie]]="","",LayTable[[#This Row],[WBABack]]+LayTable[[#This Row],[WBALay]]-LayTable[[#This Row],[Total inns]])</f>
        <v/>
      </c>
      <c r="U2269"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69"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69" s="80" t="str">
        <f>IFERROR(IF(LayTable[[#This Row],[Total inns]]="","",LayTable[[#This Row],[Rback]]/LayTable[[#This Row],[Total inns]]),"")</f>
        <v/>
      </c>
      <c r="X2269" s="80" t="str">
        <f>IFERROR(IF(LayTable[[#This Row],[Total inns]]="","",LayTable[[#This Row],[Rlay]]/LayTable[[#This Row],[Total inns]]),"")</f>
        <v/>
      </c>
      <c r="Y2269" s="80" t="str">
        <f>IFERROR(LayTable[[#This Row],[Faktisk res]]/LayTable[[#This Row],[Total inns]],"")</f>
        <v/>
      </c>
      <c r="Z2269" s="79">
        <f>(LayTable[[#This Row],[BookieInnsats]]*LayTable[[#This Row],[BookieOdds]]-LayTable[[#This Row],[BookieInnsats]])*(1-LayTable[[#This Row],[C% Bookie]])</f>
        <v>0</v>
      </c>
      <c r="AA2269" s="75">
        <f>LayTable[[#This Row],[LayInnsats]]*(1-LayTable[[#This Row],[C% Lay]])</f>
        <v>0</v>
      </c>
      <c r="AB2269" s="75" t="str">
        <f>IFERROR(IF(LayTable[[#This Row],[Sport]]="",AB2268,LayTable[[#This Row],[Faktisk res]]+AB2268),"")</f>
        <v/>
      </c>
      <c r="AC2269" s="75">
        <f>(LayTable[[#This Row],[BackWin-Commission]]+LayTable[[#This Row],[BookieInnsats]])</f>
        <v>0</v>
      </c>
      <c r="AD2269" s="75" t="e">
        <f>(LayTable[[#This Row],[LayWin-Commission]])+LayTable[[#This Row],[LayLiability]]</f>
        <v>#VALUE!</v>
      </c>
      <c r="AE2269" s="43"/>
      <c r="AF2269" s="181"/>
    </row>
    <row r="2270" spans="1:32">
      <c r="A2270" s="84"/>
      <c r="B2270" s="39"/>
      <c r="C2270" s="40"/>
      <c r="D2270" s="41"/>
      <c r="E2270" s="40"/>
      <c r="F2270" s="41"/>
      <c r="G2270" s="101"/>
      <c r="H2270" s="38"/>
      <c r="I2270" s="42"/>
      <c r="J2270" s="42"/>
      <c r="K2270" s="43"/>
      <c r="L2270" s="43"/>
      <c r="M2270" s="76" t="str">
        <f>IF(LayTable[[#This Row],[Sport]]="","",LayTable[[#This Row],[LayInnsats]]*(LayTable[[#This Row],[LayOdds]]-1))</f>
        <v/>
      </c>
      <c r="N2270" s="77" t="str">
        <f>IF(LayTable[[#This Row],[Sport]]="","",1/((1/LayTable[[#This Row],[BookieOdds]])+(1/((1/((1+((LayTable[[#This Row],[LayOdds]]-1)*(1+LayTable[[#This Row],[C% Lay]])))-1))+1)))-1)</f>
        <v/>
      </c>
      <c r="Q2270" s="78" t="str">
        <f>IF(LayTable[[#This Row],[Sport]]="","",LayTable[[#This Row],[BookieInnsats]]+LayTable[[#This Row],[LayLiability]])</f>
        <v/>
      </c>
      <c r="R2270"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0"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0" s="79" t="str">
        <f>IF(LayTable[[#This Row],[Utfall bookie]]="","",LayTable[[#This Row],[WBABack]]+LayTable[[#This Row],[WBALay]]-LayTable[[#This Row],[Total inns]])</f>
        <v/>
      </c>
      <c r="U2270"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0"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0" s="80" t="str">
        <f>IFERROR(IF(LayTable[[#This Row],[Total inns]]="","",LayTable[[#This Row],[Rback]]/LayTable[[#This Row],[Total inns]]),"")</f>
        <v/>
      </c>
      <c r="X2270" s="80" t="str">
        <f>IFERROR(IF(LayTable[[#This Row],[Total inns]]="","",LayTable[[#This Row],[Rlay]]/LayTable[[#This Row],[Total inns]]),"")</f>
        <v/>
      </c>
      <c r="Y2270" s="80" t="str">
        <f>IFERROR(LayTable[[#This Row],[Faktisk res]]/LayTable[[#This Row],[Total inns]],"")</f>
        <v/>
      </c>
      <c r="Z2270" s="79">
        <f>(LayTable[[#This Row],[BookieInnsats]]*LayTable[[#This Row],[BookieOdds]]-LayTable[[#This Row],[BookieInnsats]])*(1-LayTable[[#This Row],[C% Bookie]])</f>
        <v>0</v>
      </c>
      <c r="AA2270" s="75">
        <f>LayTable[[#This Row],[LayInnsats]]*(1-LayTable[[#This Row],[C% Lay]])</f>
        <v>0</v>
      </c>
      <c r="AB2270" s="75" t="str">
        <f>IFERROR(IF(LayTable[[#This Row],[Sport]]="",AB2269,LayTable[[#This Row],[Faktisk res]]+AB2269),"")</f>
        <v/>
      </c>
      <c r="AC2270" s="75">
        <f>(LayTable[[#This Row],[BackWin-Commission]]+LayTable[[#This Row],[BookieInnsats]])</f>
        <v>0</v>
      </c>
      <c r="AD2270" s="75" t="e">
        <f>(LayTable[[#This Row],[LayWin-Commission]])+LayTable[[#This Row],[LayLiability]]</f>
        <v>#VALUE!</v>
      </c>
      <c r="AE2270" s="43"/>
      <c r="AF2270" s="181"/>
    </row>
    <row r="2271" spans="1:32">
      <c r="A2271" s="84"/>
      <c r="B2271" s="39"/>
      <c r="C2271" s="40"/>
      <c r="D2271" s="41"/>
      <c r="E2271" s="40"/>
      <c r="F2271" s="41"/>
      <c r="G2271" s="101"/>
      <c r="H2271" s="38"/>
      <c r="I2271" s="42"/>
      <c r="J2271" s="42"/>
      <c r="K2271" s="43"/>
      <c r="L2271" s="43"/>
      <c r="M2271" s="76" t="str">
        <f>IF(LayTable[[#This Row],[Sport]]="","",LayTable[[#This Row],[LayInnsats]]*(LayTable[[#This Row],[LayOdds]]-1))</f>
        <v/>
      </c>
      <c r="N2271" s="77" t="str">
        <f>IF(LayTable[[#This Row],[Sport]]="","",1/((1/LayTable[[#This Row],[BookieOdds]])+(1/((1/((1+((LayTable[[#This Row],[LayOdds]]-1)*(1+LayTable[[#This Row],[C% Lay]])))-1))+1)))-1)</f>
        <v/>
      </c>
      <c r="Q2271" s="78" t="str">
        <f>IF(LayTable[[#This Row],[Sport]]="","",LayTable[[#This Row],[BookieInnsats]]+LayTable[[#This Row],[LayLiability]])</f>
        <v/>
      </c>
      <c r="R2271"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1"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1" s="79" t="str">
        <f>IF(LayTable[[#This Row],[Utfall bookie]]="","",LayTable[[#This Row],[WBABack]]+LayTable[[#This Row],[WBALay]]-LayTable[[#This Row],[Total inns]])</f>
        <v/>
      </c>
      <c r="U2271"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1"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1" s="80" t="str">
        <f>IFERROR(IF(LayTable[[#This Row],[Total inns]]="","",LayTable[[#This Row],[Rback]]/LayTable[[#This Row],[Total inns]]),"")</f>
        <v/>
      </c>
      <c r="X2271" s="80" t="str">
        <f>IFERROR(IF(LayTable[[#This Row],[Total inns]]="","",LayTable[[#This Row],[Rlay]]/LayTable[[#This Row],[Total inns]]),"")</f>
        <v/>
      </c>
      <c r="Y2271" s="80" t="str">
        <f>IFERROR(LayTable[[#This Row],[Faktisk res]]/LayTable[[#This Row],[Total inns]],"")</f>
        <v/>
      </c>
      <c r="Z2271" s="79">
        <f>(LayTable[[#This Row],[BookieInnsats]]*LayTable[[#This Row],[BookieOdds]]-LayTable[[#This Row],[BookieInnsats]])*(1-LayTable[[#This Row],[C% Bookie]])</f>
        <v>0</v>
      </c>
      <c r="AA2271" s="75">
        <f>LayTable[[#This Row],[LayInnsats]]*(1-LayTable[[#This Row],[C% Lay]])</f>
        <v>0</v>
      </c>
      <c r="AB2271" s="75" t="str">
        <f>IFERROR(IF(LayTable[[#This Row],[Sport]]="",AB2270,LayTable[[#This Row],[Faktisk res]]+AB2270),"")</f>
        <v/>
      </c>
      <c r="AC2271" s="75">
        <f>(LayTable[[#This Row],[BackWin-Commission]]+LayTable[[#This Row],[BookieInnsats]])</f>
        <v>0</v>
      </c>
      <c r="AD2271" s="75" t="e">
        <f>(LayTable[[#This Row],[LayWin-Commission]])+LayTable[[#This Row],[LayLiability]]</f>
        <v>#VALUE!</v>
      </c>
      <c r="AE2271" s="43"/>
      <c r="AF2271" s="181"/>
    </row>
    <row r="2272" spans="1:32">
      <c r="A2272" s="137"/>
      <c r="B2272" s="83"/>
      <c r="C2272" s="72"/>
      <c r="D2272" s="73"/>
      <c r="E2272" s="72"/>
      <c r="F2272" s="73"/>
      <c r="G2272" s="102"/>
      <c r="H2272" s="82"/>
      <c r="I2272" s="74"/>
      <c r="J2272" s="74"/>
      <c r="K2272" s="75"/>
      <c r="L2272" s="75"/>
      <c r="M2272" s="76" t="str">
        <f>IF(LayTable[[#This Row],[Sport]]="","",LayTable[[#This Row],[LayInnsats]]*(LayTable[[#This Row],[LayOdds]]-1))</f>
        <v/>
      </c>
      <c r="N2272" s="77" t="str">
        <f>IF(LayTable[[#This Row],[Sport]]="","",1/((1/LayTable[[#This Row],[BookieOdds]])+(1/((1/((1+((LayTable[[#This Row],[LayOdds]]-1)*(1+LayTable[[#This Row],[C% Lay]])))-1))+1)))-1)</f>
        <v/>
      </c>
      <c r="Q2272" s="78" t="str">
        <f>IF(LayTable[[#This Row],[Sport]]="","",LayTable[[#This Row],[BookieInnsats]]+LayTable[[#This Row],[LayLiability]])</f>
        <v/>
      </c>
      <c r="R2272"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2"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2" s="79" t="str">
        <f>IF(LayTable[[#This Row],[Utfall bookie]]="","",LayTable[[#This Row],[WBABack]]+LayTable[[#This Row],[WBALay]]-LayTable[[#This Row],[Total inns]])</f>
        <v/>
      </c>
      <c r="U2272"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2"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2" s="80" t="str">
        <f>IFERROR(IF(LayTable[[#This Row],[Total inns]]="","",LayTable[[#This Row],[Rback]]/LayTable[[#This Row],[Total inns]]),"")</f>
        <v/>
      </c>
      <c r="X2272" s="80" t="str">
        <f>IFERROR(IF(LayTable[[#This Row],[Total inns]]="","",LayTable[[#This Row],[Rlay]]/LayTable[[#This Row],[Total inns]]),"")</f>
        <v/>
      </c>
      <c r="Y2272" s="80" t="str">
        <f>IFERROR(LayTable[[#This Row],[Faktisk res]]/LayTable[[#This Row],[Total inns]],"")</f>
        <v/>
      </c>
      <c r="Z2272" s="79">
        <f>(LayTable[[#This Row],[BookieInnsats]]*LayTable[[#This Row],[BookieOdds]]-LayTable[[#This Row],[BookieInnsats]])*(1-LayTable[[#This Row],[C% Bookie]])</f>
        <v>0</v>
      </c>
      <c r="AA2272" s="75">
        <f>LayTable[[#This Row],[LayInnsats]]*(1-LayTable[[#This Row],[C% Lay]])</f>
        <v>0</v>
      </c>
      <c r="AB2272" s="75" t="str">
        <f>IFERROR(IF(LayTable[[#This Row],[Sport]]="",AB2271,LayTable[[#This Row],[Faktisk res]]+AB2271),"")</f>
        <v/>
      </c>
      <c r="AC2272" s="75">
        <f>(LayTable[[#This Row],[BackWin-Commission]]+LayTable[[#This Row],[BookieInnsats]])</f>
        <v>0</v>
      </c>
      <c r="AD2272" s="75" t="e">
        <f>(LayTable[[#This Row],[LayWin-Commission]])+LayTable[[#This Row],[LayLiability]]</f>
        <v>#VALUE!</v>
      </c>
      <c r="AE2272" s="43"/>
      <c r="AF2272" s="181"/>
    </row>
    <row r="2273" spans="1:32">
      <c r="A2273" s="137"/>
      <c r="B2273" s="83"/>
      <c r="C2273" s="72"/>
      <c r="D2273" s="73"/>
      <c r="E2273" s="72"/>
      <c r="F2273" s="73"/>
      <c r="G2273" s="102"/>
      <c r="H2273" s="82"/>
      <c r="I2273" s="74"/>
      <c r="J2273" s="74"/>
      <c r="K2273" s="75"/>
      <c r="L2273" s="75"/>
      <c r="M2273" s="76" t="str">
        <f>IF(LayTable[[#This Row],[Sport]]="","",LayTable[[#This Row],[LayInnsats]]*(LayTable[[#This Row],[LayOdds]]-1))</f>
        <v/>
      </c>
      <c r="N2273" s="77" t="str">
        <f>IF(LayTable[[#This Row],[Sport]]="","",1/((1/LayTable[[#This Row],[BookieOdds]])+(1/((1/((1+((LayTable[[#This Row],[LayOdds]]-1)*(1+LayTable[[#This Row],[C% Lay]])))-1))+1)))-1)</f>
        <v/>
      </c>
      <c r="Q2273" s="78" t="str">
        <f>IF(LayTable[[#This Row],[Sport]]="","",LayTable[[#This Row],[BookieInnsats]]+LayTable[[#This Row],[LayLiability]])</f>
        <v/>
      </c>
      <c r="R2273"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3"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3" s="79" t="str">
        <f>IF(LayTable[[#This Row],[Utfall bookie]]="","",LayTable[[#This Row],[WBABack]]+LayTable[[#This Row],[WBALay]]-LayTable[[#This Row],[Total inns]])</f>
        <v/>
      </c>
      <c r="U2273"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3"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3" s="80" t="str">
        <f>IFERROR(IF(LayTable[[#This Row],[Total inns]]="","",LayTable[[#This Row],[Rback]]/LayTable[[#This Row],[Total inns]]),"")</f>
        <v/>
      </c>
      <c r="X2273" s="80" t="str">
        <f>IFERROR(IF(LayTable[[#This Row],[Total inns]]="","",LayTable[[#This Row],[Rlay]]/LayTable[[#This Row],[Total inns]]),"")</f>
        <v/>
      </c>
      <c r="Y2273" s="80" t="str">
        <f>IFERROR(LayTable[[#This Row],[Faktisk res]]/LayTable[[#This Row],[Total inns]],"")</f>
        <v/>
      </c>
      <c r="Z2273" s="79">
        <f>(LayTable[[#This Row],[BookieInnsats]]*LayTable[[#This Row],[BookieOdds]]-LayTable[[#This Row],[BookieInnsats]])*(1-LayTable[[#This Row],[C% Bookie]])</f>
        <v>0</v>
      </c>
      <c r="AA2273" s="75">
        <f>LayTable[[#This Row],[LayInnsats]]*(1-LayTable[[#This Row],[C% Lay]])</f>
        <v>0</v>
      </c>
      <c r="AB2273" s="75" t="str">
        <f>IFERROR(IF(LayTable[[#This Row],[Sport]]="",AB2272,LayTable[[#This Row],[Faktisk res]]+AB2272),"")</f>
        <v/>
      </c>
      <c r="AC2273" s="75">
        <f>(LayTable[[#This Row],[BackWin-Commission]]+LayTable[[#This Row],[BookieInnsats]])</f>
        <v>0</v>
      </c>
      <c r="AD2273" s="75" t="e">
        <f>(LayTable[[#This Row],[LayWin-Commission]])+LayTable[[#This Row],[LayLiability]]</f>
        <v>#VALUE!</v>
      </c>
      <c r="AE2273" s="43"/>
      <c r="AF2273" s="181"/>
    </row>
    <row r="2274" spans="1:32">
      <c r="A2274" s="137"/>
      <c r="B2274" s="83"/>
      <c r="C2274" s="72"/>
      <c r="D2274" s="73"/>
      <c r="E2274" s="72"/>
      <c r="F2274" s="73"/>
      <c r="G2274" s="102"/>
      <c r="H2274" s="82"/>
      <c r="I2274" s="74"/>
      <c r="J2274" s="74"/>
      <c r="K2274" s="75"/>
      <c r="L2274" s="75"/>
      <c r="M2274" s="76" t="str">
        <f>IF(LayTable[[#This Row],[Sport]]="","",LayTable[[#This Row],[LayInnsats]]*(LayTable[[#This Row],[LayOdds]]-1))</f>
        <v/>
      </c>
      <c r="N2274" s="77" t="str">
        <f>IF(LayTable[[#This Row],[Sport]]="","",1/((1/LayTable[[#This Row],[BookieOdds]])+(1/((1/((1+((LayTable[[#This Row],[LayOdds]]-1)*(1+LayTable[[#This Row],[C% Lay]])))-1))+1)))-1)</f>
        <v/>
      </c>
      <c r="Q2274" s="78" t="str">
        <f>IF(LayTable[[#This Row],[Sport]]="","",LayTable[[#This Row],[BookieInnsats]]+LayTable[[#This Row],[LayLiability]])</f>
        <v/>
      </c>
      <c r="R2274"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4"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4" s="79" t="str">
        <f>IF(LayTable[[#This Row],[Utfall bookie]]="","",LayTable[[#This Row],[WBABack]]+LayTable[[#This Row],[WBALay]]-LayTable[[#This Row],[Total inns]])</f>
        <v/>
      </c>
      <c r="U2274"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4"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4" s="80" t="str">
        <f>IFERROR(IF(LayTable[[#This Row],[Total inns]]="","",LayTable[[#This Row],[Rback]]/LayTable[[#This Row],[Total inns]]),"")</f>
        <v/>
      </c>
      <c r="X2274" s="80" t="str">
        <f>IFERROR(IF(LayTable[[#This Row],[Total inns]]="","",LayTable[[#This Row],[Rlay]]/LayTable[[#This Row],[Total inns]]),"")</f>
        <v/>
      </c>
      <c r="Y2274" s="80" t="str">
        <f>IFERROR(LayTable[[#This Row],[Faktisk res]]/LayTable[[#This Row],[Total inns]],"")</f>
        <v/>
      </c>
      <c r="Z2274" s="79">
        <f>(LayTable[[#This Row],[BookieInnsats]]*LayTable[[#This Row],[BookieOdds]]-LayTable[[#This Row],[BookieInnsats]])*(1-LayTable[[#This Row],[C% Bookie]])</f>
        <v>0</v>
      </c>
      <c r="AA2274" s="75">
        <f>LayTable[[#This Row],[LayInnsats]]*(1-LayTable[[#This Row],[C% Lay]])</f>
        <v>0</v>
      </c>
      <c r="AB2274" s="75" t="str">
        <f>IFERROR(IF(LayTable[[#This Row],[Sport]]="",AB2273,LayTable[[#This Row],[Faktisk res]]+AB2273),"")</f>
        <v/>
      </c>
      <c r="AC2274" s="75">
        <f>(LayTable[[#This Row],[BackWin-Commission]]+LayTable[[#This Row],[BookieInnsats]])</f>
        <v>0</v>
      </c>
      <c r="AD2274" s="75" t="e">
        <f>(LayTable[[#This Row],[LayWin-Commission]])+LayTable[[#This Row],[LayLiability]]</f>
        <v>#VALUE!</v>
      </c>
      <c r="AE2274" s="43"/>
      <c r="AF2274" s="181"/>
    </row>
    <row r="2275" spans="1:32">
      <c r="A2275" s="137"/>
      <c r="B2275" s="83"/>
      <c r="C2275" s="72"/>
      <c r="D2275" s="73"/>
      <c r="E2275" s="72"/>
      <c r="F2275" s="73"/>
      <c r="G2275" s="102"/>
      <c r="H2275" s="82"/>
      <c r="I2275" s="74"/>
      <c r="J2275" s="74"/>
      <c r="K2275" s="75"/>
      <c r="L2275" s="75"/>
      <c r="M2275" s="76" t="str">
        <f>IF(LayTable[[#This Row],[Sport]]="","",LayTable[[#This Row],[LayInnsats]]*(LayTable[[#This Row],[LayOdds]]-1))</f>
        <v/>
      </c>
      <c r="N2275" s="77" t="str">
        <f>IF(LayTable[[#This Row],[Sport]]="","",1/((1/LayTable[[#This Row],[BookieOdds]])+(1/((1/((1+((LayTable[[#This Row],[LayOdds]]-1)*(1+LayTable[[#This Row],[C% Lay]])))-1))+1)))-1)</f>
        <v/>
      </c>
      <c r="Q2275" s="78" t="str">
        <f>IF(LayTable[[#This Row],[Sport]]="","",LayTable[[#This Row],[BookieInnsats]]+LayTable[[#This Row],[LayLiability]])</f>
        <v/>
      </c>
      <c r="R2275" s="79" t="str">
        <f>IFERROR(IF(LayTable[[#This Row],[C% Bookie]]="",LayTable[[#This Row],[BackWin-Commission]]-LayTable[[#This Row],[LayLiability]],(IF(LayTable[[#This Row],[BookieInnsats]]&lt;=LayTable[[#This Row],[LayInnsats]],((LayTable[[#This Row],[BookieOdds]]*LayTable[[#This Row],[BookieInnsats]]-LayTable[[#This Row],[BookieInnsats]])-LayTable[[#This Row],[LayLiability]]),((LayTable[[#This Row],[BookieOdds]]*LayTable[[#This Row],[BookieInnsats]]-LayTable[[#This Row],[BookieInnsats]])-LayTable[[#This Row],[LayLiability]])*(1-LayTable[[#This Row],[C% Lay]])))),"")</f>
        <v/>
      </c>
      <c r="S2275" s="79" t="str">
        <f>IF(LayTable[[#This Row],[Sport]]="","",IF(LayTable[[#This Row],[C% Bookie]]="",((LayTable[[#This Row],[LayWin-Commission]]))-LayTable[[#This Row],[BookieInnsats]],(IF(LayTable[[#This Row],[LayInnsats]]&lt;=LayTable[[#This Row],[BookieInnsats]],LayTable[[#This Row],[LayInnsats]]-LayTable[[#This Row],[BookieInnsats]],(LayTable[[#This Row],[LayInnsats]]-LayTable[[#This Row],[BookieInnsats]])*(1-LayTable[[#This Row],[C% Lay]])))))</f>
        <v/>
      </c>
      <c r="T2275" s="79" t="str">
        <f>IF(LayTable[[#This Row],[Utfall bookie]]="","",LayTable[[#This Row],[WBABack]]+LayTable[[#This Row],[WBALay]]-LayTable[[#This Row],[Total inns]])</f>
        <v/>
      </c>
      <c r="U2275" s="79" t="str">
        <f>IF(LayTable[[#This Row],[Utfall bookie]]="Win",LayTable[IfBack],IF(LayTable[[#This Row],[Utfall bookie]]="Win Half Stake",(LayTable[[#This Row],[BookieInnsats]])+(LayTable[[#This Row],[BackWin-Commission]]/2),IF(LayTable[[#This Row],[Utfall bookie]]="Lose Half Stake",LayTable[[#This Row],[BookieInnsats]]/2,IF(LayTable[[#This Row],[Utfall bookie]]="Lose",0,IF(LayTable[[#This Row],[Utfall bookie]]="Void",LayTable[BookieInnsats],"")))))</f>
        <v/>
      </c>
      <c r="V2275" s="79" t="str">
        <f>IF(LayTable[[#This Row],[Utfall lay]]="Win",LayTable[IfLay],IF(LayTable[[#This Row],[Utfall lay]]="Win Half Stake",(LayTable[[#This Row],[LayLiability]])+(LayTable[[#This Row],[LayWin-Commission]]/2),IF(LayTable[[#This Row],[Utfall lay]]="Lose Half Stake",LayTable[[#This Row],[LayLiability]]/2,IF(LayTable[[#This Row],[Utfall lay]]="Lose",0,IF(LayTable[[#This Row],[Utfall lay]]="Void",LayTable[LayLiability],"")))))</f>
        <v/>
      </c>
      <c r="W2275" s="80" t="str">
        <f>IFERROR(IF(LayTable[[#This Row],[Total inns]]="","",LayTable[[#This Row],[Rback]]/LayTable[[#This Row],[Total inns]]),"")</f>
        <v/>
      </c>
      <c r="X2275" s="80" t="str">
        <f>IFERROR(IF(LayTable[[#This Row],[Total inns]]="","",LayTable[[#This Row],[Rlay]]/LayTable[[#This Row],[Total inns]]),"")</f>
        <v/>
      </c>
      <c r="Y2275" s="80" t="str">
        <f>IFERROR(LayTable[[#This Row],[Faktisk res]]/LayTable[[#This Row],[Total inns]],"")</f>
        <v/>
      </c>
      <c r="Z2275" s="79">
        <f>(LayTable[[#This Row],[BookieInnsats]]*LayTable[[#This Row],[BookieOdds]]-LayTable[[#This Row],[BookieInnsats]])*(1-LayTable[[#This Row],[C% Bookie]])</f>
        <v>0</v>
      </c>
      <c r="AA2275" s="75">
        <f>LayTable[[#This Row],[LayInnsats]]*(1-LayTable[[#This Row],[C% Lay]])</f>
        <v>0</v>
      </c>
      <c r="AB2275" s="75" t="str">
        <f>IFERROR(IF(LayTable[[#This Row],[Sport]]="",AB2274,LayTable[[#This Row],[Faktisk res]]+AB2274),"")</f>
        <v/>
      </c>
      <c r="AC2275" s="75">
        <f>(LayTable[[#This Row],[BackWin-Commission]]+LayTable[[#This Row],[BookieInnsats]])</f>
        <v>0</v>
      </c>
      <c r="AD2275" s="75" t="e">
        <f>(LayTable[[#This Row],[LayWin-Commission]])+LayTable[[#This Row],[LayLiability]]</f>
        <v>#VALUE!</v>
      </c>
      <c r="AE2275" s="43"/>
      <c r="AF2275" s="181"/>
    </row>
  </sheetData>
  <phoneticPr fontId="68" type="noConversion"/>
  <conditionalFormatting sqref="O1071:P2275 O98:P136 O138:P1069">
    <cfRule type="containsBlanks" dxfId="253" priority="1187">
      <formula>LEN(TRIM(O98))=0</formula>
    </cfRule>
  </conditionalFormatting>
  <conditionalFormatting sqref="R1071:Z2275 R2:Z1069">
    <cfRule type="cellIs" dxfId="252" priority="1186" operator="lessThan">
      <formula>0</formula>
    </cfRule>
  </conditionalFormatting>
  <conditionalFormatting sqref="O1070:P1070">
    <cfRule type="containsBlanks" dxfId="251" priority="1184">
      <formula>LEN(TRIM(O1070))=0</formula>
    </cfRule>
  </conditionalFormatting>
  <conditionalFormatting sqref="R1070:Z1070">
    <cfRule type="cellIs" dxfId="250" priority="1183" operator="lessThan">
      <formula>0</formula>
    </cfRule>
  </conditionalFormatting>
  <conditionalFormatting sqref="O11:P12 O19:P19 O23:P97">
    <cfRule type="containsBlanks" dxfId="249" priority="203">
      <formula>LEN(TRIM(O11))=0</formula>
    </cfRule>
  </conditionalFormatting>
  <conditionalFormatting sqref="O2:P4">
    <cfRule type="containsBlanks" dxfId="248" priority="202">
      <formula>LEN(TRIM(O2))=0</formula>
    </cfRule>
  </conditionalFormatting>
  <conditionalFormatting sqref="O5:P5">
    <cfRule type="containsBlanks" dxfId="247" priority="201">
      <formula>LEN(TRIM(O5))=0</formula>
    </cfRule>
  </conditionalFormatting>
  <conditionalFormatting sqref="O6:P6">
    <cfRule type="containsBlanks" dxfId="246" priority="200">
      <formula>LEN(TRIM(O6))=0</formula>
    </cfRule>
  </conditionalFormatting>
  <conditionalFormatting sqref="O7:P10">
    <cfRule type="containsBlanks" dxfId="245" priority="199">
      <formula>LEN(TRIM(O7))=0</formula>
    </cfRule>
  </conditionalFormatting>
  <conditionalFormatting sqref="O13:P13">
    <cfRule type="containsBlanks" dxfId="244" priority="198">
      <formula>LEN(TRIM(O13))=0</formula>
    </cfRule>
  </conditionalFormatting>
  <conditionalFormatting sqref="O14:P18">
    <cfRule type="containsBlanks" dxfId="243" priority="197">
      <formula>LEN(TRIM(O14))=0</formula>
    </cfRule>
  </conditionalFormatting>
  <conditionalFormatting sqref="O20:P22">
    <cfRule type="containsBlanks" dxfId="242" priority="196">
      <formula>LEN(TRIM(O20))=0</formula>
    </cfRule>
  </conditionalFormatting>
  <conditionalFormatting sqref="G572:G591 G593:G608 G627 G703:G704">
    <cfRule type="expression" priority="124" stopIfTrue="1">
      <formula>G572=""</formula>
    </cfRule>
    <cfRule type="expression" priority="125" stopIfTrue="1">
      <formula>O572&lt;&gt;""</formula>
    </cfRule>
    <cfRule type="expression" dxfId="241" priority="126">
      <formula>B572&lt;$AF$2</formula>
    </cfRule>
  </conditionalFormatting>
  <conditionalFormatting sqref="G609:G611">
    <cfRule type="expression" priority="103" stopIfTrue="1">
      <formula>G609=""</formula>
    </cfRule>
    <cfRule type="expression" priority="104" stopIfTrue="1">
      <formula>O609&lt;&gt;""</formula>
    </cfRule>
    <cfRule type="expression" dxfId="240" priority="105">
      <formula>B609&lt;$AF$2</formula>
    </cfRule>
  </conditionalFormatting>
  <conditionalFormatting sqref="G613:G626">
    <cfRule type="expression" priority="100" stopIfTrue="1">
      <formula>G613=""</formula>
    </cfRule>
    <cfRule type="expression" priority="101" stopIfTrue="1">
      <formula>O613&lt;&gt;""</formula>
    </cfRule>
    <cfRule type="expression" dxfId="239" priority="102">
      <formula>B613&lt;$AF$2</formula>
    </cfRule>
  </conditionalFormatting>
  <conditionalFormatting sqref="G592">
    <cfRule type="expression" priority="96" stopIfTrue="1">
      <formula>G592=""</formula>
    </cfRule>
    <cfRule type="expression" priority="97" stopIfTrue="1">
      <formula>O592&lt;&gt;""</formula>
    </cfRule>
    <cfRule type="expression" dxfId="238" priority="98">
      <formula>B592&lt;$AF$2</formula>
    </cfRule>
  </conditionalFormatting>
  <conditionalFormatting sqref="G612">
    <cfRule type="expression" priority="93" stopIfTrue="1">
      <formula>G612=""</formula>
    </cfRule>
    <cfRule type="expression" priority="94" stopIfTrue="1">
      <formula>O612&lt;&gt;""</formula>
    </cfRule>
    <cfRule type="expression" dxfId="237" priority="95">
      <formula>B612&lt;$AF$2</formula>
    </cfRule>
  </conditionalFormatting>
  <conditionalFormatting sqref="G636">
    <cfRule type="expression" priority="62" stopIfTrue="1">
      <formula>G636=""</formula>
    </cfRule>
    <cfRule type="expression" priority="63" stopIfTrue="1">
      <formula>O636&lt;&gt;""</formula>
    </cfRule>
    <cfRule type="expression" dxfId="236" priority="64">
      <formula>B636&lt;$AF$2</formula>
    </cfRule>
  </conditionalFormatting>
  <conditionalFormatting sqref="G628:G633">
    <cfRule type="expression" priority="75" stopIfTrue="1">
      <formula>G628=""</formula>
    </cfRule>
    <cfRule type="expression" priority="76" stopIfTrue="1">
      <formula>O628&lt;&gt;""</formula>
    </cfRule>
    <cfRule type="expression" dxfId="235" priority="77">
      <formula>B628&lt;$AF$2</formula>
    </cfRule>
  </conditionalFormatting>
  <conditionalFormatting sqref="G637 G642 G647 G652 G657 G877 G882 G887 G892 G897 G902 G907 G912 G917 G922 G927 G932 G937 G942 G947 G952 G957 G962 G967 G972 G977 G982 G987 G992 G997 G1002 G1007 G1012 G1017 G1022 G1027 G1032 G1037 G1042 G1047 G1052 G1057 G1062 G1067">
    <cfRule type="expression" priority="72" stopIfTrue="1">
      <formula>G637=""</formula>
    </cfRule>
    <cfRule type="expression" priority="73" stopIfTrue="1">
      <formula>O637&lt;&gt;""</formula>
    </cfRule>
    <cfRule type="expression" dxfId="234" priority="74">
      <formula>B637&lt;$AF$2</formula>
    </cfRule>
  </conditionalFormatting>
  <conditionalFormatting sqref="G634:G635 G644:G646 G649:G651 G654:G656 G659:G660 G879:G881 G884:G886 G889:G891 G894:G896 G899:G901 G904:G906 G909:G911 G914:G916 G919:G921 G924:G926 G929:G931 G934:G936 G939:G941 G944:G946 G949:G951 G954:G956 G959:G961 G964:G966 G969:G971 G974:G976 G979:G981 G984:G986 G989:G991 G994:G996 G999:G1001 G1004:G1006 G1009:G1011 G1014:G1016 G1019:G1021 G1024:G1026 G1029:G1031 G1034:G1036 G1039:G1041 G1044:G1046 G1049:G1051 G1054:G1056 G1059:G1061 G1064:G1066">
    <cfRule type="expression" priority="69" stopIfTrue="1">
      <formula>G634=""</formula>
    </cfRule>
    <cfRule type="expression" priority="70" stopIfTrue="1">
      <formula>O634&lt;&gt;""</formula>
    </cfRule>
    <cfRule type="expression" dxfId="233" priority="71">
      <formula>B634&lt;$AF$2</formula>
    </cfRule>
  </conditionalFormatting>
  <conditionalFormatting sqref="G638 G643 G648 G653 G658 G878 G883 G888 G893 G898 G903 G908 G913 G918 G923 G928 G933 G938 G943 G948 G953 G958 G963 G968 G973 G978 G983 G988 G993 G998 G1003 G1008 G1013 G1018 G1023 G1028 G1033 G1038 G1043 G1048 G1053 G1058 G1063 G1068">
    <cfRule type="expression" priority="66" stopIfTrue="1">
      <formula>G638=""</formula>
    </cfRule>
    <cfRule type="expression" priority="67" stopIfTrue="1">
      <formula>O638&lt;&gt;""</formula>
    </cfRule>
    <cfRule type="expression" dxfId="232" priority="68">
      <formula>B638&lt;$AF$2</formula>
    </cfRule>
  </conditionalFormatting>
  <conditionalFormatting sqref="G639">
    <cfRule type="expression" priority="58" stopIfTrue="1">
      <formula>G639=""</formula>
    </cfRule>
    <cfRule type="expression" priority="59" stopIfTrue="1">
      <formula>O639&lt;&gt;""</formula>
    </cfRule>
    <cfRule type="expression" dxfId="231" priority="60">
      <formula>B639&lt;$AF$2</formula>
    </cfRule>
  </conditionalFormatting>
  <conditionalFormatting sqref="G640">
    <cfRule type="expression" priority="54" stopIfTrue="1">
      <formula>G640=""</formula>
    </cfRule>
    <cfRule type="expression" priority="55" stopIfTrue="1">
      <formula>O640&lt;&gt;""</formula>
    </cfRule>
    <cfRule type="expression" dxfId="230" priority="56">
      <formula>B640&lt;$AF$2</formula>
    </cfRule>
  </conditionalFormatting>
  <conditionalFormatting sqref="G641">
    <cfRule type="expression" priority="50" stopIfTrue="1">
      <formula>G641=""</formula>
    </cfRule>
    <cfRule type="expression" priority="51" stopIfTrue="1">
      <formula>O641&lt;&gt;""</formula>
    </cfRule>
    <cfRule type="expression" dxfId="229" priority="52">
      <formula>B641&lt;$AF$2</formula>
    </cfRule>
  </conditionalFormatting>
  <conditionalFormatting sqref="G661 G665 G669 G677 G681 G685 G689 G693 G697 G701 G705 G709 G713 G717 G721 G725 G729 G733 G737 G741 G745 G749 G753 G757 G761 G765 G769 G773 G777 G781 G785 G789 G793 G797 G801 G805 G809 G813 G817 G821 G825 G829 G833 G837 G841 G845 G849 G853 G857 G861 G865 G869 G873">
    <cfRule type="expression" priority="38" stopIfTrue="1">
      <formula>G661=""</formula>
    </cfRule>
    <cfRule type="expression" priority="39" stopIfTrue="1">
      <formula>O661&lt;&gt;""</formula>
    </cfRule>
    <cfRule type="expression" dxfId="228" priority="40">
      <formula>B661&lt;$AF$2</formula>
    </cfRule>
  </conditionalFormatting>
  <conditionalFormatting sqref="G663:G664 G671:G672 G675:G676 G679:G680 G683:G684 G687:G688 G692 G695:G696 G699:G700 G707:G708 G711:G712 G715:G716 G719:G720 G723:G724 G727:G728 G731:G732 G735:G736 G739:G740 G743:G744 G747:G748 G751:G752 G755:G756 G759:G760 G763:G764 G767:G768 G771:G772 G775:G776 G779:G780 G783:G784 G787:G788 G791:G792 G795:G796 G799:G800 G803:G804 G807:G808 G811:G812 G815:G816 G819:G820 G823:G824 G827:G828 G831:G832 G835:G836 G839:G840 G843:G844 G847:G848 G851:G852 G855:G856 G859:G860 G863:G864 G867:G868 G871:G872 G875:G876">
    <cfRule type="expression" priority="35" stopIfTrue="1">
      <formula>G663=""</formula>
    </cfRule>
    <cfRule type="expression" priority="36" stopIfTrue="1">
      <formula>O663&lt;&gt;""</formula>
    </cfRule>
    <cfRule type="expression" dxfId="227" priority="37">
      <formula>B663&lt;$AF$2</formula>
    </cfRule>
  </conditionalFormatting>
  <conditionalFormatting sqref="G662 G666 G670 G674 G678 G682 G686 G694 G698 G702 G706 G710 G714 G718 G722 G726 G730 G734 G738 G742 G746 G750 G754 G758 G762 G766 G770 G774 G778 G782 G786 G790 G794 G798 G802 G806 G810 G814 G818 G822 G826 G830 G834 G838 G842 G846 G850 G854 G858 G862 G866 G870 G874">
    <cfRule type="expression" priority="32" stopIfTrue="1">
      <formula>G662=""</formula>
    </cfRule>
    <cfRule type="expression" priority="33" stopIfTrue="1">
      <formula>O662&lt;&gt;""</formula>
    </cfRule>
    <cfRule type="expression" dxfId="226" priority="34">
      <formula>B662&lt;$AF$2</formula>
    </cfRule>
  </conditionalFormatting>
  <conditionalFormatting sqref="G667">
    <cfRule type="expression" priority="28" stopIfTrue="1">
      <formula>G667=""</formula>
    </cfRule>
    <cfRule type="expression" priority="29" stopIfTrue="1">
      <formula>O667&lt;&gt;""</formula>
    </cfRule>
    <cfRule type="expression" dxfId="225" priority="30">
      <formula>B667&lt;$AF$2</formula>
    </cfRule>
  </conditionalFormatting>
  <conditionalFormatting sqref="G673">
    <cfRule type="expression" priority="24" stopIfTrue="1">
      <formula>G673=""</formula>
    </cfRule>
    <cfRule type="expression" priority="25" stopIfTrue="1">
      <formula>O673&lt;&gt;""</formula>
    </cfRule>
    <cfRule type="expression" dxfId="224" priority="26">
      <formula>B673&lt;$AF$2</formula>
    </cfRule>
  </conditionalFormatting>
  <conditionalFormatting sqref="G690">
    <cfRule type="expression" priority="21" stopIfTrue="1">
      <formula>G690=""</formula>
    </cfRule>
    <cfRule type="expression" priority="22" stopIfTrue="1">
      <formula>O690&lt;&gt;""</formula>
    </cfRule>
    <cfRule type="expression" dxfId="223" priority="23">
      <formula>B690&lt;$AF$2</formula>
    </cfRule>
  </conditionalFormatting>
  <conditionalFormatting sqref="G691">
    <cfRule type="expression" priority="17" stopIfTrue="1">
      <formula>G691=""</formula>
    </cfRule>
    <cfRule type="expression" priority="18" stopIfTrue="1">
      <formula>O691&lt;&gt;""</formula>
    </cfRule>
    <cfRule type="expression" dxfId="222" priority="19">
      <formula>B691&lt;$AF$2</formula>
    </cfRule>
  </conditionalFormatting>
  <conditionalFormatting sqref="G2 G17 G32 G47 G62 G77 G92 G107 G122 G137 G152 G167 G182 G197 G212 G227 G242 G257 G272 G287 G302 G317 G332 G347 G362 G377 G392 G407 G422 G437 G452 G467 G6 G21 G36 G51 G66 G81 G96 G111 G126 G141 G156 G171 G186 G201 G216 G231 G246 G261 G276 G291 G306 G321 G336 G351 G366 G381 G396 G411 G426 G441 G456 G10 G25 G40 G55 G70 G85 G100 G115 G130 G145 G160 G175 G190 G205 G220 G235 G250 G265 G280 G295 G310 G325 G340 G355 G370 G385 G400 G415 G430 G445 G460 G14 G29 G44 G59 G74 G89 G104 G119 G134 G149 G164 G179 G194 G209 G224 G239 G254 G269 G284 G299 G314 G329 G344 G359 G374 G389 G404 G419 G434 G449 G464">
    <cfRule type="expression" priority="13" stopIfTrue="1">
      <formula>G2=""</formula>
    </cfRule>
    <cfRule type="expression" priority="14" stopIfTrue="1">
      <formula>O2&lt;&gt;""</formula>
    </cfRule>
    <cfRule type="expression" dxfId="4" priority="15">
      <formula>B2&lt;$AF$2</formula>
    </cfRule>
  </conditionalFormatting>
  <conditionalFormatting sqref="G4:G5 G19:G20 G34:G35 G49:G50 G64:G65 G79:G80 G94:G95 G109:G110 G124:G125 G139:G140 G154:G155 G169:G170 G184:G185 G199:G200 G214:G215 G229:G230 G244:G245 G259:G260 G274:G275 G289:G290 G304:G305 G319:G320 G334:G335 G349:G350 G364:G365 G379:G380 G394:G395 G409:G410 G424:G425 G439:G440 G454:G455 G469 G9 G24 G39 G54 G69 G84 G99 G114 G129 G144 G159 G174 G189 G204 G219 G234 G249 G264 G279 G294 G309 G324 G339 G354 G369 G384 G399 G414 G429 G444 G459 G12:G13 G27:G28 G42:G43 G57:G58 G72:G73 G87:G88 G102:G103 G117:G118 G132:G133 G147:G148 G162:G163 G177:G178 G192:G193 G207:G208 G222:G223 G237:G238 G252:G253 G267:G268 G282:G283 G297:G298 G312:G313 G327:G328 G342:G343 G357:G358 G372:G373 G387:G388 G402:G403 G417:G418 G432:G433 G447:G448 G462:G463 G16 G31 G46 G61 G76 G91 G106 G121 G136 G151 G166 G181 G196 G211 G226 G241 G256 G271 G286 G301 G316 G331 G346 G361 G376 G391 G406 G421 G436 G451 G466">
    <cfRule type="expression" priority="10" stopIfTrue="1">
      <formula>G4=""</formula>
    </cfRule>
    <cfRule type="expression" priority="11" stopIfTrue="1">
      <formula>O4&lt;&gt;""</formula>
    </cfRule>
    <cfRule type="expression" dxfId="3" priority="12">
      <formula>B4&lt;$AF$2</formula>
    </cfRule>
  </conditionalFormatting>
  <conditionalFormatting sqref="G3 G18 G33 G48 G63 G78 G93 G108 G123 G138 G153 G168 G183 G198 G213 G228 G243 G258 G273 G288 G303 G318 G333 G348 G363 G378 G393 G408 G423 G438 G453 G468 G11 G26 G41 G56 G71 G86 G101 G116 G131 G146 G161 G176 G191 G206 G221 G236 G251 G266 G281 G296 G311 G326 G341 G356 G371 G386 G401 G416 G431 G446 G461 G15 G30 G45 G60 G75 G90 G105 G120 G135 G150 G165 G180 G195 G210 G225 G240 G255 G270 G285 G300 G315 G330 G345 G360 G375 G390 G405 G420 G435 G450 G465">
    <cfRule type="expression" priority="7" stopIfTrue="1">
      <formula>G3=""</formula>
    </cfRule>
    <cfRule type="expression" priority="8" stopIfTrue="1">
      <formula>O3&lt;&gt;""</formula>
    </cfRule>
    <cfRule type="expression" dxfId="2" priority="9">
      <formula>B3&lt;$AF$2</formula>
    </cfRule>
  </conditionalFormatting>
  <conditionalFormatting sqref="G7 G22 G37 G52 G67 G82 G97 G112 G127 G142 G157 G172 G187 G202 G217 G232 G247 G262 G277 G292 G307 G322 G337 G352 G367 G382 G397 G412 G427 G442 G457">
    <cfRule type="expression" priority="4" stopIfTrue="1">
      <formula>G7=""</formula>
    </cfRule>
    <cfRule type="expression" priority="5" stopIfTrue="1">
      <formula>O7&lt;&gt;""</formula>
    </cfRule>
    <cfRule type="expression" dxfId="1" priority="6">
      <formula>B7&lt;$AF$2</formula>
    </cfRule>
  </conditionalFormatting>
  <conditionalFormatting sqref="G8 G23 G38 G53 G68 G83 G98 G113 G128 G143 G158 G173 G188 G203 G218 G233 G248 G263 G278 G293 G308 G323 G338 G353 G368 G383 G398 G413 G428 G443 G458">
    <cfRule type="expression" priority="1" stopIfTrue="1">
      <formula>G8=""</formula>
    </cfRule>
    <cfRule type="expression" priority="2" stopIfTrue="1">
      <formula>O8&lt;&gt;""</formula>
    </cfRule>
    <cfRule type="expression" dxfId="0" priority="3">
      <formula>B8&lt;$AF$2</formula>
    </cfRule>
  </conditionalFormatting>
  <dataValidations count="3">
    <dataValidation type="list" allowBlank="1" showInputMessage="1" showErrorMessage="1" sqref="H169 B2:B99 B101:B136 B138:B151 B153:B263 B265:B291 B293:B296 B298:B301 B306 B303:B304 B309 B312 B315 B318 B321 B324 B327 B345 B342:B343 B333:B340 B350 B347:B348 B352:B353 B359 B356:B357 B361:B362 B364 B370 B376 B382 B388 B394 B400 B406 B412 B418 B424 B430 B436 B442 B448 B454 B460 B466:B467 B472 B478 B484 B490 B496 B502 B508 B514 B520 B526 B532" xr:uid="{00000000-0002-0000-0100-000001000000}">
      <formula1>ListSports</formula1>
    </dataValidation>
    <dataValidation type="list" allowBlank="1" showInputMessage="1" showErrorMessage="1" sqref="K169 C126 E153:E178 E180:E181 C2:C87 C89:C99 E2:E99 C101:C124 E101:E136 E138:E151" xr:uid="{00000000-0002-0000-0100-000002000000}">
      <formula1>ListBookies</formula1>
    </dataValidation>
    <dataValidation type="list" allowBlank="1" showInputMessage="1" showErrorMessage="1" sqref="O2:P136 O138:P2275" xr:uid="{00000000-0002-0000-0100-000000000000}">
      <formula1>"Win,Win Half Stake,Lose Half Stake,Lose,Void"</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011" id="{2E4E1F25-885D-4C24-A22F-3A2C00D0D452}">
            <xm:f>IF(SUMPRODUCT(-- (C99 =BookieNavn!$I$2:$I$279)) &gt; 0, 0, 1)</xm:f>
            <x14:dxf>
              <fill>
                <patternFill>
                  <bgColor theme="1"/>
                </patternFill>
              </fill>
            </x14:dxf>
          </x14:cfRule>
          <xm:sqref>C99 C138:C151 C101:C136 C153:C263 C265:C291 C500:C549 C293:C318 C320:C435 C437:C498 C551:C560 C562:C591 C593:C626 C629:C635 C637:C638 C642:C666 C669:C672 C674:C689 C692:C2275</xm:sqref>
        </x14:conditionalFormatting>
        <x14:conditionalFormatting xmlns:xm="http://schemas.microsoft.com/office/excel/2006/main">
          <x14:cfRule type="expression" priority="157" id="{23FF6815-39D1-2147-A3F9-EBE6950B8F0F}">
            <xm:f>IF(SUMPRODUCT(-- (C550 =BookieNavn!$I$2:$I$279)) &gt; 0, 0, 1)</xm:f>
            <x14:dxf>
              <fill>
                <patternFill>
                  <bgColor theme="1"/>
                </patternFill>
              </fill>
            </x14:dxf>
          </x14:cfRule>
          <xm:sqref>C550</xm:sqref>
        </x14:conditionalFormatting>
        <x14:conditionalFormatting xmlns:xm="http://schemas.microsoft.com/office/excel/2006/main">
          <x14:cfRule type="expression" priority="156" id="{853FDBDC-6E5A-5B46-8C8F-6BAEAB3D5A72}">
            <xm:f>IF(SUMPRODUCT(-- (C561 =BookieNavn!$I$2:$I$279)) &gt; 0, 0, 1)</xm:f>
            <x14:dxf>
              <fill>
                <patternFill>
                  <bgColor theme="1"/>
                </patternFill>
              </fill>
            </x14:dxf>
          </x14:cfRule>
          <xm:sqref>C561</xm:sqref>
        </x14:conditionalFormatting>
        <x14:conditionalFormatting xmlns:xm="http://schemas.microsoft.com/office/excel/2006/main">
          <x14:cfRule type="expression" priority="99" id="{2C4D8A9E-F59D-CD48-B8FA-039163456C69}">
            <xm:f>IF(SUMPRODUCT(-- (C592 =BookieNavn!$I$2:$I$279)) &gt; 0, 0, 1)</xm:f>
            <x14:dxf>
              <fill>
                <patternFill>
                  <bgColor theme="1"/>
                </patternFill>
              </fill>
            </x14:dxf>
          </x14:cfRule>
          <xm:sqref>C592</xm:sqref>
        </x14:conditionalFormatting>
        <x14:conditionalFormatting xmlns:xm="http://schemas.microsoft.com/office/excel/2006/main">
          <x14:cfRule type="expression" priority="92" id="{036EA100-0411-7E45-9867-5C8807567B59}">
            <xm:f>IF(SUMPRODUCT(-- (C627 =BookieNavn!$I$2:$I$279)) &gt; 0, 0, 1)</xm:f>
            <x14:dxf>
              <fill>
                <patternFill>
                  <bgColor theme="1"/>
                </patternFill>
              </fill>
            </x14:dxf>
          </x14:cfRule>
          <xm:sqref>C627</xm:sqref>
        </x14:conditionalFormatting>
        <x14:conditionalFormatting xmlns:xm="http://schemas.microsoft.com/office/excel/2006/main">
          <x14:cfRule type="expression" priority="88" id="{17D64656-46D8-B44E-B5EF-94473448534A}">
            <xm:f>IF(SUMPRODUCT(-- (C629 =BookieNavn!$I$2:$I$279)) &gt; 0, 0, 1)</xm:f>
            <x14:dxf>
              <fill>
                <patternFill>
                  <bgColor theme="1"/>
                </patternFill>
              </fill>
            </x14:dxf>
          </x14:cfRule>
          <xm:sqref>C629</xm:sqref>
        </x14:conditionalFormatting>
        <x14:conditionalFormatting xmlns:xm="http://schemas.microsoft.com/office/excel/2006/main">
          <x14:cfRule type="expression" priority="84" id="{656B0AB7-5EBC-EA49-B573-F9351BA67E15}">
            <xm:f>IF(SUMPRODUCT(-- (C628 =BookieNavn!$I$2:$I$279)) &gt; 0, 0, 1)</xm:f>
            <x14:dxf>
              <fill>
                <patternFill>
                  <bgColor theme="1"/>
                </patternFill>
              </fill>
            </x14:dxf>
          </x14:cfRule>
          <xm:sqref>C628</xm:sqref>
        </x14:conditionalFormatting>
        <x14:conditionalFormatting xmlns:xm="http://schemas.microsoft.com/office/excel/2006/main">
          <x14:cfRule type="expression" priority="65" id="{3AFE58DB-277C-CA45-9E8A-2370445029FC}">
            <xm:f>IF(SUMPRODUCT(-- (C636 =BookieNavn!$I$2:$I$279)) &gt; 0, 0, 1)</xm:f>
            <x14:dxf>
              <fill>
                <patternFill>
                  <bgColor theme="1"/>
                </patternFill>
              </fill>
            </x14:dxf>
          </x14:cfRule>
          <xm:sqref>C636</xm:sqref>
        </x14:conditionalFormatting>
        <x14:conditionalFormatting xmlns:xm="http://schemas.microsoft.com/office/excel/2006/main">
          <x14:cfRule type="expression" priority="61" id="{13463BC0-1B94-0E41-84A8-5A7E16326D1B}">
            <xm:f>IF(SUMPRODUCT(-- (C639 =BookieNavn!$I$2:$I$279)) &gt; 0, 0, 1)</xm:f>
            <x14:dxf>
              <fill>
                <patternFill>
                  <bgColor theme="1"/>
                </patternFill>
              </fill>
            </x14:dxf>
          </x14:cfRule>
          <xm:sqref>C639</xm:sqref>
        </x14:conditionalFormatting>
        <x14:conditionalFormatting xmlns:xm="http://schemas.microsoft.com/office/excel/2006/main">
          <x14:cfRule type="expression" priority="57" id="{A4DC3DE9-D896-4346-836D-8F52FD5F3719}">
            <xm:f>IF(SUMPRODUCT(-- (C640 =BookieNavn!$I$2:$I$279)) &gt; 0, 0, 1)</xm:f>
            <x14:dxf>
              <fill>
                <patternFill>
                  <bgColor theme="1"/>
                </patternFill>
              </fill>
            </x14:dxf>
          </x14:cfRule>
          <xm:sqref>C640</xm:sqref>
        </x14:conditionalFormatting>
        <x14:conditionalFormatting xmlns:xm="http://schemas.microsoft.com/office/excel/2006/main">
          <x14:cfRule type="expression" priority="53" id="{349586B0-6AA2-F74E-AFA2-95A8E23ECB3B}">
            <xm:f>IF(SUMPRODUCT(-- (C641 =BookieNavn!$I$2:$I$279)) &gt; 0, 0, 1)</xm:f>
            <x14:dxf>
              <fill>
                <patternFill>
                  <bgColor theme="1"/>
                </patternFill>
              </fill>
            </x14:dxf>
          </x14:cfRule>
          <xm:sqref>C641</xm:sqref>
        </x14:conditionalFormatting>
        <x14:conditionalFormatting xmlns:xm="http://schemas.microsoft.com/office/excel/2006/main">
          <x14:cfRule type="expression" priority="31" id="{E6AFCDFD-481F-E240-B89F-36EEC815EEA6}">
            <xm:f>IF(SUMPRODUCT(-- (C667 =BookieNavn!$I$2:$I$279)) &gt; 0, 0, 1)</xm:f>
            <x14:dxf>
              <fill>
                <patternFill>
                  <bgColor theme="1"/>
                </patternFill>
              </fill>
            </x14:dxf>
          </x14:cfRule>
          <xm:sqref>C667</xm:sqref>
        </x14:conditionalFormatting>
        <x14:conditionalFormatting xmlns:xm="http://schemas.microsoft.com/office/excel/2006/main">
          <x14:cfRule type="expression" priority="27" id="{76504B4E-6F7F-0148-BB44-6A472B2D249F}">
            <xm:f>IF(SUMPRODUCT(-- (C673 =BookieNavn!$I$2:$I$279)) &gt; 0, 0, 1)</xm:f>
            <x14:dxf>
              <fill>
                <patternFill>
                  <bgColor theme="1"/>
                </patternFill>
              </fill>
            </x14:dxf>
          </x14:cfRule>
          <xm:sqref>C673</xm:sqref>
        </x14:conditionalFormatting>
        <x14:conditionalFormatting xmlns:xm="http://schemas.microsoft.com/office/excel/2006/main">
          <x14:cfRule type="expression" priority="20" id="{3F7E7FED-2280-1044-9A40-29F87DA08CD7}">
            <xm:f>IF(SUMPRODUCT(-- (C690 =BookieNavn!$I$2:$I$279)) &gt; 0, 0, 1)</xm:f>
            <x14:dxf>
              <fill>
                <patternFill>
                  <bgColor theme="1"/>
                </patternFill>
              </fill>
            </x14:dxf>
          </x14:cfRule>
          <xm:sqref>C690</xm:sqref>
        </x14:conditionalFormatting>
        <x14:conditionalFormatting xmlns:xm="http://schemas.microsoft.com/office/excel/2006/main">
          <x14:cfRule type="expression" priority="16" id="{ACF0695F-167E-7541-9358-43B327723DB0}">
            <xm:f>IF(SUMPRODUCT(-- (C691 =BookieNavn!$I$2:$I$279)) &gt; 0, 0, 1)</xm:f>
            <x14:dxf>
              <fill>
                <patternFill>
                  <bgColor theme="1"/>
                </patternFill>
              </fill>
            </x14:dxf>
          </x14:cfRule>
          <xm:sqref>C691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11"/>
  <sheetViews>
    <sheetView showGridLines="0" topLeftCell="G1" zoomScale="130" zoomScaleNormal="130" workbookViewId="0">
      <selection activeCell="E3" sqref="E3"/>
    </sheetView>
  </sheetViews>
  <sheetFormatPr baseColWidth="10" defaultColWidth="8.83203125" defaultRowHeight="15"/>
  <cols>
    <col min="1" max="1" width="19.33203125" bestFit="1" customWidth="1"/>
    <col min="2" max="2" width="13.5" bestFit="1" customWidth="1"/>
    <col min="3" max="3" width="9.5" style="5" customWidth="1"/>
    <col min="4" max="4" width="9.5" style="64" customWidth="1"/>
    <col min="5" max="5" width="16.1640625" style="64" customWidth="1"/>
    <col min="6" max="6" width="15.1640625" customWidth="1"/>
    <col min="7" max="7" width="24.83203125" bestFit="1" customWidth="1"/>
    <col min="8" max="8" width="14.5" customWidth="1"/>
    <col min="9" max="9" width="10.1640625" customWidth="1"/>
    <col min="10" max="10" width="12.33203125" customWidth="1"/>
    <col min="11" max="11" width="18" customWidth="1"/>
    <col min="12" max="12" width="19" customWidth="1"/>
    <col min="13" max="13" width="8" style="249" customWidth="1"/>
    <col min="14" max="14" width="20.83203125" customWidth="1"/>
    <col min="15" max="15" width="19.33203125" customWidth="1"/>
    <col min="16" max="16" width="19.33203125" style="174" customWidth="1"/>
    <col min="17" max="17" width="23.83203125" customWidth="1"/>
    <col min="18" max="18" width="20.1640625" customWidth="1"/>
    <col min="19" max="19" width="23" customWidth="1"/>
  </cols>
  <sheetData>
    <row r="1" spans="1:20">
      <c r="A1" t="s">
        <v>15</v>
      </c>
      <c r="B1" t="s">
        <v>123</v>
      </c>
      <c r="C1" s="7" t="s">
        <v>29</v>
      </c>
      <c r="D1" s="63" t="s">
        <v>124</v>
      </c>
      <c r="E1" s="63" t="s">
        <v>328</v>
      </c>
      <c r="F1" s="189" t="s">
        <v>327</v>
      </c>
      <c r="G1" t="s">
        <v>23</v>
      </c>
      <c r="H1" t="s">
        <v>116</v>
      </c>
      <c r="I1" s="6" t="s">
        <v>29</v>
      </c>
      <c r="J1" t="s">
        <v>336</v>
      </c>
      <c r="K1" s="174" t="s">
        <v>378</v>
      </c>
      <c r="L1" s="174" t="s">
        <v>123</v>
      </c>
      <c r="M1" s="249" t="s">
        <v>379</v>
      </c>
      <c r="N1" s="174" t="s">
        <v>384</v>
      </c>
      <c r="O1" s="174" t="s">
        <v>368</v>
      </c>
      <c r="P1" s="174" t="s">
        <v>402</v>
      </c>
      <c r="Q1" s="174" t="s">
        <v>385</v>
      </c>
    </row>
    <row r="2" spans="1:20" ht="19">
      <c r="A2" s="81" t="str">
        <f>IFERROR(VLOOKUP(ROW()-1,BookieName[],3,FALSE),"")</f>
        <v>Smarkets</v>
      </c>
      <c r="B2" s="86">
        <f>VLOOKUP(ROW()-1,Data[],3,FALSE)+BookBalance[[#This Row],[Saldo 31.12.19]]</f>
        <v>8183.6299999999992</v>
      </c>
      <c r="C2" s="5">
        <f>IFERROR(IF(BookBalance[[#This Row],[Saldo]]="","",BookBalance[[#This Row],[Saldo]]/H$7),"")</f>
        <v>9.4388059881763534E-2</v>
      </c>
      <c r="D2" s="3">
        <f>VLOOKUP(ROW()-1,Data[],16,FALSE)</f>
        <v>0</v>
      </c>
      <c r="E2" s="174">
        <v>6173.86</v>
      </c>
      <c r="F2" s="190">
        <v>43913</v>
      </c>
      <c r="G2" t="s">
        <v>125</v>
      </c>
      <c r="H2" s="254">
        <f>SUM(Penger!N:N)-SUMIFS(Penger!N:N,Penger!L:L,"Revo")-SUMIFS(Penger!N:N,Penger!L:L,"Revolut")</f>
        <v>4200</v>
      </c>
      <c r="I2" s="4">
        <f>IFERROR(TotalBalance[[#This Row],[Sum]]/$H$7,"")</f>
        <v>4.8441810236216312E-2</v>
      </c>
      <c r="J2" t="s">
        <v>404</v>
      </c>
      <c r="K2" s="260" t="s">
        <v>332</v>
      </c>
      <c r="L2" s="261">
        <f>-1*SUMIFS(DWbooks[Sum],DWbooks[E-Wallet],TotalBalance[[#This Row],[E-Wallet]])+SUMIFS(Penger!N:N,Penger!M:M,TotalBalance[[#This Row],[E-Wallet]])-SUMIFS(Penger!N:N,Penger!L:L,TotalBalance[[#This Row],[E-Wallet]])+TotalBalance[[#This Row],[Beholdning 05.03.20]]+TotalBalance[[#This Row],[Transfer loss]]</f>
        <v>3407.35</v>
      </c>
      <c r="M2" s="249">
        <f>TotalBalance[[#This Row],[Saldo]]/L14</f>
        <v>0.21692531201694989</v>
      </c>
      <c r="N2" s="174">
        <v>3854</v>
      </c>
      <c r="O2" s="174" t="s">
        <v>490</v>
      </c>
      <c r="P2" s="174">
        <f>-(117.1+10+107.2+106.82+105.53)</f>
        <v>-446.65</v>
      </c>
      <c r="Q2" s="1">
        <v>0</v>
      </c>
      <c r="T2" s="193"/>
    </row>
    <row r="3" spans="1:20" ht="16">
      <c r="A3" t="str">
        <f>IFERROR(VLOOKUP(ROW()-1,BookieName[],3,FALSE),"")</f>
        <v>888Sports</v>
      </c>
      <c r="B3" s="3">
        <f>VLOOKUP(ROW()-1,Data[],3,FALSE)+BookBalance[[#This Row],[Saldo 31.12.19]]</f>
        <v>0</v>
      </c>
      <c r="C3" s="5">
        <f>IFERROR(IF(BookBalance[[#This Row],[Saldo]]="","",BookBalance[[#This Row],[Saldo]]/H$7),"")</f>
        <v>0</v>
      </c>
      <c r="D3" s="3">
        <f>VLOOKUP(ROW()-1,Data[],16,FALSE)</f>
        <v>0</v>
      </c>
      <c r="E3" s="191"/>
      <c r="F3" s="190"/>
      <c r="G3" t="s">
        <v>126</v>
      </c>
      <c r="H3" s="254">
        <f>SUM(BookBalance[In-play spill])</f>
        <v>0</v>
      </c>
      <c r="I3" s="4">
        <f>IFERROR(TotalBalance[[#This Row],[Sum]]/$H$7,"")</f>
        <v>0</v>
      </c>
      <c r="K3" s="262" t="s">
        <v>381</v>
      </c>
      <c r="L3" s="263">
        <f>-1*SUMIFS(DWbooks[Sum],DWbooks[E-Wallet],TotalBalance[[#This Row],[E-Wallet]])+SUMIFS(Penger!N:N,Penger!M:M,TotalBalance[[#This Row],[E-Wallet]])-SUMIFS(Penger!N:N,Penger!L:L,TotalBalance[[#This Row],[E-Wallet]])+TotalBalance[[#This Row],[Beholdning 05.03.20]]+TotalBalance[[#This Row],[Transfer loss]]</f>
        <v>9184.98</v>
      </c>
      <c r="M3" s="249">
        <f>TotalBalance[[#This Row],[Saldo]]/L14</f>
        <v>0.58475197803848866</v>
      </c>
      <c r="N3" s="174">
        <f>6265.25+3000</f>
        <v>9265.25</v>
      </c>
      <c r="O3" s="174"/>
      <c r="P3" s="174">
        <f>-80.27</f>
        <v>-80.27</v>
      </c>
      <c r="Q3" s="63">
        <v>16718.259999999998</v>
      </c>
      <c r="T3" s="194"/>
    </row>
    <row r="4" spans="1:20" ht="16">
      <c r="A4" t="str">
        <f>IFERROR(VLOOKUP(ROW()-1,BookieName[],3,FALSE),"")</f>
        <v>Bet21</v>
      </c>
      <c r="B4" s="3">
        <f>VLOOKUP(ROW()-1,Data[],3,FALSE)+BookBalance[[#This Row],[Saldo 31.12.19]]</f>
        <v>0</v>
      </c>
      <c r="C4" s="5">
        <f>IFERROR(IF(BookBalance[[#This Row],[Saldo]]="","",BookBalance[[#This Row],[Saldo]]/H$7),"")</f>
        <v>0</v>
      </c>
      <c r="D4" s="3">
        <f>VLOOKUP(ROW()-1,Data[],16,FALSE)</f>
        <v>0</v>
      </c>
      <c r="E4" s="3"/>
      <c r="F4" s="174"/>
      <c r="G4" t="s">
        <v>127</v>
      </c>
      <c r="H4" s="254">
        <f>SUM(DWbonus[Sum])</f>
        <v>693.5</v>
      </c>
      <c r="I4" s="4">
        <f>IFERROR(TotalBalance[[#This Row],[Sum]]/$H$7,"")</f>
        <v>7.9986655711466684E-3</v>
      </c>
      <c r="K4" s="262" t="s">
        <v>333</v>
      </c>
      <c r="L4" s="263">
        <f>-1*SUMIFS(DWbooks[Sum],DWbooks[E-Wallet],TotalBalance[[#This Row],[E-Wallet]])+SUMIFS(Penger!N:N,Penger!M:M,TotalBalance[[#This Row],[E-Wallet]])-SUMIFS(Penger!N:N,Penger!L:L,TotalBalance[[#This Row],[E-Wallet]])+TotalBalance[[#This Row],[Beholdning 05.03.20]]+TotalBalance[[#This Row],[Transfer loss]]</f>
        <v>713</v>
      </c>
      <c r="M4" s="249">
        <f>TotalBalance[[#This Row],[Saldo]]/L14</f>
        <v>4.5392386302576866E-2</v>
      </c>
      <c r="N4" s="174">
        <v>713</v>
      </c>
      <c r="O4" s="174" t="s">
        <v>490</v>
      </c>
      <c r="Q4" s="63">
        <v>160</v>
      </c>
      <c r="T4" s="194"/>
    </row>
    <row r="5" spans="1:20" ht="16">
      <c r="A5" t="str">
        <f>IFERROR(VLOOKUP(ROW()-1,BookieName[],3,FALSE),"")</f>
        <v>Bet365</v>
      </c>
      <c r="B5" s="3">
        <f>VLOOKUP(ROW()-1,Data[],3,FALSE)+BookBalance[[#This Row],[Saldo 31.12.19]]</f>
        <v>600</v>
      </c>
      <c r="C5" s="5">
        <f>IFERROR(IF(BookBalance[[#This Row],[Saldo]]="","",BookBalance[[#This Row],[Saldo]]/H$7),"")</f>
        <v>6.9202586051737586E-3</v>
      </c>
      <c r="D5" s="3">
        <f>VLOOKUP(ROW()-1,Data[],16,FALSE)</f>
        <v>0</v>
      </c>
      <c r="E5" s="174">
        <v>600</v>
      </c>
      <c r="F5" s="190">
        <v>43913</v>
      </c>
      <c r="G5" t="s">
        <v>316</v>
      </c>
      <c r="H5" s="254">
        <f>SUMIFS(LayTable[Faktisk res],LayTable[Kommentarer],"Freebet")</f>
        <v>159.1422</v>
      </c>
      <c r="I5" s="4">
        <f>IFERROR(TotalBalance[[#This Row],[Sum]]/$H$7,"")</f>
        <v>1.8355086316604722E-3</v>
      </c>
      <c r="K5" s="264" t="s">
        <v>345</v>
      </c>
      <c r="L5" s="263">
        <f>-1*SUMIFS(DWbooks[Sum],DWbooks[E-Wallet],TotalBalance[[#This Row],[E-Wallet]])+SUMIFS(Penger!N:N,Penger!M:M,TotalBalance[[#This Row],[E-Wallet]])-SUMIFS(Penger!N:N,Penger!L:L,TotalBalance[[#This Row],[E-Wallet]])+TotalBalance[[#This Row],[Beholdning 05.03.20]]+TotalBalance[[#This Row],[Transfer loss]]</f>
        <v>2424.33</v>
      </c>
      <c r="M5" s="249">
        <f>TotalBalance[[#This Row],[Saldo]]/L14</f>
        <v>0.15434238974042941</v>
      </c>
      <c r="N5" s="174">
        <v>2924.33</v>
      </c>
      <c r="O5" s="174" t="s">
        <v>490</v>
      </c>
      <c r="P5" s="174">
        <f>-500</f>
        <v>-500</v>
      </c>
      <c r="Q5" s="63">
        <v>2821.95</v>
      </c>
      <c r="T5" s="194"/>
    </row>
    <row r="6" spans="1:20" ht="16">
      <c r="A6" t="str">
        <f>IFERROR(VLOOKUP(ROW()-1,BookieName[],3,FALSE),"")</f>
        <v>Bet777</v>
      </c>
      <c r="B6" s="3">
        <f>VLOOKUP(ROW()-1,Data[],3,FALSE)+BookBalance[[#This Row],[Saldo 31.12.19]]</f>
        <v>0</v>
      </c>
      <c r="C6" s="5">
        <f>IFERROR(IF(BookBalance[[#This Row],[Saldo]]="","",BookBalance[[#This Row],[Saldo]]/H$7),"")</f>
        <v>0</v>
      </c>
      <c r="D6" s="3">
        <f>VLOOKUP(ROW()-1,Data[],16,FALSE)</f>
        <v>0</v>
      </c>
      <c r="E6" s="191"/>
      <c r="F6" s="190"/>
      <c r="G6" t="s">
        <v>98</v>
      </c>
      <c r="H6" s="254">
        <f>SUM(LayTable[Faktisk res],BetTable[AR])-H5</f>
        <v>9.7699999999999818</v>
      </c>
      <c r="I6" s="4">
        <f>IFERROR(TotalBalance[[#This Row],[Sum]]/$H$7,"")</f>
        <v>1.1268487762091249E-4</v>
      </c>
      <c r="K6" s="262" t="s">
        <v>382</v>
      </c>
      <c r="L6" s="263">
        <f>-1*SUMIFS(DWbooks[Sum],DWbooks[E-Wallet],TotalBalance[[#This Row],[E-Wallet]])+SUMIFS(Penger!N:N,Penger!M:M,TotalBalance[[#This Row],[E-Wallet]])-SUMIFS(Penger!N:N,Penger!L:L,TotalBalance[[#This Row],[E-Wallet]])+TotalBalance[[#This Row],[Beholdning 05.03.20]]+TotalBalance[[#This Row],[Transfer loss]]</f>
        <v>37.069999999999993</v>
      </c>
      <c r="M6" s="249">
        <f>TotalBalance[[#This Row],[Saldo]]/L14</f>
        <v>2.3600221041185469E-3</v>
      </c>
      <c r="N6" s="174">
        <f>6.39*13</f>
        <v>83.07</v>
      </c>
      <c r="O6" s="174" t="s">
        <v>490</v>
      </c>
      <c r="P6" s="1">
        <v>-46</v>
      </c>
      <c r="Q6" s="63">
        <f>11.625*8</f>
        <v>93</v>
      </c>
      <c r="T6" s="194"/>
    </row>
    <row r="7" spans="1:20" ht="19">
      <c r="A7" t="str">
        <f>IFERROR(VLOOKUP(ROW()-1,BookieName[],3,FALSE),"")</f>
        <v>Bet90</v>
      </c>
      <c r="B7" s="3">
        <f>VLOOKUP(ROW()-1,Data[],3,FALSE)+BookBalance[[#This Row],[Saldo 31.12.19]]</f>
        <v>0</v>
      </c>
      <c r="C7" s="5">
        <f>IFERROR(IF(BookBalance[[#This Row],[Saldo]]="","",BookBalance[[#This Row],[Saldo]]/H$7),"")</f>
        <v>0</v>
      </c>
      <c r="D7" s="3">
        <f>VLOOKUP(ROW()-1,Data[],16,FALSE)</f>
        <v>0</v>
      </c>
      <c r="E7" s="3"/>
      <c r="F7" s="174"/>
      <c r="G7" s="70" t="s">
        <v>128</v>
      </c>
      <c r="H7" s="255">
        <f>H11+H10+H3+H9</f>
        <v>86701.962200000009</v>
      </c>
      <c r="I7" s="4">
        <f>IFERROR(TotalBalance[[#This Row],[Sum]]/$H$7,"")</f>
        <v>1</v>
      </c>
      <c r="K7" s="212" t="s">
        <v>405</v>
      </c>
      <c r="L7" s="263">
        <f>-1*SUMIFS(DWbooks[Sum],DWbooks[E-Wallet],TotalBalance[[#This Row],[E-Wallet]])+SUMIFS(Penger!N:N,Penger!M:M,TotalBalance[[#This Row],[E-Wallet]])-SUMIFS(Penger!N:N,Penger!L:L,TotalBalance[[#This Row],[E-Wallet]])+TotalBalance[[#This Row],[Beholdning 05.03.20]]+TotalBalance[[#This Row],[Transfer loss]]</f>
        <v>0</v>
      </c>
      <c r="M7" s="249">
        <f>TotalBalance[[#This Row],[Saldo]]/L14</f>
        <v>0</v>
      </c>
      <c r="N7" s="174">
        <v>0</v>
      </c>
      <c r="O7" s="174" t="s">
        <v>490</v>
      </c>
      <c r="Q7" s="1">
        <v>0</v>
      </c>
    </row>
    <row r="8" spans="1:20" ht="16">
      <c r="A8" t="str">
        <f>IFERROR(VLOOKUP(ROW()-1,BookieName[],3,FALSE),"")</f>
        <v>Betboro</v>
      </c>
      <c r="B8" s="3">
        <f>VLOOKUP(ROW()-1,Data[],3,FALSE)+BookBalance[[#This Row],[Saldo 31.12.19]]</f>
        <v>0</v>
      </c>
      <c r="C8" s="5">
        <f>IFERROR(IF(BookBalance[[#This Row],[Saldo]]="","",BookBalance[[#This Row],[Saldo]]/H$7),"")</f>
        <v>0</v>
      </c>
      <c r="D8" s="3">
        <f>VLOOKUP(ROW()-1,Data[],16,FALSE)</f>
        <v>0</v>
      </c>
      <c r="E8" s="191"/>
      <c r="F8" s="190"/>
      <c r="H8" s="254"/>
      <c r="I8" s="4"/>
      <c r="K8" s="212" t="s">
        <v>447</v>
      </c>
      <c r="L8" s="263">
        <f>-1*SUMIFS(DWbooks[Sum],DWbooks[E-Wallet],TotalBalance[[#This Row],[E-Wallet]])+SUMIFS(Penger!N:N,Penger!M:M,TotalBalance[[#This Row],[E-Wallet]])-SUMIFS(Penger!N:N,Penger!L:L,TotalBalance[[#This Row],[E-Wallet]])+TotalBalance[[#This Row],[Beholdning 05.03.20]]+TotalBalance[[#This Row],[Transfer loss]]</f>
        <v>-30</v>
      </c>
      <c r="M8" s="249">
        <f>TotalBalance[[#This Row],[Saldo]]/L14</f>
        <v>-1.9099180772472733E-3</v>
      </c>
      <c r="N8" s="174">
        <v>0</v>
      </c>
      <c r="O8" s="174" t="s">
        <v>490</v>
      </c>
      <c r="P8" s="174">
        <v>-30</v>
      </c>
      <c r="Q8" s="1">
        <v>0</v>
      </c>
    </row>
    <row r="9" spans="1:20" ht="19">
      <c r="A9" s="81" t="str">
        <f>IFERROR(VLOOKUP(ROW()-1,BookieName[],3,FALSE),"")</f>
        <v>Betfair</v>
      </c>
      <c r="B9" s="86">
        <f>VLOOKUP(ROW()-1,Data[],3,FALSE)+BookBalance[[#This Row],[Saldo 31.12.19]]</f>
        <v>4970.2521999999999</v>
      </c>
      <c r="C9" s="5">
        <f>IFERROR(IF(BookBalance[[#This Row],[Saldo]]="","",BookBalance[[#This Row],[Saldo]]/H$7),"")</f>
        <v>5.7325717594889671E-2</v>
      </c>
      <c r="D9" s="3">
        <f>VLOOKUP(ROW()-1,Data[],16,FALSE)</f>
        <v>0</v>
      </c>
      <c r="E9" s="174">
        <v>4811.1099999999997</v>
      </c>
      <c r="F9" s="190">
        <v>43913</v>
      </c>
      <c r="G9" t="s">
        <v>330</v>
      </c>
      <c r="H9" s="254">
        <f>B2+BookBalance[[#This Row],[Saldo]]</f>
        <v>13153.8822</v>
      </c>
      <c r="I9" s="195">
        <f>IFERROR(TotalBalance[[#This Row],[Sum]]/$H$7,"")</f>
        <v>0.15171377747665321</v>
      </c>
      <c r="K9" s="212" t="s">
        <v>446</v>
      </c>
      <c r="L9" s="263">
        <f>-1*SUMIFS(DWbooks[Sum],DWbooks[E-Wallet],TotalBalance[[#This Row],[E-Wallet]])+SUMIFS(Penger!N:N,Penger!M:M,TotalBalance[[#This Row],[E-Wallet]])-SUMIFS(Penger!N:N,Penger!L:L,TotalBalance[[#This Row],[E-Wallet]])+TotalBalance[[#This Row],[Beholdning 05.03.20]]+TotalBalance[[#This Row],[Transfer loss]]</f>
        <v>-9.75</v>
      </c>
      <c r="M9" s="249">
        <f>TotalBalance[[#This Row],[Saldo]]/L14</f>
        <v>-6.2072337510536387E-4</v>
      </c>
      <c r="N9" s="174">
        <v>0</v>
      </c>
      <c r="O9" s="174" t="s">
        <v>490</v>
      </c>
      <c r="P9" s="174">
        <f>-(9.75)</f>
        <v>-9.75</v>
      </c>
      <c r="Q9" s="1">
        <v>0</v>
      </c>
    </row>
    <row r="10" spans="1:20" ht="16">
      <c r="A10" t="str">
        <f>IFERROR(VLOOKUP(ROW()-1,BookieName[],3,FALSE),"")</f>
        <v>Betfinal</v>
      </c>
      <c r="B10" s="3">
        <f>VLOOKUP(ROW()-1,Data[],3,FALSE)+BookBalance[[#This Row],[Saldo 31.12.19]]</f>
        <v>0</v>
      </c>
      <c r="C10" s="5">
        <f>IFERROR(IF(BookBalance[[#This Row],[Saldo]]="","",BookBalance[[#This Row],[Saldo]]/H$7),"")</f>
        <v>0</v>
      </c>
      <c r="D10" s="3">
        <f>VLOOKUP(ROW()-1,Data[],16,FALSE)</f>
        <v>0</v>
      </c>
      <c r="E10" s="191"/>
      <c r="F10" s="190"/>
      <c r="G10" t="s">
        <v>129</v>
      </c>
      <c r="H10" s="254">
        <f>SUM(BookBalance[Saldo])-H9</f>
        <v>57840.6</v>
      </c>
      <c r="I10" s="195">
        <f>IFERROR(TotalBalance[[#This Row],[Sum]]/$H$7,"")</f>
        <v>0.6671198497973555</v>
      </c>
      <c r="K10" s="212" t="s">
        <v>461</v>
      </c>
      <c r="L10" s="263">
        <f>-1*SUMIFS(DWbooks[Sum],DWbooks[E-Wallet],TotalBalance[[#This Row],[E-Wallet]])+SUMIFS(Penger!N:N,Penger!M:M,TotalBalance[[#This Row],[E-Wallet]])-SUMIFS(Penger!N:N,Penger!L:L,TotalBalance[[#This Row],[E-Wallet]])+TotalBalance[[#This Row],[Beholdning 05.03.20]]+TotalBalance[[#This Row],[Transfer loss]]</f>
        <v>0</v>
      </c>
      <c r="M10" s="249">
        <f>TotalBalance[[#This Row],[Saldo]]/L14</f>
        <v>0</v>
      </c>
      <c r="N10" s="174">
        <v>0</v>
      </c>
      <c r="O10" s="174"/>
    </row>
    <row r="11" spans="1:20" ht="19">
      <c r="A11" t="str">
        <f>IFERROR(VLOOKUP(ROW()-1,BookieName[],3,FALSE),"")</f>
        <v>Bethard</v>
      </c>
      <c r="B11" s="3">
        <f>VLOOKUP(ROW()-1,Data[],3,FALSE)+BookBalance[[#This Row],[Saldo 31.12.19]]</f>
        <v>0</v>
      </c>
      <c r="C11" s="5">
        <f>IFERROR(IF(BookBalance[[#This Row],[Saldo]]="","",BookBalance[[#This Row],[Saldo]]/H$7),"")</f>
        <v>0</v>
      </c>
      <c r="D11" s="3">
        <f>VLOOKUP(ROW()-1,Data[],16,FALSE)</f>
        <v>0</v>
      </c>
      <c r="E11" s="174">
        <v>0</v>
      </c>
      <c r="F11" s="190">
        <v>43913</v>
      </c>
      <c r="G11" t="s">
        <v>391</v>
      </c>
      <c r="H11" s="256">
        <f>L14</f>
        <v>15707.48</v>
      </c>
      <c r="I11" s="195">
        <f>IFERROR(TotalBalance[[#This Row],[Sum]]/$H$7,"")</f>
        <v>0.18116637272599118</v>
      </c>
      <c r="K11" s="212" t="s">
        <v>481</v>
      </c>
      <c r="L11" s="263">
        <f>-1*SUMIFS(DWbooks[Sum],DWbooks[E-Wallet],TotalBalance[[#This Row],[E-Wallet]])+SUMIFS(Penger!N:N,Penger!M:M,TotalBalance[[#This Row],[E-Wallet]])-SUMIFS(Penger!N:N,Penger!L:L,TotalBalance[[#This Row],[E-Wallet]])+TotalBalance[[#This Row],[Beholdning 05.03.20]]+TotalBalance[[#This Row],[Transfer loss]]</f>
        <v>0</v>
      </c>
      <c r="M11" s="249">
        <f>TotalBalance[[#This Row],[Saldo]]/L14</f>
        <v>0</v>
      </c>
      <c r="N11" s="174">
        <v>0</v>
      </c>
      <c r="O11" s="174" t="s">
        <v>490</v>
      </c>
      <c r="Q11" s="3"/>
      <c r="T11" s="3"/>
    </row>
    <row r="12" spans="1:20" ht="16">
      <c r="A12" t="str">
        <f>IFERROR(VLOOKUP(ROW()-1,BookieName[],3,FALSE),"")</f>
        <v>Betive</v>
      </c>
      <c r="B12" s="3">
        <f>VLOOKUP(ROW()-1,Data[],3,FALSE)+BookBalance[[#This Row],[Saldo 31.12.19]]</f>
        <v>0</v>
      </c>
      <c r="C12" s="5">
        <f>IFERROR(IF(BookBalance[[#This Row],[Saldo]]="","",BookBalance[[#This Row],[Saldo]]/H$7),"")</f>
        <v>0</v>
      </c>
      <c r="D12" s="3">
        <f>VLOOKUP(ROW()-1,Data[],16,FALSE)</f>
        <v>0</v>
      </c>
      <c r="E12" s="3"/>
      <c r="F12" s="174"/>
      <c r="H12" s="254"/>
      <c r="I12" s="195"/>
      <c r="K12" s="212" t="s">
        <v>482</v>
      </c>
      <c r="L12" s="263">
        <f>-1*SUMIFS(DWbooks[Sum],DWbooks[E-Wallet],TotalBalance[[#This Row],[E-Wallet]])+SUMIFS(Penger!N:N,Penger!M:M,TotalBalance[[#This Row],[E-Wallet]])-SUMIFS(Penger!N:N,Penger!L:L,TotalBalance[[#This Row],[E-Wallet]])+TotalBalance[[#This Row],[Beholdning 05.03.20]]+TotalBalance[[#This Row],[Transfer loss]]</f>
        <v>-19.5</v>
      </c>
      <c r="M12" s="249">
        <f>TotalBalance[[#This Row],[Saldo]]/L14</f>
        <v>-1.2414467502107277E-3</v>
      </c>
      <c r="N12">
        <v>0</v>
      </c>
      <c r="O12" t="s">
        <v>490</v>
      </c>
      <c r="P12" s="174">
        <f>-(9.75+9.75)</f>
        <v>-19.5</v>
      </c>
      <c r="Q12" s="3"/>
    </row>
    <row r="13" spans="1:20" ht="16">
      <c r="A13" t="str">
        <f>IFERROR(VLOOKUP(ROW()-1,BookieName[],3,FALSE),"")</f>
        <v>Betsafe</v>
      </c>
      <c r="B13" s="3">
        <f>VLOOKUP(ROW()-1,Data[],3,FALSE)+BookBalance[[#This Row],[Saldo 31.12.19]]</f>
        <v>4756</v>
      </c>
      <c r="C13" s="5">
        <f>IFERROR(IF(BookBalance[[#This Row],[Saldo]]="","",BookBalance[[#This Row],[Saldo]]/H$7),"")</f>
        <v>5.4854583210343991E-2</v>
      </c>
      <c r="D13" s="3">
        <f>VLOOKUP(ROW()-1,Data[],16,FALSE)</f>
        <v>0</v>
      </c>
      <c r="E13" s="174">
        <v>4556</v>
      </c>
      <c r="F13" s="190">
        <v>43913</v>
      </c>
      <c r="G13" t="s">
        <v>444</v>
      </c>
      <c r="H13" s="186">
        <f>Aa!D19</f>
        <v>0</v>
      </c>
      <c r="I13" s="292"/>
      <c r="K13" s="212" t="s">
        <v>496</v>
      </c>
      <c r="L13" s="263">
        <f>-1*SUMIFS(DWbooks[Sum],DWbooks[E-Wallet],TotalBalance[[#This Row],[E-Wallet]])+SUMIFS(Penger!N:N,Penger!M:M,TotalBalance[[#This Row],[E-Wallet]])-SUMIFS(Penger!N:N,Penger!L:L,TotalBalance[[#This Row],[E-Wallet]])+TotalBalance[[#This Row],[Beholdning 05.03.20]]+TotalBalance[[#This Row],[Transfer loss]]</f>
        <v>0</v>
      </c>
      <c r="M13" s="249">
        <f>TotalBalance[[#This Row],[Saldo]]/L14</f>
        <v>0</v>
      </c>
      <c r="N13">
        <v>0</v>
      </c>
      <c r="O13" t="s">
        <v>497</v>
      </c>
      <c r="Q13" s="70"/>
    </row>
    <row r="14" spans="1:20" ht="15" customHeight="1">
      <c r="A14" t="str">
        <f>IFERROR(VLOOKUP(ROW()-1,BookieName[],3,FALSE),"")</f>
        <v>Betser</v>
      </c>
      <c r="B14" s="3">
        <f>VLOOKUP(ROW()-1,Data[],3,FALSE)+BookBalance[[#This Row],[Saldo 31.12.19]]</f>
        <v>0</v>
      </c>
      <c r="C14" s="5">
        <f>IFERROR(IF(BookBalance[[#This Row],[Saldo]]="","",BookBalance[[#This Row],[Saldo]]/H$7),"")</f>
        <v>0</v>
      </c>
      <c r="D14" s="3">
        <f>VLOOKUP(ROW()-1,Data[],16,FALSE)</f>
        <v>0</v>
      </c>
      <c r="E14" s="191"/>
      <c r="F14" s="190"/>
      <c r="G14" t="s">
        <v>445</v>
      </c>
      <c r="H14" s="186">
        <f>Li!D19</f>
        <v>-500</v>
      </c>
      <c r="I14" s="292"/>
      <c r="K14" s="270" t="s">
        <v>383</v>
      </c>
      <c r="L14" s="291">
        <f>SUM(L2:L13)</f>
        <v>15707.48</v>
      </c>
      <c r="Q14" s="1">
        <f>SUM(Q2:Q13)</f>
        <v>19793.21</v>
      </c>
    </row>
    <row r="15" spans="1:20" ht="15" customHeight="1">
      <c r="A15" t="str">
        <f>IFERROR(VLOOKUP(ROW()-1,BookieName[],3,FALSE),"")</f>
        <v>Betsson</v>
      </c>
      <c r="B15" s="3">
        <f>VLOOKUP(ROW()-1,Data[],3,FALSE)+BookBalance[[#This Row],[Saldo 31.12.19]]</f>
        <v>6367.5</v>
      </c>
      <c r="C15" s="5">
        <f>IFERROR(IF(BookBalance[[#This Row],[Saldo]]="","",BookBalance[[#This Row],[Saldo]]/H$7),"")</f>
        <v>7.3441244447406517E-2</v>
      </c>
      <c r="D15" s="3">
        <f>VLOOKUP(ROW()-1,Data[],16,FALSE)</f>
        <v>0</v>
      </c>
      <c r="E15" s="174">
        <v>6367.5</v>
      </c>
      <c r="F15" s="190">
        <v>43913</v>
      </c>
      <c r="G15" s="174"/>
      <c r="H15" s="254"/>
      <c r="I15" s="195"/>
      <c r="J15" s="174"/>
      <c r="K15" s="174"/>
      <c r="L15" s="174"/>
    </row>
    <row r="16" spans="1:20">
      <c r="A16" t="str">
        <f>IFERROR(VLOOKUP(ROW()-1,BookieName[],3,FALSE),"")</f>
        <v>Betus</v>
      </c>
      <c r="B16" s="3">
        <f>VLOOKUP(ROW()-1,Data[],3,FALSE)+BookBalance[[#This Row],[Saldo 31.12.19]]</f>
        <v>0</v>
      </c>
      <c r="C16" s="5">
        <f>IFERROR(IF(BookBalance[[#This Row],[Saldo]]="","",BookBalance[[#This Row],[Saldo]]/H$7),"")</f>
        <v>0</v>
      </c>
      <c r="D16" s="3">
        <f>VLOOKUP(ROW()-1,Data[],16,FALSE)</f>
        <v>0</v>
      </c>
      <c r="E16" s="191"/>
      <c r="F16" s="190"/>
      <c r="G16" s="293" t="s">
        <v>401</v>
      </c>
      <c r="H16" s="294">
        <f>H4+H5-(-1*H6)-H13-H14</f>
        <v>1362.4122</v>
      </c>
      <c r="I16" s="295">
        <f>H16/H17</f>
        <v>3.5468289696064678E-2</v>
      </c>
    </row>
    <row r="17" spans="1:19">
      <c r="A17" t="str">
        <f>IFERROR(VLOOKUP(ROW()-1,BookieName[],3,FALSE),"")</f>
        <v>BetVictor</v>
      </c>
      <c r="B17" s="3">
        <f>VLOOKUP(ROW()-1,Data[],3,FALSE)+BookBalance[[#This Row],[Saldo 31.12.19]]</f>
        <v>0</v>
      </c>
      <c r="C17" s="5">
        <f>IFERROR(IF(BookBalance[[#This Row],[Saldo]]="","",BookBalance[[#This Row],[Saldo]]/H$7),"")</f>
        <v>0</v>
      </c>
      <c r="D17" s="3">
        <f>VLOOKUP(ROW()-1,Data[],16,FALSE)</f>
        <v>0</v>
      </c>
      <c r="E17" s="3"/>
      <c r="F17" s="190"/>
      <c r="G17" s="290" t="s">
        <v>329</v>
      </c>
      <c r="H17" s="296">
        <v>38412.120000000003</v>
      </c>
      <c r="I17" s="297">
        <f>H17/H17</f>
        <v>1</v>
      </c>
    </row>
    <row r="18" spans="1:19">
      <c r="A18" t="str">
        <f>IFERROR(VLOOKUP(ROW()-1,BookieName[],3,FALSE),"")</f>
        <v>BetWay</v>
      </c>
      <c r="B18" s="3">
        <f>VLOOKUP(ROW()-1,Data[],3,FALSE)+BookBalance[[#This Row],[Saldo 31.12.19]]</f>
        <v>0</v>
      </c>
      <c r="C18" s="5">
        <f>IFERROR(IF(BookBalance[[#This Row],[Saldo]]="","",BookBalance[[#This Row],[Saldo]]/H$7),"")</f>
        <v>0</v>
      </c>
      <c r="D18" s="3">
        <f>VLOOKUP(ROW()-1,Data[],16,FALSE)</f>
        <v>0</v>
      </c>
      <c r="E18" s="3"/>
      <c r="F18" s="190"/>
      <c r="G18" s="290"/>
      <c r="H18" s="296"/>
      <c r="I18" s="297"/>
    </row>
    <row r="19" spans="1:19">
      <c r="A19" t="str">
        <f>IFERROR(VLOOKUP(ROW()-1,BookieName[],3,FALSE),"")</f>
        <v>Casinostugan</v>
      </c>
      <c r="B19" s="3">
        <f>VLOOKUP(ROW()-1,Data[],3,FALSE)+BookBalance[[#This Row],[Saldo 31.12.19]]</f>
        <v>0</v>
      </c>
      <c r="C19" s="5">
        <f>IFERROR(IF(BookBalance[[#This Row],[Saldo]]="","",BookBalance[[#This Row],[Saldo]]/H$7),"")</f>
        <v>0</v>
      </c>
      <c r="D19" s="3">
        <f>VLOOKUP(ROW()-1,Data[],16,FALSE)</f>
        <v>0</v>
      </c>
      <c r="E19" s="3"/>
      <c r="F19" s="190"/>
      <c r="G19" s="298" t="s">
        <v>413</v>
      </c>
      <c r="H19" s="299">
        <f>SUM(H16:H17)</f>
        <v>39774.532200000001</v>
      </c>
      <c r="I19" s="297"/>
    </row>
    <row r="20" spans="1:19" ht="15" customHeight="1">
      <c r="A20" t="str">
        <f>IFERROR(VLOOKUP(ROW()-1,BookieName[],3,FALSE),"")</f>
        <v>Casinowinner</v>
      </c>
      <c r="B20" s="3">
        <f>VLOOKUP(ROW()-1,Data[],3,FALSE)+BookBalance[[#This Row],[Saldo 31.12.19]]</f>
        <v>0</v>
      </c>
      <c r="C20" s="5">
        <f>IFERROR(IF(BookBalance[[#This Row],[Saldo]]="","",BookBalance[[#This Row],[Saldo]]/H$7),"")</f>
        <v>0</v>
      </c>
      <c r="D20" s="3">
        <f>VLOOKUP(ROW()-1,Data[],16,FALSE)</f>
        <v>0</v>
      </c>
      <c r="E20" s="191"/>
      <c r="F20" s="174"/>
      <c r="O20" s="3"/>
      <c r="P20" s="3"/>
      <c r="Q20" s="3"/>
      <c r="S20" s="3"/>
    </row>
    <row r="21" spans="1:19" ht="15" customHeight="1">
      <c r="A21" t="str">
        <f>IFERROR(VLOOKUP(ROW()-1,BookieName[],3,FALSE),"")</f>
        <v>CherryCasino</v>
      </c>
      <c r="B21" s="3">
        <f>VLOOKUP(ROW()-1,Data[],3,FALSE)+BookBalance[[#This Row],[Saldo 31.12.19]]</f>
        <v>0</v>
      </c>
      <c r="C21" s="5">
        <f>IFERROR(IF(BookBalance[[#This Row],[Saldo]]="","",BookBalance[[#This Row],[Saldo]]/H$7),"")</f>
        <v>0</v>
      </c>
      <c r="D21" s="3">
        <f>VLOOKUP(ROW()-1,Data[],16,FALSE)</f>
        <v>0</v>
      </c>
      <c r="E21" s="191"/>
      <c r="F21" s="190"/>
    </row>
    <row r="22" spans="1:19">
      <c r="A22" t="str">
        <f>IFERROR(VLOOKUP(ROW()-1,BookieName[],3,FALSE),"")</f>
        <v>Cloudbet</v>
      </c>
      <c r="B22" s="3">
        <f>VLOOKUP(ROW()-1,Data[],3,FALSE)+BookBalance[[#This Row],[Saldo 31.12.19]]</f>
        <v>0</v>
      </c>
      <c r="C22" s="5">
        <f>IFERROR(IF(BookBalance[[#This Row],[Saldo]]="","",BookBalance[[#This Row],[Saldo]]/H$7),"")</f>
        <v>0</v>
      </c>
      <c r="D22" s="3">
        <f>VLOOKUP(ROW()-1,Data[],16,FALSE)</f>
        <v>0</v>
      </c>
      <c r="E22" s="191"/>
      <c r="F22" s="190"/>
      <c r="Q22" s="3"/>
    </row>
    <row r="23" spans="1:19">
      <c r="A23" t="str">
        <f>IFERROR(VLOOKUP(ROW()-1,BookieName[],3,FALSE),"")</f>
        <v>Comeon</v>
      </c>
      <c r="B23" s="3">
        <f>VLOOKUP(ROW()-1,Data[],3,FALSE)+BookBalance[[#This Row],[Saldo 31.12.19]]</f>
        <v>0</v>
      </c>
      <c r="C23" s="5">
        <f>IFERROR(IF(BookBalance[[#This Row],[Saldo]]="","",BookBalance[[#This Row],[Saldo]]/H$7),"")</f>
        <v>0</v>
      </c>
      <c r="D23" s="3">
        <f>VLOOKUP(ROW()-1,Data[],16,FALSE)</f>
        <v>0</v>
      </c>
      <c r="E23" s="3">
        <v>0</v>
      </c>
      <c r="F23" s="190">
        <v>43913</v>
      </c>
      <c r="N23" s="3"/>
    </row>
    <row r="24" spans="1:19">
      <c r="A24" t="str">
        <f>IFERROR(VLOOKUP(ROW()-1,BookieName[],3,FALSE),"")</f>
        <v>Coolbet</v>
      </c>
      <c r="B24" s="3">
        <f>VLOOKUP(ROW()-1,Data[],3,FALSE)+BookBalance[[#This Row],[Saldo 31.12.19]]</f>
        <v>290.92</v>
      </c>
      <c r="C24" s="5">
        <f>IFERROR(IF(BookBalance[[#This Row],[Saldo]]="","",BookBalance[[#This Row],[Saldo]]/H$7),"")</f>
        <v>3.3554027223619168E-3</v>
      </c>
      <c r="D24" s="3">
        <f>VLOOKUP(ROW()-1,Data[],16,FALSE)</f>
        <v>0</v>
      </c>
      <c r="E24" s="174">
        <v>90.92</v>
      </c>
      <c r="F24" s="190">
        <v>43913</v>
      </c>
      <c r="O24" s="3"/>
      <c r="P24" s="3"/>
      <c r="S24" s="3"/>
    </row>
    <row r="25" spans="1:19">
      <c r="A25" t="str">
        <f>IFERROR(VLOOKUP(ROW()-1,BookieName[],3,FALSE),"")</f>
        <v>ExclusiveBet</v>
      </c>
      <c r="B25" s="3">
        <f>VLOOKUP(ROW()-1,Data[],3,FALSE)+BookBalance[[#This Row],[Saldo 31.12.19]]</f>
        <v>0</v>
      </c>
      <c r="C25" s="5">
        <f>IFERROR(IF(BookBalance[[#This Row],[Saldo]]="","",BookBalance[[#This Row],[Saldo]]/H$7),"")</f>
        <v>0</v>
      </c>
      <c r="D25" s="3">
        <f>VLOOKUP(ROW()-1,Data[],16,FALSE)</f>
        <v>0</v>
      </c>
      <c r="E25" s="191"/>
      <c r="F25" s="190"/>
      <c r="L25" s="3"/>
    </row>
    <row r="26" spans="1:19">
      <c r="A26" t="str">
        <f>IFERROR(VLOOKUP(ROW()-1,BookieName[],3,FALSE),"")</f>
        <v>Expekt</v>
      </c>
      <c r="B26" s="3">
        <f>VLOOKUP(ROW()-1,Data[],3,FALSE)+BookBalance[[#This Row],[Saldo 31.12.19]]</f>
        <v>441.9</v>
      </c>
      <c r="C26" s="5">
        <f>IFERROR(IF(BookBalance[[#This Row],[Saldo]]="","",BookBalance[[#This Row],[Saldo]]/H$7),"")</f>
        <v>5.0967704627104728E-3</v>
      </c>
      <c r="D26" s="3">
        <f>VLOOKUP(ROW()-1,Data[],16,FALSE)</f>
        <v>0</v>
      </c>
      <c r="E26" s="174">
        <v>441.9</v>
      </c>
      <c r="F26" s="190">
        <v>43899</v>
      </c>
      <c r="O26" s="3"/>
      <c r="P26" s="3"/>
    </row>
    <row r="27" spans="1:19">
      <c r="A27" t="str">
        <f>IFERROR(VLOOKUP(ROW()-1,BookieName[],3,FALSE),"")</f>
        <v>Fansbet</v>
      </c>
      <c r="B27" s="3">
        <f>VLOOKUP(ROW()-1,Data[],3,FALSE)+BookBalance[[#This Row],[Saldo 31.12.19]]</f>
        <v>0</v>
      </c>
      <c r="C27" s="5">
        <f>IFERROR(IF(BookBalance[[#This Row],[Saldo]]="","",BookBalance[[#This Row],[Saldo]]/H$7),"")</f>
        <v>0</v>
      </c>
      <c r="D27" s="3">
        <f>VLOOKUP(ROW()-1,Data[],16,FALSE)</f>
        <v>0</v>
      </c>
      <c r="E27" s="3"/>
      <c r="F27" s="190"/>
    </row>
    <row r="28" spans="1:19">
      <c r="A28" t="str">
        <f>IFERROR(VLOOKUP(ROW()-1,BookieName[],3,FALSE),"")</f>
        <v>Feelbet</v>
      </c>
      <c r="B28" s="3">
        <f>VLOOKUP(ROW()-1,Data[],3,FALSE)+BookBalance[[#This Row],[Saldo 31.12.19]]</f>
        <v>0</v>
      </c>
      <c r="C28" s="5">
        <f>IFERROR(IF(BookBalance[[#This Row],[Saldo]]="","",BookBalance[[#This Row],[Saldo]]/H$7),"")</f>
        <v>0</v>
      </c>
      <c r="D28" s="3">
        <f>VLOOKUP(ROW()-1,Data[],16,FALSE)</f>
        <v>0</v>
      </c>
      <c r="E28" s="191"/>
      <c r="F28" s="174"/>
    </row>
    <row r="29" spans="1:19">
      <c r="A29" t="str">
        <f>IFERROR(VLOOKUP(ROW()-1,BookieName[],3,FALSE),"")</f>
        <v>Folkeautomaten</v>
      </c>
      <c r="B29" s="3">
        <f>VLOOKUP(ROW()-1,Data[],3,FALSE)+BookBalance[[#This Row],[Saldo 31.12.19]]</f>
        <v>0</v>
      </c>
      <c r="C29" s="5">
        <f>IFERROR(IF(BookBalance[[#This Row],[Saldo]]="","",BookBalance[[#This Row],[Saldo]]/H$7),"")</f>
        <v>0</v>
      </c>
      <c r="D29" s="3">
        <f>VLOOKUP(ROW()-1,Data[],16,FALSE)</f>
        <v>0</v>
      </c>
      <c r="E29" s="191"/>
      <c r="F29" s="190"/>
      <c r="G29" s="3"/>
      <c r="R29" s="3"/>
    </row>
    <row r="30" spans="1:19">
      <c r="A30" t="str">
        <f>IFERROR(VLOOKUP(ROW()-1,BookieName[],3,FALSE),"")</f>
        <v>gtbets.eu</v>
      </c>
      <c r="B30" s="3">
        <f>VLOOKUP(ROW()-1,Data[],3,FALSE)+BookBalance[[#This Row],[Saldo 31.12.19]]</f>
        <v>0</v>
      </c>
      <c r="C30" s="5">
        <f>IFERROR(IF(BookBalance[[#This Row],[Saldo]]="","",BookBalance[[#This Row],[Saldo]]/H$7),"")</f>
        <v>0</v>
      </c>
      <c r="D30" s="3">
        <f>VLOOKUP(ROW()-1,Data[],16,FALSE)</f>
        <v>0</v>
      </c>
      <c r="E30" s="3"/>
      <c r="F30" s="190"/>
      <c r="O30" s="3"/>
      <c r="P30" s="3"/>
    </row>
    <row r="31" spans="1:19" ht="15" customHeight="1">
      <c r="A31" t="str">
        <f>IFERROR(VLOOKUP(ROW()-1,BookieName[],3,FALSE),"")</f>
        <v>Guts</v>
      </c>
      <c r="B31" s="3">
        <f>VLOOKUP(ROW()-1,Data[],3,FALSE)+BookBalance[[#This Row],[Saldo 31.12.19]]</f>
        <v>0</v>
      </c>
      <c r="C31" s="5">
        <f>IFERROR(IF(BookBalance[[#This Row],[Saldo]]="","",BookBalance[[#This Row],[Saldo]]/H$7),"")</f>
        <v>0</v>
      </c>
      <c r="D31" s="3">
        <f>VLOOKUP(ROW()-1,Data[],16,FALSE)</f>
        <v>0</v>
      </c>
      <c r="E31" s="3"/>
      <c r="F31" s="174"/>
    </row>
    <row r="32" spans="1:19" ht="15" customHeight="1">
      <c r="A32" t="str">
        <f>IFERROR(VLOOKUP(ROW()-1,BookieName[],3,FALSE),"")</f>
        <v>JSFansbet</v>
      </c>
      <c r="B32" s="3">
        <f>VLOOKUP(ROW()-1,Data[],3,FALSE)+BookBalance[[#This Row],[Saldo 31.12.19]]</f>
        <v>0</v>
      </c>
      <c r="C32" s="5">
        <f>IFERROR(IF(BookBalance[[#This Row],[Saldo]]="","",BookBalance[[#This Row],[Saldo]]/H$7),"")</f>
        <v>0</v>
      </c>
      <c r="D32" s="3">
        <f>VLOOKUP(ROW()-1,Data[],16,FALSE)</f>
        <v>0</v>
      </c>
      <c r="E32" s="191"/>
      <c r="F32" s="190"/>
    </row>
    <row r="33" spans="1:17">
      <c r="A33" t="str">
        <f>IFERROR(VLOOKUP(ROW()-1,BookieName[],3,FALSE),"")</f>
        <v>KTO</v>
      </c>
      <c r="B33" s="3">
        <f>VLOOKUP(ROW()-1,Data[],3,FALSE)+BookBalance[[#This Row],[Saldo 31.12.19]]</f>
        <v>0</v>
      </c>
      <c r="C33" s="5">
        <f>IFERROR(IF(BookBalance[[#This Row],[Saldo]]="","",BookBalance[[#This Row],[Saldo]]/H$7),"")</f>
        <v>0</v>
      </c>
      <c r="D33" s="3">
        <f>VLOOKUP(ROW()-1,Data[],16,FALSE)</f>
        <v>0</v>
      </c>
      <c r="E33" s="191"/>
      <c r="F33" s="190"/>
    </row>
    <row r="34" spans="1:17">
      <c r="A34" t="str">
        <f>IFERROR(VLOOKUP(ROW()-1,BookieName[],3,FALSE),"")</f>
        <v>LeoVegas</v>
      </c>
      <c r="B34" s="3">
        <f>VLOOKUP(ROW()-1,Data[],3,FALSE)+BookBalance[[#This Row],[Saldo 31.12.19]]</f>
        <v>250</v>
      </c>
      <c r="C34" s="5">
        <f>IFERROR(IF(BookBalance[[#This Row],[Saldo]]="","",BookBalance[[#This Row],[Saldo]]/H$7),"")</f>
        <v>2.883441085489066E-3</v>
      </c>
      <c r="D34" s="3">
        <f>VLOOKUP(ROW()-1,Data[],16,FALSE)</f>
        <v>0</v>
      </c>
      <c r="E34" s="174">
        <v>250</v>
      </c>
      <c r="F34" s="190">
        <v>43913</v>
      </c>
    </row>
    <row r="35" spans="1:17">
      <c r="A35" t="str">
        <f>IFERROR(VLOOKUP(ROW()-1,BookieName[],3,FALSE),"")</f>
        <v>LSBet</v>
      </c>
      <c r="B35" s="3">
        <f>VLOOKUP(ROW()-1,Data[],3,FALSE)+BookBalance[[#This Row],[Saldo 31.12.19]]</f>
        <v>0</v>
      </c>
      <c r="C35" s="5">
        <f>IFERROR(IF(BookBalance[[#This Row],[Saldo]]="","",BookBalance[[#This Row],[Saldo]]/H$7),"")</f>
        <v>0</v>
      </c>
      <c r="D35" s="3">
        <f>VLOOKUP(ROW()-1,Data[],16,FALSE)</f>
        <v>0</v>
      </c>
      <c r="E35" s="191"/>
      <c r="F35" s="190"/>
      <c r="Q35" s="3"/>
    </row>
    <row r="36" spans="1:17">
      <c r="A36" t="str">
        <f>IFERROR(VLOOKUP(ROW()-1,BookieName[],3,FALSE),"")</f>
        <v>Malina</v>
      </c>
      <c r="B36" s="3">
        <f>VLOOKUP(ROW()-1,Data[],3,FALSE)+BookBalance[[#This Row],[Saldo 31.12.19]]</f>
        <v>0</v>
      </c>
      <c r="C36" s="5">
        <f>IFERROR(IF(BookBalance[[#This Row],[Saldo]]="","",BookBalance[[#This Row],[Saldo]]/H$7),"")</f>
        <v>0</v>
      </c>
      <c r="D36" s="3">
        <f>VLOOKUP(ROW()-1,Data[],16,FALSE)</f>
        <v>0</v>
      </c>
      <c r="E36" s="191"/>
      <c r="F36" s="190"/>
    </row>
    <row r="37" spans="1:17" ht="14" customHeight="1">
      <c r="A37" t="str">
        <f>IFERROR(VLOOKUP(ROW()-1,BookieName[],3,FALSE),"")</f>
        <v>Mobilebet</v>
      </c>
      <c r="B37" s="3">
        <f>VLOOKUP(ROW()-1,Data[],3,FALSE)+BookBalance[[#This Row],[Saldo 31.12.19]]</f>
        <v>991</v>
      </c>
      <c r="C37" s="5">
        <f>IFERROR(IF(BookBalance[[#This Row],[Saldo]]="","",BookBalance[[#This Row],[Saldo]]/H$7),"")</f>
        <v>1.1429960462878658E-2</v>
      </c>
      <c r="D37" s="3">
        <f>VLOOKUP(ROW()-1,Data[],16,FALSE)</f>
        <v>0</v>
      </c>
      <c r="E37" s="174">
        <v>991</v>
      </c>
      <c r="F37" s="190">
        <v>43913</v>
      </c>
    </row>
    <row r="38" spans="1:17" ht="16" customHeight="1">
      <c r="A38" t="str">
        <f>IFERROR(VLOOKUP(ROW()-1,BookieName[],3,FALSE),"")</f>
        <v>MrGreen</v>
      </c>
      <c r="B38" s="3">
        <f>VLOOKUP(ROW()-1,Data[],3,FALSE)+BookBalance[[#This Row],[Saldo 31.12.19]]</f>
        <v>0</v>
      </c>
      <c r="C38" s="5">
        <f>IFERROR(IF(BookBalance[[#This Row],[Saldo]]="","",BookBalance[[#This Row],[Saldo]]/H$7),"")</f>
        <v>0</v>
      </c>
      <c r="D38" s="3">
        <f>VLOOKUP(ROW()-1,Data[],16,FALSE)</f>
        <v>0</v>
      </c>
      <c r="E38" s="191"/>
      <c r="F38" s="190"/>
      <c r="G38" s="328"/>
      <c r="H38" s="328"/>
      <c r="I38" s="328"/>
      <c r="J38" s="328"/>
      <c r="K38" s="328"/>
      <c r="L38" s="328"/>
      <c r="M38" s="328"/>
    </row>
    <row r="39" spans="1:17" ht="21">
      <c r="A39" t="str">
        <f>IFERROR(VLOOKUP(ROW()-1,BookieName[],3,FALSE),"")</f>
        <v>MrWin</v>
      </c>
      <c r="B39" s="3">
        <f>VLOOKUP(ROW()-1,Data[],3,FALSE)+BookBalance[[#This Row],[Saldo 31.12.19]]</f>
        <v>0</v>
      </c>
      <c r="C39" s="5">
        <f>IFERROR(IF(BookBalance[[#This Row],[Saldo]]="","",BookBalance[[#This Row],[Saldo]]/H$7),"")</f>
        <v>0</v>
      </c>
      <c r="D39" s="3">
        <f>VLOOKUP(ROW()-1,Data[],16,FALSE)</f>
        <v>0</v>
      </c>
      <c r="E39" s="191"/>
      <c r="F39" s="190"/>
      <c r="G39" s="173"/>
      <c r="H39" s="173"/>
      <c r="I39" s="173"/>
      <c r="J39" s="173"/>
      <c r="K39" s="173"/>
      <c r="L39" s="173"/>
      <c r="M39" s="250"/>
    </row>
    <row r="40" spans="1:17">
      <c r="A40" t="str">
        <f>IFERROR(VLOOKUP(ROW()-1,BookieName[],3,FALSE),"")</f>
        <v>NetBet</v>
      </c>
      <c r="B40" s="3">
        <f>VLOOKUP(ROW()-1,Data[],3,FALSE)+BookBalance[[#This Row],[Saldo 31.12.19]]</f>
        <v>0</v>
      </c>
      <c r="C40" s="5">
        <f>IFERROR(IF(BookBalance[[#This Row],[Saldo]]="","",BookBalance[[#This Row],[Saldo]]/H$7),"")</f>
        <v>0</v>
      </c>
      <c r="D40" s="3">
        <f>VLOOKUP(ROW()-1,Data[],16,FALSE)</f>
        <v>0</v>
      </c>
      <c r="E40" s="191"/>
      <c r="F40" s="190"/>
    </row>
    <row r="41" spans="1:17">
      <c r="A41" t="str">
        <f>IFERROR(VLOOKUP(ROW()-1,BookieName[],3,FALSE),"")</f>
        <v>Nightrush</v>
      </c>
      <c r="B41" s="3">
        <f>VLOOKUP(ROW()-1,Data[],3,FALSE)+BookBalance[[#This Row],[Saldo 31.12.19]]</f>
        <v>0</v>
      </c>
      <c r="C41" s="5">
        <f>IFERROR(IF(BookBalance[[#This Row],[Saldo]]="","",BookBalance[[#This Row],[Saldo]]/H$7),"")</f>
        <v>0</v>
      </c>
      <c r="D41" s="3">
        <f>VLOOKUP(ROW()-1,Data[],16,FALSE)</f>
        <v>0</v>
      </c>
      <c r="E41" s="3"/>
      <c r="F41" s="174"/>
    </row>
    <row r="42" spans="1:17">
      <c r="A42" t="str">
        <f>IFERROR(VLOOKUP(ROW()-1,BookieName[],3,FALSE),"")</f>
        <v>NNBetsson</v>
      </c>
      <c r="B42" s="3">
        <f>VLOOKUP(ROW()-1,Data[],3,FALSE)+BookBalance[[#This Row],[Saldo 31.12.19]]</f>
        <v>0</v>
      </c>
      <c r="C42" s="5">
        <f>IFERROR(IF(BookBalance[[#This Row],[Saldo]]="","",BookBalance[[#This Row],[Saldo]]/H$7),"")</f>
        <v>0</v>
      </c>
      <c r="D42" s="3">
        <f>VLOOKUP(ROW()-1,Data[],16,FALSE)</f>
        <v>0</v>
      </c>
      <c r="E42" s="3"/>
      <c r="F42" s="174"/>
    </row>
    <row r="43" spans="1:17">
      <c r="A43" t="str">
        <f>IFERROR(VLOOKUP(ROW()-1,BookieName[],3,FALSE),"")</f>
        <v>NNCoolbet</v>
      </c>
      <c r="B43" s="3">
        <f>VLOOKUP(ROW()-1,Data[],3,FALSE)+BookBalance[[#This Row],[Saldo 31.12.19]]</f>
        <v>0</v>
      </c>
      <c r="C43" s="5">
        <f>IFERROR(IF(BookBalance[[#This Row],[Saldo]]="","",BookBalance[[#This Row],[Saldo]]/H$7),"")</f>
        <v>0</v>
      </c>
      <c r="D43" s="3">
        <f>VLOOKUP(ROW()-1,Data[],16,FALSE)</f>
        <v>0</v>
      </c>
      <c r="E43" s="191"/>
      <c r="F43" s="190"/>
    </row>
    <row r="44" spans="1:17">
      <c r="A44" t="str">
        <f>IFERROR(VLOOKUP(ROW()-1,BookieName[],3,FALSE),"")</f>
        <v>NordicBet</v>
      </c>
      <c r="B44" s="3">
        <f>VLOOKUP(ROW()-1,Data[],3,FALSE)+BookBalance[[#This Row],[Saldo 31.12.19]]</f>
        <v>4696</v>
      </c>
      <c r="C44" s="5">
        <f>IFERROR(IF(BookBalance[[#This Row],[Saldo]]="","",BookBalance[[#This Row],[Saldo]]/H$7),"")</f>
        <v>5.4162557349826619E-2</v>
      </c>
      <c r="D44" s="3">
        <f>VLOOKUP(ROW()-1,Data[],16,FALSE)</f>
        <v>0</v>
      </c>
      <c r="E44" s="174">
        <v>6496</v>
      </c>
      <c r="F44" s="190">
        <v>43913</v>
      </c>
    </row>
    <row r="45" spans="1:17">
      <c r="A45" t="str">
        <f>IFERROR(VLOOKUP(ROW()-1,BookieName[],3,FALSE),"")</f>
        <v>Norgesspill</v>
      </c>
      <c r="B45" s="3">
        <f>VLOOKUP(ROW()-1,Data[],3,FALSE)+BookBalance[[#This Row],[Saldo 31.12.19]]</f>
        <v>37001.08</v>
      </c>
      <c r="C45" s="5">
        <f>IFERROR(IF(BookBalance[[#This Row],[Saldo]]="","",BookBalance[[#This Row],[Saldo]]/H$7),"")</f>
        <v>0.42676173711787113</v>
      </c>
      <c r="D45" s="3">
        <f>VLOOKUP(ROW()-1,Data[],16,FALSE)</f>
        <v>0</v>
      </c>
      <c r="E45" s="174">
        <v>36307.58</v>
      </c>
      <c r="F45" s="190">
        <v>43913</v>
      </c>
    </row>
    <row r="46" spans="1:17">
      <c r="A46" t="str">
        <f>IFERROR(VLOOKUP(ROW()-1,BookieName[],3,FALSE),"")</f>
        <v>NorgeVegas</v>
      </c>
      <c r="B46" s="3">
        <f>VLOOKUP(ROW()-1,Data[],3,FALSE)+BookBalance[[#This Row],[Saldo 31.12.19]]</f>
        <v>0</v>
      </c>
      <c r="C46" s="5">
        <f>IFERROR(IF(BookBalance[[#This Row],[Saldo]]="","",BookBalance[[#This Row],[Saldo]]/H$7),"")</f>
        <v>0</v>
      </c>
      <c r="D46" s="3">
        <f>VLOOKUP(ROW()-1,Data[],16,FALSE)</f>
        <v>0</v>
      </c>
      <c r="E46" s="191"/>
      <c r="F46" s="190"/>
    </row>
    <row r="47" spans="1:17">
      <c r="A47" t="str">
        <f>IFERROR(VLOOKUP(ROW()-1,BookieName[],3,FALSE),"")</f>
        <v>NorskTipping</v>
      </c>
      <c r="B47" s="3">
        <f>VLOOKUP(ROW()-1,Data[],3,FALSE)+BookBalance[[#This Row],[Saldo 31.12.19]]</f>
        <v>0</v>
      </c>
      <c r="C47" s="5">
        <f>IFERROR(IF(BookBalance[[#This Row],[Saldo]]="","",BookBalance[[#This Row],[Saldo]]/H$7),"")</f>
        <v>0</v>
      </c>
      <c r="D47" s="3">
        <f>VLOOKUP(ROW()-1,Data[],16,FALSE)</f>
        <v>0</v>
      </c>
      <c r="E47" s="191"/>
      <c r="F47" s="190"/>
    </row>
    <row r="48" spans="1:17">
      <c r="A48" t="str">
        <f>IFERROR(VLOOKUP(ROW()-1,BookieName[],3,FALSE),"")</f>
        <v>Oddsautomaten</v>
      </c>
      <c r="B48" s="3">
        <f>VLOOKUP(ROW()-1,Data[],3,FALSE)+BookBalance[[#This Row],[Saldo 31.12.19]]</f>
        <v>0</v>
      </c>
      <c r="C48" s="5">
        <f>IFERROR(IF(BookBalance[[#This Row],[Saldo]]="","",BookBalance[[#This Row],[Saldo]]/H$7),"")</f>
        <v>0</v>
      </c>
      <c r="D48" s="3">
        <f>VLOOKUP(ROW()-1,Data[],16,FALSE)</f>
        <v>0</v>
      </c>
      <c r="E48" s="191"/>
      <c r="F48" s="190"/>
    </row>
    <row r="49" spans="1:11">
      <c r="A49" t="str">
        <f>IFERROR(VLOOKUP(ROW()-1,BookieName[],3,FALSE),"")</f>
        <v>Olybet</v>
      </c>
      <c r="B49" s="3">
        <f>VLOOKUP(ROW()-1,Data[],3,FALSE)+BookBalance[[#This Row],[Saldo 31.12.19]]</f>
        <v>0</v>
      </c>
      <c r="C49" s="5">
        <f>IFERROR(IF(BookBalance[[#This Row],[Saldo]]="","",BookBalance[[#This Row],[Saldo]]/H$7),"")</f>
        <v>0</v>
      </c>
      <c r="D49" s="3">
        <f>VLOOKUP(ROW()-1,Data[],16,FALSE)</f>
        <v>0</v>
      </c>
      <c r="E49" s="191"/>
      <c r="F49" s="190"/>
    </row>
    <row r="50" spans="1:11">
      <c r="A50" t="str">
        <f>IFERROR(VLOOKUP(ROW()-1,BookieName[],3,FALSE),"")</f>
        <v>Onebet</v>
      </c>
      <c r="B50" s="3">
        <f>VLOOKUP(ROW()-1,Data[],3,FALSE)+BookBalance[[#This Row],[Saldo 31.12.19]]</f>
        <v>0</v>
      </c>
      <c r="C50" s="5">
        <f>IFERROR(IF(BookBalance[[#This Row],[Saldo]]="","",BookBalance[[#This Row],[Saldo]]/H$7),"")</f>
        <v>0</v>
      </c>
      <c r="D50" s="3">
        <f>VLOOKUP(ROW()-1,Data[],16,FALSE)</f>
        <v>0</v>
      </c>
      <c r="E50" s="191"/>
      <c r="F50" s="190"/>
    </row>
    <row r="51" spans="1:11">
      <c r="A51" t="str">
        <f>IFERROR(VLOOKUP(ROW()-1,BookieName[],3,FALSE),"")</f>
        <v>Paddypower</v>
      </c>
      <c r="B51" s="3">
        <f>VLOOKUP(ROW()-1,Data[],3,FALSE)+BookBalance[[#This Row],[Saldo 31.12.19]]</f>
        <v>0</v>
      </c>
      <c r="C51" s="5">
        <f>IFERROR(IF(BookBalance[[#This Row],[Saldo]]="","",BookBalance[[#This Row],[Saldo]]/H$7),"")</f>
        <v>0</v>
      </c>
      <c r="D51" s="3">
        <f>VLOOKUP(ROW()-1,Data[],16,FALSE)</f>
        <v>0</v>
      </c>
      <c r="E51" s="191"/>
      <c r="F51" s="190"/>
    </row>
    <row r="52" spans="1:11">
      <c r="A52" t="str">
        <f>IFERROR(VLOOKUP(ROW()-1,BookieName[],3,FALSE),"")</f>
        <v>Pinnacle</v>
      </c>
      <c r="B52" s="3">
        <f>VLOOKUP(ROW()-1,Data[],3,FALSE)+BookBalance[[#This Row],[Saldo 31.12.19]]</f>
        <v>0</v>
      </c>
      <c r="C52" s="5">
        <f>IFERROR(IF(BookBalance[[#This Row],[Saldo]]="","",BookBalance[[#This Row],[Saldo]]/H$7),"")</f>
        <v>0</v>
      </c>
      <c r="D52" s="3">
        <f>VLOOKUP(ROW()-1,Data[],16,FALSE)</f>
        <v>0</v>
      </c>
      <c r="E52" s="191"/>
      <c r="F52" s="190"/>
    </row>
    <row r="53" spans="1:11">
      <c r="A53" t="str">
        <f>IFERROR(VLOOKUP(ROW()-1,BookieName[],3,FALSE),"")</f>
        <v>Racebets</v>
      </c>
      <c r="B53" s="3">
        <f>VLOOKUP(ROW()-1,Data[],3,FALSE)+BookBalance[[#This Row],[Saldo 31.12.19]]</f>
        <v>0</v>
      </c>
      <c r="C53" s="5">
        <f>IFERROR(IF(BookBalance[[#This Row],[Saldo]]="","",BookBalance[[#This Row],[Saldo]]/H$7),"")</f>
        <v>0</v>
      </c>
      <c r="D53" s="3">
        <f>VLOOKUP(ROW()-1,Data[],16,FALSE)</f>
        <v>0</v>
      </c>
      <c r="E53" s="3"/>
      <c r="F53" s="174"/>
    </row>
    <row r="54" spans="1:11">
      <c r="A54" t="str">
        <f>IFERROR(VLOOKUP(ROW()-1,BookieName[],3,FALSE),"")</f>
        <v>RealDealBet</v>
      </c>
      <c r="B54" s="3">
        <f>VLOOKUP(ROW()-1,Data[],3,FALSE)+BookBalance[[#This Row],[Saldo 31.12.19]]</f>
        <v>0</v>
      </c>
      <c r="C54" s="5">
        <f>IFERROR(IF(BookBalance[[#This Row],[Saldo]]="","",BookBalance[[#This Row],[Saldo]]/H$7),"")</f>
        <v>0</v>
      </c>
      <c r="D54" s="3">
        <f>VLOOKUP(ROW()-1,Data[],16,FALSE)</f>
        <v>0</v>
      </c>
      <c r="E54" s="191"/>
      <c r="F54" s="190"/>
    </row>
    <row r="55" spans="1:11">
      <c r="A55" t="str">
        <f>IFERROR(VLOOKUP(ROW()-1,BookieName[],3,FALSE),"")</f>
        <v>Redarmybet</v>
      </c>
      <c r="B55" s="3">
        <f>VLOOKUP(ROW()-1,Data[],3,FALSE)+BookBalance[[#This Row],[Saldo 31.12.19]]</f>
        <v>0</v>
      </c>
      <c r="C55" s="5">
        <f>IFERROR(IF(BookBalance[[#This Row],[Saldo]]="","",BookBalance[[#This Row],[Saldo]]/H$7),"")</f>
        <v>0</v>
      </c>
      <c r="D55" s="3">
        <f>VLOOKUP(ROW()-1,Data[],16,FALSE)</f>
        <v>0</v>
      </c>
      <c r="E55" s="191"/>
      <c r="F55" s="190"/>
    </row>
    <row r="56" spans="1:11">
      <c r="A56" s="112" t="str">
        <f>IFERROR(VLOOKUP(ROW()-1,BookieName[],3,FALSE),"")</f>
        <v>Redbet</v>
      </c>
      <c r="B56" s="113">
        <f>VLOOKUP(ROW()-1,Data[],3,FALSE)+BookBalance[[#This Row],[Saldo 31.12.19]]</f>
        <v>0</v>
      </c>
      <c r="C56" s="114">
        <f>IFERROR(IF(BookBalance[[#This Row],[Saldo]]="","",BookBalance[[#This Row],[Saldo]]/H$7),"")</f>
        <v>0</v>
      </c>
      <c r="D56" s="113">
        <f>VLOOKUP(ROW()-1,Data[],16,FALSE)</f>
        <v>0</v>
      </c>
      <c r="E56" s="191"/>
      <c r="F56" s="190"/>
    </row>
    <row r="57" spans="1:11">
      <c r="A57" s="112" t="str">
        <f>IFERROR(VLOOKUP(ROW()-1,BookieName[],3,FALSE),"")</f>
        <v>Redsbet</v>
      </c>
      <c r="B57" s="113">
        <f>VLOOKUP(ROW()-1,Data[],3,FALSE)+BookBalance[[#This Row],[Saldo 31.12.19]]</f>
        <v>0</v>
      </c>
      <c r="C57" s="114">
        <f>IFERROR(IF(BookBalance[[#This Row],[Saldo]]="","",BookBalance[[#This Row],[Saldo]]/H$7),"")</f>
        <v>0</v>
      </c>
      <c r="D57" s="113">
        <f>VLOOKUP(ROW()-1,Data[],16,FALSE)</f>
        <v>0</v>
      </c>
      <c r="E57" s="3"/>
      <c r="F57" s="174"/>
    </row>
    <row r="58" spans="1:11">
      <c r="A58" s="112" t="str">
        <f>IFERROR(VLOOKUP(ROW()-1,BookieName[],3,FALSE),"")</f>
        <v>Rivalo</v>
      </c>
      <c r="B58" s="113">
        <f>VLOOKUP(ROW()-1,Data[],3,FALSE)+BookBalance[[#This Row],[Saldo 31.12.19]]</f>
        <v>0</v>
      </c>
      <c r="C58" s="114">
        <f>IFERROR(IF(BookBalance[[#This Row],[Saldo]]="","",BookBalance[[#This Row],[Saldo]]/H$7),"")</f>
        <v>0</v>
      </c>
      <c r="D58" s="113">
        <f>VLOOKUP(ROW()-1,Data[],16,FALSE)</f>
        <v>0</v>
      </c>
      <c r="E58" s="174"/>
      <c r="F58" s="190"/>
    </row>
    <row r="59" spans="1:11">
      <c r="A59" s="112" t="str">
        <f>IFERROR(VLOOKUP(ROW()-1,BookieName[],3,FALSE),"")</f>
        <v>Rizk</v>
      </c>
      <c r="B59" s="113">
        <f>VLOOKUP(ROW()-1,Data[],3,FALSE)+BookBalance[[#This Row],[Saldo 31.12.19]]</f>
        <v>1855.3</v>
      </c>
      <c r="C59" s="114">
        <f>IFERROR(IF(BookBalance[[#This Row],[Saldo]]="","",BookBalance[[#This Row],[Saldo]]/H$7),"")</f>
        <v>2.1398592983631455E-2</v>
      </c>
      <c r="D59" s="113">
        <f>VLOOKUP(ROW()-1,Data[],16,FALSE)</f>
        <v>0</v>
      </c>
      <c r="E59" s="174">
        <v>1855.3</v>
      </c>
      <c r="F59" s="190">
        <v>43913</v>
      </c>
    </row>
    <row r="60" spans="1:11">
      <c r="A60" s="112" t="str">
        <f>IFERROR(VLOOKUP(ROW()-1,BookieName[],3,FALSE),"")</f>
        <v>SBOBet</v>
      </c>
      <c r="B60" s="113">
        <f>VLOOKUP(ROW()-1,Data[],3,FALSE)+BookBalance[[#This Row],[Saldo 31.12.19]]</f>
        <v>0</v>
      </c>
      <c r="C60" s="114">
        <f>IFERROR(IF(BookBalance[[#This Row],[Saldo]]="","",BookBalance[[#This Row],[Saldo]]/H$7),"")</f>
        <v>0</v>
      </c>
      <c r="D60" s="113">
        <f>VLOOKUP(ROW()-1,Data[],16,FALSE)</f>
        <v>0</v>
      </c>
      <c r="E60" s="174"/>
      <c r="F60" s="190"/>
    </row>
    <row r="61" spans="1:11">
      <c r="A61" s="112" t="str">
        <f>IFERROR(VLOOKUP(ROW()-1,BookieName[],3,FALSE),"")</f>
        <v>Scandibet</v>
      </c>
      <c r="B61" s="113">
        <f>VLOOKUP(ROW()-1,Data[],3,FALSE)+BookBalance[[#This Row],[Saldo 31.12.19]]</f>
        <v>0</v>
      </c>
      <c r="C61" s="114">
        <f>IFERROR(IF(BookBalance[[#This Row],[Saldo]]="","",BookBalance[[#This Row],[Saldo]]/H$7),"")</f>
        <v>0</v>
      </c>
      <c r="D61" s="113">
        <f>VLOOKUP(ROW()-1,Data[],16,FALSE)</f>
        <v>0</v>
      </c>
      <c r="E61" s="174"/>
      <c r="F61" s="190"/>
    </row>
    <row r="62" spans="1:11">
      <c r="A62" s="112" t="str">
        <f>IFERROR(VLOOKUP(ROW()-1,BookieName[],3,FALSE),"")</f>
        <v>Spilleautomater</v>
      </c>
      <c r="B62" s="113">
        <f>VLOOKUP(ROW()-1,Data[],3,FALSE)+BookBalance[[#This Row],[Saldo 31.12.19]]</f>
        <v>0</v>
      </c>
      <c r="C62" s="114">
        <f>IFERROR(IF(BookBalance[[#This Row],[Saldo]]="","",BookBalance[[#This Row],[Saldo]]/H$7),"")</f>
        <v>0</v>
      </c>
      <c r="D62" s="113">
        <f>VLOOKUP(ROW()-1,Data[],16,FALSE)</f>
        <v>0</v>
      </c>
      <c r="E62" s="174"/>
      <c r="F62" s="190"/>
    </row>
    <row r="63" spans="1:11">
      <c r="A63" s="112" t="str">
        <f>IFERROR(VLOOKUP(ROW()-1,BookieName[],3,FALSE),"")</f>
        <v>Spinsports</v>
      </c>
      <c r="B63" s="113">
        <f>VLOOKUP(ROW()-1,Data[],3,FALSE)+BookBalance[[#This Row],[Saldo 31.12.19]]</f>
        <v>0</v>
      </c>
      <c r="C63" s="114">
        <f>IFERROR(IF(BookBalance[[#This Row],[Saldo]]="","",BookBalance[[#This Row],[Saldo]]/H$7),"")</f>
        <v>0</v>
      </c>
      <c r="D63" s="113">
        <f>VLOOKUP(ROW()-1,Data[],16,FALSE)</f>
        <v>0</v>
      </c>
      <c r="E63" s="174"/>
      <c r="F63" s="190">
        <v>43913</v>
      </c>
    </row>
    <row r="64" spans="1:11">
      <c r="A64" s="112" t="str">
        <f>IFERROR(VLOOKUP(ROW()-1,BookieName[],3,FALSE),"")</f>
        <v>Sportmarket</v>
      </c>
      <c r="B64" s="113">
        <f>VLOOKUP(ROW()-1,Data[],3,FALSE)+BookBalance[[#This Row],[Saldo 31.12.19]]</f>
        <v>0</v>
      </c>
      <c r="C64" s="114">
        <f>IFERROR(IF(BookBalance[[#This Row],[Saldo]]="","",BookBalance[[#This Row],[Saldo]]/H$7),"")</f>
        <v>0</v>
      </c>
      <c r="D64" s="113">
        <f>VLOOKUP(ROW()-1,Data[],16,FALSE)</f>
        <v>0</v>
      </c>
      <c r="E64" s="174"/>
      <c r="F64" s="190"/>
      <c r="K64" s="3"/>
    </row>
    <row r="65" spans="1:11">
      <c r="A65" s="140" t="str">
        <f>IFERROR(VLOOKUP(ROW()-1,BookieName[],3,FALSE),"")</f>
        <v>Storspiller</v>
      </c>
      <c r="B65" s="141">
        <f>VLOOKUP(ROW()-1,Data[],3,FALSE)+BookBalance[[#This Row],[Saldo 31.12.19]]</f>
        <v>0</v>
      </c>
      <c r="C65" s="142">
        <f>IFERROR(IF(BookBalance[[#This Row],[Saldo]]="","",BookBalance[[#This Row],[Saldo]]/H$7),"")</f>
        <v>0</v>
      </c>
      <c r="D65" s="141">
        <f>VLOOKUP(ROW()-1,Data[],16,FALSE)</f>
        <v>0</v>
      </c>
      <c r="E65" s="192"/>
      <c r="F65" s="191"/>
    </row>
    <row r="66" spans="1:11">
      <c r="A66" s="140" t="str">
        <f>IFERROR(VLOOKUP(ROW()-1,BookieName[],3,FALSE),"")</f>
        <v>Sunmaker</v>
      </c>
      <c r="B66" s="141">
        <f>VLOOKUP(ROW()-1,Data[],3,FALSE)+BookBalance[[#This Row],[Saldo 31.12.19]]</f>
        <v>0</v>
      </c>
      <c r="C66" s="142">
        <f>IFERROR(IF(BookBalance[[#This Row],[Saldo]]="","",BookBalance[[#This Row],[Saldo]]/H$7),"")</f>
        <v>0</v>
      </c>
      <c r="D66" s="141">
        <f>VLOOKUP(ROW()-1,Data[],16,FALSE)</f>
        <v>0</v>
      </c>
      <c r="E66" s="192"/>
      <c r="F66" s="191"/>
    </row>
    <row r="67" spans="1:11">
      <c r="A67" s="140" t="str">
        <f>IFERROR(VLOOKUP(ROW()-1,BookieName[],3,FALSE),"")</f>
        <v>Superlenny</v>
      </c>
      <c r="B67" s="141">
        <f>VLOOKUP(ROW()-1,Data[],3,FALSE)+BookBalance[[#This Row],[Saldo 31.12.19]]</f>
        <v>0</v>
      </c>
      <c r="C67" s="142">
        <f>IFERROR(IF(BookBalance[[#This Row],[Saldo]]="","",BookBalance[[#This Row],[Saldo]]/H$7),"")</f>
        <v>0</v>
      </c>
      <c r="D67" s="141">
        <f>VLOOKUP(ROW()-1,Data[],16,FALSE)</f>
        <v>0</v>
      </c>
      <c r="E67" s="192"/>
      <c r="F67" s="191"/>
    </row>
    <row r="68" spans="1:11">
      <c r="A68" s="140" t="str">
        <f>IFERROR(VLOOKUP(ROW()-1,BookieName[],3,FALSE),"")</f>
        <v>Titanbet</v>
      </c>
      <c r="B68" s="141">
        <f>VLOOKUP(ROW()-1,Data[],3,FALSE)+BookBalance[[#This Row],[Saldo 31.12.19]]</f>
        <v>0</v>
      </c>
      <c r="C68" s="142">
        <f>IFERROR(IF(BookBalance[[#This Row],[Saldo]]="","",BookBalance[[#This Row],[Saldo]]/H$7),"")</f>
        <v>0</v>
      </c>
      <c r="D68" s="141">
        <f>VLOOKUP(ROW()-1,Data[],16,FALSE)</f>
        <v>0</v>
      </c>
      <c r="E68" s="192"/>
      <c r="F68" s="191"/>
    </row>
    <row r="69" spans="1:11">
      <c r="A69" s="140" t="str">
        <f>IFERROR(VLOOKUP(ROW()-1,BookieName[],3,FALSE),"")</f>
        <v>Unibet</v>
      </c>
      <c r="B69" s="141">
        <f>VLOOKUP(ROW()-1,Data[],3,FALSE)+BookBalance[[#This Row],[Saldo 31.12.19]]</f>
        <v>590.9</v>
      </c>
      <c r="C69" s="142">
        <f>IFERROR(IF(BookBalance[[#This Row],[Saldo]]="","",BookBalance[[#This Row],[Saldo]]/H$7),"")</f>
        <v>6.8153013496619567E-3</v>
      </c>
      <c r="D69" s="141">
        <f>VLOOKUP(ROW()-1,Data[],16,FALSE)</f>
        <v>0</v>
      </c>
      <c r="E69" s="174">
        <v>590.9</v>
      </c>
      <c r="F69" s="190">
        <v>43913</v>
      </c>
    </row>
    <row r="70" spans="1:11">
      <c r="A70" s="140" t="str">
        <f>IFERROR(VLOOKUP(ROW()-1,BookieName[],3,FALSE),"")</f>
        <v>Vervepenger</v>
      </c>
      <c r="B70" s="141">
        <f>VLOOKUP(ROW()-1,Data[],3,FALSE)+BookBalance[[#This Row],[Saldo 31.12.19]]</f>
        <v>0</v>
      </c>
      <c r="C70" s="142">
        <f>IFERROR(IF(BookBalance[[#This Row],[Saldo]]="","",BookBalance[[#This Row],[Saldo]]/H$7),"")</f>
        <v>0</v>
      </c>
      <c r="D70" s="141">
        <f>VLOOKUP(ROW()-1,Data[],16,FALSE)</f>
        <v>0</v>
      </c>
      <c r="E70" s="141"/>
      <c r="F70" s="190"/>
    </row>
    <row r="71" spans="1:11">
      <c r="A71" s="140" t="str">
        <f>IFERROR(VLOOKUP(ROW()-1,BookieName[],3,FALSE),"")</f>
        <v>VonBets</v>
      </c>
      <c r="B71" s="141">
        <f>VLOOKUP(ROW()-1,Data[],3,FALSE)+BookBalance[[#This Row],[Saldo 31.12.19]]</f>
        <v>0</v>
      </c>
      <c r="C71" s="142">
        <f>IFERROR(IF(BookBalance[[#This Row],[Saldo]]="","",BookBalance[[#This Row],[Saldo]]/H$7),"")</f>
        <v>0</v>
      </c>
      <c r="D71" s="141">
        <f>VLOOKUP(ROW()-1,Data[],16,FALSE)</f>
        <v>0</v>
      </c>
      <c r="E71" s="141"/>
      <c r="F71" s="190"/>
    </row>
    <row r="72" spans="1:11">
      <c r="A72" s="140" t="str">
        <f>IFERROR(VLOOKUP(ROW()-1,BookieName[],3,FALSE),"")</f>
        <v>Xtip</v>
      </c>
      <c r="B72" s="141">
        <f>VLOOKUP(ROW()-1,Data[],3,FALSE)+BookBalance[[#This Row],[Saldo 31.12.19]]</f>
        <v>0</v>
      </c>
      <c r="C72" s="142">
        <f>IFERROR(IF(BookBalance[[#This Row],[Saldo]]="","",BookBalance[[#This Row],[Saldo]]/H$7),"")</f>
        <v>0</v>
      </c>
      <c r="D72" s="141">
        <f>VLOOKUP(ROW()-1,Data[],16,FALSE)</f>
        <v>0</v>
      </c>
      <c r="E72" s="141"/>
      <c r="F72" s="190"/>
      <c r="K72" s="3"/>
    </row>
    <row r="73" spans="1:11">
      <c r="A73" s="140" t="str">
        <f>IFERROR(VLOOKUP(ROW()-1,BookieName[],3,FALSE),"")</f>
        <v>LiBetsson</v>
      </c>
      <c r="B73" s="141">
        <f>VLOOKUP(ROW()-1,Data[],3,FALSE)+BookBalance[[#This Row],[Saldo 31.12.19]]</f>
        <v>0</v>
      </c>
      <c r="C73" s="142">
        <f>IFERROR(IF(BookBalance[[#This Row],[Saldo]]="","",BookBalance[[#This Row],[Saldo]]/H$7),"")</f>
        <v>0</v>
      </c>
      <c r="D73" s="141">
        <f>VLOOKUP(ROW()-1,Data[],16,FALSE)</f>
        <v>0</v>
      </c>
      <c r="E73" s="141"/>
      <c r="F73" s="190">
        <v>44062</v>
      </c>
    </row>
    <row r="74" spans="1:11">
      <c r="A74" s="140" t="str">
        <f>IFERROR(VLOOKUP(ROW()-1,BookieName[],3,FALSE),"")</f>
        <v>LiBetsafe</v>
      </c>
      <c r="B74" s="141">
        <f>VLOOKUP(ROW()-1,Data[],3,FALSE)+BookBalance[[#This Row],[Saldo 31.12.19]]</f>
        <v>0</v>
      </c>
      <c r="C74" s="142">
        <f>IFERROR(IF(BookBalance[[#This Row],[Saldo]]="","",BookBalance[[#This Row],[Saldo]]/H$7),"")</f>
        <v>0</v>
      </c>
      <c r="D74" s="141">
        <f>VLOOKUP(ROW()-1,Data[],16,FALSE)</f>
        <v>0</v>
      </c>
      <c r="E74" s="141"/>
      <c r="F74" s="190">
        <v>44062</v>
      </c>
    </row>
    <row r="75" spans="1:11">
      <c r="A75" s="140" t="str">
        <f>IFERROR(VLOOKUP(ROW()-1,BookieName[],3,FALSE),"")</f>
        <v>LiNordicbet</v>
      </c>
      <c r="B75" s="141">
        <f>VLOOKUP(ROW()-1,Data[],3,FALSE)+BookBalance[[#This Row],[Saldo 31.12.19]]</f>
        <v>0</v>
      </c>
      <c r="C75" s="142">
        <f>IFERROR(IF(BookBalance[[#This Row],[Saldo]]="","",BookBalance[[#This Row],[Saldo]]/H$7),"")</f>
        <v>0</v>
      </c>
      <c r="D75" s="141">
        <f>VLOOKUP(ROW()-1,Data[],16,FALSE)</f>
        <v>0</v>
      </c>
      <c r="E75" s="141"/>
      <c r="F75" s="190">
        <v>44062</v>
      </c>
    </row>
    <row r="76" spans="1:11">
      <c r="A76" s="140" t="str">
        <f>IFERROR(VLOOKUP(ROW()-1,BookieName[],3,FALSE),"")</f>
        <v>LiUnibet</v>
      </c>
      <c r="B76" s="141">
        <f>VLOOKUP(ROW()-1,Data[],3,FALSE)+BookBalance[[#This Row],[Saldo 31.12.19]]</f>
        <v>0</v>
      </c>
      <c r="C76" s="142">
        <f>IFERROR(IF(BookBalance[[#This Row],[Saldo]]="","",BookBalance[[#This Row],[Saldo]]/H$7),"")</f>
        <v>0</v>
      </c>
      <c r="D76" s="141">
        <f>VLOOKUP(ROW()-1,Data[],16,FALSE)</f>
        <v>0</v>
      </c>
      <c r="E76" s="141"/>
      <c r="F76" s="190">
        <v>44062</v>
      </c>
    </row>
    <row r="77" spans="1:11">
      <c r="A77" s="140" t="str">
        <f>IFERROR(VLOOKUP(ROW()-1,BookieName[],3,FALSE),"")</f>
        <v>LiBethard</v>
      </c>
      <c r="B77" s="141">
        <f>VLOOKUP(ROW()-1,Data[],3,FALSE)+BookBalance[[#This Row],[Saldo 31.12.19]]</f>
        <v>0</v>
      </c>
      <c r="C77" s="142">
        <f>IFERROR(IF(BookBalance[[#This Row],[Saldo]]="","",BookBalance[[#This Row],[Saldo]]/H$7),"")</f>
        <v>0</v>
      </c>
      <c r="D77" s="141">
        <f>VLOOKUP(ROW()-1,Data[],16,FALSE)</f>
        <v>0</v>
      </c>
      <c r="E77" s="141"/>
      <c r="F77" s="190">
        <v>44062</v>
      </c>
    </row>
    <row r="78" spans="1:11">
      <c r="A78" s="140" t="str">
        <f>IFERROR(VLOOKUP(ROW()-1,BookieName[],3,FALSE),"")</f>
        <v>LiBet365</v>
      </c>
      <c r="B78" s="141">
        <f>VLOOKUP(ROW()-1,Data[],3,FALSE)+BookBalance[[#This Row],[Saldo 31.12.19]]</f>
        <v>0</v>
      </c>
      <c r="C78" s="142">
        <f>IFERROR(IF(BookBalance[[#This Row],[Saldo]]="","",BookBalance[[#This Row],[Saldo]]/H$7),"")</f>
        <v>0</v>
      </c>
      <c r="D78" s="141">
        <f>VLOOKUP(ROW()-1,Data[],16,FALSE)</f>
        <v>0</v>
      </c>
      <c r="E78" s="141"/>
      <c r="F78" s="190">
        <v>44062</v>
      </c>
    </row>
    <row r="79" spans="1:11">
      <c r="A79" s="140" t="str">
        <f>IFERROR(VLOOKUP(ROW()-1,BookieName[],3,FALSE),"")</f>
        <v>LiComeOn</v>
      </c>
      <c r="B79" s="141">
        <f>VLOOKUP(ROW()-1,Data[],3,FALSE)+BookBalance[[#This Row],[Saldo 31.12.19]]</f>
        <v>0</v>
      </c>
      <c r="C79" s="142">
        <f>IFERROR(IF(BookBalance[[#This Row],[Saldo]]="","",BookBalance[[#This Row],[Saldo]]/H$7),"")</f>
        <v>0</v>
      </c>
      <c r="D79" s="141">
        <f>VLOOKUP(ROW()-1,Data[],16,FALSE)</f>
        <v>0</v>
      </c>
      <c r="E79" s="141"/>
      <c r="F79" s="190">
        <v>44062</v>
      </c>
    </row>
    <row r="80" spans="1:11">
      <c r="A80" s="140" t="str">
        <f>IFERROR(VLOOKUP(ROW()-1,BookieName[],3,FALSE),"")</f>
        <v>LiRizk</v>
      </c>
      <c r="B80" s="141">
        <f>VLOOKUP(ROW()-1,Data[],3,FALSE)+BookBalance[[#This Row],[Saldo 31.12.19]]</f>
        <v>0</v>
      </c>
      <c r="C80" s="142">
        <f>IFERROR(IF(BookBalance[[#This Row],[Saldo]]="","",BookBalance[[#This Row],[Saldo]]/H$7),"")</f>
        <v>0</v>
      </c>
      <c r="D80" s="141">
        <f>VLOOKUP(ROW()-1,Data[],16,FALSE)</f>
        <v>0</v>
      </c>
      <c r="E80" s="141"/>
      <c r="F80" s="190">
        <v>44062</v>
      </c>
      <c r="H80" s="3"/>
    </row>
    <row r="81" spans="1:7">
      <c r="A81" s="140" t="str">
        <f>IFERROR(VLOOKUP(ROW()-1,BookieName[],3,FALSE),"")</f>
        <v>LiBet90</v>
      </c>
      <c r="B81" s="141">
        <f>VLOOKUP(ROW()-1,Data[],3,FALSE)+BookBalance[[#This Row],[Saldo 31.12.19]]</f>
        <v>0</v>
      </c>
      <c r="C81" s="142">
        <f>IFERROR(IF(BookBalance[[#This Row],[Saldo]]="","",BookBalance[[#This Row],[Saldo]]/H$7),"")</f>
        <v>0</v>
      </c>
      <c r="D81" s="141">
        <f>VLOOKUP(ROW()-1,Data[],16,FALSE)</f>
        <v>0</v>
      </c>
      <c r="E81" s="141"/>
      <c r="F81" s="190">
        <v>44062</v>
      </c>
    </row>
    <row r="82" spans="1:7">
      <c r="A82" s="140" t="str">
        <f>IFERROR(VLOOKUP(ROW()-1,BookieName[],3,FALSE),"")</f>
        <v>LiNorgesspill</v>
      </c>
      <c r="B82" s="141">
        <f>VLOOKUP(ROW()-1,Data[],3,FALSE)+BookBalance[[#This Row],[Saldo 31.12.19]]</f>
        <v>0</v>
      </c>
      <c r="C82" s="142">
        <f>IFERROR(IF(BookBalance[[#This Row],[Saldo]]="","",BookBalance[[#This Row],[Saldo]]/H$7),"")</f>
        <v>0</v>
      </c>
      <c r="D82" s="141">
        <f>VLOOKUP(ROW()-1,Data[],16,FALSE)</f>
        <v>0</v>
      </c>
      <c r="E82" s="141"/>
      <c r="F82" s="190">
        <v>44062</v>
      </c>
    </row>
    <row r="83" spans="1:7">
      <c r="A83" s="140" t="str">
        <f>IFERROR(VLOOKUP(ROW()-1,BookieName[],3,FALSE),"")</f>
        <v>LiLeoVegas</v>
      </c>
      <c r="B83" s="141">
        <f>VLOOKUP(ROW()-1,Data[],3,FALSE)+BookBalance[[#This Row],[Saldo 31.12.19]]</f>
        <v>0</v>
      </c>
      <c r="C83" s="142">
        <f>IFERROR(IF(BookBalance[[#This Row],[Saldo]]="","",BookBalance[[#This Row],[Saldo]]/H$7),"")</f>
        <v>0</v>
      </c>
      <c r="D83" s="141">
        <f>VLOOKUP(ROW()-1,Data[],16,FALSE)</f>
        <v>0</v>
      </c>
      <c r="E83" s="141"/>
      <c r="F83" s="190">
        <v>44062</v>
      </c>
      <c r="G83" s="3"/>
    </row>
    <row r="84" spans="1:7">
      <c r="A84" s="140" t="str">
        <f>IFERROR(VLOOKUP(ROW()-1,BookieName[],3,FALSE),"")</f>
        <v>LiGuts</v>
      </c>
      <c r="B84" s="141">
        <f>VLOOKUP(ROW()-1,Data[],3,FALSE)+BookBalance[[#This Row],[Saldo 31.12.19]]</f>
        <v>0</v>
      </c>
      <c r="C84" s="142">
        <f>IFERROR(IF(BookBalance[[#This Row],[Saldo]]="","",BookBalance[[#This Row],[Saldo]]/H$7),"")</f>
        <v>0</v>
      </c>
      <c r="D84" s="141">
        <f>VLOOKUP(ROW()-1,Data[],16,FALSE)</f>
        <v>0</v>
      </c>
      <c r="E84" s="141"/>
      <c r="F84" s="190">
        <v>44062</v>
      </c>
      <c r="G84" s="3"/>
    </row>
    <row r="85" spans="1:7">
      <c r="A85" s="140" t="str">
        <f>IFERROR(VLOOKUP(ROW()-1,BookieName[],3,FALSE),"")</f>
        <v>AaBetsson</v>
      </c>
      <c r="B85" s="141">
        <f>VLOOKUP(ROW()-1,Data[],3,FALSE)+BookBalance[[#This Row],[Saldo 31.12.19]]</f>
        <v>0</v>
      </c>
      <c r="C85" s="142">
        <f>IFERROR(IF(BookBalance[[#This Row],[Saldo]]="","",BookBalance[[#This Row],[Saldo]]/H$7),"")</f>
        <v>0</v>
      </c>
      <c r="D85" s="141">
        <f>VLOOKUP(ROW()-1,Data[],16,FALSE)</f>
        <v>0</v>
      </c>
      <c r="E85" s="141"/>
      <c r="F85" s="190">
        <v>44062</v>
      </c>
    </row>
    <row r="86" spans="1:7">
      <c r="A86" s="140" t="str">
        <f>IFERROR(VLOOKUP(ROW()-1,BookieName[],3,FALSE),"")</f>
        <v>AaBetsafe</v>
      </c>
      <c r="B86" s="141">
        <f>VLOOKUP(ROW()-1,Data[],3,FALSE)+BookBalance[[#This Row],[Saldo 31.12.19]]</f>
        <v>0</v>
      </c>
      <c r="C86" s="142">
        <f>IFERROR(IF(BookBalance[[#This Row],[Saldo]]="","",BookBalance[[#This Row],[Saldo]]/H$7),"")</f>
        <v>0</v>
      </c>
      <c r="D86" s="141">
        <f>VLOOKUP(ROW()-1,Data[],16,FALSE)</f>
        <v>0</v>
      </c>
      <c r="E86" s="141"/>
      <c r="F86" s="190">
        <v>44062</v>
      </c>
    </row>
    <row r="87" spans="1:7">
      <c r="A87" s="140" t="str">
        <f>IFERROR(VLOOKUP(ROW()-1,BookieName[],3,FALSE),"")</f>
        <v>AaNordicbet</v>
      </c>
      <c r="B87" s="141">
        <f>VLOOKUP(ROW()-1,Data[],3,FALSE)+BookBalance[[#This Row],[Saldo 31.12.19]]</f>
        <v>0</v>
      </c>
      <c r="C87" s="142">
        <f>IFERROR(IF(BookBalance[[#This Row],[Saldo]]="","",BookBalance[[#This Row],[Saldo]]/H$7),"")</f>
        <v>0</v>
      </c>
      <c r="D87" s="141">
        <f>VLOOKUP(ROW()-1,Data[],16,FALSE)</f>
        <v>0</v>
      </c>
      <c r="E87" s="141"/>
      <c r="F87" s="190">
        <v>44062</v>
      </c>
    </row>
    <row r="88" spans="1:7">
      <c r="A88" s="140" t="str">
        <f>IFERROR(VLOOKUP(ROW()-1,BookieName[],3,FALSE),"")</f>
        <v>AaUnibet</v>
      </c>
      <c r="B88" s="141">
        <f>VLOOKUP(ROW()-1,Data[],3,FALSE)+BookBalance[[#This Row],[Saldo 31.12.19]]</f>
        <v>0</v>
      </c>
      <c r="C88" s="142">
        <f>IFERROR(IF(BookBalance[[#This Row],[Saldo]]="","",BookBalance[[#This Row],[Saldo]]/H$7),"")</f>
        <v>0</v>
      </c>
      <c r="D88" s="141">
        <f>VLOOKUP(ROW()-1,Data[],16,FALSE)</f>
        <v>0</v>
      </c>
      <c r="E88" s="141"/>
      <c r="F88" s="190">
        <v>44062</v>
      </c>
    </row>
    <row r="89" spans="1:7">
      <c r="A89" s="140" t="str">
        <f>IFERROR(VLOOKUP(ROW()-1,BookieName[],3,FALSE),"")</f>
        <v>AaBethard</v>
      </c>
      <c r="B89" s="141">
        <f>VLOOKUP(ROW()-1,Data[],3,FALSE)+BookBalance[[#This Row],[Saldo 31.12.19]]</f>
        <v>0</v>
      </c>
      <c r="C89" s="142">
        <f>IFERROR(IF(BookBalance[[#This Row],[Saldo]]="","",BookBalance[[#This Row],[Saldo]]/H$7),"")</f>
        <v>0</v>
      </c>
      <c r="D89" s="141">
        <f>VLOOKUP(ROW()-1,Data[],16,FALSE)</f>
        <v>0</v>
      </c>
      <c r="E89" s="141"/>
      <c r="F89" s="190">
        <v>44062</v>
      </c>
    </row>
    <row r="90" spans="1:7">
      <c r="A90" s="140" t="str">
        <f>IFERROR(VLOOKUP(ROW()-1,BookieName[],3,FALSE),"")</f>
        <v>AaBet365</v>
      </c>
      <c r="B90" s="141">
        <f>VLOOKUP(ROW()-1,Data[],3,FALSE)+BookBalance[[#This Row],[Saldo 31.12.19]]</f>
        <v>0</v>
      </c>
      <c r="C90" s="142">
        <f>IFERROR(IF(BookBalance[[#This Row],[Saldo]]="","",BookBalance[[#This Row],[Saldo]]/H$7),"")</f>
        <v>0</v>
      </c>
      <c r="D90" s="141">
        <f>VLOOKUP(ROW()-1,Data[],16,FALSE)</f>
        <v>0</v>
      </c>
      <c r="E90" s="141"/>
      <c r="F90" s="190">
        <v>44062</v>
      </c>
    </row>
    <row r="91" spans="1:7">
      <c r="A91" s="140" t="str">
        <f>IFERROR(VLOOKUP(ROW()-1,BookieName[],3,FALSE),"")</f>
        <v>AaComeOn</v>
      </c>
      <c r="B91" s="141">
        <f>VLOOKUP(ROW()-1,Data[],3,FALSE)+BookBalance[[#This Row],[Saldo 31.12.19]]</f>
        <v>0</v>
      </c>
      <c r="C91" s="142">
        <f>IFERROR(IF(BookBalance[[#This Row],[Saldo]]="","",BookBalance[[#This Row],[Saldo]]/H$7),"")</f>
        <v>0</v>
      </c>
      <c r="D91" s="141">
        <f>VLOOKUP(ROW()-1,Data[],16,FALSE)</f>
        <v>0</v>
      </c>
      <c r="E91" s="141"/>
      <c r="F91" s="190">
        <v>44062</v>
      </c>
    </row>
    <row r="92" spans="1:7">
      <c r="A92" s="140" t="str">
        <f>IFERROR(VLOOKUP(ROW()-1,BookieName[],3,FALSE),"")</f>
        <v>AaRizk</v>
      </c>
      <c r="B92" s="141">
        <f>VLOOKUP(ROW()-1,Data[],3,FALSE)+BookBalance[[#This Row],[Saldo 31.12.19]]</f>
        <v>0</v>
      </c>
      <c r="C92" s="142">
        <f>IFERROR(IF(BookBalance[[#This Row],[Saldo]]="","",BookBalance[[#This Row],[Saldo]]/H$7),"")</f>
        <v>0</v>
      </c>
      <c r="D92" s="141">
        <f>VLOOKUP(ROW()-1,Data[],16,FALSE)</f>
        <v>0</v>
      </c>
      <c r="E92" s="141"/>
      <c r="F92" s="190">
        <v>44062</v>
      </c>
    </row>
    <row r="93" spans="1:7">
      <c r="A93" s="140" t="str">
        <f>IFERROR(VLOOKUP(ROW()-1,BookieName[],3,FALSE),"")</f>
        <v>AaBet90</v>
      </c>
      <c r="B93" s="141">
        <f>VLOOKUP(ROW()-1,Data[],3,FALSE)+BookBalance[[#This Row],[Saldo 31.12.19]]</f>
        <v>0</v>
      </c>
      <c r="C93" s="142">
        <f>IFERROR(IF(BookBalance[[#This Row],[Saldo]]="","",BookBalance[[#This Row],[Saldo]]/H$7),"")</f>
        <v>0</v>
      </c>
      <c r="D93" s="141">
        <f>VLOOKUP(ROW()-1,Data[],16,FALSE)</f>
        <v>0</v>
      </c>
      <c r="E93" s="141"/>
      <c r="F93" s="190">
        <v>44062</v>
      </c>
    </row>
    <row r="94" spans="1:7">
      <c r="A94" s="140" t="str">
        <f>IFERROR(VLOOKUP(ROW()-1,BookieName[],3,FALSE),"")</f>
        <v>AaNorgesspill</v>
      </c>
      <c r="B94" s="141">
        <f>VLOOKUP(ROW()-1,Data[],3,FALSE)+BookBalance[[#This Row],[Saldo 31.12.19]]</f>
        <v>0</v>
      </c>
      <c r="C94" s="142">
        <f>IFERROR(IF(BookBalance[[#This Row],[Saldo]]="","",BookBalance[[#This Row],[Saldo]]/H$7),"")</f>
        <v>0</v>
      </c>
      <c r="D94" s="141">
        <f>VLOOKUP(ROW()-1,Data[],16,FALSE)</f>
        <v>0</v>
      </c>
      <c r="E94" s="141"/>
      <c r="F94" s="190">
        <v>44062</v>
      </c>
    </row>
    <row r="95" spans="1:7">
      <c r="A95" s="140" t="str">
        <f>IFERROR(VLOOKUP(ROW()-1,BookieName[],3,FALSE),"")</f>
        <v>AaLeoVegas</v>
      </c>
      <c r="B95" s="141">
        <f>VLOOKUP(ROW()-1,Data[],3,FALSE)+BookBalance[[#This Row],[Saldo 31.12.19]]</f>
        <v>0</v>
      </c>
      <c r="C95" s="142">
        <f>IFERROR(IF(BookBalance[[#This Row],[Saldo]]="","",BookBalance[[#This Row],[Saldo]]/H$7),"")</f>
        <v>0</v>
      </c>
      <c r="D95" s="141">
        <f>VLOOKUP(ROW()-1,Data[],16,FALSE)</f>
        <v>0</v>
      </c>
      <c r="E95" s="141"/>
      <c r="F95" s="190">
        <v>44062</v>
      </c>
    </row>
    <row r="96" spans="1:7">
      <c r="A96" s="140" t="str">
        <f>IFERROR(VLOOKUP(ROW()-1,BookieName[],3,FALSE),"")</f>
        <v>AaGuts</v>
      </c>
      <c r="B96" s="141">
        <f>VLOOKUP(ROW()-1,Data[],3,FALSE)+BookBalance[[#This Row],[Saldo 31.12.19]]</f>
        <v>0</v>
      </c>
      <c r="C96" s="142">
        <f>IFERROR(IF(BookBalance[[#This Row],[Saldo]]="","",BookBalance[[#This Row],[Saldo]]/H$7),"")</f>
        <v>0</v>
      </c>
      <c r="D96" s="141">
        <f>VLOOKUP(ROW()-1,Data[],16,FALSE)</f>
        <v>0</v>
      </c>
      <c r="E96" s="141"/>
      <c r="F96" s="190">
        <v>44062</v>
      </c>
    </row>
    <row r="97" spans="1:8">
      <c r="A97" s="140" t="str">
        <f>IFERROR(VLOOKUP(ROW()-1,BookieName[],3,FALSE),"")</f>
        <v>AaCoolbet</v>
      </c>
      <c r="B97" s="141">
        <f>VLOOKUP(ROW()-1,Data[],3,FALSE)+BookBalance[[#This Row],[Saldo 31.12.19]]</f>
        <v>0</v>
      </c>
      <c r="C97" s="142">
        <f>IFERROR(IF(BookBalance[[#This Row],[Saldo]]="","",BookBalance[[#This Row],[Saldo]]/H$7),"")</f>
        <v>0</v>
      </c>
      <c r="D97" s="141">
        <f>VLOOKUP(ROW()-1,Data[],16,FALSE)</f>
        <v>0</v>
      </c>
      <c r="E97" s="141"/>
      <c r="F97" s="189"/>
    </row>
    <row r="98" spans="1:8">
      <c r="A98" s="140" t="str">
        <f>IFERROR(VLOOKUP(ROW()-1,BookieName[],3,FALSE),"")</f>
        <v>Gn1Betsson</v>
      </c>
      <c r="B98" s="141">
        <f>VLOOKUP(ROW()-1,Data[],3,FALSE)+BookBalance[[#This Row],[Saldo 31.12.19]]</f>
        <v>0</v>
      </c>
      <c r="C98" s="142">
        <f>IFERROR(IF(BookBalance[[#This Row],[Saldo]]="","",BookBalance[[#This Row],[Saldo]]/H$7),"")</f>
        <v>0</v>
      </c>
      <c r="D98" s="141">
        <f>VLOOKUP(ROW()-1,Data[],16,FALSE)</f>
        <v>0</v>
      </c>
      <c r="E98" s="141"/>
      <c r="F98" s="189"/>
    </row>
    <row r="99" spans="1:8">
      <c r="A99" s="140" t="str">
        <f>IFERROR(VLOOKUP(ROW()-1,BookieName[],3,FALSE),"")</f>
        <v>LiMrGreen</v>
      </c>
      <c r="B99" s="141">
        <f>VLOOKUP(ROW()-1,Data[],3,FALSE)+BookBalance[[#This Row],[Saldo 31.12.19]]</f>
        <v>0</v>
      </c>
      <c r="C99" s="142">
        <f>IFERROR(IF(BookBalance[[#This Row],[Saldo]]="","",BookBalance[[#This Row],[Saldo]]/H$7),"")</f>
        <v>0</v>
      </c>
      <c r="D99" s="141">
        <f>VLOOKUP(ROW()-1,Data[],16,FALSE)</f>
        <v>0</v>
      </c>
      <c r="E99" s="141"/>
      <c r="F99" s="189"/>
    </row>
    <row r="100" spans="1:8">
      <c r="A100" s="140" t="str">
        <f>IFERROR(VLOOKUP(ROW()-1,BookieName[],3,FALSE),"")</f>
        <v>AaMrGreen</v>
      </c>
      <c r="B100" s="141">
        <f>VLOOKUP(ROW()-1,Data[],3,FALSE)+BookBalance[[#This Row],[Saldo 31.12.19]]</f>
        <v>0</v>
      </c>
      <c r="C100" s="142">
        <f>IFERROR(IF(BookBalance[[#This Row],[Saldo]]="","",BookBalance[[#This Row],[Saldo]]/H$7),"")</f>
        <v>0</v>
      </c>
      <c r="D100" s="141">
        <f>VLOOKUP(ROW()-1,Data[],16,FALSE)</f>
        <v>0</v>
      </c>
      <c r="E100" s="141"/>
      <c r="F100" s="189"/>
    </row>
    <row r="101" spans="1:8">
      <c r="A101" s="140" t="str">
        <f>IFERROR(VLOOKUP(ROW()-1,BookieName[],3,FALSE),"")</f>
        <v>AaFolkeautomaten</v>
      </c>
      <c r="B101" s="141">
        <f>VLOOKUP(ROW()-1,Data[],3,FALSE)+BookBalance[[#This Row],[Saldo 31.12.19]]</f>
        <v>0</v>
      </c>
      <c r="C101" s="142">
        <f>IFERROR(IF(BookBalance[[#This Row],[Saldo]]="","",BookBalance[[#This Row],[Saldo]]/H$7),"")</f>
        <v>0</v>
      </c>
      <c r="D101" s="141">
        <f>VLOOKUP(ROW()-1,Data[],16,FALSE)</f>
        <v>0</v>
      </c>
      <c r="E101" s="141"/>
      <c r="F101" s="189"/>
      <c r="G101" s="3"/>
    </row>
    <row r="102" spans="1:8">
      <c r="A102" s="140">
        <f>IFERROR(VLOOKUP(ROW()-1,BookieName[],3,FALSE),"")</f>
        <v>0</v>
      </c>
      <c r="B102" s="141">
        <f>VLOOKUP(ROW()-1,Data[],3,FALSE)+BookBalance[[#This Row],[Saldo 31.12.19]]</f>
        <v>0</v>
      </c>
      <c r="C102" s="142">
        <f>IFERROR(IF(BookBalance[[#This Row],[Saldo]]="","",BookBalance[[#This Row],[Saldo]]/H$7),"")</f>
        <v>0</v>
      </c>
      <c r="D102" s="141">
        <f>VLOOKUP(ROW()-1,Data[],16,FALSE)</f>
        <v>0</v>
      </c>
      <c r="E102" s="141"/>
      <c r="F102" s="189"/>
      <c r="H102" s="3"/>
    </row>
    <row r="103" spans="1:8">
      <c r="A103" s="140">
        <f>IFERROR(VLOOKUP(ROW()-1,BookieName[],3,FALSE),"")</f>
        <v>0</v>
      </c>
      <c r="B103" s="141">
        <f>VLOOKUP(ROW()-1,Data[],3,FALSE)+BookBalance[[#This Row],[Saldo 31.12.19]]</f>
        <v>0</v>
      </c>
      <c r="C103" s="142">
        <f>IFERROR(IF(BookBalance[[#This Row],[Saldo]]="","",BookBalance[[#This Row],[Saldo]]/H$7),"")</f>
        <v>0</v>
      </c>
      <c r="D103" s="141">
        <f>VLOOKUP(ROW()-1,Data[],16,FALSE)</f>
        <v>0</v>
      </c>
      <c r="E103" s="141"/>
      <c r="F103" s="189"/>
    </row>
    <row r="104" spans="1:8">
      <c r="A104" s="140">
        <f>IFERROR(VLOOKUP(ROW()-1,BookieName[],3,FALSE),"")</f>
        <v>0</v>
      </c>
      <c r="B104" s="141">
        <f>VLOOKUP(ROW()-1,Data[],3,FALSE)+BookBalance[[#This Row],[Saldo 31.12.19]]</f>
        <v>0</v>
      </c>
      <c r="C104" s="142">
        <f>IFERROR(IF(BookBalance[[#This Row],[Saldo]]="","",BookBalance[[#This Row],[Saldo]]/H$7),"")</f>
        <v>0</v>
      </c>
      <c r="D104" s="141">
        <f>VLOOKUP(ROW()-1,Data[],16,FALSE)</f>
        <v>0</v>
      </c>
      <c r="E104" s="141"/>
      <c r="F104" s="189"/>
    </row>
    <row r="105" spans="1:8">
      <c r="A105" s="140">
        <f>IFERROR(VLOOKUP(ROW()-1,BookieName[],3,FALSE),"")</f>
        <v>0</v>
      </c>
      <c r="B105" s="141">
        <f>VLOOKUP(ROW()-1,Data[],3,FALSE)+BookBalance[[#This Row],[Saldo 31.12.19]]</f>
        <v>0</v>
      </c>
      <c r="C105" s="142">
        <f>IFERROR(IF(BookBalance[[#This Row],[Saldo]]="","",BookBalance[[#This Row],[Saldo]]/H$7),"")</f>
        <v>0</v>
      </c>
      <c r="D105" s="141">
        <f>VLOOKUP(ROW()-1,Data[],16,FALSE)</f>
        <v>0</v>
      </c>
      <c r="E105" s="141"/>
      <c r="F105" s="189"/>
      <c r="H105" s="3"/>
    </row>
    <row r="106" spans="1:8">
      <c r="A106" s="140">
        <f>IFERROR(VLOOKUP(ROW()-1,BookieName[],3,FALSE),"")</f>
        <v>0</v>
      </c>
      <c r="B106" s="141">
        <f>VLOOKUP(ROW()-1,Data[],3,FALSE)+BookBalance[[#This Row],[Saldo 31.12.19]]</f>
        <v>0</v>
      </c>
      <c r="C106" s="142">
        <f>IFERROR(IF(BookBalance[[#This Row],[Saldo]]="","",BookBalance[[#This Row],[Saldo]]/H$7),"")</f>
        <v>0</v>
      </c>
      <c r="D106" s="141">
        <f>VLOOKUP(ROW()-1,Data[],16,FALSE)</f>
        <v>0</v>
      </c>
      <c r="E106" s="141"/>
      <c r="F106" s="189"/>
    </row>
    <row r="107" spans="1:8">
      <c r="A107" s="140">
        <f>IFERROR(VLOOKUP(ROW()-1,BookieName[],3,FALSE),"")</f>
        <v>0</v>
      </c>
      <c r="B107" s="141">
        <f>VLOOKUP(ROW()-1,Data[],3,FALSE)+BookBalance[[#This Row],[Saldo 31.12.19]]</f>
        <v>0</v>
      </c>
      <c r="C107" s="142">
        <f>IFERROR(IF(BookBalance[[#This Row],[Saldo]]="","",BookBalance[[#This Row],[Saldo]]/H$7),"")</f>
        <v>0</v>
      </c>
      <c r="D107" s="141">
        <f>VLOOKUP(ROW()-1,Data[],16,FALSE)</f>
        <v>0</v>
      </c>
      <c r="E107" s="141"/>
      <c r="F107" s="189"/>
    </row>
    <row r="108" spans="1:8">
      <c r="A108" s="140">
        <f>IFERROR(VLOOKUP(ROW()-1,BookieName[],3,FALSE),"")</f>
        <v>0</v>
      </c>
      <c r="B108" s="141">
        <f>VLOOKUP(ROW()-1,Data[],3,FALSE)+BookBalance[[#This Row],[Saldo 31.12.19]]</f>
        <v>0</v>
      </c>
      <c r="C108" s="142">
        <f>IFERROR(IF(BookBalance[[#This Row],[Saldo]]="","",BookBalance[[#This Row],[Saldo]]/H$7),"")</f>
        <v>0</v>
      </c>
      <c r="D108" s="141">
        <f>VLOOKUP(ROW()-1,Data[],16,FALSE)</f>
        <v>0</v>
      </c>
      <c r="E108" s="141"/>
      <c r="F108" s="189"/>
    </row>
    <row r="109" spans="1:8">
      <c r="A109" s="140">
        <f>IFERROR(VLOOKUP(ROW()-1,BookieName[],3,FALSE),"")</f>
        <v>0</v>
      </c>
      <c r="B109" s="141">
        <f>VLOOKUP(ROW()-1,Data[],3,FALSE)+BookBalance[[#This Row],[Saldo 31.12.19]]</f>
        <v>0</v>
      </c>
      <c r="C109" s="142">
        <f>IFERROR(IF(BookBalance[[#This Row],[Saldo]]="","",BookBalance[[#This Row],[Saldo]]/H$7),"")</f>
        <v>0</v>
      </c>
      <c r="D109" s="141">
        <f>VLOOKUP(ROW()-1,Data[],16,FALSE)</f>
        <v>0</v>
      </c>
      <c r="E109" s="141"/>
      <c r="F109" s="189"/>
    </row>
    <row r="110" spans="1:8">
      <c r="A110" s="140">
        <f>IFERROR(VLOOKUP(ROW()-1,BookieName[],3,FALSE),"")</f>
        <v>0</v>
      </c>
      <c r="B110" s="141">
        <f>VLOOKUP(ROW()-1,Data[],3,FALSE)+BookBalance[[#This Row],[Saldo 31.12.19]]</f>
        <v>0</v>
      </c>
      <c r="C110" s="142">
        <f>IFERROR(IF(BookBalance[[#This Row],[Saldo]]="","",BookBalance[[#This Row],[Saldo]]/H$7),"")</f>
        <v>0</v>
      </c>
      <c r="D110" s="141">
        <f>VLOOKUP(ROW()-1,Data[],16,FALSE)</f>
        <v>0</v>
      </c>
      <c r="E110" s="141"/>
      <c r="F110" s="189"/>
    </row>
    <row r="111" spans="1:8">
      <c r="A111" s="140">
        <f>IFERROR(VLOOKUP(ROW()-1,BookieName[],3,FALSE),"")</f>
        <v>0</v>
      </c>
      <c r="B111" s="141">
        <f>VLOOKUP(ROW()-1,Data[],3,FALSE)+BookBalance[[#This Row],[Saldo 31.12.19]]</f>
        <v>0</v>
      </c>
      <c r="C111" s="142">
        <f>IFERROR(IF(BookBalance[[#This Row],[Saldo]]="","",BookBalance[[#This Row],[Saldo]]/H$7),"")</f>
        <v>0</v>
      </c>
      <c r="D111" s="141">
        <f>VLOOKUP(ROW()-1,Data[],16,FALSE)</f>
        <v>0</v>
      </c>
      <c r="E111" s="141"/>
      <c r="F111" s="189"/>
    </row>
  </sheetData>
  <mergeCells count="1">
    <mergeCell ref="G38:M38"/>
  </mergeCells>
  <phoneticPr fontId="68" type="noConversion"/>
  <conditionalFormatting sqref="B3:B8 B10:B111">
    <cfRule type="cellIs" dxfId="170" priority="8" operator="greaterThan">
      <formula>10000</formula>
    </cfRule>
    <cfRule type="cellIs" dxfId="169" priority="13" operator="between">
      <formula>1000</formula>
      <formula>10000</formula>
    </cfRule>
  </conditionalFormatting>
  <conditionalFormatting sqref="B2 L2:L9 L14">
    <cfRule type="cellIs" dxfId="168" priority="11" operator="greaterThan">
      <formula>10000</formula>
    </cfRule>
    <cfRule type="cellIs" dxfId="167" priority="12" operator="between">
      <formula>1000</formula>
      <formula>10000</formula>
    </cfRule>
  </conditionalFormatting>
  <conditionalFormatting sqref="B9">
    <cfRule type="cellIs" dxfId="166" priority="9" operator="greaterThan">
      <formula>10000</formula>
    </cfRule>
    <cfRule type="cellIs" dxfId="165" priority="10" operator="between">
      <formula>1000</formula>
      <formula>10000</formula>
    </cfRule>
  </conditionalFormatting>
  <conditionalFormatting sqref="B3:B8 B10:B111">
    <cfRule type="cellIs" dxfId="164" priority="7" operator="between">
      <formula>1</formula>
      <formula>1000</formula>
    </cfRule>
  </conditionalFormatting>
  <conditionalFormatting sqref="L10:L13 L3:L5 L7:L8">
    <cfRule type="cellIs" dxfId="163" priority="1" operator="greaterThan">
      <formula>10000</formula>
    </cfRule>
    <cfRule type="cellIs" dxfId="162" priority="2" operator="between">
      <formula>1000</formula>
      <formula>10000</formula>
    </cfRule>
  </conditionalFormatting>
  <pageMargins left="0.7" right="0.7" top="0.75" bottom="0.75" header="0.3" footer="0.3"/>
  <pageSetup paperSize="9" orientation="portrait" r:id="rId1"/>
  <drawing r:id="rId2"/>
  <legacyDrawing r:id="rId3"/>
  <tableParts count="2">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V5032"/>
  <sheetViews>
    <sheetView showGridLines="0" topLeftCell="K1" zoomScale="145" zoomScaleNormal="145" zoomScalePageLayoutView="150" workbookViewId="0">
      <selection activeCell="R4" sqref="R4:V131"/>
    </sheetView>
  </sheetViews>
  <sheetFormatPr baseColWidth="10" defaultColWidth="8.83203125" defaultRowHeight="11"/>
  <cols>
    <col min="1" max="1" width="4.33203125" style="37" hidden="1" customWidth="1"/>
    <col min="2" max="2" width="9" style="37" bestFit="1" customWidth="1"/>
    <col min="3" max="3" width="11.33203125" style="37" bestFit="1" customWidth="1"/>
    <col min="4" max="5" width="10.5" style="37" customWidth="1"/>
    <col min="6" max="6" width="10.33203125" style="37" customWidth="1"/>
    <col min="7" max="7" width="15.83203125" style="37" customWidth="1"/>
    <col min="8" max="8" width="1.83203125" style="37" customWidth="1"/>
    <col min="9" max="9" width="4.33203125" style="37" hidden="1" customWidth="1"/>
    <col min="10" max="10" width="8.83203125" style="37"/>
    <col min="11" max="11" width="11.33203125" style="37" bestFit="1" customWidth="1"/>
    <col min="12" max="13" width="11.33203125" style="37" customWidth="1"/>
    <col min="14" max="14" width="8.1640625" style="37" bestFit="1" customWidth="1"/>
    <col min="15" max="15" width="41.1640625" style="37" bestFit="1" customWidth="1"/>
    <col min="16" max="16" width="1.5" style="37" customWidth="1"/>
    <col min="17" max="17" width="4.33203125" style="37" hidden="1" customWidth="1"/>
    <col min="18" max="18" width="9" style="37" bestFit="1" customWidth="1"/>
    <col min="19" max="19" width="7.83203125" style="37" customWidth="1"/>
    <col min="20" max="20" width="10" style="37" customWidth="1"/>
    <col min="21" max="21" width="12.33203125" style="37" customWidth="1"/>
    <col min="22" max="22" width="23" style="37" bestFit="1" customWidth="1"/>
    <col min="23" max="16384" width="8.83203125" style="37"/>
  </cols>
  <sheetData>
    <row r="1" spans="1:22">
      <c r="A1" s="37" t="s">
        <v>22</v>
      </c>
      <c r="B1" s="37" t="s">
        <v>102</v>
      </c>
      <c r="C1" s="37" t="s">
        <v>23</v>
      </c>
      <c r="D1" s="37" t="s">
        <v>94</v>
      </c>
      <c r="E1" s="37" t="s">
        <v>378</v>
      </c>
      <c r="F1" s="37" t="s">
        <v>116</v>
      </c>
      <c r="G1" s="37" t="s">
        <v>115</v>
      </c>
      <c r="I1" s="37" t="s">
        <v>22</v>
      </c>
      <c r="J1" s="37" t="s">
        <v>102</v>
      </c>
      <c r="K1" s="37" t="s">
        <v>23</v>
      </c>
      <c r="L1" s="37" t="s">
        <v>380</v>
      </c>
      <c r="M1" s="37" t="s">
        <v>378</v>
      </c>
      <c r="N1" s="37" t="s">
        <v>116</v>
      </c>
      <c r="O1" s="37" t="s">
        <v>115</v>
      </c>
      <c r="Q1" s="37" t="s">
        <v>22</v>
      </c>
      <c r="R1" s="37" t="s">
        <v>102</v>
      </c>
      <c r="S1" s="37" t="s">
        <v>23</v>
      </c>
      <c r="T1" s="37" t="s">
        <v>15</v>
      </c>
      <c r="U1" s="37" t="s">
        <v>116</v>
      </c>
      <c r="V1" s="37" t="s">
        <v>115</v>
      </c>
    </row>
    <row r="2" spans="1:22">
      <c r="A2" s="37">
        <f>ROW()-1</f>
        <v>1</v>
      </c>
      <c r="B2" s="183">
        <v>43831</v>
      </c>
      <c r="C2" s="37" t="s">
        <v>331</v>
      </c>
      <c r="D2" s="59" t="s">
        <v>214</v>
      </c>
      <c r="E2" s="59"/>
      <c r="F2" s="37">
        <v>200</v>
      </c>
      <c r="J2" s="183">
        <v>43837</v>
      </c>
      <c r="K2" s="37" t="s">
        <v>331</v>
      </c>
      <c r="L2" s="37" t="s">
        <v>386</v>
      </c>
      <c r="N2" s="37">
        <v>1000</v>
      </c>
      <c r="O2" s="37" t="s">
        <v>334</v>
      </c>
      <c r="R2" s="183">
        <v>43835</v>
      </c>
      <c r="S2" s="37" t="s">
        <v>335</v>
      </c>
      <c r="T2" s="59" t="s">
        <v>233</v>
      </c>
      <c r="U2" s="37">
        <v>540</v>
      </c>
    </row>
    <row r="3" spans="1:22">
      <c r="A3" s="37">
        <f>ROW()-1</f>
        <v>2</v>
      </c>
      <c r="B3" s="183">
        <v>43831</v>
      </c>
      <c r="C3" s="37" t="s">
        <v>331</v>
      </c>
      <c r="D3" s="59" t="s">
        <v>232</v>
      </c>
      <c r="E3" s="59"/>
      <c r="F3" s="37">
        <v>200</v>
      </c>
      <c r="I3" s="60"/>
      <c r="J3" s="183">
        <v>43847</v>
      </c>
      <c r="K3" s="37" t="s">
        <v>331</v>
      </c>
      <c r="L3" s="37" t="s">
        <v>386</v>
      </c>
      <c r="N3" s="37">
        <v>3200</v>
      </c>
      <c r="O3" s="37" t="s">
        <v>334</v>
      </c>
      <c r="Q3" s="60"/>
      <c r="R3" s="183">
        <v>43836</v>
      </c>
      <c r="S3" s="37" t="s">
        <v>335</v>
      </c>
      <c r="T3" s="59" t="s">
        <v>233</v>
      </c>
      <c r="U3" s="37">
        <v>153.5</v>
      </c>
    </row>
    <row r="4" spans="1:22">
      <c r="A4" s="37">
        <f t="shared" ref="A4:A10" si="0">ROW()-1</f>
        <v>3</v>
      </c>
      <c r="B4" s="183">
        <v>43834</v>
      </c>
      <c r="C4" s="37" t="s">
        <v>331</v>
      </c>
      <c r="D4" s="59" t="s">
        <v>96</v>
      </c>
      <c r="E4" s="59"/>
      <c r="F4" s="37">
        <v>200</v>
      </c>
      <c r="I4" s="60"/>
      <c r="J4" s="183"/>
      <c r="R4" s="183"/>
      <c r="T4" s="59"/>
    </row>
    <row r="5" spans="1:22">
      <c r="A5" s="60">
        <f t="shared" si="0"/>
        <v>4</v>
      </c>
      <c r="B5" s="183"/>
      <c r="D5" s="59"/>
      <c r="E5" s="59"/>
      <c r="J5" s="85"/>
      <c r="N5" s="60"/>
      <c r="R5" s="183"/>
      <c r="T5" s="59"/>
    </row>
    <row r="6" spans="1:22">
      <c r="A6" s="37">
        <f t="shared" si="0"/>
        <v>5</v>
      </c>
      <c r="B6" s="183"/>
      <c r="D6" s="59"/>
      <c r="E6" s="59"/>
      <c r="J6" s="85"/>
      <c r="N6" s="60"/>
      <c r="R6" s="183"/>
      <c r="T6" s="59"/>
    </row>
    <row r="7" spans="1:22">
      <c r="A7" s="37">
        <f t="shared" si="0"/>
        <v>6</v>
      </c>
      <c r="B7" s="183"/>
      <c r="D7" s="59"/>
      <c r="E7" s="59"/>
      <c r="J7" s="85"/>
      <c r="R7" s="183"/>
      <c r="T7" s="59"/>
    </row>
    <row r="8" spans="1:22">
      <c r="A8" s="37">
        <f t="shared" si="0"/>
        <v>7</v>
      </c>
      <c r="B8" s="183"/>
      <c r="D8" s="59"/>
      <c r="E8" s="59"/>
      <c r="G8" s="199"/>
      <c r="J8" s="84"/>
      <c r="R8" s="183"/>
      <c r="T8" s="59"/>
    </row>
    <row r="9" spans="1:22">
      <c r="A9" s="37">
        <f t="shared" si="0"/>
        <v>8</v>
      </c>
      <c r="B9" s="183"/>
      <c r="D9" s="59"/>
      <c r="E9" s="59"/>
      <c r="J9" s="183"/>
      <c r="R9" s="183"/>
      <c r="T9" s="59"/>
    </row>
    <row r="10" spans="1:22">
      <c r="A10" s="37">
        <f t="shared" si="0"/>
        <v>9</v>
      </c>
      <c r="B10" s="183"/>
      <c r="D10" s="59"/>
      <c r="E10" s="59"/>
      <c r="J10" s="183"/>
      <c r="R10" s="183"/>
      <c r="T10" s="59"/>
    </row>
    <row r="11" spans="1:22">
      <c r="A11" s="37">
        <f>ROW()-1</f>
        <v>10</v>
      </c>
      <c r="B11" s="183"/>
      <c r="D11" s="59"/>
      <c r="E11" s="59"/>
      <c r="J11" s="85"/>
      <c r="N11" s="60"/>
      <c r="R11" s="183"/>
      <c r="T11" s="59"/>
    </row>
    <row r="12" spans="1:22">
      <c r="A12" s="37">
        <f t="shared" ref="A12:A24" si="1">ROW()-1</f>
        <v>11</v>
      </c>
      <c r="B12" s="183"/>
      <c r="D12" s="59"/>
      <c r="E12" s="59"/>
      <c r="J12" s="84"/>
      <c r="R12" s="183"/>
      <c r="T12" s="59"/>
    </row>
    <row r="13" spans="1:22">
      <c r="A13" s="37">
        <f t="shared" si="1"/>
        <v>12</v>
      </c>
      <c r="B13" s="183"/>
      <c r="D13" s="59"/>
      <c r="E13" s="59"/>
      <c r="J13" s="84"/>
      <c r="R13" s="183"/>
      <c r="T13" s="59"/>
    </row>
    <row r="14" spans="1:22">
      <c r="A14" s="37">
        <f t="shared" si="1"/>
        <v>13</v>
      </c>
      <c r="B14" s="183"/>
      <c r="D14" s="59"/>
      <c r="E14" s="59"/>
      <c r="J14" s="84"/>
      <c r="R14" s="183"/>
      <c r="T14" s="59"/>
    </row>
    <row r="15" spans="1:22">
      <c r="A15" s="37">
        <f t="shared" si="1"/>
        <v>14</v>
      </c>
      <c r="B15" s="183"/>
      <c r="D15" s="59"/>
      <c r="E15" s="59"/>
      <c r="J15" s="84"/>
      <c r="R15" s="183"/>
      <c r="T15" s="59"/>
    </row>
    <row r="16" spans="1:22">
      <c r="A16" s="37">
        <f t="shared" si="1"/>
        <v>15</v>
      </c>
      <c r="B16" s="183"/>
      <c r="D16" s="59"/>
      <c r="E16" s="59"/>
      <c r="J16" s="84"/>
      <c r="R16" s="183"/>
      <c r="T16" s="59"/>
    </row>
    <row r="17" spans="1:20">
      <c r="A17" s="37">
        <f t="shared" si="1"/>
        <v>16</v>
      </c>
      <c r="B17" s="183"/>
      <c r="D17" s="59"/>
      <c r="E17" s="59"/>
      <c r="J17" s="84"/>
      <c r="R17" s="183"/>
      <c r="T17" s="59"/>
    </row>
    <row r="18" spans="1:20">
      <c r="A18" s="37">
        <f t="shared" si="1"/>
        <v>17</v>
      </c>
      <c r="B18" s="183"/>
      <c r="D18" s="59"/>
      <c r="E18" s="59"/>
      <c r="J18" s="84"/>
      <c r="R18" s="183"/>
      <c r="T18" s="59"/>
    </row>
    <row r="19" spans="1:20">
      <c r="A19" s="37">
        <f t="shared" si="1"/>
        <v>18</v>
      </c>
      <c r="B19" s="183"/>
      <c r="D19" s="59"/>
      <c r="E19" s="59"/>
      <c r="J19" s="84"/>
      <c r="R19" s="183"/>
      <c r="T19" s="59"/>
    </row>
    <row r="20" spans="1:20">
      <c r="A20" s="37">
        <f t="shared" si="1"/>
        <v>19</v>
      </c>
      <c r="B20" s="183"/>
      <c r="D20" s="59"/>
      <c r="E20" s="59"/>
      <c r="J20" s="84"/>
      <c r="R20" s="183"/>
      <c r="T20" s="59"/>
    </row>
    <row r="21" spans="1:20">
      <c r="A21" s="37">
        <f t="shared" si="1"/>
        <v>20</v>
      </c>
      <c r="B21" s="183"/>
      <c r="D21" s="59"/>
      <c r="E21" s="59"/>
      <c r="J21" s="84"/>
      <c r="R21" s="183"/>
      <c r="T21" s="59"/>
    </row>
    <row r="22" spans="1:20">
      <c r="A22" s="37">
        <f t="shared" si="1"/>
        <v>21</v>
      </c>
      <c r="B22" s="183"/>
      <c r="D22" s="59"/>
      <c r="E22" s="59"/>
      <c r="J22" s="84"/>
      <c r="R22" s="183"/>
      <c r="T22" s="59"/>
    </row>
    <row r="23" spans="1:20">
      <c r="A23" s="37">
        <f t="shared" si="1"/>
        <v>22</v>
      </c>
      <c r="B23" s="183"/>
      <c r="D23" s="59"/>
      <c r="E23" s="59"/>
      <c r="J23" s="84"/>
      <c r="R23" s="183"/>
      <c r="T23" s="59"/>
    </row>
    <row r="24" spans="1:20">
      <c r="A24" s="37">
        <f t="shared" si="1"/>
        <v>23</v>
      </c>
      <c r="B24" s="183"/>
      <c r="D24" s="59"/>
      <c r="E24" s="59"/>
      <c r="J24" s="84"/>
      <c r="R24" s="183"/>
      <c r="T24" s="59"/>
    </row>
    <row r="25" spans="1:20">
      <c r="A25" s="37">
        <f t="shared" ref="A25:A30" si="2">ROW()-1</f>
        <v>24</v>
      </c>
      <c r="B25" s="183"/>
      <c r="D25" s="59"/>
      <c r="E25" s="59"/>
      <c r="J25" s="84"/>
      <c r="R25" s="183"/>
      <c r="T25" s="59"/>
    </row>
    <row r="26" spans="1:20">
      <c r="A26" s="37">
        <f t="shared" si="2"/>
        <v>25</v>
      </c>
      <c r="B26" s="183"/>
      <c r="D26" s="59"/>
      <c r="E26" s="59"/>
      <c r="J26" s="84"/>
      <c r="R26" s="183"/>
      <c r="T26" s="59"/>
    </row>
    <row r="27" spans="1:20">
      <c r="A27" s="37">
        <f t="shared" si="2"/>
        <v>26</v>
      </c>
      <c r="B27" s="183"/>
      <c r="D27" s="59"/>
      <c r="E27" s="59"/>
      <c r="J27" s="84"/>
      <c r="R27" s="183"/>
      <c r="T27" s="59"/>
    </row>
    <row r="28" spans="1:20">
      <c r="A28" s="37">
        <f t="shared" si="2"/>
        <v>27</v>
      </c>
      <c r="B28" s="183"/>
      <c r="D28" s="59"/>
      <c r="E28" s="59"/>
      <c r="J28" s="183"/>
      <c r="R28" s="183"/>
      <c r="T28" s="59"/>
    </row>
    <row r="29" spans="1:20">
      <c r="A29" s="37">
        <f t="shared" si="2"/>
        <v>28</v>
      </c>
      <c r="B29" s="183"/>
      <c r="D29" s="59"/>
      <c r="E29" s="59"/>
      <c r="J29" s="317"/>
      <c r="K29" s="315"/>
      <c r="N29" s="315"/>
      <c r="O29" s="315"/>
      <c r="R29" s="183"/>
      <c r="T29" s="59"/>
    </row>
    <row r="30" spans="1:20">
      <c r="A30" s="37">
        <f t="shared" si="2"/>
        <v>29</v>
      </c>
      <c r="B30" s="183"/>
      <c r="D30" s="59"/>
      <c r="E30" s="59"/>
      <c r="J30" s="317"/>
      <c r="K30" s="315"/>
      <c r="N30" s="315"/>
      <c r="O30" s="315"/>
      <c r="R30" s="183"/>
      <c r="T30" s="59"/>
    </row>
    <row r="31" spans="1:20">
      <c r="A31" s="37">
        <f t="shared" ref="A31:A36" si="3">ROW()-1</f>
        <v>30</v>
      </c>
      <c r="B31" s="183"/>
      <c r="D31" s="59"/>
      <c r="E31" s="59"/>
      <c r="J31" s="317"/>
      <c r="K31" s="315"/>
      <c r="N31" s="315"/>
      <c r="O31" s="315"/>
      <c r="R31" s="183"/>
      <c r="T31" s="59"/>
    </row>
    <row r="32" spans="1:20">
      <c r="A32" s="37">
        <f t="shared" si="3"/>
        <v>31</v>
      </c>
      <c r="B32" s="183"/>
      <c r="D32" s="59"/>
      <c r="E32" s="59"/>
      <c r="J32" s="317"/>
      <c r="K32" s="315"/>
      <c r="N32" s="315"/>
      <c r="O32" s="315"/>
      <c r="R32" s="183"/>
      <c r="T32" s="59"/>
    </row>
    <row r="33" spans="1:21">
      <c r="A33" s="37">
        <f t="shared" si="3"/>
        <v>32</v>
      </c>
      <c r="B33" s="183"/>
      <c r="D33" s="59"/>
      <c r="E33" s="59"/>
      <c r="J33" s="317"/>
      <c r="K33" s="315"/>
      <c r="N33" s="315"/>
      <c r="O33" s="315"/>
      <c r="R33" s="183"/>
      <c r="T33" s="59"/>
    </row>
    <row r="34" spans="1:21">
      <c r="A34" s="37">
        <f t="shared" si="3"/>
        <v>33</v>
      </c>
      <c r="B34" s="183"/>
      <c r="D34" s="59"/>
      <c r="E34" s="59"/>
      <c r="J34" s="317"/>
      <c r="K34" s="315"/>
      <c r="N34" s="315"/>
      <c r="O34" s="315"/>
      <c r="R34" s="183"/>
      <c r="T34" s="59"/>
    </row>
    <row r="35" spans="1:21">
      <c r="A35" s="37">
        <f t="shared" si="3"/>
        <v>34</v>
      </c>
      <c r="B35" s="183"/>
      <c r="D35" s="59"/>
      <c r="E35" s="59"/>
      <c r="J35" s="317"/>
      <c r="K35" s="315"/>
      <c r="N35" s="315"/>
      <c r="O35" s="315"/>
      <c r="R35" s="183"/>
      <c r="T35" s="59"/>
    </row>
    <row r="36" spans="1:21">
      <c r="A36" s="37">
        <f t="shared" si="3"/>
        <v>35</v>
      </c>
      <c r="B36" s="183"/>
      <c r="D36" s="59"/>
      <c r="E36" s="59"/>
      <c r="J36" s="317"/>
      <c r="K36" s="315"/>
      <c r="N36" s="315"/>
      <c r="O36" s="315"/>
      <c r="R36" s="183"/>
      <c r="T36" s="59"/>
    </row>
    <row r="37" spans="1:21">
      <c r="A37" s="37">
        <f t="shared" ref="A37:A47" si="4">ROW()-1</f>
        <v>36</v>
      </c>
      <c r="B37" s="183"/>
      <c r="D37" s="59"/>
      <c r="E37" s="59"/>
      <c r="J37" s="317"/>
      <c r="K37" s="315"/>
      <c r="N37" s="315"/>
      <c r="O37" s="315"/>
      <c r="R37" s="183"/>
      <c r="T37" s="59"/>
    </row>
    <row r="38" spans="1:21">
      <c r="A38" s="37">
        <f t="shared" si="4"/>
        <v>37</v>
      </c>
      <c r="B38" s="183"/>
      <c r="D38" s="59"/>
      <c r="E38" s="59"/>
      <c r="J38" s="317"/>
      <c r="K38" s="315"/>
      <c r="N38" s="315"/>
      <c r="O38" s="315"/>
      <c r="R38" s="183"/>
      <c r="T38" s="59"/>
    </row>
    <row r="39" spans="1:21">
      <c r="A39" s="37">
        <f t="shared" si="4"/>
        <v>38</v>
      </c>
      <c r="B39" s="183"/>
      <c r="D39" s="59"/>
      <c r="E39" s="59"/>
      <c r="J39" s="317"/>
      <c r="K39" s="315"/>
      <c r="N39" s="315"/>
      <c r="O39" s="315"/>
      <c r="R39" s="183"/>
      <c r="T39" s="59"/>
    </row>
    <row r="40" spans="1:21">
      <c r="A40" s="37">
        <f t="shared" si="4"/>
        <v>39</v>
      </c>
      <c r="B40" s="183"/>
      <c r="D40" s="59"/>
      <c r="E40" s="59"/>
      <c r="J40" s="317"/>
      <c r="K40" s="315"/>
      <c r="N40" s="315"/>
      <c r="O40" s="315"/>
      <c r="R40" s="183"/>
      <c r="S40" s="199"/>
      <c r="T40" s="206"/>
      <c r="U40" s="199"/>
    </row>
    <row r="41" spans="1:21">
      <c r="A41" s="37">
        <f t="shared" si="4"/>
        <v>40</v>
      </c>
      <c r="B41" s="183"/>
      <c r="D41" s="59"/>
      <c r="E41" s="59"/>
      <c r="J41" s="317"/>
      <c r="K41" s="315"/>
      <c r="N41" s="315"/>
      <c r="O41" s="315"/>
      <c r="R41" s="183"/>
      <c r="S41" s="199"/>
      <c r="T41" s="206"/>
      <c r="U41" s="199"/>
    </row>
    <row r="42" spans="1:21">
      <c r="A42" s="37">
        <f t="shared" si="4"/>
        <v>41</v>
      </c>
      <c r="B42" s="183"/>
      <c r="D42" s="59"/>
      <c r="E42" s="59"/>
      <c r="J42" s="317"/>
      <c r="K42" s="315"/>
      <c r="N42" s="315"/>
      <c r="O42" s="315"/>
      <c r="R42" s="183"/>
      <c r="T42" s="59"/>
      <c r="U42" s="199"/>
    </row>
    <row r="43" spans="1:21">
      <c r="A43" s="37">
        <f t="shared" si="4"/>
        <v>42</v>
      </c>
      <c r="B43" s="183"/>
      <c r="D43" s="59"/>
      <c r="E43" s="59"/>
      <c r="J43" s="317"/>
      <c r="K43" s="315"/>
      <c r="N43" s="315"/>
      <c r="O43" s="315"/>
      <c r="R43" s="183"/>
      <c r="T43" s="59"/>
    </row>
    <row r="44" spans="1:21">
      <c r="A44" s="37">
        <f t="shared" si="4"/>
        <v>43</v>
      </c>
      <c r="B44" s="183"/>
      <c r="D44" s="59"/>
      <c r="E44" s="59"/>
      <c r="J44" s="317"/>
      <c r="N44" s="315"/>
      <c r="R44" s="183"/>
      <c r="T44" s="59"/>
    </row>
    <row r="45" spans="1:21">
      <c r="A45" s="37">
        <f t="shared" si="4"/>
        <v>44</v>
      </c>
      <c r="B45" s="183"/>
      <c r="D45" s="59"/>
      <c r="E45" s="59"/>
      <c r="J45" s="317"/>
      <c r="N45" s="315"/>
      <c r="R45" s="183"/>
      <c r="T45" s="59"/>
    </row>
    <row r="46" spans="1:21">
      <c r="A46" s="37">
        <f t="shared" si="4"/>
        <v>45</v>
      </c>
      <c r="B46" s="183"/>
      <c r="D46" s="59"/>
      <c r="E46" s="59"/>
      <c r="J46" s="317"/>
      <c r="N46" s="315"/>
      <c r="R46" s="183"/>
      <c r="T46" s="59"/>
    </row>
    <row r="47" spans="1:21">
      <c r="A47" s="37">
        <f t="shared" si="4"/>
        <v>46</v>
      </c>
      <c r="B47" s="183"/>
      <c r="D47" s="59"/>
      <c r="E47" s="59"/>
      <c r="J47" s="317"/>
      <c r="K47" s="315"/>
      <c r="N47" s="315"/>
      <c r="O47" s="315"/>
      <c r="R47" s="183"/>
      <c r="T47" s="59"/>
    </row>
    <row r="48" spans="1:21">
      <c r="A48" s="37">
        <f t="shared" ref="A48:A63" si="5">ROW()-1</f>
        <v>47</v>
      </c>
      <c r="B48" s="183"/>
      <c r="D48" s="59"/>
      <c r="E48" s="59"/>
      <c r="J48" s="317"/>
      <c r="K48" s="315"/>
      <c r="N48" s="315"/>
      <c r="R48" s="183"/>
      <c r="T48" s="59"/>
    </row>
    <row r="49" spans="1:20">
      <c r="A49" s="37">
        <f t="shared" si="5"/>
        <v>48</v>
      </c>
      <c r="B49" s="183"/>
      <c r="D49" s="59"/>
      <c r="E49" s="59"/>
      <c r="J49" s="317"/>
      <c r="K49" s="315"/>
      <c r="N49" s="315"/>
      <c r="R49" s="183"/>
      <c r="T49" s="59"/>
    </row>
    <row r="50" spans="1:20">
      <c r="A50" s="37">
        <f t="shared" si="5"/>
        <v>49</v>
      </c>
      <c r="B50" s="183"/>
      <c r="D50" s="59"/>
      <c r="E50" s="59"/>
      <c r="J50" s="317"/>
      <c r="R50" s="183"/>
      <c r="T50" s="59"/>
    </row>
    <row r="51" spans="1:20">
      <c r="A51" s="37">
        <f t="shared" si="5"/>
        <v>50</v>
      </c>
      <c r="B51" s="183"/>
      <c r="D51" s="59"/>
      <c r="E51" s="59"/>
      <c r="J51" s="317"/>
      <c r="R51" s="183"/>
      <c r="T51" s="59"/>
    </row>
    <row r="52" spans="1:20">
      <c r="A52" s="37">
        <f t="shared" si="5"/>
        <v>51</v>
      </c>
      <c r="B52" s="183"/>
      <c r="D52" s="59"/>
      <c r="E52" s="59"/>
      <c r="J52" s="317"/>
      <c r="R52" s="183"/>
      <c r="T52" s="59"/>
    </row>
    <row r="53" spans="1:20">
      <c r="A53" s="37">
        <f t="shared" si="5"/>
        <v>52</v>
      </c>
      <c r="B53" s="84"/>
      <c r="D53" s="59"/>
      <c r="E53" s="59"/>
      <c r="J53" s="317"/>
      <c r="R53" s="183"/>
      <c r="T53" s="59"/>
    </row>
    <row r="54" spans="1:20">
      <c r="A54" s="37">
        <f t="shared" si="5"/>
        <v>53</v>
      </c>
      <c r="B54" s="183"/>
      <c r="D54" s="59"/>
      <c r="E54" s="59"/>
      <c r="J54" s="317"/>
      <c r="R54" s="183"/>
      <c r="T54" s="59"/>
    </row>
    <row r="55" spans="1:20">
      <c r="A55" s="37">
        <f t="shared" si="5"/>
        <v>54</v>
      </c>
      <c r="B55" s="84"/>
      <c r="D55" s="59"/>
      <c r="E55" s="59"/>
      <c r="J55" s="317"/>
      <c r="R55" s="183"/>
      <c r="T55" s="59"/>
    </row>
    <row r="56" spans="1:20">
      <c r="A56" s="37">
        <f t="shared" si="5"/>
        <v>55</v>
      </c>
      <c r="B56" s="84"/>
      <c r="D56" s="59"/>
      <c r="E56" s="59"/>
      <c r="J56" s="317"/>
      <c r="R56" s="183"/>
      <c r="T56" s="59"/>
    </row>
    <row r="57" spans="1:20">
      <c r="A57" s="37">
        <f t="shared" si="5"/>
        <v>56</v>
      </c>
      <c r="B57" s="84"/>
      <c r="D57" s="59"/>
      <c r="E57" s="59"/>
      <c r="J57" s="317"/>
      <c r="R57" s="183"/>
      <c r="T57" s="59"/>
    </row>
    <row r="58" spans="1:20">
      <c r="A58" s="37">
        <f t="shared" si="5"/>
        <v>57</v>
      </c>
      <c r="B58" s="84"/>
      <c r="D58" s="59"/>
      <c r="E58" s="59"/>
      <c r="J58" s="84"/>
      <c r="R58" s="183"/>
      <c r="T58" s="59"/>
    </row>
    <row r="59" spans="1:20">
      <c r="A59" s="37">
        <f t="shared" si="5"/>
        <v>58</v>
      </c>
      <c r="B59" s="84"/>
      <c r="D59" s="59"/>
      <c r="E59" s="59"/>
      <c r="J59" s="84"/>
      <c r="R59" s="183"/>
      <c r="T59" s="59"/>
    </row>
    <row r="60" spans="1:20">
      <c r="A60" s="37">
        <f t="shared" si="5"/>
        <v>59</v>
      </c>
      <c r="B60" s="84"/>
      <c r="D60" s="59"/>
      <c r="E60" s="59"/>
      <c r="J60" s="84"/>
      <c r="R60" s="84"/>
      <c r="T60" s="59"/>
    </row>
    <row r="61" spans="1:20">
      <c r="A61" s="37">
        <f t="shared" si="5"/>
        <v>60</v>
      </c>
      <c r="B61" s="84"/>
      <c r="D61" s="59"/>
      <c r="E61" s="59"/>
      <c r="J61" s="84"/>
      <c r="R61" s="84"/>
      <c r="T61" s="59"/>
    </row>
    <row r="62" spans="1:20">
      <c r="A62" s="37">
        <f t="shared" si="5"/>
        <v>61</v>
      </c>
      <c r="B62" s="84"/>
      <c r="D62" s="59"/>
      <c r="E62" s="59"/>
      <c r="J62" s="84"/>
      <c r="R62" s="183"/>
      <c r="T62" s="59"/>
    </row>
    <row r="63" spans="1:20">
      <c r="A63" s="37">
        <f t="shared" si="5"/>
        <v>62</v>
      </c>
      <c r="B63" s="84"/>
      <c r="D63" s="59"/>
      <c r="E63" s="59"/>
      <c r="J63" s="84"/>
      <c r="R63" s="183"/>
      <c r="T63" s="59"/>
    </row>
    <row r="64" spans="1:20">
      <c r="A64" s="37">
        <f t="shared" ref="A64:A75" si="6">ROW()-1</f>
        <v>63</v>
      </c>
      <c r="B64" s="84"/>
      <c r="D64" s="59"/>
      <c r="E64" s="59"/>
      <c r="J64" s="84"/>
      <c r="R64" s="183"/>
      <c r="T64" s="59"/>
    </row>
    <row r="65" spans="1:22">
      <c r="A65" s="37">
        <f t="shared" si="6"/>
        <v>64</v>
      </c>
      <c r="B65" s="84"/>
      <c r="D65" s="59"/>
      <c r="E65" s="59"/>
      <c r="J65" s="84"/>
      <c r="R65" s="84"/>
      <c r="T65" s="59"/>
      <c r="V65" s="169"/>
    </row>
    <row r="66" spans="1:22">
      <c r="A66" s="37">
        <f t="shared" si="6"/>
        <v>65</v>
      </c>
      <c r="B66" s="183"/>
      <c r="D66" s="59"/>
      <c r="E66" s="59"/>
      <c r="J66" s="84"/>
      <c r="R66" s="84"/>
      <c r="T66" s="59"/>
    </row>
    <row r="67" spans="1:22">
      <c r="A67" s="37">
        <f t="shared" si="6"/>
        <v>66</v>
      </c>
      <c r="B67" s="183"/>
      <c r="D67" s="59"/>
      <c r="E67" s="59"/>
      <c r="J67" s="84"/>
      <c r="R67" s="84"/>
      <c r="T67" s="59"/>
    </row>
    <row r="68" spans="1:22">
      <c r="A68" s="37">
        <f t="shared" si="6"/>
        <v>67</v>
      </c>
      <c r="B68" s="183"/>
      <c r="D68" s="59"/>
      <c r="E68" s="59"/>
      <c r="J68" s="84"/>
      <c r="R68" s="84"/>
      <c r="T68" s="59"/>
    </row>
    <row r="69" spans="1:22">
      <c r="A69" s="37">
        <f t="shared" si="6"/>
        <v>68</v>
      </c>
      <c r="B69" s="183"/>
      <c r="D69" s="59"/>
      <c r="E69" s="59"/>
      <c r="J69" s="84"/>
      <c r="R69" s="84"/>
      <c r="T69" s="59"/>
    </row>
    <row r="70" spans="1:22">
      <c r="A70" s="37">
        <f t="shared" si="6"/>
        <v>69</v>
      </c>
      <c r="B70" s="183"/>
      <c r="D70" s="59"/>
      <c r="E70" s="59"/>
      <c r="F70" s="199"/>
      <c r="G70" s="199"/>
      <c r="J70" s="84"/>
      <c r="R70" s="84"/>
      <c r="T70" s="59"/>
    </row>
    <row r="71" spans="1:22">
      <c r="A71" s="37">
        <f t="shared" si="6"/>
        <v>70</v>
      </c>
      <c r="B71" s="183"/>
      <c r="C71" s="199"/>
      <c r="D71" s="206"/>
      <c r="E71" s="206"/>
      <c r="F71" s="199"/>
      <c r="G71" s="199"/>
      <c r="J71" s="84"/>
      <c r="R71" s="84"/>
      <c r="T71" s="59"/>
    </row>
    <row r="72" spans="1:22">
      <c r="A72" s="37">
        <f t="shared" si="6"/>
        <v>71</v>
      </c>
      <c r="B72" s="183"/>
      <c r="C72" s="199"/>
      <c r="D72" s="206"/>
      <c r="E72" s="206"/>
      <c r="F72" s="199"/>
      <c r="G72" s="199"/>
      <c r="J72" s="84"/>
      <c r="R72" s="84"/>
      <c r="T72" s="59"/>
      <c r="V72" s="169"/>
    </row>
    <row r="73" spans="1:22">
      <c r="A73" s="37">
        <f t="shared" si="6"/>
        <v>72</v>
      </c>
      <c r="B73" s="183"/>
      <c r="C73" s="199"/>
      <c r="D73" s="206"/>
      <c r="E73" s="206"/>
      <c r="F73" s="199"/>
      <c r="G73" s="199"/>
      <c r="J73" s="84"/>
      <c r="R73" s="84"/>
      <c r="T73" s="59"/>
      <c r="V73" s="169"/>
    </row>
    <row r="74" spans="1:22">
      <c r="A74" s="37">
        <f t="shared" si="6"/>
        <v>73</v>
      </c>
      <c r="B74" s="183"/>
      <c r="C74" s="199"/>
      <c r="D74" s="206"/>
      <c r="E74" s="206"/>
      <c r="F74" s="199"/>
      <c r="G74" s="199"/>
      <c r="J74" s="84"/>
      <c r="R74" s="84"/>
      <c r="T74" s="59"/>
      <c r="V74" s="169"/>
    </row>
    <row r="75" spans="1:22">
      <c r="A75" s="37">
        <f t="shared" si="6"/>
        <v>74</v>
      </c>
      <c r="B75" s="183"/>
      <c r="C75" s="199"/>
      <c r="D75" s="206"/>
      <c r="E75" s="206"/>
      <c r="F75" s="199"/>
      <c r="G75" s="199"/>
      <c r="J75" s="84"/>
      <c r="R75" s="84"/>
      <c r="T75" s="59"/>
      <c r="V75" s="169"/>
    </row>
    <row r="76" spans="1:22">
      <c r="A76" s="37">
        <f t="shared" ref="A76:A81" si="7">ROW()-1</f>
        <v>75</v>
      </c>
      <c r="B76" s="183"/>
      <c r="C76" s="199"/>
      <c r="D76" s="206"/>
      <c r="E76" s="206"/>
      <c r="F76" s="199"/>
      <c r="G76" s="199"/>
      <c r="J76" s="84"/>
      <c r="R76" s="84"/>
      <c r="T76" s="59"/>
    </row>
    <row r="77" spans="1:22">
      <c r="A77" s="37">
        <f t="shared" si="7"/>
        <v>76</v>
      </c>
      <c r="B77" s="183"/>
      <c r="C77" s="199"/>
      <c r="D77" s="206"/>
      <c r="E77" s="206"/>
      <c r="F77" s="199"/>
      <c r="G77" s="199"/>
      <c r="J77" s="84"/>
      <c r="R77" s="84"/>
      <c r="T77" s="59"/>
    </row>
    <row r="78" spans="1:22">
      <c r="A78" s="37">
        <f t="shared" si="7"/>
        <v>77</v>
      </c>
      <c r="B78" s="183"/>
      <c r="C78" s="199"/>
      <c r="D78" s="206"/>
      <c r="E78" s="206"/>
      <c r="F78" s="199"/>
      <c r="G78" s="199"/>
      <c r="J78" s="84"/>
      <c r="R78" s="183"/>
      <c r="T78" s="59"/>
    </row>
    <row r="79" spans="1:22">
      <c r="A79" s="37">
        <f t="shared" si="7"/>
        <v>78</v>
      </c>
      <c r="B79" s="183"/>
      <c r="C79" s="199"/>
      <c r="D79" s="206"/>
      <c r="E79" s="206"/>
      <c r="F79" s="199"/>
      <c r="G79" s="199"/>
      <c r="J79" s="84"/>
      <c r="R79" s="84"/>
      <c r="T79" s="59"/>
    </row>
    <row r="80" spans="1:22">
      <c r="A80" s="37">
        <f t="shared" si="7"/>
        <v>79</v>
      </c>
      <c r="B80" s="183"/>
      <c r="C80" s="199"/>
      <c r="D80" s="206"/>
      <c r="E80" s="206"/>
      <c r="F80" s="199"/>
      <c r="G80" s="199"/>
      <c r="J80" s="84"/>
      <c r="R80" s="84"/>
      <c r="T80" s="59"/>
    </row>
    <row r="81" spans="1:22">
      <c r="A81" s="37">
        <f t="shared" si="7"/>
        <v>80</v>
      </c>
      <c r="B81" s="183"/>
      <c r="C81" s="199"/>
      <c r="D81" s="206"/>
      <c r="E81" s="206"/>
      <c r="F81" s="199"/>
      <c r="G81" s="199"/>
      <c r="J81" s="84"/>
      <c r="R81" s="84"/>
      <c r="T81" s="59"/>
    </row>
    <row r="82" spans="1:22">
      <c r="A82" s="37">
        <f t="shared" ref="A82:A90" si="8">ROW()-1</f>
        <v>81</v>
      </c>
      <c r="B82" s="183"/>
      <c r="D82" s="59"/>
      <c r="E82" s="59"/>
      <c r="J82" s="84"/>
      <c r="R82" s="84"/>
      <c r="T82" s="59"/>
    </row>
    <row r="83" spans="1:22">
      <c r="A83" s="37">
        <f t="shared" si="8"/>
        <v>82</v>
      </c>
      <c r="B83" s="183"/>
      <c r="D83" s="59"/>
      <c r="E83" s="59"/>
      <c r="J83" s="84"/>
      <c r="R83" s="183"/>
      <c r="T83" s="59"/>
      <c r="U83" s="59"/>
      <c r="V83" s="169"/>
    </row>
    <row r="84" spans="1:22">
      <c r="A84" s="37">
        <f t="shared" si="8"/>
        <v>83</v>
      </c>
      <c r="B84" s="183"/>
      <c r="D84" s="59"/>
      <c r="E84" s="59"/>
      <c r="J84" s="84"/>
      <c r="R84" s="84"/>
      <c r="T84" s="59"/>
    </row>
    <row r="85" spans="1:22">
      <c r="A85" s="37">
        <f t="shared" si="8"/>
        <v>84</v>
      </c>
      <c r="B85" s="183"/>
      <c r="D85" s="59"/>
      <c r="E85" s="59"/>
      <c r="J85" s="84"/>
      <c r="R85" s="84"/>
      <c r="T85" s="59"/>
    </row>
    <row r="86" spans="1:22">
      <c r="A86" s="37">
        <f t="shared" si="8"/>
        <v>85</v>
      </c>
      <c r="B86" s="183"/>
      <c r="D86" s="59"/>
      <c r="E86" s="59"/>
      <c r="J86" s="84"/>
      <c r="R86" s="84"/>
      <c r="T86" s="59"/>
    </row>
    <row r="87" spans="1:22">
      <c r="A87" s="37">
        <f t="shared" si="8"/>
        <v>86</v>
      </c>
      <c r="B87" s="183"/>
      <c r="D87" s="59"/>
      <c r="E87" s="59"/>
      <c r="J87" s="84"/>
      <c r="R87" s="84"/>
      <c r="T87" s="59"/>
    </row>
    <row r="88" spans="1:22">
      <c r="A88" s="37">
        <f t="shared" si="8"/>
        <v>87</v>
      </c>
      <c r="B88" s="183"/>
      <c r="D88" s="59"/>
      <c r="E88" s="59"/>
      <c r="J88" s="84"/>
      <c r="R88" s="183"/>
      <c r="T88" s="59"/>
    </row>
    <row r="89" spans="1:22">
      <c r="A89" s="37">
        <f t="shared" si="8"/>
        <v>88</v>
      </c>
      <c r="B89" s="183"/>
      <c r="D89" s="59"/>
      <c r="E89" s="59"/>
      <c r="J89" s="84"/>
      <c r="R89" s="84"/>
      <c r="T89" s="59"/>
      <c r="V89" s="169"/>
    </row>
    <row r="90" spans="1:22">
      <c r="A90" s="37">
        <f t="shared" si="8"/>
        <v>89</v>
      </c>
      <c r="B90" s="183"/>
      <c r="D90" s="59"/>
      <c r="E90" s="59"/>
      <c r="J90" s="84"/>
      <c r="R90" s="84"/>
      <c r="T90" s="59"/>
    </row>
    <row r="91" spans="1:22">
      <c r="A91" s="37">
        <f t="shared" ref="A91:A98" si="9">ROW()-1</f>
        <v>90</v>
      </c>
      <c r="B91" s="183"/>
      <c r="D91" s="59"/>
      <c r="E91" s="59"/>
      <c r="J91" s="84"/>
      <c r="R91" s="84"/>
      <c r="T91" s="59"/>
    </row>
    <row r="92" spans="1:22">
      <c r="A92" s="37">
        <f t="shared" si="9"/>
        <v>91</v>
      </c>
      <c r="B92" s="183"/>
      <c r="D92" s="59"/>
      <c r="E92" s="59"/>
      <c r="J92" s="84"/>
      <c r="R92" s="84"/>
      <c r="T92" s="59"/>
    </row>
    <row r="93" spans="1:22">
      <c r="A93" s="37">
        <f t="shared" si="9"/>
        <v>92</v>
      </c>
      <c r="B93" s="183"/>
      <c r="D93" s="59"/>
      <c r="E93" s="59"/>
      <c r="J93" s="84"/>
      <c r="R93" s="310"/>
      <c r="S93" s="67"/>
      <c r="T93" s="311"/>
      <c r="U93" s="311"/>
      <c r="V93" s="312"/>
    </row>
    <row r="94" spans="1:22">
      <c r="A94" s="37">
        <f t="shared" si="9"/>
        <v>93</v>
      </c>
      <c r="B94" s="183"/>
      <c r="D94" s="59"/>
      <c r="E94" s="59"/>
      <c r="J94" s="84"/>
      <c r="R94" s="84"/>
      <c r="T94" s="59"/>
      <c r="V94" s="169"/>
    </row>
    <row r="95" spans="1:22" ht="12" customHeight="1">
      <c r="A95" s="37">
        <f t="shared" si="9"/>
        <v>94</v>
      </c>
      <c r="B95" s="183"/>
      <c r="D95" s="59"/>
      <c r="E95" s="59"/>
      <c r="J95" s="84"/>
      <c r="N95" s="226"/>
      <c r="R95" s="84"/>
      <c r="T95" s="59"/>
    </row>
    <row r="96" spans="1:22" ht="13" customHeight="1">
      <c r="A96" s="37">
        <f t="shared" si="9"/>
        <v>95</v>
      </c>
      <c r="B96" s="183"/>
      <c r="D96" s="59"/>
      <c r="E96" s="59"/>
      <c r="J96" s="84"/>
      <c r="N96" s="226"/>
      <c r="R96" s="183"/>
      <c r="T96" s="59"/>
    </row>
    <row r="97" spans="1:22" ht="13" customHeight="1">
      <c r="A97" s="37">
        <f t="shared" si="9"/>
        <v>96</v>
      </c>
      <c r="B97" s="183"/>
      <c r="D97" s="59"/>
      <c r="E97" s="59"/>
      <c r="J97" s="84"/>
      <c r="N97" s="226"/>
      <c r="R97" s="183"/>
      <c r="T97" s="59"/>
    </row>
    <row r="98" spans="1:22" ht="13" customHeight="1">
      <c r="A98" s="37">
        <f t="shared" si="9"/>
        <v>97</v>
      </c>
      <c r="B98" s="183"/>
      <c r="D98" s="59"/>
      <c r="E98" s="59"/>
      <c r="J98" s="84"/>
      <c r="N98" s="226"/>
      <c r="R98" s="84"/>
      <c r="T98" s="59"/>
    </row>
    <row r="99" spans="1:22" ht="12" customHeight="1">
      <c r="A99" s="37">
        <f t="shared" ref="A99:A110" si="10">ROW()-1</f>
        <v>98</v>
      </c>
      <c r="B99" s="183"/>
      <c r="D99" s="59"/>
      <c r="E99" s="59"/>
      <c r="J99" s="84"/>
      <c r="N99" s="226"/>
      <c r="R99" s="183"/>
      <c r="T99" s="59"/>
    </row>
    <row r="100" spans="1:22" ht="13" customHeight="1">
      <c r="A100" s="37">
        <f t="shared" si="10"/>
        <v>99</v>
      </c>
      <c r="B100" s="183"/>
      <c r="D100" s="59"/>
      <c r="E100" s="59"/>
      <c r="J100" s="84"/>
      <c r="N100" s="226"/>
      <c r="R100" s="183"/>
      <c r="T100" s="59"/>
    </row>
    <row r="101" spans="1:22" ht="12" customHeight="1">
      <c r="A101" s="37">
        <f t="shared" si="10"/>
        <v>100</v>
      </c>
      <c r="B101" s="183"/>
      <c r="D101" s="59"/>
      <c r="E101" s="59"/>
      <c r="J101" s="84"/>
      <c r="N101" s="226"/>
      <c r="R101" s="84"/>
      <c r="T101" s="59"/>
      <c r="V101" s="169"/>
    </row>
    <row r="102" spans="1:22">
      <c r="A102" s="37">
        <f t="shared" si="10"/>
        <v>101</v>
      </c>
      <c r="B102" s="183"/>
      <c r="D102" s="59"/>
      <c r="E102" s="59"/>
      <c r="J102" s="84"/>
      <c r="R102" s="84"/>
      <c r="T102" s="59"/>
    </row>
    <row r="103" spans="1:22">
      <c r="A103" s="37">
        <f t="shared" si="10"/>
        <v>102</v>
      </c>
      <c r="B103" s="183"/>
      <c r="D103" s="59"/>
      <c r="E103" s="59"/>
      <c r="J103" s="84"/>
      <c r="R103" s="84"/>
      <c r="T103" s="59"/>
    </row>
    <row r="104" spans="1:22">
      <c r="A104" s="37">
        <f t="shared" si="10"/>
        <v>103</v>
      </c>
      <c r="B104" s="183"/>
      <c r="D104" s="59"/>
      <c r="E104" s="59"/>
      <c r="J104" s="84"/>
      <c r="R104" s="84"/>
      <c r="T104" s="59"/>
      <c r="U104" s="59"/>
      <c r="V104" s="169"/>
    </row>
    <row r="105" spans="1:22">
      <c r="A105" s="37">
        <f t="shared" si="10"/>
        <v>104</v>
      </c>
      <c r="B105" s="183"/>
      <c r="D105" s="59"/>
      <c r="E105" s="59"/>
      <c r="J105" s="84"/>
      <c r="R105" s="183"/>
      <c r="T105" s="59"/>
    </row>
    <row r="106" spans="1:22">
      <c r="A106" s="37">
        <f t="shared" si="10"/>
        <v>105</v>
      </c>
      <c r="B106" s="183"/>
      <c r="D106" s="59"/>
      <c r="E106" s="59"/>
      <c r="J106" s="84"/>
      <c r="R106" s="183"/>
      <c r="T106" s="59"/>
    </row>
    <row r="107" spans="1:22">
      <c r="A107" s="37">
        <f t="shared" si="10"/>
        <v>106</v>
      </c>
      <c r="B107" s="183"/>
      <c r="D107" s="59"/>
      <c r="E107" s="59"/>
      <c r="J107" s="84"/>
      <c r="R107" s="183"/>
      <c r="T107" s="59"/>
    </row>
    <row r="108" spans="1:22">
      <c r="A108" s="37">
        <f t="shared" si="10"/>
        <v>107</v>
      </c>
      <c r="B108" s="183"/>
      <c r="D108" s="59"/>
      <c r="E108" s="59"/>
      <c r="J108" s="84"/>
      <c r="R108" s="183"/>
      <c r="T108" s="59"/>
    </row>
    <row r="109" spans="1:22">
      <c r="A109" s="37">
        <f t="shared" si="10"/>
        <v>108</v>
      </c>
      <c r="B109" s="183"/>
      <c r="D109" s="59"/>
      <c r="E109" s="59"/>
      <c r="J109" s="84"/>
      <c r="R109" s="183"/>
      <c r="T109" s="59"/>
    </row>
    <row r="110" spans="1:22">
      <c r="A110" s="37">
        <f t="shared" si="10"/>
        <v>109</v>
      </c>
      <c r="B110" s="183"/>
      <c r="D110" s="59"/>
      <c r="E110" s="59"/>
      <c r="J110" s="84"/>
      <c r="R110" s="183"/>
      <c r="T110" s="59"/>
    </row>
    <row r="111" spans="1:22">
      <c r="A111" s="37">
        <f t="shared" ref="A111:A117" si="11">ROW()-1</f>
        <v>110</v>
      </c>
      <c r="B111" s="183"/>
      <c r="D111" s="59"/>
      <c r="E111" s="59"/>
      <c r="J111" s="84"/>
      <c r="R111" s="183"/>
      <c r="T111" s="59"/>
    </row>
    <row r="112" spans="1:22">
      <c r="A112" s="37">
        <f t="shared" si="11"/>
        <v>111</v>
      </c>
      <c r="B112" s="183"/>
      <c r="D112" s="59"/>
      <c r="E112" s="59"/>
      <c r="J112" s="84"/>
      <c r="R112" s="183"/>
      <c r="T112" s="59"/>
    </row>
    <row r="113" spans="1:20">
      <c r="A113" s="37">
        <f t="shared" si="11"/>
        <v>112</v>
      </c>
      <c r="B113" s="183"/>
      <c r="D113" s="59"/>
      <c r="E113" s="59"/>
      <c r="J113" s="84"/>
      <c r="R113" s="183"/>
      <c r="T113" s="59"/>
    </row>
    <row r="114" spans="1:20">
      <c r="A114" s="37">
        <f t="shared" si="11"/>
        <v>113</v>
      </c>
      <c r="B114" s="183"/>
      <c r="D114" s="59"/>
      <c r="E114" s="59"/>
      <c r="J114" s="84"/>
      <c r="R114" s="183"/>
      <c r="T114" s="59"/>
    </row>
    <row r="115" spans="1:20">
      <c r="A115" s="37">
        <f t="shared" si="11"/>
        <v>114</v>
      </c>
      <c r="B115" s="183"/>
      <c r="D115" s="59"/>
      <c r="E115" s="59"/>
      <c r="J115" s="84"/>
      <c r="R115" s="183"/>
      <c r="T115" s="59"/>
    </row>
    <row r="116" spans="1:20">
      <c r="A116" s="37">
        <f t="shared" si="11"/>
        <v>115</v>
      </c>
      <c r="B116" s="183"/>
      <c r="D116" s="59"/>
      <c r="E116" s="59"/>
      <c r="J116" s="84"/>
      <c r="R116" s="183"/>
      <c r="T116" s="59"/>
    </row>
    <row r="117" spans="1:20">
      <c r="A117" s="37">
        <f t="shared" si="11"/>
        <v>116</v>
      </c>
      <c r="B117" s="183"/>
      <c r="D117" s="59"/>
      <c r="E117" s="59"/>
      <c r="J117" s="84"/>
      <c r="R117" s="183"/>
      <c r="T117" s="59"/>
    </row>
    <row r="118" spans="1:20">
      <c r="A118" s="37">
        <f t="shared" ref="A118:A138" si="12">ROW()-1</f>
        <v>117</v>
      </c>
      <c r="B118" s="183"/>
      <c r="D118" s="59"/>
      <c r="E118" s="59"/>
      <c r="F118" s="265"/>
      <c r="G118" s="265"/>
      <c r="J118" s="84"/>
      <c r="R118" s="183"/>
      <c r="T118" s="59"/>
    </row>
    <row r="119" spans="1:20">
      <c r="A119" s="37">
        <f t="shared" si="12"/>
        <v>118</v>
      </c>
      <c r="B119" s="183"/>
      <c r="C119" s="265"/>
      <c r="D119" s="266"/>
      <c r="E119" s="59"/>
      <c r="F119" s="265"/>
      <c r="G119" s="265"/>
      <c r="J119" s="84"/>
      <c r="R119" s="183"/>
      <c r="T119" s="59"/>
    </row>
    <row r="120" spans="1:20">
      <c r="A120" s="37">
        <f t="shared" si="12"/>
        <v>119</v>
      </c>
      <c r="B120" s="183"/>
      <c r="C120" s="265"/>
      <c r="D120" s="266"/>
      <c r="E120" s="59"/>
      <c r="F120" s="265"/>
      <c r="G120" s="265"/>
      <c r="J120" s="84"/>
      <c r="R120" s="183"/>
      <c r="T120" s="59"/>
    </row>
    <row r="121" spans="1:20">
      <c r="A121" s="37">
        <f t="shared" si="12"/>
        <v>120</v>
      </c>
      <c r="B121" s="183"/>
      <c r="C121" s="265"/>
      <c r="D121" s="266"/>
      <c r="E121" s="59"/>
      <c r="F121" s="265"/>
      <c r="G121" s="265"/>
      <c r="J121" s="84"/>
      <c r="R121" s="183"/>
      <c r="T121" s="59"/>
    </row>
    <row r="122" spans="1:20">
      <c r="A122" s="37">
        <f t="shared" si="12"/>
        <v>121</v>
      </c>
      <c r="B122" s="183"/>
      <c r="C122" s="265"/>
      <c r="D122" s="266"/>
      <c r="E122" s="59"/>
      <c r="F122" s="265"/>
      <c r="G122" s="267"/>
      <c r="J122" s="84"/>
      <c r="R122" s="183"/>
      <c r="T122" s="59"/>
    </row>
    <row r="123" spans="1:20">
      <c r="A123" s="37">
        <f t="shared" si="12"/>
        <v>122</v>
      </c>
      <c r="B123" s="183"/>
      <c r="C123" s="265"/>
      <c r="D123" s="266"/>
      <c r="E123" s="59"/>
      <c r="F123" s="265"/>
      <c r="G123" s="267"/>
      <c r="J123" s="84"/>
      <c r="R123" s="183"/>
      <c r="T123" s="59"/>
    </row>
    <row r="124" spans="1:20">
      <c r="A124" s="37">
        <f t="shared" si="12"/>
        <v>123</v>
      </c>
      <c r="B124" s="183"/>
      <c r="C124" s="265"/>
      <c r="D124" s="266"/>
      <c r="E124" s="59"/>
      <c r="F124" s="265"/>
      <c r="G124" s="267"/>
      <c r="J124" s="84"/>
      <c r="R124" s="183"/>
      <c r="T124" s="59"/>
    </row>
    <row r="125" spans="1:20">
      <c r="A125" s="37">
        <f t="shared" si="12"/>
        <v>124</v>
      </c>
      <c r="B125" s="183"/>
      <c r="C125" s="265"/>
      <c r="D125" s="266"/>
      <c r="E125" s="59"/>
      <c r="F125" s="265"/>
      <c r="G125" s="267"/>
      <c r="I125" s="69"/>
      <c r="J125" s="137"/>
      <c r="K125" s="69"/>
      <c r="L125" s="69"/>
      <c r="M125" s="69"/>
      <c r="N125" s="69"/>
      <c r="R125" s="183"/>
      <c r="T125" s="59"/>
    </row>
    <row r="126" spans="1:20">
      <c r="A126" s="37">
        <f t="shared" si="12"/>
        <v>125</v>
      </c>
      <c r="B126" s="183"/>
      <c r="C126" s="265"/>
      <c r="D126" s="266"/>
      <c r="E126" s="59"/>
      <c r="F126" s="265"/>
      <c r="G126" s="267"/>
      <c r="I126" s="69"/>
      <c r="J126" s="137"/>
      <c r="K126" s="69"/>
      <c r="L126" s="69"/>
      <c r="M126" s="69"/>
      <c r="N126" s="69"/>
      <c r="R126" s="183"/>
      <c r="T126" s="59"/>
    </row>
    <row r="127" spans="1:20">
      <c r="A127" s="37">
        <f t="shared" si="12"/>
        <v>126</v>
      </c>
      <c r="B127" s="183"/>
      <c r="C127" s="265"/>
      <c r="D127" s="266"/>
      <c r="E127" s="59"/>
      <c r="F127" s="265"/>
      <c r="G127" s="267"/>
      <c r="I127" s="69"/>
      <c r="J127" s="137"/>
      <c r="K127" s="69"/>
      <c r="L127" s="69"/>
      <c r="M127" s="69"/>
      <c r="N127" s="69"/>
      <c r="R127" s="183"/>
      <c r="T127" s="59"/>
    </row>
    <row r="128" spans="1:20">
      <c r="A128" s="37">
        <f t="shared" si="12"/>
        <v>127</v>
      </c>
      <c r="B128" s="183"/>
      <c r="C128" s="265"/>
      <c r="D128" s="266"/>
      <c r="E128" s="59"/>
      <c r="F128" s="265"/>
      <c r="G128" s="267"/>
      <c r="I128" s="69"/>
      <c r="J128" s="137"/>
      <c r="K128" s="69"/>
      <c r="L128" s="69"/>
      <c r="M128" s="69"/>
      <c r="N128" s="69"/>
      <c r="R128" s="183"/>
      <c r="T128" s="59"/>
    </row>
    <row r="129" spans="1:20">
      <c r="A129" s="37">
        <f t="shared" si="12"/>
        <v>128</v>
      </c>
      <c r="B129" s="183"/>
      <c r="C129" s="265"/>
      <c r="D129" s="266"/>
      <c r="E129" s="59"/>
      <c r="F129" s="265"/>
      <c r="G129" s="265"/>
      <c r="I129" s="69"/>
      <c r="J129" s="137"/>
      <c r="K129" s="69"/>
      <c r="L129" s="69"/>
      <c r="M129" s="69"/>
      <c r="N129" s="69"/>
      <c r="R129" s="183"/>
      <c r="T129" s="59"/>
    </row>
    <row r="130" spans="1:20">
      <c r="A130" s="37">
        <f t="shared" si="12"/>
        <v>129</v>
      </c>
      <c r="B130" s="183"/>
      <c r="C130" s="265"/>
      <c r="D130" s="266"/>
      <c r="E130" s="59"/>
      <c r="F130" s="265"/>
      <c r="G130" s="265"/>
      <c r="I130" s="69"/>
      <c r="J130" s="137"/>
      <c r="K130" s="69"/>
      <c r="L130" s="69"/>
      <c r="M130" s="69"/>
      <c r="N130" s="69"/>
      <c r="R130" s="183"/>
      <c r="T130" s="59"/>
    </row>
    <row r="131" spans="1:20">
      <c r="A131" s="37">
        <f t="shared" si="12"/>
        <v>130</v>
      </c>
      <c r="B131" s="183"/>
      <c r="C131" s="265"/>
      <c r="D131" s="266"/>
      <c r="E131" s="59"/>
      <c r="F131" s="265"/>
      <c r="G131" s="265"/>
      <c r="I131" s="69"/>
      <c r="J131" s="137"/>
      <c r="K131" s="69"/>
      <c r="L131" s="69"/>
      <c r="M131" s="69"/>
      <c r="N131" s="69"/>
      <c r="O131" s="69"/>
      <c r="R131" s="183"/>
      <c r="T131" s="59"/>
    </row>
    <row r="132" spans="1:20">
      <c r="A132" s="37">
        <f t="shared" si="12"/>
        <v>131</v>
      </c>
      <c r="B132" s="183"/>
      <c r="C132" s="265"/>
      <c r="D132" s="266"/>
      <c r="E132" s="59"/>
      <c r="F132" s="265"/>
      <c r="G132" s="265"/>
      <c r="I132" s="69"/>
      <c r="J132" s="137"/>
      <c r="K132" s="69"/>
      <c r="L132" s="69"/>
      <c r="M132" s="69"/>
      <c r="N132" s="69"/>
      <c r="R132" s="183"/>
      <c r="T132" s="59"/>
    </row>
    <row r="133" spans="1:20">
      <c r="A133" s="37">
        <f t="shared" si="12"/>
        <v>132</v>
      </c>
      <c r="B133" s="183"/>
      <c r="C133" s="265"/>
      <c r="D133" s="266"/>
      <c r="E133" s="59"/>
      <c r="F133" s="265"/>
      <c r="G133" s="267"/>
      <c r="I133" s="69"/>
      <c r="J133" s="137"/>
      <c r="K133" s="69"/>
      <c r="L133" s="69"/>
      <c r="M133" s="69"/>
      <c r="N133" s="69"/>
      <c r="R133" s="183"/>
      <c r="T133" s="59"/>
    </row>
    <row r="134" spans="1:20">
      <c r="A134" s="37">
        <f t="shared" si="12"/>
        <v>133</v>
      </c>
      <c r="B134" s="183"/>
      <c r="C134" s="265"/>
      <c r="D134" s="266"/>
      <c r="E134" s="59"/>
      <c r="F134" s="265"/>
      <c r="G134" s="267"/>
      <c r="I134" s="69"/>
      <c r="J134" s="137"/>
      <c r="K134" s="69"/>
      <c r="L134" s="69"/>
      <c r="M134" s="69"/>
      <c r="N134" s="69"/>
      <c r="R134" s="183"/>
      <c r="T134" s="59"/>
    </row>
    <row r="135" spans="1:20">
      <c r="A135" s="37">
        <f t="shared" si="12"/>
        <v>134</v>
      </c>
      <c r="B135" s="183"/>
      <c r="C135" s="265"/>
      <c r="D135" s="266"/>
      <c r="E135" s="59"/>
      <c r="F135" s="265"/>
      <c r="G135" s="265"/>
      <c r="J135" s="84"/>
      <c r="R135" s="183"/>
      <c r="T135" s="59"/>
    </row>
    <row r="136" spans="1:20">
      <c r="A136" s="37">
        <f t="shared" si="12"/>
        <v>135</v>
      </c>
      <c r="B136" s="183"/>
      <c r="C136" s="265"/>
      <c r="D136" s="266"/>
      <c r="E136" s="59"/>
      <c r="F136" s="265"/>
      <c r="G136" s="265"/>
      <c r="J136" s="84"/>
      <c r="R136" s="183"/>
      <c r="T136" s="59"/>
    </row>
    <row r="137" spans="1:20">
      <c r="A137" s="37">
        <f t="shared" si="12"/>
        <v>136</v>
      </c>
      <c r="B137" s="183"/>
      <c r="C137" s="265"/>
      <c r="D137" s="266"/>
      <c r="E137" s="59"/>
      <c r="F137" s="265"/>
      <c r="G137" s="265"/>
      <c r="J137" s="84"/>
      <c r="R137" s="183"/>
      <c r="T137" s="59"/>
    </row>
    <row r="138" spans="1:20">
      <c r="A138" s="37">
        <f t="shared" si="12"/>
        <v>137</v>
      </c>
      <c r="B138" s="183"/>
      <c r="C138" s="265"/>
      <c r="D138" s="266"/>
      <c r="E138" s="59"/>
      <c r="F138" s="265"/>
      <c r="G138" s="265"/>
      <c r="J138" s="84"/>
      <c r="R138" s="183"/>
      <c r="T138" s="59"/>
    </row>
    <row r="139" spans="1:20">
      <c r="A139" s="37">
        <f t="shared" ref="A139:A150" si="13">ROW()-1</f>
        <v>138</v>
      </c>
      <c r="B139" s="183"/>
      <c r="C139" s="265"/>
      <c r="D139" s="266"/>
      <c r="E139" s="59"/>
      <c r="F139" s="265"/>
      <c r="G139" s="265"/>
      <c r="J139" s="84"/>
      <c r="R139" s="183"/>
      <c r="T139" s="59"/>
    </row>
    <row r="140" spans="1:20">
      <c r="A140" s="37">
        <f t="shared" si="13"/>
        <v>139</v>
      </c>
      <c r="B140" s="183"/>
      <c r="C140" s="265"/>
      <c r="D140" s="266"/>
      <c r="E140" s="59"/>
      <c r="F140" s="265"/>
      <c r="G140" s="265"/>
      <c r="J140" s="84"/>
      <c r="R140" s="183"/>
      <c r="T140" s="59"/>
    </row>
    <row r="141" spans="1:20">
      <c r="A141" s="37">
        <f t="shared" si="13"/>
        <v>140</v>
      </c>
      <c r="B141" s="183"/>
      <c r="C141" s="265"/>
      <c r="D141" s="266"/>
      <c r="E141" s="59"/>
      <c r="F141" s="265"/>
      <c r="G141" s="265"/>
      <c r="J141" s="84"/>
      <c r="R141" s="183"/>
      <c r="T141" s="59"/>
    </row>
    <row r="142" spans="1:20">
      <c r="A142" s="37">
        <f t="shared" si="13"/>
        <v>141</v>
      </c>
      <c r="B142" s="183"/>
      <c r="D142" s="59"/>
      <c r="E142" s="59"/>
      <c r="J142" s="84"/>
      <c r="R142" s="183"/>
      <c r="T142" s="59"/>
    </row>
    <row r="143" spans="1:20">
      <c r="A143" s="37">
        <f t="shared" si="13"/>
        <v>142</v>
      </c>
      <c r="B143" s="183"/>
      <c r="D143" s="59"/>
      <c r="E143" s="59"/>
      <c r="J143" s="84"/>
      <c r="R143" s="183"/>
      <c r="T143" s="59"/>
    </row>
    <row r="144" spans="1:20">
      <c r="A144" s="37">
        <f t="shared" si="13"/>
        <v>143</v>
      </c>
      <c r="B144" s="183"/>
      <c r="D144" s="59"/>
      <c r="E144" s="59"/>
      <c r="J144" s="84"/>
      <c r="R144" s="183"/>
      <c r="T144" s="59"/>
    </row>
    <row r="145" spans="1:20">
      <c r="A145" s="37">
        <f t="shared" si="13"/>
        <v>144</v>
      </c>
      <c r="B145" s="183"/>
      <c r="D145" s="59"/>
      <c r="E145" s="59"/>
      <c r="J145" s="84"/>
      <c r="R145" s="183"/>
      <c r="T145" s="59"/>
    </row>
    <row r="146" spans="1:20">
      <c r="A146" s="37">
        <f t="shared" si="13"/>
        <v>145</v>
      </c>
      <c r="B146" s="183"/>
      <c r="D146" s="59"/>
      <c r="E146" s="59"/>
      <c r="J146" s="84"/>
      <c r="R146" s="183"/>
      <c r="T146" s="59"/>
    </row>
    <row r="147" spans="1:20">
      <c r="A147" s="37">
        <f t="shared" si="13"/>
        <v>146</v>
      </c>
      <c r="B147" s="183"/>
      <c r="D147" s="59"/>
      <c r="E147" s="59"/>
      <c r="J147" s="84"/>
      <c r="R147" s="183"/>
      <c r="T147" s="59"/>
    </row>
    <row r="148" spans="1:20">
      <c r="A148" s="37">
        <f t="shared" si="13"/>
        <v>147</v>
      </c>
      <c r="B148" s="183"/>
      <c r="D148" s="59"/>
      <c r="E148" s="59"/>
      <c r="J148" s="84"/>
      <c r="R148" s="183"/>
      <c r="T148" s="59"/>
    </row>
    <row r="149" spans="1:20">
      <c r="A149" s="37">
        <f t="shared" si="13"/>
        <v>148</v>
      </c>
      <c r="B149" s="183"/>
      <c r="D149" s="59"/>
      <c r="E149" s="59"/>
      <c r="R149" s="84"/>
      <c r="T149" s="59"/>
    </row>
    <row r="150" spans="1:20">
      <c r="A150" s="37">
        <f t="shared" si="13"/>
        <v>149</v>
      </c>
      <c r="B150" s="183"/>
      <c r="D150" s="59"/>
      <c r="E150" s="59"/>
      <c r="R150" s="84"/>
      <c r="T150" s="59"/>
    </row>
    <row r="151" spans="1:20">
      <c r="A151" s="37">
        <f t="shared" ref="A151:A159" si="14">ROW()-1</f>
        <v>150</v>
      </c>
      <c r="B151" s="183"/>
      <c r="D151" s="59"/>
      <c r="E151" s="59"/>
      <c r="R151" s="84"/>
      <c r="T151" s="59"/>
    </row>
    <row r="152" spans="1:20">
      <c r="A152" s="37">
        <f t="shared" si="14"/>
        <v>151</v>
      </c>
      <c r="B152" s="183"/>
      <c r="D152" s="59"/>
      <c r="E152" s="59"/>
      <c r="R152" s="84"/>
      <c r="T152" s="59"/>
    </row>
    <row r="153" spans="1:20">
      <c r="A153" s="37">
        <f t="shared" si="14"/>
        <v>152</v>
      </c>
      <c r="B153" s="183"/>
      <c r="D153" s="59"/>
      <c r="E153" s="59"/>
      <c r="R153" s="84"/>
      <c r="T153" s="59"/>
    </row>
    <row r="154" spans="1:20">
      <c r="A154" s="37">
        <f t="shared" si="14"/>
        <v>153</v>
      </c>
      <c r="B154" s="183"/>
      <c r="D154" s="59"/>
      <c r="E154" s="59"/>
      <c r="R154" s="84"/>
      <c r="T154" s="59"/>
    </row>
    <row r="155" spans="1:20">
      <c r="A155" s="37">
        <f t="shared" si="14"/>
        <v>154</v>
      </c>
      <c r="B155" s="183"/>
      <c r="D155" s="59"/>
      <c r="E155" s="59"/>
      <c r="R155" s="84"/>
      <c r="T155" s="59"/>
    </row>
    <row r="156" spans="1:20">
      <c r="A156" s="37">
        <f t="shared" si="14"/>
        <v>155</v>
      </c>
      <c r="B156" s="183"/>
      <c r="D156" s="59"/>
      <c r="E156" s="59"/>
      <c r="R156" s="84"/>
      <c r="T156" s="59"/>
    </row>
    <row r="157" spans="1:20">
      <c r="A157" s="37">
        <f t="shared" si="14"/>
        <v>156</v>
      </c>
      <c r="B157" s="183"/>
      <c r="D157" s="59"/>
      <c r="E157" s="59"/>
      <c r="R157" s="84"/>
      <c r="T157" s="59"/>
    </row>
    <row r="158" spans="1:20">
      <c r="A158" s="37">
        <f t="shared" si="14"/>
        <v>157</v>
      </c>
      <c r="B158" s="183"/>
      <c r="D158" s="59"/>
      <c r="E158" s="59"/>
      <c r="R158" s="84"/>
      <c r="T158" s="59"/>
    </row>
    <row r="159" spans="1:20">
      <c r="A159" s="37">
        <f t="shared" si="14"/>
        <v>158</v>
      </c>
      <c r="B159" s="183"/>
      <c r="D159" s="59"/>
      <c r="E159" s="59"/>
      <c r="R159" s="84"/>
      <c r="T159" s="59"/>
    </row>
    <row r="160" spans="1:20">
      <c r="A160" s="37">
        <f t="shared" ref="A160:A165" si="15">ROW()-1</f>
        <v>159</v>
      </c>
      <c r="B160" s="183"/>
      <c r="D160" s="59"/>
      <c r="E160" s="59"/>
      <c r="R160" s="84"/>
      <c r="T160" s="59"/>
    </row>
    <row r="161" spans="1:20">
      <c r="A161" s="37">
        <f t="shared" si="15"/>
        <v>160</v>
      </c>
      <c r="B161" s="183"/>
      <c r="D161" s="59"/>
      <c r="E161" s="59"/>
      <c r="G161" s="169"/>
      <c r="R161" s="84"/>
      <c r="T161" s="59"/>
    </row>
    <row r="162" spans="1:20">
      <c r="A162" s="37">
        <f t="shared" si="15"/>
        <v>161</v>
      </c>
      <c r="B162" s="183"/>
      <c r="D162" s="59"/>
      <c r="E162" s="59"/>
      <c r="G162" s="169"/>
      <c r="R162" s="84"/>
      <c r="T162" s="59"/>
    </row>
    <row r="163" spans="1:20">
      <c r="A163" s="37">
        <f t="shared" si="15"/>
        <v>162</v>
      </c>
      <c r="B163" s="183"/>
      <c r="D163" s="59"/>
      <c r="E163" s="59"/>
      <c r="G163" s="169"/>
      <c r="R163" s="84"/>
      <c r="T163" s="59"/>
    </row>
    <row r="164" spans="1:20">
      <c r="A164" s="37">
        <f t="shared" si="15"/>
        <v>163</v>
      </c>
      <c r="B164" s="183"/>
      <c r="D164" s="59"/>
      <c r="E164" s="59"/>
      <c r="G164" s="169"/>
      <c r="R164" s="84"/>
      <c r="T164" s="59"/>
    </row>
    <row r="165" spans="1:20">
      <c r="A165" s="37">
        <f t="shared" si="15"/>
        <v>164</v>
      </c>
      <c r="B165" s="183"/>
      <c r="D165" s="59"/>
      <c r="E165" s="59"/>
      <c r="R165" s="84"/>
      <c r="T165" s="59"/>
    </row>
    <row r="166" spans="1:20">
      <c r="A166" s="37">
        <f t="shared" ref="A166:A191" si="16">ROW()-1</f>
        <v>165</v>
      </c>
      <c r="B166" s="183"/>
      <c r="D166" s="59"/>
      <c r="E166" s="59"/>
      <c r="R166" s="84"/>
      <c r="T166" s="59"/>
    </row>
    <row r="167" spans="1:20">
      <c r="A167" s="37">
        <f t="shared" si="16"/>
        <v>166</v>
      </c>
      <c r="B167" s="183"/>
      <c r="D167" s="59"/>
      <c r="E167" s="59"/>
      <c r="R167" s="84"/>
      <c r="T167" s="59"/>
    </row>
    <row r="168" spans="1:20">
      <c r="A168" s="37">
        <f t="shared" si="16"/>
        <v>167</v>
      </c>
      <c r="B168" s="183"/>
      <c r="D168" s="59"/>
      <c r="E168" s="59"/>
      <c r="G168" s="169"/>
      <c r="R168" s="84"/>
      <c r="T168" s="59"/>
    </row>
    <row r="169" spans="1:20">
      <c r="A169" s="37">
        <f t="shared" si="16"/>
        <v>168</v>
      </c>
      <c r="B169" s="183"/>
      <c r="D169" s="59"/>
      <c r="E169" s="59"/>
      <c r="G169" s="169"/>
      <c r="R169" s="84"/>
      <c r="T169" s="59"/>
    </row>
    <row r="170" spans="1:20">
      <c r="A170" s="37">
        <f t="shared" si="16"/>
        <v>169</v>
      </c>
      <c r="B170" s="183"/>
      <c r="D170" s="59"/>
      <c r="E170" s="59"/>
      <c r="G170" s="169"/>
      <c r="R170" s="84"/>
      <c r="T170" s="59"/>
    </row>
    <row r="171" spans="1:20">
      <c r="A171" s="37">
        <f t="shared" si="16"/>
        <v>170</v>
      </c>
      <c r="B171" s="183"/>
      <c r="D171" s="59"/>
      <c r="E171" s="59"/>
      <c r="G171" s="169"/>
      <c r="R171" s="84"/>
      <c r="T171" s="59"/>
    </row>
    <row r="172" spans="1:20">
      <c r="A172" s="37">
        <f t="shared" si="16"/>
        <v>171</v>
      </c>
      <c r="B172" s="183"/>
      <c r="D172" s="59"/>
      <c r="E172" s="59"/>
      <c r="R172" s="84"/>
      <c r="T172" s="59"/>
    </row>
    <row r="173" spans="1:20">
      <c r="A173" s="37">
        <f t="shared" si="16"/>
        <v>172</v>
      </c>
      <c r="B173" s="183"/>
      <c r="D173" s="59"/>
      <c r="E173" s="59"/>
      <c r="R173" s="84"/>
      <c r="T173" s="59"/>
    </row>
    <row r="174" spans="1:20">
      <c r="A174" s="37">
        <f t="shared" si="16"/>
        <v>173</v>
      </c>
      <c r="B174" s="183"/>
      <c r="D174" s="59"/>
      <c r="E174" s="59"/>
      <c r="G174" s="169"/>
      <c r="R174" s="84"/>
      <c r="T174" s="59"/>
    </row>
    <row r="175" spans="1:20">
      <c r="A175" s="37">
        <f t="shared" si="16"/>
        <v>174</v>
      </c>
      <c r="B175" s="183"/>
      <c r="D175" s="59"/>
      <c r="E175" s="59"/>
      <c r="R175" s="84"/>
      <c r="T175" s="59"/>
    </row>
    <row r="176" spans="1:20">
      <c r="A176" s="37">
        <f t="shared" si="16"/>
        <v>175</v>
      </c>
      <c r="B176" s="183"/>
      <c r="D176" s="59"/>
      <c r="E176" s="59"/>
      <c r="F176" s="289"/>
      <c r="G176" s="289"/>
      <c r="R176" s="84"/>
      <c r="T176" s="59"/>
    </row>
    <row r="177" spans="1:20">
      <c r="A177" s="37">
        <f t="shared" si="16"/>
        <v>176</v>
      </c>
      <c r="B177" s="183"/>
      <c r="D177" s="59"/>
      <c r="E177" s="59"/>
      <c r="R177" s="84"/>
      <c r="T177" s="59"/>
    </row>
    <row r="178" spans="1:20">
      <c r="A178" s="37">
        <f t="shared" si="16"/>
        <v>177</v>
      </c>
      <c r="B178" s="183"/>
      <c r="D178" s="59"/>
      <c r="E178" s="59"/>
      <c r="R178" s="84"/>
      <c r="T178" s="59"/>
    </row>
    <row r="179" spans="1:20">
      <c r="A179" s="37">
        <f t="shared" si="16"/>
        <v>178</v>
      </c>
      <c r="B179" s="183"/>
      <c r="D179" s="59"/>
      <c r="E179" s="59"/>
      <c r="R179" s="84"/>
      <c r="T179" s="59"/>
    </row>
    <row r="180" spans="1:20">
      <c r="A180" s="37">
        <f t="shared" si="16"/>
        <v>179</v>
      </c>
      <c r="B180" s="183"/>
      <c r="D180" s="59"/>
      <c r="E180" s="59"/>
      <c r="R180" s="84"/>
      <c r="T180" s="59"/>
    </row>
    <row r="181" spans="1:20">
      <c r="A181" s="37">
        <f t="shared" si="16"/>
        <v>180</v>
      </c>
      <c r="B181" s="183"/>
      <c r="D181" s="59"/>
      <c r="E181" s="59"/>
      <c r="R181" s="84"/>
      <c r="T181" s="59"/>
    </row>
    <row r="182" spans="1:20">
      <c r="A182" s="37">
        <f t="shared" si="16"/>
        <v>181</v>
      </c>
      <c r="B182" s="183"/>
      <c r="D182" s="59"/>
      <c r="E182" s="59"/>
      <c r="R182" s="84"/>
      <c r="T182" s="59"/>
    </row>
    <row r="183" spans="1:20">
      <c r="A183" s="37">
        <f t="shared" si="16"/>
        <v>182</v>
      </c>
      <c r="B183" s="183"/>
      <c r="D183" s="59"/>
      <c r="E183" s="59"/>
      <c r="R183" s="84"/>
      <c r="T183" s="59"/>
    </row>
    <row r="184" spans="1:20">
      <c r="A184" s="37">
        <f t="shared" si="16"/>
        <v>183</v>
      </c>
      <c r="B184" s="183"/>
      <c r="D184" s="59"/>
      <c r="E184" s="59"/>
      <c r="G184" s="169"/>
      <c r="R184" s="84"/>
      <c r="T184" s="59"/>
    </row>
    <row r="185" spans="1:20">
      <c r="A185" s="37">
        <f t="shared" si="16"/>
        <v>184</v>
      </c>
      <c r="B185" s="183"/>
      <c r="D185" s="59"/>
      <c r="E185" s="59"/>
      <c r="R185" s="84"/>
      <c r="T185" s="59"/>
    </row>
    <row r="186" spans="1:20">
      <c r="A186" s="37">
        <f t="shared" si="16"/>
        <v>185</v>
      </c>
      <c r="B186" s="183"/>
      <c r="D186" s="59"/>
      <c r="E186" s="59"/>
      <c r="R186" s="84"/>
      <c r="T186" s="59"/>
    </row>
    <row r="187" spans="1:20">
      <c r="A187" s="37">
        <f t="shared" si="16"/>
        <v>186</v>
      </c>
      <c r="B187" s="183"/>
      <c r="D187" s="59"/>
      <c r="E187" s="59"/>
      <c r="G187" s="169"/>
      <c r="R187" s="84"/>
      <c r="T187" s="59"/>
    </row>
    <row r="188" spans="1:20">
      <c r="A188" s="37">
        <f t="shared" si="16"/>
        <v>187</v>
      </c>
      <c r="B188" s="183"/>
      <c r="D188" s="59"/>
      <c r="E188" s="59"/>
      <c r="G188" s="169"/>
      <c r="R188" s="84"/>
      <c r="T188" s="59"/>
    </row>
    <row r="189" spans="1:20">
      <c r="A189" s="37">
        <f t="shared" si="16"/>
        <v>188</v>
      </c>
      <c r="B189" s="183"/>
      <c r="D189" s="59"/>
      <c r="E189" s="59"/>
      <c r="R189" s="84"/>
      <c r="T189" s="59"/>
    </row>
    <row r="190" spans="1:20">
      <c r="A190" s="37">
        <f t="shared" si="16"/>
        <v>189</v>
      </c>
      <c r="B190" s="183"/>
      <c r="D190" s="59"/>
      <c r="E190" s="59"/>
      <c r="R190" s="84"/>
      <c r="T190" s="59"/>
    </row>
    <row r="191" spans="1:20">
      <c r="A191" s="37">
        <f t="shared" si="16"/>
        <v>190</v>
      </c>
      <c r="B191" s="183"/>
      <c r="D191" s="59"/>
      <c r="E191" s="59"/>
      <c r="R191" s="84"/>
      <c r="T191" s="59"/>
    </row>
    <row r="192" spans="1:20">
      <c r="A192" s="37">
        <f t="shared" ref="A192:A216" si="17">ROW()-1</f>
        <v>191</v>
      </c>
      <c r="B192" s="183"/>
      <c r="D192" s="59"/>
      <c r="E192" s="59"/>
      <c r="R192" s="84"/>
      <c r="T192" s="59"/>
    </row>
    <row r="193" spans="1:20">
      <c r="A193" s="37">
        <f t="shared" si="17"/>
        <v>192</v>
      </c>
      <c r="B193" s="183"/>
      <c r="D193" s="59"/>
      <c r="E193" s="59"/>
      <c r="R193" s="84"/>
      <c r="T193" s="59"/>
    </row>
    <row r="194" spans="1:20">
      <c r="A194" s="37">
        <f t="shared" si="17"/>
        <v>193</v>
      </c>
      <c r="B194" s="183"/>
      <c r="D194" s="59"/>
      <c r="E194" s="59"/>
      <c r="R194" s="84"/>
      <c r="T194" s="59"/>
    </row>
    <row r="195" spans="1:20">
      <c r="A195" s="37">
        <f t="shared" si="17"/>
        <v>194</v>
      </c>
      <c r="B195" s="183"/>
      <c r="D195" s="59"/>
      <c r="E195" s="59"/>
      <c r="R195" s="84"/>
      <c r="T195" s="59"/>
    </row>
    <row r="196" spans="1:20">
      <c r="A196" s="37">
        <f t="shared" si="17"/>
        <v>195</v>
      </c>
      <c r="B196" s="183"/>
      <c r="D196" s="59"/>
      <c r="E196" s="59"/>
      <c r="R196" s="84"/>
      <c r="T196" s="59"/>
    </row>
    <row r="197" spans="1:20">
      <c r="A197" s="37">
        <f t="shared" si="17"/>
        <v>196</v>
      </c>
      <c r="B197" s="183"/>
      <c r="D197" s="59"/>
      <c r="E197" s="59"/>
      <c r="R197" s="84"/>
      <c r="T197" s="59"/>
    </row>
    <row r="198" spans="1:20">
      <c r="A198" s="37">
        <f t="shared" si="17"/>
        <v>197</v>
      </c>
      <c r="B198" s="183"/>
      <c r="D198" s="59"/>
      <c r="E198" s="59"/>
      <c r="R198" s="84"/>
      <c r="T198" s="59"/>
    </row>
    <row r="199" spans="1:20">
      <c r="A199" s="37">
        <f t="shared" si="17"/>
        <v>198</v>
      </c>
      <c r="B199" s="183"/>
      <c r="D199" s="59"/>
      <c r="E199" s="59"/>
      <c r="R199" s="84"/>
      <c r="T199" s="59"/>
    </row>
    <row r="200" spans="1:20">
      <c r="A200" s="37">
        <f t="shared" si="17"/>
        <v>199</v>
      </c>
      <c r="B200" s="183"/>
      <c r="D200" s="59"/>
      <c r="E200" s="59"/>
      <c r="R200" s="84"/>
      <c r="T200" s="59"/>
    </row>
    <row r="201" spans="1:20">
      <c r="A201" s="37">
        <f t="shared" si="17"/>
        <v>200</v>
      </c>
      <c r="B201" s="183"/>
      <c r="D201" s="59"/>
      <c r="E201" s="59"/>
      <c r="R201" s="84"/>
      <c r="T201" s="59"/>
    </row>
    <row r="202" spans="1:20">
      <c r="A202" s="37">
        <f t="shared" si="17"/>
        <v>201</v>
      </c>
      <c r="B202" s="183"/>
      <c r="D202" s="59"/>
      <c r="E202" s="59"/>
      <c r="R202" s="84"/>
      <c r="T202" s="59"/>
    </row>
    <row r="203" spans="1:20">
      <c r="A203" s="37">
        <f t="shared" si="17"/>
        <v>202</v>
      </c>
      <c r="B203" s="183"/>
      <c r="D203" s="59"/>
      <c r="E203" s="59"/>
      <c r="R203" s="84"/>
      <c r="T203" s="59"/>
    </row>
    <row r="204" spans="1:20">
      <c r="A204" s="37">
        <f t="shared" si="17"/>
        <v>203</v>
      </c>
      <c r="B204" s="183"/>
      <c r="D204" s="59"/>
      <c r="E204" s="59"/>
      <c r="R204" s="84"/>
      <c r="T204" s="59"/>
    </row>
    <row r="205" spans="1:20">
      <c r="A205" s="37">
        <f t="shared" si="17"/>
        <v>204</v>
      </c>
      <c r="B205" s="183"/>
      <c r="D205" s="59"/>
      <c r="E205" s="59"/>
      <c r="R205" s="84"/>
      <c r="T205" s="59"/>
    </row>
    <row r="206" spans="1:20">
      <c r="A206" s="37">
        <f t="shared" si="17"/>
        <v>205</v>
      </c>
      <c r="B206" s="183"/>
      <c r="D206" s="59"/>
      <c r="E206" s="59"/>
      <c r="R206" s="84"/>
      <c r="T206" s="59"/>
    </row>
    <row r="207" spans="1:20">
      <c r="A207" s="37">
        <f t="shared" si="17"/>
        <v>206</v>
      </c>
      <c r="B207" s="183"/>
      <c r="D207" s="59"/>
      <c r="E207" s="59"/>
      <c r="R207" s="84"/>
      <c r="T207" s="59"/>
    </row>
    <row r="208" spans="1:20">
      <c r="A208" s="37">
        <f t="shared" si="17"/>
        <v>207</v>
      </c>
      <c r="B208" s="183"/>
      <c r="D208" s="59"/>
      <c r="E208" s="59"/>
      <c r="R208" s="84"/>
      <c r="T208" s="59"/>
    </row>
    <row r="209" spans="1:20">
      <c r="A209" s="37">
        <f t="shared" si="17"/>
        <v>208</v>
      </c>
      <c r="B209" s="183"/>
      <c r="D209" s="59"/>
      <c r="E209" s="59"/>
      <c r="R209" s="84"/>
      <c r="T209" s="59"/>
    </row>
    <row r="210" spans="1:20">
      <c r="A210" s="37">
        <f t="shared" si="17"/>
        <v>209</v>
      </c>
      <c r="B210" s="183"/>
      <c r="D210" s="59"/>
      <c r="E210" s="59"/>
      <c r="R210" s="84"/>
      <c r="T210" s="59"/>
    </row>
    <row r="211" spans="1:20">
      <c r="A211" s="37">
        <f t="shared" si="17"/>
        <v>210</v>
      </c>
      <c r="B211" s="183"/>
      <c r="D211" s="59"/>
      <c r="E211" s="59"/>
      <c r="R211" s="84"/>
      <c r="T211" s="59"/>
    </row>
    <row r="212" spans="1:20">
      <c r="A212" s="37">
        <f t="shared" si="17"/>
        <v>211</v>
      </c>
      <c r="B212" s="183"/>
      <c r="D212" s="59"/>
      <c r="E212" s="59"/>
      <c r="R212" s="84"/>
      <c r="T212" s="59"/>
    </row>
    <row r="213" spans="1:20">
      <c r="A213" s="37">
        <f t="shared" si="17"/>
        <v>212</v>
      </c>
      <c r="B213" s="183"/>
      <c r="D213" s="59"/>
      <c r="E213" s="59"/>
      <c r="R213" s="84"/>
      <c r="T213" s="59"/>
    </row>
    <row r="214" spans="1:20">
      <c r="A214" s="37">
        <f t="shared" si="17"/>
        <v>213</v>
      </c>
      <c r="B214" s="183"/>
      <c r="D214" s="59"/>
      <c r="E214" s="59"/>
      <c r="R214" s="84"/>
      <c r="T214" s="59"/>
    </row>
    <row r="215" spans="1:20">
      <c r="A215" s="37">
        <f t="shared" si="17"/>
        <v>214</v>
      </c>
      <c r="B215" s="183"/>
      <c r="D215" s="59"/>
      <c r="E215" s="59"/>
      <c r="R215" s="84"/>
      <c r="T215" s="59"/>
    </row>
    <row r="216" spans="1:20">
      <c r="A216" s="37">
        <f t="shared" si="17"/>
        <v>215</v>
      </c>
      <c r="B216" s="183"/>
      <c r="D216" s="59"/>
      <c r="E216" s="59"/>
      <c r="R216" s="84"/>
      <c r="T216" s="59"/>
    </row>
    <row r="217" spans="1:20">
      <c r="A217" s="37">
        <f t="shared" ref="A217:A233" si="18">ROW()-1</f>
        <v>216</v>
      </c>
      <c r="B217" s="183"/>
      <c r="D217" s="59"/>
      <c r="E217" s="59"/>
      <c r="R217" s="84"/>
      <c r="T217" s="59"/>
    </row>
    <row r="218" spans="1:20">
      <c r="A218" s="37">
        <f t="shared" si="18"/>
        <v>217</v>
      </c>
      <c r="B218" s="183"/>
      <c r="D218" s="59"/>
      <c r="E218" s="59"/>
      <c r="R218" s="84"/>
      <c r="T218" s="59"/>
    </row>
    <row r="219" spans="1:20">
      <c r="A219" s="37">
        <f t="shared" si="18"/>
        <v>218</v>
      </c>
      <c r="B219" s="183"/>
      <c r="D219" s="59"/>
      <c r="E219" s="59"/>
      <c r="R219" s="84"/>
      <c r="T219" s="59"/>
    </row>
    <row r="220" spans="1:20">
      <c r="A220" s="37">
        <f t="shared" si="18"/>
        <v>219</v>
      </c>
      <c r="B220" s="183"/>
      <c r="D220" s="59"/>
      <c r="E220" s="59"/>
      <c r="R220" s="84"/>
      <c r="T220" s="59"/>
    </row>
    <row r="221" spans="1:20">
      <c r="A221" s="37">
        <f t="shared" si="18"/>
        <v>220</v>
      </c>
      <c r="B221" s="183"/>
      <c r="D221" s="59"/>
      <c r="E221" s="59"/>
      <c r="R221" s="84"/>
      <c r="T221" s="59"/>
    </row>
    <row r="222" spans="1:20">
      <c r="A222" s="37">
        <f t="shared" si="18"/>
        <v>221</v>
      </c>
      <c r="B222" s="183"/>
      <c r="D222" s="59"/>
      <c r="E222" s="59"/>
      <c r="R222" s="84"/>
      <c r="T222" s="59"/>
    </row>
    <row r="223" spans="1:20">
      <c r="A223" s="37">
        <f t="shared" si="18"/>
        <v>222</v>
      </c>
      <c r="B223" s="183"/>
      <c r="D223" s="59"/>
      <c r="E223" s="59"/>
      <c r="R223" s="84"/>
      <c r="T223" s="59"/>
    </row>
    <row r="224" spans="1:20">
      <c r="A224" s="37">
        <f t="shared" si="18"/>
        <v>223</v>
      </c>
      <c r="B224" s="183"/>
      <c r="D224" s="59"/>
      <c r="E224" s="59"/>
      <c r="R224" s="84"/>
      <c r="T224" s="59"/>
    </row>
    <row r="225" spans="1:20">
      <c r="A225" s="37">
        <f t="shared" si="18"/>
        <v>224</v>
      </c>
      <c r="B225" s="183"/>
      <c r="D225" s="59"/>
      <c r="E225" s="59"/>
      <c r="R225" s="84"/>
      <c r="T225" s="59"/>
    </row>
    <row r="226" spans="1:20">
      <c r="A226" s="37">
        <f t="shared" si="18"/>
        <v>225</v>
      </c>
      <c r="B226" s="183"/>
      <c r="D226" s="59"/>
      <c r="E226" s="59"/>
      <c r="R226" s="84"/>
      <c r="T226" s="59"/>
    </row>
    <row r="227" spans="1:20">
      <c r="A227" s="37">
        <f t="shared" si="18"/>
        <v>226</v>
      </c>
      <c r="B227" s="183"/>
      <c r="D227" s="59"/>
      <c r="E227" s="59"/>
      <c r="R227" s="84"/>
      <c r="T227" s="59"/>
    </row>
    <row r="228" spans="1:20">
      <c r="A228" s="37">
        <f t="shared" si="18"/>
        <v>227</v>
      </c>
      <c r="B228" s="183"/>
      <c r="D228" s="59"/>
      <c r="E228" s="59"/>
      <c r="R228" s="84"/>
      <c r="T228" s="59"/>
    </row>
    <row r="229" spans="1:20">
      <c r="A229" s="37">
        <f t="shared" si="18"/>
        <v>228</v>
      </c>
      <c r="B229" s="183"/>
      <c r="D229" s="59"/>
      <c r="E229" s="59"/>
      <c r="R229" s="84"/>
      <c r="T229" s="59"/>
    </row>
    <row r="230" spans="1:20">
      <c r="A230" s="37">
        <f t="shared" si="18"/>
        <v>229</v>
      </c>
      <c r="B230" s="183"/>
      <c r="D230" s="59"/>
      <c r="E230" s="59"/>
      <c r="R230" s="84"/>
      <c r="T230" s="59"/>
    </row>
    <row r="231" spans="1:20">
      <c r="A231" s="37">
        <f t="shared" si="18"/>
        <v>230</v>
      </c>
      <c r="B231" s="183"/>
      <c r="D231" s="59"/>
      <c r="E231" s="59"/>
      <c r="R231" s="84"/>
      <c r="T231" s="59"/>
    </row>
    <row r="232" spans="1:20">
      <c r="A232" s="37">
        <f t="shared" si="18"/>
        <v>231</v>
      </c>
      <c r="B232" s="183"/>
      <c r="D232" s="59"/>
      <c r="E232" s="59"/>
      <c r="R232" s="84"/>
      <c r="T232" s="59"/>
    </row>
    <row r="233" spans="1:20">
      <c r="A233" s="37">
        <f t="shared" si="18"/>
        <v>232</v>
      </c>
      <c r="B233" s="183"/>
      <c r="D233" s="59"/>
      <c r="E233" s="59"/>
      <c r="R233" s="84"/>
      <c r="T233" s="59"/>
    </row>
    <row r="234" spans="1:20">
      <c r="A234" s="37">
        <f t="shared" ref="A234:A244" si="19">ROW()-1</f>
        <v>233</v>
      </c>
      <c r="B234" s="183"/>
      <c r="D234" s="59"/>
      <c r="E234" s="59"/>
      <c r="R234" s="84"/>
      <c r="T234" s="59"/>
    </row>
    <row r="235" spans="1:20">
      <c r="A235" s="37">
        <f t="shared" si="19"/>
        <v>234</v>
      </c>
      <c r="B235" s="183"/>
      <c r="D235" s="59"/>
      <c r="E235" s="59"/>
      <c r="R235" s="84"/>
      <c r="T235" s="59"/>
    </row>
    <row r="236" spans="1:20">
      <c r="A236" s="37">
        <f t="shared" si="19"/>
        <v>235</v>
      </c>
      <c r="B236" s="183"/>
      <c r="D236" s="59"/>
      <c r="E236" s="59"/>
      <c r="R236" s="84"/>
      <c r="T236" s="59"/>
    </row>
    <row r="237" spans="1:20">
      <c r="A237" s="37">
        <f t="shared" si="19"/>
        <v>236</v>
      </c>
      <c r="B237" s="183"/>
      <c r="D237" s="59"/>
      <c r="E237" s="59"/>
      <c r="R237" s="84"/>
      <c r="T237" s="59"/>
    </row>
    <row r="238" spans="1:20">
      <c r="A238" s="37">
        <f t="shared" si="19"/>
        <v>237</v>
      </c>
      <c r="B238" s="183"/>
      <c r="D238" s="59"/>
      <c r="E238" s="59"/>
      <c r="R238" s="84"/>
      <c r="T238" s="59"/>
    </row>
    <row r="239" spans="1:20">
      <c r="A239" s="37">
        <f t="shared" si="19"/>
        <v>238</v>
      </c>
      <c r="B239" s="183"/>
      <c r="D239" s="59"/>
      <c r="E239" s="59"/>
      <c r="R239" s="84"/>
      <c r="T239" s="59"/>
    </row>
    <row r="240" spans="1:20">
      <c r="A240" s="37">
        <f t="shared" si="19"/>
        <v>239</v>
      </c>
      <c r="B240" s="183"/>
      <c r="D240" s="59"/>
      <c r="E240" s="59"/>
      <c r="R240" s="84"/>
      <c r="T240" s="59"/>
    </row>
    <row r="241" spans="1:20">
      <c r="A241" s="37">
        <f t="shared" si="19"/>
        <v>240</v>
      </c>
      <c r="B241" s="183"/>
      <c r="D241" s="59"/>
      <c r="E241" s="59"/>
      <c r="R241" s="84"/>
      <c r="T241" s="59"/>
    </row>
    <row r="242" spans="1:20">
      <c r="A242" s="37">
        <f t="shared" si="19"/>
        <v>241</v>
      </c>
      <c r="B242" s="183"/>
      <c r="D242" s="59"/>
      <c r="E242" s="59"/>
      <c r="F242" s="315"/>
      <c r="G242" s="315"/>
      <c r="R242" s="84"/>
      <c r="T242" s="59"/>
    </row>
    <row r="243" spans="1:20">
      <c r="A243" s="37">
        <f t="shared" si="19"/>
        <v>242</v>
      </c>
      <c r="B243" s="183"/>
      <c r="C243" s="315"/>
      <c r="D243" s="316"/>
      <c r="E243" s="59"/>
      <c r="F243" s="315"/>
      <c r="G243" s="315"/>
      <c r="R243" s="84"/>
      <c r="T243" s="59"/>
    </row>
    <row r="244" spans="1:20">
      <c r="A244" s="37">
        <f t="shared" si="19"/>
        <v>243</v>
      </c>
      <c r="B244" s="183"/>
      <c r="D244" s="59"/>
      <c r="E244" s="59"/>
      <c r="R244" s="84"/>
      <c r="T244" s="59"/>
    </row>
    <row r="245" spans="1:20">
      <c r="A245" s="37">
        <f t="shared" ref="A245:A251" si="20">ROW()-1</f>
        <v>244</v>
      </c>
      <c r="B245" s="183"/>
      <c r="D245" s="59"/>
      <c r="E245" s="59"/>
      <c r="R245" s="84"/>
      <c r="T245" s="59"/>
    </row>
    <row r="246" spans="1:20">
      <c r="A246" s="37">
        <f t="shared" si="20"/>
        <v>245</v>
      </c>
      <c r="B246" s="183"/>
      <c r="D246" s="59"/>
      <c r="E246" s="59"/>
      <c r="R246" s="84"/>
      <c r="T246" s="59"/>
    </row>
    <row r="247" spans="1:20">
      <c r="A247" s="37">
        <f t="shared" si="20"/>
        <v>246</v>
      </c>
      <c r="B247" s="183"/>
      <c r="D247" s="59"/>
      <c r="E247" s="59"/>
      <c r="R247" s="84"/>
      <c r="T247" s="59"/>
    </row>
    <row r="248" spans="1:20">
      <c r="A248" s="37">
        <f t="shared" si="20"/>
        <v>247</v>
      </c>
      <c r="B248" s="183"/>
      <c r="D248" s="59"/>
      <c r="E248" s="59"/>
      <c r="R248" s="84"/>
      <c r="T248" s="59"/>
    </row>
    <row r="249" spans="1:20">
      <c r="A249" s="37">
        <f t="shared" si="20"/>
        <v>248</v>
      </c>
      <c r="B249" s="183"/>
      <c r="D249" s="59"/>
      <c r="E249" s="59"/>
      <c r="R249" s="84"/>
      <c r="T249" s="59"/>
    </row>
    <row r="250" spans="1:20">
      <c r="A250" s="37">
        <f t="shared" si="20"/>
        <v>249</v>
      </c>
      <c r="B250" s="183"/>
      <c r="D250" s="59"/>
      <c r="E250" s="59"/>
      <c r="R250" s="84"/>
      <c r="T250" s="59"/>
    </row>
    <row r="251" spans="1:20">
      <c r="A251" s="37">
        <f t="shared" si="20"/>
        <v>250</v>
      </c>
      <c r="B251" s="183"/>
      <c r="D251" s="59"/>
      <c r="E251" s="59"/>
      <c r="R251" s="84"/>
      <c r="T251" s="59"/>
    </row>
    <row r="252" spans="1:20">
      <c r="A252" s="37">
        <f t="shared" ref="A252:A267" si="21">ROW()-1</f>
        <v>251</v>
      </c>
      <c r="B252" s="183"/>
      <c r="D252" s="59"/>
      <c r="E252" s="59"/>
      <c r="R252" s="84"/>
      <c r="T252" s="59"/>
    </row>
    <row r="253" spans="1:20">
      <c r="A253" s="37">
        <f t="shared" si="21"/>
        <v>252</v>
      </c>
      <c r="B253" s="183"/>
      <c r="D253" s="59"/>
      <c r="E253" s="59"/>
      <c r="R253" s="84"/>
      <c r="T253" s="59"/>
    </row>
    <row r="254" spans="1:20">
      <c r="A254" s="37">
        <f t="shared" si="21"/>
        <v>253</v>
      </c>
      <c r="B254" s="183"/>
      <c r="D254" s="59"/>
      <c r="E254" s="59"/>
      <c r="R254" s="84"/>
      <c r="T254" s="59"/>
    </row>
    <row r="255" spans="1:20">
      <c r="A255" s="37">
        <f t="shared" si="21"/>
        <v>254</v>
      </c>
      <c r="B255" s="183"/>
      <c r="D255" s="59"/>
      <c r="E255" s="59"/>
      <c r="R255" s="84"/>
      <c r="T255" s="59"/>
    </row>
    <row r="256" spans="1:20">
      <c r="A256" s="37">
        <f t="shared" si="21"/>
        <v>255</v>
      </c>
      <c r="B256" s="183"/>
      <c r="D256" s="59"/>
      <c r="E256" s="59"/>
      <c r="R256" s="84"/>
      <c r="T256" s="59"/>
    </row>
    <row r="257" spans="1:20">
      <c r="A257" s="37">
        <f t="shared" si="21"/>
        <v>256</v>
      </c>
      <c r="B257" s="183"/>
      <c r="D257" s="59"/>
      <c r="E257" s="59"/>
      <c r="R257" s="84"/>
      <c r="T257" s="59"/>
    </row>
    <row r="258" spans="1:20">
      <c r="A258" s="37">
        <f t="shared" si="21"/>
        <v>257</v>
      </c>
      <c r="B258" s="183"/>
      <c r="D258" s="59"/>
      <c r="E258" s="59"/>
      <c r="R258" s="84"/>
      <c r="T258" s="59"/>
    </row>
    <row r="259" spans="1:20">
      <c r="A259" s="37">
        <f t="shared" si="21"/>
        <v>258</v>
      </c>
      <c r="B259" s="183"/>
      <c r="D259" s="59"/>
      <c r="E259" s="59"/>
      <c r="R259" s="84"/>
      <c r="T259" s="59"/>
    </row>
    <row r="260" spans="1:20">
      <c r="A260" s="37">
        <f t="shared" si="21"/>
        <v>259</v>
      </c>
      <c r="B260" s="183"/>
      <c r="D260" s="59"/>
      <c r="E260" s="59"/>
      <c r="R260" s="84"/>
      <c r="T260" s="59"/>
    </row>
    <row r="261" spans="1:20">
      <c r="A261" s="37">
        <f t="shared" si="21"/>
        <v>260</v>
      </c>
      <c r="B261" s="183"/>
      <c r="D261" s="59"/>
      <c r="E261" s="59"/>
      <c r="R261" s="84"/>
      <c r="T261" s="59"/>
    </row>
    <row r="262" spans="1:20">
      <c r="A262" s="37">
        <f t="shared" si="21"/>
        <v>261</v>
      </c>
      <c r="B262" s="183"/>
      <c r="D262" s="59"/>
      <c r="E262" s="59"/>
      <c r="R262" s="84"/>
      <c r="T262" s="59"/>
    </row>
    <row r="263" spans="1:20">
      <c r="A263" s="37">
        <f t="shared" si="21"/>
        <v>262</v>
      </c>
      <c r="B263" s="183"/>
      <c r="D263" s="59"/>
      <c r="E263" s="59"/>
      <c r="R263" s="84"/>
      <c r="T263" s="59"/>
    </row>
    <row r="264" spans="1:20">
      <c r="A264" s="37">
        <f t="shared" si="21"/>
        <v>263</v>
      </c>
      <c r="B264" s="183"/>
      <c r="D264" s="59"/>
      <c r="E264" s="59"/>
      <c r="F264" s="320"/>
      <c r="R264" s="84"/>
      <c r="T264" s="59"/>
    </row>
    <row r="265" spans="1:20">
      <c r="A265" s="37">
        <f t="shared" si="21"/>
        <v>264</v>
      </c>
      <c r="B265" s="183"/>
      <c r="D265" s="59"/>
      <c r="E265" s="59"/>
      <c r="R265" s="84"/>
      <c r="T265" s="59"/>
    </row>
    <row r="266" spans="1:20">
      <c r="A266" s="37">
        <f t="shared" si="21"/>
        <v>265</v>
      </c>
      <c r="B266" s="183"/>
      <c r="D266" s="59"/>
      <c r="E266" s="59"/>
      <c r="R266" s="84"/>
      <c r="T266" s="59"/>
    </row>
    <row r="267" spans="1:20">
      <c r="A267" s="37">
        <f t="shared" si="21"/>
        <v>266</v>
      </c>
      <c r="B267" s="183"/>
      <c r="D267" s="59"/>
      <c r="E267" s="59"/>
      <c r="R267" s="84"/>
      <c r="T267" s="59"/>
    </row>
    <row r="268" spans="1:20">
      <c r="A268" s="37">
        <f t="shared" ref="A268:A277" si="22">ROW()-1</f>
        <v>267</v>
      </c>
      <c r="B268" s="183"/>
      <c r="D268" s="59"/>
      <c r="E268" s="59"/>
      <c r="R268" s="84"/>
      <c r="T268" s="59"/>
    </row>
    <row r="269" spans="1:20">
      <c r="A269" s="37">
        <f t="shared" si="22"/>
        <v>268</v>
      </c>
      <c r="B269" s="183"/>
      <c r="D269" s="59"/>
      <c r="E269" s="59"/>
      <c r="R269" s="84"/>
      <c r="T269" s="59"/>
    </row>
    <row r="270" spans="1:20">
      <c r="A270" s="37">
        <f t="shared" si="22"/>
        <v>269</v>
      </c>
      <c r="B270" s="183"/>
      <c r="D270" s="59"/>
      <c r="E270" s="59"/>
      <c r="R270" s="84"/>
      <c r="T270" s="59"/>
    </row>
    <row r="271" spans="1:20">
      <c r="A271" s="37">
        <f t="shared" si="22"/>
        <v>270</v>
      </c>
      <c r="B271" s="183"/>
      <c r="D271" s="59"/>
      <c r="E271" s="59"/>
      <c r="R271" s="84"/>
      <c r="T271" s="59"/>
    </row>
    <row r="272" spans="1:20">
      <c r="A272" s="37">
        <f t="shared" si="22"/>
        <v>271</v>
      </c>
      <c r="B272" s="183"/>
      <c r="D272" s="59"/>
      <c r="E272" s="59"/>
      <c r="R272" s="84"/>
      <c r="T272" s="59"/>
    </row>
    <row r="273" spans="1:20">
      <c r="A273" s="37">
        <f t="shared" si="22"/>
        <v>272</v>
      </c>
      <c r="B273" s="183"/>
      <c r="D273" s="59"/>
      <c r="E273" s="59"/>
      <c r="R273" s="84"/>
      <c r="T273" s="59"/>
    </row>
    <row r="274" spans="1:20">
      <c r="A274" s="37">
        <f t="shared" si="22"/>
        <v>273</v>
      </c>
      <c r="B274" s="183"/>
      <c r="D274" s="59"/>
      <c r="E274" s="59"/>
      <c r="R274" s="84"/>
      <c r="T274" s="59"/>
    </row>
    <row r="275" spans="1:20">
      <c r="A275" s="37">
        <f t="shared" si="22"/>
        <v>274</v>
      </c>
      <c r="B275" s="183"/>
      <c r="D275" s="59"/>
      <c r="E275" s="59"/>
      <c r="R275" s="84"/>
      <c r="T275" s="59"/>
    </row>
    <row r="276" spans="1:20">
      <c r="A276" s="37">
        <f t="shared" si="22"/>
        <v>275</v>
      </c>
      <c r="B276" s="183"/>
      <c r="D276" s="59"/>
      <c r="E276" s="59"/>
      <c r="R276" s="84"/>
      <c r="T276" s="59"/>
    </row>
    <row r="277" spans="1:20">
      <c r="A277" s="37">
        <f t="shared" si="22"/>
        <v>276</v>
      </c>
      <c r="B277" s="183"/>
      <c r="D277" s="59"/>
      <c r="E277" s="59"/>
      <c r="R277" s="84"/>
      <c r="T277" s="59"/>
    </row>
    <row r="278" spans="1:20">
      <c r="A278" s="37">
        <f t="shared" ref="A278:A291" si="23">ROW()-1</f>
        <v>277</v>
      </c>
      <c r="B278" s="183"/>
      <c r="D278" s="59"/>
      <c r="E278" s="59"/>
      <c r="R278" s="84"/>
      <c r="T278" s="59"/>
    </row>
    <row r="279" spans="1:20">
      <c r="A279" s="37">
        <f t="shared" si="23"/>
        <v>278</v>
      </c>
      <c r="B279" s="183"/>
      <c r="D279" s="59"/>
      <c r="E279" s="59"/>
      <c r="R279" s="84"/>
      <c r="T279" s="59"/>
    </row>
    <row r="280" spans="1:20">
      <c r="A280" s="37">
        <f t="shared" si="23"/>
        <v>279</v>
      </c>
      <c r="B280" s="183"/>
      <c r="D280" s="59"/>
      <c r="E280" s="59"/>
      <c r="R280" s="84"/>
      <c r="T280" s="59"/>
    </row>
    <row r="281" spans="1:20">
      <c r="A281" s="37">
        <f t="shared" si="23"/>
        <v>280</v>
      </c>
      <c r="B281" s="183"/>
      <c r="D281" s="59"/>
      <c r="E281" s="59"/>
      <c r="R281" s="84"/>
      <c r="T281" s="59"/>
    </row>
    <row r="282" spans="1:20">
      <c r="A282" s="37">
        <f t="shared" si="23"/>
        <v>281</v>
      </c>
      <c r="B282" s="183"/>
      <c r="D282" s="59"/>
      <c r="E282" s="59"/>
      <c r="R282" s="84"/>
      <c r="T282" s="59"/>
    </row>
    <row r="283" spans="1:20">
      <c r="A283" s="37">
        <f t="shared" si="23"/>
        <v>282</v>
      </c>
      <c r="B283" s="183"/>
      <c r="D283" s="59"/>
      <c r="E283" s="59"/>
      <c r="R283" s="84"/>
      <c r="T283" s="59"/>
    </row>
    <row r="284" spans="1:20">
      <c r="A284" s="37">
        <f t="shared" si="23"/>
        <v>283</v>
      </c>
      <c r="B284" s="183"/>
      <c r="D284" s="59"/>
      <c r="E284" s="59"/>
      <c r="R284" s="84"/>
      <c r="T284" s="59"/>
    </row>
    <row r="285" spans="1:20">
      <c r="A285" s="37">
        <f t="shared" si="23"/>
        <v>284</v>
      </c>
      <c r="B285" s="183"/>
      <c r="D285" s="59"/>
      <c r="E285" s="59"/>
      <c r="R285" s="84"/>
      <c r="T285" s="59"/>
    </row>
    <row r="286" spans="1:20">
      <c r="A286" s="37">
        <f t="shared" si="23"/>
        <v>285</v>
      </c>
      <c r="B286" s="183"/>
      <c r="D286" s="59"/>
      <c r="E286" s="59"/>
      <c r="R286" s="84"/>
      <c r="T286" s="59"/>
    </row>
    <row r="287" spans="1:20">
      <c r="A287" s="37">
        <f t="shared" si="23"/>
        <v>286</v>
      </c>
      <c r="B287" s="183"/>
      <c r="D287" s="59"/>
      <c r="E287" s="59"/>
      <c r="R287" s="84"/>
      <c r="T287" s="59"/>
    </row>
    <row r="288" spans="1:20">
      <c r="A288" s="37">
        <f t="shared" si="23"/>
        <v>287</v>
      </c>
      <c r="B288" s="183"/>
      <c r="D288" s="59"/>
      <c r="E288" s="59"/>
      <c r="R288" s="84"/>
      <c r="T288" s="59"/>
    </row>
    <row r="289" spans="1:20">
      <c r="A289" s="37">
        <f t="shared" si="23"/>
        <v>288</v>
      </c>
      <c r="B289" s="183"/>
      <c r="D289" s="59"/>
      <c r="E289" s="59"/>
      <c r="R289" s="84"/>
      <c r="T289" s="59"/>
    </row>
    <row r="290" spans="1:20">
      <c r="A290" s="37">
        <f t="shared" si="23"/>
        <v>289</v>
      </c>
      <c r="B290" s="183"/>
      <c r="D290" s="59"/>
      <c r="E290" s="59"/>
      <c r="R290" s="84"/>
      <c r="T290" s="59"/>
    </row>
    <row r="291" spans="1:20">
      <c r="A291" s="37">
        <f t="shared" si="23"/>
        <v>290</v>
      </c>
      <c r="B291" s="168"/>
      <c r="D291" s="59"/>
      <c r="E291" s="59"/>
      <c r="R291" s="84"/>
      <c r="T291" s="59"/>
    </row>
    <row r="292" spans="1:20">
      <c r="A292" s="37">
        <f t="shared" ref="A292:A304" si="24">ROW()-1</f>
        <v>291</v>
      </c>
      <c r="B292" s="168"/>
      <c r="D292" s="59"/>
      <c r="E292" s="59"/>
      <c r="R292" s="84"/>
      <c r="T292" s="59"/>
    </row>
    <row r="293" spans="1:20">
      <c r="A293" s="37">
        <f t="shared" si="24"/>
        <v>292</v>
      </c>
      <c r="B293" s="168"/>
      <c r="D293" s="59"/>
      <c r="E293" s="59"/>
      <c r="R293" s="84"/>
      <c r="T293" s="59"/>
    </row>
    <row r="294" spans="1:20">
      <c r="A294" s="37">
        <f t="shared" si="24"/>
        <v>293</v>
      </c>
      <c r="B294" s="168"/>
      <c r="D294" s="59"/>
      <c r="E294" s="59"/>
      <c r="R294" s="84"/>
      <c r="T294" s="59"/>
    </row>
    <row r="295" spans="1:20">
      <c r="A295" s="37">
        <f t="shared" si="24"/>
        <v>294</v>
      </c>
      <c r="B295" s="168"/>
      <c r="D295" s="59"/>
      <c r="E295" s="59"/>
      <c r="R295" s="84"/>
      <c r="T295" s="59"/>
    </row>
    <row r="296" spans="1:20">
      <c r="A296" s="37">
        <f t="shared" si="24"/>
        <v>295</v>
      </c>
      <c r="B296" s="168"/>
      <c r="D296" s="59"/>
      <c r="E296" s="59"/>
      <c r="R296" s="84"/>
      <c r="T296" s="59"/>
    </row>
    <row r="297" spans="1:20">
      <c r="A297" s="37">
        <f t="shared" si="24"/>
        <v>296</v>
      </c>
      <c r="B297" s="168"/>
      <c r="D297" s="59"/>
      <c r="E297" s="59"/>
      <c r="R297" s="84"/>
      <c r="T297" s="59"/>
    </row>
    <row r="298" spans="1:20">
      <c r="A298" s="37">
        <f t="shared" si="24"/>
        <v>297</v>
      </c>
      <c r="B298" s="168"/>
      <c r="D298" s="59"/>
      <c r="E298" s="59"/>
      <c r="R298" s="84"/>
      <c r="T298" s="59"/>
    </row>
    <row r="299" spans="1:20">
      <c r="A299" s="37">
        <f t="shared" si="24"/>
        <v>298</v>
      </c>
      <c r="B299" s="168"/>
      <c r="D299" s="59"/>
      <c r="E299" s="59"/>
      <c r="R299" s="84"/>
      <c r="T299" s="59"/>
    </row>
    <row r="300" spans="1:20">
      <c r="A300" s="37">
        <f t="shared" si="24"/>
        <v>299</v>
      </c>
      <c r="B300" s="168"/>
      <c r="D300" s="59"/>
      <c r="E300" s="59"/>
      <c r="R300" s="84"/>
      <c r="T300" s="59"/>
    </row>
    <row r="301" spans="1:20">
      <c r="A301" s="37">
        <f t="shared" si="24"/>
        <v>300</v>
      </c>
      <c r="B301" s="168"/>
      <c r="D301" s="59"/>
      <c r="E301" s="59"/>
      <c r="R301" s="84"/>
      <c r="T301" s="59"/>
    </row>
    <row r="302" spans="1:20">
      <c r="A302" s="37">
        <f t="shared" si="24"/>
        <v>301</v>
      </c>
      <c r="B302" s="168"/>
      <c r="D302" s="59"/>
      <c r="E302" s="59"/>
      <c r="R302" s="84"/>
      <c r="T302" s="59"/>
    </row>
    <row r="303" spans="1:20">
      <c r="A303" s="37">
        <f t="shared" si="24"/>
        <v>302</v>
      </c>
      <c r="B303" s="168"/>
      <c r="D303" s="59"/>
      <c r="E303" s="59"/>
      <c r="R303" s="84"/>
      <c r="T303" s="59"/>
    </row>
    <row r="304" spans="1:20">
      <c r="A304" s="37">
        <f t="shared" si="24"/>
        <v>303</v>
      </c>
      <c r="B304" s="168"/>
      <c r="D304" s="59"/>
      <c r="E304" s="59"/>
      <c r="R304" s="84"/>
      <c r="T304" s="59"/>
    </row>
    <row r="305" spans="1:22">
      <c r="A305" s="37">
        <f t="shared" ref="A305:A313" si="25">ROW()-1</f>
        <v>304</v>
      </c>
      <c r="B305" s="168"/>
      <c r="D305" s="59"/>
      <c r="E305" s="59"/>
      <c r="R305" s="164"/>
      <c r="S305" s="162"/>
      <c r="T305" s="163"/>
      <c r="U305" s="162"/>
      <c r="V305" s="162"/>
    </row>
    <row r="306" spans="1:22">
      <c r="A306" s="37">
        <f t="shared" si="25"/>
        <v>305</v>
      </c>
      <c r="B306" s="168"/>
      <c r="D306" s="59"/>
      <c r="E306" s="59"/>
      <c r="R306" s="164"/>
      <c r="S306" s="162"/>
      <c r="T306" s="163"/>
      <c r="U306" s="162"/>
      <c r="V306" s="162"/>
    </row>
    <row r="307" spans="1:22">
      <c r="A307" s="37">
        <f t="shared" si="25"/>
        <v>306</v>
      </c>
      <c r="B307" s="168"/>
      <c r="D307" s="59"/>
      <c r="E307" s="59"/>
      <c r="R307" s="164"/>
      <c r="S307" s="162"/>
      <c r="T307" s="163"/>
      <c r="U307" s="162"/>
      <c r="V307" s="162"/>
    </row>
    <row r="308" spans="1:22">
      <c r="A308" s="37">
        <f t="shared" si="25"/>
        <v>307</v>
      </c>
      <c r="B308" s="168"/>
      <c r="D308" s="59"/>
      <c r="E308" s="59"/>
      <c r="R308" s="164"/>
      <c r="S308" s="162"/>
      <c r="T308" s="163"/>
      <c r="U308" s="162"/>
      <c r="V308" s="162"/>
    </row>
    <row r="309" spans="1:22">
      <c r="A309" s="37">
        <f t="shared" si="25"/>
        <v>308</v>
      </c>
      <c r="B309" s="168"/>
      <c r="D309" s="59"/>
      <c r="E309" s="59"/>
      <c r="R309" s="164"/>
      <c r="S309" s="162"/>
      <c r="T309" s="163"/>
      <c r="U309" s="162"/>
      <c r="V309" s="162"/>
    </row>
    <row r="310" spans="1:22">
      <c r="A310" s="37">
        <f t="shared" si="25"/>
        <v>309</v>
      </c>
      <c r="B310" s="168"/>
      <c r="D310" s="59"/>
      <c r="E310" s="59"/>
      <c r="R310" s="164"/>
      <c r="S310" s="162"/>
      <c r="T310" s="163"/>
      <c r="U310" s="162"/>
      <c r="V310" s="162"/>
    </row>
    <row r="311" spans="1:22">
      <c r="A311" s="37">
        <f t="shared" si="25"/>
        <v>310</v>
      </c>
      <c r="B311" s="168"/>
      <c r="D311" s="59"/>
      <c r="E311" s="59"/>
      <c r="R311" s="164"/>
      <c r="S311" s="162"/>
      <c r="T311" s="163"/>
      <c r="U311" s="162"/>
      <c r="V311" s="162"/>
    </row>
    <row r="312" spans="1:22">
      <c r="A312" s="37">
        <f t="shared" si="25"/>
        <v>311</v>
      </c>
      <c r="B312" s="168"/>
      <c r="D312" s="59"/>
      <c r="E312" s="59"/>
      <c r="R312" s="164"/>
      <c r="S312" s="162"/>
      <c r="T312" s="163"/>
      <c r="U312" s="162"/>
      <c r="V312" s="162"/>
    </row>
    <row r="313" spans="1:22">
      <c r="A313" s="37">
        <f t="shared" si="25"/>
        <v>312</v>
      </c>
      <c r="B313" s="168"/>
      <c r="D313" s="59"/>
      <c r="E313" s="59"/>
      <c r="R313" s="164"/>
      <c r="S313" s="162"/>
      <c r="T313" s="163"/>
      <c r="U313" s="162"/>
      <c r="V313" s="162"/>
    </row>
    <row r="314" spans="1:22">
      <c r="A314" s="37">
        <f t="shared" ref="A314:A320" si="26">ROW()-1</f>
        <v>313</v>
      </c>
      <c r="B314" s="168"/>
      <c r="D314" s="59"/>
      <c r="E314" s="59"/>
      <c r="R314" s="164"/>
      <c r="S314" s="162"/>
      <c r="T314" s="163"/>
      <c r="U314" s="162"/>
      <c r="V314" s="162"/>
    </row>
    <row r="315" spans="1:22">
      <c r="A315" s="37">
        <f t="shared" si="26"/>
        <v>314</v>
      </c>
      <c r="B315" s="168"/>
      <c r="D315" s="59"/>
      <c r="E315" s="59"/>
      <c r="R315" s="164"/>
      <c r="S315" s="162"/>
      <c r="T315" s="163"/>
      <c r="U315" s="162"/>
      <c r="V315" s="162"/>
    </row>
    <row r="316" spans="1:22">
      <c r="A316" s="37">
        <f t="shared" si="26"/>
        <v>315</v>
      </c>
      <c r="B316" s="168"/>
      <c r="D316" s="59"/>
      <c r="E316" s="59"/>
      <c r="R316" s="164"/>
      <c r="S316" s="162"/>
      <c r="T316" s="163"/>
      <c r="U316" s="162"/>
      <c r="V316" s="162"/>
    </row>
    <row r="317" spans="1:22">
      <c r="A317" s="37">
        <f t="shared" si="26"/>
        <v>316</v>
      </c>
      <c r="B317" s="168"/>
      <c r="D317" s="59"/>
      <c r="E317" s="59"/>
      <c r="R317" s="164"/>
      <c r="S317" s="162"/>
      <c r="T317" s="163"/>
      <c r="U317" s="162"/>
      <c r="V317" s="162"/>
    </row>
    <row r="318" spans="1:22">
      <c r="A318" s="37">
        <f t="shared" si="26"/>
        <v>317</v>
      </c>
      <c r="B318" s="168"/>
      <c r="D318" s="59"/>
      <c r="E318" s="59"/>
      <c r="R318" s="164"/>
      <c r="S318" s="162"/>
      <c r="T318" s="163"/>
      <c r="U318" s="162"/>
      <c r="V318" s="162"/>
    </row>
    <row r="319" spans="1:22">
      <c r="A319" s="37">
        <f t="shared" si="26"/>
        <v>318</v>
      </c>
      <c r="B319" s="168"/>
      <c r="D319" s="59"/>
      <c r="E319" s="59"/>
      <c r="R319" s="164"/>
      <c r="S319" s="162"/>
      <c r="T319" s="163"/>
      <c r="U319" s="162"/>
      <c r="V319" s="162"/>
    </row>
    <row r="320" spans="1:22">
      <c r="A320" s="37">
        <f t="shared" si="26"/>
        <v>319</v>
      </c>
      <c r="B320" s="168"/>
      <c r="D320" s="59"/>
      <c r="E320" s="59"/>
      <c r="R320" s="164"/>
      <c r="S320" s="162"/>
      <c r="T320" s="163"/>
      <c r="U320" s="162"/>
      <c r="V320" s="162"/>
    </row>
    <row r="321" spans="1:22">
      <c r="A321" s="37">
        <f t="shared" ref="A321:A326" si="27">ROW()-1</f>
        <v>320</v>
      </c>
      <c r="B321" s="168"/>
      <c r="D321" s="59"/>
      <c r="E321" s="59"/>
      <c r="R321" s="164"/>
      <c r="S321" s="162"/>
      <c r="T321" s="163"/>
      <c r="U321" s="162"/>
      <c r="V321" s="162"/>
    </row>
    <row r="322" spans="1:22">
      <c r="A322" s="37">
        <f t="shared" si="27"/>
        <v>321</v>
      </c>
      <c r="B322" s="168"/>
      <c r="D322" s="59"/>
      <c r="E322" s="59"/>
      <c r="R322" s="164"/>
      <c r="S322" s="162"/>
      <c r="T322" s="163"/>
      <c r="U322" s="162"/>
      <c r="V322" s="162"/>
    </row>
    <row r="323" spans="1:22">
      <c r="A323" s="37">
        <f t="shared" si="27"/>
        <v>322</v>
      </c>
      <c r="B323" s="168"/>
      <c r="D323" s="59"/>
      <c r="E323" s="59"/>
      <c r="R323" s="164"/>
      <c r="S323" s="162"/>
      <c r="T323" s="163"/>
      <c r="U323" s="162"/>
      <c r="V323" s="162"/>
    </row>
    <row r="324" spans="1:22">
      <c r="A324" s="37">
        <f t="shared" si="27"/>
        <v>323</v>
      </c>
      <c r="B324" s="168"/>
      <c r="D324" s="59"/>
      <c r="E324" s="59"/>
      <c r="R324" s="164"/>
      <c r="S324" s="162"/>
      <c r="T324" s="163"/>
      <c r="U324" s="162"/>
      <c r="V324" s="162"/>
    </row>
    <row r="325" spans="1:22">
      <c r="A325" s="37">
        <f t="shared" si="27"/>
        <v>324</v>
      </c>
      <c r="B325" s="168"/>
      <c r="D325" s="59"/>
      <c r="E325" s="59"/>
      <c r="R325" s="164"/>
      <c r="S325" s="162"/>
      <c r="T325" s="163"/>
      <c r="U325" s="162"/>
      <c r="V325" s="162"/>
    </row>
    <row r="326" spans="1:22">
      <c r="A326" s="37">
        <f t="shared" si="27"/>
        <v>325</v>
      </c>
      <c r="B326" s="168"/>
      <c r="D326" s="59"/>
      <c r="E326" s="59"/>
      <c r="R326" s="164"/>
      <c r="S326" s="162"/>
      <c r="T326" s="163"/>
      <c r="U326" s="162"/>
      <c r="V326" s="162"/>
    </row>
    <row r="327" spans="1:22">
      <c r="A327" s="37">
        <f t="shared" ref="A327:A346" si="28">ROW()-1</f>
        <v>326</v>
      </c>
      <c r="B327" s="168"/>
      <c r="D327" s="59"/>
      <c r="E327" s="59"/>
      <c r="R327" s="164"/>
      <c r="S327" s="162"/>
      <c r="T327" s="163"/>
      <c r="U327" s="162"/>
      <c r="V327" s="162"/>
    </row>
    <row r="328" spans="1:22">
      <c r="A328" s="37">
        <f t="shared" si="28"/>
        <v>327</v>
      </c>
      <c r="B328" s="168"/>
      <c r="D328" s="59"/>
      <c r="E328" s="59"/>
      <c r="R328" s="164"/>
      <c r="S328" s="162"/>
      <c r="T328" s="163"/>
      <c r="U328" s="162"/>
      <c r="V328" s="162"/>
    </row>
    <row r="329" spans="1:22">
      <c r="A329" s="37">
        <f t="shared" si="28"/>
        <v>328</v>
      </c>
      <c r="B329" s="168"/>
      <c r="D329" s="59"/>
      <c r="E329" s="59"/>
      <c r="R329" s="164"/>
      <c r="S329" s="162"/>
      <c r="T329" s="163"/>
      <c r="U329" s="162"/>
      <c r="V329" s="162"/>
    </row>
    <row r="330" spans="1:22">
      <c r="A330" s="37">
        <f t="shared" si="28"/>
        <v>329</v>
      </c>
      <c r="B330" s="168"/>
      <c r="D330" s="59"/>
      <c r="E330" s="59"/>
      <c r="R330" s="164"/>
      <c r="S330" s="162"/>
      <c r="T330" s="163"/>
      <c r="U330" s="162"/>
      <c r="V330" s="162"/>
    </row>
    <row r="331" spans="1:22">
      <c r="A331" s="37">
        <f t="shared" si="28"/>
        <v>330</v>
      </c>
      <c r="B331" s="168"/>
      <c r="D331" s="59"/>
      <c r="E331" s="59"/>
      <c r="R331" s="164"/>
      <c r="S331" s="162"/>
      <c r="T331" s="163"/>
      <c r="U331" s="162"/>
      <c r="V331" s="162"/>
    </row>
    <row r="332" spans="1:22">
      <c r="A332" s="37">
        <f t="shared" si="28"/>
        <v>331</v>
      </c>
      <c r="B332" s="168"/>
      <c r="D332" s="59"/>
      <c r="E332" s="59"/>
      <c r="R332" s="164"/>
      <c r="S332" s="162"/>
      <c r="T332" s="163"/>
      <c r="U332" s="162"/>
      <c r="V332" s="162"/>
    </row>
    <row r="333" spans="1:22">
      <c r="A333" s="37">
        <f t="shared" si="28"/>
        <v>332</v>
      </c>
      <c r="B333" s="168"/>
      <c r="D333" s="59"/>
      <c r="E333" s="59"/>
      <c r="R333" s="164"/>
      <c r="S333" s="162"/>
      <c r="T333" s="163"/>
      <c r="U333" s="162"/>
      <c r="V333" s="162"/>
    </row>
    <row r="334" spans="1:22">
      <c r="A334" s="37">
        <f t="shared" si="28"/>
        <v>333</v>
      </c>
      <c r="B334" s="168"/>
      <c r="D334" s="59"/>
      <c r="E334" s="59"/>
      <c r="R334" s="164"/>
      <c r="S334" s="162"/>
      <c r="T334" s="163"/>
      <c r="U334" s="162"/>
      <c r="V334" s="162"/>
    </row>
    <row r="335" spans="1:22">
      <c r="A335" s="37">
        <f t="shared" si="28"/>
        <v>334</v>
      </c>
      <c r="B335" s="168"/>
      <c r="D335" s="59"/>
      <c r="E335" s="59"/>
      <c r="R335" s="164"/>
      <c r="S335" s="162"/>
      <c r="T335" s="163"/>
      <c r="U335" s="162"/>
      <c r="V335" s="162"/>
    </row>
    <row r="336" spans="1:22">
      <c r="A336" s="37">
        <f t="shared" si="28"/>
        <v>335</v>
      </c>
      <c r="B336" s="168"/>
      <c r="D336" s="59"/>
      <c r="E336" s="59"/>
      <c r="R336" s="164"/>
      <c r="S336" s="162"/>
      <c r="T336" s="163"/>
      <c r="U336" s="162"/>
      <c r="V336" s="162"/>
    </row>
    <row r="337" spans="1:22">
      <c r="A337" s="37">
        <f t="shared" si="28"/>
        <v>336</v>
      </c>
      <c r="B337" s="168"/>
      <c r="D337" s="59"/>
      <c r="E337" s="59"/>
      <c r="R337" s="164"/>
      <c r="S337" s="162"/>
      <c r="T337" s="163"/>
      <c r="U337" s="162"/>
      <c r="V337" s="162"/>
    </row>
    <row r="338" spans="1:22">
      <c r="A338" s="37">
        <f t="shared" si="28"/>
        <v>337</v>
      </c>
      <c r="B338" s="168"/>
      <c r="D338" s="59"/>
      <c r="E338" s="59"/>
      <c r="R338" s="164"/>
      <c r="S338" s="162"/>
      <c r="T338" s="163"/>
      <c r="U338" s="162"/>
      <c r="V338" s="162"/>
    </row>
    <row r="339" spans="1:22">
      <c r="A339" s="37">
        <f t="shared" si="28"/>
        <v>338</v>
      </c>
      <c r="B339" s="168"/>
      <c r="D339" s="59"/>
      <c r="E339" s="59"/>
      <c r="R339" s="164"/>
      <c r="S339" s="162"/>
      <c r="T339" s="163"/>
      <c r="U339" s="162"/>
      <c r="V339" s="162"/>
    </row>
    <row r="340" spans="1:22">
      <c r="A340" s="37">
        <f t="shared" si="28"/>
        <v>339</v>
      </c>
      <c r="B340" s="168"/>
      <c r="D340" s="59"/>
      <c r="E340" s="59"/>
      <c r="R340" s="164"/>
      <c r="S340" s="162"/>
      <c r="T340" s="163"/>
      <c r="U340" s="162"/>
      <c r="V340" s="162"/>
    </row>
    <row r="341" spans="1:22">
      <c r="A341" s="37">
        <f t="shared" si="28"/>
        <v>340</v>
      </c>
      <c r="B341" s="168"/>
      <c r="D341" s="59"/>
      <c r="E341" s="59"/>
      <c r="R341" s="164"/>
      <c r="T341" s="59"/>
      <c r="U341" s="162"/>
    </row>
    <row r="342" spans="1:22">
      <c r="A342" s="37">
        <f t="shared" si="28"/>
        <v>341</v>
      </c>
      <c r="B342" s="168"/>
      <c r="D342" s="59"/>
      <c r="E342" s="59"/>
      <c r="R342" s="164"/>
      <c r="T342" s="59"/>
      <c r="U342" s="162"/>
    </row>
    <row r="343" spans="1:22">
      <c r="A343" s="37">
        <f t="shared" si="28"/>
        <v>342</v>
      </c>
      <c r="B343" s="168"/>
      <c r="D343" s="59"/>
      <c r="E343" s="59"/>
      <c r="R343" s="164"/>
      <c r="T343" s="59"/>
      <c r="U343" s="162"/>
    </row>
    <row r="344" spans="1:22">
      <c r="A344" s="37">
        <f t="shared" si="28"/>
        <v>343</v>
      </c>
      <c r="B344" s="168"/>
      <c r="D344" s="59"/>
      <c r="E344" s="59"/>
      <c r="R344" s="164"/>
      <c r="T344" s="59"/>
      <c r="U344" s="162"/>
    </row>
    <row r="345" spans="1:22">
      <c r="A345" s="37">
        <f t="shared" si="28"/>
        <v>344</v>
      </c>
      <c r="B345" s="168"/>
      <c r="D345" s="59"/>
      <c r="E345" s="59"/>
      <c r="R345" s="164"/>
      <c r="T345" s="59"/>
      <c r="U345" s="162"/>
    </row>
    <row r="346" spans="1:22">
      <c r="A346" s="37">
        <f t="shared" si="28"/>
        <v>345</v>
      </c>
      <c r="B346" s="168"/>
      <c r="D346" s="59"/>
      <c r="E346" s="59"/>
      <c r="R346" s="164"/>
      <c r="T346" s="59"/>
    </row>
    <row r="347" spans="1:22">
      <c r="A347" s="37">
        <f t="shared" ref="A347:A364" si="29">ROW()-1</f>
        <v>346</v>
      </c>
      <c r="B347" s="168"/>
      <c r="D347" s="59"/>
      <c r="E347" s="59"/>
      <c r="R347" s="164"/>
      <c r="T347" s="59"/>
    </row>
    <row r="348" spans="1:22">
      <c r="A348" s="37">
        <f t="shared" si="29"/>
        <v>347</v>
      </c>
      <c r="B348" s="168"/>
      <c r="D348" s="59"/>
      <c r="E348" s="59"/>
      <c r="R348" s="84"/>
      <c r="T348" s="59"/>
    </row>
    <row r="349" spans="1:22">
      <c r="A349" s="37">
        <f t="shared" si="29"/>
        <v>348</v>
      </c>
      <c r="B349" s="168"/>
      <c r="D349" s="59"/>
      <c r="E349" s="59"/>
      <c r="R349" s="84"/>
      <c r="T349" s="59"/>
    </row>
    <row r="350" spans="1:22">
      <c r="A350" s="37">
        <f t="shared" si="29"/>
        <v>349</v>
      </c>
      <c r="B350" s="168"/>
      <c r="D350" s="59"/>
      <c r="E350" s="59"/>
      <c r="R350" s="84"/>
      <c r="T350" s="59"/>
    </row>
    <row r="351" spans="1:22">
      <c r="A351" s="37">
        <f t="shared" si="29"/>
        <v>350</v>
      </c>
      <c r="B351" s="168"/>
      <c r="D351" s="59"/>
      <c r="E351" s="59"/>
      <c r="R351" s="84"/>
      <c r="T351" s="59"/>
    </row>
    <row r="352" spans="1:22">
      <c r="A352" s="37">
        <f t="shared" si="29"/>
        <v>351</v>
      </c>
      <c r="B352" s="168"/>
      <c r="D352" s="59"/>
      <c r="E352" s="59"/>
      <c r="R352" s="84"/>
      <c r="T352" s="59"/>
    </row>
    <row r="353" spans="1:20">
      <c r="A353" s="37">
        <f t="shared" si="29"/>
        <v>352</v>
      </c>
      <c r="B353" s="168"/>
      <c r="D353" s="59"/>
      <c r="E353" s="59"/>
      <c r="R353" s="84"/>
      <c r="T353" s="59"/>
    </row>
    <row r="354" spans="1:20">
      <c r="A354" s="37">
        <f t="shared" si="29"/>
        <v>353</v>
      </c>
      <c r="B354" s="168"/>
      <c r="D354" s="59"/>
      <c r="E354" s="59"/>
      <c r="R354" s="84"/>
      <c r="T354" s="59"/>
    </row>
    <row r="355" spans="1:20">
      <c r="A355" s="37">
        <f t="shared" si="29"/>
        <v>354</v>
      </c>
      <c r="B355" s="168"/>
      <c r="D355" s="59"/>
      <c r="E355" s="59"/>
      <c r="R355" s="84"/>
      <c r="T355" s="59"/>
    </row>
    <row r="356" spans="1:20">
      <c r="A356" s="37">
        <f t="shared" si="29"/>
        <v>355</v>
      </c>
      <c r="B356" s="168"/>
      <c r="D356" s="59"/>
      <c r="E356" s="59"/>
      <c r="R356" s="84"/>
      <c r="T356" s="59"/>
    </row>
    <row r="357" spans="1:20">
      <c r="A357" s="37">
        <f t="shared" si="29"/>
        <v>356</v>
      </c>
      <c r="B357" s="168"/>
      <c r="D357" s="59"/>
      <c r="E357" s="59"/>
      <c r="R357" s="84"/>
      <c r="T357" s="59"/>
    </row>
    <row r="358" spans="1:20">
      <c r="A358" s="37">
        <f t="shared" si="29"/>
        <v>357</v>
      </c>
      <c r="B358" s="168"/>
      <c r="D358" s="59"/>
      <c r="E358" s="59"/>
      <c r="R358" s="84"/>
      <c r="T358" s="59"/>
    </row>
    <row r="359" spans="1:20">
      <c r="A359" s="37">
        <f t="shared" si="29"/>
        <v>358</v>
      </c>
      <c r="B359" s="168"/>
      <c r="D359" s="59"/>
      <c r="E359" s="59"/>
      <c r="R359" s="84"/>
      <c r="T359" s="59"/>
    </row>
    <row r="360" spans="1:20">
      <c r="A360" s="37">
        <f t="shared" si="29"/>
        <v>359</v>
      </c>
      <c r="B360" s="168"/>
      <c r="D360" s="59"/>
      <c r="E360" s="59"/>
      <c r="R360" s="84"/>
      <c r="T360" s="59"/>
    </row>
    <row r="361" spans="1:20">
      <c r="A361" s="37">
        <f t="shared" si="29"/>
        <v>360</v>
      </c>
      <c r="B361" s="168"/>
      <c r="D361" s="59"/>
      <c r="E361" s="59"/>
      <c r="R361" s="84"/>
      <c r="T361" s="59"/>
    </row>
    <row r="362" spans="1:20">
      <c r="A362" s="37">
        <f t="shared" si="29"/>
        <v>361</v>
      </c>
      <c r="B362" s="168"/>
      <c r="D362" s="59"/>
      <c r="E362" s="59"/>
      <c r="R362" s="84"/>
      <c r="T362" s="59"/>
    </row>
    <row r="363" spans="1:20">
      <c r="A363" s="37">
        <f t="shared" si="29"/>
        <v>362</v>
      </c>
      <c r="B363" s="168"/>
      <c r="D363" s="59"/>
      <c r="E363" s="59"/>
      <c r="R363" s="84"/>
      <c r="T363" s="59"/>
    </row>
    <row r="364" spans="1:20">
      <c r="A364" s="37">
        <f t="shared" si="29"/>
        <v>363</v>
      </c>
      <c r="B364" s="168"/>
      <c r="D364" s="59"/>
      <c r="E364" s="59"/>
      <c r="R364" s="84"/>
      <c r="T364" s="59"/>
    </row>
    <row r="365" spans="1:20">
      <c r="A365" s="37">
        <f t="shared" ref="A365:A396" si="30">ROW()-1</f>
        <v>364</v>
      </c>
      <c r="B365" s="168"/>
      <c r="D365" s="59"/>
      <c r="E365" s="59"/>
      <c r="R365" s="84"/>
      <c r="T365" s="59"/>
    </row>
    <row r="366" spans="1:20">
      <c r="A366" s="37">
        <f t="shared" si="30"/>
        <v>365</v>
      </c>
      <c r="B366" s="168"/>
      <c r="D366" s="59"/>
      <c r="E366" s="59"/>
      <c r="R366" s="84"/>
      <c r="T366" s="59"/>
    </row>
    <row r="367" spans="1:20">
      <c r="A367" s="37">
        <f t="shared" si="30"/>
        <v>366</v>
      </c>
      <c r="B367" s="168"/>
      <c r="D367" s="59"/>
      <c r="E367" s="59"/>
      <c r="R367" s="84"/>
      <c r="T367" s="59"/>
    </row>
    <row r="368" spans="1:20">
      <c r="A368" s="37">
        <f t="shared" si="30"/>
        <v>367</v>
      </c>
      <c r="B368" s="168"/>
      <c r="D368" s="59"/>
      <c r="E368" s="59"/>
      <c r="R368" s="84"/>
      <c r="T368" s="59"/>
    </row>
    <row r="369" spans="1:20">
      <c r="A369" s="37">
        <f t="shared" si="30"/>
        <v>368</v>
      </c>
      <c r="B369" s="168"/>
      <c r="D369" s="59"/>
      <c r="E369" s="59"/>
      <c r="R369" s="84"/>
      <c r="T369" s="59"/>
    </row>
    <row r="370" spans="1:20">
      <c r="A370" s="37">
        <f t="shared" si="30"/>
        <v>369</v>
      </c>
      <c r="B370" s="168"/>
      <c r="D370" s="59"/>
      <c r="E370" s="59"/>
      <c r="R370" s="84"/>
      <c r="T370" s="59"/>
    </row>
    <row r="371" spans="1:20">
      <c r="A371" s="37">
        <f t="shared" si="30"/>
        <v>370</v>
      </c>
      <c r="B371" s="168"/>
      <c r="D371" s="59"/>
      <c r="E371" s="59"/>
      <c r="R371" s="84"/>
      <c r="T371" s="59"/>
    </row>
    <row r="372" spans="1:20">
      <c r="A372" s="37">
        <f t="shared" si="30"/>
        <v>371</v>
      </c>
      <c r="B372" s="168"/>
      <c r="D372" s="59"/>
      <c r="E372" s="59"/>
      <c r="R372" s="84"/>
      <c r="T372" s="59"/>
    </row>
    <row r="373" spans="1:20">
      <c r="A373" s="37">
        <f t="shared" si="30"/>
        <v>372</v>
      </c>
      <c r="B373" s="168"/>
      <c r="D373" s="59"/>
      <c r="E373" s="59"/>
      <c r="R373" s="84"/>
      <c r="T373" s="59"/>
    </row>
    <row r="374" spans="1:20">
      <c r="A374" s="37">
        <f t="shared" si="30"/>
        <v>373</v>
      </c>
      <c r="B374" s="168"/>
      <c r="D374" s="59"/>
      <c r="E374" s="59"/>
      <c r="R374" s="84"/>
      <c r="T374" s="59"/>
    </row>
    <row r="375" spans="1:20">
      <c r="A375" s="37">
        <f t="shared" si="30"/>
        <v>374</v>
      </c>
      <c r="B375" s="168"/>
      <c r="D375" s="59"/>
      <c r="E375" s="59"/>
      <c r="R375" s="84"/>
      <c r="T375" s="59"/>
    </row>
    <row r="376" spans="1:20">
      <c r="A376" s="37">
        <f t="shared" si="30"/>
        <v>375</v>
      </c>
      <c r="B376" s="168"/>
      <c r="D376" s="59"/>
      <c r="E376" s="59"/>
      <c r="R376" s="84"/>
      <c r="T376" s="59"/>
    </row>
    <row r="377" spans="1:20">
      <c r="A377" s="37">
        <f t="shared" si="30"/>
        <v>376</v>
      </c>
      <c r="B377" s="168"/>
      <c r="D377" s="59"/>
      <c r="E377" s="59"/>
      <c r="R377" s="84"/>
      <c r="T377" s="59"/>
    </row>
    <row r="378" spans="1:20">
      <c r="A378" s="37">
        <f t="shared" si="30"/>
        <v>377</v>
      </c>
      <c r="B378" s="168"/>
      <c r="D378" s="59"/>
      <c r="E378" s="59"/>
      <c r="R378" s="84"/>
      <c r="T378" s="59"/>
    </row>
    <row r="379" spans="1:20">
      <c r="A379" s="37">
        <f t="shared" si="30"/>
        <v>378</v>
      </c>
      <c r="B379" s="168"/>
      <c r="D379" s="59"/>
      <c r="E379" s="59"/>
      <c r="R379" s="84"/>
      <c r="T379" s="59"/>
    </row>
    <row r="380" spans="1:20">
      <c r="A380" s="37">
        <f t="shared" si="30"/>
        <v>379</v>
      </c>
      <c r="B380" s="168"/>
      <c r="D380" s="59"/>
      <c r="E380" s="59"/>
      <c r="R380" s="84"/>
      <c r="T380" s="59"/>
    </row>
    <row r="381" spans="1:20">
      <c r="A381" s="37">
        <f t="shared" si="30"/>
        <v>380</v>
      </c>
      <c r="B381" s="168"/>
      <c r="D381" s="59"/>
      <c r="E381" s="59"/>
      <c r="R381" s="84"/>
      <c r="T381" s="59"/>
    </row>
    <row r="382" spans="1:20">
      <c r="A382" s="37">
        <f t="shared" si="30"/>
        <v>381</v>
      </c>
      <c r="B382" s="168"/>
      <c r="D382" s="59"/>
      <c r="E382" s="59"/>
      <c r="R382" s="84"/>
      <c r="T382" s="59"/>
    </row>
    <row r="383" spans="1:20">
      <c r="A383" s="37">
        <f t="shared" si="30"/>
        <v>382</v>
      </c>
      <c r="B383" s="168"/>
      <c r="D383" s="59"/>
      <c r="E383" s="59"/>
      <c r="R383" s="84"/>
      <c r="T383" s="59"/>
    </row>
    <row r="384" spans="1:20">
      <c r="A384" s="37">
        <f t="shared" si="30"/>
        <v>383</v>
      </c>
      <c r="B384" s="168"/>
      <c r="D384" s="59"/>
      <c r="E384" s="59"/>
      <c r="R384" s="84"/>
      <c r="T384" s="59"/>
    </row>
    <row r="385" spans="1:20">
      <c r="A385" s="37">
        <f t="shared" si="30"/>
        <v>384</v>
      </c>
      <c r="B385" s="168"/>
      <c r="D385" s="59"/>
      <c r="E385" s="59"/>
      <c r="R385" s="84"/>
      <c r="T385" s="59"/>
    </row>
    <row r="386" spans="1:20">
      <c r="A386" s="37">
        <f t="shared" si="30"/>
        <v>385</v>
      </c>
      <c r="B386" s="168"/>
      <c r="D386" s="59"/>
      <c r="E386" s="59"/>
      <c r="R386" s="84"/>
      <c r="T386" s="59"/>
    </row>
    <row r="387" spans="1:20">
      <c r="A387" s="37">
        <f t="shared" si="30"/>
        <v>386</v>
      </c>
      <c r="B387" s="168"/>
      <c r="D387" s="59"/>
      <c r="E387" s="59"/>
      <c r="R387" s="84"/>
      <c r="T387" s="59"/>
    </row>
    <row r="388" spans="1:20">
      <c r="A388" s="37">
        <f t="shared" si="30"/>
        <v>387</v>
      </c>
      <c r="B388" s="168"/>
      <c r="D388" s="59"/>
      <c r="E388" s="59"/>
      <c r="R388" s="84"/>
      <c r="T388" s="59"/>
    </row>
    <row r="389" spans="1:20">
      <c r="A389" s="37">
        <f t="shared" si="30"/>
        <v>388</v>
      </c>
      <c r="B389" s="168"/>
      <c r="D389" s="59"/>
      <c r="E389" s="59"/>
      <c r="R389" s="84"/>
      <c r="T389" s="59"/>
    </row>
    <row r="390" spans="1:20">
      <c r="A390" s="37">
        <f t="shared" si="30"/>
        <v>389</v>
      </c>
      <c r="B390" s="168"/>
      <c r="D390" s="59"/>
      <c r="E390" s="59"/>
      <c r="R390" s="84"/>
      <c r="T390" s="59"/>
    </row>
    <row r="391" spans="1:20">
      <c r="A391" s="37">
        <f t="shared" si="30"/>
        <v>390</v>
      </c>
      <c r="B391" s="168"/>
      <c r="D391" s="59"/>
      <c r="E391" s="59"/>
      <c r="R391" s="84"/>
      <c r="T391" s="59"/>
    </row>
    <row r="392" spans="1:20">
      <c r="A392" s="37">
        <f t="shared" si="30"/>
        <v>391</v>
      </c>
      <c r="B392" s="168"/>
      <c r="D392" s="59"/>
      <c r="E392" s="59"/>
      <c r="R392" s="84"/>
      <c r="T392" s="59"/>
    </row>
    <row r="393" spans="1:20">
      <c r="A393" s="37">
        <f t="shared" si="30"/>
        <v>392</v>
      </c>
      <c r="B393" s="168"/>
      <c r="D393" s="59"/>
      <c r="E393" s="59"/>
      <c r="R393" s="84"/>
      <c r="T393" s="59"/>
    </row>
    <row r="394" spans="1:20">
      <c r="A394" s="37">
        <f t="shared" si="30"/>
        <v>393</v>
      </c>
      <c r="B394" s="168"/>
      <c r="D394" s="59"/>
      <c r="E394" s="59"/>
      <c r="R394" s="84"/>
      <c r="T394" s="59"/>
    </row>
    <row r="395" spans="1:20">
      <c r="A395" s="37">
        <f t="shared" si="30"/>
        <v>394</v>
      </c>
      <c r="B395" s="168"/>
      <c r="D395" s="59"/>
      <c r="E395" s="59"/>
      <c r="R395" s="84"/>
      <c r="T395" s="59"/>
    </row>
    <row r="396" spans="1:20">
      <c r="A396" s="37">
        <f t="shared" si="30"/>
        <v>395</v>
      </c>
      <c r="B396" s="168"/>
      <c r="D396" s="59"/>
      <c r="E396" s="59"/>
      <c r="R396" s="84"/>
      <c r="T396" s="59"/>
    </row>
    <row r="397" spans="1:20">
      <c r="A397" s="37">
        <f t="shared" ref="A397:A424" si="31">ROW()-1</f>
        <v>396</v>
      </c>
      <c r="B397" s="168"/>
      <c r="D397" s="59"/>
      <c r="E397" s="59"/>
      <c r="R397" s="84"/>
      <c r="T397" s="59"/>
    </row>
    <row r="398" spans="1:20">
      <c r="A398" s="37">
        <f t="shared" si="31"/>
        <v>397</v>
      </c>
      <c r="B398" s="168"/>
      <c r="D398" s="59"/>
      <c r="E398" s="59"/>
      <c r="R398" s="84"/>
      <c r="T398" s="59"/>
    </row>
    <row r="399" spans="1:20">
      <c r="A399" s="37">
        <f t="shared" si="31"/>
        <v>398</v>
      </c>
      <c r="B399" s="168"/>
      <c r="D399" s="59"/>
      <c r="E399" s="59"/>
      <c r="R399" s="84"/>
      <c r="T399" s="59"/>
    </row>
    <row r="400" spans="1:20">
      <c r="A400" s="37">
        <f t="shared" si="31"/>
        <v>399</v>
      </c>
      <c r="B400" s="168"/>
      <c r="D400" s="59"/>
      <c r="E400" s="59"/>
      <c r="R400" s="84"/>
      <c r="T400" s="59"/>
    </row>
    <row r="401" spans="1:21">
      <c r="A401" s="37">
        <f t="shared" si="31"/>
        <v>400</v>
      </c>
      <c r="B401" s="168"/>
      <c r="D401" s="59"/>
      <c r="E401" s="59"/>
      <c r="R401" s="84"/>
      <c r="T401" s="59"/>
    </row>
    <row r="402" spans="1:21">
      <c r="A402" s="37">
        <f t="shared" si="31"/>
        <v>401</v>
      </c>
      <c r="B402" s="168"/>
      <c r="D402" s="59"/>
      <c r="E402" s="59"/>
      <c r="R402" s="84"/>
      <c r="T402" s="59"/>
    </row>
    <row r="403" spans="1:21">
      <c r="A403" s="37">
        <f t="shared" si="31"/>
        <v>402</v>
      </c>
      <c r="B403" s="168"/>
      <c r="D403" s="59"/>
      <c r="E403" s="59"/>
      <c r="R403" s="84"/>
      <c r="T403" s="59"/>
    </row>
    <row r="404" spans="1:21">
      <c r="A404" s="37">
        <f t="shared" si="31"/>
        <v>403</v>
      </c>
      <c r="B404" s="168"/>
      <c r="D404" s="59"/>
      <c r="E404" s="59"/>
      <c r="R404" s="84"/>
      <c r="T404" s="59"/>
    </row>
    <row r="405" spans="1:21">
      <c r="A405" s="37">
        <f t="shared" si="31"/>
        <v>404</v>
      </c>
      <c r="B405" s="168"/>
      <c r="D405" s="59"/>
      <c r="E405" s="59"/>
      <c r="R405" s="84"/>
      <c r="T405" s="59"/>
    </row>
    <row r="406" spans="1:21">
      <c r="A406" s="37">
        <f t="shared" si="31"/>
        <v>405</v>
      </c>
      <c r="B406" s="168"/>
      <c r="D406" s="59"/>
      <c r="E406" s="59"/>
      <c r="R406" s="84"/>
      <c r="T406" s="59"/>
    </row>
    <row r="407" spans="1:21">
      <c r="A407" s="37">
        <f t="shared" si="31"/>
        <v>406</v>
      </c>
      <c r="B407" s="168"/>
      <c r="D407" s="59"/>
      <c r="E407" s="59"/>
      <c r="R407" s="84"/>
      <c r="T407" s="59"/>
    </row>
    <row r="408" spans="1:21">
      <c r="A408" s="37">
        <f t="shared" si="31"/>
        <v>407</v>
      </c>
      <c r="B408" s="168"/>
      <c r="D408" s="59"/>
      <c r="E408" s="59"/>
      <c r="R408" s="84"/>
      <c r="T408" s="59"/>
    </row>
    <row r="409" spans="1:21">
      <c r="A409" s="37">
        <f t="shared" si="31"/>
        <v>408</v>
      </c>
      <c r="B409" s="168"/>
      <c r="D409" s="59"/>
      <c r="E409" s="59"/>
      <c r="R409" s="84"/>
      <c r="T409" s="59"/>
    </row>
    <row r="410" spans="1:21">
      <c r="A410" s="37">
        <f t="shared" si="31"/>
        <v>409</v>
      </c>
      <c r="B410" s="168"/>
      <c r="D410" s="59"/>
      <c r="E410" s="59"/>
      <c r="R410" s="84"/>
      <c r="T410" s="59"/>
      <c r="U410" s="168"/>
    </row>
    <row r="411" spans="1:21">
      <c r="A411" s="37">
        <f t="shared" si="31"/>
        <v>410</v>
      </c>
      <c r="B411" s="168"/>
      <c r="D411" s="59"/>
      <c r="E411" s="59"/>
      <c r="R411" s="84"/>
      <c r="T411" s="59"/>
    </row>
    <row r="412" spans="1:21">
      <c r="A412" s="37">
        <f t="shared" si="31"/>
        <v>411</v>
      </c>
      <c r="B412" s="168"/>
      <c r="D412" s="59"/>
      <c r="E412" s="59"/>
      <c r="R412" s="84"/>
      <c r="T412" s="59"/>
    </row>
    <row r="413" spans="1:21">
      <c r="A413" s="37">
        <f t="shared" si="31"/>
        <v>412</v>
      </c>
      <c r="B413" s="168"/>
      <c r="D413" s="59"/>
      <c r="E413" s="59"/>
      <c r="R413" s="84"/>
      <c r="T413" s="59"/>
    </row>
    <row r="414" spans="1:21">
      <c r="A414" s="37">
        <f t="shared" si="31"/>
        <v>413</v>
      </c>
      <c r="B414" s="168"/>
      <c r="D414" s="59"/>
      <c r="E414" s="59"/>
      <c r="R414" s="84"/>
      <c r="T414" s="59"/>
    </row>
    <row r="415" spans="1:21">
      <c r="A415" s="37">
        <f t="shared" si="31"/>
        <v>414</v>
      </c>
      <c r="B415" s="168"/>
      <c r="D415" s="59"/>
      <c r="E415" s="59"/>
      <c r="R415" s="84"/>
      <c r="T415" s="59"/>
    </row>
    <row r="416" spans="1:21">
      <c r="A416" s="37">
        <f t="shared" si="31"/>
        <v>415</v>
      </c>
      <c r="B416" s="168"/>
      <c r="D416" s="59"/>
      <c r="E416" s="59"/>
      <c r="R416" s="84"/>
      <c r="T416" s="59"/>
    </row>
    <row r="417" spans="1:22">
      <c r="A417" s="37">
        <f t="shared" si="31"/>
        <v>416</v>
      </c>
      <c r="B417" s="168"/>
      <c r="D417" s="59"/>
      <c r="E417" s="59"/>
      <c r="R417" s="84"/>
      <c r="T417" s="59"/>
    </row>
    <row r="418" spans="1:22">
      <c r="A418" s="37">
        <f t="shared" si="31"/>
        <v>417</v>
      </c>
      <c r="B418" s="168"/>
      <c r="D418" s="59"/>
      <c r="E418" s="59"/>
      <c r="R418" s="84"/>
      <c r="T418" s="59"/>
    </row>
    <row r="419" spans="1:22">
      <c r="A419" s="37">
        <f t="shared" si="31"/>
        <v>418</v>
      </c>
      <c r="B419" s="168"/>
      <c r="D419" s="59"/>
      <c r="E419" s="59"/>
      <c r="R419" s="84"/>
      <c r="T419" s="59"/>
    </row>
    <row r="420" spans="1:22">
      <c r="A420" s="37">
        <f t="shared" si="31"/>
        <v>419</v>
      </c>
      <c r="B420" s="168"/>
      <c r="D420" s="59"/>
      <c r="E420" s="59"/>
      <c r="R420" s="84"/>
      <c r="T420" s="59"/>
    </row>
    <row r="421" spans="1:22">
      <c r="A421" s="37">
        <f t="shared" si="31"/>
        <v>420</v>
      </c>
      <c r="B421" s="168"/>
      <c r="D421" s="59"/>
      <c r="E421" s="59"/>
      <c r="R421" s="84"/>
      <c r="T421" s="59"/>
    </row>
    <row r="422" spans="1:22">
      <c r="A422" s="37">
        <f t="shared" si="31"/>
        <v>421</v>
      </c>
      <c r="B422" s="168"/>
      <c r="D422" s="59"/>
      <c r="E422" s="59"/>
      <c r="R422" s="84"/>
      <c r="T422" s="59"/>
    </row>
    <row r="423" spans="1:22">
      <c r="A423" s="37">
        <f t="shared" si="31"/>
        <v>422</v>
      </c>
      <c r="B423" s="168"/>
      <c r="D423" s="59"/>
      <c r="E423" s="59"/>
      <c r="R423" s="84"/>
      <c r="T423" s="59"/>
    </row>
    <row r="424" spans="1:22">
      <c r="A424" s="37">
        <f t="shared" si="31"/>
        <v>423</v>
      </c>
      <c r="B424" s="168"/>
      <c r="D424" s="59"/>
      <c r="E424" s="59"/>
      <c r="R424" s="84"/>
      <c r="T424" s="59"/>
    </row>
    <row r="425" spans="1:22">
      <c r="A425" s="37">
        <f t="shared" ref="A425:A442" si="32">ROW()-1</f>
        <v>424</v>
      </c>
      <c r="B425" s="168"/>
      <c r="D425" s="59"/>
      <c r="E425" s="59"/>
      <c r="R425" s="84"/>
      <c r="T425" s="59"/>
    </row>
    <row r="426" spans="1:22">
      <c r="A426" s="37">
        <f t="shared" si="32"/>
        <v>425</v>
      </c>
      <c r="B426" s="168"/>
      <c r="D426" s="59"/>
      <c r="E426" s="59"/>
      <c r="R426" s="84"/>
      <c r="T426" s="59"/>
    </row>
    <row r="427" spans="1:22">
      <c r="A427" s="37">
        <f t="shared" si="32"/>
        <v>426</v>
      </c>
      <c r="B427" s="168"/>
      <c r="D427" s="59"/>
      <c r="E427" s="59"/>
      <c r="R427" s="84"/>
      <c r="T427" s="59"/>
      <c r="V427" s="169"/>
    </row>
    <row r="428" spans="1:22">
      <c r="A428" s="37">
        <f t="shared" si="32"/>
        <v>427</v>
      </c>
      <c r="B428" s="168"/>
      <c r="D428" s="59"/>
      <c r="E428" s="59"/>
      <c r="R428" s="84"/>
      <c r="T428" s="59"/>
    </row>
    <row r="429" spans="1:22">
      <c r="A429" s="37">
        <f t="shared" si="32"/>
        <v>428</v>
      </c>
      <c r="B429" s="168"/>
      <c r="D429" s="59"/>
      <c r="E429" s="59"/>
      <c r="R429" s="84"/>
      <c r="T429" s="59"/>
    </row>
    <row r="430" spans="1:22">
      <c r="A430" s="37">
        <f t="shared" si="32"/>
        <v>429</v>
      </c>
      <c r="B430" s="168"/>
      <c r="D430" s="59"/>
      <c r="E430" s="59"/>
      <c r="R430" s="84"/>
      <c r="T430" s="59"/>
    </row>
    <row r="431" spans="1:22">
      <c r="A431" s="37">
        <f t="shared" si="32"/>
        <v>430</v>
      </c>
      <c r="B431" s="168"/>
      <c r="D431" s="59"/>
      <c r="E431" s="59"/>
      <c r="R431" s="84"/>
      <c r="T431" s="59"/>
    </row>
    <row r="432" spans="1:22">
      <c r="A432" s="37">
        <f t="shared" si="32"/>
        <v>431</v>
      </c>
      <c r="B432" s="168"/>
      <c r="D432" s="59"/>
      <c r="E432" s="59"/>
      <c r="R432" s="84"/>
      <c r="T432" s="59"/>
    </row>
    <row r="433" spans="1:20">
      <c r="A433" s="37">
        <f t="shared" si="32"/>
        <v>432</v>
      </c>
      <c r="B433" s="168"/>
      <c r="D433" s="59"/>
      <c r="E433" s="59"/>
      <c r="R433" s="84"/>
      <c r="T433" s="59"/>
    </row>
    <row r="434" spans="1:20">
      <c r="A434" s="37">
        <f t="shared" si="32"/>
        <v>433</v>
      </c>
      <c r="B434" s="168"/>
      <c r="D434" s="59"/>
      <c r="E434" s="59"/>
      <c r="R434" s="84"/>
      <c r="T434" s="59"/>
    </row>
    <row r="435" spans="1:20">
      <c r="A435" s="37">
        <f t="shared" si="32"/>
        <v>434</v>
      </c>
      <c r="B435" s="168"/>
      <c r="D435" s="59"/>
      <c r="E435" s="59"/>
      <c r="R435" s="84"/>
      <c r="T435" s="59"/>
    </row>
    <row r="436" spans="1:20">
      <c r="A436" s="37">
        <f t="shared" si="32"/>
        <v>435</v>
      </c>
      <c r="B436" s="168"/>
      <c r="D436" s="59"/>
      <c r="E436" s="59"/>
      <c r="R436" s="84"/>
      <c r="T436" s="59"/>
    </row>
    <row r="437" spans="1:20">
      <c r="A437" s="37">
        <f t="shared" si="32"/>
        <v>436</v>
      </c>
      <c r="B437" s="168"/>
      <c r="D437" s="59"/>
      <c r="E437" s="59"/>
      <c r="R437" s="84"/>
      <c r="T437" s="59"/>
    </row>
    <row r="438" spans="1:20">
      <c r="A438" s="37">
        <f t="shared" si="32"/>
        <v>437</v>
      </c>
      <c r="B438" s="168"/>
      <c r="D438" s="59"/>
      <c r="E438" s="59"/>
      <c r="R438" s="84"/>
      <c r="T438" s="59"/>
    </row>
    <row r="439" spans="1:20">
      <c r="A439" s="37">
        <f t="shared" si="32"/>
        <v>438</v>
      </c>
      <c r="B439" s="168"/>
      <c r="D439" s="59"/>
      <c r="E439" s="59"/>
      <c r="R439" s="84"/>
      <c r="T439" s="59"/>
    </row>
    <row r="440" spans="1:20">
      <c r="A440" s="37">
        <f t="shared" si="32"/>
        <v>439</v>
      </c>
      <c r="B440" s="168"/>
      <c r="D440" s="59"/>
      <c r="E440" s="59"/>
      <c r="R440" s="84"/>
      <c r="T440" s="59"/>
    </row>
    <row r="441" spans="1:20">
      <c r="A441" s="37">
        <f t="shared" si="32"/>
        <v>440</v>
      </c>
      <c r="B441" s="168"/>
      <c r="D441" s="59"/>
      <c r="E441" s="59"/>
      <c r="R441" s="84"/>
      <c r="T441" s="59"/>
    </row>
    <row r="442" spans="1:20">
      <c r="A442" s="37">
        <f t="shared" si="32"/>
        <v>441</v>
      </c>
      <c r="B442" s="168"/>
      <c r="D442" s="59"/>
      <c r="E442" s="59"/>
      <c r="R442" s="84"/>
      <c r="T442" s="59"/>
    </row>
    <row r="443" spans="1:20">
      <c r="A443" s="37">
        <f t="shared" ref="A443:A466" si="33">ROW()-1</f>
        <v>442</v>
      </c>
      <c r="B443" s="168"/>
      <c r="D443" s="59"/>
      <c r="E443" s="59"/>
      <c r="R443" s="84"/>
      <c r="T443" s="59"/>
    </row>
    <row r="444" spans="1:20">
      <c r="A444" s="37">
        <f t="shared" si="33"/>
        <v>443</v>
      </c>
      <c r="B444" s="168"/>
      <c r="D444" s="59"/>
      <c r="E444" s="59"/>
      <c r="R444" s="84"/>
      <c r="T444" s="59"/>
    </row>
    <row r="445" spans="1:20">
      <c r="A445" s="37">
        <f t="shared" si="33"/>
        <v>444</v>
      </c>
      <c r="B445" s="168"/>
      <c r="D445" s="59"/>
      <c r="E445" s="59"/>
      <c r="R445" s="84"/>
      <c r="T445" s="59"/>
    </row>
    <row r="446" spans="1:20">
      <c r="A446" s="37">
        <f t="shared" si="33"/>
        <v>445</v>
      </c>
      <c r="B446" s="168"/>
      <c r="D446" s="59"/>
      <c r="E446" s="59"/>
      <c r="R446" s="84"/>
      <c r="T446" s="59"/>
    </row>
    <row r="447" spans="1:20">
      <c r="A447" s="37">
        <f t="shared" si="33"/>
        <v>446</v>
      </c>
      <c r="B447" s="168"/>
      <c r="D447" s="59"/>
      <c r="E447" s="59"/>
      <c r="R447" s="84"/>
      <c r="T447" s="59"/>
    </row>
    <row r="448" spans="1:20">
      <c r="A448" s="37">
        <f t="shared" si="33"/>
        <v>447</v>
      </c>
      <c r="B448" s="168"/>
      <c r="D448" s="59"/>
      <c r="E448" s="59"/>
      <c r="R448" s="84"/>
      <c r="T448" s="59"/>
    </row>
    <row r="449" spans="1:20">
      <c r="A449" s="37">
        <f t="shared" si="33"/>
        <v>448</v>
      </c>
      <c r="B449" s="168"/>
      <c r="D449" s="59"/>
      <c r="E449" s="59"/>
      <c r="R449" s="84"/>
      <c r="T449" s="59"/>
    </row>
    <row r="450" spans="1:20">
      <c r="A450" s="37">
        <f t="shared" si="33"/>
        <v>449</v>
      </c>
      <c r="B450" s="168"/>
      <c r="D450" s="59"/>
      <c r="E450" s="59"/>
      <c r="R450" s="84"/>
      <c r="T450" s="59"/>
    </row>
    <row r="451" spans="1:20">
      <c r="A451" s="37">
        <f t="shared" si="33"/>
        <v>450</v>
      </c>
      <c r="B451" s="168"/>
      <c r="D451" s="59"/>
      <c r="E451" s="59"/>
      <c r="R451" s="84"/>
      <c r="T451" s="59"/>
    </row>
    <row r="452" spans="1:20">
      <c r="A452" s="37">
        <f t="shared" si="33"/>
        <v>451</v>
      </c>
      <c r="B452" s="168"/>
      <c r="D452" s="59"/>
      <c r="E452" s="59"/>
      <c r="R452" s="84"/>
      <c r="T452" s="59"/>
    </row>
    <row r="453" spans="1:20">
      <c r="A453" s="37">
        <f t="shared" si="33"/>
        <v>452</v>
      </c>
      <c r="B453" s="168"/>
      <c r="D453" s="59"/>
      <c r="E453" s="59"/>
      <c r="R453" s="84"/>
      <c r="T453" s="59"/>
    </row>
    <row r="454" spans="1:20">
      <c r="A454" s="37">
        <f t="shared" si="33"/>
        <v>453</v>
      </c>
      <c r="B454" s="168"/>
      <c r="D454" s="59"/>
      <c r="E454" s="59"/>
      <c r="R454" s="84"/>
      <c r="T454" s="59"/>
    </row>
    <row r="455" spans="1:20">
      <c r="A455" s="37">
        <f t="shared" si="33"/>
        <v>454</v>
      </c>
      <c r="B455" s="168"/>
      <c r="D455" s="59"/>
      <c r="E455" s="59"/>
      <c r="R455" s="84"/>
      <c r="T455" s="59"/>
    </row>
    <row r="456" spans="1:20">
      <c r="A456" s="37">
        <f t="shared" si="33"/>
        <v>455</v>
      </c>
      <c r="B456" s="168"/>
      <c r="D456" s="59"/>
      <c r="E456" s="59"/>
      <c r="R456" s="84"/>
      <c r="T456" s="59"/>
    </row>
    <row r="457" spans="1:20">
      <c r="A457" s="37">
        <f t="shared" si="33"/>
        <v>456</v>
      </c>
      <c r="B457" s="168"/>
      <c r="D457" s="59"/>
      <c r="E457" s="59"/>
      <c r="R457" s="84"/>
      <c r="T457" s="59"/>
    </row>
    <row r="458" spans="1:20">
      <c r="A458" s="37">
        <f t="shared" si="33"/>
        <v>457</v>
      </c>
      <c r="B458" s="168"/>
      <c r="D458" s="59"/>
      <c r="E458" s="59"/>
      <c r="R458" s="84"/>
      <c r="T458" s="59"/>
    </row>
    <row r="459" spans="1:20">
      <c r="A459" s="37">
        <f t="shared" si="33"/>
        <v>458</v>
      </c>
      <c r="B459" s="168"/>
      <c r="D459" s="59"/>
      <c r="E459" s="59"/>
      <c r="R459" s="84"/>
      <c r="T459" s="59"/>
    </row>
    <row r="460" spans="1:20">
      <c r="A460" s="37">
        <f t="shared" si="33"/>
        <v>459</v>
      </c>
      <c r="B460" s="168"/>
      <c r="D460" s="59"/>
      <c r="E460" s="59"/>
      <c r="R460" s="84"/>
      <c r="T460" s="59"/>
    </row>
    <row r="461" spans="1:20">
      <c r="A461" s="37">
        <f t="shared" si="33"/>
        <v>460</v>
      </c>
      <c r="B461" s="168"/>
      <c r="D461" s="59"/>
      <c r="E461" s="59"/>
      <c r="R461" s="84"/>
      <c r="T461" s="59"/>
    </row>
    <row r="462" spans="1:20">
      <c r="A462" s="37">
        <f t="shared" si="33"/>
        <v>461</v>
      </c>
      <c r="B462" s="168"/>
      <c r="D462" s="59"/>
      <c r="E462" s="59"/>
      <c r="R462" s="84"/>
      <c r="T462" s="59"/>
    </row>
    <row r="463" spans="1:20">
      <c r="A463" s="37">
        <f t="shared" si="33"/>
        <v>462</v>
      </c>
      <c r="B463" s="168"/>
      <c r="D463" s="59"/>
      <c r="E463" s="59"/>
      <c r="R463" s="84"/>
      <c r="T463" s="59"/>
    </row>
    <row r="464" spans="1:20">
      <c r="A464" s="37">
        <f t="shared" si="33"/>
        <v>463</v>
      </c>
      <c r="B464" s="168"/>
      <c r="D464" s="59"/>
      <c r="E464" s="59"/>
      <c r="R464" s="84"/>
      <c r="T464" s="59"/>
    </row>
    <row r="465" spans="1:20">
      <c r="A465" s="37">
        <f t="shared" si="33"/>
        <v>464</v>
      </c>
      <c r="B465" s="168"/>
      <c r="D465" s="59"/>
      <c r="E465" s="59"/>
      <c r="R465" s="84"/>
      <c r="T465" s="59"/>
    </row>
    <row r="466" spans="1:20">
      <c r="A466" s="37">
        <f t="shared" si="33"/>
        <v>465</v>
      </c>
      <c r="B466" s="168"/>
      <c r="D466" s="59"/>
      <c r="E466" s="59"/>
      <c r="R466" s="84"/>
      <c r="T466" s="59"/>
    </row>
    <row r="467" spans="1:20">
      <c r="A467" s="37">
        <f t="shared" ref="A467:A482" si="34">ROW()-1</f>
        <v>466</v>
      </c>
      <c r="B467" s="168"/>
      <c r="D467" s="59"/>
      <c r="E467" s="59"/>
      <c r="R467" s="84"/>
      <c r="T467" s="59"/>
    </row>
    <row r="468" spans="1:20">
      <c r="A468" s="37">
        <f t="shared" si="34"/>
        <v>467</v>
      </c>
      <c r="B468" s="168"/>
      <c r="D468" s="59"/>
      <c r="E468" s="59"/>
      <c r="R468" s="84"/>
      <c r="T468" s="59"/>
    </row>
    <row r="469" spans="1:20">
      <c r="A469" s="37">
        <f t="shared" si="34"/>
        <v>468</v>
      </c>
      <c r="B469" s="168"/>
      <c r="D469" s="59"/>
      <c r="E469" s="59"/>
      <c r="R469" s="84"/>
      <c r="T469" s="59"/>
    </row>
    <row r="470" spans="1:20">
      <c r="A470" s="37">
        <f t="shared" si="34"/>
        <v>469</v>
      </c>
      <c r="B470" s="168"/>
      <c r="D470" s="59"/>
      <c r="E470" s="59"/>
      <c r="R470" s="84"/>
      <c r="T470" s="59"/>
    </row>
    <row r="471" spans="1:20">
      <c r="A471" s="37">
        <f t="shared" si="34"/>
        <v>470</v>
      </c>
      <c r="B471" s="168"/>
      <c r="D471" s="59"/>
      <c r="E471" s="59"/>
      <c r="R471" s="84"/>
      <c r="T471" s="59"/>
    </row>
    <row r="472" spans="1:20">
      <c r="A472" s="37">
        <f t="shared" si="34"/>
        <v>471</v>
      </c>
      <c r="B472" s="168"/>
      <c r="D472" s="59"/>
      <c r="E472" s="59"/>
      <c r="R472" s="84"/>
      <c r="T472" s="59"/>
    </row>
    <row r="473" spans="1:20">
      <c r="A473" s="37">
        <f t="shared" si="34"/>
        <v>472</v>
      </c>
      <c r="B473" s="168"/>
      <c r="D473" s="59"/>
      <c r="E473" s="59"/>
      <c r="R473" s="84"/>
      <c r="T473" s="59"/>
    </row>
    <row r="474" spans="1:20">
      <c r="A474" s="37">
        <f t="shared" si="34"/>
        <v>473</v>
      </c>
      <c r="B474" s="168"/>
      <c r="D474" s="59"/>
      <c r="E474" s="59"/>
      <c r="R474" s="84"/>
      <c r="T474" s="59"/>
    </row>
    <row r="475" spans="1:20">
      <c r="A475" s="37">
        <f t="shared" si="34"/>
        <v>474</v>
      </c>
      <c r="B475" s="168"/>
      <c r="D475" s="59"/>
      <c r="E475" s="59"/>
      <c r="R475" s="84"/>
      <c r="T475" s="59"/>
    </row>
    <row r="476" spans="1:20">
      <c r="A476" s="37">
        <f t="shared" si="34"/>
        <v>475</v>
      </c>
      <c r="B476" s="168"/>
      <c r="D476" s="59"/>
      <c r="E476" s="59"/>
      <c r="R476" s="84"/>
      <c r="T476" s="59"/>
    </row>
    <row r="477" spans="1:20">
      <c r="A477" s="37">
        <f t="shared" si="34"/>
        <v>476</v>
      </c>
      <c r="B477" s="168"/>
      <c r="D477" s="59"/>
      <c r="E477" s="59"/>
      <c r="R477" s="84"/>
      <c r="T477" s="59"/>
    </row>
    <row r="478" spans="1:20">
      <c r="A478" s="37">
        <f t="shared" si="34"/>
        <v>477</v>
      </c>
      <c r="B478" s="168"/>
      <c r="D478" s="59"/>
      <c r="E478" s="59"/>
      <c r="R478" s="84"/>
      <c r="T478" s="59"/>
    </row>
    <row r="479" spans="1:20">
      <c r="A479" s="37">
        <f t="shared" si="34"/>
        <v>478</v>
      </c>
      <c r="B479" s="168"/>
      <c r="D479" s="59"/>
      <c r="E479" s="59"/>
      <c r="R479" s="84"/>
      <c r="T479" s="59"/>
    </row>
    <row r="480" spans="1:20">
      <c r="A480" s="37">
        <f t="shared" si="34"/>
        <v>479</v>
      </c>
      <c r="B480" s="168"/>
      <c r="D480" s="59"/>
      <c r="E480" s="59"/>
      <c r="R480" s="84"/>
      <c r="T480" s="59"/>
    </row>
    <row r="481" spans="1:20">
      <c r="A481" s="37">
        <f t="shared" si="34"/>
        <v>480</v>
      </c>
      <c r="B481" s="168"/>
      <c r="D481" s="59"/>
      <c r="E481" s="59"/>
      <c r="R481" s="84"/>
      <c r="T481" s="59"/>
    </row>
    <row r="482" spans="1:20">
      <c r="A482" s="37">
        <f t="shared" si="34"/>
        <v>481</v>
      </c>
      <c r="B482" s="168"/>
      <c r="D482" s="59"/>
      <c r="E482" s="59"/>
      <c r="R482" s="84"/>
      <c r="T482" s="59"/>
    </row>
    <row r="483" spans="1:20">
      <c r="A483" s="37">
        <f t="shared" ref="A483:A521" si="35">ROW()-1</f>
        <v>482</v>
      </c>
      <c r="B483" s="168"/>
      <c r="D483" s="59"/>
      <c r="E483" s="59"/>
      <c r="R483" s="84"/>
      <c r="T483" s="59"/>
    </row>
    <row r="484" spans="1:20">
      <c r="A484" s="37">
        <f t="shared" si="35"/>
        <v>483</v>
      </c>
      <c r="B484" s="168"/>
      <c r="D484" s="59"/>
      <c r="E484" s="59"/>
      <c r="R484" s="84"/>
      <c r="T484" s="59"/>
    </row>
    <row r="485" spans="1:20">
      <c r="A485" s="37">
        <f t="shared" si="35"/>
        <v>484</v>
      </c>
      <c r="B485" s="168"/>
      <c r="D485" s="59"/>
      <c r="E485" s="59"/>
      <c r="R485" s="84"/>
      <c r="T485" s="59"/>
    </row>
    <row r="486" spans="1:20">
      <c r="A486" s="37">
        <f t="shared" si="35"/>
        <v>485</v>
      </c>
      <c r="B486" s="168"/>
      <c r="D486" s="59"/>
      <c r="E486" s="59"/>
      <c r="R486" s="84"/>
      <c r="T486" s="59"/>
    </row>
    <row r="487" spans="1:20">
      <c r="A487" s="37">
        <f t="shared" si="35"/>
        <v>486</v>
      </c>
      <c r="B487" s="168"/>
      <c r="D487" s="59"/>
      <c r="E487" s="59"/>
      <c r="R487" s="84"/>
      <c r="T487" s="59"/>
    </row>
    <row r="488" spans="1:20">
      <c r="A488" s="37">
        <f t="shared" si="35"/>
        <v>487</v>
      </c>
      <c r="B488" s="168"/>
      <c r="D488" s="59"/>
      <c r="E488" s="59"/>
      <c r="R488" s="84"/>
      <c r="T488" s="59"/>
    </row>
    <row r="489" spans="1:20">
      <c r="A489" s="37">
        <f t="shared" si="35"/>
        <v>488</v>
      </c>
      <c r="B489" s="168"/>
      <c r="D489" s="59"/>
      <c r="E489" s="59"/>
      <c r="R489" s="84"/>
      <c r="T489" s="59"/>
    </row>
    <row r="490" spans="1:20">
      <c r="A490" s="37">
        <f t="shared" si="35"/>
        <v>489</v>
      </c>
      <c r="B490" s="168"/>
      <c r="D490" s="59"/>
      <c r="E490" s="59"/>
      <c r="R490" s="84"/>
      <c r="T490" s="59"/>
    </row>
    <row r="491" spans="1:20">
      <c r="A491" s="37">
        <f t="shared" si="35"/>
        <v>490</v>
      </c>
      <c r="B491" s="168"/>
      <c r="D491" s="59"/>
      <c r="E491" s="59"/>
      <c r="R491" s="84"/>
      <c r="T491" s="59"/>
    </row>
    <row r="492" spans="1:20">
      <c r="A492" s="37">
        <f t="shared" si="35"/>
        <v>491</v>
      </c>
      <c r="B492" s="168"/>
      <c r="D492" s="59"/>
      <c r="E492" s="59"/>
      <c r="R492" s="84"/>
      <c r="T492" s="59"/>
    </row>
    <row r="493" spans="1:20">
      <c r="A493" s="37">
        <f t="shared" si="35"/>
        <v>492</v>
      </c>
      <c r="B493" s="168"/>
      <c r="D493" s="59"/>
      <c r="E493" s="59"/>
      <c r="R493" s="84"/>
      <c r="T493" s="59"/>
    </row>
    <row r="494" spans="1:20">
      <c r="A494" s="37">
        <f t="shared" si="35"/>
        <v>493</v>
      </c>
      <c r="B494" s="168"/>
      <c r="D494" s="59"/>
      <c r="E494" s="59"/>
      <c r="R494" s="84"/>
      <c r="T494" s="59"/>
    </row>
    <row r="495" spans="1:20">
      <c r="A495" s="37">
        <f t="shared" si="35"/>
        <v>494</v>
      </c>
      <c r="B495" s="168"/>
      <c r="D495" s="59"/>
      <c r="E495" s="59"/>
      <c r="R495" s="84"/>
      <c r="T495" s="59"/>
    </row>
    <row r="496" spans="1:20">
      <c r="A496" s="37">
        <f t="shared" si="35"/>
        <v>495</v>
      </c>
      <c r="B496" s="168"/>
      <c r="D496" s="59"/>
      <c r="E496" s="59"/>
      <c r="R496" s="84"/>
      <c r="T496" s="59"/>
    </row>
    <row r="497" spans="1:20">
      <c r="A497" s="37">
        <f t="shared" si="35"/>
        <v>496</v>
      </c>
      <c r="B497" s="168"/>
      <c r="D497" s="59"/>
      <c r="E497" s="59"/>
      <c r="R497" s="84"/>
      <c r="T497" s="59"/>
    </row>
    <row r="498" spans="1:20">
      <c r="A498" s="37">
        <f t="shared" si="35"/>
        <v>497</v>
      </c>
      <c r="B498" s="168"/>
      <c r="D498" s="59"/>
      <c r="E498" s="59"/>
      <c r="R498" s="84"/>
      <c r="T498" s="59"/>
    </row>
    <row r="499" spans="1:20">
      <c r="A499" s="37">
        <f t="shared" si="35"/>
        <v>498</v>
      </c>
      <c r="B499" s="168"/>
      <c r="D499" s="59"/>
      <c r="E499" s="59"/>
      <c r="R499" s="84"/>
      <c r="T499" s="59"/>
    </row>
    <row r="500" spans="1:20">
      <c r="A500" s="37">
        <f t="shared" si="35"/>
        <v>499</v>
      </c>
      <c r="B500" s="168"/>
      <c r="D500" s="59"/>
      <c r="E500" s="59"/>
      <c r="R500" s="84"/>
      <c r="T500" s="59"/>
    </row>
    <row r="501" spans="1:20">
      <c r="A501" s="37">
        <f t="shared" si="35"/>
        <v>500</v>
      </c>
      <c r="B501" s="84"/>
      <c r="D501" s="59"/>
      <c r="E501" s="59"/>
      <c r="R501" s="84"/>
      <c r="T501" s="59"/>
    </row>
    <row r="502" spans="1:20">
      <c r="A502" s="37">
        <f t="shared" si="35"/>
        <v>501</v>
      </c>
      <c r="B502" s="84"/>
      <c r="D502" s="59"/>
      <c r="E502" s="59"/>
      <c r="R502" s="84"/>
      <c r="T502" s="59"/>
    </row>
    <row r="503" spans="1:20">
      <c r="A503" s="37">
        <f t="shared" si="35"/>
        <v>502</v>
      </c>
      <c r="B503" s="84"/>
      <c r="D503" s="59"/>
      <c r="E503" s="59"/>
      <c r="R503" s="84"/>
      <c r="T503" s="59"/>
    </row>
    <row r="504" spans="1:20">
      <c r="A504" s="37">
        <f t="shared" si="35"/>
        <v>503</v>
      </c>
      <c r="B504" s="84"/>
      <c r="D504" s="59"/>
      <c r="E504" s="59"/>
      <c r="R504" s="84"/>
      <c r="T504" s="59"/>
    </row>
    <row r="505" spans="1:20">
      <c r="A505" s="37">
        <f t="shared" si="35"/>
        <v>504</v>
      </c>
      <c r="B505" s="84"/>
      <c r="D505" s="59"/>
      <c r="E505" s="59"/>
      <c r="R505" s="84"/>
      <c r="T505" s="59"/>
    </row>
    <row r="506" spans="1:20">
      <c r="A506" s="37">
        <f t="shared" si="35"/>
        <v>505</v>
      </c>
      <c r="B506" s="84"/>
      <c r="D506" s="59"/>
      <c r="E506" s="59"/>
      <c r="R506" s="84"/>
      <c r="T506" s="59"/>
    </row>
    <row r="507" spans="1:20">
      <c r="A507" s="37">
        <f t="shared" si="35"/>
        <v>506</v>
      </c>
      <c r="B507" s="84"/>
      <c r="D507" s="59"/>
      <c r="E507" s="59"/>
      <c r="R507" s="84"/>
      <c r="T507" s="59"/>
    </row>
    <row r="508" spans="1:20">
      <c r="A508" s="37">
        <f t="shared" si="35"/>
        <v>507</v>
      </c>
      <c r="B508" s="84"/>
      <c r="D508" s="59"/>
      <c r="E508" s="59"/>
      <c r="R508" s="84"/>
      <c r="T508" s="59"/>
    </row>
    <row r="509" spans="1:20">
      <c r="A509" s="37">
        <f t="shared" si="35"/>
        <v>508</v>
      </c>
      <c r="B509" s="84"/>
      <c r="D509" s="59"/>
      <c r="E509" s="59"/>
      <c r="R509" s="84"/>
      <c r="T509" s="59"/>
    </row>
    <row r="510" spans="1:20">
      <c r="A510" s="37">
        <f t="shared" si="35"/>
        <v>509</v>
      </c>
      <c r="B510" s="84"/>
      <c r="D510" s="59"/>
      <c r="E510" s="59"/>
      <c r="R510" s="84"/>
      <c r="T510" s="59"/>
    </row>
    <row r="511" spans="1:20">
      <c r="A511" s="37">
        <f t="shared" si="35"/>
        <v>510</v>
      </c>
      <c r="B511" s="84"/>
      <c r="D511" s="59"/>
      <c r="E511" s="59"/>
      <c r="R511" s="84"/>
      <c r="T511" s="59"/>
    </row>
    <row r="512" spans="1:20">
      <c r="A512" s="37">
        <f t="shared" si="35"/>
        <v>511</v>
      </c>
      <c r="B512" s="84"/>
      <c r="D512" s="59"/>
      <c r="E512" s="59"/>
      <c r="R512" s="84"/>
      <c r="T512" s="59"/>
    </row>
    <row r="513" spans="1:20">
      <c r="A513" s="37">
        <f t="shared" si="35"/>
        <v>512</v>
      </c>
      <c r="B513" s="84"/>
      <c r="D513" s="59"/>
      <c r="E513" s="59"/>
      <c r="R513" s="84"/>
      <c r="T513" s="59"/>
    </row>
    <row r="514" spans="1:20">
      <c r="A514" s="37">
        <f t="shared" si="35"/>
        <v>513</v>
      </c>
      <c r="B514" s="84"/>
      <c r="D514" s="59"/>
      <c r="E514" s="59"/>
      <c r="R514" s="84"/>
      <c r="T514" s="59"/>
    </row>
    <row r="515" spans="1:20">
      <c r="A515" s="37">
        <f t="shared" si="35"/>
        <v>514</v>
      </c>
      <c r="B515" s="84"/>
      <c r="D515" s="59"/>
      <c r="E515" s="59"/>
      <c r="R515" s="84"/>
      <c r="T515" s="59"/>
    </row>
    <row r="516" spans="1:20">
      <c r="A516" s="37">
        <f t="shared" si="35"/>
        <v>515</v>
      </c>
      <c r="B516" s="84"/>
      <c r="D516" s="59"/>
      <c r="E516" s="59"/>
      <c r="R516" s="84"/>
      <c r="T516" s="59"/>
    </row>
    <row r="517" spans="1:20">
      <c r="A517" s="37">
        <f t="shared" si="35"/>
        <v>516</v>
      </c>
      <c r="B517" s="84"/>
      <c r="D517" s="59"/>
      <c r="E517" s="59"/>
      <c r="R517" s="84"/>
      <c r="T517" s="59"/>
    </row>
    <row r="518" spans="1:20">
      <c r="A518" s="37">
        <f t="shared" si="35"/>
        <v>517</v>
      </c>
      <c r="B518" s="84"/>
      <c r="D518" s="59"/>
      <c r="E518" s="59"/>
      <c r="R518" s="84"/>
      <c r="T518" s="59"/>
    </row>
    <row r="519" spans="1:20">
      <c r="A519" s="37">
        <f t="shared" si="35"/>
        <v>518</v>
      </c>
      <c r="B519" s="84"/>
      <c r="D519" s="59"/>
      <c r="E519" s="59"/>
      <c r="R519" s="84"/>
      <c r="T519" s="59"/>
    </row>
    <row r="520" spans="1:20">
      <c r="A520" s="37">
        <f t="shared" si="35"/>
        <v>519</v>
      </c>
      <c r="B520" s="84"/>
      <c r="D520" s="59"/>
      <c r="E520" s="59"/>
      <c r="R520" s="84"/>
      <c r="T520" s="59"/>
    </row>
    <row r="521" spans="1:20">
      <c r="A521" s="37">
        <f t="shared" si="35"/>
        <v>520</v>
      </c>
      <c r="B521" s="84"/>
      <c r="D521" s="59"/>
      <c r="E521" s="59"/>
      <c r="R521" s="84"/>
      <c r="T521" s="59"/>
    </row>
    <row r="522" spans="1:20">
      <c r="A522" s="37">
        <f t="shared" ref="A522:A534" si="36">ROW()-1</f>
        <v>521</v>
      </c>
      <c r="B522" s="84"/>
      <c r="D522" s="59"/>
      <c r="E522" s="59"/>
      <c r="F522" s="67"/>
      <c r="R522" s="84"/>
      <c r="T522" s="59"/>
    </row>
    <row r="523" spans="1:20">
      <c r="A523" s="37">
        <f t="shared" si="36"/>
        <v>522</v>
      </c>
      <c r="B523" s="84"/>
      <c r="D523" s="59"/>
      <c r="E523" s="59"/>
      <c r="R523" s="84"/>
      <c r="T523" s="59"/>
    </row>
    <row r="524" spans="1:20">
      <c r="A524" s="37">
        <f t="shared" si="36"/>
        <v>523</v>
      </c>
      <c r="B524" s="84"/>
      <c r="D524" s="59"/>
      <c r="E524" s="59"/>
      <c r="R524" s="84"/>
      <c r="T524" s="59"/>
    </row>
    <row r="525" spans="1:20">
      <c r="A525" s="37">
        <f t="shared" si="36"/>
        <v>524</v>
      </c>
      <c r="B525" s="84"/>
      <c r="D525" s="59"/>
      <c r="E525" s="59"/>
      <c r="R525" s="84"/>
      <c r="T525" s="59"/>
    </row>
    <row r="526" spans="1:20">
      <c r="A526" s="37">
        <f t="shared" si="36"/>
        <v>525</v>
      </c>
      <c r="B526" s="84"/>
      <c r="D526" s="59"/>
      <c r="E526" s="59"/>
      <c r="R526" s="84"/>
      <c r="T526" s="59"/>
    </row>
    <row r="527" spans="1:20">
      <c r="A527" s="37">
        <f t="shared" si="36"/>
        <v>526</v>
      </c>
      <c r="B527" s="84"/>
      <c r="D527" s="59"/>
      <c r="E527" s="59"/>
      <c r="R527" s="84"/>
      <c r="T527" s="59"/>
    </row>
    <row r="528" spans="1:20">
      <c r="A528" s="37">
        <f t="shared" si="36"/>
        <v>527</v>
      </c>
      <c r="B528" s="84"/>
      <c r="D528" s="59"/>
      <c r="E528" s="59"/>
      <c r="R528" s="84"/>
      <c r="T528" s="59"/>
    </row>
    <row r="529" spans="1:20">
      <c r="A529" s="37">
        <f t="shared" si="36"/>
        <v>528</v>
      </c>
      <c r="B529" s="84"/>
      <c r="D529" s="59"/>
      <c r="E529" s="59"/>
      <c r="R529" s="84"/>
      <c r="T529" s="59"/>
    </row>
    <row r="530" spans="1:20">
      <c r="A530" s="37">
        <f t="shared" si="36"/>
        <v>529</v>
      </c>
      <c r="B530" s="84"/>
      <c r="D530" s="59"/>
      <c r="E530" s="59"/>
      <c r="R530" s="84"/>
      <c r="T530" s="59"/>
    </row>
    <row r="531" spans="1:20">
      <c r="A531" s="37">
        <f t="shared" si="36"/>
        <v>530</v>
      </c>
      <c r="B531" s="84"/>
      <c r="D531" s="59"/>
      <c r="E531" s="59"/>
      <c r="R531" s="84"/>
      <c r="T531" s="59"/>
    </row>
    <row r="532" spans="1:20">
      <c r="A532" s="37">
        <f t="shared" si="36"/>
        <v>531</v>
      </c>
      <c r="B532" s="84"/>
      <c r="D532" s="59"/>
      <c r="E532" s="59"/>
      <c r="R532" s="84"/>
      <c r="T532" s="59"/>
    </row>
    <row r="533" spans="1:20">
      <c r="A533" s="37">
        <f t="shared" si="36"/>
        <v>532</v>
      </c>
      <c r="B533" s="84"/>
      <c r="D533" s="59"/>
      <c r="E533" s="59"/>
      <c r="R533" s="84"/>
      <c r="T533" s="59"/>
    </row>
    <row r="534" spans="1:20">
      <c r="A534" s="37">
        <f t="shared" si="36"/>
        <v>533</v>
      </c>
      <c r="B534" s="84"/>
      <c r="D534" s="59"/>
      <c r="E534" s="59"/>
      <c r="R534" s="84"/>
      <c r="T534" s="59"/>
    </row>
    <row r="535" spans="1:20">
      <c r="A535" s="37">
        <f t="shared" ref="A535:A553" si="37">ROW()-1</f>
        <v>534</v>
      </c>
      <c r="B535" s="84"/>
      <c r="D535" s="59"/>
      <c r="E535" s="59"/>
      <c r="R535" s="84"/>
      <c r="T535" s="59"/>
    </row>
    <row r="536" spans="1:20">
      <c r="A536" s="37">
        <f t="shared" si="37"/>
        <v>535</v>
      </c>
      <c r="B536" s="84"/>
      <c r="D536" s="59"/>
      <c r="E536" s="59"/>
      <c r="R536" s="84"/>
      <c r="T536" s="59"/>
    </row>
    <row r="537" spans="1:20">
      <c r="A537" s="37">
        <f t="shared" si="37"/>
        <v>536</v>
      </c>
      <c r="B537" s="84"/>
      <c r="D537" s="59"/>
      <c r="E537" s="59"/>
      <c r="R537" s="84"/>
      <c r="T537" s="59"/>
    </row>
    <row r="538" spans="1:20">
      <c r="A538" s="37">
        <f t="shared" si="37"/>
        <v>537</v>
      </c>
      <c r="B538" s="84"/>
      <c r="D538" s="59"/>
      <c r="E538" s="59"/>
      <c r="R538" s="84"/>
      <c r="T538" s="59"/>
    </row>
    <row r="539" spans="1:20">
      <c r="A539" s="37">
        <f t="shared" si="37"/>
        <v>538</v>
      </c>
      <c r="B539" s="84"/>
      <c r="D539" s="59"/>
      <c r="E539" s="59"/>
      <c r="R539" s="84"/>
      <c r="T539" s="59"/>
    </row>
    <row r="540" spans="1:20">
      <c r="A540" s="37">
        <f t="shared" si="37"/>
        <v>539</v>
      </c>
      <c r="B540" s="84"/>
      <c r="D540" s="59"/>
      <c r="E540" s="59"/>
      <c r="R540" s="84"/>
      <c r="T540" s="59"/>
    </row>
    <row r="541" spans="1:20">
      <c r="A541" s="37">
        <f t="shared" si="37"/>
        <v>540</v>
      </c>
      <c r="B541" s="84"/>
      <c r="D541" s="59"/>
      <c r="E541" s="59"/>
      <c r="R541" s="84"/>
      <c r="T541" s="59"/>
    </row>
    <row r="542" spans="1:20">
      <c r="A542" s="37">
        <f t="shared" si="37"/>
        <v>541</v>
      </c>
      <c r="B542" s="84"/>
      <c r="D542" s="59"/>
      <c r="E542" s="59"/>
      <c r="R542" s="84"/>
      <c r="T542" s="59"/>
    </row>
    <row r="543" spans="1:20">
      <c r="A543" s="37">
        <f t="shared" si="37"/>
        <v>542</v>
      </c>
      <c r="B543" s="84"/>
      <c r="D543" s="59"/>
      <c r="E543" s="59"/>
      <c r="R543" s="84"/>
      <c r="T543" s="59"/>
    </row>
    <row r="544" spans="1:20">
      <c r="A544" s="37">
        <f t="shared" si="37"/>
        <v>543</v>
      </c>
      <c r="B544" s="84"/>
      <c r="D544" s="59"/>
      <c r="E544" s="59"/>
      <c r="R544" s="84"/>
      <c r="T544" s="59"/>
    </row>
    <row r="545" spans="1:20">
      <c r="A545" s="37">
        <f t="shared" si="37"/>
        <v>544</v>
      </c>
      <c r="B545" s="84"/>
      <c r="D545" s="59"/>
      <c r="E545" s="59"/>
      <c r="R545" s="84"/>
      <c r="T545" s="59"/>
    </row>
    <row r="546" spans="1:20">
      <c r="A546" s="37">
        <f t="shared" si="37"/>
        <v>545</v>
      </c>
      <c r="B546" s="84"/>
      <c r="D546" s="59"/>
      <c r="E546" s="59"/>
      <c r="R546" s="84"/>
      <c r="T546" s="59"/>
    </row>
    <row r="547" spans="1:20">
      <c r="A547" s="37">
        <f t="shared" si="37"/>
        <v>546</v>
      </c>
      <c r="B547" s="84"/>
      <c r="D547" s="59"/>
      <c r="E547" s="59"/>
      <c r="R547" s="84"/>
      <c r="T547" s="59"/>
    </row>
    <row r="548" spans="1:20">
      <c r="A548" s="37">
        <f t="shared" si="37"/>
        <v>547</v>
      </c>
      <c r="B548" s="84"/>
      <c r="D548" s="59"/>
      <c r="E548" s="59"/>
      <c r="R548" s="84"/>
      <c r="T548" s="59"/>
    </row>
    <row r="549" spans="1:20">
      <c r="A549" s="37">
        <f t="shared" si="37"/>
        <v>548</v>
      </c>
      <c r="B549" s="84"/>
      <c r="D549" s="59"/>
      <c r="E549" s="59"/>
      <c r="R549" s="84"/>
      <c r="T549" s="59"/>
    </row>
    <row r="550" spans="1:20">
      <c r="A550" s="37">
        <f t="shared" si="37"/>
        <v>549</v>
      </c>
      <c r="B550" s="84"/>
      <c r="D550" s="59"/>
      <c r="E550" s="59"/>
      <c r="R550" s="84"/>
      <c r="T550" s="59"/>
    </row>
    <row r="551" spans="1:20">
      <c r="A551" s="37">
        <f t="shared" si="37"/>
        <v>550</v>
      </c>
      <c r="B551" s="84"/>
      <c r="D551" s="59"/>
      <c r="E551" s="59"/>
      <c r="R551" s="84"/>
      <c r="T551" s="59"/>
    </row>
    <row r="552" spans="1:20">
      <c r="A552" s="37">
        <f t="shared" si="37"/>
        <v>551</v>
      </c>
      <c r="B552" s="84"/>
      <c r="D552" s="59"/>
      <c r="E552" s="59"/>
      <c r="R552" s="84"/>
      <c r="T552" s="59"/>
    </row>
    <row r="553" spans="1:20">
      <c r="A553" s="37">
        <f t="shared" si="37"/>
        <v>552</v>
      </c>
      <c r="B553" s="84"/>
      <c r="D553" s="59"/>
      <c r="E553" s="59"/>
      <c r="R553" s="84"/>
      <c r="T553" s="59"/>
    </row>
    <row r="554" spans="1:20">
      <c r="A554" s="37">
        <f t="shared" ref="A554:A567" si="38">ROW()-1</f>
        <v>553</v>
      </c>
      <c r="B554" s="84"/>
      <c r="D554" s="59"/>
      <c r="E554" s="59"/>
      <c r="R554" s="84"/>
      <c r="T554" s="59"/>
    </row>
    <row r="555" spans="1:20">
      <c r="A555" s="37">
        <f t="shared" si="38"/>
        <v>554</v>
      </c>
      <c r="B555" s="84"/>
      <c r="D555" s="59"/>
      <c r="E555" s="59"/>
      <c r="R555" s="84"/>
      <c r="T555" s="59"/>
    </row>
    <row r="556" spans="1:20">
      <c r="A556" s="37">
        <f t="shared" si="38"/>
        <v>555</v>
      </c>
      <c r="B556" s="84"/>
      <c r="D556" s="59"/>
      <c r="E556" s="59"/>
      <c r="R556" s="84"/>
      <c r="T556" s="59"/>
    </row>
    <row r="557" spans="1:20">
      <c r="A557" s="37">
        <f t="shared" si="38"/>
        <v>556</v>
      </c>
      <c r="B557" s="84"/>
      <c r="D557" s="59"/>
      <c r="E557" s="59"/>
      <c r="R557" s="84"/>
      <c r="T557" s="59"/>
    </row>
    <row r="558" spans="1:20">
      <c r="A558" s="37">
        <f t="shared" si="38"/>
        <v>557</v>
      </c>
      <c r="B558" s="84"/>
      <c r="D558" s="59"/>
      <c r="E558" s="59"/>
      <c r="R558" s="84"/>
      <c r="T558" s="59"/>
    </row>
    <row r="559" spans="1:20">
      <c r="A559" s="37">
        <f t="shared" si="38"/>
        <v>558</v>
      </c>
      <c r="B559" s="84"/>
      <c r="D559" s="59"/>
      <c r="E559" s="59"/>
      <c r="R559" s="84"/>
      <c r="T559" s="59"/>
    </row>
    <row r="560" spans="1:20">
      <c r="A560" s="37">
        <f t="shared" si="38"/>
        <v>559</v>
      </c>
      <c r="B560" s="84"/>
      <c r="D560" s="59"/>
      <c r="E560" s="59"/>
      <c r="R560" s="84"/>
      <c r="T560" s="59"/>
    </row>
    <row r="561" spans="1:20">
      <c r="A561" s="37">
        <f t="shared" si="38"/>
        <v>560</v>
      </c>
      <c r="B561" s="84"/>
      <c r="D561" s="59"/>
      <c r="E561" s="59"/>
      <c r="R561" s="84"/>
      <c r="T561" s="59"/>
    </row>
    <row r="562" spans="1:20">
      <c r="A562" s="37">
        <f t="shared" si="38"/>
        <v>561</v>
      </c>
      <c r="B562" s="84"/>
      <c r="D562" s="59"/>
      <c r="E562" s="59"/>
      <c r="R562" s="84"/>
      <c r="T562" s="59"/>
    </row>
    <row r="563" spans="1:20">
      <c r="A563" s="37">
        <f t="shared" si="38"/>
        <v>562</v>
      </c>
      <c r="B563" s="84"/>
      <c r="D563" s="59"/>
      <c r="E563" s="59"/>
      <c r="R563" s="84"/>
      <c r="T563" s="59"/>
    </row>
    <row r="564" spans="1:20">
      <c r="A564" s="37">
        <f t="shared" si="38"/>
        <v>563</v>
      </c>
      <c r="B564" s="84"/>
      <c r="D564" s="59"/>
      <c r="E564" s="59"/>
      <c r="R564" s="84"/>
      <c r="T564" s="59"/>
    </row>
    <row r="565" spans="1:20">
      <c r="A565" s="37">
        <f t="shared" si="38"/>
        <v>564</v>
      </c>
      <c r="B565" s="84"/>
      <c r="D565" s="59"/>
      <c r="E565" s="59"/>
      <c r="R565" s="84"/>
      <c r="T565" s="59"/>
    </row>
    <row r="566" spans="1:20">
      <c r="A566" s="37">
        <f t="shared" si="38"/>
        <v>565</v>
      </c>
      <c r="B566" s="84"/>
      <c r="D566" s="59"/>
      <c r="E566" s="59"/>
      <c r="R566" s="84"/>
      <c r="T566" s="59"/>
    </row>
    <row r="567" spans="1:20">
      <c r="A567" s="37">
        <f t="shared" si="38"/>
        <v>566</v>
      </c>
      <c r="B567" s="84"/>
      <c r="D567" s="59"/>
      <c r="E567" s="59"/>
      <c r="R567" s="84"/>
      <c r="T567" s="59"/>
    </row>
    <row r="568" spans="1:20">
      <c r="A568" s="37">
        <f t="shared" ref="A568:A585" si="39">ROW()-1</f>
        <v>567</v>
      </c>
      <c r="B568" s="84"/>
      <c r="D568" s="59"/>
      <c r="E568" s="59"/>
      <c r="R568" s="84"/>
      <c r="T568" s="59"/>
    </row>
    <row r="569" spans="1:20">
      <c r="A569" s="37">
        <f t="shared" si="39"/>
        <v>568</v>
      </c>
      <c r="B569" s="84"/>
      <c r="D569" s="59"/>
      <c r="E569" s="59"/>
      <c r="R569" s="84"/>
      <c r="T569" s="59"/>
    </row>
    <row r="570" spans="1:20">
      <c r="A570" s="37">
        <f t="shared" si="39"/>
        <v>569</v>
      </c>
      <c r="B570" s="84"/>
      <c r="D570" s="59"/>
      <c r="E570" s="59"/>
      <c r="R570" s="84"/>
      <c r="T570" s="59"/>
    </row>
    <row r="571" spans="1:20">
      <c r="A571" s="37">
        <f t="shared" si="39"/>
        <v>570</v>
      </c>
      <c r="B571" s="84"/>
      <c r="D571" s="59"/>
      <c r="E571" s="59"/>
      <c r="R571" s="84"/>
      <c r="T571" s="59"/>
    </row>
    <row r="572" spans="1:20">
      <c r="A572" s="37">
        <f t="shared" si="39"/>
        <v>571</v>
      </c>
      <c r="B572" s="84"/>
      <c r="D572" s="59"/>
      <c r="E572" s="59"/>
      <c r="R572" s="84"/>
      <c r="T572" s="59"/>
    </row>
    <row r="573" spans="1:20">
      <c r="A573" s="37">
        <f t="shared" si="39"/>
        <v>572</v>
      </c>
      <c r="B573" s="84"/>
      <c r="D573" s="59"/>
      <c r="E573" s="59"/>
      <c r="R573" s="84"/>
      <c r="T573" s="59"/>
    </row>
    <row r="574" spans="1:20">
      <c r="A574" s="37">
        <f t="shared" si="39"/>
        <v>573</v>
      </c>
      <c r="B574" s="84"/>
      <c r="D574" s="59"/>
      <c r="E574" s="59"/>
      <c r="R574" s="84"/>
      <c r="T574" s="59"/>
    </row>
    <row r="575" spans="1:20">
      <c r="A575" s="37">
        <f t="shared" si="39"/>
        <v>574</v>
      </c>
      <c r="B575" s="84"/>
      <c r="D575" s="59"/>
      <c r="E575" s="59"/>
      <c r="R575" s="84"/>
      <c r="T575" s="59"/>
    </row>
    <row r="576" spans="1:20">
      <c r="A576" s="37">
        <f t="shared" si="39"/>
        <v>575</v>
      </c>
      <c r="B576" s="84"/>
      <c r="D576" s="59"/>
      <c r="E576" s="59"/>
      <c r="R576" s="84"/>
      <c r="T576" s="59"/>
    </row>
    <row r="577" spans="1:20">
      <c r="A577" s="37">
        <f t="shared" si="39"/>
        <v>576</v>
      </c>
      <c r="B577" s="84"/>
      <c r="D577" s="59"/>
      <c r="E577" s="59"/>
      <c r="R577" s="84"/>
      <c r="T577" s="59"/>
    </row>
    <row r="578" spans="1:20">
      <c r="A578" s="37">
        <f t="shared" si="39"/>
        <v>577</v>
      </c>
      <c r="B578" s="84"/>
      <c r="D578" s="59"/>
      <c r="E578" s="59"/>
      <c r="R578" s="84"/>
      <c r="T578" s="59"/>
    </row>
    <row r="579" spans="1:20">
      <c r="A579" s="37">
        <f t="shared" si="39"/>
        <v>578</v>
      </c>
      <c r="B579" s="84"/>
      <c r="D579" s="59"/>
      <c r="E579" s="59"/>
      <c r="R579" s="84"/>
      <c r="T579" s="59"/>
    </row>
    <row r="580" spans="1:20">
      <c r="A580" s="37">
        <f t="shared" si="39"/>
        <v>579</v>
      </c>
      <c r="B580" s="84"/>
      <c r="D580" s="59"/>
      <c r="E580" s="59"/>
      <c r="R580" s="84"/>
      <c r="T580" s="59"/>
    </row>
    <row r="581" spans="1:20">
      <c r="A581" s="37">
        <f t="shared" si="39"/>
        <v>580</v>
      </c>
      <c r="B581" s="84"/>
      <c r="D581" s="59"/>
      <c r="E581" s="59"/>
      <c r="R581" s="84"/>
      <c r="T581" s="59"/>
    </row>
    <row r="582" spans="1:20">
      <c r="A582" s="37">
        <f t="shared" si="39"/>
        <v>581</v>
      </c>
      <c r="B582" s="84"/>
      <c r="D582" s="59"/>
      <c r="E582" s="59"/>
      <c r="R582" s="84"/>
      <c r="T582" s="59"/>
    </row>
    <row r="583" spans="1:20">
      <c r="A583" s="37">
        <f t="shared" si="39"/>
        <v>582</v>
      </c>
      <c r="B583" s="84"/>
      <c r="D583" s="59"/>
      <c r="E583" s="59"/>
      <c r="R583" s="84"/>
      <c r="T583" s="59"/>
    </row>
    <row r="584" spans="1:20">
      <c r="A584" s="37">
        <f t="shared" si="39"/>
        <v>583</v>
      </c>
      <c r="B584" s="84"/>
      <c r="D584" s="59"/>
      <c r="E584" s="59"/>
      <c r="R584" s="84"/>
      <c r="T584" s="59"/>
    </row>
    <row r="585" spans="1:20">
      <c r="A585" s="37">
        <f t="shared" si="39"/>
        <v>584</v>
      </c>
      <c r="B585" s="84"/>
      <c r="D585" s="59"/>
      <c r="E585" s="59"/>
      <c r="R585" s="84"/>
      <c r="T585" s="59"/>
    </row>
    <row r="586" spans="1:20">
      <c r="A586" s="37">
        <f t="shared" ref="A586:A600" si="40">ROW()-1</f>
        <v>585</v>
      </c>
      <c r="B586" s="84"/>
      <c r="D586" s="59"/>
      <c r="E586" s="59"/>
      <c r="R586" s="84"/>
      <c r="T586" s="59"/>
    </row>
    <row r="587" spans="1:20">
      <c r="A587" s="37">
        <f t="shared" si="40"/>
        <v>586</v>
      </c>
      <c r="B587" s="84"/>
      <c r="D587" s="59"/>
      <c r="E587" s="59"/>
      <c r="R587" s="84"/>
      <c r="T587" s="59"/>
    </row>
    <row r="588" spans="1:20">
      <c r="A588" s="37">
        <f t="shared" si="40"/>
        <v>587</v>
      </c>
      <c r="B588" s="84"/>
      <c r="D588" s="59"/>
      <c r="E588" s="59"/>
      <c r="R588" s="84"/>
      <c r="T588" s="59"/>
    </row>
    <row r="589" spans="1:20">
      <c r="A589" s="37">
        <f t="shared" si="40"/>
        <v>588</v>
      </c>
      <c r="B589" s="84"/>
      <c r="D589" s="59"/>
      <c r="E589" s="59"/>
      <c r="R589" s="84"/>
      <c r="T589" s="59"/>
    </row>
    <row r="590" spans="1:20">
      <c r="A590" s="37">
        <f t="shared" si="40"/>
        <v>589</v>
      </c>
      <c r="B590" s="84"/>
      <c r="D590" s="59"/>
      <c r="E590" s="59"/>
      <c r="R590" s="84"/>
      <c r="T590" s="59"/>
    </row>
    <row r="591" spans="1:20">
      <c r="A591" s="37">
        <f t="shared" si="40"/>
        <v>590</v>
      </c>
      <c r="B591" s="84"/>
      <c r="D591" s="59"/>
      <c r="E591" s="59"/>
      <c r="R591" s="84"/>
      <c r="T591" s="59"/>
    </row>
    <row r="592" spans="1:20">
      <c r="A592" s="37">
        <f t="shared" si="40"/>
        <v>591</v>
      </c>
      <c r="B592" s="84"/>
      <c r="D592" s="59"/>
      <c r="E592" s="59"/>
      <c r="R592" s="84"/>
      <c r="T592" s="59"/>
    </row>
    <row r="593" spans="1:20">
      <c r="A593" s="37">
        <f t="shared" si="40"/>
        <v>592</v>
      </c>
      <c r="B593" s="84"/>
      <c r="D593" s="59"/>
      <c r="E593" s="59"/>
      <c r="R593" s="84"/>
      <c r="T593" s="59"/>
    </row>
    <row r="594" spans="1:20">
      <c r="A594" s="37">
        <f t="shared" si="40"/>
        <v>593</v>
      </c>
      <c r="B594" s="84"/>
      <c r="D594" s="59"/>
      <c r="E594" s="59"/>
      <c r="R594" s="84"/>
      <c r="T594" s="59"/>
    </row>
    <row r="595" spans="1:20">
      <c r="A595" s="37">
        <f t="shared" si="40"/>
        <v>594</v>
      </c>
      <c r="B595" s="84"/>
      <c r="D595" s="59"/>
      <c r="E595" s="59"/>
      <c r="R595" s="84"/>
      <c r="T595" s="59"/>
    </row>
    <row r="596" spans="1:20">
      <c r="A596" s="37">
        <f t="shared" si="40"/>
        <v>595</v>
      </c>
      <c r="B596" s="84"/>
      <c r="D596" s="59"/>
      <c r="E596" s="59"/>
      <c r="R596" s="84"/>
      <c r="T596" s="59"/>
    </row>
    <row r="597" spans="1:20">
      <c r="A597" s="37">
        <f t="shared" si="40"/>
        <v>596</v>
      </c>
      <c r="B597" s="84"/>
      <c r="D597" s="59"/>
      <c r="E597" s="59"/>
      <c r="R597" s="84"/>
      <c r="T597" s="59"/>
    </row>
    <row r="598" spans="1:20">
      <c r="A598" s="37">
        <f t="shared" si="40"/>
        <v>597</v>
      </c>
      <c r="B598" s="84"/>
      <c r="D598" s="59"/>
      <c r="E598" s="59"/>
      <c r="R598" s="84"/>
      <c r="T598" s="59"/>
    </row>
    <row r="599" spans="1:20">
      <c r="A599" s="37">
        <f t="shared" si="40"/>
        <v>598</v>
      </c>
      <c r="B599" s="84"/>
      <c r="D599" s="59"/>
      <c r="E599" s="59"/>
      <c r="R599" s="84"/>
      <c r="T599" s="59"/>
    </row>
    <row r="600" spans="1:20">
      <c r="A600" s="37">
        <f t="shared" si="40"/>
        <v>599</v>
      </c>
      <c r="B600" s="84"/>
      <c r="D600" s="59"/>
      <c r="E600" s="59"/>
      <c r="R600" s="84"/>
      <c r="T600" s="59"/>
    </row>
    <row r="601" spans="1:20">
      <c r="A601" s="37">
        <f t="shared" ref="A601:A614" si="41">ROW()-1</f>
        <v>600</v>
      </c>
      <c r="B601" s="84"/>
      <c r="D601" s="59"/>
      <c r="E601" s="59"/>
      <c r="R601" s="84"/>
      <c r="T601" s="59"/>
    </row>
    <row r="602" spans="1:20">
      <c r="A602" s="37">
        <f t="shared" si="41"/>
        <v>601</v>
      </c>
      <c r="B602" s="84"/>
      <c r="D602" s="59"/>
      <c r="E602" s="59"/>
      <c r="R602" s="84"/>
      <c r="T602" s="59"/>
    </row>
    <row r="603" spans="1:20">
      <c r="A603" s="37">
        <f t="shared" si="41"/>
        <v>602</v>
      </c>
      <c r="B603" s="84"/>
      <c r="D603" s="59"/>
      <c r="E603" s="59"/>
      <c r="R603" s="84"/>
      <c r="T603" s="59"/>
    </row>
    <row r="604" spans="1:20">
      <c r="A604" s="37">
        <f t="shared" si="41"/>
        <v>603</v>
      </c>
      <c r="B604" s="84"/>
      <c r="D604" s="59"/>
      <c r="E604" s="59"/>
      <c r="R604" s="84"/>
      <c r="T604" s="59"/>
    </row>
    <row r="605" spans="1:20">
      <c r="A605" s="37">
        <f t="shared" si="41"/>
        <v>604</v>
      </c>
      <c r="B605" s="84"/>
      <c r="D605" s="59"/>
      <c r="E605" s="59"/>
      <c r="R605" s="84"/>
      <c r="T605" s="59"/>
    </row>
    <row r="606" spans="1:20">
      <c r="A606" s="37">
        <f t="shared" si="41"/>
        <v>605</v>
      </c>
      <c r="B606" s="84"/>
      <c r="D606" s="59"/>
      <c r="E606" s="59"/>
      <c r="R606" s="84"/>
      <c r="T606" s="59"/>
    </row>
    <row r="607" spans="1:20">
      <c r="A607" s="37">
        <f t="shared" si="41"/>
        <v>606</v>
      </c>
      <c r="B607" s="84"/>
      <c r="D607" s="59"/>
      <c r="E607" s="59"/>
      <c r="R607" s="84"/>
      <c r="T607" s="59"/>
    </row>
    <row r="608" spans="1:20">
      <c r="A608" s="37">
        <f t="shared" si="41"/>
        <v>607</v>
      </c>
      <c r="B608" s="84"/>
      <c r="D608" s="59"/>
      <c r="E608" s="59"/>
      <c r="R608" s="84"/>
      <c r="T608" s="59"/>
    </row>
    <row r="609" spans="1:21">
      <c r="A609" s="37">
        <f t="shared" si="41"/>
        <v>608</v>
      </c>
      <c r="B609" s="84"/>
      <c r="D609" s="59"/>
      <c r="E609" s="59"/>
      <c r="R609" s="84"/>
      <c r="T609" s="59"/>
    </row>
    <row r="610" spans="1:21">
      <c r="A610" s="37">
        <f t="shared" si="41"/>
        <v>609</v>
      </c>
      <c r="B610" s="84"/>
      <c r="D610" s="59"/>
      <c r="E610" s="59"/>
      <c r="R610" s="84"/>
      <c r="T610" s="59"/>
    </row>
    <row r="611" spans="1:21">
      <c r="A611" s="37">
        <f t="shared" si="41"/>
        <v>610</v>
      </c>
      <c r="B611" s="84"/>
      <c r="D611" s="59"/>
      <c r="E611" s="59"/>
      <c r="R611" s="84"/>
      <c r="T611" s="59"/>
    </row>
    <row r="612" spans="1:21">
      <c r="A612" s="37">
        <f t="shared" si="41"/>
        <v>611</v>
      </c>
      <c r="B612" s="84"/>
      <c r="D612" s="59"/>
      <c r="E612" s="59"/>
      <c r="R612" s="84"/>
      <c r="T612" s="59"/>
    </row>
    <row r="613" spans="1:21">
      <c r="A613" s="37">
        <f t="shared" si="41"/>
        <v>612</v>
      </c>
      <c r="B613" s="84"/>
      <c r="D613" s="59"/>
      <c r="E613" s="59"/>
      <c r="R613" s="84"/>
      <c r="T613" s="59"/>
    </row>
    <row r="614" spans="1:21">
      <c r="A614" s="37">
        <f t="shared" si="41"/>
        <v>613</v>
      </c>
      <c r="B614" s="84"/>
      <c r="D614" s="59"/>
      <c r="E614" s="59"/>
      <c r="R614" s="84"/>
      <c r="T614" s="59"/>
    </row>
    <row r="615" spans="1:21">
      <c r="A615" s="37">
        <f t="shared" ref="A615:A628" si="42">ROW()-1</f>
        <v>614</v>
      </c>
      <c r="B615" s="84"/>
      <c r="D615" s="59"/>
      <c r="E615" s="59"/>
      <c r="R615" s="84"/>
      <c r="T615" s="59"/>
    </row>
    <row r="616" spans="1:21">
      <c r="A616" s="37">
        <f t="shared" si="42"/>
        <v>615</v>
      </c>
      <c r="B616" s="84"/>
      <c r="D616" s="59"/>
      <c r="E616" s="59"/>
      <c r="R616" s="84"/>
      <c r="T616" s="59"/>
    </row>
    <row r="617" spans="1:21">
      <c r="A617" s="37">
        <f t="shared" si="42"/>
        <v>616</v>
      </c>
      <c r="B617" s="84"/>
      <c r="D617" s="59"/>
      <c r="E617" s="59"/>
      <c r="R617" s="84"/>
      <c r="T617" s="59"/>
    </row>
    <row r="618" spans="1:21">
      <c r="A618" s="37">
        <f t="shared" si="42"/>
        <v>617</v>
      </c>
      <c r="B618" s="84"/>
      <c r="D618" s="59"/>
      <c r="E618" s="59"/>
      <c r="R618" s="84"/>
      <c r="T618" s="59"/>
    </row>
    <row r="619" spans="1:21">
      <c r="A619" s="37">
        <f t="shared" si="42"/>
        <v>618</v>
      </c>
      <c r="B619" s="84"/>
      <c r="D619" s="59"/>
      <c r="E619" s="59"/>
      <c r="R619" s="84"/>
      <c r="T619" s="59"/>
    </row>
    <row r="620" spans="1:21">
      <c r="A620" s="37">
        <f t="shared" si="42"/>
        <v>619</v>
      </c>
      <c r="B620" s="84"/>
      <c r="D620" s="59"/>
      <c r="E620" s="59"/>
      <c r="R620" s="84"/>
      <c r="T620" s="59"/>
      <c r="U620" s="68"/>
    </row>
    <row r="621" spans="1:21">
      <c r="A621" s="37">
        <f t="shared" si="42"/>
        <v>620</v>
      </c>
      <c r="B621" s="84"/>
      <c r="D621" s="59"/>
      <c r="E621" s="59"/>
      <c r="R621" s="84"/>
      <c r="T621" s="59"/>
    </row>
    <row r="622" spans="1:21">
      <c r="A622" s="37">
        <f t="shared" si="42"/>
        <v>621</v>
      </c>
      <c r="B622" s="84"/>
      <c r="D622" s="59"/>
      <c r="E622" s="59"/>
      <c r="R622" s="84"/>
      <c r="T622" s="59"/>
    </row>
    <row r="623" spans="1:21">
      <c r="A623" s="37">
        <f t="shared" si="42"/>
        <v>622</v>
      </c>
      <c r="B623" s="84"/>
      <c r="D623" s="59"/>
      <c r="E623" s="59"/>
      <c r="R623" s="84"/>
      <c r="T623" s="59"/>
    </row>
    <row r="624" spans="1:21">
      <c r="A624" s="37">
        <f t="shared" si="42"/>
        <v>623</v>
      </c>
      <c r="B624" s="84"/>
      <c r="D624" s="59"/>
      <c r="E624" s="59"/>
      <c r="R624" s="84"/>
      <c r="T624" s="59"/>
    </row>
    <row r="625" spans="1:20">
      <c r="A625" s="37">
        <f t="shared" si="42"/>
        <v>624</v>
      </c>
      <c r="B625" s="84"/>
      <c r="D625" s="59"/>
      <c r="E625" s="59"/>
      <c r="R625" s="84"/>
      <c r="T625" s="59"/>
    </row>
    <row r="626" spans="1:20">
      <c r="A626" s="37">
        <f t="shared" si="42"/>
        <v>625</v>
      </c>
      <c r="B626" s="84"/>
      <c r="D626" s="59"/>
      <c r="E626" s="59"/>
      <c r="R626" s="84"/>
      <c r="T626" s="59"/>
    </row>
    <row r="627" spans="1:20">
      <c r="A627" s="37">
        <f t="shared" si="42"/>
        <v>626</v>
      </c>
      <c r="B627" s="84"/>
      <c r="D627" s="59"/>
      <c r="E627" s="59"/>
      <c r="R627" s="84"/>
      <c r="T627" s="59"/>
    </row>
    <row r="628" spans="1:20">
      <c r="A628" s="37">
        <f t="shared" si="42"/>
        <v>627</v>
      </c>
      <c r="B628" s="84"/>
      <c r="D628" s="59"/>
      <c r="E628" s="59"/>
      <c r="R628" s="84"/>
      <c r="T628" s="59"/>
    </row>
    <row r="629" spans="1:20">
      <c r="A629" s="37">
        <f t="shared" ref="A629:A639" si="43">ROW()-1</f>
        <v>628</v>
      </c>
      <c r="B629" s="84"/>
      <c r="D629" s="59"/>
      <c r="E629" s="59"/>
      <c r="R629" s="84"/>
      <c r="T629" s="59"/>
    </row>
    <row r="630" spans="1:20">
      <c r="A630" s="37">
        <f t="shared" si="43"/>
        <v>629</v>
      </c>
      <c r="B630" s="84"/>
      <c r="D630" s="59"/>
      <c r="E630" s="59"/>
      <c r="R630" s="84"/>
      <c r="T630" s="59"/>
    </row>
    <row r="631" spans="1:20">
      <c r="A631" s="37">
        <f t="shared" si="43"/>
        <v>630</v>
      </c>
      <c r="B631" s="84"/>
      <c r="D631" s="59"/>
      <c r="E631" s="59"/>
      <c r="R631" s="84"/>
      <c r="T631" s="59"/>
    </row>
    <row r="632" spans="1:20">
      <c r="A632" s="37">
        <f t="shared" si="43"/>
        <v>631</v>
      </c>
      <c r="B632" s="84"/>
      <c r="D632" s="59"/>
      <c r="E632" s="59"/>
      <c r="R632" s="84"/>
      <c r="T632" s="59"/>
    </row>
    <row r="633" spans="1:20">
      <c r="A633" s="37">
        <f t="shared" si="43"/>
        <v>632</v>
      </c>
      <c r="B633" s="84"/>
      <c r="D633" s="59"/>
      <c r="E633" s="59"/>
      <c r="R633" s="84"/>
      <c r="T633" s="59"/>
    </row>
    <row r="634" spans="1:20">
      <c r="A634" s="37">
        <f t="shared" si="43"/>
        <v>633</v>
      </c>
      <c r="B634" s="84"/>
      <c r="D634" s="59"/>
      <c r="E634" s="59"/>
      <c r="R634" s="84"/>
      <c r="T634" s="59"/>
    </row>
    <row r="635" spans="1:20">
      <c r="A635" s="37">
        <f t="shared" si="43"/>
        <v>634</v>
      </c>
      <c r="B635" s="84"/>
      <c r="D635" s="59"/>
      <c r="E635" s="59"/>
      <c r="R635" s="84"/>
      <c r="T635" s="59"/>
    </row>
    <row r="636" spans="1:20">
      <c r="A636" s="37">
        <f t="shared" si="43"/>
        <v>635</v>
      </c>
      <c r="B636" s="84"/>
      <c r="D636" s="59"/>
      <c r="E636" s="59"/>
      <c r="R636" s="84"/>
      <c r="T636" s="59"/>
    </row>
    <row r="637" spans="1:20">
      <c r="A637" s="37">
        <f t="shared" si="43"/>
        <v>636</v>
      </c>
      <c r="B637" s="84"/>
      <c r="D637" s="59"/>
      <c r="E637" s="59"/>
      <c r="R637" s="84"/>
      <c r="T637" s="59"/>
    </row>
    <row r="638" spans="1:20">
      <c r="A638" s="37">
        <f t="shared" si="43"/>
        <v>637</v>
      </c>
      <c r="B638" s="84"/>
      <c r="D638" s="59"/>
      <c r="E638" s="59"/>
      <c r="R638" s="84"/>
      <c r="T638" s="59"/>
    </row>
    <row r="639" spans="1:20">
      <c r="A639" s="37">
        <f t="shared" si="43"/>
        <v>638</v>
      </c>
      <c r="B639" s="84"/>
      <c r="D639" s="59"/>
      <c r="E639" s="59"/>
      <c r="R639" s="84"/>
      <c r="T639" s="59"/>
    </row>
    <row r="640" spans="1:20">
      <c r="A640" s="37">
        <f t="shared" ref="A640:A654" si="44">ROW()-1</f>
        <v>639</v>
      </c>
      <c r="B640" s="84"/>
      <c r="D640" s="59"/>
      <c r="E640" s="59"/>
      <c r="R640" s="84"/>
      <c r="T640" s="59"/>
    </row>
    <row r="641" spans="1:20">
      <c r="A641" s="37">
        <f t="shared" si="44"/>
        <v>640</v>
      </c>
      <c r="B641" s="84"/>
      <c r="D641" s="59"/>
      <c r="E641" s="59"/>
      <c r="R641" s="84"/>
      <c r="T641" s="59"/>
    </row>
    <row r="642" spans="1:20">
      <c r="A642" s="37">
        <f t="shared" si="44"/>
        <v>641</v>
      </c>
      <c r="B642" s="84"/>
      <c r="D642" s="59"/>
      <c r="E642" s="59"/>
      <c r="R642" s="84"/>
      <c r="T642" s="59"/>
    </row>
    <row r="643" spans="1:20">
      <c r="A643" s="37">
        <f t="shared" si="44"/>
        <v>642</v>
      </c>
      <c r="B643" s="84"/>
      <c r="D643" s="59"/>
      <c r="E643" s="59"/>
      <c r="R643" s="84"/>
      <c r="T643" s="59"/>
    </row>
    <row r="644" spans="1:20">
      <c r="A644" s="37">
        <f t="shared" si="44"/>
        <v>643</v>
      </c>
      <c r="B644" s="84"/>
      <c r="D644" s="59"/>
      <c r="E644" s="59"/>
      <c r="R644" s="84"/>
      <c r="T644" s="59"/>
    </row>
    <row r="645" spans="1:20">
      <c r="A645" s="37">
        <f t="shared" si="44"/>
        <v>644</v>
      </c>
      <c r="B645" s="84"/>
      <c r="D645" s="59"/>
      <c r="E645" s="59"/>
      <c r="R645" s="84"/>
      <c r="T645" s="59"/>
    </row>
    <row r="646" spans="1:20">
      <c r="A646" s="37">
        <f t="shared" si="44"/>
        <v>645</v>
      </c>
      <c r="B646" s="84"/>
      <c r="D646" s="59"/>
      <c r="E646" s="59"/>
      <c r="R646" s="84"/>
      <c r="T646" s="59"/>
    </row>
    <row r="647" spans="1:20">
      <c r="A647" s="37">
        <f t="shared" si="44"/>
        <v>646</v>
      </c>
      <c r="B647" s="84"/>
      <c r="D647" s="59"/>
      <c r="E647" s="59"/>
      <c r="R647" s="84"/>
      <c r="T647" s="59"/>
    </row>
    <row r="648" spans="1:20">
      <c r="A648" s="37">
        <f t="shared" si="44"/>
        <v>647</v>
      </c>
      <c r="B648" s="84"/>
      <c r="D648" s="59"/>
      <c r="E648" s="59"/>
      <c r="R648" s="84"/>
      <c r="T648" s="59"/>
    </row>
    <row r="649" spans="1:20">
      <c r="A649" s="37">
        <f t="shared" si="44"/>
        <v>648</v>
      </c>
      <c r="B649" s="84"/>
      <c r="D649" s="59"/>
      <c r="E649" s="59"/>
      <c r="R649" s="84"/>
      <c r="T649" s="59"/>
    </row>
    <row r="650" spans="1:20">
      <c r="A650" s="37">
        <f t="shared" si="44"/>
        <v>649</v>
      </c>
      <c r="B650" s="84"/>
      <c r="D650" s="59"/>
      <c r="E650" s="59"/>
      <c r="R650" s="84"/>
      <c r="T650" s="59"/>
    </row>
    <row r="651" spans="1:20">
      <c r="A651" s="37">
        <f t="shared" si="44"/>
        <v>650</v>
      </c>
      <c r="B651" s="84"/>
      <c r="D651" s="59"/>
      <c r="E651" s="59"/>
      <c r="R651" s="84"/>
      <c r="T651" s="59"/>
    </row>
    <row r="652" spans="1:20">
      <c r="A652" s="37">
        <f t="shared" si="44"/>
        <v>651</v>
      </c>
      <c r="B652" s="84"/>
      <c r="D652" s="59"/>
      <c r="E652" s="59"/>
      <c r="R652" s="84"/>
      <c r="T652" s="59"/>
    </row>
    <row r="653" spans="1:20">
      <c r="A653" s="37">
        <f t="shared" si="44"/>
        <v>652</v>
      </c>
      <c r="B653" s="84"/>
      <c r="D653" s="59"/>
      <c r="E653" s="59"/>
      <c r="R653" s="84"/>
      <c r="T653" s="59"/>
    </row>
    <row r="654" spans="1:20">
      <c r="A654" s="37">
        <f t="shared" si="44"/>
        <v>653</v>
      </c>
      <c r="B654" s="84"/>
      <c r="D654" s="59"/>
      <c r="E654" s="59"/>
      <c r="R654" s="84"/>
      <c r="T654" s="59"/>
    </row>
    <row r="655" spans="1:20">
      <c r="A655" s="37">
        <f t="shared" ref="A655:A668" si="45">ROW()-1</f>
        <v>654</v>
      </c>
      <c r="B655" s="84"/>
      <c r="D655" s="59"/>
      <c r="E655" s="59"/>
      <c r="R655" s="84"/>
      <c r="T655" s="59"/>
    </row>
    <row r="656" spans="1:20">
      <c r="A656" s="37">
        <f t="shared" si="45"/>
        <v>655</v>
      </c>
      <c r="B656" s="84"/>
      <c r="D656" s="59"/>
      <c r="E656" s="59"/>
      <c r="R656" s="84"/>
      <c r="T656" s="59"/>
    </row>
    <row r="657" spans="1:20">
      <c r="A657" s="37">
        <f t="shared" si="45"/>
        <v>656</v>
      </c>
      <c r="B657" s="84"/>
      <c r="D657" s="59"/>
      <c r="E657" s="59"/>
      <c r="R657" s="84"/>
      <c r="T657" s="59"/>
    </row>
    <row r="658" spans="1:20">
      <c r="A658" s="37">
        <f t="shared" si="45"/>
        <v>657</v>
      </c>
      <c r="B658" s="84"/>
      <c r="D658" s="59"/>
      <c r="E658" s="59"/>
      <c r="R658" s="84"/>
      <c r="T658" s="59"/>
    </row>
    <row r="659" spans="1:20">
      <c r="A659" s="37">
        <f t="shared" si="45"/>
        <v>658</v>
      </c>
      <c r="B659" s="84"/>
      <c r="D659" s="59"/>
      <c r="E659" s="59"/>
      <c r="R659" s="84"/>
      <c r="T659" s="59"/>
    </row>
    <row r="660" spans="1:20">
      <c r="A660" s="37">
        <f t="shared" si="45"/>
        <v>659</v>
      </c>
      <c r="B660" s="84"/>
      <c r="D660" s="59"/>
      <c r="E660" s="59"/>
      <c r="R660" s="84"/>
      <c r="T660" s="59"/>
    </row>
    <row r="661" spans="1:20">
      <c r="A661" s="37">
        <f t="shared" si="45"/>
        <v>660</v>
      </c>
      <c r="B661" s="84"/>
      <c r="D661" s="59"/>
      <c r="E661" s="59"/>
      <c r="R661" s="84"/>
      <c r="T661" s="59"/>
    </row>
    <row r="662" spans="1:20">
      <c r="A662" s="37">
        <f t="shared" si="45"/>
        <v>661</v>
      </c>
      <c r="B662" s="84"/>
      <c r="D662" s="59"/>
      <c r="E662" s="59"/>
      <c r="R662" s="84"/>
      <c r="T662" s="59"/>
    </row>
    <row r="663" spans="1:20">
      <c r="A663" s="37">
        <f t="shared" si="45"/>
        <v>662</v>
      </c>
      <c r="B663" s="84"/>
      <c r="D663" s="59"/>
      <c r="E663" s="59"/>
      <c r="R663" s="84"/>
      <c r="T663" s="59"/>
    </row>
    <row r="664" spans="1:20">
      <c r="A664" s="37">
        <f t="shared" si="45"/>
        <v>663</v>
      </c>
      <c r="B664" s="84"/>
      <c r="D664" s="59"/>
      <c r="E664" s="59"/>
      <c r="R664" s="84"/>
      <c r="T664" s="59"/>
    </row>
    <row r="665" spans="1:20">
      <c r="A665" s="37">
        <f t="shared" si="45"/>
        <v>664</v>
      </c>
      <c r="B665" s="84"/>
      <c r="D665" s="59"/>
      <c r="E665" s="59"/>
      <c r="R665" s="84"/>
      <c r="T665" s="59"/>
    </row>
    <row r="666" spans="1:20">
      <c r="A666" s="37">
        <f t="shared" si="45"/>
        <v>665</v>
      </c>
      <c r="B666" s="84"/>
      <c r="D666" s="59"/>
      <c r="E666" s="59"/>
      <c r="R666" s="84"/>
      <c r="T666" s="59"/>
    </row>
    <row r="667" spans="1:20">
      <c r="A667" s="37">
        <f t="shared" si="45"/>
        <v>666</v>
      </c>
      <c r="B667" s="84"/>
      <c r="D667" s="59"/>
      <c r="E667" s="59"/>
      <c r="R667" s="84"/>
      <c r="T667" s="59"/>
    </row>
    <row r="668" spans="1:20">
      <c r="A668" s="37">
        <f t="shared" si="45"/>
        <v>667</v>
      </c>
      <c r="B668" s="84"/>
      <c r="D668" s="59"/>
      <c r="E668" s="59"/>
      <c r="R668" s="84"/>
      <c r="T668" s="59"/>
    </row>
    <row r="669" spans="1:20">
      <c r="A669" s="37">
        <f t="shared" ref="A669:A676" si="46">ROW()-1</f>
        <v>668</v>
      </c>
      <c r="B669" s="84"/>
      <c r="D669" s="59"/>
      <c r="E669" s="59"/>
      <c r="R669" s="84"/>
      <c r="T669" s="59"/>
    </row>
    <row r="670" spans="1:20">
      <c r="A670" s="37">
        <f t="shared" si="46"/>
        <v>669</v>
      </c>
      <c r="B670" s="84"/>
      <c r="D670" s="59"/>
      <c r="E670" s="59"/>
      <c r="R670" s="84"/>
      <c r="T670" s="59"/>
    </row>
    <row r="671" spans="1:20">
      <c r="A671" s="37">
        <f t="shared" si="46"/>
        <v>670</v>
      </c>
      <c r="B671" s="84"/>
      <c r="D671" s="59"/>
      <c r="E671" s="59"/>
      <c r="R671" s="84"/>
      <c r="T671" s="59"/>
    </row>
    <row r="672" spans="1:20">
      <c r="A672" s="37">
        <f t="shared" si="46"/>
        <v>671</v>
      </c>
      <c r="B672" s="84"/>
      <c r="D672" s="59"/>
      <c r="E672" s="59"/>
      <c r="R672" s="84"/>
      <c r="T672" s="59"/>
    </row>
    <row r="673" spans="1:20">
      <c r="A673" s="37">
        <f t="shared" si="46"/>
        <v>672</v>
      </c>
      <c r="B673" s="84"/>
      <c r="D673" s="59"/>
      <c r="E673" s="59"/>
      <c r="R673" s="84"/>
      <c r="T673" s="59"/>
    </row>
    <row r="674" spans="1:20">
      <c r="A674" s="37">
        <f t="shared" si="46"/>
        <v>673</v>
      </c>
      <c r="B674" s="84"/>
      <c r="D674" s="59"/>
      <c r="E674" s="59"/>
      <c r="R674" s="84"/>
      <c r="T674" s="59"/>
    </row>
    <row r="675" spans="1:20">
      <c r="A675" s="37">
        <f t="shared" si="46"/>
        <v>674</v>
      </c>
      <c r="B675" s="84"/>
      <c r="D675" s="59"/>
      <c r="E675" s="59"/>
      <c r="R675" s="84"/>
      <c r="T675" s="59"/>
    </row>
    <row r="676" spans="1:20">
      <c r="A676" s="37">
        <f t="shared" si="46"/>
        <v>675</v>
      </c>
      <c r="B676" s="84"/>
      <c r="D676" s="59"/>
      <c r="E676" s="59"/>
      <c r="R676" s="84"/>
      <c r="T676" s="59"/>
    </row>
    <row r="677" spans="1:20">
      <c r="A677" s="37">
        <f t="shared" ref="A677:A687" si="47">ROW()-1</f>
        <v>676</v>
      </c>
      <c r="B677" s="84"/>
      <c r="D677" s="59"/>
      <c r="E677" s="59"/>
      <c r="R677" s="84"/>
      <c r="T677" s="59"/>
    </row>
    <row r="678" spans="1:20">
      <c r="A678" s="37">
        <f t="shared" si="47"/>
        <v>677</v>
      </c>
      <c r="B678" s="84"/>
      <c r="D678" s="59"/>
      <c r="E678" s="59"/>
      <c r="R678" s="84"/>
      <c r="T678" s="59"/>
    </row>
    <row r="679" spans="1:20">
      <c r="A679" s="37">
        <f t="shared" si="47"/>
        <v>678</v>
      </c>
      <c r="B679" s="84"/>
      <c r="D679" s="59"/>
      <c r="E679" s="59"/>
      <c r="R679" s="84"/>
      <c r="T679" s="59"/>
    </row>
    <row r="680" spans="1:20">
      <c r="A680" s="37">
        <f t="shared" si="47"/>
        <v>679</v>
      </c>
      <c r="B680" s="84"/>
      <c r="D680" s="59"/>
      <c r="E680" s="59"/>
      <c r="R680" s="84"/>
      <c r="T680" s="59"/>
    </row>
    <row r="681" spans="1:20">
      <c r="A681" s="37">
        <f t="shared" si="47"/>
        <v>680</v>
      </c>
      <c r="B681" s="84"/>
      <c r="D681" s="59"/>
      <c r="E681" s="59"/>
      <c r="R681" s="84"/>
      <c r="T681" s="59"/>
    </row>
    <row r="682" spans="1:20">
      <c r="A682" s="37">
        <f t="shared" si="47"/>
        <v>681</v>
      </c>
      <c r="B682" s="84"/>
      <c r="D682" s="59"/>
      <c r="E682" s="59"/>
      <c r="R682" s="84"/>
      <c r="T682" s="59"/>
    </row>
    <row r="683" spans="1:20">
      <c r="A683" s="37">
        <f t="shared" si="47"/>
        <v>682</v>
      </c>
      <c r="B683" s="84"/>
      <c r="D683" s="59"/>
      <c r="E683" s="59"/>
      <c r="R683" s="84"/>
      <c r="T683" s="59"/>
    </row>
    <row r="684" spans="1:20">
      <c r="A684" s="37">
        <f t="shared" si="47"/>
        <v>683</v>
      </c>
      <c r="B684" s="84"/>
      <c r="D684" s="59"/>
      <c r="E684" s="59"/>
      <c r="R684" s="84"/>
      <c r="T684" s="59"/>
    </row>
    <row r="685" spans="1:20">
      <c r="A685" s="37">
        <f t="shared" si="47"/>
        <v>684</v>
      </c>
      <c r="B685" s="84"/>
      <c r="D685" s="59"/>
      <c r="E685" s="59"/>
      <c r="R685" s="84"/>
      <c r="T685" s="59"/>
    </row>
    <row r="686" spans="1:20">
      <c r="A686" s="37">
        <f t="shared" si="47"/>
        <v>685</v>
      </c>
      <c r="B686" s="84"/>
      <c r="D686" s="59"/>
      <c r="E686" s="59"/>
      <c r="R686" s="84"/>
      <c r="T686" s="59"/>
    </row>
    <row r="687" spans="1:20">
      <c r="A687" s="37">
        <f t="shared" si="47"/>
        <v>686</v>
      </c>
      <c r="B687" s="84"/>
      <c r="D687" s="59"/>
      <c r="E687" s="59"/>
      <c r="R687" s="84"/>
      <c r="T687" s="59"/>
    </row>
    <row r="688" spans="1:20">
      <c r="A688" s="37">
        <f t="shared" ref="A688:A730" si="48">ROW()-1</f>
        <v>687</v>
      </c>
      <c r="B688" s="84"/>
      <c r="D688" s="59"/>
      <c r="E688" s="59"/>
      <c r="R688" s="84"/>
      <c r="T688" s="59"/>
    </row>
    <row r="689" spans="1:20">
      <c r="A689" s="37">
        <f t="shared" si="48"/>
        <v>688</v>
      </c>
      <c r="B689" s="84"/>
      <c r="D689" s="59"/>
      <c r="E689" s="59"/>
      <c r="R689" s="84"/>
      <c r="T689" s="59"/>
    </row>
    <row r="690" spans="1:20">
      <c r="A690" s="37">
        <f t="shared" si="48"/>
        <v>689</v>
      </c>
      <c r="B690" s="84"/>
      <c r="D690" s="59"/>
      <c r="E690" s="59"/>
      <c r="R690" s="84"/>
      <c r="T690" s="59"/>
    </row>
    <row r="691" spans="1:20">
      <c r="A691" s="37">
        <f t="shared" si="48"/>
        <v>690</v>
      </c>
      <c r="B691" s="84"/>
      <c r="D691" s="59"/>
      <c r="E691" s="59"/>
      <c r="R691" s="84"/>
      <c r="T691" s="59"/>
    </row>
    <row r="692" spans="1:20">
      <c r="A692" s="37">
        <f t="shared" si="48"/>
        <v>691</v>
      </c>
      <c r="B692" s="84"/>
      <c r="D692" s="59"/>
      <c r="E692" s="59"/>
      <c r="R692" s="84"/>
      <c r="T692" s="59"/>
    </row>
    <row r="693" spans="1:20">
      <c r="A693" s="37">
        <f t="shared" si="48"/>
        <v>692</v>
      </c>
      <c r="B693" s="84"/>
      <c r="D693" s="59"/>
      <c r="E693" s="59"/>
      <c r="R693" s="84"/>
      <c r="T693" s="59"/>
    </row>
    <row r="694" spans="1:20">
      <c r="A694" s="37">
        <f t="shared" si="48"/>
        <v>693</v>
      </c>
      <c r="B694" s="84"/>
      <c r="D694" s="59"/>
      <c r="E694" s="59"/>
      <c r="R694" s="84"/>
      <c r="T694" s="59"/>
    </row>
    <row r="695" spans="1:20">
      <c r="A695" s="37">
        <f t="shared" si="48"/>
        <v>694</v>
      </c>
      <c r="B695" s="84"/>
      <c r="D695" s="59"/>
      <c r="E695" s="59"/>
      <c r="R695" s="84"/>
      <c r="T695" s="59"/>
    </row>
    <row r="696" spans="1:20">
      <c r="A696" s="37">
        <f t="shared" si="48"/>
        <v>695</v>
      </c>
      <c r="B696" s="84"/>
      <c r="D696" s="59"/>
      <c r="E696" s="59"/>
      <c r="R696" s="84"/>
      <c r="T696" s="59"/>
    </row>
    <row r="697" spans="1:20">
      <c r="A697" s="37">
        <f t="shared" si="48"/>
        <v>696</v>
      </c>
      <c r="B697" s="84"/>
      <c r="D697" s="59"/>
      <c r="E697" s="59"/>
      <c r="R697" s="84"/>
      <c r="T697" s="59"/>
    </row>
    <row r="698" spans="1:20">
      <c r="A698" s="37">
        <f t="shared" si="48"/>
        <v>697</v>
      </c>
      <c r="B698" s="84"/>
      <c r="D698" s="59"/>
      <c r="E698" s="59"/>
      <c r="R698" s="84"/>
      <c r="T698" s="59"/>
    </row>
    <row r="699" spans="1:20">
      <c r="A699" s="37">
        <f t="shared" si="48"/>
        <v>698</v>
      </c>
      <c r="B699" s="84"/>
      <c r="D699" s="59"/>
      <c r="E699" s="59"/>
      <c r="R699" s="84"/>
      <c r="T699" s="59"/>
    </row>
    <row r="700" spans="1:20">
      <c r="A700" s="37">
        <f t="shared" si="48"/>
        <v>699</v>
      </c>
      <c r="B700" s="84"/>
      <c r="D700" s="59"/>
      <c r="E700" s="59"/>
      <c r="R700" s="84"/>
      <c r="T700" s="59"/>
    </row>
    <row r="701" spans="1:20">
      <c r="A701" s="37">
        <f t="shared" si="48"/>
        <v>700</v>
      </c>
      <c r="B701" s="84"/>
      <c r="D701" s="59"/>
      <c r="E701" s="59"/>
      <c r="R701" s="84"/>
      <c r="T701" s="59"/>
    </row>
    <row r="702" spans="1:20">
      <c r="A702" s="37">
        <f t="shared" si="48"/>
        <v>701</v>
      </c>
      <c r="B702" s="84"/>
      <c r="D702" s="59"/>
      <c r="E702" s="59"/>
      <c r="R702" s="84"/>
      <c r="T702" s="59"/>
    </row>
    <row r="703" spans="1:20">
      <c r="A703" s="37">
        <f t="shared" si="48"/>
        <v>702</v>
      </c>
      <c r="B703" s="84"/>
      <c r="D703" s="59"/>
      <c r="E703" s="59"/>
      <c r="R703" s="84"/>
      <c r="T703" s="59"/>
    </row>
    <row r="704" spans="1:20">
      <c r="A704" s="37">
        <f t="shared" si="48"/>
        <v>703</v>
      </c>
      <c r="B704" s="84"/>
      <c r="D704" s="59"/>
      <c r="E704" s="59"/>
      <c r="R704" s="84"/>
      <c r="T704" s="59"/>
    </row>
    <row r="705" spans="1:20">
      <c r="A705" s="37">
        <f t="shared" si="48"/>
        <v>704</v>
      </c>
      <c r="B705" s="84"/>
      <c r="D705" s="59"/>
      <c r="E705" s="59"/>
      <c r="R705" s="84"/>
      <c r="T705" s="59"/>
    </row>
    <row r="706" spans="1:20">
      <c r="A706" s="37">
        <f t="shared" si="48"/>
        <v>705</v>
      </c>
      <c r="B706" s="84"/>
      <c r="D706" s="59"/>
      <c r="E706" s="59"/>
      <c r="R706" s="84"/>
      <c r="T706" s="59"/>
    </row>
    <row r="707" spans="1:20">
      <c r="A707" s="37">
        <f t="shared" si="48"/>
        <v>706</v>
      </c>
      <c r="B707" s="84"/>
      <c r="D707" s="59"/>
      <c r="E707" s="59"/>
      <c r="R707" s="84"/>
      <c r="T707" s="59"/>
    </row>
    <row r="708" spans="1:20">
      <c r="A708" s="37">
        <f t="shared" si="48"/>
        <v>707</v>
      </c>
      <c r="B708" s="84"/>
      <c r="D708" s="59"/>
      <c r="E708" s="59"/>
      <c r="R708" s="84"/>
      <c r="T708" s="59"/>
    </row>
    <row r="709" spans="1:20">
      <c r="A709" s="37">
        <f t="shared" si="48"/>
        <v>708</v>
      </c>
      <c r="B709" s="84"/>
      <c r="D709" s="59"/>
      <c r="E709" s="59"/>
      <c r="R709" s="84"/>
      <c r="T709" s="59"/>
    </row>
    <row r="710" spans="1:20">
      <c r="A710" s="37">
        <f t="shared" si="48"/>
        <v>709</v>
      </c>
      <c r="B710" s="84"/>
      <c r="D710" s="59"/>
      <c r="E710" s="59"/>
      <c r="R710" s="84"/>
      <c r="T710" s="59"/>
    </row>
    <row r="711" spans="1:20">
      <c r="A711" s="37">
        <f t="shared" si="48"/>
        <v>710</v>
      </c>
      <c r="B711" s="84"/>
      <c r="D711" s="59"/>
      <c r="E711" s="59"/>
      <c r="R711" s="84"/>
      <c r="T711" s="59"/>
    </row>
    <row r="712" spans="1:20">
      <c r="A712" s="37">
        <f t="shared" si="48"/>
        <v>711</v>
      </c>
      <c r="B712" s="84"/>
      <c r="D712" s="59"/>
      <c r="E712" s="59"/>
      <c r="R712" s="84"/>
      <c r="T712" s="59"/>
    </row>
    <row r="713" spans="1:20">
      <c r="A713" s="37">
        <f t="shared" si="48"/>
        <v>712</v>
      </c>
      <c r="B713" s="84"/>
      <c r="D713" s="59"/>
      <c r="E713" s="59"/>
      <c r="R713" s="84"/>
      <c r="T713" s="59"/>
    </row>
    <row r="714" spans="1:20">
      <c r="A714" s="37">
        <f t="shared" si="48"/>
        <v>713</v>
      </c>
      <c r="B714" s="84"/>
      <c r="D714" s="59"/>
      <c r="E714" s="59"/>
      <c r="R714" s="84"/>
      <c r="T714" s="59"/>
    </row>
    <row r="715" spans="1:20">
      <c r="A715" s="37">
        <f t="shared" si="48"/>
        <v>714</v>
      </c>
      <c r="B715" s="84"/>
      <c r="D715" s="59"/>
      <c r="E715" s="59"/>
      <c r="R715" s="84"/>
      <c r="T715" s="59"/>
    </row>
    <row r="716" spans="1:20">
      <c r="A716" s="37">
        <f t="shared" si="48"/>
        <v>715</v>
      </c>
      <c r="B716" s="84"/>
      <c r="D716" s="59"/>
      <c r="E716" s="59"/>
      <c r="R716" s="84"/>
      <c r="T716" s="59"/>
    </row>
    <row r="717" spans="1:20">
      <c r="A717" s="37">
        <f t="shared" si="48"/>
        <v>716</v>
      </c>
      <c r="B717" s="84"/>
      <c r="D717" s="59"/>
      <c r="E717" s="59"/>
      <c r="R717" s="84"/>
      <c r="T717" s="59"/>
    </row>
    <row r="718" spans="1:20">
      <c r="A718" s="37">
        <f t="shared" si="48"/>
        <v>717</v>
      </c>
      <c r="B718" s="84"/>
      <c r="D718" s="59"/>
      <c r="E718" s="59"/>
      <c r="R718" s="84"/>
      <c r="T718" s="59"/>
    </row>
    <row r="719" spans="1:20">
      <c r="A719" s="37">
        <f t="shared" si="48"/>
        <v>718</v>
      </c>
      <c r="B719" s="84"/>
      <c r="D719" s="59"/>
      <c r="E719" s="59"/>
      <c r="R719" s="84"/>
      <c r="T719" s="59"/>
    </row>
    <row r="720" spans="1:20">
      <c r="A720" s="37">
        <f t="shared" si="48"/>
        <v>719</v>
      </c>
      <c r="B720" s="84"/>
      <c r="D720" s="59"/>
      <c r="E720" s="59"/>
      <c r="R720" s="84"/>
      <c r="T720" s="59"/>
    </row>
    <row r="721" spans="1:20">
      <c r="A721" s="37">
        <f t="shared" si="48"/>
        <v>720</v>
      </c>
      <c r="B721" s="84"/>
      <c r="D721" s="59"/>
      <c r="E721" s="59"/>
      <c r="R721" s="84"/>
      <c r="T721" s="59"/>
    </row>
    <row r="722" spans="1:20">
      <c r="A722" s="37">
        <f t="shared" si="48"/>
        <v>721</v>
      </c>
      <c r="B722" s="84"/>
      <c r="D722" s="59"/>
      <c r="E722" s="59"/>
      <c r="R722" s="84"/>
      <c r="T722" s="59"/>
    </row>
    <row r="723" spans="1:20">
      <c r="A723" s="37">
        <f t="shared" si="48"/>
        <v>722</v>
      </c>
      <c r="B723" s="84"/>
      <c r="D723" s="59"/>
      <c r="E723" s="59"/>
      <c r="R723" s="84"/>
      <c r="T723" s="59"/>
    </row>
    <row r="724" spans="1:20">
      <c r="A724" s="37">
        <f t="shared" si="48"/>
        <v>723</v>
      </c>
      <c r="B724" s="84"/>
      <c r="D724" s="59"/>
      <c r="E724" s="59"/>
      <c r="R724" s="84"/>
      <c r="T724" s="59"/>
    </row>
    <row r="725" spans="1:20">
      <c r="A725" s="37">
        <f t="shared" si="48"/>
        <v>724</v>
      </c>
      <c r="B725" s="84"/>
      <c r="D725" s="59"/>
      <c r="E725" s="59"/>
      <c r="R725" s="84"/>
      <c r="T725" s="59"/>
    </row>
    <row r="726" spans="1:20">
      <c r="A726" s="37">
        <f t="shared" si="48"/>
        <v>725</v>
      </c>
      <c r="B726" s="84"/>
      <c r="D726" s="59"/>
      <c r="E726" s="59"/>
      <c r="R726" s="84"/>
      <c r="T726" s="59"/>
    </row>
    <row r="727" spans="1:20">
      <c r="A727" s="37">
        <f t="shared" si="48"/>
        <v>726</v>
      </c>
      <c r="B727" s="84"/>
      <c r="D727" s="59"/>
      <c r="E727" s="59"/>
      <c r="R727" s="84"/>
      <c r="T727" s="59"/>
    </row>
    <row r="728" spans="1:20">
      <c r="A728" s="37">
        <f t="shared" si="48"/>
        <v>727</v>
      </c>
      <c r="B728" s="84"/>
      <c r="D728" s="59"/>
      <c r="E728" s="59"/>
      <c r="R728" s="84"/>
      <c r="T728" s="59"/>
    </row>
    <row r="729" spans="1:20">
      <c r="A729" s="37">
        <f t="shared" si="48"/>
        <v>728</v>
      </c>
      <c r="B729" s="84"/>
      <c r="D729" s="59"/>
      <c r="E729" s="59"/>
      <c r="R729" s="84"/>
      <c r="T729" s="59"/>
    </row>
    <row r="730" spans="1:20">
      <c r="A730" s="37">
        <f t="shared" si="48"/>
        <v>729</v>
      </c>
      <c r="B730" s="84"/>
      <c r="D730" s="59"/>
      <c r="E730" s="59"/>
      <c r="R730" s="84"/>
      <c r="T730" s="59"/>
    </row>
    <row r="731" spans="1:20">
      <c r="A731" s="37">
        <f t="shared" ref="A731:A747" si="49">ROW()-1</f>
        <v>730</v>
      </c>
      <c r="B731" s="84"/>
      <c r="D731" s="59"/>
      <c r="E731" s="59"/>
      <c r="R731" s="84"/>
      <c r="T731" s="59"/>
    </row>
    <row r="732" spans="1:20">
      <c r="A732" s="37">
        <f t="shared" si="49"/>
        <v>731</v>
      </c>
      <c r="B732" s="84"/>
      <c r="D732" s="59"/>
      <c r="E732" s="59"/>
      <c r="R732" s="84"/>
      <c r="T732" s="59"/>
    </row>
    <row r="733" spans="1:20">
      <c r="A733" s="37">
        <f t="shared" si="49"/>
        <v>732</v>
      </c>
      <c r="B733" s="84"/>
      <c r="D733" s="59"/>
      <c r="E733" s="59"/>
      <c r="R733" s="84"/>
      <c r="T733" s="59"/>
    </row>
    <row r="734" spans="1:20">
      <c r="A734" s="37">
        <f t="shared" si="49"/>
        <v>733</v>
      </c>
      <c r="B734" s="84"/>
      <c r="D734" s="59"/>
      <c r="E734" s="59"/>
      <c r="R734" s="84"/>
      <c r="T734" s="59"/>
    </row>
    <row r="735" spans="1:20">
      <c r="A735" s="37">
        <f t="shared" si="49"/>
        <v>734</v>
      </c>
      <c r="B735" s="84"/>
      <c r="D735" s="59"/>
      <c r="E735" s="59"/>
      <c r="R735" s="84"/>
      <c r="T735" s="59"/>
    </row>
    <row r="736" spans="1:20">
      <c r="A736" s="37">
        <f t="shared" si="49"/>
        <v>735</v>
      </c>
      <c r="B736" s="84"/>
      <c r="D736" s="59"/>
      <c r="E736" s="59"/>
      <c r="R736" s="84"/>
      <c r="T736" s="59"/>
    </row>
    <row r="737" spans="1:20">
      <c r="A737" s="37">
        <f t="shared" si="49"/>
        <v>736</v>
      </c>
      <c r="B737" s="84"/>
      <c r="D737" s="59"/>
      <c r="E737" s="59"/>
      <c r="R737" s="84"/>
      <c r="T737" s="59"/>
    </row>
    <row r="738" spans="1:20">
      <c r="A738" s="37">
        <f t="shared" si="49"/>
        <v>737</v>
      </c>
      <c r="B738" s="84"/>
      <c r="D738" s="59"/>
      <c r="E738" s="59"/>
      <c r="R738" s="84"/>
      <c r="T738" s="59"/>
    </row>
    <row r="739" spans="1:20">
      <c r="A739" s="37">
        <f t="shared" si="49"/>
        <v>738</v>
      </c>
      <c r="B739" s="84"/>
      <c r="D739" s="59"/>
      <c r="E739" s="59"/>
      <c r="R739" s="84"/>
      <c r="T739" s="59"/>
    </row>
    <row r="740" spans="1:20">
      <c r="A740" s="37">
        <f t="shared" si="49"/>
        <v>739</v>
      </c>
      <c r="B740" s="84"/>
      <c r="D740" s="59"/>
      <c r="E740" s="59"/>
      <c r="R740" s="84"/>
      <c r="T740" s="59"/>
    </row>
    <row r="741" spans="1:20">
      <c r="A741" s="37">
        <f t="shared" si="49"/>
        <v>740</v>
      </c>
      <c r="B741" s="84"/>
      <c r="D741" s="59"/>
      <c r="E741" s="59"/>
      <c r="R741" s="84"/>
      <c r="T741" s="59"/>
    </row>
    <row r="742" spans="1:20">
      <c r="A742" s="37">
        <f t="shared" si="49"/>
        <v>741</v>
      </c>
      <c r="B742" s="84"/>
      <c r="D742" s="59"/>
      <c r="E742" s="59"/>
      <c r="R742" s="84"/>
      <c r="T742" s="59"/>
    </row>
    <row r="743" spans="1:20">
      <c r="A743" s="37">
        <f t="shared" si="49"/>
        <v>742</v>
      </c>
      <c r="B743" s="84"/>
      <c r="D743" s="59"/>
      <c r="E743" s="59"/>
      <c r="R743" s="84"/>
      <c r="T743" s="59"/>
    </row>
    <row r="744" spans="1:20">
      <c r="A744" s="37">
        <f t="shared" si="49"/>
        <v>743</v>
      </c>
      <c r="B744" s="84"/>
      <c r="D744" s="59"/>
      <c r="E744" s="59"/>
      <c r="R744" s="84"/>
      <c r="T744" s="59"/>
    </row>
    <row r="745" spans="1:20">
      <c r="A745" s="37">
        <f t="shared" si="49"/>
        <v>744</v>
      </c>
      <c r="B745" s="84"/>
      <c r="D745" s="59"/>
      <c r="E745" s="59"/>
      <c r="R745" s="84"/>
      <c r="T745" s="59"/>
    </row>
    <row r="746" spans="1:20">
      <c r="A746" s="37">
        <f t="shared" si="49"/>
        <v>745</v>
      </c>
      <c r="B746" s="84"/>
      <c r="D746" s="59"/>
      <c r="E746" s="59"/>
      <c r="R746" s="84"/>
      <c r="T746" s="59"/>
    </row>
    <row r="747" spans="1:20">
      <c r="A747" s="37">
        <f t="shared" si="49"/>
        <v>746</v>
      </c>
      <c r="B747" s="84"/>
      <c r="D747" s="59"/>
      <c r="E747" s="59"/>
      <c r="R747" s="84"/>
      <c r="T747" s="59"/>
    </row>
    <row r="748" spans="1:20">
      <c r="A748" s="37">
        <f t="shared" ref="A748:A760" si="50">ROW()-1</f>
        <v>747</v>
      </c>
      <c r="B748" s="84"/>
      <c r="D748" s="59"/>
      <c r="E748" s="59"/>
      <c r="R748" s="84"/>
      <c r="T748" s="59"/>
    </row>
    <row r="749" spans="1:20">
      <c r="A749" s="37">
        <f t="shared" si="50"/>
        <v>748</v>
      </c>
      <c r="B749" s="84"/>
      <c r="D749" s="59"/>
      <c r="E749" s="59"/>
      <c r="R749" s="84"/>
      <c r="T749" s="59"/>
    </row>
    <row r="750" spans="1:20">
      <c r="A750" s="37">
        <f t="shared" si="50"/>
        <v>749</v>
      </c>
      <c r="B750" s="84"/>
      <c r="D750" s="59"/>
      <c r="E750" s="59"/>
      <c r="R750" s="84"/>
      <c r="T750" s="59"/>
    </row>
    <row r="751" spans="1:20">
      <c r="A751" s="37">
        <f t="shared" si="50"/>
        <v>750</v>
      </c>
      <c r="B751" s="84"/>
      <c r="D751" s="59"/>
      <c r="E751" s="59"/>
      <c r="R751" s="84"/>
      <c r="T751" s="59"/>
    </row>
    <row r="752" spans="1:20">
      <c r="A752" s="37">
        <f t="shared" si="50"/>
        <v>751</v>
      </c>
      <c r="B752" s="84"/>
      <c r="D752" s="59"/>
      <c r="E752" s="59"/>
      <c r="R752" s="84"/>
      <c r="T752" s="59"/>
    </row>
    <row r="753" spans="1:20">
      <c r="A753" s="37">
        <f t="shared" si="50"/>
        <v>752</v>
      </c>
      <c r="B753" s="84"/>
      <c r="D753" s="59"/>
      <c r="E753" s="59"/>
      <c r="R753" s="84"/>
      <c r="T753" s="59"/>
    </row>
    <row r="754" spans="1:20">
      <c r="A754" s="37">
        <f t="shared" si="50"/>
        <v>753</v>
      </c>
      <c r="B754" s="84"/>
      <c r="D754" s="59"/>
      <c r="E754" s="59"/>
      <c r="R754" s="84"/>
      <c r="T754" s="59"/>
    </row>
    <row r="755" spans="1:20">
      <c r="A755" s="37">
        <f t="shared" si="50"/>
        <v>754</v>
      </c>
      <c r="B755" s="84"/>
      <c r="D755" s="59"/>
      <c r="E755" s="59"/>
      <c r="R755" s="84"/>
      <c r="T755" s="59"/>
    </row>
    <row r="756" spans="1:20">
      <c r="A756" s="37">
        <f t="shared" si="50"/>
        <v>755</v>
      </c>
      <c r="B756" s="84"/>
      <c r="D756" s="59"/>
      <c r="E756" s="59"/>
      <c r="R756" s="84"/>
      <c r="T756" s="59"/>
    </row>
    <row r="757" spans="1:20">
      <c r="A757" s="37">
        <f t="shared" si="50"/>
        <v>756</v>
      </c>
      <c r="B757" s="84"/>
      <c r="D757" s="59"/>
      <c r="E757" s="59"/>
      <c r="R757" s="84"/>
      <c r="T757" s="59"/>
    </row>
    <row r="758" spans="1:20">
      <c r="A758" s="37">
        <f t="shared" si="50"/>
        <v>757</v>
      </c>
      <c r="B758" s="84"/>
      <c r="D758" s="59"/>
      <c r="E758" s="59"/>
      <c r="R758" s="84"/>
      <c r="T758" s="59"/>
    </row>
    <row r="759" spans="1:20">
      <c r="A759" s="37">
        <f t="shared" si="50"/>
        <v>758</v>
      </c>
      <c r="B759" s="84"/>
      <c r="D759" s="59"/>
      <c r="E759" s="59"/>
      <c r="R759" s="84"/>
      <c r="T759" s="59"/>
    </row>
    <row r="760" spans="1:20">
      <c r="A760" s="37">
        <f t="shared" si="50"/>
        <v>759</v>
      </c>
      <c r="B760" s="84"/>
      <c r="D760" s="59"/>
      <c r="E760" s="59"/>
      <c r="R760" s="84"/>
      <c r="T760" s="59"/>
    </row>
    <row r="761" spans="1:20">
      <c r="A761" s="37">
        <f t="shared" ref="A761:A778" si="51">ROW()-1</f>
        <v>760</v>
      </c>
      <c r="B761" s="84"/>
      <c r="D761" s="59"/>
      <c r="E761" s="59"/>
      <c r="R761" s="84"/>
      <c r="T761" s="59"/>
    </row>
    <row r="762" spans="1:20">
      <c r="A762" s="37">
        <f t="shared" si="51"/>
        <v>761</v>
      </c>
      <c r="B762" s="84"/>
      <c r="D762" s="59"/>
      <c r="E762" s="59"/>
      <c r="R762" s="84"/>
      <c r="T762" s="59"/>
    </row>
    <row r="763" spans="1:20">
      <c r="A763" s="37">
        <f t="shared" si="51"/>
        <v>762</v>
      </c>
      <c r="B763" s="84"/>
      <c r="D763" s="59"/>
      <c r="E763" s="59"/>
      <c r="R763" s="84"/>
      <c r="T763" s="59"/>
    </row>
    <row r="764" spans="1:20">
      <c r="A764" s="37">
        <f t="shared" si="51"/>
        <v>763</v>
      </c>
      <c r="B764" s="84"/>
      <c r="D764" s="59"/>
      <c r="E764" s="59"/>
      <c r="R764" s="84"/>
      <c r="T764" s="59"/>
    </row>
    <row r="765" spans="1:20">
      <c r="A765" s="37">
        <f t="shared" si="51"/>
        <v>764</v>
      </c>
      <c r="B765" s="84"/>
      <c r="D765" s="59"/>
      <c r="E765" s="59"/>
      <c r="R765" s="84"/>
      <c r="T765" s="59"/>
    </row>
    <row r="766" spans="1:20">
      <c r="A766" s="37">
        <f t="shared" si="51"/>
        <v>765</v>
      </c>
      <c r="B766" s="84"/>
      <c r="D766" s="59"/>
      <c r="E766" s="59"/>
      <c r="R766" s="84"/>
      <c r="T766" s="59"/>
    </row>
    <row r="767" spans="1:20">
      <c r="A767" s="37">
        <f t="shared" si="51"/>
        <v>766</v>
      </c>
      <c r="B767" s="84"/>
      <c r="D767" s="59"/>
      <c r="E767" s="59"/>
      <c r="R767" s="84"/>
      <c r="T767" s="59"/>
    </row>
    <row r="768" spans="1:20">
      <c r="A768" s="37">
        <f t="shared" si="51"/>
        <v>767</v>
      </c>
      <c r="B768" s="84"/>
      <c r="D768" s="59"/>
      <c r="E768" s="59"/>
      <c r="R768" s="84"/>
      <c r="T768" s="59"/>
    </row>
    <row r="769" spans="1:20">
      <c r="A769" s="37">
        <f t="shared" si="51"/>
        <v>768</v>
      </c>
      <c r="B769" s="84"/>
      <c r="D769" s="59"/>
      <c r="E769" s="59"/>
      <c r="R769" s="84"/>
      <c r="T769" s="59"/>
    </row>
    <row r="770" spans="1:20">
      <c r="A770" s="37">
        <f t="shared" si="51"/>
        <v>769</v>
      </c>
      <c r="B770" s="84"/>
      <c r="D770" s="59"/>
      <c r="E770" s="59"/>
      <c r="R770" s="84"/>
      <c r="T770" s="59"/>
    </row>
    <row r="771" spans="1:20">
      <c r="A771" s="37">
        <f t="shared" si="51"/>
        <v>770</v>
      </c>
      <c r="B771" s="84"/>
      <c r="D771" s="59"/>
      <c r="E771" s="59"/>
      <c r="R771" s="84"/>
      <c r="T771" s="59"/>
    </row>
    <row r="772" spans="1:20">
      <c r="A772" s="37">
        <f t="shared" si="51"/>
        <v>771</v>
      </c>
      <c r="B772" s="84"/>
      <c r="D772" s="59"/>
      <c r="E772" s="59"/>
      <c r="R772" s="84"/>
      <c r="T772" s="59"/>
    </row>
    <row r="773" spans="1:20">
      <c r="A773" s="37">
        <f t="shared" si="51"/>
        <v>772</v>
      </c>
      <c r="B773" s="84"/>
      <c r="D773" s="59"/>
      <c r="E773" s="59"/>
      <c r="R773" s="84"/>
      <c r="T773" s="59"/>
    </row>
    <row r="774" spans="1:20">
      <c r="A774" s="37">
        <f t="shared" si="51"/>
        <v>773</v>
      </c>
      <c r="B774" s="84"/>
      <c r="D774" s="59"/>
      <c r="E774" s="59"/>
      <c r="R774" s="84"/>
      <c r="T774" s="59"/>
    </row>
    <row r="775" spans="1:20">
      <c r="A775" s="37">
        <f t="shared" si="51"/>
        <v>774</v>
      </c>
      <c r="B775" s="84"/>
      <c r="D775" s="59"/>
      <c r="E775" s="59"/>
      <c r="R775" s="84"/>
      <c r="T775" s="59"/>
    </row>
    <row r="776" spans="1:20">
      <c r="A776" s="37">
        <f t="shared" si="51"/>
        <v>775</v>
      </c>
      <c r="B776" s="84"/>
      <c r="D776" s="59"/>
      <c r="E776" s="59"/>
      <c r="R776" s="84"/>
      <c r="T776" s="59"/>
    </row>
    <row r="777" spans="1:20">
      <c r="A777" s="37">
        <f t="shared" si="51"/>
        <v>776</v>
      </c>
      <c r="B777" s="84"/>
      <c r="D777" s="59"/>
      <c r="E777" s="59"/>
      <c r="R777" s="84"/>
      <c r="T777" s="59"/>
    </row>
    <row r="778" spans="1:20">
      <c r="A778" s="37">
        <f t="shared" si="51"/>
        <v>777</v>
      </c>
      <c r="B778" s="84"/>
      <c r="D778" s="59"/>
      <c r="E778" s="59"/>
      <c r="R778" s="84"/>
      <c r="T778" s="59"/>
    </row>
    <row r="779" spans="1:20">
      <c r="A779" s="37">
        <f t="shared" ref="A779:A787" si="52">ROW()-1</f>
        <v>778</v>
      </c>
      <c r="B779" s="84"/>
      <c r="D779" s="59"/>
      <c r="E779" s="59"/>
      <c r="R779" s="84"/>
      <c r="T779" s="59"/>
    </row>
    <row r="780" spans="1:20">
      <c r="A780" s="37">
        <f t="shared" si="52"/>
        <v>779</v>
      </c>
      <c r="B780" s="84"/>
      <c r="D780" s="59"/>
      <c r="E780" s="59"/>
      <c r="R780" s="84"/>
      <c r="T780" s="59"/>
    </row>
    <row r="781" spans="1:20">
      <c r="A781" s="37">
        <f t="shared" si="52"/>
        <v>780</v>
      </c>
      <c r="B781" s="84"/>
      <c r="D781" s="59"/>
      <c r="E781" s="59"/>
      <c r="R781" s="84"/>
      <c r="T781" s="59"/>
    </row>
    <row r="782" spans="1:20">
      <c r="A782" s="37">
        <f t="shared" si="52"/>
        <v>781</v>
      </c>
      <c r="B782" s="84"/>
      <c r="D782" s="59"/>
      <c r="E782" s="59"/>
      <c r="R782" s="84"/>
      <c r="T782" s="59"/>
    </row>
    <row r="783" spans="1:20">
      <c r="A783" s="37">
        <f t="shared" si="52"/>
        <v>782</v>
      </c>
      <c r="B783" s="84"/>
      <c r="D783" s="59"/>
      <c r="E783" s="59"/>
      <c r="R783" s="84"/>
      <c r="T783" s="59"/>
    </row>
    <row r="784" spans="1:20">
      <c r="A784" s="37">
        <f t="shared" si="52"/>
        <v>783</v>
      </c>
      <c r="B784" s="84"/>
      <c r="D784" s="59"/>
      <c r="E784" s="59"/>
      <c r="R784" s="84"/>
      <c r="T784" s="59"/>
    </row>
    <row r="785" spans="1:20">
      <c r="A785" s="37">
        <f t="shared" si="52"/>
        <v>784</v>
      </c>
      <c r="B785" s="84"/>
      <c r="D785" s="59"/>
      <c r="E785" s="59"/>
      <c r="R785" s="84"/>
      <c r="T785" s="59"/>
    </row>
    <row r="786" spans="1:20">
      <c r="A786" s="37">
        <f t="shared" si="52"/>
        <v>785</v>
      </c>
      <c r="B786" s="84"/>
      <c r="D786" s="59"/>
      <c r="E786" s="59"/>
      <c r="R786" s="84"/>
      <c r="T786" s="59"/>
    </row>
    <row r="787" spans="1:20">
      <c r="A787" s="37">
        <f t="shared" si="52"/>
        <v>786</v>
      </c>
      <c r="B787" s="84"/>
      <c r="D787" s="59"/>
      <c r="E787" s="59"/>
      <c r="R787" s="84"/>
      <c r="T787" s="59"/>
    </row>
    <row r="788" spans="1:20">
      <c r="A788" s="37">
        <f t="shared" ref="A788:A804" si="53">ROW()-1</f>
        <v>787</v>
      </c>
      <c r="B788" s="84"/>
      <c r="D788" s="59"/>
      <c r="E788" s="59"/>
      <c r="R788" s="84"/>
      <c r="T788" s="59"/>
    </row>
    <row r="789" spans="1:20">
      <c r="A789" s="37">
        <f t="shared" si="53"/>
        <v>788</v>
      </c>
      <c r="B789" s="84"/>
      <c r="D789" s="59"/>
      <c r="E789" s="59"/>
      <c r="R789" s="84"/>
      <c r="T789" s="59"/>
    </row>
    <row r="790" spans="1:20">
      <c r="A790" s="37">
        <f t="shared" si="53"/>
        <v>789</v>
      </c>
      <c r="B790" s="84"/>
      <c r="D790" s="59"/>
      <c r="E790" s="59"/>
      <c r="R790" s="84"/>
      <c r="T790" s="59"/>
    </row>
    <row r="791" spans="1:20">
      <c r="A791" s="37">
        <f t="shared" si="53"/>
        <v>790</v>
      </c>
      <c r="B791" s="84"/>
      <c r="D791" s="59"/>
      <c r="E791" s="59"/>
      <c r="R791" s="84"/>
      <c r="T791" s="59"/>
    </row>
    <row r="792" spans="1:20">
      <c r="A792" s="37">
        <f t="shared" si="53"/>
        <v>791</v>
      </c>
      <c r="B792" s="84"/>
      <c r="D792" s="59"/>
      <c r="E792" s="59"/>
      <c r="R792" s="84"/>
      <c r="T792" s="59"/>
    </row>
    <row r="793" spans="1:20">
      <c r="A793" s="37">
        <f t="shared" si="53"/>
        <v>792</v>
      </c>
      <c r="B793" s="84"/>
      <c r="D793" s="59"/>
      <c r="E793" s="59"/>
      <c r="R793" s="84"/>
      <c r="T793" s="59"/>
    </row>
    <row r="794" spans="1:20">
      <c r="A794" s="37">
        <f t="shared" si="53"/>
        <v>793</v>
      </c>
      <c r="B794" s="84"/>
      <c r="D794" s="59"/>
      <c r="E794" s="59"/>
      <c r="R794" s="84"/>
      <c r="T794" s="59"/>
    </row>
    <row r="795" spans="1:20">
      <c r="A795" s="37">
        <f t="shared" si="53"/>
        <v>794</v>
      </c>
      <c r="B795" s="84"/>
      <c r="D795" s="59"/>
      <c r="E795" s="59"/>
      <c r="R795" s="84"/>
      <c r="T795" s="59"/>
    </row>
    <row r="796" spans="1:20">
      <c r="A796" s="37">
        <f t="shared" si="53"/>
        <v>795</v>
      </c>
      <c r="B796" s="84"/>
      <c r="D796" s="59"/>
      <c r="E796" s="59"/>
      <c r="R796" s="84"/>
      <c r="T796" s="59"/>
    </row>
    <row r="797" spans="1:20">
      <c r="A797" s="37">
        <f t="shared" si="53"/>
        <v>796</v>
      </c>
      <c r="B797" s="84"/>
      <c r="D797" s="59"/>
      <c r="E797" s="59"/>
      <c r="R797" s="84"/>
      <c r="T797" s="59"/>
    </row>
    <row r="798" spans="1:20">
      <c r="A798" s="37">
        <f t="shared" si="53"/>
        <v>797</v>
      </c>
      <c r="B798" s="84"/>
      <c r="D798" s="59"/>
      <c r="E798" s="59"/>
      <c r="R798" s="84"/>
      <c r="T798" s="59"/>
    </row>
    <row r="799" spans="1:20">
      <c r="A799" s="37">
        <f t="shared" si="53"/>
        <v>798</v>
      </c>
      <c r="B799" s="84"/>
      <c r="D799" s="59"/>
      <c r="E799" s="59"/>
      <c r="R799" s="84"/>
      <c r="T799" s="59"/>
    </row>
    <row r="800" spans="1:20">
      <c r="A800" s="37">
        <f t="shared" si="53"/>
        <v>799</v>
      </c>
      <c r="B800" s="84"/>
      <c r="D800" s="59"/>
      <c r="E800" s="59"/>
      <c r="R800" s="84"/>
      <c r="T800" s="59"/>
    </row>
    <row r="801" spans="1:20">
      <c r="A801" s="37">
        <f t="shared" si="53"/>
        <v>800</v>
      </c>
      <c r="B801" s="84"/>
      <c r="D801" s="59"/>
      <c r="E801" s="59"/>
      <c r="R801" s="84"/>
      <c r="T801" s="59"/>
    </row>
    <row r="802" spans="1:20">
      <c r="A802" s="37">
        <f t="shared" si="53"/>
        <v>801</v>
      </c>
      <c r="B802" s="84"/>
      <c r="D802" s="59"/>
      <c r="E802" s="59"/>
      <c r="R802" s="84"/>
      <c r="T802" s="59"/>
    </row>
    <row r="803" spans="1:20">
      <c r="A803" s="37">
        <f t="shared" si="53"/>
        <v>802</v>
      </c>
      <c r="B803" s="84"/>
      <c r="D803" s="59"/>
      <c r="E803" s="59"/>
      <c r="R803" s="84"/>
      <c r="T803" s="59"/>
    </row>
    <row r="804" spans="1:20">
      <c r="A804" s="37">
        <f t="shared" si="53"/>
        <v>803</v>
      </c>
      <c r="B804" s="84"/>
      <c r="D804" s="59"/>
      <c r="E804" s="59"/>
      <c r="R804" s="84"/>
      <c r="T804" s="59"/>
    </row>
    <row r="805" spans="1:20">
      <c r="A805" s="37">
        <f t="shared" ref="A805:A817" si="54">ROW()-1</f>
        <v>804</v>
      </c>
      <c r="B805" s="84"/>
      <c r="D805" s="59"/>
      <c r="E805" s="59"/>
      <c r="R805" s="84"/>
      <c r="T805" s="59"/>
    </row>
    <row r="806" spans="1:20">
      <c r="A806" s="37">
        <f t="shared" si="54"/>
        <v>805</v>
      </c>
      <c r="B806" s="84"/>
      <c r="D806" s="59"/>
      <c r="E806" s="59"/>
      <c r="R806" s="84"/>
      <c r="T806" s="59"/>
    </row>
    <row r="807" spans="1:20">
      <c r="A807" s="37">
        <f t="shared" si="54"/>
        <v>806</v>
      </c>
      <c r="B807" s="84"/>
      <c r="D807" s="59"/>
      <c r="E807" s="59"/>
      <c r="R807" s="84"/>
      <c r="T807" s="59"/>
    </row>
    <row r="808" spans="1:20">
      <c r="A808" s="37">
        <f t="shared" si="54"/>
        <v>807</v>
      </c>
      <c r="B808" s="84"/>
      <c r="D808" s="59"/>
      <c r="E808" s="59"/>
      <c r="R808" s="84"/>
      <c r="T808" s="59"/>
    </row>
    <row r="809" spans="1:20">
      <c r="A809" s="37">
        <f t="shared" si="54"/>
        <v>808</v>
      </c>
      <c r="B809" s="84"/>
      <c r="D809" s="59"/>
      <c r="E809" s="59"/>
      <c r="R809" s="84"/>
      <c r="T809" s="59"/>
    </row>
    <row r="810" spans="1:20">
      <c r="A810" s="37">
        <f t="shared" si="54"/>
        <v>809</v>
      </c>
      <c r="B810" s="84"/>
      <c r="D810" s="59"/>
      <c r="E810" s="59"/>
      <c r="R810" s="84"/>
      <c r="T810" s="59"/>
    </row>
    <row r="811" spans="1:20">
      <c r="A811" s="37">
        <f t="shared" si="54"/>
        <v>810</v>
      </c>
      <c r="B811" s="84"/>
      <c r="D811" s="59"/>
      <c r="E811" s="59"/>
      <c r="R811" s="84"/>
      <c r="T811" s="59"/>
    </row>
    <row r="812" spans="1:20">
      <c r="A812" s="37">
        <f t="shared" si="54"/>
        <v>811</v>
      </c>
      <c r="B812" s="84"/>
      <c r="D812" s="59"/>
      <c r="E812" s="59"/>
      <c r="R812" s="84"/>
      <c r="T812" s="59"/>
    </row>
    <row r="813" spans="1:20">
      <c r="A813" s="37">
        <f t="shared" si="54"/>
        <v>812</v>
      </c>
      <c r="B813" s="84"/>
      <c r="D813" s="59"/>
      <c r="E813" s="59"/>
      <c r="R813" s="84"/>
      <c r="T813" s="59"/>
    </row>
    <row r="814" spans="1:20">
      <c r="A814" s="37">
        <f t="shared" si="54"/>
        <v>813</v>
      </c>
      <c r="B814" s="84"/>
      <c r="D814" s="59"/>
      <c r="E814" s="59"/>
      <c r="R814" s="84"/>
      <c r="T814" s="59"/>
    </row>
    <row r="815" spans="1:20">
      <c r="A815" s="37">
        <f t="shared" si="54"/>
        <v>814</v>
      </c>
      <c r="B815" s="84"/>
      <c r="D815" s="59"/>
      <c r="E815" s="59"/>
      <c r="R815" s="84"/>
      <c r="T815" s="59"/>
    </row>
    <row r="816" spans="1:20">
      <c r="A816" s="37">
        <f t="shared" si="54"/>
        <v>815</v>
      </c>
      <c r="B816" s="84"/>
      <c r="D816" s="59"/>
      <c r="E816" s="59"/>
      <c r="R816" s="84"/>
      <c r="T816" s="59"/>
    </row>
    <row r="817" spans="1:20">
      <c r="A817" s="37">
        <f t="shared" si="54"/>
        <v>816</v>
      </c>
      <c r="B817" s="84"/>
      <c r="D817" s="59"/>
      <c r="E817" s="59"/>
      <c r="R817" s="84"/>
      <c r="T817" s="59"/>
    </row>
    <row r="818" spans="1:20">
      <c r="A818" s="37">
        <f t="shared" ref="A818:A831" si="55">ROW()-1</f>
        <v>817</v>
      </c>
      <c r="B818" s="84"/>
      <c r="D818" s="59"/>
      <c r="E818" s="59"/>
      <c r="R818" s="84"/>
      <c r="T818" s="59"/>
    </row>
    <row r="819" spans="1:20">
      <c r="A819" s="37">
        <f t="shared" si="55"/>
        <v>818</v>
      </c>
      <c r="B819" s="84"/>
      <c r="D819" s="59"/>
      <c r="E819" s="59"/>
      <c r="R819" s="84"/>
      <c r="T819" s="59"/>
    </row>
    <row r="820" spans="1:20">
      <c r="A820" s="37">
        <f t="shared" si="55"/>
        <v>819</v>
      </c>
      <c r="B820" s="84"/>
      <c r="D820" s="59"/>
      <c r="E820" s="59"/>
      <c r="R820" s="84"/>
      <c r="T820" s="59"/>
    </row>
    <row r="821" spans="1:20">
      <c r="A821" s="37">
        <f t="shared" si="55"/>
        <v>820</v>
      </c>
      <c r="B821" s="84"/>
      <c r="D821" s="59"/>
      <c r="E821" s="59"/>
      <c r="R821" s="84"/>
      <c r="T821" s="59"/>
    </row>
    <row r="822" spans="1:20">
      <c r="A822" s="37">
        <f t="shared" si="55"/>
        <v>821</v>
      </c>
      <c r="B822" s="84"/>
      <c r="D822" s="59"/>
      <c r="E822" s="59"/>
      <c r="R822" s="84"/>
      <c r="T822" s="59"/>
    </row>
    <row r="823" spans="1:20">
      <c r="A823" s="37">
        <f t="shared" si="55"/>
        <v>822</v>
      </c>
      <c r="B823" s="84"/>
      <c r="D823" s="59"/>
      <c r="E823" s="59"/>
      <c r="R823" s="84"/>
      <c r="T823" s="59"/>
    </row>
    <row r="824" spans="1:20">
      <c r="A824" s="37">
        <f t="shared" si="55"/>
        <v>823</v>
      </c>
      <c r="B824" s="84"/>
      <c r="D824" s="59"/>
      <c r="E824" s="59"/>
      <c r="R824" s="84"/>
      <c r="T824" s="59"/>
    </row>
    <row r="825" spans="1:20">
      <c r="A825" s="37">
        <f t="shared" si="55"/>
        <v>824</v>
      </c>
      <c r="B825" s="84"/>
      <c r="D825" s="59"/>
      <c r="E825" s="59"/>
      <c r="R825" s="84"/>
      <c r="T825" s="59"/>
    </row>
    <row r="826" spans="1:20">
      <c r="A826" s="37">
        <f t="shared" si="55"/>
        <v>825</v>
      </c>
      <c r="B826" s="84"/>
      <c r="D826" s="59"/>
      <c r="E826" s="59"/>
      <c r="R826" s="84"/>
      <c r="T826" s="59"/>
    </row>
    <row r="827" spans="1:20">
      <c r="A827" s="37">
        <f t="shared" si="55"/>
        <v>826</v>
      </c>
      <c r="B827" s="84"/>
      <c r="D827" s="59"/>
      <c r="E827" s="59"/>
      <c r="R827" s="84"/>
      <c r="T827" s="59"/>
    </row>
    <row r="828" spans="1:20">
      <c r="A828" s="37">
        <f t="shared" si="55"/>
        <v>827</v>
      </c>
      <c r="B828" s="84"/>
      <c r="D828" s="59"/>
      <c r="E828" s="59"/>
      <c r="R828" s="84"/>
      <c r="T828" s="59"/>
    </row>
    <row r="829" spans="1:20">
      <c r="A829" s="37">
        <f t="shared" si="55"/>
        <v>828</v>
      </c>
      <c r="B829" s="84"/>
      <c r="D829" s="59"/>
      <c r="E829" s="59"/>
      <c r="R829" s="84"/>
      <c r="T829" s="59"/>
    </row>
    <row r="830" spans="1:20">
      <c r="A830" s="37">
        <f t="shared" si="55"/>
        <v>829</v>
      </c>
      <c r="B830" s="84"/>
      <c r="D830" s="59"/>
      <c r="E830" s="59"/>
      <c r="R830" s="84"/>
      <c r="T830" s="59"/>
    </row>
    <row r="831" spans="1:20">
      <c r="A831" s="37">
        <f t="shared" si="55"/>
        <v>830</v>
      </c>
      <c r="B831" s="84"/>
      <c r="D831" s="59"/>
      <c r="E831" s="59"/>
      <c r="R831" s="84"/>
      <c r="T831" s="59"/>
    </row>
    <row r="832" spans="1:20">
      <c r="A832" s="37">
        <f t="shared" ref="A832:A854" si="56">ROW()-1</f>
        <v>831</v>
      </c>
      <c r="B832" s="84"/>
      <c r="D832" s="59"/>
      <c r="E832" s="59"/>
      <c r="R832" s="84"/>
      <c r="T832" s="59"/>
    </row>
    <row r="833" spans="1:20">
      <c r="A833" s="37">
        <f t="shared" si="56"/>
        <v>832</v>
      </c>
      <c r="B833" s="84"/>
      <c r="D833" s="59"/>
      <c r="E833" s="59"/>
      <c r="R833" s="84"/>
      <c r="T833" s="59"/>
    </row>
    <row r="834" spans="1:20">
      <c r="A834" s="37">
        <f t="shared" si="56"/>
        <v>833</v>
      </c>
      <c r="B834" s="84"/>
      <c r="D834" s="59"/>
      <c r="E834" s="59"/>
      <c r="R834" s="84"/>
      <c r="T834" s="59"/>
    </row>
    <row r="835" spans="1:20">
      <c r="A835" s="37">
        <f t="shared" si="56"/>
        <v>834</v>
      </c>
      <c r="B835" s="84"/>
      <c r="D835" s="59"/>
      <c r="E835" s="59"/>
      <c r="R835" s="84"/>
      <c r="T835" s="59"/>
    </row>
    <row r="836" spans="1:20">
      <c r="A836" s="37">
        <f t="shared" si="56"/>
        <v>835</v>
      </c>
      <c r="B836" s="84"/>
      <c r="D836" s="59"/>
      <c r="E836" s="59"/>
      <c r="R836" s="84"/>
      <c r="T836" s="59"/>
    </row>
    <row r="837" spans="1:20">
      <c r="A837" s="37">
        <f t="shared" si="56"/>
        <v>836</v>
      </c>
      <c r="B837" s="84"/>
      <c r="D837" s="59"/>
      <c r="E837" s="59"/>
      <c r="R837" s="84"/>
      <c r="T837" s="59"/>
    </row>
    <row r="838" spans="1:20">
      <c r="A838" s="37">
        <f t="shared" si="56"/>
        <v>837</v>
      </c>
      <c r="B838" s="84"/>
      <c r="D838" s="59"/>
      <c r="E838" s="59"/>
      <c r="R838" s="84"/>
      <c r="T838" s="59"/>
    </row>
    <row r="839" spans="1:20">
      <c r="A839" s="37">
        <f t="shared" si="56"/>
        <v>838</v>
      </c>
      <c r="B839" s="84"/>
      <c r="D839" s="59"/>
      <c r="E839" s="59"/>
      <c r="R839" s="84"/>
      <c r="T839" s="59"/>
    </row>
    <row r="840" spans="1:20">
      <c r="A840" s="37">
        <f t="shared" si="56"/>
        <v>839</v>
      </c>
      <c r="B840" s="84"/>
      <c r="D840" s="59"/>
      <c r="E840" s="59"/>
      <c r="R840" s="84"/>
      <c r="T840" s="59"/>
    </row>
    <row r="841" spans="1:20">
      <c r="A841" s="37">
        <f t="shared" si="56"/>
        <v>840</v>
      </c>
      <c r="B841" s="84"/>
      <c r="D841" s="59"/>
      <c r="E841" s="59"/>
      <c r="R841" s="84"/>
      <c r="T841" s="59"/>
    </row>
    <row r="842" spans="1:20">
      <c r="A842" s="37">
        <f t="shared" si="56"/>
        <v>841</v>
      </c>
      <c r="B842" s="84"/>
      <c r="D842" s="59"/>
      <c r="E842" s="59"/>
      <c r="R842" s="84"/>
      <c r="T842" s="59"/>
    </row>
    <row r="843" spans="1:20">
      <c r="A843" s="37">
        <f t="shared" si="56"/>
        <v>842</v>
      </c>
      <c r="B843" s="84"/>
      <c r="D843" s="59"/>
      <c r="E843" s="59"/>
      <c r="R843" s="84"/>
      <c r="T843" s="59"/>
    </row>
    <row r="844" spans="1:20">
      <c r="A844" s="37">
        <f t="shared" si="56"/>
        <v>843</v>
      </c>
      <c r="B844" s="84"/>
      <c r="D844" s="59"/>
      <c r="E844" s="59"/>
      <c r="R844" s="84"/>
      <c r="T844" s="59"/>
    </row>
    <row r="845" spans="1:20">
      <c r="A845" s="37">
        <f t="shared" si="56"/>
        <v>844</v>
      </c>
      <c r="B845" s="84"/>
      <c r="D845" s="59"/>
      <c r="E845" s="59"/>
      <c r="R845" s="84"/>
      <c r="T845" s="59"/>
    </row>
    <row r="846" spans="1:20">
      <c r="A846" s="37">
        <f t="shared" si="56"/>
        <v>845</v>
      </c>
      <c r="B846" s="84"/>
      <c r="D846" s="59"/>
      <c r="E846" s="59"/>
      <c r="R846" s="84"/>
      <c r="T846" s="59"/>
    </row>
    <row r="847" spans="1:20">
      <c r="A847" s="37">
        <f t="shared" si="56"/>
        <v>846</v>
      </c>
      <c r="B847" s="84"/>
      <c r="D847" s="59"/>
      <c r="E847" s="59"/>
      <c r="R847" s="84"/>
      <c r="T847" s="59"/>
    </row>
    <row r="848" spans="1:20">
      <c r="A848" s="37">
        <f t="shared" si="56"/>
        <v>847</v>
      </c>
      <c r="B848" s="84"/>
      <c r="D848" s="59"/>
      <c r="E848" s="59"/>
      <c r="R848" s="84"/>
      <c r="T848" s="59"/>
    </row>
    <row r="849" spans="1:20">
      <c r="A849" s="37">
        <f t="shared" si="56"/>
        <v>848</v>
      </c>
      <c r="B849" s="84"/>
      <c r="D849" s="59"/>
      <c r="E849" s="59"/>
      <c r="R849" s="84"/>
      <c r="T849" s="59"/>
    </row>
    <row r="850" spans="1:20">
      <c r="A850" s="37">
        <f t="shared" si="56"/>
        <v>849</v>
      </c>
      <c r="B850" s="84"/>
      <c r="D850" s="59"/>
      <c r="E850" s="59"/>
      <c r="R850" s="84"/>
      <c r="T850" s="59"/>
    </row>
    <row r="851" spans="1:20">
      <c r="A851" s="37">
        <f t="shared" si="56"/>
        <v>850</v>
      </c>
      <c r="B851" s="84"/>
      <c r="D851" s="59"/>
      <c r="E851" s="59"/>
      <c r="R851" s="84"/>
      <c r="T851" s="59"/>
    </row>
    <row r="852" spans="1:20">
      <c r="A852" s="37">
        <f t="shared" si="56"/>
        <v>851</v>
      </c>
      <c r="B852" s="84"/>
      <c r="D852" s="59"/>
      <c r="E852" s="59"/>
      <c r="R852" s="84"/>
      <c r="T852" s="59"/>
    </row>
    <row r="853" spans="1:20">
      <c r="A853" s="37">
        <f t="shared" si="56"/>
        <v>852</v>
      </c>
      <c r="B853" s="84"/>
      <c r="D853" s="59"/>
      <c r="E853" s="59"/>
      <c r="R853" s="84"/>
      <c r="T853" s="59"/>
    </row>
    <row r="854" spans="1:20">
      <c r="A854" s="37">
        <f t="shared" si="56"/>
        <v>853</v>
      </c>
      <c r="B854" s="84"/>
      <c r="D854" s="59"/>
      <c r="E854" s="59"/>
      <c r="R854" s="84"/>
      <c r="T854" s="59"/>
    </row>
    <row r="855" spans="1:20">
      <c r="A855" s="37">
        <f t="shared" ref="A855:A901" si="57">ROW()-1</f>
        <v>854</v>
      </c>
      <c r="B855" s="84"/>
      <c r="D855" s="59"/>
      <c r="E855" s="59"/>
      <c r="R855" s="84"/>
      <c r="T855" s="59"/>
    </row>
    <row r="856" spans="1:20">
      <c r="A856" s="37">
        <f t="shared" si="57"/>
        <v>855</v>
      </c>
      <c r="B856" s="84"/>
      <c r="D856" s="59"/>
      <c r="E856" s="59"/>
      <c r="R856" s="84"/>
      <c r="T856" s="59"/>
    </row>
    <row r="857" spans="1:20">
      <c r="A857" s="37">
        <f t="shared" si="57"/>
        <v>856</v>
      </c>
      <c r="B857" s="84"/>
      <c r="D857" s="59"/>
      <c r="E857" s="59"/>
      <c r="R857" s="84"/>
      <c r="T857" s="59"/>
    </row>
    <row r="858" spans="1:20">
      <c r="A858" s="37">
        <f t="shared" si="57"/>
        <v>857</v>
      </c>
      <c r="B858" s="84"/>
      <c r="D858" s="59"/>
      <c r="E858" s="59"/>
      <c r="R858" s="84"/>
      <c r="T858" s="59"/>
    </row>
    <row r="859" spans="1:20">
      <c r="A859" s="37">
        <f t="shared" si="57"/>
        <v>858</v>
      </c>
      <c r="B859" s="84"/>
      <c r="D859" s="59"/>
      <c r="E859" s="59"/>
      <c r="R859" s="84"/>
      <c r="T859" s="59"/>
    </row>
    <row r="860" spans="1:20">
      <c r="A860" s="37">
        <f t="shared" si="57"/>
        <v>859</v>
      </c>
      <c r="B860" s="84"/>
      <c r="D860" s="59"/>
      <c r="E860" s="59"/>
      <c r="R860" s="84"/>
      <c r="T860" s="59"/>
    </row>
    <row r="861" spans="1:20">
      <c r="A861" s="37">
        <f t="shared" si="57"/>
        <v>860</v>
      </c>
      <c r="B861" s="84"/>
      <c r="D861" s="59"/>
      <c r="E861" s="59"/>
      <c r="R861" s="84"/>
      <c r="T861" s="59"/>
    </row>
    <row r="862" spans="1:20">
      <c r="A862" s="37">
        <f t="shared" si="57"/>
        <v>861</v>
      </c>
      <c r="B862" s="84"/>
      <c r="D862" s="59"/>
      <c r="E862" s="59"/>
      <c r="R862" s="84"/>
      <c r="T862" s="59"/>
    </row>
    <row r="863" spans="1:20">
      <c r="A863" s="37">
        <f t="shared" si="57"/>
        <v>862</v>
      </c>
      <c r="B863" s="84"/>
      <c r="D863" s="59"/>
      <c r="E863" s="59"/>
      <c r="R863" s="84"/>
      <c r="T863" s="59"/>
    </row>
    <row r="864" spans="1:20">
      <c r="A864" s="37">
        <f t="shared" si="57"/>
        <v>863</v>
      </c>
      <c r="B864" s="84"/>
      <c r="D864" s="59"/>
      <c r="E864" s="59"/>
      <c r="R864" s="84"/>
      <c r="T864" s="59"/>
    </row>
    <row r="865" spans="1:20">
      <c r="A865" s="37">
        <f t="shared" si="57"/>
        <v>864</v>
      </c>
      <c r="B865" s="84"/>
      <c r="D865" s="59"/>
      <c r="E865" s="59"/>
      <c r="R865" s="84"/>
      <c r="T865" s="59"/>
    </row>
    <row r="866" spans="1:20">
      <c r="A866" s="37">
        <f t="shared" si="57"/>
        <v>865</v>
      </c>
      <c r="B866" s="84"/>
      <c r="D866" s="59"/>
      <c r="E866" s="59"/>
      <c r="R866" s="84"/>
      <c r="T866" s="59"/>
    </row>
    <row r="867" spans="1:20">
      <c r="A867" s="37">
        <f t="shared" si="57"/>
        <v>866</v>
      </c>
      <c r="B867" s="84"/>
      <c r="D867" s="59"/>
      <c r="E867" s="59"/>
      <c r="R867" s="84"/>
      <c r="T867" s="59"/>
    </row>
    <row r="868" spans="1:20">
      <c r="A868" s="37">
        <f t="shared" si="57"/>
        <v>867</v>
      </c>
      <c r="B868" s="84"/>
      <c r="D868" s="59"/>
      <c r="E868" s="59"/>
      <c r="R868" s="84"/>
      <c r="T868" s="59"/>
    </row>
    <row r="869" spans="1:20">
      <c r="A869" s="37">
        <f t="shared" si="57"/>
        <v>868</v>
      </c>
      <c r="B869" s="84"/>
      <c r="D869" s="59"/>
      <c r="E869" s="59"/>
      <c r="R869" s="84"/>
      <c r="T869" s="59"/>
    </row>
    <row r="870" spans="1:20">
      <c r="A870" s="37">
        <f t="shared" si="57"/>
        <v>869</v>
      </c>
      <c r="B870" s="84"/>
      <c r="D870" s="59"/>
      <c r="E870" s="59"/>
      <c r="R870" s="84"/>
      <c r="T870" s="59"/>
    </row>
    <row r="871" spans="1:20">
      <c r="A871" s="37">
        <f t="shared" si="57"/>
        <v>870</v>
      </c>
      <c r="B871" s="84"/>
      <c r="D871" s="59"/>
      <c r="E871" s="59"/>
      <c r="R871" s="84"/>
      <c r="T871" s="59"/>
    </row>
    <row r="872" spans="1:20">
      <c r="A872" s="37">
        <f t="shared" si="57"/>
        <v>871</v>
      </c>
      <c r="B872" s="84"/>
      <c r="D872" s="59"/>
      <c r="E872" s="59"/>
      <c r="R872" s="84"/>
      <c r="T872" s="59"/>
    </row>
    <row r="873" spans="1:20">
      <c r="A873" s="37">
        <f t="shared" si="57"/>
        <v>872</v>
      </c>
      <c r="B873" s="84"/>
      <c r="D873" s="59"/>
      <c r="E873" s="59"/>
      <c r="R873" s="84"/>
      <c r="T873" s="59"/>
    </row>
    <row r="874" spans="1:20">
      <c r="A874" s="37">
        <f t="shared" si="57"/>
        <v>873</v>
      </c>
      <c r="B874" s="84"/>
      <c r="D874" s="59"/>
      <c r="E874" s="59"/>
      <c r="R874" s="84"/>
      <c r="T874" s="59"/>
    </row>
    <row r="875" spans="1:20">
      <c r="A875" s="37">
        <f t="shared" si="57"/>
        <v>874</v>
      </c>
      <c r="B875" s="84"/>
      <c r="D875" s="59"/>
      <c r="E875" s="59"/>
      <c r="R875" s="84"/>
      <c r="T875" s="59"/>
    </row>
    <row r="876" spans="1:20">
      <c r="A876" s="37">
        <f t="shared" si="57"/>
        <v>875</v>
      </c>
      <c r="B876" s="84"/>
      <c r="D876" s="59"/>
      <c r="E876" s="59"/>
      <c r="R876" s="84"/>
      <c r="T876" s="59"/>
    </row>
    <row r="877" spans="1:20">
      <c r="A877" s="37">
        <f t="shared" si="57"/>
        <v>876</v>
      </c>
      <c r="B877" s="84"/>
      <c r="D877" s="59"/>
      <c r="E877" s="59"/>
      <c r="R877" s="84"/>
      <c r="T877" s="59"/>
    </row>
    <row r="878" spans="1:20">
      <c r="A878" s="37">
        <f t="shared" si="57"/>
        <v>877</v>
      </c>
      <c r="B878" s="84"/>
      <c r="D878" s="59"/>
      <c r="E878" s="59"/>
      <c r="R878" s="84"/>
      <c r="T878" s="59"/>
    </row>
    <row r="879" spans="1:20">
      <c r="A879" s="37">
        <f t="shared" si="57"/>
        <v>878</v>
      </c>
      <c r="B879" s="84"/>
      <c r="D879" s="59"/>
      <c r="E879" s="59"/>
      <c r="R879" s="84"/>
      <c r="T879" s="59"/>
    </row>
    <row r="880" spans="1:20">
      <c r="A880" s="37">
        <f t="shared" si="57"/>
        <v>879</v>
      </c>
      <c r="B880" s="84"/>
      <c r="D880" s="59"/>
      <c r="E880" s="59"/>
      <c r="R880" s="84"/>
      <c r="T880" s="59"/>
    </row>
    <row r="881" spans="1:20">
      <c r="A881" s="37">
        <f t="shared" si="57"/>
        <v>880</v>
      </c>
      <c r="B881" s="84"/>
      <c r="D881" s="59"/>
      <c r="E881" s="59"/>
      <c r="R881" s="84"/>
      <c r="T881" s="59"/>
    </row>
    <row r="882" spans="1:20">
      <c r="A882" s="37">
        <f t="shared" si="57"/>
        <v>881</v>
      </c>
      <c r="B882" s="84"/>
      <c r="D882" s="59"/>
      <c r="E882" s="59"/>
      <c r="R882" s="84"/>
      <c r="T882" s="59"/>
    </row>
    <row r="883" spans="1:20">
      <c r="A883" s="37">
        <f t="shared" si="57"/>
        <v>882</v>
      </c>
      <c r="B883" s="84"/>
      <c r="D883" s="59"/>
      <c r="E883" s="59"/>
      <c r="R883" s="84"/>
      <c r="T883" s="59"/>
    </row>
    <row r="884" spans="1:20">
      <c r="A884" s="37">
        <f t="shared" si="57"/>
        <v>883</v>
      </c>
      <c r="B884" s="84"/>
      <c r="D884" s="59"/>
      <c r="E884" s="59"/>
      <c r="R884" s="84"/>
      <c r="T884" s="59"/>
    </row>
    <row r="885" spans="1:20">
      <c r="A885" s="37">
        <f t="shared" si="57"/>
        <v>884</v>
      </c>
      <c r="B885" s="84"/>
      <c r="D885" s="59"/>
      <c r="E885" s="59"/>
      <c r="R885" s="84"/>
      <c r="T885" s="59"/>
    </row>
    <row r="886" spans="1:20">
      <c r="A886" s="37">
        <f t="shared" si="57"/>
        <v>885</v>
      </c>
      <c r="B886" s="84"/>
      <c r="D886" s="59"/>
      <c r="E886" s="59"/>
      <c r="R886" s="84"/>
      <c r="T886" s="59"/>
    </row>
    <row r="887" spans="1:20">
      <c r="A887" s="37">
        <f t="shared" si="57"/>
        <v>886</v>
      </c>
      <c r="B887" s="84"/>
      <c r="D887" s="59"/>
      <c r="E887" s="59"/>
      <c r="R887" s="84"/>
      <c r="T887" s="59"/>
    </row>
    <row r="888" spans="1:20">
      <c r="A888" s="37">
        <f t="shared" si="57"/>
        <v>887</v>
      </c>
      <c r="B888" s="84"/>
      <c r="D888" s="59"/>
      <c r="E888" s="59"/>
      <c r="R888" s="84"/>
      <c r="T888" s="59"/>
    </row>
    <row r="889" spans="1:20">
      <c r="A889" s="37">
        <f t="shared" si="57"/>
        <v>888</v>
      </c>
      <c r="B889" s="84"/>
      <c r="D889" s="59"/>
      <c r="E889" s="59"/>
      <c r="R889" s="84"/>
      <c r="T889" s="59"/>
    </row>
    <row r="890" spans="1:20">
      <c r="A890" s="37">
        <f t="shared" si="57"/>
        <v>889</v>
      </c>
      <c r="B890" s="84"/>
      <c r="D890" s="59"/>
      <c r="E890" s="59"/>
      <c r="R890" s="84"/>
      <c r="T890" s="59"/>
    </row>
    <row r="891" spans="1:20">
      <c r="A891" s="37">
        <f t="shared" si="57"/>
        <v>890</v>
      </c>
      <c r="B891" s="84"/>
      <c r="D891" s="59"/>
      <c r="E891" s="59"/>
      <c r="R891" s="84"/>
      <c r="T891" s="59"/>
    </row>
    <row r="892" spans="1:20">
      <c r="A892" s="37">
        <f t="shared" si="57"/>
        <v>891</v>
      </c>
      <c r="B892" s="84"/>
      <c r="D892" s="59"/>
      <c r="E892" s="59"/>
      <c r="R892" s="84"/>
      <c r="T892" s="59"/>
    </row>
    <row r="893" spans="1:20">
      <c r="A893" s="37">
        <f t="shared" si="57"/>
        <v>892</v>
      </c>
      <c r="B893" s="84"/>
      <c r="D893" s="59"/>
      <c r="E893" s="59"/>
      <c r="R893" s="84"/>
      <c r="T893" s="59"/>
    </row>
    <row r="894" spans="1:20">
      <c r="A894" s="37">
        <f t="shared" si="57"/>
        <v>893</v>
      </c>
      <c r="B894" s="84"/>
      <c r="D894" s="59"/>
      <c r="E894" s="59"/>
      <c r="R894" s="84"/>
      <c r="T894" s="59"/>
    </row>
    <row r="895" spans="1:20">
      <c r="A895" s="37">
        <f t="shared" si="57"/>
        <v>894</v>
      </c>
      <c r="B895" s="84"/>
      <c r="D895" s="59"/>
      <c r="E895" s="59"/>
      <c r="R895" s="84"/>
      <c r="T895" s="59"/>
    </row>
    <row r="896" spans="1:20">
      <c r="A896" s="37">
        <f t="shared" si="57"/>
        <v>895</v>
      </c>
      <c r="B896" s="84"/>
      <c r="D896" s="59"/>
      <c r="E896" s="59"/>
      <c r="R896" s="84"/>
      <c r="T896" s="59"/>
    </row>
    <row r="897" spans="1:20">
      <c r="A897" s="37">
        <f t="shared" si="57"/>
        <v>896</v>
      </c>
      <c r="B897" s="84"/>
      <c r="D897" s="59"/>
      <c r="E897" s="59"/>
      <c r="R897" s="84"/>
      <c r="T897" s="59"/>
    </row>
    <row r="898" spans="1:20">
      <c r="A898" s="37">
        <f t="shared" si="57"/>
        <v>897</v>
      </c>
      <c r="B898" s="84"/>
      <c r="D898" s="59"/>
      <c r="E898" s="59"/>
      <c r="R898" s="84"/>
      <c r="T898" s="59"/>
    </row>
    <row r="899" spans="1:20">
      <c r="A899" s="37">
        <f t="shared" si="57"/>
        <v>898</v>
      </c>
      <c r="B899" s="84"/>
      <c r="D899" s="59"/>
      <c r="E899" s="59"/>
      <c r="R899" s="84"/>
      <c r="T899" s="59"/>
    </row>
    <row r="900" spans="1:20">
      <c r="A900" s="37">
        <f t="shared" si="57"/>
        <v>899</v>
      </c>
      <c r="B900" s="84"/>
      <c r="D900" s="59"/>
      <c r="E900" s="59"/>
      <c r="R900" s="84"/>
      <c r="T900" s="59"/>
    </row>
    <row r="901" spans="1:20">
      <c r="A901" s="37">
        <f t="shared" si="57"/>
        <v>900</v>
      </c>
      <c r="B901" s="84"/>
      <c r="D901" s="59"/>
      <c r="E901" s="59"/>
      <c r="R901" s="84"/>
      <c r="T901" s="59"/>
    </row>
    <row r="902" spans="1:20">
      <c r="A902" s="37">
        <f t="shared" ref="A902:A927" si="58">ROW()-1</f>
        <v>901</v>
      </c>
      <c r="B902" s="84"/>
      <c r="D902" s="59"/>
      <c r="E902" s="59"/>
      <c r="R902" s="84"/>
      <c r="T902" s="59"/>
    </row>
    <row r="903" spans="1:20">
      <c r="A903" s="37">
        <f t="shared" si="58"/>
        <v>902</v>
      </c>
      <c r="B903" s="84"/>
      <c r="D903" s="59"/>
      <c r="E903" s="59"/>
      <c r="R903" s="84"/>
      <c r="T903" s="59"/>
    </row>
    <row r="904" spans="1:20">
      <c r="A904" s="37">
        <f t="shared" si="58"/>
        <v>903</v>
      </c>
      <c r="B904" s="84"/>
      <c r="D904" s="59"/>
      <c r="E904" s="59"/>
      <c r="R904" s="84"/>
      <c r="T904" s="59"/>
    </row>
    <row r="905" spans="1:20">
      <c r="A905" s="37">
        <f t="shared" si="58"/>
        <v>904</v>
      </c>
      <c r="B905" s="84"/>
      <c r="D905" s="59"/>
      <c r="E905" s="59"/>
      <c r="R905" s="84"/>
      <c r="T905" s="59"/>
    </row>
    <row r="906" spans="1:20">
      <c r="A906" s="37">
        <f t="shared" si="58"/>
        <v>905</v>
      </c>
      <c r="B906" s="84"/>
      <c r="D906" s="59"/>
      <c r="E906" s="59"/>
      <c r="R906" s="84"/>
      <c r="T906" s="59"/>
    </row>
    <row r="907" spans="1:20">
      <c r="A907" s="37">
        <f t="shared" si="58"/>
        <v>906</v>
      </c>
      <c r="B907" s="84"/>
      <c r="D907" s="59"/>
      <c r="E907" s="59"/>
      <c r="R907" s="84"/>
      <c r="T907" s="59"/>
    </row>
    <row r="908" spans="1:20">
      <c r="A908" s="37">
        <f t="shared" si="58"/>
        <v>907</v>
      </c>
      <c r="B908" s="84"/>
      <c r="D908" s="59"/>
      <c r="E908" s="59"/>
      <c r="R908" s="84"/>
      <c r="T908" s="59"/>
    </row>
    <row r="909" spans="1:20">
      <c r="A909" s="37">
        <f t="shared" si="58"/>
        <v>908</v>
      </c>
      <c r="B909" s="84"/>
      <c r="D909" s="59"/>
      <c r="E909" s="59"/>
      <c r="R909" s="84"/>
      <c r="T909" s="59"/>
    </row>
    <row r="910" spans="1:20">
      <c r="A910" s="37">
        <f t="shared" si="58"/>
        <v>909</v>
      </c>
      <c r="B910" s="84"/>
      <c r="D910" s="59"/>
      <c r="E910" s="59"/>
      <c r="R910" s="84"/>
      <c r="T910" s="59"/>
    </row>
    <row r="911" spans="1:20">
      <c r="A911" s="37">
        <f t="shared" si="58"/>
        <v>910</v>
      </c>
      <c r="B911" s="84"/>
      <c r="D911" s="59"/>
      <c r="E911" s="59"/>
      <c r="R911" s="84"/>
      <c r="T911" s="59"/>
    </row>
    <row r="912" spans="1:20">
      <c r="A912" s="37">
        <f t="shared" si="58"/>
        <v>911</v>
      </c>
      <c r="B912" s="84"/>
      <c r="D912" s="59"/>
      <c r="E912" s="59"/>
      <c r="R912" s="84"/>
      <c r="T912" s="59"/>
    </row>
    <row r="913" spans="1:20">
      <c r="A913" s="37">
        <f t="shared" si="58"/>
        <v>912</v>
      </c>
      <c r="B913" s="84"/>
      <c r="D913" s="59"/>
      <c r="E913" s="59"/>
      <c r="R913" s="84"/>
      <c r="T913" s="59"/>
    </row>
    <row r="914" spans="1:20">
      <c r="A914" s="37">
        <f t="shared" si="58"/>
        <v>913</v>
      </c>
      <c r="B914" s="84"/>
      <c r="D914" s="59"/>
      <c r="E914" s="59"/>
      <c r="R914" s="84"/>
      <c r="T914" s="59"/>
    </row>
    <row r="915" spans="1:20">
      <c r="A915" s="37">
        <f t="shared" si="58"/>
        <v>914</v>
      </c>
      <c r="B915" s="84"/>
      <c r="D915" s="59"/>
      <c r="E915" s="59"/>
      <c r="R915" s="84"/>
      <c r="T915" s="59"/>
    </row>
    <row r="916" spans="1:20">
      <c r="A916" s="37">
        <f t="shared" si="58"/>
        <v>915</v>
      </c>
      <c r="B916" s="84"/>
      <c r="D916" s="59"/>
      <c r="E916" s="59"/>
      <c r="R916" s="84"/>
      <c r="T916" s="59"/>
    </row>
    <row r="917" spans="1:20">
      <c r="A917" s="37">
        <f t="shared" si="58"/>
        <v>916</v>
      </c>
      <c r="B917" s="84"/>
      <c r="D917" s="59"/>
      <c r="E917" s="59"/>
      <c r="R917" s="84"/>
      <c r="T917" s="59"/>
    </row>
    <row r="918" spans="1:20">
      <c r="A918" s="37">
        <f t="shared" si="58"/>
        <v>917</v>
      </c>
      <c r="B918" s="84"/>
      <c r="D918" s="59"/>
      <c r="E918" s="59"/>
      <c r="R918" s="84"/>
      <c r="T918" s="59"/>
    </row>
    <row r="919" spans="1:20">
      <c r="A919" s="37">
        <f t="shared" si="58"/>
        <v>918</v>
      </c>
      <c r="B919" s="84"/>
      <c r="D919" s="59"/>
      <c r="E919" s="59"/>
      <c r="R919" s="84"/>
      <c r="T919" s="59"/>
    </row>
    <row r="920" spans="1:20">
      <c r="A920" s="37">
        <f t="shared" si="58"/>
        <v>919</v>
      </c>
      <c r="B920" s="84"/>
      <c r="D920" s="59"/>
      <c r="E920" s="59"/>
      <c r="R920" s="84"/>
      <c r="T920" s="59"/>
    </row>
    <row r="921" spans="1:20">
      <c r="A921" s="37">
        <f t="shared" si="58"/>
        <v>920</v>
      </c>
      <c r="B921" s="84"/>
      <c r="D921" s="59"/>
      <c r="E921" s="59"/>
      <c r="R921" s="84"/>
      <c r="T921" s="59"/>
    </row>
    <row r="922" spans="1:20">
      <c r="A922" s="37">
        <f t="shared" si="58"/>
        <v>921</v>
      </c>
      <c r="B922" s="84"/>
      <c r="D922" s="59"/>
      <c r="E922" s="59"/>
      <c r="R922" s="84"/>
      <c r="T922" s="59"/>
    </row>
    <row r="923" spans="1:20">
      <c r="A923" s="37">
        <f t="shared" si="58"/>
        <v>922</v>
      </c>
      <c r="B923" s="84"/>
      <c r="D923" s="59"/>
      <c r="E923" s="59"/>
      <c r="R923" s="84"/>
      <c r="T923" s="59"/>
    </row>
    <row r="924" spans="1:20">
      <c r="A924" s="37">
        <f t="shared" si="58"/>
        <v>923</v>
      </c>
      <c r="B924" s="84"/>
      <c r="D924" s="59"/>
      <c r="E924" s="59"/>
      <c r="R924" s="84"/>
      <c r="T924" s="59"/>
    </row>
    <row r="925" spans="1:20">
      <c r="A925" s="37">
        <f t="shared" si="58"/>
        <v>924</v>
      </c>
      <c r="B925" s="84"/>
      <c r="D925" s="59"/>
      <c r="E925" s="59"/>
      <c r="R925" s="84"/>
      <c r="T925" s="59"/>
    </row>
    <row r="926" spans="1:20">
      <c r="A926" s="37">
        <f t="shared" si="58"/>
        <v>925</v>
      </c>
      <c r="B926" s="84"/>
      <c r="D926" s="59"/>
      <c r="E926" s="59"/>
      <c r="R926" s="84"/>
      <c r="T926" s="59"/>
    </row>
    <row r="927" spans="1:20">
      <c r="A927" s="37">
        <f t="shared" si="58"/>
        <v>926</v>
      </c>
      <c r="B927" s="84"/>
      <c r="D927" s="59"/>
      <c r="E927" s="59"/>
      <c r="R927" s="84"/>
      <c r="T927" s="59"/>
    </row>
    <row r="928" spans="1:20">
      <c r="A928" s="37">
        <f t="shared" ref="A928:A939" si="59">ROW()-1</f>
        <v>927</v>
      </c>
      <c r="B928" s="84"/>
      <c r="D928" s="59"/>
      <c r="E928" s="59"/>
      <c r="R928" s="84"/>
      <c r="T928" s="59"/>
    </row>
    <row r="929" spans="1:20">
      <c r="A929" s="37">
        <f t="shared" si="59"/>
        <v>928</v>
      </c>
      <c r="B929" s="84"/>
      <c r="D929" s="59"/>
      <c r="E929" s="59"/>
      <c r="R929" s="84"/>
      <c r="T929" s="59"/>
    </row>
    <row r="930" spans="1:20">
      <c r="A930" s="37">
        <f t="shared" si="59"/>
        <v>929</v>
      </c>
      <c r="B930" s="84"/>
      <c r="D930" s="59"/>
      <c r="E930" s="59"/>
      <c r="R930" s="84"/>
      <c r="T930" s="59"/>
    </row>
    <row r="931" spans="1:20">
      <c r="A931" s="37">
        <f t="shared" si="59"/>
        <v>930</v>
      </c>
      <c r="B931" s="84"/>
      <c r="D931" s="59"/>
      <c r="E931" s="59"/>
      <c r="R931" s="84"/>
      <c r="T931" s="59"/>
    </row>
    <row r="932" spans="1:20">
      <c r="A932" s="37">
        <f t="shared" si="59"/>
        <v>931</v>
      </c>
      <c r="B932" s="84"/>
      <c r="D932" s="59"/>
      <c r="E932" s="59"/>
      <c r="R932" s="84"/>
      <c r="T932" s="59"/>
    </row>
    <row r="933" spans="1:20">
      <c r="A933" s="37">
        <f t="shared" si="59"/>
        <v>932</v>
      </c>
      <c r="B933" s="84"/>
      <c r="D933" s="59"/>
      <c r="E933" s="59"/>
      <c r="R933" s="84"/>
      <c r="T933" s="59"/>
    </row>
    <row r="934" spans="1:20">
      <c r="A934" s="37">
        <f t="shared" si="59"/>
        <v>933</v>
      </c>
      <c r="B934" s="84"/>
      <c r="D934" s="59"/>
      <c r="E934" s="59"/>
      <c r="R934" s="84"/>
      <c r="T934" s="59"/>
    </row>
    <row r="935" spans="1:20">
      <c r="A935" s="37">
        <f t="shared" si="59"/>
        <v>934</v>
      </c>
      <c r="B935" s="84"/>
      <c r="D935" s="59"/>
      <c r="E935" s="59"/>
      <c r="R935" s="84"/>
      <c r="T935" s="59"/>
    </row>
    <row r="936" spans="1:20">
      <c r="A936" s="37">
        <f t="shared" si="59"/>
        <v>935</v>
      </c>
      <c r="B936" s="84"/>
      <c r="D936" s="59"/>
      <c r="E936" s="59"/>
      <c r="R936" s="84"/>
      <c r="T936" s="59"/>
    </row>
    <row r="937" spans="1:20">
      <c r="A937" s="37">
        <f t="shared" si="59"/>
        <v>936</v>
      </c>
      <c r="B937" s="84"/>
      <c r="D937" s="59"/>
      <c r="E937" s="59"/>
      <c r="R937" s="84"/>
      <c r="T937" s="59"/>
    </row>
    <row r="938" spans="1:20">
      <c r="A938" s="37">
        <f t="shared" si="59"/>
        <v>937</v>
      </c>
      <c r="B938" s="84"/>
      <c r="D938" s="59"/>
      <c r="E938" s="59"/>
      <c r="R938" s="84"/>
      <c r="T938" s="59"/>
    </row>
    <row r="939" spans="1:20">
      <c r="A939" s="37">
        <f t="shared" si="59"/>
        <v>938</v>
      </c>
      <c r="B939" s="84"/>
      <c r="D939" s="59"/>
      <c r="E939" s="59"/>
      <c r="R939" s="84"/>
      <c r="T939" s="59"/>
    </row>
    <row r="940" spans="1:20">
      <c r="A940" s="37">
        <f t="shared" ref="A940:A955" si="60">ROW()-1</f>
        <v>939</v>
      </c>
      <c r="B940" s="84"/>
      <c r="D940" s="59"/>
      <c r="E940" s="59"/>
      <c r="R940" s="84"/>
      <c r="T940" s="59"/>
    </row>
    <row r="941" spans="1:20">
      <c r="A941" s="37">
        <f t="shared" si="60"/>
        <v>940</v>
      </c>
      <c r="B941" s="84"/>
      <c r="D941" s="59"/>
      <c r="E941" s="59"/>
      <c r="R941" s="84"/>
      <c r="T941" s="59"/>
    </row>
    <row r="942" spans="1:20">
      <c r="A942" s="37">
        <f t="shared" si="60"/>
        <v>941</v>
      </c>
      <c r="B942" s="84"/>
      <c r="D942" s="59"/>
      <c r="E942" s="59"/>
      <c r="R942" s="84"/>
      <c r="T942" s="59"/>
    </row>
    <row r="943" spans="1:20">
      <c r="A943" s="37">
        <f t="shared" si="60"/>
        <v>942</v>
      </c>
      <c r="B943" s="84"/>
      <c r="D943" s="59"/>
      <c r="E943" s="59"/>
      <c r="R943" s="84"/>
      <c r="T943" s="59"/>
    </row>
    <row r="944" spans="1:20">
      <c r="A944" s="37">
        <f t="shared" si="60"/>
        <v>943</v>
      </c>
      <c r="B944" s="84"/>
      <c r="D944" s="59"/>
      <c r="E944" s="59"/>
      <c r="R944" s="84"/>
      <c r="T944" s="59"/>
    </row>
    <row r="945" spans="1:20">
      <c r="A945" s="37">
        <f t="shared" si="60"/>
        <v>944</v>
      </c>
      <c r="B945" s="84"/>
      <c r="D945" s="59"/>
      <c r="E945" s="59"/>
      <c r="R945" s="84"/>
      <c r="T945" s="59"/>
    </row>
    <row r="946" spans="1:20">
      <c r="A946" s="37">
        <f t="shared" si="60"/>
        <v>945</v>
      </c>
      <c r="B946" s="84"/>
      <c r="D946" s="59"/>
      <c r="E946" s="59"/>
      <c r="R946" s="84"/>
      <c r="T946" s="59"/>
    </row>
    <row r="947" spans="1:20">
      <c r="A947" s="37">
        <f t="shared" si="60"/>
        <v>946</v>
      </c>
      <c r="B947" s="84"/>
      <c r="D947" s="59"/>
      <c r="E947" s="59"/>
      <c r="R947" s="84"/>
      <c r="T947" s="59"/>
    </row>
    <row r="948" spans="1:20">
      <c r="A948" s="37">
        <f t="shared" si="60"/>
        <v>947</v>
      </c>
      <c r="B948" s="84"/>
      <c r="D948" s="59"/>
      <c r="E948" s="59"/>
      <c r="R948" s="84"/>
      <c r="T948" s="59"/>
    </row>
    <row r="949" spans="1:20">
      <c r="A949" s="37">
        <f t="shared" si="60"/>
        <v>948</v>
      </c>
      <c r="B949" s="84"/>
      <c r="D949" s="59"/>
      <c r="E949" s="59"/>
      <c r="R949" s="84"/>
      <c r="T949" s="59"/>
    </row>
    <row r="950" spans="1:20">
      <c r="A950" s="37">
        <f t="shared" si="60"/>
        <v>949</v>
      </c>
      <c r="B950" s="84"/>
      <c r="D950" s="59"/>
      <c r="E950" s="59"/>
      <c r="R950" s="84"/>
      <c r="T950" s="59"/>
    </row>
    <row r="951" spans="1:20">
      <c r="A951" s="37">
        <f t="shared" si="60"/>
        <v>950</v>
      </c>
      <c r="B951" s="84"/>
      <c r="D951" s="59"/>
      <c r="E951" s="59"/>
      <c r="R951" s="84"/>
      <c r="T951" s="59"/>
    </row>
    <row r="952" spans="1:20">
      <c r="A952" s="37">
        <f t="shared" si="60"/>
        <v>951</v>
      </c>
      <c r="B952" s="84"/>
      <c r="D952" s="59"/>
      <c r="E952" s="59"/>
      <c r="R952" s="84"/>
      <c r="T952" s="59"/>
    </row>
    <row r="953" spans="1:20">
      <c r="A953" s="37">
        <f t="shared" si="60"/>
        <v>952</v>
      </c>
      <c r="B953" s="84"/>
      <c r="D953" s="59"/>
      <c r="E953" s="59"/>
      <c r="R953" s="84"/>
      <c r="T953" s="59"/>
    </row>
    <row r="954" spans="1:20">
      <c r="A954" s="37">
        <f t="shared" si="60"/>
        <v>953</v>
      </c>
      <c r="B954" s="84"/>
      <c r="D954" s="59"/>
      <c r="E954" s="59"/>
      <c r="R954" s="84"/>
      <c r="T954" s="59"/>
    </row>
    <row r="955" spans="1:20">
      <c r="A955" s="37">
        <f t="shared" si="60"/>
        <v>954</v>
      </c>
      <c r="B955" s="84"/>
      <c r="D955" s="59"/>
      <c r="E955" s="59"/>
      <c r="R955" s="84"/>
      <c r="T955" s="59"/>
    </row>
    <row r="956" spans="1:20">
      <c r="A956" s="37">
        <f t="shared" ref="A956:A973" si="61">ROW()-1</f>
        <v>955</v>
      </c>
      <c r="B956" s="84"/>
      <c r="D956" s="59"/>
      <c r="E956" s="59"/>
      <c r="R956" s="84"/>
      <c r="T956" s="59"/>
    </row>
    <row r="957" spans="1:20">
      <c r="A957" s="37">
        <f t="shared" si="61"/>
        <v>956</v>
      </c>
      <c r="B957" s="84"/>
      <c r="D957" s="59"/>
      <c r="E957" s="59"/>
      <c r="R957" s="84"/>
      <c r="T957" s="59"/>
    </row>
    <row r="958" spans="1:20">
      <c r="A958" s="37">
        <f t="shared" si="61"/>
        <v>957</v>
      </c>
      <c r="B958" s="84"/>
      <c r="D958" s="59"/>
      <c r="E958" s="59"/>
      <c r="R958" s="84"/>
      <c r="T958" s="59"/>
    </row>
    <row r="959" spans="1:20">
      <c r="A959" s="37">
        <f t="shared" si="61"/>
        <v>958</v>
      </c>
      <c r="B959" s="84"/>
      <c r="D959" s="59"/>
      <c r="E959" s="59"/>
      <c r="R959" s="84"/>
      <c r="T959" s="59"/>
    </row>
    <row r="960" spans="1:20">
      <c r="A960" s="37">
        <f t="shared" si="61"/>
        <v>959</v>
      </c>
      <c r="B960" s="84"/>
      <c r="D960" s="59"/>
      <c r="E960" s="59"/>
      <c r="R960" s="84"/>
      <c r="T960" s="59"/>
    </row>
    <row r="961" spans="1:20">
      <c r="A961" s="37">
        <f t="shared" si="61"/>
        <v>960</v>
      </c>
      <c r="B961" s="84"/>
      <c r="D961" s="59"/>
      <c r="E961" s="59"/>
      <c r="R961" s="84"/>
      <c r="T961" s="59"/>
    </row>
    <row r="962" spans="1:20">
      <c r="A962" s="37">
        <f t="shared" si="61"/>
        <v>961</v>
      </c>
      <c r="B962" s="84"/>
      <c r="D962" s="59"/>
      <c r="E962" s="59"/>
      <c r="R962" s="84"/>
      <c r="T962" s="59"/>
    </row>
    <row r="963" spans="1:20">
      <c r="A963" s="37">
        <f t="shared" si="61"/>
        <v>962</v>
      </c>
      <c r="B963" s="84"/>
      <c r="D963" s="59"/>
      <c r="E963" s="59"/>
      <c r="R963" s="84"/>
      <c r="T963" s="59"/>
    </row>
    <row r="964" spans="1:20">
      <c r="A964" s="37">
        <f t="shared" si="61"/>
        <v>963</v>
      </c>
      <c r="B964" s="84"/>
      <c r="D964" s="59"/>
      <c r="E964" s="59"/>
      <c r="R964" s="84"/>
      <c r="T964" s="59"/>
    </row>
    <row r="965" spans="1:20">
      <c r="A965" s="37">
        <f t="shared" si="61"/>
        <v>964</v>
      </c>
      <c r="B965" s="84"/>
      <c r="D965" s="59"/>
      <c r="E965" s="59"/>
      <c r="R965" s="84"/>
      <c r="T965" s="59"/>
    </row>
    <row r="966" spans="1:20">
      <c r="A966" s="37">
        <f t="shared" si="61"/>
        <v>965</v>
      </c>
      <c r="B966" s="84"/>
      <c r="D966" s="59"/>
      <c r="E966" s="59"/>
      <c r="R966" s="84"/>
      <c r="T966" s="59"/>
    </row>
    <row r="967" spans="1:20">
      <c r="A967" s="37">
        <f t="shared" si="61"/>
        <v>966</v>
      </c>
      <c r="B967" s="84"/>
      <c r="D967" s="59"/>
      <c r="E967" s="59"/>
      <c r="R967" s="84"/>
      <c r="T967" s="59"/>
    </row>
    <row r="968" spans="1:20">
      <c r="A968" s="37">
        <f t="shared" si="61"/>
        <v>967</v>
      </c>
      <c r="B968" s="84"/>
      <c r="D968" s="59"/>
      <c r="E968" s="59"/>
      <c r="R968" s="84"/>
      <c r="T968" s="59"/>
    </row>
    <row r="969" spans="1:20">
      <c r="A969" s="37">
        <f t="shared" si="61"/>
        <v>968</v>
      </c>
      <c r="B969" s="84"/>
      <c r="D969" s="59"/>
      <c r="E969" s="59"/>
      <c r="R969" s="84"/>
      <c r="T969" s="59"/>
    </row>
    <row r="970" spans="1:20">
      <c r="A970" s="37">
        <f t="shared" si="61"/>
        <v>969</v>
      </c>
      <c r="B970" s="84"/>
      <c r="D970" s="59"/>
      <c r="E970" s="59"/>
      <c r="R970" s="84"/>
      <c r="T970" s="59"/>
    </row>
    <row r="971" spans="1:20">
      <c r="A971" s="37">
        <f t="shared" si="61"/>
        <v>970</v>
      </c>
      <c r="B971" s="84"/>
      <c r="D971" s="59"/>
      <c r="E971" s="59"/>
      <c r="R971" s="84"/>
      <c r="T971" s="59"/>
    </row>
    <row r="972" spans="1:20">
      <c r="A972" s="37">
        <f t="shared" si="61"/>
        <v>971</v>
      </c>
      <c r="B972" s="84"/>
      <c r="D972" s="59"/>
      <c r="E972" s="59"/>
      <c r="R972" s="84"/>
      <c r="T972" s="59"/>
    </row>
    <row r="973" spans="1:20">
      <c r="A973" s="37">
        <f t="shared" si="61"/>
        <v>972</v>
      </c>
      <c r="B973" s="84"/>
      <c r="D973" s="59"/>
      <c r="E973" s="59"/>
      <c r="R973" s="84"/>
      <c r="T973" s="59"/>
    </row>
    <row r="974" spans="1:20">
      <c r="A974" s="37">
        <f t="shared" ref="A974:A996" si="62">ROW()-1</f>
        <v>973</v>
      </c>
      <c r="B974" s="84"/>
      <c r="D974" s="59"/>
      <c r="E974" s="59"/>
      <c r="R974" s="84"/>
      <c r="T974" s="59"/>
    </row>
    <row r="975" spans="1:20">
      <c r="A975" s="37">
        <f t="shared" si="62"/>
        <v>974</v>
      </c>
      <c r="B975" s="84"/>
      <c r="D975" s="59"/>
      <c r="E975" s="59"/>
      <c r="R975" s="84"/>
      <c r="T975" s="59"/>
    </row>
    <row r="976" spans="1:20">
      <c r="A976" s="37">
        <f t="shared" si="62"/>
        <v>975</v>
      </c>
      <c r="B976" s="84"/>
      <c r="D976" s="59"/>
      <c r="E976" s="59"/>
      <c r="R976" s="84"/>
      <c r="T976" s="59"/>
    </row>
    <row r="977" spans="1:20">
      <c r="A977" s="37">
        <f t="shared" si="62"/>
        <v>976</v>
      </c>
      <c r="B977" s="84"/>
      <c r="D977" s="59"/>
      <c r="E977" s="59"/>
      <c r="R977" s="84"/>
      <c r="T977" s="59"/>
    </row>
    <row r="978" spans="1:20">
      <c r="A978" s="37">
        <f t="shared" si="62"/>
        <v>977</v>
      </c>
      <c r="B978" s="84"/>
      <c r="D978" s="59"/>
      <c r="E978" s="59"/>
      <c r="R978" s="84"/>
      <c r="T978" s="59"/>
    </row>
    <row r="979" spans="1:20">
      <c r="A979" s="37">
        <f t="shared" si="62"/>
        <v>978</v>
      </c>
      <c r="B979" s="84"/>
      <c r="D979" s="59"/>
      <c r="E979" s="59"/>
      <c r="R979" s="84"/>
      <c r="T979" s="59"/>
    </row>
    <row r="980" spans="1:20">
      <c r="A980" s="37">
        <f t="shared" si="62"/>
        <v>979</v>
      </c>
      <c r="B980" s="84"/>
      <c r="D980" s="59"/>
      <c r="E980" s="59"/>
      <c r="R980" s="84"/>
      <c r="T980" s="59"/>
    </row>
    <row r="981" spans="1:20">
      <c r="A981" s="37">
        <f t="shared" si="62"/>
        <v>980</v>
      </c>
      <c r="B981" s="84"/>
      <c r="D981" s="59"/>
      <c r="E981" s="59"/>
      <c r="R981" s="84"/>
      <c r="T981" s="59"/>
    </row>
    <row r="982" spans="1:20">
      <c r="A982" s="37">
        <f t="shared" si="62"/>
        <v>981</v>
      </c>
      <c r="B982" s="84"/>
      <c r="D982" s="59"/>
      <c r="E982" s="59"/>
      <c r="R982" s="84"/>
      <c r="T982" s="59"/>
    </row>
    <row r="983" spans="1:20">
      <c r="A983" s="37">
        <f t="shared" si="62"/>
        <v>982</v>
      </c>
      <c r="B983" s="84"/>
      <c r="D983" s="59"/>
      <c r="E983" s="59"/>
      <c r="R983" s="84"/>
      <c r="T983" s="59"/>
    </row>
    <row r="984" spans="1:20">
      <c r="A984" s="37">
        <f t="shared" si="62"/>
        <v>983</v>
      </c>
      <c r="B984" s="84"/>
      <c r="D984" s="59"/>
      <c r="E984" s="59"/>
      <c r="R984" s="84"/>
      <c r="T984" s="59"/>
    </row>
    <row r="985" spans="1:20">
      <c r="A985" s="37">
        <f t="shared" si="62"/>
        <v>984</v>
      </c>
      <c r="B985" s="84"/>
      <c r="D985" s="59"/>
      <c r="E985" s="59"/>
      <c r="R985" s="84"/>
      <c r="T985" s="59"/>
    </row>
    <row r="986" spans="1:20">
      <c r="A986" s="37">
        <f t="shared" si="62"/>
        <v>985</v>
      </c>
      <c r="B986" s="84"/>
      <c r="D986" s="59"/>
      <c r="E986" s="59"/>
      <c r="R986" s="84"/>
      <c r="T986" s="59"/>
    </row>
    <row r="987" spans="1:20">
      <c r="A987" s="37">
        <f t="shared" si="62"/>
        <v>986</v>
      </c>
      <c r="B987" s="84"/>
      <c r="D987" s="59"/>
      <c r="E987" s="59"/>
      <c r="R987" s="84"/>
      <c r="T987" s="59"/>
    </row>
    <row r="988" spans="1:20">
      <c r="A988" s="37">
        <f t="shared" si="62"/>
        <v>987</v>
      </c>
      <c r="B988" s="84"/>
      <c r="D988" s="59"/>
      <c r="E988" s="59"/>
      <c r="R988" s="84"/>
      <c r="T988" s="59"/>
    </row>
    <row r="989" spans="1:20">
      <c r="A989" s="37">
        <f t="shared" si="62"/>
        <v>988</v>
      </c>
      <c r="B989" s="84"/>
      <c r="D989" s="59"/>
      <c r="E989" s="59"/>
      <c r="R989" s="84"/>
      <c r="T989" s="59"/>
    </row>
    <row r="990" spans="1:20">
      <c r="A990" s="37">
        <f t="shared" si="62"/>
        <v>989</v>
      </c>
      <c r="B990" s="84"/>
      <c r="D990" s="59"/>
      <c r="E990" s="59"/>
      <c r="R990" s="84"/>
      <c r="T990" s="59"/>
    </row>
    <row r="991" spans="1:20">
      <c r="A991" s="37">
        <f t="shared" si="62"/>
        <v>990</v>
      </c>
      <c r="B991" s="84"/>
      <c r="D991" s="59"/>
      <c r="E991" s="59"/>
      <c r="R991" s="84"/>
      <c r="T991" s="59"/>
    </row>
    <row r="992" spans="1:20">
      <c r="A992" s="37">
        <f t="shared" si="62"/>
        <v>991</v>
      </c>
      <c r="B992" s="84"/>
      <c r="D992" s="59"/>
      <c r="E992" s="59"/>
      <c r="R992" s="84"/>
      <c r="T992" s="59"/>
    </row>
    <row r="993" spans="1:20">
      <c r="A993" s="37">
        <f t="shared" si="62"/>
        <v>992</v>
      </c>
      <c r="B993" s="84"/>
      <c r="D993" s="59"/>
      <c r="E993" s="59"/>
      <c r="R993" s="84"/>
      <c r="T993" s="59"/>
    </row>
    <row r="994" spans="1:20">
      <c r="A994" s="37">
        <f t="shared" si="62"/>
        <v>993</v>
      </c>
      <c r="B994" s="84"/>
      <c r="D994" s="59"/>
      <c r="E994" s="59"/>
      <c r="R994" s="84"/>
      <c r="T994" s="59"/>
    </row>
    <row r="995" spans="1:20">
      <c r="A995" s="37">
        <f t="shared" si="62"/>
        <v>994</v>
      </c>
      <c r="B995" s="84"/>
      <c r="D995" s="59"/>
      <c r="E995" s="59"/>
      <c r="R995" s="84"/>
      <c r="T995" s="59"/>
    </row>
    <row r="996" spans="1:20">
      <c r="A996" s="37">
        <f t="shared" si="62"/>
        <v>995</v>
      </c>
      <c r="B996" s="84"/>
      <c r="D996" s="59"/>
      <c r="E996" s="59"/>
      <c r="R996" s="84"/>
      <c r="T996" s="59"/>
    </row>
    <row r="997" spans="1:20">
      <c r="A997" s="37">
        <f t="shared" ref="A997:A1028" si="63">ROW()-1</f>
        <v>996</v>
      </c>
      <c r="B997" s="84"/>
      <c r="D997" s="59"/>
      <c r="E997" s="59"/>
      <c r="R997" s="84"/>
      <c r="T997" s="59"/>
    </row>
    <row r="998" spans="1:20">
      <c r="A998" s="37">
        <f t="shared" si="63"/>
        <v>997</v>
      </c>
      <c r="B998" s="84"/>
      <c r="D998" s="59"/>
      <c r="E998" s="59"/>
      <c r="R998" s="84"/>
      <c r="T998" s="59"/>
    </row>
    <row r="999" spans="1:20">
      <c r="A999" s="37">
        <f t="shared" si="63"/>
        <v>998</v>
      </c>
      <c r="B999" s="84"/>
      <c r="D999" s="59"/>
      <c r="E999" s="59"/>
      <c r="R999" s="84"/>
      <c r="T999" s="59"/>
    </row>
    <row r="1000" spans="1:20">
      <c r="A1000" s="37">
        <f t="shared" si="63"/>
        <v>999</v>
      </c>
      <c r="B1000" s="84"/>
      <c r="D1000" s="59"/>
      <c r="E1000" s="59"/>
      <c r="R1000" s="84"/>
      <c r="T1000" s="59"/>
    </row>
    <row r="1001" spans="1:20">
      <c r="A1001" s="37">
        <f t="shared" si="63"/>
        <v>1000</v>
      </c>
      <c r="B1001" s="84"/>
      <c r="D1001" s="59"/>
      <c r="E1001" s="59"/>
      <c r="R1001" s="84"/>
      <c r="T1001" s="59"/>
    </row>
    <row r="1002" spans="1:20">
      <c r="A1002" s="37">
        <f t="shared" si="63"/>
        <v>1001</v>
      </c>
      <c r="B1002" s="84"/>
      <c r="D1002" s="59"/>
      <c r="E1002" s="59"/>
      <c r="R1002" s="84"/>
      <c r="T1002" s="59"/>
    </row>
    <row r="1003" spans="1:20">
      <c r="A1003" s="37">
        <f t="shared" si="63"/>
        <v>1002</v>
      </c>
      <c r="B1003" s="84"/>
      <c r="D1003" s="59"/>
      <c r="E1003" s="59"/>
      <c r="R1003" s="84"/>
      <c r="T1003" s="59"/>
    </row>
    <row r="1004" spans="1:20">
      <c r="A1004" s="37">
        <f t="shared" si="63"/>
        <v>1003</v>
      </c>
      <c r="B1004" s="84"/>
      <c r="D1004" s="59"/>
      <c r="E1004" s="59"/>
      <c r="R1004" s="84"/>
      <c r="T1004" s="59"/>
    </row>
    <row r="1005" spans="1:20">
      <c r="A1005" s="37">
        <f t="shared" si="63"/>
        <v>1004</v>
      </c>
      <c r="B1005" s="84"/>
      <c r="D1005" s="59"/>
      <c r="E1005" s="59"/>
      <c r="R1005" s="84"/>
      <c r="T1005" s="59"/>
    </row>
    <row r="1006" spans="1:20">
      <c r="A1006" s="37">
        <f t="shared" si="63"/>
        <v>1005</v>
      </c>
      <c r="B1006" s="84"/>
      <c r="D1006" s="59"/>
      <c r="E1006" s="59"/>
      <c r="R1006" s="84"/>
      <c r="T1006" s="59"/>
    </row>
    <row r="1007" spans="1:20">
      <c r="A1007" s="37">
        <f t="shared" si="63"/>
        <v>1006</v>
      </c>
      <c r="B1007" s="84"/>
      <c r="D1007" s="59"/>
      <c r="E1007" s="59"/>
      <c r="R1007" s="84"/>
      <c r="T1007" s="59"/>
    </row>
    <row r="1008" spans="1:20">
      <c r="A1008" s="37">
        <f t="shared" si="63"/>
        <v>1007</v>
      </c>
      <c r="B1008" s="84"/>
      <c r="D1008" s="59"/>
      <c r="E1008" s="59"/>
      <c r="R1008" s="84"/>
      <c r="T1008" s="59"/>
    </row>
    <row r="1009" spans="1:20">
      <c r="A1009" s="37">
        <f t="shared" si="63"/>
        <v>1008</v>
      </c>
      <c r="B1009" s="84"/>
      <c r="D1009" s="59"/>
      <c r="E1009" s="59"/>
      <c r="R1009" s="84"/>
      <c r="T1009" s="59"/>
    </row>
    <row r="1010" spans="1:20">
      <c r="A1010" s="37">
        <f t="shared" si="63"/>
        <v>1009</v>
      </c>
      <c r="B1010" s="84"/>
      <c r="D1010" s="59"/>
      <c r="E1010" s="59"/>
      <c r="R1010" s="84"/>
      <c r="T1010" s="59"/>
    </row>
    <row r="1011" spans="1:20">
      <c r="A1011" s="37">
        <f t="shared" si="63"/>
        <v>1010</v>
      </c>
      <c r="B1011" s="84"/>
      <c r="D1011" s="59"/>
      <c r="E1011" s="59"/>
      <c r="R1011" s="84"/>
      <c r="T1011" s="59"/>
    </row>
    <row r="1012" spans="1:20">
      <c r="A1012" s="37">
        <f t="shared" si="63"/>
        <v>1011</v>
      </c>
      <c r="B1012" s="84"/>
      <c r="D1012" s="59"/>
      <c r="E1012" s="59"/>
      <c r="R1012" s="84"/>
      <c r="T1012" s="59"/>
    </row>
    <row r="1013" spans="1:20">
      <c r="A1013" s="37">
        <f t="shared" si="63"/>
        <v>1012</v>
      </c>
      <c r="B1013" s="84"/>
      <c r="D1013" s="59"/>
      <c r="E1013" s="59"/>
      <c r="R1013" s="84"/>
      <c r="T1013" s="59"/>
    </row>
    <row r="1014" spans="1:20">
      <c r="A1014" s="37">
        <f t="shared" si="63"/>
        <v>1013</v>
      </c>
      <c r="B1014" s="84"/>
      <c r="D1014" s="59"/>
      <c r="E1014" s="59"/>
      <c r="R1014" s="84"/>
      <c r="T1014" s="59"/>
    </row>
    <row r="1015" spans="1:20">
      <c r="A1015" s="37">
        <f t="shared" si="63"/>
        <v>1014</v>
      </c>
      <c r="B1015" s="84"/>
      <c r="D1015" s="59"/>
      <c r="E1015" s="59"/>
      <c r="R1015" s="84"/>
      <c r="T1015" s="59"/>
    </row>
    <row r="1016" spans="1:20">
      <c r="A1016" s="37">
        <f t="shared" si="63"/>
        <v>1015</v>
      </c>
      <c r="B1016" s="84"/>
      <c r="D1016" s="59"/>
      <c r="E1016" s="59"/>
      <c r="R1016" s="84"/>
      <c r="T1016" s="59"/>
    </row>
    <row r="1017" spans="1:20">
      <c r="A1017" s="37">
        <f t="shared" si="63"/>
        <v>1016</v>
      </c>
      <c r="B1017" s="84"/>
      <c r="D1017" s="59"/>
      <c r="E1017" s="59"/>
      <c r="R1017" s="84"/>
      <c r="T1017" s="59"/>
    </row>
    <row r="1018" spans="1:20">
      <c r="A1018" s="37">
        <f t="shared" si="63"/>
        <v>1017</v>
      </c>
      <c r="B1018" s="84"/>
      <c r="D1018" s="59"/>
      <c r="E1018" s="59"/>
      <c r="R1018" s="84"/>
      <c r="T1018" s="59"/>
    </row>
    <row r="1019" spans="1:20">
      <c r="A1019" s="37">
        <f t="shared" si="63"/>
        <v>1018</v>
      </c>
      <c r="B1019" s="84"/>
      <c r="D1019" s="59"/>
      <c r="E1019" s="59"/>
      <c r="R1019" s="84"/>
      <c r="T1019" s="59"/>
    </row>
    <row r="1020" spans="1:20">
      <c r="A1020" s="37">
        <f t="shared" si="63"/>
        <v>1019</v>
      </c>
      <c r="B1020" s="84"/>
      <c r="D1020" s="59"/>
      <c r="E1020" s="59"/>
      <c r="R1020" s="84"/>
      <c r="T1020" s="59"/>
    </row>
    <row r="1021" spans="1:20">
      <c r="A1021" s="37">
        <f t="shared" si="63"/>
        <v>1020</v>
      </c>
      <c r="B1021" s="84"/>
      <c r="D1021" s="59"/>
      <c r="E1021" s="59"/>
      <c r="R1021" s="84"/>
      <c r="T1021" s="59"/>
    </row>
    <row r="1022" spans="1:20">
      <c r="A1022" s="37">
        <f t="shared" si="63"/>
        <v>1021</v>
      </c>
      <c r="B1022" s="84"/>
      <c r="D1022" s="59"/>
      <c r="E1022" s="59"/>
      <c r="R1022" s="84"/>
      <c r="T1022" s="59"/>
    </row>
    <row r="1023" spans="1:20">
      <c r="A1023" s="37">
        <f t="shared" si="63"/>
        <v>1022</v>
      </c>
      <c r="B1023" s="84"/>
      <c r="D1023" s="59"/>
      <c r="E1023" s="59"/>
      <c r="R1023" s="84"/>
      <c r="T1023" s="59"/>
    </row>
    <row r="1024" spans="1:20">
      <c r="A1024" s="37">
        <f t="shared" si="63"/>
        <v>1023</v>
      </c>
      <c r="B1024" s="84"/>
      <c r="D1024" s="59"/>
      <c r="E1024" s="59"/>
      <c r="R1024" s="84"/>
      <c r="T1024" s="59"/>
    </row>
    <row r="1025" spans="1:20">
      <c r="A1025" s="37">
        <f t="shared" si="63"/>
        <v>1024</v>
      </c>
      <c r="B1025" s="84"/>
      <c r="D1025" s="59"/>
      <c r="E1025" s="59"/>
      <c r="R1025" s="84"/>
      <c r="T1025" s="59"/>
    </row>
    <row r="1026" spans="1:20">
      <c r="A1026" s="37">
        <f t="shared" si="63"/>
        <v>1025</v>
      </c>
      <c r="B1026" s="84"/>
      <c r="D1026" s="59"/>
      <c r="E1026" s="59"/>
      <c r="R1026" s="84"/>
      <c r="T1026" s="59"/>
    </row>
    <row r="1027" spans="1:20">
      <c r="A1027" s="37">
        <f t="shared" si="63"/>
        <v>1026</v>
      </c>
      <c r="B1027" s="84"/>
      <c r="D1027" s="59"/>
      <c r="E1027" s="59"/>
      <c r="R1027" s="84"/>
      <c r="T1027" s="59"/>
    </row>
    <row r="1028" spans="1:20">
      <c r="A1028" s="37">
        <f t="shared" si="63"/>
        <v>1027</v>
      </c>
      <c r="B1028" s="84"/>
      <c r="D1028" s="59"/>
      <c r="E1028" s="59"/>
      <c r="R1028" s="84"/>
      <c r="T1028" s="59"/>
    </row>
    <row r="1029" spans="1:20">
      <c r="A1029" s="37">
        <f t="shared" ref="A1029:A1036" si="64">ROW()-1</f>
        <v>1028</v>
      </c>
      <c r="B1029" s="84"/>
      <c r="D1029" s="59"/>
      <c r="E1029" s="59"/>
      <c r="R1029" s="84"/>
      <c r="T1029" s="59"/>
    </row>
    <row r="1030" spans="1:20">
      <c r="A1030" s="37">
        <f t="shared" si="64"/>
        <v>1029</v>
      </c>
      <c r="B1030" s="84"/>
      <c r="D1030" s="59"/>
      <c r="E1030" s="59"/>
      <c r="R1030" s="84"/>
      <c r="T1030" s="59"/>
    </row>
    <row r="1031" spans="1:20">
      <c r="A1031" s="37">
        <f t="shared" si="64"/>
        <v>1030</v>
      </c>
      <c r="B1031" s="84"/>
      <c r="D1031" s="59"/>
      <c r="E1031" s="59"/>
      <c r="R1031" s="84"/>
      <c r="T1031" s="59"/>
    </row>
    <row r="1032" spans="1:20">
      <c r="A1032" s="37">
        <f t="shared" si="64"/>
        <v>1031</v>
      </c>
      <c r="B1032" s="84"/>
      <c r="D1032" s="59"/>
      <c r="E1032" s="59"/>
      <c r="R1032" s="84"/>
      <c r="T1032" s="59"/>
    </row>
    <row r="1033" spans="1:20">
      <c r="A1033" s="37">
        <f t="shared" si="64"/>
        <v>1032</v>
      </c>
      <c r="B1033" s="84"/>
      <c r="D1033" s="59"/>
      <c r="E1033" s="59"/>
      <c r="R1033" s="84"/>
      <c r="T1033" s="59"/>
    </row>
    <row r="1034" spans="1:20">
      <c r="A1034" s="37">
        <f t="shared" si="64"/>
        <v>1033</v>
      </c>
      <c r="B1034" s="84"/>
      <c r="D1034" s="59"/>
      <c r="E1034" s="59"/>
      <c r="R1034" s="84"/>
      <c r="T1034" s="59"/>
    </row>
    <row r="1035" spans="1:20">
      <c r="A1035" s="37">
        <f t="shared" si="64"/>
        <v>1034</v>
      </c>
      <c r="B1035" s="84"/>
      <c r="D1035" s="59"/>
      <c r="E1035" s="59"/>
      <c r="R1035" s="84"/>
      <c r="T1035" s="59"/>
    </row>
    <row r="1036" spans="1:20">
      <c r="A1036" s="37">
        <f t="shared" si="64"/>
        <v>1035</v>
      </c>
      <c r="B1036" s="84"/>
      <c r="D1036" s="59"/>
      <c r="E1036" s="59"/>
      <c r="R1036" s="84"/>
      <c r="T1036" s="59"/>
    </row>
    <row r="1037" spans="1:20">
      <c r="A1037" s="37">
        <f t="shared" ref="A1037:A1055" si="65">ROW()-1</f>
        <v>1036</v>
      </c>
      <c r="B1037" s="84"/>
      <c r="D1037" s="59"/>
      <c r="E1037" s="59"/>
      <c r="R1037" s="84"/>
      <c r="T1037" s="59"/>
    </row>
    <row r="1038" spans="1:20">
      <c r="A1038" s="37">
        <f t="shared" si="65"/>
        <v>1037</v>
      </c>
      <c r="B1038" s="84"/>
      <c r="D1038" s="59"/>
      <c r="E1038" s="59"/>
      <c r="R1038" s="84"/>
      <c r="T1038" s="59"/>
    </row>
    <row r="1039" spans="1:20">
      <c r="A1039" s="37">
        <f t="shared" si="65"/>
        <v>1038</v>
      </c>
      <c r="B1039" s="84"/>
      <c r="D1039" s="59"/>
      <c r="E1039" s="59"/>
      <c r="R1039" s="84"/>
      <c r="T1039" s="59"/>
    </row>
    <row r="1040" spans="1:20">
      <c r="A1040" s="37">
        <f t="shared" si="65"/>
        <v>1039</v>
      </c>
      <c r="B1040" s="84"/>
      <c r="D1040" s="59"/>
      <c r="E1040" s="59"/>
      <c r="R1040" s="84"/>
      <c r="T1040" s="59"/>
    </row>
    <row r="1041" spans="1:20">
      <c r="A1041" s="37">
        <f t="shared" si="65"/>
        <v>1040</v>
      </c>
      <c r="B1041" s="84"/>
      <c r="D1041" s="59"/>
      <c r="E1041" s="59"/>
      <c r="R1041" s="84"/>
      <c r="T1041" s="59"/>
    </row>
    <row r="1042" spans="1:20">
      <c r="A1042" s="37">
        <f t="shared" si="65"/>
        <v>1041</v>
      </c>
      <c r="B1042" s="84"/>
      <c r="D1042" s="59"/>
      <c r="E1042" s="59"/>
      <c r="R1042" s="84"/>
      <c r="T1042" s="59"/>
    </row>
    <row r="1043" spans="1:20">
      <c r="A1043" s="37">
        <f t="shared" si="65"/>
        <v>1042</v>
      </c>
      <c r="B1043" s="84"/>
      <c r="D1043" s="59"/>
      <c r="E1043" s="59"/>
      <c r="R1043" s="84"/>
      <c r="T1043" s="59"/>
    </row>
    <row r="1044" spans="1:20">
      <c r="A1044" s="37">
        <f t="shared" si="65"/>
        <v>1043</v>
      </c>
      <c r="B1044" s="84"/>
      <c r="D1044" s="59"/>
      <c r="E1044" s="59"/>
      <c r="R1044" s="84"/>
      <c r="T1044" s="59"/>
    </row>
    <row r="1045" spans="1:20">
      <c r="A1045" s="37">
        <f t="shared" si="65"/>
        <v>1044</v>
      </c>
      <c r="B1045" s="84"/>
      <c r="D1045" s="59"/>
      <c r="E1045" s="59"/>
      <c r="R1045" s="84"/>
      <c r="T1045" s="59"/>
    </row>
    <row r="1046" spans="1:20">
      <c r="A1046" s="37">
        <f t="shared" si="65"/>
        <v>1045</v>
      </c>
      <c r="B1046" s="84"/>
      <c r="D1046" s="59"/>
      <c r="E1046" s="59"/>
      <c r="R1046" s="84"/>
      <c r="T1046" s="59"/>
    </row>
    <row r="1047" spans="1:20">
      <c r="A1047" s="37">
        <f t="shared" si="65"/>
        <v>1046</v>
      </c>
      <c r="B1047" s="84"/>
      <c r="D1047" s="59"/>
      <c r="E1047" s="59"/>
      <c r="R1047" s="84"/>
      <c r="T1047" s="59"/>
    </row>
    <row r="1048" spans="1:20">
      <c r="A1048" s="37">
        <f t="shared" si="65"/>
        <v>1047</v>
      </c>
      <c r="B1048" s="84"/>
      <c r="D1048" s="59"/>
      <c r="E1048" s="59"/>
      <c r="R1048" s="84"/>
      <c r="T1048" s="59"/>
    </row>
    <row r="1049" spans="1:20">
      <c r="A1049" s="37">
        <f t="shared" si="65"/>
        <v>1048</v>
      </c>
      <c r="B1049" s="84"/>
      <c r="D1049" s="59"/>
      <c r="E1049" s="59"/>
      <c r="R1049" s="84"/>
      <c r="T1049" s="59"/>
    </row>
    <row r="1050" spans="1:20">
      <c r="A1050" s="37">
        <f t="shared" si="65"/>
        <v>1049</v>
      </c>
      <c r="B1050" s="84"/>
      <c r="D1050" s="59"/>
      <c r="E1050" s="59"/>
      <c r="R1050" s="84"/>
      <c r="T1050" s="59"/>
    </row>
    <row r="1051" spans="1:20">
      <c r="A1051" s="37">
        <f t="shared" si="65"/>
        <v>1050</v>
      </c>
      <c r="B1051" s="84"/>
      <c r="D1051" s="59"/>
      <c r="E1051" s="59"/>
      <c r="R1051" s="84"/>
      <c r="T1051" s="59"/>
    </row>
    <row r="1052" spans="1:20">
      <c r="A1052" s="37">
        <f t="shared" si="65"/>
        <v>1051</v>
      </c>
      <c r="B1052" s="84"/>
      <c r="D1052" s="59"/>
      <c r="E1052" s="59"/>
      <c r="R1052" s="84"/>
      <c r="T1052" s="59"/>
    </row>
    <row r="1053" spans="1:20">
      <c r="A1053" s="37">
        <f t="shared" si="65"/>
        <v>1052</v>
      </c>
      <c r="B1053" s="84"/>
      <c r="D1053" s="59"/>
      <c r="E1053" s="59"/>
      <c r="R1053" s="84"/>
      <c r="T1053" s="59"/>
    </row>
    <row r="1054" spans="1:20">
      <c r="A1054" s="37">
        <f t="shared" si="65"/>
        <v>1053</v>
      </c>
      <c r="B1054" s="84"/>
      <c r="D1054" s="59"/>
      <c r="E1054" s="59"/>
      <c r="R1054" s="84"/>
      <c r="T1054" s="59"/>
    </row>
    <row r="1055" spans="1:20">
      <c r="A1055" s="37">
        <f t="shared" si="65"/>
        <v>1054</v>
      </c>
      <c r="B1055" s="84"/>
      <c r="D1055" s="59"/>
      <c r="E1055" s="59"/>
      <c r="R1055" s="84"/>
      <c r="T1055" s="59"/>
    </row>
    <row r="1056" spans="1:20">
      <c r="A1056" s="37">
        <f t="shared" ref="A1056:A1061" si="66">ROW()-1</f>
        <v>1055</v>
      </c>
      <c r="B1056" s="84"/>
      <c r="D1056" s="59"/>
      <c r="E1056" s="59"/>
      <c r="R1056" s="84"/>
      <c r="T1056" s="59"/>
    </row>
    <row r="1057" spans="1:20">
      <c r="A1057" s="37">
        <f t="shared" si="66"/>
        <v>1056</v>
      </c>
      <c r="B1057" s="84"/>
      <c r="D1057" s="59"/>
      <c r="E1057" s="59"/>
      <c r="R1057" s="84"/>
      <c r="T1057" s="59"/>
    </row>
    <row r="1058" spans="1:20">
      <c r="A1058" s="37">
        <f t="shared" si="66"/>
        <v>1057</v>
      </c>
      <c r="B1058" s="84"/>
      <c r="D1058" s="59"/>
      <c r="E1058" s="59"/>
      <c r="R1058" s="84"/>
      <c r="T1058" s="59"/>
    </row>
    <row r="1059" spans="1:20">
      <c r="A1059" s="37">
        <f t="shared" si="66"/>
        <v>1058</v>
      </c>
      <c r="B1059" s="84"/>
      <c r="D1059" s="59"/>
      <c r="E1059" s="59"/>
      <c r="R1059" s="84"/>
      <c r="T1059" s="59"/>
    </row>
    <row r="1060" spans="1:20">
      <c r="A1060" s="37">
        <f t="shared" si="66"/>
        <v>1059</v>
      </c>
      <c r="B1060" s="84"/>
      <c r="D1060" s="59"/>
      <c r="E1060" s="59"/>
      <c r="R1060" s="84"/>
      <c r="T1060" s="59"/>
    </row>
    <row r="1061" spans="1:20">
      <c r="A1061" s="37">
        <f t="shared" si="66"/>
        <v>1060</v>
      </c>
      <c r="B1061" s="84"/>
      <c r="D1061" s="59"/>
      <c r="E1061" s="59"/>
      <c r="R1061" s="84"/>
      <c r="T1061" s="59"/>
    </row>
    <row r="1062" spans="1:20">
      <c r="A1062" s="37">
        <f t="shared" ref="A1062:A1074" si="67">ROW()-1</f>
        <v>1061</v>
      </c>
      <c r="B1062" s="84"/>
      <c r="D1062" s="59"/>
      <c r="E1062" s="59"/>
      <c r="R1062" s="84"/>
      <c r="T1062" s="59"/>
    </row>
    <row r="1063" spans="1:20">
      <c r="A1063" s="37">
        <f t="shared" si="67"/>
        <v>1062</v>
      </c>
      <c r="B1063" s="84"/>
      <c r="D1063" s="59"/>
      <c r="E1063" s="59"/>
      <c r="R1063" s="84"/>
      <c r="T1063" s="59"/>
    </row>
    <row r="1064" spans="1:20">
      <c r="A1064" s="37">
        <f t="shared" si="67"/>
        <v>1063</v>
      </c>
      <c r="B1064" s="84"/>
      <c r="D1064" s="59"/>
      <c r="E1064" s="59"/>
      <c r="R1064" s="84"/>
      <c r="T1064" s="59"/>
    </row>
    <row r="1065" spans="1:20">
      <c r="A1065" s="37">
        <f t="shared" si="67"/>
        <v>1064</v>
      </c>
      <c r="B1065" s="84"/>
      <c r="D1065" s="59"/>
      <c r="E1065" s="59"/>
      <c r="R1065" s="84"/>
      <c r="T1065" s="59"/>
    </row>
    <row r="1066" spans="1:20">
      <c r="A1066" s="37">
        <f t="shared" si="67"/>
        <v>1065</v>
      </c>
      <c r="B1066" s="84"/>
      <c r="D1066" s="59"/>
      <c r="E1066" s="59"/>
      <c r="R1066" s="84"/>
      <c r="T1066" s="59"/>
    </row>
    <row r="1067" spans="1:20">
      <c r="A1067" s="37">
        <f t="shared" si="67"/>
        <v>1066</v>
      </c>
      <c r="B1067" s="84"/>
      <c r="D1067" s="59"/>
      <c r="E1067" s="59"/>
      <c r="R1067" s="84"/>
      <c r="T1067" s="59"/>
    </row>
    <row r="1068" spans="1:20">
      <c r="A1068" s="37">
        <f t="shared" si="67"/>
        <v>1067</v>
      </c>
      <c r="B1068" s="84"/>
      <c r="D1068" s="59"/>
      <c r="E1068" s="59"/>
      <c r="R1068" s="84"/>
      <c r="T1068" s="59"/>
    </row>
    <row r="1069" spans="1:20">
      <c r="A1069" s="37">
        <f t="shared" si="67"/>
        <v>1068</v>
      </c>
      <c r="B1069" s="84"/>
      <c r="D1069" s="59"/>
      <c r="E1069" s="59"/>
      <c r="R1069" s="84"/>
      <c r="T1069" s="59"/>
    </row>
    <row r="1070" spans="1:20">
      <c r="A1070" s="37">
        <f t="shared" si="67"/>
        <v>1069</v>
      </c>
      <c r="B1070" s="84"/>
      <c r="D1070" s="59"/>
      <c r="E1070" s="59"/>
      <c r="R1070" s="84"/>
      <c r="T1070" s="59"/>
    </row>
    <row r="1071" spans="1:20">
      <c r="A1071" s="37">
        <f t="shared" si="67"/>
        <v>1070</v>
      </c>
      <c r="B1071" s="84"/>
      <c r="D1071" s="59"/>
      <c r="E1071" s="59"/>
      <c r="R1071" s="84"/>
      <c r="T1071" s="59"/>
    </row>
    <row r="1072" spans="1:20">
      <c r="A1072" s="37">
        <f t="shared" si="67"/>
        <v>1071</v>
      </c>
      <c r="B1072" s="84"/>
      <c r="D1072" s="59"/>
      <c r="E1072" s="59"/>
      <c r="R1072" s="84"/>
      <c r="T1072" s="59"/>
    </row>
    <row r="1073" spans="1:20">
      <c r="A1073" s="37">
        <f t="shared" si="67"/>
        <v>1072</v>
      </c>
      <c r="B1073" s="84"/>
      <c r="D1073" s="59"/>
      <c r="E1073" s="59"/>
      <c r="R1073" s="84"/>
      <c r="T1073" s="59"/>
    </row>
    <row r="1074" spans="1:20">
      <c r="A1074" s="37">
        <f t="shared" si="67"/>
        <v>1073</v>
      </c>
      <c r="B1074" s="84"/>
      <c r="D1074" s="59"/>
      <c r="E1074" s="59"/>
      <c r="R1074" s="84"/>
      <c r="T1074" s="59"/>
    </row>
    <row r="1075" spans="1:20">
      <c r="A1075" s="37">
        <f t="shared" ref="A1075:A1085" si="68">ROW()-1</f>
        <v>1074</v>
      </c>
      <c r="B1075" s="84"/>
      <c r="D1075" s="59"/>
      <c r="E1075" s="59"/>
      <c r="R1075" s="84"/>
      <c r="T1075" s="59"/>
    </row>
    <row r="1076" spans="1:20">
      <c r="A1076" s="37">
        <f t="shared" si="68"/>
        <v>1075</v>
      </c>
      <c r="B1076" s="84"/>
      <c r="D1076" s="59"/>
      <c r="E1076" s="59"/>
      <c r="R1076" s="84"/>
      <c r="T1076" s="59"/>
    </row>
    <row r="1077" spans="1:20">
      <c r="A1077" s="37">
        <f t="shared" si="68"/>
        <v>1076</v>
      </c>
      <c r="B1077" s="84"/>
      <c r="D1077" s="59"/>
      <c r="E1077" s="59"/>
      <c r="R1077" s="84"/>
      <c r="T1077" s="59"/>
    </row>
    <row r="1078" spans="1:20">
      <c r="A1078" s="37">
        <f t="shared" si="68"/>
        <v>1077</v>
      </c>
      <c r="B1078" s="84"/>
      <c r="D1078" s="59"/>
      <c r="E1078" s="59"/>
      <c r="R1078" s="84"/>
      <c r="T1078" s="59"/>
    </row>
    <row r="1079" spans="1:20">
      <c r="A1079" s="37">
        <f t="shared" si="68"/>
        <v>1078</v>
      </c>
      <c r="B1079" s="84"/>
      <c r="D1079" s="59"/>
      <c r="E1079" s="59"/>
      <c r="R1079" s="84"/>
      <c r="T1079" s="59"/>
    </row>
    <row r="1080" spans="1:20">
      <c r="A1080" s="37">
        <f t="shared" si="68"/>
        <v>1079</v>
      </c>
      <c r="B1080" s="84"/>
      <c r="D1080" s="59"/>
      <c r="E1080" s="59"/>
      <c r="R1080" s="84"/>
      <c r="T1080" s="59"/>
    </row>
    <row r="1081" spans="1:20">
      <c r="A1081" s="37">
        <f t="shared" si="68"/>
        <v>1080</v>
      </c>
      <c r="B1081" s="84"/>
      <c r="D1081" s="59"/>
      <c r="E1081" s="59"/>
      <c r="R1081" s="84"/>
      <c r="T1081" s="59"/>
    </row>
    <row r="1082" spans="1:20">
      <c r="A1082" s="37">
        <f t="shared" si="68"/>
        <v>1081</v>
      </c>
      <c r="B1082" s="84"/>
      <c r="D1082" s="59"/>
      <c r="E1082" s="59"/>
      <c r="R1082" s="84"/>
      <c r="T1082" s="59"/>
    </row>
    <row r="1083" spans="1:20">
      <c r="A1083" s="37">
        <f t="shared" si="68"/>
        <v>1082</v>
      </c>
      <c r="B1083" s="84"/>
      <c r="D1083" s="59"/>
      <c r="E1083" s="59"/>
      <c r="R1083" s="84"/>
      <c r="T1083" s="59"/>
    </row>
    <row r="1084" spans="1:20">
      <c r="A1084" s="37">
        <f t="shared" si="68"/>
        <v>1083</v>
      </c>
      <c r="B1084" s="84"/>
      <c r="D1084" s="59"/>
      <c r="E1084" s="59"/>
      <c r="R1084" s="84"/>
      <c r="T1084" s="59"/>
    </row>
    <row r="1085" spans="1:20">
      <c r="A1085" s="37">
        <f t="shared" si="68"/>
        <v>1084</v>
      </c>
      <c r="B1085" s="84"/>
      <c r="D1085" s="59"/>
      <c r="E1085" s="59"/>
      <c r="R1085" s="84"/>
      <c r="T1085" s="59"/>
    </row>
    <row r="1086" spans="1:20">
      <c r="A1086" s="37">
        <f t="shared" ref="A1086:A1124" si="69">ROW()-1</f>
        <v>1085</v>
      </c>
      <c r="B1086" s="84"/>
      <c r="D1086" s="59"/>
      <c r="E1086" s="59"/>
      <c r="R1086" s="84"/>
      <c r="T1086" s="59"/>
    </row>
    <row r="1087" spans="1:20">
      <c r="A1087" s="37">
        <f t="shared" si="69"/>
        <v>1086</v>
      </c>
      <c r="B1087" s="84"/>
      <c r="D1087" s="59"/>
      <c r="E1087" s="59"/>
      <c r="R1087" s="84"/>
      <c r="T1087" s="59"/>
    </row>
    <row r="1088" spans="1:20">
      <c r="A1088" s="37">
        <f t="shared" si="69"/>
        <v>1087</v>
      </c>
      <c r="B1088" s="84"/>
      <c r="D1088" s="59"/>
      <c r="E1088" s="59"/>
      <c r="R1088" s="84"/>
      <c r="T1088" s="59"/>
    </row>
    <row r="1089" spans="1:20">
      <c r="A1089" s="37">
        <f t="shared" si="69"/>
        <v>1088</v>
      </c>
      <c r="B1089" s="84"/>
      <c r="D1089" s="59"/>
      <c r="E1089" s="59"/>
      <c r="R1089" s="84"/>
      <c r="T1089" s="59"/>
    </row>
    <row r="1090" spans="1:20">
      <c r="A1090" s="37">
        <f t="shared" si="69"/>
        <v>1089</v>
      </c>
      <c r="B1090" s="84"/>
      <c r="D1090" s="59"/>
      <c r="E1090" s="59"/>
      <c r="R1090" s="84"/>
      <c r="T1090" s="59"/>
    </row>
    <row r="1091" spans="1:20">
      <c r="A1091" s="37">
        <f t="shared" si="69"/>
        <v>1090</v>
      </c>
      <c r="B1091" s="84"/>
      <c r="D1091" s="59"/>
      <c r="E1091" s="59"/>
      <c r="R1091" s="84"/>
      <c r="T1091" s="59"/>
    </row>
    <row r="1092" spans="1:20">
      <c r="A1092" s="37">
        <f t="shared" si="69"/>
        <v>1091</v>
      </c>
      <c r="B1092" s="84"/>
      <c r="D1092" s="59"/>
      <c r="E1092" s="59"/>
      <c r="R1092" s="84"/>
      <c r="T1092" s="59"/>
    </row>
    <row r="1093" spans="1:20">
      <c r="A1093" s="37">
        <f t="shared" si="69"/>
        <v>1092</v>
      </c>
      <c r="B1093" s="84"/>
      <c r="D1093" s="59"/>
      <c r="E1093" s="59"/>
      <c r="R1093" s="84"/>
      <c r="T1093" s="59"/>
    </row>
    <row r="1094" spans="1:20">
      <c r="A1094" s="37">
        <f t="shared" si="69"/>
        <v>1093</v>
      </c>
      <c r="B1094" s="84"/>
      <c r="D1094" s="59"/>
      <c r="E1094" s="59"/>
      <c r="R1094" s="84"/>
      <c r="T1094" s="59"/>
    </row>
    <row r="1095" spans="1:20">
      <c r="A1095" s="37">
        <f t="shared" si="69"/>
        <v>1094</v>
      </c>
      <c r="B1095" s="84"/>
      <c r="D1095" s="59"/>
      <c r="E1095" s="59"/>
      <c r="R1095" s="84"/>
      <c r="T1095" s="59"/>
    </row>
    <row r="1096" spans="1:20">
      <c r="A1096" s="37">
        <f t="shared" si="69"/>
        <v>1095</v>
      </c>
      <c r="B1096" s="84"/>
      <c r="D1096" s="59"/>
      <c r="E1096" s="59"/>
      <c r="R1096" s="84"/>
      <c r="T1096" s="59"/>
    </row>
    <row r="1097" spans="1:20">
      <c r="A1097" s="37">
        <f t="shared" si="69"/>
        <v>1096</v>
      </c>
      <c r="B1097" s="84"/>
      <c r="D1097" s="59"/>
      <c r="E1097" s="59"/>
      <c r="R1097" s="84"/>
      <c r="T1097" s="59"/>
    </row>
    <row r="1098" spans="1:20">
      <c r="A1098" s="37">
        <f t="shared" si="69"/>
        <v>1097</v>
      </c>
      <c r="B1098" s="84"/>
      <c r="D1098" s="59"/>
      <c r="E1098" s="59"/>
      <c r="R1098" s="84"/>
      <c r="T1098" s="59"/>
    </row>
    <row r="1099" spans="1:20">
      <c r="A1099" s="37">
        <f t="shared" si="69"/>
        <v>1098</v>
      </c>
      <c r="B1099" s="84"/>
      <c r="D1099" s="59"/>
      <c r="E1099" s="59"/>
      <c r="R1099" s="84"/>
      <c r="T1099" s="59"/>
    </row>
    <row r="1100" spans="1:20">
      <c r="A1100" s="37">
        <f t="shared" si="69"/>
        <v>1099</v>
      </c>
      <c r="B1100" s="84"/>
      <c r="D1100" s="59"/>
      <c r="E1100" s="59"/>
      <c r="R1100" s="84"/>
      <c r="T1100" s="59"/>
    </row>
    <row r="1101" spans="1:20">
      <c r="A1101" s="37">
        <f t="shared" si="69"/>
        <v>1100</v>
      </c>
      <c r="B1101" s="84"/>
      <c r="D1101" s="59"/>
      <c r="E1101" s="59"/>
      <c r="R1101" s="84"/>
      <c r="T1101" s="59"/>
    </row>
    <row r="1102" spans="1:20">
      <c r="A1102" s="37">
        <f t="shared" si="69"/>
        <v>1101</v>
      </c>
      <c r="B1102" s="84"/>
      <c r="D1102" s="59"/>
      <c r="E1102" s="59"/>
      <c r="R1102" s="84"/>
      <c r="T1102" s="59"/>
    </row>
    <row r="1103" spans="1:20">
      <c r="A1103" s="37">
        <f t="shared" si="69"/>
        <v>1102</v>
      </c>
      <c r="B1103" s="84"/>
      <c r="D1103" s="59"/>
      <c r="E1103" s="59"/>
      <c r="R1103" s="84"/>
      <c r="T1103" s="59"/>
    </row>
    <row r="1104" spans="1:20">
      <c r="A1104" s="37">
        <f t="shared" si="69"/>
        <v>1103</v>
      </c>
      <c r="B1104" s="84"/>
      <c r="D1104" s="59"/>
      <c r="E1104" s="59"/>
      <c r="R1104" s="84"/>
      <c r="T1104" s="59"/>
    </row>
    <row r="1105" spans="1:20">
      <c r="A1105" s="37">
        <f t="shared" si="69"/>
        <v>1104</v>
      </c>
      <c r="B1105" s="84"/>
      <c r="D1105" s="59"/>
      <c r="E1105" s="59"/>
      <c r="R1105" s="84"/>
      <c r="T1105" s="59"/>
    </row>
    <row r="1106" spans="1:20">
      <c r="A1106" s="37">
        <f t="shared" si="69"/>
        <v>1105</v>
      </c>
      <c r="B1106" s="84"/>
      <c r="D1106" s="59"/>
      <c r="E1106" s="59"/>
      <c r="R1106" s="84"/>
      <c r="T1106" s="59"/>
    </row>
    <row r="1107" spans="1:20">
      <c r="A1107" s="37">
        <f t="shared" si="69"/>
        <v>1106</v>
      </c>
      <c r="B1107" s="84"/>
      <c r="D1107" s="59"/>
      <c r="E1107" s="59"/>
      <c r="R1107" s="84"/>
      <c r="T1107" s="59"/>
    </row>
    <row r="1108" spans="1:20">
      <c r="A1108" s="37">
        <f t="shared" si="69"/>
        <v>1107</v>
      </c>
      <c r="B1108" s="84"/>
      <c r="D1108" s="59"/>
      <c r="E1108" s="59"/>
      <c r="R1108" s="84"/>
      <c r="T1108" s="59"/>
    </row>
    <row r="1109" spans="1:20">
      <c r="A1109" s="37">
        <f t="shared" si="69"/>
        <v>1108</v>
      </c>
      <c r="B1109" s="84"/>
      <c r="D1109" s="59"/>
      <c r="E1109" s="59"/>
      <c r="R1109" s="84"/>
      <c r="T1109" s="59"/>
    </row>
    <row r="1110" spans="1:20">
      <c r="A1110" s="37">
        <f t="shared" si="69"/>
        <v>1109</v>
      </c>
      <c r="B1110" s="84"/>
      <c r="D1110" s="59"/>
      <c r="E1110" s="59"/>
      <c r="R1110" s="84"/>
      <c r="T1110" s="59"/>
    </row>
    <row r="1111" spans="1:20">
      <c r="A1111" s="37">
        <f t="shared" si="69"/>
        <v>1110</v>
      </c>
      <c r="B1111" s="84"/>
      <c r="D1111" s="59"/>
      <c r="E1111" s="59"/>
      <c r="R1111" s="84"/>
      <c r="T1111" s="59"/>
    </row>
    <row r="1112" spans="1:20">
      <c r="A1112" s="37">
        <f t="shared" si="69"/>
        <v>1111</v>
      </c>
      <c r="B1112" s="84"/>
      <c r="D1112" s="59"/>
      <c r="E1112" s="59"/>
      <c r="R1112" s="84"/>
      <c r="T1112" s="59"/>
    </row>
    <row r="1113" spans="1:20">
      <c r="A1113" s="37">
        <f t="shared" si="69"/>
        <v>1112</v>
      </c>
      <c r="B1113" s="84"/>
      <c r="D1113" s="59"/>
      <c r="E1113" s="59"/>
      <c r="R1113" s="84"/>
      <c r="T1113" s="59"/>
    </row>
    <row r="1114" spans="1:20">
      <c r="A1114" s="37">
        <f t="shared" si="69"/>
        <v>1113</v>
      </c>
      <c r="B1114" s="84"/>
      <c r="D1114" s="59"/>
      <c r="E1114" s="59"/>
      <c r="R1114" s="84"/>
      <c r="T1114" s="59"/>
    </row>
    <row r="1115" spans="1:20">
      <c r="A1115" s="37">
        <f t="shared" si="69"/>
        <v>1114</v>
      </c>
      <c r="B1115" s="84"/>
      <c r="D1115" s="59"/>
      <c r="E1115" s="59"/>
      <c r="R1115" s="84"/>
      <c r="T1115" s="59"/>
    </row>
    <row r="1116" spans="1:20">
      <c r="A1116" s="37">
        <f t="shared" si="69"/>
        <v>1115</v>
      </c>
      <c r="B1116" s="84"/>
      <c r="D1116" s="59"/>
      <c r="E1116" s="59"/>
      <c r="R1116" s="84"/>
      <c r="T1116" s="59"/>
    </row>
    <row r="1117" spans="1:20">
      <c r="A1117" s="37">
        <f t="shared" si="69"/>
        <v>1116</v>
      </c>
      <c r="B1117" s="84"/>
      <c r="D1117" s="59"/>
      <c r="E1117" s="59"/>
      <c r="R1117" s="84"/>
      <c r="T1117" s="59"/>
    </row>
    <row r="1118" spans="1:20">
      <c r="A1118" s="37">
        <f t="shared" si="69"/>
        <v>1117</v>
      </c>
      <c r="B1118" s="84"/>
      <c r="D1118" s="59"/>
      <c r="E1118" s="59"/>
      <c r="R1118" s="84"/>
      <c r="T1118" s="59"/>
    </row>
    <row r="1119" spans="1:20">
      <c r="A1119" s="37">
        <f t="shared" si="69"/>
        <v>1118</v>
      </c>
      <c r="B1119" s="84"/>
      <c r="D1119" s="59"/>
      <c r="E1119" s="59"/>
      <c r="R1119" s="84"/>
      <c r="T1119" s="59"/>
    </row>
    <row r="1120" spans="1:20">
      <c r="A1120" s="37">
        <f t="shared" si="69"/>
        <v>1119</v>
      </c>
      <c r="B1120" s="84"/>
      <c r="D1120" s="59"/>
      <c r="E1120" s="59"/>
      <c r="R1120" s="84"/>
      <c r="T1120" s="59"/>
    </row>
    <row r="1121" spans="1:20">
      <c r="A1121" s="37">
        <f t="shared" si="69"/>
        <v>1120</v>
      </c>
      <c r="B1121" s="84"/>
      <c r="D1121" s="59"/>
      <c r="E1121" s="59"/>
      <c r="R1121" s="84"/>
      <c r="T1121" s="59"/>
    </row>
    <row r="1122" spans="1:20">
      <c r="A1122" s="37">
        <f t="shared" si="69"/>
        <v>1121</v>
      </c>
      <c r="B1122" s="84"/>
      <c r="D1122" s="59"/>
      <c r="E1122" s="59"/>
      <c r="R1122" s="84"/>
      <c r="T1122" s="59"/>
    </row>
    <row r="1123" spans="1:20">
      <c r="A1123" s="37">
        <f t="shared" si="69"/>
        <v>1122</v>
      </c>
      <c r="B1123" s="84"/>
      <c r="D1123" s="59"/>
      <c r="E1123" s="59"/>
      <c r="R1123" s="84"/>
      <c r="T1123" s="59"/>
    </row>
    <row r="1124" spans="1:20">
      <c r="A1124" s="37">
        <f t="shared" si="69"/>
        <v>1123</v>
      </c>
      <c r="B1124" s="84"/>
      <c r="D1124" s="59"/>
      <c r="E1124" s="59"/>
      <c r="R1124" s="84"/>
      <c r="T1124" s="59"/>
    </row>
    <row r="1125" spans="1:20">
      <c r="A1125" s="37">
        <f t="shared" ref="A1125:A1162" si="70">ROW()-1</f>
        <v>1124</v>
      </c>
      <c r="B1125" s="84"/>
      <c r="D1125" s="59"/>
      <c r="E1125" s="59"/>
      <c r="R1125" s="84"/>
      <c r="T1125" s="59"/>
    </row>
    <row r="1126" spans="1:20">
      <c r="A1126" s="37">
        <f t="shared" si="70"/>
        <v>1125</v>
      </c>
      <c r="B1126" s="84"/>
      <c r="D1126" s="59"/>
      <c r="E1126" s="59"/>
      <c r="R1126" s="84"/>
      <c r="T1126" s="59"/>
    </row>
    <row r="1127" spans="1:20">
      <c r="A1127" s="37">
        <f t="shared" si="70"/>
        <v>1126</v>
      </c>
      <c r="B1127" s="84"/>
      <c r="D1127" s="59"/>
      <c r="E1127" s="59"/>
      <c r="R1127" s="84"/>
      <c r="T1127" s="59"/>
    </row>
    <row r="1128" spans="1:20">
      <c r="A1128" s="37">
        <f t="shared" si="70"/>
        <v>1127</v>
      </c>
      <c r="B1128" s="84"/>
      <c r="D1128" s="59"/>
      <c r="E1128" s="59"/>
      <c r="R1128" s="84"/>
      <c r="T1128" s="59"/>
    </row>
    <row r="1129" spans="1:20">
      <c r="A1129" s="37">
        <f t="shared" si="70"/>
        <v>1128</v>
      </c>
      <c r="B1129" s="84"/>
      <c r="D1129" s="59"/>
      <c r="E1129" s="59"/>
      <c r="R1129" s="84"/>
      <c r="T1129" s="59"/>
    </row>
    <row r="1130" spans="1:20">
      <c r="A1130" s="37">
        <f t="shared" si="70"/>
        <v>1129</v>
      </c>
      <c r="B1130" s="84"/>
      <c r="D1130" s="59"/>
      <c r="E1130" s="59"/>
      <c r="R1130" s="84"/>
      <c r="T1130" s="59"/>
    </row>
    <row r="1131" spans="1:20">
      <c r="A1131" s="37">
        <f t="shared" si="70"/>
        <v>1130</v>
      </c>
      <c r="B1131" s="84"/>
      <c r="D1131" s="59"/>
      <c r="E1131" s="59"/>
      <c r="R1131" s="84"/>
      <c r="T1131" s="59"/>
    </row>
    <row r="1132" spans="1:20">
      <c r="A1132" s="37">
        <f t="shared" si="70"/>
        <v>1131</v>
      </c>
      <c r="B1132" s="84"/>
      <c r="D1132" s="59"/>
      <c r="E1132" s="59"/>
      <c r="R1132" s="84"/>
      <c r="T1132" s="59"/>
    </row>
    <row r="1133" spans="1:20">
      <c r="A1133" s="37">
        <f t="shared" si="70"/>
        <v>1132</v>
      </c>
      <c r="B1133" s="84"/>
      <c r="D1133" s="59"/>
      <c r="E1133" s="59"/>
      <c r="R1133" s="84"/>
      <c r="T1133" s="59"/>
    </row>
    <row r="1134" spans="1:20">
      <c r="A1134" s="37">
        <f t="shared" si="70"/>
        <v>1133</v>
      </c>
      <c r="B1134" s="84"/>
      <c r="D1134" s="59"/>
      <c r="E1134" s="59"/>
      <c r="R1134" s="84"/>
      <c r="T1134" s="59"/>
    </row>
    <row r="1135" spans="1:20">
      <c r="A1135" s="37">
        <f t="shared" si="70"/>
        <v>1134</v>
      </c>
      <c r="B1135" s="84"/>
      <c r="D1135" s="59"/>
      <c r="E1135" s="59"/>
      <c r="R1135" s="84"/>
      <c r="T1135" s="59"/>
    </row>
    <row r="1136" spans="1:20">
      <c r="A1136" s="37">
        <f t="shared" si="70"/>
        <v>1135</v>
      </c>
      <c r="B1136" s="84"/>
      <c r="D1136" s="59"/>
      <c r="E1136" s="59"/>
      <c r="R1136" s="84"/>
      <c r="T1136" s="59"/>
    </row>
    <row r="1137" spans="1:20">
      <c r="A1137" s="37">
        <f t="shared" si="70"/>
        <v>1136</v>
      </c>
      <c r="B1137" s="84"/>
      <c r="D1137" s="59"/>
      <c r="E1137" s="59"/>
      <c r="R1137" s="84"/>
      <c r="T1137" s="59"/>
    </row>
    <row r="1138" spans="1:20">
      <c r="A1138" s="37">
        <f t="shared" si="70"/>
        <v>1137</v>
      </c>
      <c r="B1138" s="84"/>
      <c r="D1138" s="59"/>
      <c r="E1138" s="59"/>
      <c r="R1138" s="84"/>
      <c r="T1138" s="59"/>
    </row>
    <row r="1139" spans="1:20">
      <c r="A1139" s="37">
        <f t="shared" si="70"/>
        <v>1138</v>
      </c>
      <c r="B1139" s="84"/>
      <c r="D1139" s="59"/>
      <c r="E1139" s="59"/>
      <c r="R1139" s="84"/>
      <c r="T1139" s="59"/>
    </row>
    <row r="1140" spans="1:20">
      <c r="A1140" s="37">
        <f t="shared" si="70"/>
        <v>1139</v>
      </c>
      <c r="B1140" s="84"/>
      <c r="D1140" s="59"/>
      <c r="E1140" s="59"/>
      <c r="R1140" s="84"/>
      <c r="T1140" s="59"/>
    </row>
    <row r="1141" spans="1:20">
      <c r="A1141" s="37">
        <f t="shared" si="70"/>
        <v>1140</v>
      </c>
      <c r="B1141" s="84"/>
      <c r="D1141" s="59"/>
      <c r="E1141" s="59"/>
      <c r="R1141" s="84"/>
      <c r="T1141" s="59"/>
    </row>
    <row r="1142" spans="1:20">
      <c r="A1142" s="37">
        <f t="shared" si="70"/>
        <v>1141</v>
      </c>
      <c r="B1142" s="84"/>
      <c r="D1142" s="59"/>
      <c r="E1142" s="59"/>
      <c r="R1142" s="84"/>
      <c r="T1142" s="59"/>
    </row>
    <row r="1143" spans="1:20">
      <c r="A1143" s="37">
        <f t="shared" si="70"/>
        <v>1142</v>
      </c>
      <c r="B1143" s="84"/>
      <c r="D1143" s="59"/>
      <c r="E1143" s="59"/>
      <c r="R1143" s="84"/>
      <c r="T1143" s="59"/>
    </row>
    <row r="1144" spans="1:20">
      <c r="A1144" s="37">
        <f t="shared" si="70"/>
        <v>1143</v>
      </c>
      <c r="B1144" s="84"/>
      <c r="D1144" s="59"/>
      <c r="E1144" s="59"/>
      <c r="R1144" s="84"/>
      <c r="T1144" s="59"/>
    </row>
    <row r="1145" spans="1:20">
      <c r="A1145" s="37">
        <f t="shared" si="70"/>
        <v>1144</v>
      </c>
      <c r="B1145" s="84"/>
      <c r="D1145" s="59"/>
      <c r="E1145" s="59"/>
      <c r="R1145" s="84"/>
      <c r="T1145" s="59"/>
    </row>
    <row r="1146" spans="1:20">
      <c r="A1146" s="37">
        <f t="shared" si="70"/>
        <v>1145</v>
      </c>
      <c r="B1146" s="84"/>
      <c r="D1146" s="59"/>
      <c r="E1146" s="59"/>
      <c r="R1146" s="84"/>
      <c r="T1146" s="59"/>
    </row>
    <row r="1147" spans="1:20">
      <c r="A1147" s="37">
        <f t="shared" si="70"/>
        <v>1146</v>
      </c>
      <c r="B1147" s="84"/>
      <c r="D1147" s="59"/>
      <c r="E1147" s="59"/>
      <c r="R1147" s="84"/>
      <c r="T1147" s="59"/>
    </row>
    <row r="1148" spans="1:20">
      <c r="A1148" s="37">
        <f t="shared" si="70"/>
        <v>1147</v>
      </c>
      <c r="B1148" s="84"/>
      <c r="D1148" s="59"/>
      <c r="E1148" s="59"/>
      <c r="R1148" s="84"/>
      <c r="T1148" s="59"/>
    </row>
    <row r="1149" spans="1:20">
      <c r="A1149" s="37">
        <f t="shared" si="70"/>
        <v>1148</v>
      </c>
      <c r="B1149" s="84"/>
      <c r="D1149" s="59"/>
      <c r="E1149" s="59"/>
      <c r="R1149" s="84"/>
      <c r="T1149" s="59"/>
    </row>
    <row r="1150" spans="1:20">
      <c r="A1150" s="37">
        <f t="shared" si="70"/>
        <v>1149</v>
      </c>
      <c r="B1150" s="84"/>
      <c r="D1150" s="59"/>
      <c r="E1150" s="59"/>
      <c r="R1150" s="84"/>
      <c r="T1150" s="59"/>
    </row>
    <row r="1151" spans="1:20">
      <c r="A1151" s="37">
        <f t="shared" si="70"/>
        <v>1150</v>
      </c>
      <c r="B1151" s="84"/>
      <c r="D1151" s="59"/>
      <c r="E1151" s="59"/>
      <c r="R1151" s="84"/>
      <c r="T1151" s="59"/>
    </row>
    <row r="1152" spans="1:20">
      <c r="A1152" s="37">
        <f t="shared" si="70"/>
        <v>1151</v>
      </c>
      <c r="B1152" s="84"/>
      <c r="D1152" s="59"/>
      <c r="E1152" s="59"/>
      <c r="R1152" s="84"/>
      <c r="T1152" s="59"/>
    </row>
    <row r="1153" spans="1:20">
      <c r="A1153" s="37">
        <f t="shared" si="70"/>
        <v>1152</v>
      </c>
      <c r="B1153" s="84"/>
      <c r="D1153" s="59"/>
      <c r="E1153" s="59"/>
      <c r="R1153" s="84"/>
      <c r="T1153" s="59"/>
    </row>
    <row r="1154" spans="1:20">
      <c r="A1154" s="37">
        <f t="shared" si="70"/>
        <v>1153</v>
      </c>
      <c r="B1154" s="84"/>
      <c r="D1154" s="59"/>
      <c r="E1154" s="59"/>
      <c r="R1154" s="84"/>
      <c r="T1154" s="59"/>
    </row>
    <row r="1155" spans="1:20">
      <c r="A1155" s="37">
        <f t="shared" si="70"/>
        <v>1154</v>
      </c>
      <c r="B1155" s="84"/>
      <c r="D1155" s="59"/>
      <c r="E1155" s="59"/>
      <c r="R1155" s="84"/>
      <c r="T1155" s="59"/>
    </row>
    <row r="1156" spans="1:20">
      <c r="A1156" s="37">
        <f t="shared" si="70"/>
        <v>1155</v>
      </c>
      <c r="B1156" s="84"/>
      <c r="D1156" s="59"/>
      <c r="E1156" s="59"/>
      <c r="R1156" s="84"/>
      <c r="T1156" s="59"/>
    </row>
    <row r="1157" spans="1:20">
      <c r="A1157" s="37">
        <f t="shared" si="70"/>
        <v>1156</v>
      </c>
      <c r="B1157" s="84"/>
      <c r="D1157" s="59"/>
      <c r="E1157" s="59"/>
      <c r="R1157" s="84"/>
      <c r="T1157" s="59"/>
    </row>
    <row r="1158" spans="1:20">
      <c r="A1158" s="37">
        <f t="shared" si="70"/>
        <v>1157</v>
      </c>
      <c r="B1158" s="84"/>
      <c r="D1158" s="59"/>
      <c r="E1158" s="59"/>
      <c r="R1158" s="84"/>
      <c r="T1158" s="59"/>
    </row>
    <row r="1159" spans="1:20">
      <c r="A1159" s="37">
        <f t="shared" si="70"/>
        <v>1158</v>
      </c>
      <c r="B1159" s="84"/>
      <c r="D1159" s="59"/>
      <c r="E1159" s="59"/>
      <c r="R1159" s="84"/>
      <c r="T1159" s="59"/>
    </row>
    <row r="1160" spans="1:20">
      <c r="A1160" s="37">
        <f t="shared" si="70"/>
        <v>1159</v>
      </c>
      <c r="B1160" s="84"/>
      <c r="D1160" s="59"/>
      <c r="E1160" s="59"/>
      <c r="R1160" s="84"/>
      <c r="T1160" s="59"/>
    </row>
    <row r="1161" spans="1:20">
      <c r="A1161" s="37">
        <f t="shared" si="70"/>
        <v>1160</v>
      </c>
      <c r="B1161" s="84"/>
      <c r="D1161" s="59"/>
      <c r="E1161" s="59"/>
      <c r="R1161" s="84"/>
      <c r="T1161" s="59"/>
    </row>
    <row r="1162" spans="1:20">
      <c r="A1162" s="37">
        <f t="shared" si="70"/>
        <v>1161</v>
      </c>
      <c r="B1162" s="84"/>
      <c r="D1162" s="59"/>
      <c r="E1162" s="59"/>
      <c r="R1162" s="84"/>
      <c r="T1162" s="59"/>
    </row>
    <row r="1163" spans="1:20">
      <c r="A1163" s="37">
        <f t="shared" ref="A1163:A1179" si="71">ROW()-1</f>
        <v>1162</v>
      </c>
      <c r="B1163" s="84"/>
      <c r="D1163" s="59"/>
      <c r="E1163" s="59"/>
      <c r="R1163" s="84"/>
      <c r="T1163" s="59"/>
    </row>
    <row r="1164" spans="1:20">
      <c r="A1164" s="37">
        <f t="shared" si="71"/>
        <v>1163</v>
      </c>
      <c r="B1164" s="84"/>
      <c r="D1164" s="59"/>
      <c r="E1164" s="59"/>
      <c r="R1164" s="84"/>
      <c r="T1164" s="59"/>
    </row>
    <row r="1165" spans="1:20">
      <c r="A1165" s="37">
        <f t="shared" si="71"/>
        <v>1164</v>
      </c>
      <c r="B1165" s="84"/>
      <c r="D1165" s="59"/>
      <c r="E1165" s="59"/>
      <c r="R1165" s="84"/>
      <c r="T1165" s="59"/>
    </row>
    <row r="1166" spans="1:20">
      <c r="A1166" s="37">
        <f t="shared" si="71"/>
        <v>1165</v>
      </c>
      <c r="B1166" s="84"/>
      <c r="D1166" s="59"/>
      <c r="E1166" s="59"/>
      <c r="R1166" s="84"/>
      <c r="T1166" s="59"/>
    </row>
    <row r="1167" spans="1:20">
      <c r="A1167" s="37">
        <f t="shared" si="71"/>
        <v>1166</v>
      </c>
      <c r="B1167" s="84"/>
      <c r="D1167" s="59"/>
      <c r="E1167" s="59"/>
      <c r="R1167" s="84"/>
      <c r="T1167" s="59"/>
    </row>
    <row r="1168" spans="1:20">
      <c r="A1168" s="37">
        <f t="shared" si="71"/>
        <v>1167</v>
      </c>
      <c r="B1168" s="84"/>
      <c r="D1168" s="59"/>
      <c r="E1168" s="59"/>
      <c r="R1168" s="84"/>
      <c r="T1168" s="59"/>
    </row>
    <row r="1169" spans="1:20">
      <c r="A1169" s="37">
        <f t="shared" si="71"/>
        <v>1168</v>
      </c>
      <c r="B1169" s="84"/>
      <c r="D1169" s="59"/>
      <c r="E1169" s="59"/>
      <c r="R1169" s="84"/>
      <c r="T1169" s="59"/>
    </row>
    <row r="1170" spans="1:20">
      <c r="A1170" s="37">
        <f t="shared" si="71"/>
        <v>1169</v>
      </c>
      <c r="B1170" s="84"/>
      <c r="D1170" s="59"/>
      <c r="E1170" s="59"/>
      <c r="R1170" s="84"/>
      <c r="T1170" s="59"/>
    </row>
    <row r="1171" spans="1:20">
      <c r="A1171" s="37">
        <f t="shared" si="71"/>
        <v>1170</v>
      </c>
      <c r="B1171" s="84"/>
      <c r="D1171" s="59"/>
      <c r="E1171" s="59"/>
      <c r="R1171" s="84"/>
      <c r="T1171" s="59"/>
    </row>
    <row r="1172" spans="1:20">
      <c r="A1172" s="37">
        <f t="shared" si="71"/>
        <v>1171</v>
      </c>
      <c r="B1172" s="84"/>
      <c r="D1172" s="59"/>
      <c r="E1172" s="59"/>
      <c r="R1172" s="84"/>
      <c r="T1172" s="59"/>
    </row>
    <row r="1173" spans="1:20">
      <c r="A1173" s="37">
        <f t="shared" si="71"/>
        <v>1172</v>
      </c>
      <c r="B1173" s="84"/>
      <c r="D1173" s="59"/>
      <c r="E1173" s="59"/>
      <c r="R1173" s="84"/>
      <c r="T1173" s="59"/>
    </row>
    <row r="1174" spans="1:20">
      <c r="A1174" s="37">
        <f t="shared" si="71"/>
        <v>1173</v>
      </c>
      <c r="B1174" s="84"/>
      <c r="D1174" s="59"/>
      <c r="E1174" s="59"/>
      <c r="R1174" s="84"/>
      <c r="T1174" s="59"/>
    </row>
    <row r="1175" spans="1:20">
      <c r="A1175" s="37">
        <f t="shared" si="71"/>
        <v>1174</v>
      </c>
      <c r="B1175" s="84"/>
      <c r="D1175" s="59"/>
      <c r="E1175" s="59"/>
      <c r="R1175" s="84"/>
      <c r="T1175" s="59"/>
    </row>
    <row r="1176" spans="1:20">
      <c r="A1176" s="37">
        <f t="shared" si="71"/>
        <v>1175</v>
      </c>
      <c r="B1176" s="84"/>
      <c r="D1176" s="59"/>
      <c r="E1176" s="59"/>
      <c r="R1176" s="84"/>
      <c r="T1176" s="59"/>
    </row>
    <row r="1177" spans="1:20">
      <c r="A1177" s="37">
        <f t="shared" si="71"/>
        <v>1176</v>
      </c>
      <c r="B1177" s="84"/>
      <c r="D1177" s="59"/>
      <c r="E1177" s="59"/>
      <c r="R1177" s="84"/>
      <c r="T1177" s="59"/>
    </row>
    <row r="1178" spans="1:20">
      <c r="A1178" s="37">
        <f t="shared" si="71"/>
        <v>1177</v>
      </c>
      <c r="B1178" s="84"/>
      <c r="D1178" s="59"/>
      <c r="E1178" s="59"/>
      <c r="R1178" s="84"/>
      <c r="T1178" s="59"/>
    </row>
    <row r="1179" spans="1:20">
      <c r="A1179" s="37">
        <f t="shared" si="71"/>
        <v>1178</v>
      </c>
      <c r="B1179" s="84"/>
      <c r="D1179" s="59"/>
      <c r="E1179" s="59"/>
      <c r="R1179" s="84"/>
      <c r="T1179" s="59"/>
    </row>
    <row r="1180" spans="1:20">
      <c r="A1180" s="37">
        <f t="shared" ref="A1180:A1206" si="72">ROW()-1</f>
        <v>1179</v>
      </c>
      <c r="B1180" s="84"/>
      <c r="D1180" s="59"/>
      <c r="E1180" s="59"/>
      <c r="R1180" s="84"/>
      <c r="T1180" s="59"/>
    </row>
    <row r="1181" spans="1:20">
      <c r="A1181" s="37">
        <f t="shared" si="72"/>
        <v>1180</v>
      </c>
      <c r="B1181" s="84"/>
      <c r="D1181" s="59"/>
      <c r="E1181" s="59"/>
      <c r="R1181" s="84"/>
      <c r="T1181" s="59"/>
    </row>
    <row r="1182" spans="1:20">
      <c r="A1182" s="37">
        <f t="shared" si="72"/>
        <v>1181</v>
      </c>
      <c r="B1182" s="84"/>
      <c r="D1182" s="59"/>
      <c r="E1182" s="59"/>
      <c r="R1182" s="84"/>
      <c r="T1182" s="59"/>
    </row>
    <row r="1183" spans="1:20">
      <c r="A1183" s="37">
        <f t="shared" si="72"/>
        <v>1182</v>
      </c>
      <c r="B1183" s="84"/>
      <c r="D1183" s="59"/>
      <c r="E1183" s="59"/>
      <c r="R1183" s="84"/>
      <c r="T1183" s="59"/>
    </row>
    <row r="1184" spans="1:20">
      <c r="A1184" s="37">
        <f t="shared" si="72"/>
        <v>1183</v>
      </c>
      <c r="B1184" s="84"/>
      <c r="D1184" s="59"/>
      <c r="E1184" s="59"/>
      <c r="R1184" s="84"/>
      <c r="T1184" s="59"/>
    </row>
    <row r="1185" spans="1:20">
      <c r="A1185" s="37">
        <f t="shared" si="72"/>
        <v>1184</v>
      </c>
      <c r="B1185" s="84"/>
      <c r="D1185" s="59"/>
      <c r="E1185" s="59"/>
      <c r="R1185" s="84"/>
      <c r="T1185" s="59"/>
    </row>
    <row r="1186" spans="1:20">
      <c r="A1186" s="37">
        <f t="shared" si="72"/>
        <v>1185</v>
      </c>
      <c r="B1186" s="84"/>
      <c r="D1186" s="59"/>
      <c r="E1186" s="59"/>
      <c r="R1186" s="84"/>
      <c r="T1186" s="59"/>
    </row>
    <row r="1187" spans="1:20">
      <c r="A1187" s="37">
        <f t="shared" si="72"/>
        <v>1186</v>
      </c>
      <c r="B1187" s="84"/>
      <c r="D1187" s="59"/>
      <c r="E1187" s="59"/>
      <c r="R1187" s="84"/>
      <c r="T1187" s="59"/>
    </row>
    <row r="1188" spans="1:20">
      <c r="A1188" s="37">
        <f t="shared" si="72"/>
        <v>1187</v>
      </c>
      <c r="B1188" s="84"/>
      <c r="D1188" s="59"/>
      <c r="E1188" s="59"/>
      <c r="R1188" s="84"/>
      <c r="T1188" s="59"/>
    </row>
    <row r="1189" spans="1:20">
      <c r="A1189" s="37">
        <f t="shared" si="72"/>
        <v>1188</v>
      </c>
      <c r="B1189" s="84"/>
      <c r="D1189" s="59"/>
      <c r="E1189" s="59"/>
      <c r="R1189" s="84"/>
      <c r="T1189" s="59"/>
    </row>
    <row r="1190" spans="1:20">
      <c r="A1190" s="37">
        <f t="shared" si="72"/>
        <v>1189</v>
      </c>
      <c r="B1190" s="84"/>
      <c r="D1190" s="59"/>
      <c r="E1190" s="59"/>
      <c r="R1190" s="84"/>
      <c r="T1190" s="59"/>
    </row>
    <row r="1191" spans="1:20">
      <c r="A1191" s="37">
        <f t="shared" si="72"/>
        <v>1190</v>
      </c>
      <c r="B1191" s="84"/>
      <c r="D1191" s="59"/>
      <c r="E1191" s="59"/>
      <c r="R1191" s="84"/>
      <c r="T1191" s="59"/>
    </row>
    <row r="1192" spans="1:20">
      <c r="A1192" s="37">
        <f t="shared" si="72"/>
        <v>1191</v>
      </c>
      <c r="B1192" s="84"/>
      <c r="D1192" s="59"/>
      <c r="E1192" s="59"/>
      <c r="R1192" s="84"/>
      <c r="T1192" s="59"/>
    </row>
    <row r="1193" spans="1:20">
      <c r="A1193" s="37">
        <f t="shared" si="72"/>
        <v>1192</v>
      </c>
      <c r="B1193" s="84"/>
      <c r="D1193" s="59"/>
      <c r="E1193" s="59"/>
      <c r="R1193" s="84"/>
      <c r="T1193" s="59"/>
    </row>
    <row r="1194" spans="1:20">
      <c r="A1194" s="37">
        <f t="shared" si="72"/>
        <v>1193</v>
      </c>
      <c r="B1194" s="84"/>
      <c r="D1194" s="59"/>
      <c r="E1194" s="59"/>
      <c r="R1194" s="84"/>
      <c r="T1194" s="59"/>
    </row>
    <row r="1195" spans="1:20">
      <c r="A1195" s="37">
        <f t="shared" si="72"/>
        <v>1194</v>
      </c>
      <c r="B1195" s="84"/>
      <c r="D1195" s="59"/>
      <c r="E1195" s="59"/>
      <c r="R1195" s="84"/>
      <c r="T1195" s="59"/>
    </row>
    <row r="1196" spans="1:20">
      <c r="A1196" s="37">
        <f t="shared" si="72"/>
        <v>1195</v>
      </c>
      <c r="B1196" s="84"/>
      <c r="D1196" s="59"/>
      <c r="E1196" s="59"/>
      <c r="R1196" s="84"/>
      <c r="T1196" s="59"/>
    </row>
    <row r="1197" spans="1:20">
      <c r="A1197" s="37">
        <f t="shared" si="72"/>
        <v>1196</v>
      </c>
      <c r="B1197" s="84"/>
      <c r="D1197" s="59"/>
      <c r="E1197" s="59"/>
      <c r="R1197" s="84"/>
      <c r="T1197" s="59"/>
    </row>
    <row r="1198" spans="1:20">
      <c r="A1198" s="37">
        <f t="shared" si="72"/>
        <v>1197</v>
      </c>
      <c r="B1198" s="84"/>
      <c r="D1198" s="59"/>
      <c r="E1198" s="59"/>
      <c r="R1198" s="84"/>
      <c r="T1198" s="59"/>
    </row>
    <row r="1199" spans="1:20">
      <c r="A1199" s="37">
        <f t="shared" si="72"/>
        <v>1198</v>
      </c>
      <c r="B1199" s="84"/>
      <c r="D1199" s="59"/>
      <c r="E1199" s="59"/>
      <c r="R1199" s="84"/>
      <c r="T1199" s="59"/>
    </row>
    <row r="1200" spans="1:20">
      <c r="A1200" s="37">
        <f t="shared" si="72"/>
        <v>1199</v>
      </c>
      <c r="B1200" s="84"/>
      <c r="D1200" s="59"/>
      <c r="E1200" s="59"/>
      <c r="R1200" s="84"/>
      <c r="T1200" s="59"/>
    </row>
    <row r="1201" spans="1:20">
      <c r="A1201" s="37">
        <f t="shared" si="72"/>
        <v>1200</v>
      </c>
      <c r="B1201" s="84"/>
      <c r="D1201" s="59"/>
      <c r="E1201" s="59"/>
      <c r="R1201" s="84"/>
      <c r="T1201" s="59"/>
    </row>
    <row r="1202" spans="1:20">
      <c r="A1202" s="37">
        <f t="shared" si="72"/>
        <v>1201</v>
      </c>
      <c r="B1202" s="84"/>
      <c r="D1202" s="59"/>
      <c r="E1202" s="59"/>
      <c r="R1202" s="84"/>
      <c r="T1202" s="59"/>
    </row>
    <row r="1203" spans="1:20">
      <c r="A1203" s="37">
        <f t="shared" si="72"/>
        <v>1202</v>
      </c>
      <c r="B1203" s="84"/>
      <c r="D1203" s="59"/>
      <c r="E1203" s="59"/>
      <c r="R1203" s="84"/>
      <c r="T1203" s="59"/>
    </row>
    <row r="1204" spans="1:20">
      <c r="A1204" s="37">
        <f t="shared" si="72"/>
        <v>1203</v>
      </c>
      <c r="B1204" s="84"/>
      <c r="D1204" s="59"/>
      <c r="E1204" s="59"/>
      <c r="R1204" s="84"/>
      <c r="T1204" s="59"/>
    </row>
    <row r="1205" spans="1:20">
      <c r="A1205" s="37">
        <f t="shared" si="72"/>
        <v>1204</v>
      </c>
      <c r="B1205" s="84"/>
      <c r="D1205" s="59"/>
      <c r="E1205" s="59"/>
      <c r="R1205" s="84"/>
      <c r="T1205" s="59"/>
    </row>
    <row r="1206" spans="1:20">
      <c r="A1206" s="37">
        <f t="shared" si="72"/>
        <v>1205</v>
      </c>
      <c r="B1206" s="84"/>
      <c r="D1206" s="59"/>
      <c r="E1206" s="59"/>
      <c r="R1206" s="84"/>
      <c r="T1206" s="59"/>
    </row>
    <row r="1207" spans="1:20">
      <c r="A1207" s="37">
        <f t="shared" ref="A1207:A1216" si="73">ROW()-1</f>
        <v>1206</v>
      </c>
      <c r="B1207" s="84"/>
      <c r="D1207" s="59"/>
      <c r="E1207" s="59"/>
      <c r="R1207" s="84"/>
      <c r="T1207" s="59"/>
    </row>
    <row r="1208" spans="1:20">
      <c r="A1208" s="37">
        <f t="shared" si="73"/>
        <v>1207</v>
      </c>
      <c r="B1208" s="84"/>
      <c r="D1208" s="59"/>
      <c r="E1208" s="59"/>
      <c r="R1208" s="84"/>
      <c r="T1208" s="59"/>
    </row>
    <row r="1209" spans="1:20">
      <c r="A1209" s="37">
        <f t="shared" si="73"/>
        <v>1208</v>
      </c>
      <c r="B1209" s="84"/>
      <c r="D1209" s="59"/>
      <c r="E1209" s="59"/>
      <c r="R1209" s="84"/>
      <c r="T1209" s="59"/>
    </row>
    <row r="1210" spans="1:20">
      <c r="A1210" s="37">
        <f t="shared" si="73"/>
        <v>1209</v>
      </c>
      <c r="B1210" s="84"/>
      <c r="D1210" s="59"/>
      <c r="E1210" s="59"/>
      <c r="R1210" s="84"/>
      <c r="T1210" s="59"/>
    </row>
    <row r="1211" spans="1:20">
      <c r="A1211" s="37">
        <f t="shared" si="73"/>
        <v>1210</v>
      </c>
      <c r="B1211" s="84"/>
      <c r="D1211" s="59"/>
      <c r="E1211" s="59"/>
      <c r="R1211" s="84"/>
      <c r="T1211" s="59"/>
    </row>
    <row r="1212" spans="1:20">
      <c r="A1212" s="37">
        <f t="shared" si="73"/>
        <v>1211</v>
      </c>
      <c r="B1212" s="84"/>
      <c r="D1212" s="59"/>
      <c r="E1212" s="59"/>
      <c r="R1212" s="84"/>
      <c r="T1212" s="59"/>
    </row>
    <row r="1213" spans="1:20">
      <c r="A1213" s="37">
        <f t="shared" si="73"/>
        <v>1212</v>
      </c>
      <c r="B1213" s="84"/>
      <c r="D1213" s="59"/>
      <c r="E1213" s="59"/>
      <c r="R1213" s="84"/>
      <c r="T1213" s="59"/>
    </row>
    <row r="1214" spans="1:20">
      <c r="A1214" s="37">
        <f t="shared" si="73"/>
        <v>1213</v>
      </c>
      <c r="B1214" s="84"/>
      <c r="D1214" s="59"/>
      <c r="E1214" s="59"/>
      <c r="R1214" s="84"/>
      <c r="T1214" s="59"/>
    </row>
    <row r="1215" spans="1:20">
      <c r="A1215" s="37">
        <f t="shared" si="73"/>
        <v>1214</v>
      </c>
      <c r="B1215" s="84"/>
      <c r="D1215" s="59"/>
      <c r="E1215" s="59"/>
      <c r="R1215" s="84"/>
      <c r="T1215" s="59"/>
    </row>
    <row r="1216" spans="1:20">
      <c r="A1216" s="37">
        <f t="shared" si="73"/>
        <v>1215</v>
      </c>
      <c r="B1216" s="84"/>
      <c r="D1216" s="59"/>
      <c r="E1216" s="59"/>
      <c r="R1216" s="84"/>
      <c r="T1216" s="59"/>
    </row>
    <row r="1217" spans="1:20">
      <c r="A1217" s="37">
        <f t="shared" ref="A1217:A1262" si="74">ROW()-1</f>
        <v>1216</v>
      </c>
      <c r="B1217" s="84"/>
      <c r="D1217" s="59"/>
      <c r="E1217" s="59"/>
      <c r="R1217" s="84"/>
      <c r="T1217" s="59"/>
    </row>
    <row r="1218" spans="1:20">
      <c r="A1218" s="37">
        <f t="shared" si="74"/>
        <v>1217</v>
      </c>
      <c r="B1218" s="84"/>
      <c r="D1218" s="59"/>
      <c r="E1218" s="59"/>
      <c r="R1218" s="84"/>
      <c r="T1218" s="59"/>
    </row>
    <row r="1219" spans="1:20">
      <c r="A1219" s="37">
        <f t="shared" si="74"/>
        <v>1218</v>
      </c>
      <c r="B1219" s="84"/>
      <c r="D1219" s="59"/>
      <c r="E1219" s="59"/>
      <c r="R1219" s="84"/>
      <c r="T1219" s="59"/>
    </row>
    <row r="1220" spans="1:20">
      <c r="A1220" s="37">
        <f t="shared" si="74"/>
        <v>1219</v>
      </c>
      <c r="B1220" s="84"/>
      <c r="D1220" s="59"/>
      <c r="E1220" s="59"/>
      <c r="R1220" s="84"/>
      <c r="T1220" s="59"/>
    </row>
    <row r="1221" spans="1:20">
      <c r="A1221" s="37">
        <f t="shared" si="74"/>
        <v>1220</v>
      </c>
      <c r="B1221" s="84"/>
      <c r="D1221" s="59"/>
      <c r="E1221" s="59"/>
      <c r="R1221" s="84"/>
      <c r="T1221" s="59"/>
    </row>
    <row r="1222" spans="1:20">
      <c r="A1222" s="37">
        <f t="shared" si="74"/>
        <v>1221</v>
      </c>
      <c r="B1222" s="84"/>
      <c r="D1222" s="59"/>
      <c r="E1222" s="59"/>
      <c r="R1222" s="84"/>
      <c r="T1222" s="59"/>
    </row>
    <row r="1223" spans="1:20">
      <c r="A1223" s="37">
        <f t="shared" si="74"/>
        <v>1222</v>
      </c>
      <c r="B1223" s="84"/>
      <c r="D1223" s="59"/>
      <c r="E1223" s="59"/>
      <c r="R1223" s="84"/>
      <c r="T1223" s="59"/>
    </row>
    <row r="1224" spans="1:20">
      <c r="A1224" s="37">
        <f t="shared" si="74"/>
        <v>1223</v>
      </c>
      <c r="B1224" s="84"/>
      <c r="D1224" s="59"/>
      <c r="E1224" s="59"/>
      <c r="R1224" s="84"/>
      <c r="T1224" s="59"/>
    </row>
    <row r="1225" spans="1:20">
      <c r="A1225" s="37">
        <f t="shared" si="74"/>
        <v>1224</v>
      </c>
      <c r="B1225" s="84"/>
      <c r="D1225" s="59"/>
      <c r="E1225" s="59"/>
      <c r="R1225" s="84"/>
      <c r="T1225" s="59"/>
    </row>
    <row r="1226" spans="1:20">
      <c r="A1226" s="37">
        <f t="shared" si="74"/>
        <v>1225</v>
      </c>
      <c r="B1226" s="84"/>
      <c r="D1226" s="59"/>
      <c r="E1226" s="59"/>
      <c r="R1226" s="84"/>
      <c r="T1226" s="59"/>
    </row>
    <row r="1227" spans="1:20">
      <c r="A1227" s="37">
        <f t="shared" si="74"/>
        <v>1226</v>
      </c>
      <c r="B1227" s="84"/>
      <c r="D1227" s="59"/>
      <c r="E1227" s="59"/>
      <c r="R1227" s="84"/>
      <c r="T1227" s="59"/>
    </row>
    <row r="1228" spans="1:20">
      <c r="A1228" s="37">
        <f t="shared" si="74"/>
        <v>1227</v>
      </c>
      <c r="B1228" s="84"/>
      <c r="D1228" s="59"/>
      <c r="E1228" s="59"/>
      <c r="R1228" s="84"/>
      <c r="T1228" s="59"/>
    </row>
    <row r="1229" spans="1:20">
      <c r="A1229" s="37">
        <f t="shared" si="74"/>
        <v>1228</v>
      </c>
      <c r="B1229" s="84"/>
      <c r="D1229" s="59"/>
      <c r="E1229" s="59"/>
      <c r="R1229" s="84"/>
      <c r="T1229" s="59"/>
    </row>
    <row r="1230" spans="1:20">
      <c r="A1230" s="37">
        <f t="shared" si="74"/>
        <v>1229</v>
      </c>
      <c r="B1230" s="84"/>
      <c r="D1230" s="59"/>
      <c r="E1230" s="59"/>
      <c r="R1230" s="84"/>
      <c r="T1230" s="59"/>
    </row>
    <row r="1231" spans="1:20">
      <c r="A1231" s="37">
        <f t="shared" si="74"/>
        <v>1230</v>
      </c>
      <c r="B1231" s="84"/>
      <c r="D1231" s="59"/>
      <c r="E1231" s="59"/>
      <c r="R1231" s="84"/>
      <c r="T1231" s="59"/>
    </row>
    <row r="1232" spans="1:20">
      <c r="A1232" s="37">
        <f t="shared" si="74"/>
        <v>1231</v>
      </c>
      <c r="B1232" s="84"/>
      <c r="D1232" s="59"/>
      <c r="E1232" s="59"/>
      <c r="R1232" s="84"/>
      <c r="T1232" s="59"/>
    </row>
    <row r="1233" spans="1:20">
      <c r="A1233" s="37">
        <f t="shared" si="74"/>
        <v>1232</v>
      </c>
      <c r="B1233" s="84"/>
      <c r="D1233" s="59"/>
      <c r="E1233" s="59"/>
      <c r="R1233" s="84"/>
      <c r="T1233" s="59"/>
    </row>
    <row r="1234" spans="1:20">
      <c r="A1234" s="37">
        <f t="shared" si="74"/>
        <v>1233</v>
      </c>
      <c r="B1234" s="84"/>
      <c r="D1234" s="59"/>
      <c r="E1234" s="59"/>
      <c r="R1234" s="84"/>
      <c r="T1234" s="59"/>
    </row>
    <row r="1235" spans="1:20">
      <c r="A1235" s="37">
        <f t="shared" si="74"/>
        <v>1234</v>
      </c>
      <c r="B1235" s="84"/>
      <c r="D1235" s="59"/>
      <c r="E1235" s="59"/>
      <c r="R1235" s="84"/>
      <c r="T1235" s="59"/>
    </row>
    <row r="1236" spans="1:20">
      <c r="A1236" s="37">
        <f t="shared" si="74"/>
        <v>1235</v>
      </c>
      <c r="B1236" s="84"/>
      <c r="D1236" s="59"/>
      <c r="E1236" s="59"/>
      <c r="R1236" s="84"/>
      <c r="T1236" s="59"/>
    </row>
    <row r="1237" spans="1:20">
      <c r="A1237" s="37">
        <f t="shared" si="74"/>
        <v>1236</v>
      </c>
      <c r="B1237" s="84"/>
      <c r="D1237" s="59"/>
      <c r="E1237" s="59"/>
      <c r="R1237" s="84"/>
      <c r="T1237" s="59"/>
    </row>
    <row r="1238" spans="1:20">
      <c r="A1238" s="37">
        <f t="shared" si="74"/>
        <v>1237</v>
      </c>
      <c r="B1238" s="84"/>
      <c r="D1238" s="59"/>
      <c r="E1238" s="59"/>
      <c r="R1238" s="84"/>
      <c r="T1238" s="59"/>
    </row>
    <row r="1239" spans="1:20">
      <c r="A1239" s="37">
        <f t="shared" si="74"/>
        <v>1238</v>
      </c>
      <c r="B1239" s="84"/>
      <c r="D1239" s="59"/>
      <c r="E1239" s="59"/>
      <c r="R1239" s="84"/>
      <c r="T1239" s="59"/>
    </row>
    <row r="1240" spans="1:20">
      <c r="A1240" s="37">
        <f t="shared" si="74"/>
        <v>1239</v>
      </c>
      <c r="B1240" s="84"/>
      <c r="D1240" s="59"/>
      <c r="E1240" s="59"/>
      <c r="R1240" s="84"/>
      <c r="T1240" s="59"/>
    </row>
    <row r="1241" spans="1:20">
      <c r="A1241" s="37">
        <f t="shared" si="74"/>
        <v>1240</v>
      </c>
      <c r="B1241" s="84"/>
      <c r="D1241" s="59"/>
      <c r="E1241" s="59"/>
      <c r="R1241" s="84"/>
      <c r="T1241" s="59"/>
    </row>
    <row r="1242" spans="1:20">
      <c r="A1242" s="37">
        <f t="shared" si="74"/>
        <v>1241</v>
      </c>
      <c r="B1242" s="84"/>
      <c r="D1242" s="59"/>
      <c r="E1242" s="59"/>
      <c r="R1242" s="84"/>
      <c r="T1242" s="59"/>
    </row>
    <row r="1243" spans="1:20">
      <c r="A1243" s="37">
        <f t="shared" si="74"/>
        <v>1242</v>
      </c>
      <c r="B1243" s="84"/>
      <c r="D1243" s="59"/>
      <c r="E1243" s="59"/>
      <c r="R1243" s="84"/>
      <c r="T1243" s="59"/>
    </row>
    <row r="1244" spans="1:20">
      <c r="A1244" s="37">
        <f t="shared" si="74"/>
        <v>1243</v>
      </c>
      <c r="B1244" s="84"/>
      <c r="D1244" s="59"/>
      <c r="E1244" s="59"/>
      <c r="R1244" s="84"/>
      <c r="T1244" s="59"/>
    </row>
    <row r="1245" spans="1:20">
      <c r="A1245" s="37">
        <f t="shared" si="74"/>
        <v>1244</v>
      </c>
      <c r="B1245" s="84"/>
      <c r="D1245" s="59"/>
      <c r="E1245" s="59"/>
      <c r="R1245" s="84"/>
      <c r="T1245" s="59"/>
    </row>
    <row r="1246" spans="1:20">
      <c r="A1246" s="37">
        <f t="shared" si="74"/>
        <v>1245</v>
      </c>
      <c r="B1246" s="84"/>
      <c r="D1246" s="59"/>
      <c r="E1246" s="59"/>
      <c r="R1246" s="84"/>
      <c r="T1246" s="59"/>
    </row>
    <row r="1247" spans="1:20">
      <c r="A1247" s="37">
        <f t="shared" si="74"/>
        <v>1246</v>
      </c>
      <c r="B1247" s="84"/>
      <c r="D1247" s="59"/>
      <c r="E1247" s="59"/>
      <c r="R1247" s="84"/>
      <c r="T1247" s="59"/>
    </row>
    <row r="1248" spans="1:20">
      <c r="A1248" s="37">
        <f t="shared" si="74"/>
        <v>1247</v>
      </c>
      <c r="B1248" s="84"/>
      <c r="D1248" s="59"/>
      <c r="E1248" s="59"/>
      <c r="R1248" s="84"/>
      <c r="T1248" s="59"/>
    </row>
    <row r="1249" spans="1:20">
      <c r="A1249" s="37">
        <f t="shared" si="74"/>
        <v>1248</v>
      </c>
      <c r="B1249" s="84"/>
      <c r="D1249" s="59"/>
      <c r="E1249" s="59"/>
      <c r="R1249" s="84"/>
      <c r="T1249" s="59"/>
    </row>
    <row r="1250" spans="1:20">
      <c r="A1250" s="37">
        <f t="shared" si="74"/>
        <v>1249</v>
      </c>
      <c r="B1250" s="84"/>
      <c r="D1250" s="59"/>
      <c r="E1250" s="59"/>
      <c r="R1250" s="84"/>
      <c r="T1250" s="59"/>
    </row>
    <row r="1251" spans="1:20">
      <c r="A1251" s="37">
        <f t="shared" si="74"/>
        <v>1250</v>
      </c>
      <c r="B1251" s="84"/>
      <c r="D1251" s="59"/>
      <c r="E1251" s="59"/>
      <c r="R1251" s="84"/>
      <c r="T1251" s="59"/>
    </row>
    <row r="1252" spans="1:20">
      <c r="A1252" s="37">
        <f t="shared" si="74"/>
        <v>1251</v>
      </c>
      <c r="B1252" s="84"/>
      <c r="D1252" s="59"/>
      <c r="E1252" s="59"/>
      <c r="R1252" s="84"/>
      <c r="T1252" s="59"/>
    </row>
    <row r="1253" spans="1:20">
      <c r="A1253" s="37">
        <f t="shared" si="74"/>
        <v>1252</v>
      </c>
      <c r="B1253" s="84"/>
      <c r="D1253" s="59"/>
      <c r="E1253" s="59"/>
      <c r="R1253" s="84"/>
      <c r="T1253" s="59"/>
    </row>
    <row r="1254" spans="1:20">
      <c r="A1254" s="37">
        <f t="shared" si="74"/>
        <v>1253</v>
      </c>
      <c r="B1254" s="84"/>
      <c r="D1254" s="59"/>
      <c r="E1254" s="59"/>
      <c r="R1254" s="84"/>
      <c r="T1254" s="59"/>
    </row>
    <row r="1255" spans="1:20">
      <c r="A1255" s="37">
        <f t="shared" si="74"/>
        <v>1254</v>
      </c>
      <c r="B1255" s="84"/>
      <c r="D1255" s="59"/>
      <c r="E1255" s="59"/>
      <c r="R1255" s="84"/>
      <c r="T1255" s="59"/>
    </row>
    <row r="1256" spans="1:20">
      <c r="A1256" s="37">
        <f t="shared" si="74"/>
        <v>1255</v>
      </c>
      <c r="B1256" s="84"/>
      <c r="D1256" s="59"/>
      <c r="E1256" s="59"/>
      <c r="R1256" s="84"/>
      <c r="T1256" s="59"/>
    </row>
    <row r="1257" spans="1:20">
      <c r="A1257" s="37">
        <f t="shared" si="74"/>
        <v>1256</v>
      </c>
      <c r="B1257" s="84"/>
      <c r="D1257" s="59"/>
      <c r="E1257" s="59"/>
      <c r="R1257" s="84"/>
      <c r="T1257" s="59"/>
    </row>
    <row r="1258" spans="1:20">
      <c r="A1258" s="37">
        <f t="shared" si="74"/>
        <v>1257</v>
      </c>
      <c r="B1258" s="84"/>
      <c r="D1258" s="59"/>
      <c r="E1258" s="59"/>
      <c r="R1258" s="84"/>
      <c r="T1258" s="59"/>
    </row>
    <row r="1259" spans="1:20">
      <c r="A1259" s="37">
        <f t="shared" si="74"/>
        <v>1258</v>
      </c>
      <c r="B1259" s="84"/>
      <c r="D1259" s="59"/>
      <c r="E1259" s="59"/>
      <c r="R1259" s="84"/>
      <c r="T1259" s="59"/>
    </row>
    <row r="1260" spans="1:20">
      <c r="A1260" s="37">
        <f t="shared" si="74"/>
        <v>1259</v>
      </c>
      <c r="B1260" s="84"/>
      <c r="D1260" s="59"/>
      <c r="E1260" s="59"/>
      <c r="R1260" s="84"/>
      <c r="T1260" s="59"/>
    </row>
    <row r="1261" spans="1:20">
      <c r="A1261" s="37">
        <f t="shared" si="74"/>
        <v>1260</v>
      </c>
      <c r="B1261" s="84"/>
      <c r="D1261" s="59"/>
      <c r="E1261" s="59"/>
      <c r="R1261" s="84"/>
      <c r="T1261" s="59"/>
    </row>
    <row r="1262" spans="1:20">
      <c r="A1262" s="37">
        <f t="shared" si="74"/>
        <v>1261</v>
      </c>
      <c r="B1262" s="84"/>
      <c r="D1262" s="59"/>
      <c r="E1262" s="59"/>
      <c r="R1262" s="84"/>
      <c r="T1262" s="59"/>
    </row>
    <row r="1263" spans="1:20">
      <c r="A1263" s="37">
        <f t="shared" ref="A1263:A1280" si="75">ROW()-1</f>
        <v>1262</v>
      </c>
      <c r="B1263" s="84"/>
      <c r="D1263" s="59"/>
      <c r="E1263" s="59"/>
      <c r="R1263" s="84"/>
      <c r="T1263" s="59"/>
    </row>
    <row r="1264" spans="1:20">
      <c r="A1264" s="37">
        <f t="shared" si="75"/>
        <v>1263</v>
      </c>
      <c r="B1264" s="84"/>
      <c r="D1264" s="59"/>
      <c r="E1264" s="59"/>
      <c r="R1264" s="84"/>
      <c r="T1264" s="59"/>
    </row>
    <row r="1265" spans="1:20">
      <c r="A1265" s="37">
        <f t="shared" si="75"/>
        <v>1264</v>
      </c>
      <c r="B1265" s="84"/>
      <c r="D1265" s="59"/>
      <c r="E1265" s="59"/>
      <c r="R1265" s="84"/>
      <c r="T1265" s="59"/>
    </row>
    <row r="1266" spans="1:20">
      <c r="A1266" s="37">
        <f t="shared" si="75"/>
        <v>1265</v>
      </c>
      <c r="B1266" s="84"/>
      <c r="D1266" s="59"/>
      <c r="E1266" s="59"/>
      <c r="R1266" s="84"/>
      <c r="T1266" s="59"/>
    </row>
    <row r="1267" spans="1:20">
      <c r="A1267" s="37">
        <f t="shared" si="75"/>
        <v>1266</v>
      </c>
      <c r="B1267" s="84"/>
      <c r="D1267" s="59"/>
      <c r="E1267" s="59"/>
      <c r="R1267" s="84"/>
      <c r="T1267" s="59"/>
    </row>
    <row r="1268" spans="1:20">
      <c r="A1268" s="37">
        <f t="shared" si="75"/>
        <v>1267</v>
      </c>
      <c r="B1268" s="84"/>
      <c r="D1268" s="59"/>
      <c r="E1268" s="59"/>
      <c r="R1268" s="84"/>
      <c r="T1268" s="59"/>
    </row>
    <row r="1269" spans="1:20">
      <c r="A1269" s="37">
        <f t="shared" si="75"/>
        <v>1268</v>
      </c>
      <c r="B1269" s="84"/>
      <c r="D1269" s="59"/>
      <c r="E1269" s="59"/>
      <c r="R1269" s="84"/>
      <c r="T1269" s="59"/>
    </row>
    <row r="1270" spans="1:20">
      <c r="A1270" s="37">
        <f t="shared" si="75"/>
        <v>1269</v>
      </c>
      <c r="B1270" s="84"/>
      <c r="D1270" s="59"/>
      <c r="E1270" s="59"/>
      <c r="R1270" s="84"/>
      <c r="T1270" s="59"/>
    </row>
    <row r="1271" spans="1:20">
      <c r="A1271" s="37">
        <f t="shared" si="75"/>
        <v>1270</v>
      </c>
      <c r="B1271" s="84"/>
      <c r="D1271" s="59"/>
      <c r="E1271" s="59"/>
      <c r="R1271" s="84"/>
      <c r="T1271" s="59"/>
    </row>
    <row r="1272" spans="1:20">
      <c r="A1272" s="37">
        <f t="shared" si="75"/>
        <v>1271</v>
      </c>
      <c r="B1272" s="84"/>
      <c r="D1272" s="59"/>
      <c r="E1272" s="59"/>
      <c r="R1272" s="84"/>
      <c r="T1272" s="59"/>
    </row>
    <row r="1273" spans="1:20">
      <c r="A1273" s="37">
        <f t="shared" si="75"/>
        <v>1272</v>
      </c>
      <c r="B1273" s="84"/>
      <c r="D1273" s="59"/>
      <c r="E1273" s="59"/>
      <c r="R1273" s="84"/>
      <c r="T1273" s="59"/>
    </row>
    <row r="1274" spans="1:20">
      <c r="A1274" s="37">
        <f t="shared" si="75"/>
        <v>1273</v>
      </c>
      <c r="B1274" s="84"/>
      <c r="D1274" s="59"/>
      <c r="E1274" s="59"/>
      <c r="R1274" s="84"/>
      <c r="T1274" s="59"/>
    </row>
    <row r="1275" spans="1:20">
      <c r="A1275" s="37">
        <f t="shared" si="75"/>
        <v>1274</v>
      </c>
      <c r="B1275" s="84"/>
      <c r="D1275" s="59"/>
      <c r="E1275" s="59"/>
      <c r="R1275" s="84"/>
      <c r="T1275" s="59"/>
    </row>
    <row r="1276" spans="1:20">
      <c r="A1276" s="37">
        <f t="shared" si="75"/>
        <v>1275</v>
      </c>
      <c r="B1276" s="84"/>
      <c r="D1276" s="59"/>
      <c r="E1276" s="59"/>
      <c r="R1276" s="84"/>
      <c r="T1276" s="59"/>
    </row>
    <row r="1277" spans="1:20">
      <c r="A1277" s="37">
        <f t="shared" si="75"/>
        <v>1276</v>
      </c>
      <c r="B1277" s="84"/>
      <c r="D1277" s="59"/>
      <c r="E1277" s="59"/>
      <c r="R1277" s="84"/>
      <c r="T1277" s="59"/>
    </row>
    <row r="1278" spans="1:20">
      <c r="A1278" s="37">
        <f t="shared" si="75"/>
        <v>1277</v>
      </c>
      <c r="B1278" s="84"/>
      <c r="D1278" s="59"/>
      <c r="E1278" s="59"/>
      <c r="R1278" s="84"/>
      <c r="T1278" s="59"/>
    </row>
    <row r="1279" spans="1:20">
      <c r="A1279" s="37">
        <f t="shared" si="75"/>
        <v>1278</v>
      </c>
      <c r="B1279" s="84"/>
      <c r="D1279" s="59"/>
      <c r="E1279" s="59"/>
      <c r="R1279" s="84"/>
      <c r="T1279" s="59"/>
    </row>
    <row r="1280" spans="1:20">
      <c r="A1280" s="37">
        <f t="shared" si="75"/>
        <v>1279</v>
      </c>
      <c r="B1280" s="84"/>
      <c r="D1280" s="59"/>
      <c r="E1280" s="59"/>
      <c r="R1280" s="84"/>
      <c r="T1280" s="59"/>
    </row>
    <row r="1281" spans="1:20">
      <c r="A1281" s="37">
        <f t="shared" ref="A1281:A1303" si="76">ROW()-1</f>
        <v>1280</v>
      </c>
      <c r="B1281" s="84"/>
      <c r="D1281" s="59"/>
      <c r="E1281" s="59"/>
      <c r="R1281" s="84"/>
      <c r="T1281" s="59"/>
    </row>
    <row r="1282" spans="1:20">
      <c r="A1282" s="37">
        <f t="shared" si="76"/>
        <v>1281</v>
      </c>
      <c r="B1282" s="84"/>
      <c r="D1282" s="59"/>
      <c r="E1282" s="59"/>
      <c r="R1282" s="84"/>
      <c r="T1282" s="59"/>
    </row>
    <row r="1283" spans="1:20">
      <c r="A1283" s="37">
        <f t="shared" si="76"/>
        <v>1282</v>
      </c>
      <c r="B1283" s="84"/>
      <c r="D1283" s="59"/>
      <c r="E1283" s="59"/>
      <c r="R1283" s="84"/>
      <c r="T1283" s="59"/>
    </row>
    <row r="1284" spans="1:20">
      <c r="A1284" s="37">
        <f t="shared" si="76"/>
        <v>1283</v>
      </c>
      <c r="B1284" s="84"/>
      <c r="D1284" s="59"/>
      <c r="E1284" s="59"/>
      <c r="R1284" s="84"/>
      <c r="T1284" s="59"/>
    </row>
    <row r="1285" spans="1:20">
      <c r="A1285" s="37">
        <f t="shared" si="76"/>
        <v>1284</v>
      </c>
      <c r="B1285" s="84"/>
      <c r="D1285" s="59"/>
      <c r="E1285" s="59"/>
      <c r="R1285" s="84"/>
      <c r="T1285" s="59"/>
    </row>
    <row r="1286" spans="1:20">
      <c r="A1286" s="37">
        <f t="shared" si="76"/>
        <v>1285</v>
      </c>
      <c r="B1286" s="84"/>
      <c r="D1286" s="59"/>
      <c r="E1286" s="59"/>
      <c r="R1286" s="84"/>
      <c r="T1286" s="59"/>
    </row>
    <row r="1287" spans="1:20">
      <c r="A1287" s="37">
        <f t="shared" si="76"/>
        <v>1286</v>
      </c>
      <c r="B1287" s="84"/>
      <c r="D1287" s="59"/>
      <c r="E1287" s="59"/>
      <c r="R1287" s="84"/>
      <c r="T1287" s="59"/>
    </row>
    <row r="1288" spans="1:20">
      <c r="A1288" s="37">
        <f t="shared" si="76"/>
        <v>1287</v>
      </c>
      <c r="B1288" s="84"/>
      <c r="D1288" s="59"/>
      <c r="E1288" s="59"/>
      <c r="R1288" s="84"/>
      <c r="T1288" s="59"/>
    </row>
    <row r="1289" spans="1:20">
      <c r="A1289" s="37">
        <f t="shared" si="76"/>
        <v>1288</v>
      </c>
      <c r="B1289" s="84"/>
      <c r="D1289" s="59"/>
      <c r="E1289" s="59"/>
      <c r="R1289" s="84"/>
      <c r="T1289" s="59"/>
    </row>
    <row r="1290" spans="1:20">
      <c r="A1290" s="37">
        <f t="shared" si="76"/>
        <v>1289</v>
      </c>
      <c r="B1290" s="84"/>
      <c r="D1290" s="59"/>
      <c r="E1290" s="59"/>
      <c r="F1290" s="59"/>
      <c r="R1290" s="84"/>
      <c r="T1290" s="59"/>
    </row>
    <row r="1291" spans="1:20">
      <c r="A1291" s="37">
        <f t="shared" si="76"/>
        <v>1290</v>
      </c>
      <c r="B1291" s="84"/>
      <c r="D1291" s="59"/>
      <c r="E1291" s="59"/>
      <c r="R1291" s="84"/>
      <c r="T1291" s="59"/>
    </row>
    <row r="1292" spans="1:20">
      <c r="A1292" s="37">
        <f t="shared" si="76"/>
        <v>1291</v>
      </c>
      <c r="B1292" s="84"/>
      <c r="D1292" s="59"/>
      <c r="E1292" s="59"/>
      <c r="R1292" s="84"/>
      <c r="T1292" s="59"/>
    </row>
    <row r="1293" spans="1:20">
      <c r="A1293" s="37">
        <f t="shared" si="76"/>
        <v>1292</v>
      </c>
      <c r="B1293" s="84"/>
      <c r="D1293" s="59"/>
      <c r="E1293" s="59"/>
      <c r="R1293" s="84"/>
      <c r="T1293" s="59"/>
    </row>
    <row r="1294" spans="1:20">
      <c r="A1294" s="37">
        <f t="shared" si="76"/>
        <v>1293</v>
      </c>
      <c r="B1294" s="84"/>
      <c r="D1294" s="59"/>
      <c r="E1294" s="59"/>
      <c r="R1294" s="84"/>
      <c r="T1294" s="59"/>
    </row>
    <row r="1295" spans="1:20">
      <c r="A1295" s="37">
        <f t="shared" si="76"/>
        <v>1294</v>
      </c>
      <c r="B1295" s="84"/>
      <c r="D1295" s="59"/>
      <c r="E1295" s="59"/>
      <c r="R1295" s="84"/>
      <c r="T1295" s="59"/>
    </row>
    <row r="1296" spans="1:20">
      <c r="A1296" s="37">
        <f t="shared" si="76"/>
        <v>1295</v>
      </c>
      <c r="B1296" s="84"/>
      <c r="D1296" s="59"/>
      <c r="E1296" s="59"/>
      <c r="R1296" s="84"/>
      <c r="T1296" s="59"/>
    </row>
    <row r="1297" spans="1:20">
      <c r="A1297" s="37">
        <f t="shared" si="76"/>
        <v>1296</v>
      </c>
      <c r="B1297" s="84"/>
      <c r="D1297" s="59"/>
      <c r="E1297" s="59"/>
      <c r="R1297" s="84"/>
      <c r="T1297" s="59"/>
    </row>
    <row r="1298" spans="1:20">
      <c r="A1298" s="37">
        <f t="shared" si="76"/>
        <v>1297</v>
      </c>
      <c r="B1298" s="84"/>
      <c r="D1298" s="59"/>
      <c r="E1298" s="59"/>
      <c r="R1298" s="84"/>
      <c r="T1298" s="59"/>
    </row>
    <row r="1299" spans="1:20">
      <c r="A1299" s="37">
        <f t="shared" si="76"/>
        <v>1298</v>
      </c>
      <c r="B1299" s="84"/>
      <c r="D1299" s="59"/>
      <c r="E1299" s="59"/>
      <c r="R1299" s="84"/>
      <c r="T1299" s="59"/>
    </row>
    <row r="1300" spans="1:20">
      <c r="A1300" s="37">
        <f t="shared" si="76"/>
        <v>1299</v>
      </c>
      <c r="B1300" s="84"/>
      <c r="D1300" s="59"/>
      <c r="E1300" s="59"/>
      <c r="R1300" s="84"/>
      <c r="T1300" s="59"/>
    </row>
    <row r="1301" spans="1:20">
      <c r="A1301" s="37">
        <f t="shared" si="76"/>
        <v>1300</v>
      </c>
      <c r="B1301" s="84"/>
      <c r="D1301" s="59"/>
      <c r="E1301" s="59"/>
      <c r="R1301" s="84"/>
      <c r="T1301" s="59"/>
    </row>
    <row r="1302" spans="1:20">
      <c r="A1302" s="37">
        <f t="shared" si="76"/>
        <v>1301</v>
      </c>
      <c r="B1302" s="84"/>
      <c r="D1302" s="59"/>
      <c r="E1302" s="59"/>
      <c r="R1302" s="84"/>
      <c r="T1302" s="59"/>
    </row>
    <row r="1303" spans="1:20">
      <c r="A1303" s="37">
        <f t="shared" si="76"/>
        <v>1302</v>
      </c>
      <c r="B1303" s="84"/>
      <c r="D1303" s="59"/>
      <c r="E1303" s="59"/>
      <c r="R1303" s="84"/>
      <c r="T1303" s="59"/>
    </row>
    <row r="1304" spans="1:20">
      <c r="A1304" s="37">
        <f t="shared" ref="A1304:A1310" si="77">ROW()-1</f>
        <v>1303</v>
      </c>
      <c r="B1304" s="84"/>
      <c r="D1304" s="59"/>
      <c r="E1304" s="59"/>
      <c r="R1304" s="84"/>
      <c r="T1304" s="59"/>
    </row>
    <row r="1305" spans="1:20">
      <c r="A1305" s="37">
        <f t="shared" si="77"/>
        <v>1304</v>
      </c>
      <c r="B1305" s="84"/>
      <c r="D1305" s="59"/>
      <c r="E1305" s="59"/>
      <c r="R1305" s="84"/>
      <c r="T1305" s="59"/>
    </row>
    <row r="1306" spans="1:20">
      <c r="A1306" s="37">
        <f t="shared" si="77"/>
        <v>1305</v>
      </c>
      <c r="B1306" s="84"/>
      <c r="D1306" s="59"/>
      <c r="E1306" s="59"/>
      <c r="R1306" s="84"/>
      <c r="T1306" s="59"/>
    </row>
    <row r="1307" spans="1:20">
      <c r="A1307" s="37">
        <f t="shared" si="77"/>
        <v>1306</v>
      </c>
      <c r="B1307" s="84"/>
      <c r="D1307" s="59"/>
      <c r="E1307" s="59"/>
      <c r="R1307" s="84"/>
      <c r="T1307" s="59"/>
    </row>
    <row r="1308" spans="1:20">
      <c r="A1308" s="37">
        <f t="shared" si="77"/>
        <v>1307</v>
      </c>
      <c r="B1308" s="84"/>
      <c r="D1308" s="59"/>
      <c r="E1308" s="59"/>
      <c r="R1308" s="84"/>
      <c r="T1308" s="59"/>
    </row>
    <row r="1309" spans="1:20">
      <c r="A1309" s="37">
        <f t="shared" si="77"/>
        <v>1308</v>
      </c>
      <c r="B1309" s="84"/>
      <c r="D1309" s="59"/>
      <c r="E1309" s="59"/>
      <c r="R1309" s="84"/>
      <c r="T1309" s="59"/>
    </row>
    <row r="1310" spans="1:20">
      <c r="A1310" s="37">
        <f t="shared" si="77"/>
        <v>1309</v>
      </c>
      <c r="B1310" s="84"/>
      <c r="D1310" s="59"/>
      <c r="E1310" s="59"/>
      <c r="R1310" s="84"/>
      <c r="T1310" s="59"/>
    </row>
    <row r="1311" spans="1:20">
      <c r="A1311" s="37">
        <f t="shared" ref="A1311:A1331" si="78">ROW()-1</f>
        <v>1310</v>
      </c>
      <c r="B1311" s="84"/>
      <c r="D1311" s="59"/>
      <c r="E1311" s="59"/>
      <c r="R1311" s="84"/>
      <c r="T1311" s="59"/>
    </row>
    <row r="1312" spans="1:20">
      <c r="A1312" s="37">
        <f t="shared" si="78"/>
        <v>1311</v>
      </c>
      <c r="B1312" s="84"/>
      <c r="D1312" s="59"/>
      <c r="E1312" s="59"/>
      <c r="R1312" s="84"/>
      <c r="T1312" s="59"/>
    </row>
    <row r="1313" spans="1:20">
      <c r="A1313" s="37">
        <f t="shared" si="78"/>
        <v>1312</v>
      </c>
      <c r="B1313" s="84"/>
      <c r="D1313" s="59"/>
      <c r="E1313" s="59"/>
      <c r="R1313" s="84"/>
      <c r="T1313" s="59"/>
    </row>
    <row r="1314" spans="1:20">
      <c r="A1314" s="37">
        <f t="shared" si="78"/>
        <v>1313</v>
      </c>
      <c r="B1314" s="84"/>
      <c r="D1314" s="59"/>
      <c r="E1314" s="59"/>
      <c r="R1314" s="84"/>
      <c r="T1314" s="59"/>
    </row>
    <row r="1315" spans="1:20">
      <c r="A1315" s="37">
        <f t="shared" si="78"/>
        <v>1314</v>
      </c>
      <c r="B1315" s="84"/>
      <c r="D1315" s="59"/>
      <c r="E1315" s="59"/>
      <c r="R1315" s="84"/>
      <c r="T1315" s="59"/>
    </row>
    <row r="1316" spans="1:20">
      <c r="A1316" s="37">
        <f t="shared" si="78"/>
        <v>1315</v>
      </c>
      <c r="B1316" s="84"/>
      <c r="D1316" s="59"/>
      <c r="E1316" s="59"/>
      <c r="R1316" s="84"/>
      <c r="T1316" s="59"/>
    </row>
    <row r="1317" spans="1:20">
      <c r="A1317" s="37">
        <f t="shared" si="78"/>
        <v>1316</v>
      </c>
      <c r="B1317" s="84"/>
      <c r="D1317" s="59"/>
      <c r="E1317" s="59"/>
      <c r="R1317" s="84"/>
      <c r="T1317" s="59"/>
    </row>
    <row r="1318" spans="1:20">
      <c r="A1318" s="37">
        <f t="shared" si="78"/>
        <v>1317</v>
      </c>
      <c r="B1318" s="84"/>
      <c r="D1318" s="59"/>
      <c r="E1318" s="59"/>
      <c r="R1318" s="84"/>
      <c r="T1318" s="59"/>
    </row>
    <row r="1319" spans="1:20">
      <c r="A1319" s="37">
        <f t="shared" si="78"/>
        <v>1318</v>
      </c>
      <c r="B1319" s="84"/>
      <c r="D1319" s="59"/>
      <c r="E1319" s="59"/>
      <c r="R1319" s="84"/>
      <c r="T1319" s="59"/>
    </row>
    <row r="1320" spans="1:20">
      <c r="A1320" s="37">
        <f t="shared" si="78"/>
        <v>1319</v>
      </c>
      <c r="B1320" s="84"/>
      <c r="D1320" s="59"/>
      <c r="E1320" s="59"/>
      <c r="R1320" s="84"/>
      <c r="T1320" s="59"/>
    </row>
    <row r="1321" spans="1:20">
      <c r="A1321" s="37">
        <f t="shared" si="78"/>
        <v>1320</v>
      </c>
      <c r="B1321" s="84"/>
      <c r="D1321" s="59"/>
      <c r="E1321" s="59"/>
      <c r="R1321" s="84"/>
      <c r="T1321" s="59"/>
    </row>
    <row r="1322" spans="1:20">
      <c r="A1322" s="37">
        <f t="shared" si="78"/>
        <v>1321</v>
      </c>
      <c r="B1322" s="84"/>
      <c r="D1322" s="59"/>
      <c r="E1322" s="59"/>
      <c r="R1322" s="84"/>
      <c r="T1322" s="59"/>
    </row>
    <row r="1323" spans="1:20">
      <c r="A1323" s="37">
        <f t="shared" si="78"/>
        <v>1322</v>
      </c>
      <c r="B1323" s="84"/>
      <c r="D1323" s="59"/>
      <c r="E1323" s="59"/>
      <c r="R1323" s="84"/>
      <c r="T1323" s="59"/>
    </row>
    <row r="1324" spans="1:20">
      <c r="A1324" s="37">
        <f t="shared" si="78"/>
        <v>1323</v>
      </c>
      <c r="B1324" s="84"/>
      <c r="D1324" s="59"/>
      <c r="E1324" s="59"/>
      <c r="R1324" s="84"/>
      <c r="T1324" s="59"/>
    </row>
    <row r="1325" spans="1:20">
      <c r="A1325" s="37">
        <f t="shared" si="78"/>
        <v>1324</v>
      </c>
      <c r="B1325" s="84"/>
      <c r="D1325" s="59"/>
      <c r="E1325" s="59"/>
      <c r="R1325" s="84"/>
      <c r="T1325" s="59"/>
    </row>
    <row r="1326" spans="1:20">
      <c r="A1326" s="37">
        <f t="shared" si="78"/>
        <v>1325</v>
      </c>
      <c r="B1326" s="84"/>
      <c r="D1326" s="59"/>
      <c r="E1326" s="59"/>
      <c r="R1326" s="84"/>
      <c r="T1326" s="59"/>
    </row>
    <row r="1327" spans="1:20">
      <c r="A1327" s="37">
        <f t="shared" si="78"/>
        <v>1326</v>
      </c>
      <c r="B1327" s="84"/>
      <c r="D1327" s="59"/>
      <c r="E1327" s="59"/>
      <c r="R1327" s="84"/>
      <c r="T1327" s="59"/>
    </row>
    <row r="1328" spans="1:20">
      <c r="A1328" s="37">
        <f t="shared" si="78"/>
        <v>1327</v>
      </c>
      <c r="B1328" s="84"/>
      <c r="D1328" s="59"/>
      <c r="E1328" s="59"/>
      <c r="R1328" s="84"/>
      <c r="T1328" s="59"/>
    </row>
    <row r="1329" spans="1:20">
      <c r="A1329" s="37">
        <f t="shared" si="78"/>
        <v>1328</v>
      </c>
      <c r="B1329" s="84"/>
      <c r="D1329" s="59"/>
      <c r="E1329" s="59"/>
      <c r="R1329" s="84"/>
      <c r="T1329" s="59"/>
    </row>
    <row r="1330" spans="1:20">
      <c r="A1330" s="37">
        <f t="shared" si="78"/>
        <v>1329</v>
      </c>
      <c r="B1330" s="84"/>
      <c r="D1330" s="59"/>
      <c r="E1330" s="59"/>
      <c r="R1330" s="84"/>
      <c r="T1330" s="59"/>
    </row>
    <row r="1331" spans="1:20">
      <c r="A1331" s="37">
        <f t="shared" si="78"/>
        <v>1330</v>
      </c>
      <c r="B1331" s="84"/>
      <c r="D1331" s="59"/>
      <c r="E1331" s="59"/>
      <c r="R1331" s="84"/>
      <c r="T1331" s="59"/>
    </row>
    <row r="1332" spans="1:20">
      <c r="A1332" s="37">
        <f t="shared" ref="A1332:A1346" si="79">ROW()-1</f>
        <v>1331</v>
      </c>
      <c r="B1332" s="84"/>
      <c r="D1332" s="59"/>
      <c r="E1332" s="59"/>
      <c r="R1332" s="84"/>
      <c r="T1332" s="59"/>
    </row>
    <row r="1333" spans="1:20">
      <c r="A1333" s="37">
        <f t="shared" si="79"/>
        <v>1332</v>
      </c>
      <c r="B1333" s="84"/>
      <c r="D1333" s="59"/>
      <c r="E1333" s="59"/>
      <c r="R1333" s="84"/>
      <c r="T1333" s="59"/>
    </row>
    <row r="1334" spans="1:20">
      <c r="A1334" s="37">
        <f t="shared" si="79"/>
        <v>1333</v>
      </c>
      <c r="B1334" s="84"/>
      <c r="D1334" s="59"/>
      <c r="E1334" s="59"/>
      <c r="R1334" s="84"/>
      <c r="T1334" s="59"/>
    </row>
    <row r="1335" spans="1:20">
      <c r="A1335" s="37">
        <f t="shared" si="79"/>
        <v>1334</v>
      </c>
      <c r="B1335" s="84"/>
      <c r="D1335" s="59"/>
      <c r="E1335" s="59"/>
      <c r="R1335" s="84"/>
      <c r="T1335" s="59"/>
    </row>
    <row r="1336" spans="1:20">
      <c r="A1336" s="37">
        <f t="shared" si="79"/>
        <v>1335</v>
      </c>
      <c r="B1336" s="84"/>
      <c r="D1336" s="59"/>
      <c r="E1336" s="59"/>
      <c r="R1336" s="84"/>
      <c r="T1336" s="59"/>
    </row>
    <row r="1337" spans="1:20">
      <c r="A1337" s="37">
        <f t="shared" si="79"/>
        <v>1336</v>
      </c>
      <c r="B1337" s="84"/>
      <c r="D1337" s="59"/>
      <c r="E1337" s="59"/>
      <c r="R1337" s="84"/>
      <c r="T1337" s="59"/>
    </row>
    <row r="1338" spans="1:20">
      <c r="A1338" s="37">
        <f t="shared" si="79"/>
        <v>1337</v>
      </c>
      <c r="B1338" s="84"/>
      <c r="D1338" s="59"/>
      <c r="E1338" s="59"/>
      <c r="R1338" s="84"/>
      <c r="T1338" s="59"/>
    </row>
    <row r="1339" spans="1:20">
      <c r="A1339" s="37">
        <f t="shared" si="79"/>
        <v>1338</v>
      </c>
      <c r="B1339" s="84"/>
      <c r="D1339" s="59"/>
      <c r="E1339" s="59"/>
      <c r="R1339" s="84"/>
      <c r="T1339" s="59"/>
    </row>
    <row r="1340" spans="1:20">
      <c r="A1340" s="37">
        <f t="shared" si="79"/>
        <v>1339</v>
      </c>
      <c r="B1340" s="84"/>
      <c r="D1340" s="59"/>
      <c r="E1340" s="59"/>
      <c r="R1340" s="84"/>
      <c r="T1340" s="59"/>
    </row>
    <row r="1341" spans="1:20">
      <c r="A1341" s="37">
        <f t="shared" si="79"/>
        <v>1340</v>
      </c>
      <c r="B1341" s="84"/>
      <c r="D1341" s="59"/>
      <c r="E1341" s="59"/>
      <c r="R1341" s="84"/>
      <c r="T1341" s="59"/>
    </row>
    <row r="1342" spans="1:20">
      <c r="A1342" s="37">
        <f t="shared" si="79"/>
        <v>1341</v>
      </c>
      <c r="B1342" s="84"/>
      <c r="D1342" s="59"/>
      <c r="E1342" s="59"/>
      <c r="R1342" s="84"/>
      <c r="T1342" s="59"/>
    </row>
    <row r="1343" spans="1:20">
      <c r="A1343" s="37">
        <f t="shared" si="79"/>
        <v>1342</v>
      </c>
      <c r="B1343" s="84"/>
      <c r="D1343" s="59"/>
      <c r="E1343" s="59"/>
      <c r="R1343" s="84"/>
      <c r="T1343" s="59"/>
    </row>
    <row r="1344" spans="1:20">
      <c r="A1344" s="37">
        <f t="shared" si="79"/>
        <v>1343</v>
      </c>
      <c r="B1344" s="84"/>
      <c r="D1344" s="59"/>
      <c r="E1344" s="59"/>
      <c r="R1344" s="84"/>
      <c r="T1344" s="59"/>
    </row>
    <row r="1345" spans="1:20">
      <c r="A1345" s="37">
        <f t="shared" si="79"/>
        <v>1344</v>
      </c>
      <c r="B1345" s="84"/>
      <c r="D1345" s="59"/>
      <c r="E1345" s="59"/>
      <c r="R1345" s="84"/>
      <c r="T1345" s="59"/>
    </row>
    <row r="1346" spans="1:20">
      <c r="A1346" s="37">
        <f t="shared" si="79"/>
        <v>1345</v>
      </c>
      <c r="B1346" s="84"/>
      <c r="D1346" s="59"/>
      <c r="E1346" s="59"/>
      <c r="R1346" s="84"/>
      <c r="T1346" s="59"/>
    </row>
    <row r="1347" spans="1:20">
      <c r="A1347" s="37">
        <f t="shared" ref="A1347:A1364" si="80">ROW()-1</f>
        <v>1346</v>
      </c>
      <c r="B1347" s="84"/>
      <c r="D1347" s="59"/>
      <c r="E1347" s="59"/>
      <c r="R1347" s="84"/>
      <c r="T1347" s="59"/>
    </row>
    <row r="1348" spans="1:20">
      <c r="A1348" s="37">
        <f t="shared" si="80"/>
        <v>1347</v>
      </c>
      <c r="B1348" s="84"/>
      <c r="D1348" s="59"/>
      <c r="E1348" s="59"/>
      <c r="R1348" s="84"/>
      <c r="T1348" s="59"/>
    </row>
    <row r="1349" spans="1:20">
      <c r="A1349" s="37">
        <f t="shared" si="80"/>
        <v>1348</v>
      </c>
      <c r="B1349" s="84"/>
      <c r="D1349" s="59"/>
      <c r="E1349" s="59"/>
      <c r="R1349" s="84"/>
      <c r="T1349" s="59"/>
    </row>
    <row r="1350" spans="1:20">
      <c r="A1350" s="37">
        <f t="shared" si="80"/>
        <v>1349</v>
      </c>
      <c r="B1350" s="84"/>
      <c r="D1350" s="59"/>
      <c r="E1350" s="59"/>
      <c r="R1350" s="84"/>
      <c r="T1350" s="59"/>
    </row>
    <row r="1351" spans="1:20">
      <c r="A1351" s="37">
        <f t="shared" si="80"/>
        <v>1350</v>
      </c>
      <c r="B1351" s="84"/>
      <c r="D1351" s="59"/>
      <c r="E1351" s="59"/>
      <c r="R1351" s="84"/>
      <c r="T1351" s="59"/>
    </row>
    <row r="1352" spans="1:20">
      <c r="A1352" s="37">
        <f t="shared" si="80"/>
        <v>1351</v>
      </c>
      <c r="B1352" s="84"/>
      <c r="D1352" s="59"/>
      <c r="E1352" s="59"/>
      <c r="R1352" s="84"/>
      <c r="T1352" s="59"/>
    </row>
    <row r="1353" spans="1:20">
      <c r="A1353" s="37">
        <f t="shared" si="80"/>
        <v>1352</v>
      </c>
      <c r="B1353" s="84"/>
      <c r="D1353" s="59"/>
      <c r="E1353" s="59"/>
      <c r="R1353" s="84"/>
      <c r="T1353" s="59"/>
    </row>
    <row r="1354" spans="1:20">
      <c r="A1354" s="37">
        <f t="shared" si="80"/>
        <v>1353</v>
      </c>
      <c r="B1354" s="84"/>
      <c r="D1354" s="59"/>
      <c r="E1354" s="59"/>
      <c r="R1354" s="84"/>
      <c r="T1354" s="59"/>
    </row>
    <row r="1355" spans="1:20">
      <c r="A1355" s="37">
        <f t="shared" si="80"/>
        <v>1354</v>
      </c>
      <c r="B1355" s="84"/>
      <c r="D1355" s="59"/>
      <c r="E1355" s="59"/>
      <c r="R1355" s="84"/>
      <c r="T1355" s="59"/>
    </row>
    <row r="1356" spans="1:20">
      <c r="A1356" s="37">
        <f t="shared" si="80"/>
        <v>1355</v>
      </c>
      <c r="B1356" s="84"/>
      <c r="D1356" s="59"/>
      <c r="E1356" s="59"/>
      <c r="R1356" s="84"/>
      <c r="T1356" s="59"/>
    </row>
    <row r="1357" spans="1:20">
      <c r="A1357" s="37">
        <f t="shared" si="80"/>
        <v>1356</v>
      </c>
      <c r="B1357" s="84"/>
      <c r="D1357" s="59"/>
      <c r="E1357" s="59"/>
      <c r="R1357" s="84"/>
      <c r="T1357" s="59"/>
    </row>
    <row r="1358" spans="1:20">
      <c r="A1358" s="37">
        <f t="shared" si="80"/>
        <v>1357</v>
      </c>
      <c r="B1358" s="84"/>
      <c r="D1358" s="59"/>
      <c r="E1358" s="59"/>
      <c r="R1358" s="84"/>
      <c r="T1358" s="59"/>
    </row>
    <row r="1359" spans="1:20">
      <c r="A1359" s="37">
        <f t="shared" si="80"/>
        <v>1358</v>
      </c>
      <c r="B1359" s="84"/>
      <c r="D1359" s="59"/>
      <c r="E1359" s="59"/>
      <c r="R1359" s="84"/>
      <c r="T1359" s="59"/>
    </row>
    <row r="1360" spans="1:20">
      <c r="A1360" s="37">
        <f t="shared" si="80"/>
        <v>1359</v>
      </c>
      <c r="B1360" s="84"/>
      <c r="D1360" s="59"/>
      <c r="E1360" s="59"/>
      <c r="R1360" s="84"/>
      <c r="T1360" s="59"/>
    </row>
    <row r="1361" spans="1:20">
      <c r="A1361" s="37">
        <f t="shared" si="80"/>
        <v>1360</v>
      </c>
      <c r="B1361" s="84"/>
      <c r="D1361" s="59"/>
      <c r="E1361" s="59"/>
      <c r="R1361" s="84"/>
      <c r="T1361" s="59"/>
    </row>
    <row r="1362" spans="1:20">
      <c r="A1362" s="37">
        <f t="shared" si="80"/>
        <v>1361</v>
      </c>
      <c r="B1362" s="84"/>
      <c r="D1362" s="59"/>
      <c r="E1362" s="59"/>
      <c r="R1362" s="84"/>
      <c r="T1362" s="59"/>
    </row>
    <row r="1363" spans="1:20">
      <c r="A1363" s="37">
        <f t="shared" si="80"/>
        <v>1362</v>
      </c>
      <c r="B1363" s="84"/>
      <c r="D1363" s="59"/>
      <c r="E1363" s="59"/>
      <c r="R1363" s="84"/>
      <c r="T1363" s="59"/>
    </row>
    <row r="1364" spans="1:20">
      <c r="A1364" s="37">
        <f t="shared" si="80"/>
        <v>1363</v>
      </c>
      <c r="B1364" s="84"/>
      <c r="D1364" s="59"/>
      <c r="E1364" s="59"/>
      <c r="R1364" s="84"/>
      <c r="T1364" s="59"/>
    </row>
    <row r="1365" spans="1:20">
      <c r="A1365" s="37">
        <f t="shared" ref="A1365:A1389" si="81">ROW()-1</f>
        <v>1364</v>
      </c>
      <c r="B1365" s="84"/>
      <c r="D1365" s="59"/>
      <c r="E1365" s="59"/>
      <c r="R1365" s="84"/>
      <c r="T1365" s="59"/>
    </row>
    <row r="1366" spans="1:20">
      <c r="A1366" s="37">
        <f t="shared" si="81"/>
        <v>1365</v>
      </c>
      <c r="B1366" s="84"/>
      <c r="D1366" s="59"/>
      <c r="E1366" s="59"/>
      <c r="R1366" s="84"/>
      <c r="T1366" s="59"/>
    </row>
    <row r="1367" spans="1:20">
      <c r="A1367" s="37">
        <f t="shared" si="81"/>
        <v>1366</v>
      </c>
      <c r="B1367" s="84"/>
      <c r="D1367" s="59"/>
      <c r="E1367" s="59"/>
      <c r="R1367" s="84"/>
      <c r="T1367" s="59"/>
    </row>
    <row r="1368" spans="1:20">
      <c r="A1368" s="37">
        <f t="shared" si="81"/>
        <v>1367</v>
      </c>
      <c r="B1368" s="84"/>
      <c r="D1368" s="59"/>
      <c r="E1368" s="59"/>
      <c r="R1368" s="84"/>
      <c r="T1368" s="59"/>
    </row>
    <row r="1369" spans="1:20">
      <c r="A1369" s="37">
        <f t="shared" si="81"/>
        <v>1368</v>
      </c>
      <c r="B1369" s="84"/>
      <c r="D1369" s="59"/>
      <c r="E1369" s="59"/>
      <c r="R1369" s="84"/>
      <c r="T1369" s="59"/>
    </row>
    <row r="1370" spans="1:20">
      <c r="A1370" s="37">
        <f t="shared" si="81"/>
        <v>1369</v>
      </c>
      <c r="B1370" s="84"/>
      <c r="D1370" s="59"/>
      <c r="E1370" s="59"/>
      <c r="R1370" s="84"/>
      <c r="T1370" s="59"/>
    </row>
    <row r="1371" spans="1:20">
      <c r="A1371" s="37">
        <f t="shared" si="81"/>
        <v>1370</v>
      </c>
      <c r="B1371" s="84"/>
      <c r="D1371" s="59"/>
      <c r="E1371" s="59"/>
      <c r="R1371" s="84"/>
      <c r="T1371" s="59"/>
    </row>
    <row r="1372" spans="1:20">
      <c r="A1372" s="37">
        <f t="shared" si="81"/>
        <v>1371</v>
      </c>
      <c r="B1372" s="84"/>
      <c r="D1372" s="59"/>
      <c r="E1372" s="59"/>
      <c r="R1372" s="84"/>
      <c r="T1372" s="59"/>
    </row>
    <row r="1373" spans="1:20">
      <c r="A1373" s="37">
        <f t="shared" si="81"/>
        <v>1372</v>
      </c>
      <c r="B1373" s="84"/>
      <c r="D1373" s="59"/>
      <c r="E1373" s="59"/>
      <c r="R1373" s="84"/>
      <c r="T1373" s="59"/>
    </row>
    <row r="1374" spans="1:20">
      <c r="A1374" s="37">
        <f t="shared" si="81"/>
        <v>1373</v>
      </c>
      <c r="B1374" s="84"/>
      <c r="D1374" s="59"/>
      <c r="E1374" s="59"/>
      <c r="R1374" s="84"/>
      <c r="T1374" s="59"/>
    </row>
    <row r="1375" spans="1:20">
      <c r="A1375" s="37">
        <f t="shared" si="81"/>
        <v>1374</v>
      </c>
      <c r="B1375" s="84"/>
      <c r="D1375" s="59"/>
      <c r="E1375" s="59"/>
      <c r="R1375" s="84"/>
      <c r="T1375" s="59"/>
    </row>
    <row r="1376" spans="1:20">
      <c r="A1376" s="37">
        <f t="shared" si="81"/>
        <v>1375</v>
      </c>
      <c r="B1376" s="84"/>
      <c r="D1376" s="59"/>
      <c r="E1376" s="59"/>
      <c r="R1376" s="84"/>
      <c r="T1376" s="59"/>
    </row>
    <row r="1377" spans="1:20">
      <c r="A1377" s="37">
        <f t="shared" si="81"/>
        <v>1376</v>
      </c>
      <c r="B1377" s="84"/>
      <c r="D1377" s="59"/>
      <c r="E1377" s="59"/>
      <c r="R1377" s="84"/>
      <c r="T1377" s="59"/>
    </row>
    <row r="1378" spans="1:20">
      <c r="A1378" s="37">
        <f t="shared" si="81"/>
        <v>1377</v>
      </c>
      <c r="B1378" s="84"/>
      <c r="D1378" s="59"/>
      <c r="E1378" s="59"/>
      <c r="R1378" s="84"/>
      <c r="T1378" s="59"/>
    </row>
    <row r="1379" spans="1:20">
      <c r="A1379" s="37">
        <f t="shared" si="81"/>
        <v>1378</v>
      </c>
      <c r="B1379" s="84"/>
      <c r="D1379" s="59"/>
      <c r="E1379" s="59"/>
      <c r="R1379" s="84"/>
      <c r="T1379" s="59"/>
    </row>
    <row r="1380" spans="1:20">
      <c r="A1380" s="37">
        <f t="shared" si="81"/>
        <v>1379</v>
      </c>
      <c r="B1380" s="84"/>
      <c r="D1380" s="59"/>
      <c r="E1380" s="59"/>
      <c r="R1380" s="84"/>
      <c r="T1380" s="59"/>
    </row>
    <row r="1381" spans="1:20">
      <c r="A1381" s="37">
        <f t="shared" si="81"/>
        <v>1380</v>
      </c>
      <c r="B1381" s="84"/>
      <c r="D1381" s="59"/>
      <c r="E1381" s="59"/>
      <c r="R1381" s="84"/>
      <c r="T1381" s="59"/>
    </row>
    <row r="1382" spans="1:20">
      <c r="A1382" s="37">
        <f t="shared" si="81"/>
        <v>1381</v>
      </c>
      <c r="B1382" s="84"/>
      <c r="D1382" s="59"/>
      <c r="E1382" s="59"/>
      <c r="R1382" s="84"/>
      <c r="T1382" s="59"/>
    </row>
    <row r="1383" spans="1:20">
      <c r="A1383" s="37">
        <f t="shared" si="81"/>
        <v>1382</v>
      </c>
      <c r="B1383" s="84"/>
      <c r="D1383" s="59"/>
      <c r="E1383" s="59"/>
      <c r="R1383" s="84"/>
      <c r="T1383" s="59"/>
    </row>
    <row r="1384" spans="1:20">
      <c r="A1384" s="37">
        <f t="shared" si="81"/>
        <v>1383</v>
      </c>
      <c r="B1384" s="84"/>
      <c r="D1384" s="59"/>
      <c r="E1384" s="59"/>
      <c r="R1384" s="84"/>
      <c r="T1384" s="59"/>
    </row>
    <row r="1385" spans="1:20">
      <c r="A1385" s="37">
        <f t="shared" si="81"/>
        <v>1384</v>
      </c>
      <c r="B1385" s="84"/>
      <c r="D1385" s="59"/>
      <c r="E1385" s="59"/>
      <c r="R1385" s="84"/>
      <c r="T1385" s="59"/>
    </row>
    <row r="1386" spans="1:20">
      <c r="A1386" s="37">
        <f t="shared" si="81"/>
        <v>1385</v>
      </c>
      <c r="B1386" s="84"/>
      <c r="D1386" s="59"/>
      <c r="E1386" s="59"/>
      <c r="R1386" s="84"/>
      <c r="T1386" s="59"/>
    </row>
    <row r="1387" spans="1:20">
      <c r="A1387" s="37">
        <f t="shared" si="81"/>
        <v>1386</v>
      </c>
      <c r="B1387" s="84"/>
      <c r="D1387" s="59"/>
      <c r="E1387" s="59"/>
      <c r="R1387" s="84"/>
      <c r="T1387" s="59"/>
    </row>
    <row r="1388" spans="1:20">
      <c r="A1388" s="37">
        <f t="shared" si="81"/>
        <v>1387</v>
      </c>
      <c r="B1388" s="84"/>
      <c r="D1388" s="59"/>
      <c r="E1388" s="59"/>
      <c r="R1388" s="84"/>
      <c r="T1388" s="59"/>
    </row>
    <row r="1389" spans="1:20">
      <c r="A1389" s="37">
        <f t="shared" si="81"/>
        <v>1388</v>
      </c>
      <c r="B1389" s="84"/>
      <c r="D1389" s="59"/>
      <c r="E1389" s="59"/>
      <c r="R1389" s="84"/>
      <c r="T1389" s="59"/>
    </row>
    <row r="1390" spans="1:20">
      <c r="A1390" s="37">
        <f t="shared" ref="A1390:A1401" si="82">ROW()-1</f>
        <v>1389</v>
      </c>
      <c r="B1390" s="84"/>
      <c r="D1390" s="59"/>
      <c r="E1390" s="59"/>
      <c r="R1390" s="84"/>
      <c r="T1390" s="59"/>
    </row>
    <row r="1391" spans="1:20">
      <c r="A1391" s="37">
        <f t="shared" si="82"/>
        <v>1390</v>
      </c>
      <c r="B1391" s="84"/>
      <c r="D1391" s="59"/>
      <c r="E1391" s="59"/>
      <c r="R1391" s="84"/>
      <c r="T1391" s="59"/>
    </row>
    <row r="1392" spans="1:20">
      <c r="A1392" s="37">
        <f t="shared" si="82"/>
        <v>1391</v>
      </c>
      <c r="B1392" s="84"/>
      <c r="D1392" s="59"/>
      <c r="E1392" s="59"/>
      <c r="R1392" s="84"/>
      <c r="T1392" s="59"/>
    </row>
    <row r="1393" spans="1:20">
      <c r="A1393" s="37">
        <f t="shared" si="82"/>
        <v>1392</v>
      </c>
      <c r="B1393" s="84"/>
      <c r="D1393" s="59"/>
      <c r="E1393" s="59"/>
      <c r="R1393" s="84"/>
      <c r="T1393" s="59"/>
    </row>
    <row r="1394" spans="1:20">
      <c r="A1394" s="37">
        <f t="shared" si="82"/>
        <v>1393</v>
      </c>
      <c r="B1394" s="84"/>
      <c r="D1394" s="59"/>
      <c r="E1394" s="59"/>
      <c r="R1394" s="84"/>
      <c r="T1394" s="59"/>
    </row>
    <row r="1395" spans="1:20">
      <c r="A1395" s="37">
        <f t="shared" si="82"/>
        <v>1394</v>
      </c>
      <c r="B1395" s="84"/>
      <c r="D1395" s="59"/>
      <c r="E1395" s="59"/>
      <c r="R1395" s="84"/>
      <c r="T1395" s="59"/>
    </row>
    <row r="1396" spans="1:20">
      <c r="A1396" s="37">
        <f t="shared" si="82"/>
        <v>1395</v>
      </c>
      <c r="B1396" s="84"/>
      <c r="D1396" s="59"/>
      <c r="E1396" s="59"/>
      <c r="R1396" s="84"/>
      <c r="T1396" s="59"/>
    </row>
    <row r="1397" spans="1:20">
      <c r="A1397" s="37">
        <f t="shared" si="82"/>
        <v>1396</v>
      </c>
      <c r="B1397" s="84"/>
      <c r="D1397" s="59"/>
      <c r="E1397" s="59"/>
      <c r="R1397" s="84"/>
      <c r="T1397" s="59"/>
    </row>
    <row r="1398" spans="1:20">
      <c r="A1398" s="37">
        <f t="shared" si="82"/>
        <v>1397</v>
      </c>
      <c r="B1398" s="84"/>
      <c r="D1398" s="59"/>
      <c r="E1398" s="59"/>
      <c r="R1398" s="84"/>
      <c r="T1398" s="59"/>
    </row>
    <row r="1399" spans="1:20">
      <c r="A1399" s="37">
        <f t="shared" si="82"/>
        <v>1398</v>
      </c>
      <c r="B1399" s="84"/>
      <c r="D1399" s="59"/>
      <c r="E1399" s="59"/>
      <c r="R1399" s="84"/>
      <c r="T1399" s="59"/>
    </row>
    <row r="1400" spans="1:20">
      <c r="A1400" s="37">
        <f t="shared" si="82"/>
        <v>1399</v>
      </c>
      <c r="B1400" s="84"/>
      <c r="D1400" s="59"/>
      <c r="E1400" s="59"/>
      <c r="R1400" s="84"/>
      <c r="T1400" s="59"/>
    </row>
    <row r="1401" spans="1:20">
      <c r="A1401" s="37">
        <f t="shared" si="82"/>
        <v>1400</v>
      </c>
      <c r="B1401" s="84"/>
      <c r="D1401" s="59"/>
      <c r="E1401" s="59"/>
      <c r="R1401" s="84"/>
      <c r="T1401" s="59"/>
    </row>
    <row r="1402" spans="1:20">
      <c r="A1402" s="37">
        <f t="shared" ref="A1402:A1413" si="83">ROW()-1</f>
        <v>1401</v>
      </c>
      <c r="B1402" s="84"/>
      <c r="D1402" s="59"/>
      <c r="E1402" s="59"/>
      <c r="R1402" s="84"/>
      <c r="T1402" s="59"/>
    </row>
    <row r="1403" spans="1:20">
      <c r="A1403" s="37">
        <f t="shared" si="83"/>
        <v>1402</v>
      </c>
      <c r="B1403" s="84"/>
      <c r="D1403" s="59"/>
      <c r="E1403" s="59"/>
      <c r="R1403" s="84"/>
      <c r="T1403" s="59"/>
    </row>
    <row r="1404" spans="1:20">
      <c r="A1404" s="37">
        <f t="shared" si="83"/>
        <v>1403</v>
      </c>
      <c r="B1404" s="84"/>
      <c r="D1404" s="59"/>
      <c r="E1404" s="59"/>
      <c r="R1404" s="84"/>
      <c r="T1404" s="59"/>
    </row>
    <row r="1405" spans="1:20">
      <c r="A1405" s="37">
        <f t="shared" si="83"/>
        <v>1404</v>
      </c>
      <c r="B1405" s="84"/>
      <c r="D1405" s="59"/>
      <c r="E1405" s="59"/>
      <c r="R1405" s="84"/>
      <c r="T1405" s="59"/>
    </row>
    <row r="1406" spans="1:20">
      <c r="A1406" s="37">
        <f t="shared" si="83"/>
        <v>1405</v>
      </c>
      <c r="B1406" s="84"/>
      <c r="D1406" s="59"/>
      <c r="E1406" s="59"/>
      <c r="R1406" s="84"/>
      <c r="T1406" s="59"/>
    </row>
    <row r="1407" spans="1:20">
      <c r="A1407" s="37">
        <f t="shared" si="83"/>
        <v>1406</v>
      </c>
      <c r="B1407" s="84"/>
      <c r="D1407" s="59"/>
      <c r="E1407" s="59"/>
      <c r="R1407" s="84"/>
      <c r="T1407" s="59"/>
    </row>
    <row r="1408" spans="1:20">
      <c r="A1408" s="37">
        <f t="shared" si="83"/>
        <v>1407</v>
      </c>
      <c r="B1408" s="84"/>
      <c r="D1408" s="59"/>
      <c r="E1408" s="59"/>
      <c r="R1408" s="84"/>
      <c r="T1408" s="59"/>
    </row>
    <row r="1409" spans="1:20">
      <c r="A1409" s="37">
        <f t="shared" si="83"/>
        <v>1408</v>
      </c>
      <c r="B1409" s="84"/>
      <c r="D1409" s="59"/>
      <c r="E1409" s="59"/>
      <c r="R1409" s="84"/>
      <c r="T1409" s="59"/>
    </row>
    <row r="1410" spans="1:20">
      <c r="A1410" s="37">
        <f t="shared" si="83"/>
        <v>1409</v>
      </c>
      <c r="B1410" s="84"/>
      <c r="D1410" s="59"/>
      <c r="E1410" s="59"/>
      <c r="R1410" s="84"/>
      <c r="T1410" s="59"/>
    </row>
    <row r="1411" spans="1:20">
      <c r="A1411" s="37">
        <f t="shared" si="83"/>
        <v>1410</v>
      </c>
      <c r="B1411" s="84"/>
      <c r="D1411" s="59"/>
      <c r="E1411" s="59"/>
      <c r="R1411" s="84"/>
      <c r="T1411" s="59"/>
    </row>
    <row r="1412" spans="1:20">
      <c r="A1412" s="37">
        <f t="shared" si="83"/>
        <v>1411</v>
      </c>
      <c r="B1412" s="84"/>
      <c r="D1412" s="59"/>
      <c r="E1412" s="59"/>
      <c r="R1412" s="84"/>
      <c r="T1412" s="59"/>
    </row>
    <row r="1413" spans="1:20">
      <c r="A1413" s="37">
        <f t="shared" si="83"/>
        <v>1412</v>
      </c>
      <c r="B1413" s="84"/>
      <c r="D1413" s="59"/>
      <c r="E1413" s="59"/>
      <c r="R1413" s="84"/>
      <c r="T1413" s="59"/>
    </row>
    <row r="1414" spans="1:20">
      <c r="A1414" s="37">
        <f t="shared" ref="A1414:A1445" si="84">ROW()-1</f>
        <v>1413</v>
      </c>
      <c r="B1414" s="84"/>
      <c r="D1414" s="59"/>
      <c r="E1414" s="59"/>
      <c r="R1414" s="84"/>
      <c r="T1414" s="59"/>
    </row>
    <row r="1415" spans="1:20">
      <c r="A1415" s="37">
        <f t="shared" si="84"/>
        <v>1414</v>
      </c>
      <c r="B1415" s="84"/>
      <c r="D1415" s="59"/>
      <c r="E1415" s="59"/>
      <c r="R1415" s="84"/>
      <c r="T1415" s="59"/>
    </row>
    <row r="1416" spans="1:20">
      <c r="A1416" s="37">
        <f t="shared" si="84"/>
        <v>1415</v>
      </c>
      <c r="B1416" s="84"/>
      <c r="D1416" s="59"/>
      <c r="E1416" s="59"/>
      <c r="R1416" s="84"/>
      <c r="T1416" s="59"/>
    </row>
    <row r="1417" spans="1:20">
      <c r="A1417" s="37">
        <f t="shared" si="84"/>
        <v>1416</v>
      </c>
      <c r="B1417" s="84"/>
      <c r="D1417" s="59"/>
      <c r="E1417" s="59"/>
      <c r="R1417" s="84"/>
      <c r="T1417" s="59"/>
    </row>
    <row r="1418" spans="1:20">
      <c r="A1418" s="37">
        <f t="shared" si="84"/>
        <v>1417</v>
      </c>
      <c r="B1418" s="84"/>
      <c r="D1418" s="59"/>
      <c r="E1418" s="59"/>
      <c r="R1418" s="84"/>
      <c r="T1418" s="59"/>
    </row>
    <row r="1419" spans="1:20">
      <c r="A1419" s="37">
        <f t="shared" si="84"/>
        <v>1418</v>
      </c>
      <c r="B1419" s="84"/>
      <c r="D1419" s="59"/>
      <c r="E1419" s="59"/>
      <c r="R1419" s="84"/>
      <c r="T1419" s="59"/>
    </row>
    <row r="1420" spans="1:20">
      <c r="A1420" s="37">
        <f t="shared" si="84"/>
        <v>1419</v>
      </c>
      <c r="B1420" s="84"/>
      <c r="D1420" s="59"/>
      <c r="E1420" s="59"/>
      <c r="R1420" s="84"/>
      <c r="T1420" s="59"/>
    </row>
    <row r="1421" spans="1:20">
      <c r="A1421" s="37">
        <f t="shared" si="84"/>
        <v>1420</v>
      </c>
      <c r="B1421" s="84"/>
      <c r="D1421" s="59"/>
      <c r="E1421" s="59"/>
      <c r="R1421" s="84"/>
      <c r="T1421" s="59"/>
    </row>
    <row r="1422" spans="1:20">
      <c r="A1422" s="37">
        <f t="shared" si="84"/>
        <v>1421</v>
      </c>
      <c r="B1422" s="84"/>
      <c r="D1422" s="59"/>
      <c r="E1422" s="59"/>
      <c r="R1422" s="84"/>
      <c r="T1422" s="59"/>
    </row>
    <row r="1423" spans="1:20">
      <c r="A1423" s="37">
        <f t="shared" si="84"/>
        <v>1422</v>
      </c>
      <c r="B1423" s="84"/>
      <c r="D1423" s="59"/>
      <c r="E1423" s="59"/>
      <c r="R1423" s="84"/>
      <c r="T1423" s="59"/>
    </row>
    <row r="1424" spans="1:20">
      <c r="A1424" s="37">
        <f t="shared" si="84"/>
        <v>1423</v>
      </c>
      <c r="B1424" s="84"/>
      <c r="D1424" s="59"/>
      <c r="E1424" s="59"/>
      <c r="R1424" s="84"/>
      <c r="T1424" s="59"/>
    </row>
    <row r="1425" spans="1:20">
      <c r="A1425" s="37">
        <f t="shared" si="84"/>
        <v>1424</v>
      </c>
      <c r="B1425" s="84"/>
      <c r="D1425" s="59"/>
      <c r="E1425" s="59"/>
      <c r="R1425" s="84"/>
      <c r="T1425" s="59"/>
    </row>
    <row r="1426" spans="1:20">
      <c r="A1426" s="37">
        <f t="shared" si="84"/>
        <v>1425</v>
      </c>
      <c r="B1426" s="84"/>
      <c r="D1426" s="59"/>
      <c r="E1426" s="59"/>
      <c r="R1426" s="84"/>
      <c r="T1426" s="59"/>
    </row>
    <row r="1427" spans="1:20">
      <c r="A1427" s="37">
        <f t="shared" si="84"/>
        <v>1426</v>
      </c>
      <c r="B1427" s="84"/>
      <c r="D1427" s="59"/>
      <c r="E1427" s="59"/>
      <c r="R1427" s="84"/>
      <c r="T1427" s="59"/>
    </row>
    <row r="1428" spans="1:20">
      <c r="A1428" s="37">
        <f t="shared" si="84"/>
        <v>1427</v>
      </c>
      <c r="B1428" s="84"/>
      <c r="D1428" s="59"/>
      <c r="E1428" s="59"/>
      <c r="R1428" s="84"/>
      <c r="T1428" s="59"/>
    </row>
    <row r="1429" spans="1:20">
      <c r="A1429" s="37">
        <f t="shared" si="84"/>
        <v>1428</v>
      </c>
      <c r="B1429" s="84"/>
      <c r="D1429" s="59"/>
      <c r="E1429" s="59"/>
      <c r="R1429" s="84"/>
      <c r="T1429" s="59"/>
    </row>
    <row r="1430" spans="1:20">
      <c r="A1430" s="37">
        <f t="shared" si="84"/>
        <v>1429</v>
      </c>
      <c r="B1430" s="84"/>
      <c r="D1430" s="59"/>
      <c r="E1430" s="59"/>
      <c r="R1430" s="84"/>
      <c r="T1430" s="59"/>
    </row>
    <row r="1431" spans="1:20">
      <c r="A1431" s="37">
        <f t="shared" si="84"/>
        <v>1430</v>
      </c>
      <c r="B1431" s="84"/>
      <c r="D1431" s="59"/>
      <c r="E1431" s="59"/>
      <c r="R1431" s="84"/>
      <c r="T1431" s="59"/>
    </row>
    <row r="1432" spans="1:20">
      <c r="A1432" s="37">
        <f t="shared" si="84"/>
        <v>1431</v>
      </c>
      <c r="B1432" s="84"/>
      <c r="D1432" s="59"/>
      <c r="E1432" s="59"/>
      <c r="R1432" s="84"/>
      <c r="T1432" s="59"/>
    </row>
    <row r="1433" spans="1:20">
      <c r="A1433" s="37">
        <f t="shared" si="84"/>
        <v>1432</v>
      </c>
      <c r="B1433" s="84"/>
      <c r="D1433" s="59"/>
      <c r="E1433" s="59"/>
      <c r="R1433" s="84"/>
      <c r="T1433" s="59"/>
    </row>
    <row r="1434" spans="1:20">
      <c r="A1434" s="37">
        <f t="shared" si="84"/>
        <v>1433</v>
      </c>
      <c r="B1434" s="84"/>
      <c r="D1434" s="59"/>
      <c r="E1434" s="59"/>
      <c r="R1434" s="84"/>
      <c r="T1434" s="59"/>
    </row>
    <row r="1435" spans="1:20">
      <c r="A1435" s="37">
        <f t="shared" si="84"/>
        <v>1434</v>
      </c>
      <c r="B1435" s="84"/>
      <c r="D1435" s="59"/>
      <c r="E1435" s="59"/>
      <c r="R1435" s="84"/>
      <c r="T1435" s="59"/>
    </row>
    <row r="1436" spans="1:20">
      <c r="A1436" s="37">
        <f t="shared" si="84"/>
        <v>1435</v>
      </c>
      <c r="B1436" s="84"/>
      <c r="D1436" s="59"/>
      <c r="E1436" s="59"/>
      <c r="R1436" s="84"/>
      <c r="T1436" s="59"/>
    </row>
    <row r="1437" spans="1:20">
      <c r="A1437" s="37">
        <f t="shared" si="84"/>
        <v>1436</v>
      </c>
      <c r="B1437" s="84"/>
      <c r="D1437" s="59"/>
      <c r="E1437" s="59"/>
      <c r="R1437" s="84"/>
      <c r="T1437" s="59"/>
    </row>
    <row r="1438" spans="1:20">
      <c r="A1438" s="37">
        <f t="shared" si="84"/>
        <v>1437</v>
      </c>
      <c r="B1438" s="84"/>
      <c r="D1438" s="59"/>
      <c r="E1438" s="59"/>
      <c r="R1438" s="84"/>
      <c r="T1438" s="59"/>
    </row>
    <row r="1439" spans="1:20">
      <c r="A1439" s="37">
        <f t="shared" si="84"/>
        <v>1438</v>
      </c>
      <c r="B1439" s="84"/>
      <c r="D1439" s="59"/>
      <c r="E1439" s="59"/>
      <c r="R1439" s="84"/>
      <c r="T1439" s="59"/>
    </row>
    <row r="1440" spans="1:20">
      <c r="A1440" s="37">
        <f t="shared" si="84"/>
        <v>1439</v>
      </c>
      <c r="B1440" s="84"/>
      <c r="D1440" s="59"/>
      <c r="E1440" s="59"/>
      <c r="R1440" s="84"/>
      <c r="T1440" s="59"/>
    </row>
    <row r="1441" spans="1:20">
      <c r="A1441" s="37">
        <f t="shared" si="84"/>
        <v>1440</v>
      </c>
      <c r="B1441" s="84"/>
      <c r="D1441" s="59"/>
      <c r="E1441" s="59"/>
      <c r="R1441" s="84"/>
      <c r="T1441" s="59"/>
    </row>
    <row r="1442" spans="1:20">
      <c r="A1442" s="37">
        <f t="shared" si="84"/>
        <v>1441</v>
      </c>
      <c r="B1442" s="84"/>
      <c r="D1442" s="59"/>
      <c r="E1442" s="59"/>
      <c r="R1442" s="84"/>
      <c r="T1442" s="59"/>
    </row>
    <row r="1443" spans="1:20">
      <c r="A1443" s="37">
        <f t="shared" si="84"/>
        <v>1442</v>
      </c>
      <c r="B1443" s="84"/>
      <c r="D1443" s="59"/>
      <c r="E1443" s="59"/>
      <c r="R1443" s="84"/>
      <c r="T1443" s="59"/>
    </row>
    <row r="1444" spans="1:20">
      <c r="A1444" s="37">
        <f t="shared" si="84"/>
        <v>1443</v>
      </c>
      <c r="B1444" s="84"/>
      <c r="D1444" s="59"/>
      <c r="E1444" s="59"/>
      <c r="R1444" s="84"/>
      <c r="T1444" s="59"/>
    </row>
    <row r="1445" spans="1:20">
      <c r="A1445" s="37">
        <f t="shared" si="84"/>
        <v>1444</v>
      </c>
      <c r="B1445" s="84"/>
      <c r="D1445" s="59"/>
      <c r="E1445" s="59"/>
      <c r="R1445" s="84"/>
      <c r="T1445" s="59"/>
    </row>
    <row r="1446" spans="1:20">
      <c r="A1446" s="37">
        <f t="shared" ref="A1446:A1477" si="85">ROW()-1</f>
        <v>1445</v>
      </c>
      <c r="B1446" s="84"/>
      <c r="D1446" s="59"/>
      <c r="E1446" s="59"/>
      <c r="R1446" s="84"/>
      <c r="T1446" s="59"/>
    </row>
    <row r="1447" spans="1:20">
      <c r="A1447" s="37">
        <f t="shared" si="85"/>
        <v>1446</v>
      </c>
      <c r="B1447" s="84"/>
      <c r="D1447" s="59"/>
      <c r="E1447" s="59"/>
      <c r="R1447" s="84"/>
      <c r="T1447" s="59"/>
    </row>
    <row r="1448" spans="1:20">
      <c r="A1448" s="37">
        <f t="shared" si="85"/>
        <v>1447</v>
      </c>
      <c r="B1448" s="84"/>
      <c r="D1448" s="59"/>
      <c r="E1448" s="59"/>
      <c r="R1448" s="84"/>
      <c r="T1448" s="59"/>
    </row>
    <row r="1449" spans="1:20">
      <c r="A1449" s="37">
        <f t="shared" si="85"/>
        <v>1448</v>
      </c>
      <c r="B1449" s="84"/>
      <c r="D1449" s="59"/>
      <c r="E1449" s="59"/>
      <c r="R1449" s="84"/>
      <c r="T1449" s="59"/>
    </row>
    <row r="1450" spans="1:20">
      <c r="A1450" s="37">
        <f t="shared" si="85"/>
        <v>1449</v>
      </c>
      <c r="B1450" s="84"/>
      <c r="D1450" s="59"/>
      <c r="E1450" s="59"/>
      <c r="R1450" s="84"/>
      <c r="T1450" s="59"/>
    </row>
    <row r="1451" spans="1:20">
      <c r="A1451" s="37">
        <f t="shared" si="85"/>
        <v>1450</v>
      </c>
      <c r="B1451" s="84"/>
      <c r="D1451" s="59"/>
      <c r="E1451" s="59"/>
      <c r="R1451" s="84"/>
      <c r="T1451" s="59"/>
    </row>
    <row r="1452" spans="1:20">
      <c r="A1452" s="37">
        <f t="shared" si="85"/>
        <v>1451</v>
      </c>
      <c r="B1452" s="84"/>
      <c r="D1452" s="59"/>
      <c r="E1452" s="59"/>
      <c r="R1452" s="84"/>
      <c r="T1452" s="59"/>
    </row>
    <row r="1453" spans="1:20">
      <c r="A1453" s="37">
        <f t="shared" si="85"/>
        <v>1452</v>
      </c>
      <c r="B1453" s="84"/>
      <c r="D1453" s="59"/>
      <c r="E1453" s="59"/>
      <c r="R1453" s="84"/>
      <c r="T1453" s="59"/>
    </row>
    <row r="1454" spans="1:20">
      <c r="A1454" s="37">
        <f t="shared" si="85"/>
        <v>1453</v>
      </c>
      <c r="B1454" s="84"/>
      <c r="D1454" s="59"/>
      <c r="E1454" s="59"/>
      <c r="R1454" s="84"/>
      <c r="T1454" s="59"/>
    </row>
    <row r="1455" spans="1:20">
      <c r="A1455" s="37">
        <f t="shared" si="85"/>
        <v>1454</v>
      </c>
      <c r="B1455" s="84"/>
      <c r="D1455" s="59"/>
      <c r="E1455" s="59"/>
      <c r="R1455" s="84"/>
      <c r="T1455" s="59"/>
    </row>
    <row r="1456" spans="1:20">
      <c r="A1456" s="37">
        <f t="shared" si="85"/>
        <v>1455</v>
      </c>
      <c r="B1456" s="84"/>
      <c r="D1456" s="59"/>
      <c r="E1456" s="59"/>
      <c r="R1456" s="84"/>
      <c r="T1456" s="59"/>
    </row>
    <row r="1457" spans="1:20">
      <c r="A1457" s="37">
        <f t="shared" si="85"/>
        <v>1456</v>
      </c>
      <c r="B1457" s="84"/>
      <c r="D1457" s="59"/>
      <c r="E1457" s="59"/>
      <c r="R1457" s="84"/>
      <c r="T1457" s="59"/>
    </row>
    <row r="1458" spans="1:20">
      <c r="A1458" s="37">
        <f t="shared" si="85"/>
        <v>1457</v>
      </c>
      <c r="B1458" s="84"/>
      <c r="D1458" s="59"/>
      <c r="E1458" s="59"/>
      <c r="R1458" s="84"/>
      <c r="T1458" s="59"/>
    </row>
    <row r="1459" spans="1:20">
      <c r="A1459" s="37">
        <f t="shared" si="85"/>
        <v>1458</v>
      </c>
      <c r="B1459" s="84"/>
      <c r="D1459" s="59"/>
      <c r="E1459" s="59"/>
      <c r="R1459" s="84"/>
      <c r="T1459" s="59"/>
    </row>
    <row r="1460" spans="1:20">
      <c r="A1460" s="37">
        <f t="shared" si="85"/>
        <v>1459</v>
      </c>
      <c r="B1460" s="84"/>
      <c r="D1460" s="59"/>
      <c r="E1460" s="59"/>
      <c r="R1460" s="84"/>
      <c r="T1460" s="59"/>
    </row>
    <row r="1461" spans="1:20">
      <c r="A1461" s="37">
        <f t="shared" si="85"/>
        <v>1460</v>
      </c>
      <c r="B1461" s="84"/>
      <c r="D1461" s="59"/>
      <c r="E1461" s="59"/>
      <c r="R1461" s="84"/>
      <c r="T1461" s="59"/>
    </row>
    <row r="1462" spans="1:20">
      <c r="A1462" s="37">
        <f t="shared" si="85"/>
        <v>1461</v>
      </c>
      <c r="B1462" s="84"/>
      <c r="D1462" s="59"/>
      <c r="E1462" s="59"/>
      <c r="R1462" s="84"/>
      <c r="T1462" s="59"/>
    </row>
    <row r="1463" spans="1:20">
      <c r="A1463" s="37">
        <f t="shared" si="85"/>
        <v>1462</v>
      </c>
      <c r="B1463" s="84"/>
      <c r="D1463" s="59"/>
      <c r="E1463" s="59"/>
      <c r="R1463" s="84"/>
      <c r="T1463" s="59"/>
    </row>
    <row r="1464" spans="1:20">
      <c r="A1464" s="37">
        <f t="shared" si="85"/>
        <v>1463</v>
      </c>
      <c r="B1464" s="84"/>
      <c r="D1464" s="59"/>
      <c r="E1464" s="59"/>
      <c r="R1464" s="84"/>
      <c r="T1464" s="59"/>
    </row>
    <row r="1465" spans="1:20">
      <c r="A1465" s="37">
        <f t="shared" si="85"/>
        <v>1464</v>
      </c>
      <c r="B1465" s="84"/>
      <c r="D1465" s="59"/>
      <c r="E1465" s="59"/>
      <c r="R1465" s="84"/>
      <c r="T1465" s="59"/>
    </row>
    <row r="1466" spans="1:20">
      <c r="A1466" s="37">
        <f t="shared" si="85"/>
        <v>1465</v>
      </c>
      <c r="B1466" s="84"/>
      <c r="D1466" s="59"/>
      <c r="E1466" s="59"/>
      <c r="R1466" s="84"/>
      <c r="T1466" s="59"/>
    </row>
    <row r="1467" spans="1:20">
      <c r="A1467" s="37">
        <f t="shared" si="85"/>
        <v>1466</v>
      </c>
      <c r="B1467" s="84"/>
      <c r="D1467" s="59"/>
      <c r="E1467" s="59"/>
      <c r="R1467" s="84"/>
      <c r="T1467" s="59"/>
    </row>
    <row r="1468" spans="1:20">
      <c r="A1468" s="37">
        <f t="shared" si="85"/>
        <v>1467</v>
      </c>
      <c r="B1468" s="84"/>
      <c r="D1468" s="59"/>
      <c r="E1468" s="59"/>
      <c r="R1468" s="84"/>
      <c r="T1468" s="59"/>
    </row>
    <row r="1469" spans="1:20">
      <c r="A1469" s="37">
        <f t="shared" si="85"/>
        <v>1468</v>
      </c>
      <c r="B1469" s="84"/>
      <c r="D1469" s="59"/>
      <c r="E1469" s="59"/>
      <c r="R1469" s="84"/>
      <c r="T1469" s="59"/>
    </row>
    <row r="1470" spans="1:20">
      <c r="A1470" s="37">
        <f t="shared" si="85"/>
        <v>1469</v>
      </c>
      <c r="B1470" s="84"/>
      <c r="D1470" s="59"/>
      <c r="E1470" s="59"/>
      <c r="R1470" s="84"/>
      <c r="T1470" s="59"/>
    </row>
    <row r="1471" spans="1:20">
      <c r="A1471" s="37">
        <f t="shared" si="85"/>
        <v>1470</v>
      </c>
      <c r="B1471" s="84"/>
      <c r="D1471" s="59"/>
      <c r="E1471" s="59"/>
      <c r="R1471" s="84"/>
      <c r="T1471" s="59"/>
    </row>
    <row r="1472" spans="1:20">
      <c r="A1472" s="37">
        <f t="shared" si="85"/>
        <v>1471</v>
      </c>
      <c r="B1472" s="84"/>
      <c r="D1472" s="59"/>
      <c r="E1472" s="59"/>
      <c r="R1472" s="84"/>
      <c r="T1472" s="59"/>
    </row>
    <row r="1473" spans="1:20">
      <c r="A1473" s="37">
        <f t="shared" si="85"/>
        <v>1472</v>
      </c>
      <c r="B1473" s="84"/>
      <c r="D1473" s="59"/>
      <c r="E1473" s="59"/>
      <c r="R1473" s="84"/>
      <c r="T1473" s="59"/>
    </row>
    <row r="1474" spans="1:20">
      <c r="A1474" s="37">
        <f t="shared" si="85"/>
        <v>1473</v>
      </c>
      <c r="B1474" s="84"/>
      <c r="D1474" s="59"/>
      <c r="E1474" s="59"/>
      <c r="R1474" s="84"/>
      <c r="T1474" s="59"/>
    </row>
    <row r="1475" spans="1:20">
      <c r="A1475" s="37">
        <f t="shared" si="85"/>
        <v>1474</v>
      </c>
      <c r="B1475" s="84"/>
      <c r="D1475" s="59"/>
      <c r="E1475" s="59"/>
      <c r="R1475" s="84"/>
      <c r="T1475" s="59"/>
    </row>
    <row r="1476" spans="1:20">
      <c r="A1476" s="37">
        <f t="shared" si="85"/>
        <v>1475</v>
      </c>
      <c r="B1476" s="84"/>
      <c r="D1476" s="59"/>
      <c r="E1476" s="59"/>
      <c r="R1476" s="84"/>
      <c r="T1476" s="59"/>
    </row>
    <row r="1477" spans="1:20">
      <c r="A1477" s="37">
        <f t="shared" si="85"/>
        <v>1476</v>
      </c>
      <c r="B1477" s="84"/>
      <c r="D1477" s="59"/>
      <c r="E1477" s="59"/>
      <c r="R1477" s="84"/>
      <c r="T1477" s="59"/>
    </row>
    <row r="1478" spans="1:20">
      <c r="A1478" s="37">
        <f t="shared" ref="A1478:A1502" si="86">ROW()-1</f>
        <v>1477</v>
      </c>
      <c r="B1478" s="84"/>
      <c r="D1478" s="59"/>
      <c r="E1478" s="59"/>
      <c r="R1478" s="84"/>
      <c r="T1478" s="59"/>
    </row>
    <row r="1479" spans="1:20">
      <c r="A1479" s="37">
        <f t="shared" si="86"/>
        <v>1478</v>
      </c>
      <c r="B1479" s="84"/>
      <c r="D1479" s="59"/>
      <c r="E1479" s="59"/>
      <c r="R1479" s="84"/>
      <c r="T1479" s="59"/>
    </row>
    <row r="1480" spans="1:20">
      <c r="A1480" s="37">
        <f t="shared" si="86"/>
        <v>1479</v>
      </c>
      <c r="B1480" s="84"/>
      <c r="D1480" s="59"/>
      <c r="E1480" s="59"/>
      <c r="R1480" s="84"/>
      <c r="T1480" s="59"/>
    </row>
    <row r="1481" spans="1:20">
      <c r="A1481" s="37">
        <f t="shared" si="86"/>
        <v>1480</v>
      </c>
      <c r="B1481" s="84"/>
      <c r="D1481" s="59"/>
      <c r="E1481" s="59"/>
      <c r="R1481" s="84"/>
      <c r="T1481" s="59"/>
    </row>
    <row r="1482" spans="1:20">
      <c r="A1482" s="37">
        <f t="shared" si="86"/>
        <v>1481</v>
      </c>
      <c r="B1482" s="84"/>
      <c r="D1482" s="59"/>
      <c r="E1482" s="59"/>
      <c r="R1482" s="84"/>
      <c r="T1482" s="59"/>
    </row>
    <row r="1483" spans="1:20">
      <c r="A1483" s="37">
        <f t="shared" si="86"/>
        <v>1482</v>
      </c>
      <c r="B1483" s="84"/>
      <c r="D1483" s="59"/>
      <c r="E1483" s="59"/>
      <c r="R1483" s="84"/>
      <c r="T1483" s="59"/>
    </row>
    <row r="1484" spans="1:20">
      <c r="A1484" s="37">
        <f t="shared" si="86"/>
        <v>1483</v>
      </c>
      <c r="B1484" s="84"/>
      <c r="D1484" s="59"/>
      <c r="E1484" s="59"/>
      <c r="R1484" s="84"/>
      <c r="T1484" s="59"/>
    </row>
    <row r="1485" spans="1:20">
      <c r="A1485" s="37">
        <f t="shared" si="86"/>
        <v>1484</v>
      </c>
      <c r="B1485" s="84"/>
      <c r="D1485" s="59"/>
      <c r="E1485" s="59"/>
      <c r="R1485" s="84"/>
      <c r="T1485" s="59"/>
    </row>
    <row r="1486" spans="1:20">
      <c r="A1486" s="37">
        <f t="shared" si="86"/>
        <v>1485</v>
      </c>
      <c r="B1486" s="84"/>
      <c r="D1486" s="59"/>
      <c r="E1486" s="59"/>
      <c r="R1486" s="84"/>
      <c r="T1486" s="59"/>
    </row>
    <row r="1487" spans="1:20">
      <c r="A1487" s="37">
        <f t="shared" si="86"/>
        <v>1486</v>
      </c>
      <c r="B1487" s="84"/>
      <c r="D1487" s="59"/>
      <c r="E1487" s="59"/>
      <c r="R1487" s="84"/>
      <c r="T1487" s="59"/>
    </row>
    <row r="1488" spans="1:20">
      <c r="A1488" s="37">
        <f t="shared" si="86"/>
        <v>1487</v>
      </c>
      <c r="B1488" s="84"/>
      <c r="D1488" s="59"/>
      <c r="E1488" s="59"/>
      <c r="R1488" s="84"/>
      <c r="T1488" s="59"/>
    </row>
    <row r="1489" spans="1:20">
      <c r="A1489" s="37">
        <f t="shared" si="86"/>
        <v>1488</v>
      </c>
      <c r="B1489" s="84"/>
      <c r="D1489" s="59"/>
      <c r="E1489" s="59"/>
      <c r="R1489" s="84"/>
      <c r="T1489" s="59"/>
    </row>
    <row r="1490" spans="1:20">
      <c r="A1490" s="37">
        <f t="shared" si="86"/>
        <v>1489</v>
      </c>
      <c r="B1490" s="84"/>
      <c r="D1490" s="59"/>
      <c r="E1490" s="59"/>
      <c r="R1490" s="84"/>
      <c r="T1490" s="59"/>
    </row>
    <row r="1491" spans="1:20">
      <c r="A1491" s="37">
        <f t="shared" si="86"/>
        <v>1490</v>
      </c>
      <c r="B1491" s="84"/>
      <c r="D1491" s="59"/>
      <c r="E1491" s="59"/>
      <c r="R1491" s="84"/>
      <c r="T1491" s="59"/>
    </row>
    <row r="1492" spans="1:20">
      <c r="A1492" s="37">
        <f t="shared" si="86"/>
        <v>1491</v>
      </c>
      <c r="B1492" s="84"/>
      <c r="D1492" s="59"/>
      <c r="E1492" s="59"/>
      <c r="R1492" s="84"/>
      <c r="T1492" s="59"/>
    </row>
    <row r="1493" spans="1:20">
      <c r="A1493" s="37">
        <f t="shared" si="86"/>
        <v>1492</v>
      </c>
      <c r="B1493" s="84"/>
      <c r="D1493" s="59"/>
      <c r="E1493" s="59"/>
      <c r="R1493" s="84"/>
      <c r="T1493" s="59"/>
    </row>
    <row r="1494" spans="1:20">
      <c r="A1494" s="37">
        <f t="shared" si="86"/>
        <v>1493</v>
      </c>
      <c r="B1494" s="84"/>
      <c r="D1494" s="59"/>
      <c r="E1494" s="59"/>
      <c r="R1494" s="84"/>
      <c r="T1494" s="59"/>
    </row>
    <row r="1495" spans="1:20">
      <c r="A1495" s="37">
        <f t="shared" si="86"/>
        <v>1494</v>
      </c>
      <c r="B1495" s="84"/>
      <c r="D1495" s="59"/>
      <c r="E1495" s="59"/>
      <c r="R1495" s="84"/>
      <c r="T1495" s="59"/>
    </row>
    <row r="1496" spans="1:20">
      <c r="A1496" s="37">
        <f t="shared" si="86"/>
        <v>1495</v>
      </c>
      <c r="B1496" s="84"/>
      <c r="D1496" s="59"/>
      <c r="E1496" s="59"/>
      <c r="R1496" s="84"/>
      <c r="T1496" s="59"/>
    </row>
    <row r="1497" spans="1:20">
      <c r="A1497" s="37">
        <f t="shared" si="86"/>
        <v>1496</v>
      </c>
      <c r="B1497" s="84"/>
      <c r="D1497" s="59"/>
      <c r="E1497" s="59"/>
      <c r="R1497" s="84"/>
      <c r="T1497" s="59"/>
    </row>
    <row r="1498" spans="1:20">
      <c r="A1498" s="37">
        <f t="shared" si="86"/>
        <v>1497</v>
      </c>
      <c r="B1498" s="84"/>
      <c r="D1498" s="59"/>
      <c r="E1498" s="59"/>
      <c r="R1498" s="84"/>
      <c r="T1498" s="59"/>
    </row>
    <row r="1499" spans="1:20">
      <c r="A1499" s="37">
        <f t="shared" si="86"/>
        <v>1498</v>
      </c>
      <c r="B1499" s="84"/>
      <c r="D1499" s="59"/>
      <c r="E1499" s="59"/>
      <c r="R1499" s="84"/>
      <c r="T1499" s="59"/>
    </row>
    <row r="1500" spans="1:20">
      <c r="A1500" s="37">
        <f t="shared" si="86"/>
        <v>1499</v>
      </c>
      <c r="B1500" s="84"/>
      <c r="D1500" s="59"/>
      <c r="E1500" s="59"/>
      <c r="R1500" s="84"/>
      <c r="T1500" s="59"/>
    </row>
    <row r="1501" spans="1:20">
      <c r="A1501" s="37">
        <f t="shared" si="86"/>
        <v>1500</v>
      </c>
      <c r="B1501" s="84"/>
      <c r="D1501" s="59"/>
      <c r="E1501" s="59"/>
      <c r="R1501" s="84"/>
      <c r="T1501" s="59"/>
    </row>
    <row r="1502" spans="1:20">
      <c r="A1502" s="37">
        <f t="shared" si="86"/>
        <v>1501</v>
      </c>
      <c r="B1502" s="84"/>
      <c r="D1502" s="59"/>
      <c r="E1502" s="59"/>
      <c r="R1502" s="84"/>
      <c r="T1502" s="59"/>
    </row>
    <row r="1503" spans="1:20">
      <c r="A1503" s="37">
        <f t="shared" ref="A1503:A1514" si="87">ROW()-1</f>
        <v>1502</v>
      </c>
      <c r="B1503" s="84"/>
      <c r="D1503" s="59"/>
      <c r="E1503" s="59"/>
      <c r="R1503" s="84"/>
      <c r="T1503" s="59"/>
    </row>
    <row r="1504" spans="1:20">
      <c r="A1504" s="37">
        <f t="shared" si="87"/>
        <v>1503</v>
      </c>
      <c r="B1504" s="84"/>
      <c r="D1504" s="59"/>
      <c r="E1504" s="59"/>
      <c r="R1504" s="84"/>
      <c r="T1504" s="59"/>
    </row>
    <row r="1505" spans="1:20">
      <c r="A1505" s="37">
        <f t="shared" si="87"/>
        <v>1504</v>
      </c>
      <c r="B1505" s="84"/>
      <c r="D1505" s="59"/>
      <c r="E1505" s="59"/>
      <c r="R1505" s="84"/>
      <c r="T1505" s="59"/>
    </row>
    <row r="1506" spans="1:20">
      <c r="A1506" s="37">
        <f t="shared" si="87"/>
        <v>1505</v>
      </c>
      <c r="B1506" s="84"/>
      <c r="D1506" s="59"/>
      <c r="E1506" s="59"/>
      <c r="R1506" s="84"/>
      <c r="T1506" s="59"/>
    </row>
    <row r="1507" spans="1:20">
      <c r="A1507" s="37">
        <f t="shared" si="87"/>
        <v>1506</v>
      </c>
      <c r="B1507" s="84"/>
      <c r="D1507" s="59"/>
      <c r="E1507" s="59"/>
      <c r="R1507" s="84"/>
      <c r="T1507" s="59"/>
    </row>
    <row r="1508" spans="1:20">
      <c r="A1508" s="37">
        <f t="shared" si="87"/>
        <v>1507</v>
      </c>
      <c r="B1508" s="84"/>
      <c r="D1508" s="59"/>
      <c r="E1508" s="59"/>
      <c r="R1508" s="84"/>
      <c r="T1508" s="59"/>
    </row>
    <row r="1509" spans="1:20">
      <c r="A1509" s="37">
        <f t="shared" si="87"/>
        <v>1508</v>
      </c>
      <c r="B1509" s="84"/>
      <c r="D1509" s="59"/>
      <c r="E1509" s="59"/>
      <c r="R1509" s="84"/>
      <c r="T1509" s="59"/>
    </row>
    <row r="1510" spans="1:20">
      <c r="A1510" s="37">
        <f t="shared" si="87"/>
        <v>1509</v>
      </c>
      <c r="B1510" s="84"/>
      <c r="D1510" s="59"/>
      <c r="E1510" s="59"/>
      <c r="R1510" s="84"/>
      <c r="T1510" s="59"/>
    </row>
    <row r="1511" spans="1:20">
      <c r="A1511" s="37">
        <f t="shared" si="87"/>
        <v>1510</v>
      </c>
      <c r="B1511" s="84"/>
      <c r="D1511" s="59"/>
      <c r="E1511" s="59"/>
      <c r="R1511" s="84"/>
      <c r="T1511" s="59"/>
    </row>
    <row r="1512" spans="1:20">
      <c r="A1512" s="37">
        <f t="shared" si="87"/>
        <v>1511</v>
      </c>
      <c r="B1512" s="84"/>
      <c r="D1512" s="59"/>
      <c r="E1512" s="59"/>
      <c r="R1512" s="84"/>
      <c r="T1512" s="59"/>
    </row>
    <row r="1513" spans="1:20">
      <c r="A1513" s="37">
        <f t="shared" si="87"/>
        <v>1512</v>
      </c>
      <c r="B1513" s="84"/>
      <c r="D1513" s="59"/>
      <c r="E1513" s="59"/>
      <c r="R1513" s="84"/>
      <c r="T1513" s="59"/>
    </row>
    <row r="1514" spans="1:20">
      <c r="A1514" s="37">
        <f t="shared" si="87"/>
        <v>1513</v>
      </c>
      <c r="B1514" s="84"/>
      <c r="D1514" s="59"/>
      <c r="E1514" s="59"/>
      <c r="R1514" s="84"/>
      <c r="T1514" s="59"/>
    </row>
    <row r="1515" spans="1:20">
      <c r="A1515" s="37">
        <f t="shared" ref="A1515:A1533" si="88">ROW()-1</f>
        <v>1514</v>
      </c>
      <c r="B1515" s="84"/>
      <c r="D1515" s="59"/>
      <c r="E1515" s="59"/>
      <c r="R1515" s="84"/>
      <c r="T1515" s="59"/>
    </row>
    <row r="1516" spans="1:20">
      <c r="A1516" s="37">
        <f t="shared" si="88"/>
        <v>1515</v>
      </c>
      <c r="B1516" s="84"/>
      <c r="D1516" s="59"/>
      <c r="E1516" s="59"/>
      <c r="R1516" s="84"/>
      <c r="T1516" s="59"/>
    </row>
    <row r="1517" spans="1:20">
      <c r="A1517" s="37">
        <f t="shared" si="88"/>
        <v>1516</v>
      </c>
      <c r="B1517" s="84"/>
      <c r="D1517" s="59"/>
      <c r="E1517" s="59"/>
      <c r="R1517" s="84"/>
      <c r="T1517" s="59"/>
    </row>
    <row r="1518" spans="1:20">
      <c r="A1518" s="37">
        <f t="shared" si="88"/>
        <v>1517</v>
      </c>
      <c r="B1518" s="84"/>
      <c r="D1518" s="59"/>
      <c r="E1518" s="59"/>
      <c r="R1518" s="84"/>
      <c r="T1518" s="59"/>
    </row>
    <row r="1519" spans="1:20">
      <c r="A1519" s="37">
        <f t="shared" si="88"/>
        <v>1518</v>
      </c>
      <c r="B1519" s="84"/>
      <c r="D1519" s="59"/>
      <c r="E1519" s="59"/>
      <c r="R1519" s="84"/>
      <c r="T1519" s="59"/>
    </row>
    <row r="1520" spans="1:20">
      <c r="A1520" s="37">
        <f t="shared" si="88"/>
        <v>1519</v>
      </c>
      <c r="B1520" s="84"/>
      <c r="D1520" s="59"/>
      <c r="E1520" s="59"/>
      <c r="R1520" s="84"/>
      <c r="T1520" s="59"/>
    </row>
    <row r="1521" spans="1:20">
      <c r="A1521" s="37">
        <f t="shared" si="88"/>
        <v>1520</v>
      </c>
      <c r="B1521" s="84"/>
      <c r="D1521" s="59"/>
      <c r="E1521" s="59"/>
      <c r="R1521" s="84"/>
      <c r="T1521" s="59"/>
    </row>
    <row r="1522" spans="1:20">
      <c r="A1522" s="37">
        <f t="shared" si="88"/>
        <v>1521</v>
      </c>
      <c r="B1522" s="84"/>
      <c r="D1522" s="59"/>
      <c r="E1522" s="59"/>
      <c r="R1522" s="84"/>
      <c r="T1522" s="59"/>
    </row>
    <row r="1523" spans="1:20">
      <c r="A1523" s="37">
        <f t="shared" si="88"/>
        <v>1522</v>
      </c>
      <c r="B1523" s="84"/>
      <c r="D1523" s="59"/>
      <c r="E1523" s="59"/>
      <c r="R1523" s="84"/>
      <c r="T1523" s="59"/>
    </row>
    <row r="1524" spans="1:20">
      <c r="A1524" s="37">
        <f t="shared" si="88"/>
        <v>1523</v>
      </c>
      <c r="B1524" s="84"/>
      <c r="D1524" s="59"/>
      <c r="E1524" s="59"/>
      <c r="R1524" s="84"/>
      <c r="T1524" s="59"/>
    </row>
    <row r="1525" spans="1:20">
      <c r="A1525" s="37">
        <f t="shared" si="88"/>
        <v>1524</v>
      </c>
      <c r="B1525" s="84"/>
      <c r="D1525" s="59"/>
      <c r="E1525" s="59"/>
      <c r="R1525" s="84"/>
      <c r="T1525" s="59"/>
    </row>
    <row r="1526" spans="1:20">
      <c r="A1526" s="37">
        <f t="shared" si="88"/>
        <v>1525</v>
      </c>
      <c r="B1526" s="84"/>
      <c r="D1526" s="59"/>
      <c r="E1526" s="59"/>
      <c r="R1526" s="84"/>
      <c r="T1526" s="59"/>
    </row>
    <row r="1527" spans="1:20">
      <c r="A1527" s="37">
        <f t="shared" si="88"/>
        <v>1526</v>
      </c>
      <c r="B1527" s="84"/>
      <c r="D1527" s="59"/>
      <c r="E1527" s="59"/>
      <c r="R1527" s="84"/>
      <c r="T1527" s="59"/>
    </row>
    <row r="1528" spans="1:20">
      <c r="A1528" s="37">
        <f t="shared" si="88"/>
        <v>1527</v>
      </c>
      <c r="B1528" s="84"/>
      <c r="D1528" s="59"/>
      <c r="E1528" s="59"/>
      <c r="R1528" s="84"/>
      <c r="T1528" s="59"/>
    </row>
    <row r="1529" spans="1:20">
      <c r="A1529" s="37">
        <f t="shared" si="88"/>
        <v>1528</v>
      </c>
      <c r="B1529" s="84"/>
      <c r="D1529" s="59"/>
      <c r="E1529" s="59"/>
      <c r="R1529" s="84"/>
      <c r="T1529" s="59"/>
    </row>
    <row r="1530" spans="1:20">
      <c r="A1530" s="37">
        <f t="shared" si="88"/>
        <v>1529</v>
      </c>
      <c r="B1530" s="84"/>
      <c r="D1530" s="59"/>
      <c r="E1530" s="59"/>
      <c r="R1530" s="84"/>
      <c r="T1530" s="59"/>
    </row>
    <row r="1531" spans="1:20">
      <c r="A1531" s="37">
        <f t="shared" si="88"/>
        <v>1530</v>
      </c>
      <c r="B1531" s="84"/>
      <c r="D1531" s="59"/>
      <c r="E1531" s="59"/>
      <c r="R1531" s="84"/>
      <c r="T1531" s="59"/>
    </row>
    <row r="1532" spans="1:20">
      <c r="A1532" s="37">
        <f t="shared" si="88"/>
        <v>1531</v>
      </c>
      <c r="B1532" s="84"/>
      <c r="D1532" s="59"/>
      <c r="E1532" s="59"/>
      <c r="R1532" s="84"/>
      <c r="T1532" s="59"/>
    </row>
    <row r="1533" spans="1:20">
      <c r="A1533" s="37">
        <f t="shared" si="88"/>
        <v>1532</v>
      </c>
      <c r="B1533" s="84"/>
      <c r="D1533" s="59"/>
      <c r="E1533" s="59"/>
      <c r="R1533" s="84"/>
      <c r="T1533" s="59"/>
    </row>
    <row r="1534" spans="1:20">
      <c r="A1534" s="37">
        <f t="shared" ref="A1534:A1544" si="89">ROW()-1</f>
        <v>1533</v>
      </c>
      <c r="B1534" s="84"/>
      <c r="D1534" s="59"/>
      <c r="E1534" s="59"/>
      <c r="R1534" s="84"/>
      <c r="T1534" s="59"/>
    </row>
    <row r="1535" spans="1:20">
      <c r="A1535" s="37">
        <f t="shared" si="89"/>
        <v>1534</v>
      </c>
      <c r="B1535" s="84"/>
      <c r="D1535" s="59"/>
      <c r="E1535" s="59"/>
      <c r="R1535" s="84"/>
      <c r="T1535" s="59"/>
    </row>
    <row r="1536" spans="1:20">
      <c r="A1536" s="37">
        <f t="shared" si="89"/>
        <v>1535</v>
      </c>
      <c r="B1536" s="84"/>
      <c r="D1536" s="59"/>
      <c r="E1536" s="59"/>
      <c r="R1536" s="84"/>
      <c r="T1536" s="59"/>
    </row>
    <row r="1537" spans="1:20">
      <c r="A1537" s="37">
        <f t="shared" si="89"/>
        <v>1536</v>
      </c>
      <c r="B1537" s="84"/>
      <c r="D1537" s="59"/>
      <c r="E1537" s="59"/>
      <c r="R1537" s="84"/>
      <c r="T1537" s="59"/>
    </row>
    <row r="1538" spans="1:20">
      <c r="A1538" s="37">
        <f t="shared" si="89"/>
        <v>1537</v>
      </c>
      <c r="B1538" s="84"/>
      <c r="D1538" s="59"/>
      <c r="E1538" s="59"/>
      <c r="R1538" s="84"/>
      <c r="T1538" s="59"/>
    </row>
    <row r="1539" spans="1:20">
      <c r="A1539" s="37">
        <f t="shared" si="89"/>
        <v>1538</v>
      </c>
      <c r="B1539" s="84"/>
      <c r="D1539" s="59"/>
      <c r="E1539" s="59"/>
      <c r="R1539" s="84"/>
      <c r="T1539" s="59"/>
    </row>
    <row r="1540" spans="1:20">
      <c r="A1540" s="37">
        <f t="shared" si="89"/>
        <v>1539</v>
      </c>
      <c r="B1540" s="84"/>
      <c r="D1540" s="59"/>
      <c r="E1540" s="59"/>
      <c r="R1540" s="84"/>
      <c r="T1540" s="59"/>
    </row>
    <row r="1541" spans="1:20">
      <c r="A1541" s="37">
        <f t="shared" si="89"/>
        <v>1540</v>
      </c>
      <c r="B1541" s="84"/>
      <c r="D1541" s="59"/>
      <c r="E1541" s="59"/>
      <c r="R1541" s="84"/>
      <c r="T1541" s="59"/>
    </row>
    <row r="1542" spans="1:20">
      <c r="A1542" s="37">
        <f t="shared" si="89"/>
        <v>1541</v>
      </c>
      <c r="B1542" s="84"/>
      <c r="D1542" s="59"/>
      <c r="E1542" s="59"/>
      <c r="R1542" s="84"/>
      <c r="T1542" s="59"/>
    </row>
    <row r="1543" spans="1:20">
      <c r="A1543" s="37">
        <f t="shared" si="89"/>
        <v>1542</v>
      </c>
      <c r="B1543" s="84"/>
      <c r="D1543" s="59"/>
      <c r="E1543" s="59"/>
      <c r="R1543" s="84"/>
      <c r="T1543" s="59"/>
    </row>
    <row r="1544" spans="1:20">
      <c r="A1544" s="37">
        <f t="shared" si="89"/>
        <v>1543</v>
      </c>
      <c r="B1544" s="84"/>
      <c r="D1544" s="59"/>
      <c r="E1544" s="59"/>
      <c r="R1544" s="84"/>
      <c r="T1544" s="59"/>
    </row>
    <row r="1545" spans="1:20">
      <c r="A1545" s="37">
        <f t="shared" ref="A1545:A1556" si="90">ROW()-1</f>
        <v>1544</v>
      </c>
      <c r="B1545" s="84"/>
      <c r="D1545" s="59"/>
      <c r="E1545" s="59"/>
      <c r="R1545" s="84"/>
      <c r="T1545" s="59"/>
    </row>
    <row r="1546" spans="1:20">
      <c r="A1546" s="37">
        <f t="shared" si="90"/>
        <v>1545</v>
      </c>
      <c r="B1546" s="84"/>
      <c r="D1546" s="59"/>
      <c r="E1546" s="59"/>
      <c r="R1546" s="84"/>
      <c r="T1546" s="59"/>
    </row>
    <row r="1547" spans="1:20">
      <c r="A1547" s="37">
        <f t="shared" si="90"/>
        <v>1546</v>
      </c>
      <c r="B1547" s="84"/>
      <c r="D1547" s="59"/>
      <c r="E1547" s="59"/>
      <c r="R1547" s="84"/>
      <c r="T1547" s="59"/>
    </row>
    <row r="1548" spans="1:20">
      <c r="A1548" s="37">
        <f t="shared" si="90"/>
        <v>1547</v>
      </c>
      <c r="B1548" s="84"/>
      <c r="D1548" s="59"/>
      <c r="E1548" s="59"/>
      <c r="R1548" s="84"/>
      <c r="T1548" s="59"/>
    </row>
    <row r="1549" spans="1:20">
      <c r="A1549" s="37">
        <f t="shared" si="90"/>
        <v>1548</v>
      </c>
      <c r="B1549" s="84"/>
      <c r="D1549" s="59"/>
      <c r="E1549" s="59"/>
      <c r="R1549" s="84"/>
      <c r="T1549" s="59"/>
    </row>
    <row r="1550" spans="1:20">
      <c r="A1550" s="37">
        <f t="shared" si="90"/>
        <v>1549</v>
      </c>
      <c r="B1550" s="84"/>
      <c r="D1550" s="59"/>
      <c r="E1550" s="59"/>
      <c r="R1550" s="84"/>
      <c r="T1550" s="59"/>
    </row>
    <row r="1551" spans="1:20">
      <c r="A1551" s="37">
        <f t="shared" si="90"/>
        <v>1550</v>
      </c>
      <c r="B1551" s="84"/>
      <c r="D1551" s="59"/>
      <c r="E1551" s="59"/>
      <c r="R1551" s="84"/>
      <c r="T1551" s="59"/>
    </row>
    <row r="1552" spans="1:20">
      <c r="A1552" s="37">
        <f t="shared" si="90"/>
        <v>1551</v>
      </c>
      <c r="B1552" s="84"/>
      <c r="D1552" s="59"/>
      <c r="E1552" s="59"/>
      <c r="R1552" s="84"/>
      <c r="T1552" s="59"/>
    </row>
    <row r="1553" spans="1:20">
      <c r="A1553" s="37">
        <f t="shared" si="90"/>
        <v>1552</v>
      </c>
      <c r="B1553" s="84"/>
      <c r="D1553" s="59"/>
      <c r="E1553" s="59"/>
      <c r="R1553" s="84"/>
      <c r="T1553" s="59"/>
    </row>
    <row r="1554" spans="1:20">
      <c r="A1554" s="37">
        <f t="shared" si="90"/>
        <v>1553</v>
      </c>
      <c r="B1554" s="84"/>
      <c r="D1554" s="59"/>
      <c r="E1554" s="59"/>
      <c r="R1554" s="84"/>
      <c r="T1554" s="59"/>
    </row>
    <row r="1555" spans="1:20">
      <c r="A1555" s="37">
        <f t="shared" si="90"/>
        <v>1554</v>
      </c>
      <c r="B1555" s="84"/>
      <c r="D1555" s="59"/>
      <c r="E1555" s="59"/>
      <c r="R1555" s="84"/>
      <c r="T1555" s="59"/>
    </row>
    <row r="1556" spans="1:20">
      <c r="A1556" s="37">
        <f t="shared" si="90"/>
        <v>1555</v>
      </c>
      <c r="B1556" s="84"/>
      <c r="D1556" s="59"/>
      <c r="E1556" s="59"/>
      <c r="R1556" s="84"/>
      <c r="T1556" s="59"/>
    </row>
    <row r="1557" spans="1:20">
      <c r="A1557" s="37">
        <f t="shared" ref="A1557:A1570" si="91">ROW()-1</f>
        <v>1556</v>
      </c>
      <c r="B1557" s="84"/>
      <c r="D1557" s="59"/>
      <c r="E1557" s="59"/>
      <c r="R1557" s="84"/>
      <c r="T1557" s="59"/>
    </row>
    <row r="1558" spans="1:20">
      <c r="A1558" s="37">
        <f t="shared" si="91"/>
        <v>1557</v>
      </c>
      <c r="B1558" s="84"/>
      <c r="D1558" s="59"/>
      <c r="E1558" s="59"/>
      <c r="R1558" s="84"/>
      <c r="T1558" s="59"/>
    </row>
    <row r="1559" spans="1:20">
      <c r="A1559" s="37">
        <f t="shared" si="91"/>
        <v>1558</v>
      </c>
      <c r="B1559" s="84"/>
      <c r="D1559" s="59"/>
      <c r="E1559" s="59"/>
      <c r="R1559" s="84"/>
      <c r="T1559" s="59"/>
    </row>
    <row r="1560" spans="1:20">
      <c r="A1560" s="37">
        <f t="shared" si="91"/>
        <v>1559</v>
      </c>
      <c r="B1560" s="84"/>
      <c r="D1560" s="59"/>
      <c r="E1560" s="59"/>
      <c r="R1560" s="84"/>
      <c r="T1560" s="59"/>
    </row>
    <row r="1561" spans="1:20">
      <c r="A1561" s="37">
        <f t="shared" si="91"/>
        <v>1560</v>
      </c>
      <c r="B1561" s="84"/>
      <c r="D1561" s="59"/>
      <c r="E1561" s="59"/>
      <c r="R1561" s="84"/>
      <c r="T1561" s="59"/>
    </row>
    <row r="1562" spans="1:20">
      <c r="A1562" s="37">
        <f t="shared" si="91"/>
        <v>1561</v>
      </c>
      <c r="B1562" s="84"/>
      <c r="D1562" s="59"/>
      <c r="E1562" s="59"/>
      <c r="R1562" s="84"/>
      <c r="T1562" s="59"/>
    </row>
    <row r="1563" spans="1:20">
      <c r="A1563" s="37">
        <f t="shared" si="91"/>
        <v>1562</v>
      </c>
      <c r="B1563" s="84"/>
      <c r="D1563" s="59"/>
      <c r="E1563" s="59"/>
      <c r="R1563" s="84"/>
      <c r="T1563" s="59"/>
    </row>
    <row r="1564" spans="1:20">
      <c r="A1564" s="37">
        <f t="shared" si="91"/>
        <v>1563</v>
      </c>
      <c r="B1564" s="84"/>
      <c r="D1564" s="59"/>
      <c r="E1564" s="59"/>
      <c r="R1564" s="84"/>
      <c r="T1564" s="59"/>
    </row>
    <row r="1565" spans="1:20">
      <c r="A1565" s="37">
        <f t="shared" si="91"/>
        <v>1564</v>
      </c>
      <c r="B1565" s="84"/>
      <c r="D1565" s="59"/>
      <c r="E1565" s="59"/>
      <c r="R1565" s="84"/>
      <c r="T1565" s="59"/>
    </row>
    <row r="1566" spans="1:20">
      <c r="A1566" s="37">
        <f t="shared" si="91"/>
        <v>1565</v>
      </c>
      <c r="B1566" s="84"/>
      <c r="D1566" s="59"/>
      <c r="E1566" s="59"/>
      <c r="R1566" s="84"/>
      <c r="T1566" s="59"/>
    </row>
    <row r="1567" spans="1:20">
      <c r="A1567" s="37">
        <f t="shared" si="91"/>
        <v>1566</v>
      </c>
      <c r="B1567" s="84"/>
      <c r="D1567" s="59"/>
      <c r="E1567" s="59"/>
      <c r="R1567" s="84"/>
      <c r="T1567" s="59"/>
    </row>
    <row r="1568" spans="1:20">
      <c r="A1568" s="37">
        <f t="shared" si="91"/>
        <v>1567</v>
      </c>
      <c r="B1568" s="84"/>
      <c r="D1568" s="59"/>
      <c r="E1568" s="59"/>
      <c r="R1568" s="84"/>
      <c r="T1568" s="59"/>
    </row>
    <row r="1569" spans="1:20">
      <c r="A1569" s="37">
        <f t="shared" si="91"/>
        <v>1568</v>
      </c>
      <c r="B1569" s="84"/>
      <c r="D1569" s="59"/>
      <c r="E1569" s="59"/>
      <c r="R1569" s="84"/>
      <c r="T1569" s="59"/>
    </row>
    <row r="1570" spans="1:20">
      <c r="A1570" s="37">
        <f t="shared" si="91"/>
        <v>1569</v>
      </c>
      <c r="B1570" s="84"/>
      <c r="D1570" s="59"/>
      <c r="E1570" s="59"/>
      <c r="R1570" s="84"/>
      <c r="T1570" s="59"/>
    </row>
    <row r="1571" spans="1:20">
      <c r="A1571" s="37">
        <f t="shared" ref="A1571:A1576" si="92">ROW()-1</f>
        <v>1570</v>
      </c>
      <c r="B1571" s="84"/>
      <c r="D1571" s="59"/>
      <c r="E1571" s="59"/>
      <c r="R1571" s="84"/>
      <c r="T1571" s="59"/>
    </row>
    <row r="1572" spans="1:20">
      <c r="A1572" s="37">
        <f t="shared" si="92"/>
        <v>1571</v>
      </c>
      <c r="B1572" s="84"/>
      <c r="D1572" s="59"/>
      <c r="E1572" s="59"/>
      <c r="R1572" s="84"/>
      <c r="T1572" s="59"/>
    </row>
    <row r="1573" spans="1:20">
      <c r="A1573" s="37">
        <f t="shared" si="92"/>
        <v>1572</v>
      </c>
      <c r="B1573" s="84"/>
      <c r="D1573" s="59"/>
      <c r="E1573" s="59"/>
      <c r="R1573" s="84"/>
      <c r="T1573" s="59"/>
    </row>
    <row r="1574" spans="1:20">
      <c r="A1574" s="37">
        <f t="shared" si="92"/>
        <v>1573</v>
      </c>
      <c r="B1574" s="84"/>
      <c r="D1574" s="59"/>
      <c r="E1574" s="59"/>
      <c r="R1574" s="84"/>
      <c r="T1574" s="59"/>
    </row>
    <row r="1575" spans="1:20">
      <c r="A1575" s="37">
        <f t="shared" si="92"/>
        <v>1574</v>
      </c>
      <c r="B1575" s="84"/>
      <c r="D1575" s="59"/>
      <c r="E1575" s="59"/>
      <c r="R1575" s="84"/>
      <c r="T1575" s="59"/>
    </row>
    <row r="1576" spans="1:20">
      <c r="A1576" s="37">
        <f t="shared" si="92"/>
        <v>1575</v>
      </c>
      <c r="B1576" s="84"/>
      <c r="D1576" s="59"/>
      <c r="E1576" s="59"/>
      <c r="R1576" s="84"/>
      <c r="T1576" s="59"/>
    </row>
    <row r="1577" spans="1:20">
      <c r="A1577" s="37">
        <f t="shared" ref="A1577:A1591" si="93">ROW()-1</f>
        <v>1576</v>
      </c>
      <c r="B1577" s="84"/>
      <c r="D1577" s="59"/>
      <c r="E1577" s="59"/>
      <c r="R1577" s="84"/>
      <c r="T1577" s="59"/>
    </row>
    <row r="1578" spans="1:20">
      <c r="A1578" s="37">
        <f t="shared" si="93"/>
        <v>1577</v>
      </c>
      <c r="B1578" s="84"/>
      <c r="D1578" s="59"/>
      <c r="E1578" s="59"/>
      <c r="R1578" s="84"/>
      <c r="T1578" s="59"/>
    </row>
    <row r="1579" spans="1:20">
      <c r="A1579" s="37">
        <f t="shared" si="93"/>
        <v>1578</v>
      </c>
      <c r="B1579" s="84"/>
      <c r="D1579" s="59"/>
      <c r="E1579" s="59"/>
      <c r="R1579" s="84"/>
      <c r="T1579" s="59"/>
    </row>
    <row r="1580" spans="1:20">
      <c r="A1580" s="37">
        <f t="shared" si="93"/>
        <v>1579</v>
      </c>
      <c r="B1580" s="84"/>
      <c r="D1580" s="59"/>
      <c r="E1580" s="59"/>
      <c r="R1580" s="84"/>
      <c r="T1580" s="59"/>
    </row>
    <row r="1581" spans="1:20">
      <c r="A1581" s="37">
        <f t="shared" si="93"/>
        <v>1580</v>
      </c>
      <c r="B1581" s="84"/>
      <c r="D1581" s="59"/>
      <c r="E1581" s="59"/>
      <c r="R1581" s="84"/>
      <c r="T1581" s="59"/>
    </row>
    <row r="1582" spans="1:20">
      <c r="A1582" s="37">
        <f t="shared" si="93"/>
        <v>1581</v>
      </c>
      <c r="B1582" s="84"/>
      <c r="D1582" s="59"/>
      <c r="E1582" s="59"/>
      <c r="R1582" s="84"/>
      <c r="T1582" s="59"/>
    </row>
    <row r="1583" spans="1:20">
      <c r="A1583" s="37">
        <f t="shared" si="93"/>
        <v>1582</v>
      </c>
      <c r="B1583" s="84"/>
      <c r="D1583" s="59"/>
      <c r="E1583" s="59"/>
      <c r="R1583" s="84"/>
      <c r="T1583" s="59"/>
    </row>
    <row r="1584" spans="1:20">
      <c r="A1584" s="37">
        <f t="shared" si="93"/>
        <v>1583</v>
      </c>
      <c r="B1584" s="84"/>
      <c r="D1584" s="59"/>
      <c r="E1584" s="59"/>
      <c r="R1584" s="84"/>
      <c r="T1584" s="59"/>
    </row>
    <row r="1585" spans="1:20">
      <c r="A1585" s="37">
        <f t="shared" si="93"/>
        <v>1584</v>
      </c>
      <c r="B1585" s="84"/>
      <c r="D1585" s="59"/>
      <c r="E1585" s="59"/>
      <c r="R1585" s="84"/>
      <c r="T1585" s="59"/>
    </row>
    <row r="1586" spans="1:20">
      <c r="A1586" s="37">
        <f t="shared" si="93"/>
        <v>1585</v>
      </c>
      <c r="B1586" s="84"/>
      <c r="D1586" s="59"/>
      <c r="E1586" s="59"/>
      <c r="R1586" s="84"/>
      <c r="T1586" s="59"/>
    </row>
    <row r="1587" spans="1:20">
      <c r="A1587" s="37">
        <f t="shared" si="93"/>
        <v>1586</v>
      </c>
      <c r="B1587" s="84"/>
      <c r="D1587" s="59"/>
      <c r="E1587" s="59"/>
      <c r="R1587" s="84"/>
      <c r="T1587" s="59"/>
    </row>
    <row r="1588" spans="1:20">
      <c r="A1588" s="37">
        <f t="shared" si="93"/>
        <v>1587</v>
      </c>
      <c r="B1588" s="84"/>
      <c r="D1588" s="59"/>
      <c r="E1588" s="59"/>
      <c r="R1588" s="84"/>
      <c r="T1588" s="59"/>
    </row>
    <row r="1589" spans="1:20">
      <c r="A1589" s="37">
        <f t="shared" si="93"/>
        <v>1588</v>
      </c>
      <c r="B1589" s="84"/>
      <c r="D1589" s="59"/>
      <c r="E1589" s="59"/>
      <c r="R1589" s="84"/>
      <c r="T1589" s="59"/>
    </row>
    <row r="1590" spans="1:20">
      <c r="A1590" s="37">
        <f t="shared" si="93"/>
        <v>1589</v>
      </c>
      <c r="B1590" s="84"/>
      <c r="D1590" s="59"/>
      <c r="E1590" s="59"/>
      <c r="R1590" s="84"/>
      <c r="T1590" s="59"/>
    </row>
    <row r="1591" spans="1:20">
      <c r="A1591" s="37">
        <f t="shared" si="93"/>
        <v>1590</v>
      </c>
      <c r="B1591" s="84"/>
      <c r="D1591" s="59"/>
      <c r="E1591" s="59"/>
      <c r="R1591" s="84"/>
      <c r="T1591" s="59"/>
    </row>
    <row r="1592" spans="1:20">
      <c r="A1592" s="37">
        <f>ROW()-1</f>
        <v>1591</v>
      </c>
      <c r="B1592" s="84"/>
      <c r="D1592" s="59"/>
      <c r="E1592" s="59"/>
      <c r="R1592" s="84"/>
      <c r="T1592" s="59"/>
    </row>
    <row r="1593" spans="1:20">
      <c r="A1593" s="37">
        <f>ROW()-1</f>
        <v>1592</v>
      </c>
      <c r="B1593" s="84"/>
      <c r="D1593" s="59"/>
      <c r="E1593" s="59"/>
      <c r="R1593" s="84"/>
      <c r="T1593" s="59"/>
    </row>
    <row r="1594" spans="1:20">
      <c r="A1594" s="37">
        <f>ROW()-1</f>
        <v>1593</v>
      </c>
      <c r="B1594" s="84"/>
      <c r="D1594" s="59"/>
      <c r="E1594" s="59"/>
      <c r="R1594" s="84"/>
      <c r="T1594" s="59"/>
    </row>
    <row r="1595" spans="1:20">
      <c r="A1595" s="37">
        <f>ROW()-1</f>
        <v>1594</v>
      </c>
      <c r="B1595" s="84"/>
      <c r="D1595" s="59"/>
      <c r="E1595" s="59"/>
      <c r="R1595" s="84"/>
      <c r="T1595" s="59"/>
    </row>
    <row r="1596" spans="1:20">
      <c r="A1596" s="37">
        <f>ROW()-1</f>
        <v>1595</v>
      </c>
      <c r="B1596" s="84"/>
      <c r="D1596" s="59"/>
      <c r="E1596" s="59"/>
      <c r="R1596" s="84"/>
      <c r="T1596" s="59"/>
    </row>
    <row r="1597" spans="1:20">
      <c r="A1597" s="37">
        <f t="shared" ref="A1597:A1607" si="94">ROW()-1</f>
        <v>1596</v>
      </c>
      <c r="B1597" s="84"/>
      <c r="D1597" s="59"/>
      <c r="E1597" s="59"/>
      <c r="R1597" s="84"/>
      <c r="T1597" s="59"/>
    </row>
    <row r="1598" spans="1:20">
      <c r="A1598" s="37">
        <f t="shared" si="94"/>
        <v>1597</v>
      </c>
      <c r="B1598" s="84"/>
      <c r="D1598" s="59"/>
      <c r="E1598" s="59"/>
      <c r="R1598" s="84"/>
      <c r="T1598" s="59"/>
    </row>
    <row r="1599" spans="1:20">
      <c r="A1599" s="37">
        <f t="shared" si="94"/>
        <v>1598</v>
      </c>
      <c r="B1599" s="84"/>
      <c r="D1599" s="59"/>
      <c r="E1599" s="59"/>
      <c r="R1599" s="84"/>
      <c r="T1599" s="59"/>
    </row>
    <row r="1600" spans="1:20">
      <c r="A1600" s="37">
        <f t="shared" si="94"/>
        <v>1599</v>
      </c>
      <c r="B1600" s="84"/>
      <c r="D1600" s="59"/>
      <c r="E1600" s="59"/>
      <c r="R1600" s="84"/>
      <c r="T1600" s="59"/>
    </row>
    <row r="1601" spans="1:20">
      <c r="A1601" s="37">
        <f t="shared" si="94"/>
        <v>1600</v>
      </c>
      <c r="B1601" s="84"/>
      <c r="D1601" s="59"/>
      <c r="E1601" s="59"/>
      <c r="R1601" s="84"/>
      <c r="T1601" s="59"/>
    </row>
    <row r="1602" spans="1:20">
      <c r="A1602" s="37">
        <f t="shared" si="94"/>
        <v>1601</v>
      </c>
      <c r="B1602" s="84"/>
      <c r="D1602" s="59"/>
      <c r="E1602" s="59"/>
      <c r="R1602" s="84"/>
      <c r="T1602" s="59"/>
    </row>
    <row r="1603" spans="1:20">
      <c r="A1603" s="37">
        <f t="shared" si="94"/>
        <v>1602</v>
      </c>
      <c r="B1603" s="84"/>
      <c r="D1603" s="59"/>
      <c r="E1603" s="59"/>
      <c r="R1603" s="84"/>
      <c r="T1603" s="59"/>
    </row>
    <row r="1604" spans="1:20">
      <c r="A1604" s="37">
        <f t="shared" si="94"/>
        <v>1603</v>
      </c>
      <c r="B1604" s="84"/>
      <c r="D1604" s="59"/>
      <c r="E1604" s="59"/>
      <c r="R1604" s="84"/>
      <c r="T1604" s="59"/>
    </row>
    <row r="1605" spans="1:20">
      <c r="A1605" s="37">
        <f t="shared" si="94"/>
        <v>1604</v>
      </c>
      <c r="B1605" s="84"/>
      <c r="D1605" s="59"/>
      <c r="E1605" s="59"/>
      <c r="R1605" s="84"/>
      <c r="T1605" s="59"/>
    </row>
    <row r="1606" spans="1:20">
      <c r="A1606" s="37">
        <f t="shared" si="94"/>
        <v>1605</v>
      </c>
      <c r="B1606" s="84"/>
      <c r="D1606" s="59"/>
      <c r="E1606" s="59"/>
      <c r="R1606" s="84"/>
      <c r="T1606" s="59"/>
    </row>
    <row r="1607" spans="1:20">
      <c r="A1607" s="37">
        <f t="shared" si="94"/>
        <v>1606</v>
      </c>
      <c r="B1607" s="84"/>
      <c r="D1607" s="59"/>
      <c r="E1607" s="59"/>
      <c r="R1607" s="84"/>
      <c r="T1607" s="59"/>
    </row>
    <row r="1608" spans="1:20">
      <c r="A1608" s="37">
        <f t="shared" ref="A1608:A1619" si="95">ROW()-1</f>
        <v>1607</v>
      </c>
      <c r="B1608" s="84"/>
      <c r="D1608" s="59"/>
      <c r="E1608" s="59"/>
      <c r="R1608" s="84"/>
      <c r="T1608" s="59"/>
    </row>
    <row r="1609" spans="1:20">
      <c r="A1609" s="37">
        <f t="shared" si="95"/>
        <v>1608</v>
      </c>
      <c r="B1609" s="84"/>
      <c r="D1609" s="59"/>
      <c r="E1609" s="59"/>
      <c r="R1609" s="84"/>
      <c r="T1609" s="59"/>
    </row>
    <row r="1610" spans="1:20">
      <c r="A1610" s="37">
        <f t="shared" si="95"/>
        <v>1609</v>
      </c>
      <c r="B1610" s="84"/>
      <c r="D1610" s="59"/>
      <c r="E1610" s="59"/>
      <c r="R1610" s="84"/>
      <c r="T1610" s="59"/>
    </row>
    <row r="1611" spans="1:20">
      <c r="A1611" s="37">
        <f t="shared" si="95"/>
        <v>1610</v>
      </c>
      <c r="B1611" s="84"/>
      <c r="D1611" s="59"/>
      <c r="E1611" s="59"/>
      <c r="R1611" s="84"/>
      <c r="T1611" s="59"/>
    </row>
    <row r="1612" spans="1:20">
      <c r="A1612" s="37">
        <f t="shared" si="95"/>
        <v>1611</v>
      </c>
      <c r="B1612" s="84"/>
      <c r="D1612" s="59"/>
      <c r="E1612" s="59"/>
      <c r="R1612" s="84"/>
      <c r="T1612" s="59"/>
    </row>
    <row r="1613" spans="1:20">
      <c r="A1613" s="37">
        <f t="shared" si="95"/>
        <v>1612</v>
      </c>
      <c r="B1613" s="84"/>
      <c r="D1613" s="59"/>
      <c r="E1613" s="59"/>
      <c r="R1613" s="84"/>
      <c r="T1613" s="59"/>
    </row>
    <row r="1614" spans="1:20">
      <c r="A1614" s="37">
        <f t="shared" si="95"/>
        <v>1613</v>
      </c>
      <c r="B1614" s="84"/>
      <c r="D1614" s="59"/>
      <c r="E1614" s="59"/>
      <c r="R1614" s="84"/>
      <c r="T1614" s="59"/>
    </row>
    <row r="1615" spans="1:20">
      <c r="A1615" s="37">
        <f t="shared" si="95"/>
        <v>1614</v>
      </c>
      <c r="B1615" s="84"/>
      <c r="D1615" s="59"/>
      <c r="E1615" s="59"/>
      <c r="R1615" s="84"/>
      <c r="T1615" s="59"/>
    </row>
    <row r="1616" spans="1:20">
      <c r="A1616" s="37">
        <f t="shared" si="95"/>
        <v>1615</v>
      </c>
      <c r="B1616" s="84"/>
      <c r="D1616" s="59"/>
      <c r="E1616" s="59"/>
      <c r="R1616" s="84"/>
      <c r="T1616" s="59"/>
    </row>
    <row r="1617" spans="1:20">
      <c r="A1617" s="37">
        <f t="shared" si="95"/>
        <v>1616</v>
      </c>
      <c r="B1617" s="84"/>
      <c r="D1617" s="59"/>
      <c r="E1617" s="59"/>
      <c r="R1617" s="84"/>
      <c r="T1617" s="59"/>
    </row>
    <row r="1618" spans="1:20">
      <c r="A1618" s="37">
        <f t="shared" si="95"/>
        <v>1617</v>
      </c>
      <c r="B1618" s="84"/>
      <c r="D1618" s="59"/>
      <c r="E1618" s="59"/>
      <c r="R1618" s="84"/>
      <c r="T1618" s="59"/>
    </row>
    <row r="1619" spans="1:20">
      <c r="A1619" s="37">
        <f t="shared" si="95"/>
        <v>1618</v>
      </c>
      <c r="B1619" s="84"/>
      <c r="D1619" s="59"/>
      <c r="E1619" s="59"/>
      <c r="R1619" s="84"/>
      <c r="T1619" s="59"/>
    </row>
    <row r="1620" spans="1:20">
      <c r="A1620" s="37">
        <f>ROW()-1</f>
        <v>1619</v>
      </c>
      <c r="B1620" s="84"/>
      <c r="D1620" s="59"/>
      <c r="E1620" s="59"/>
      <c r="R1620" s="84"/>
      <c r="T1620" s="59"/>
    </row>
    <row r="1621" spans="1:20">
      <c r="A1621" s="37">
        <f>ROW()-1</f>
        <v>1620</v>
      </c>
      <c r="B1621" s="84"/>
      <c r="D1621" s="59"/>
      <c r="E1621" s="59"/>
      <c r="R1621" s="84"/>
      <c r="T1621" s="59"/>
    </row>
    <row r="1622" spans="1:20">
      <c r="A1622" s="37">
        <f>ROW()-1</f>
        <v>1621</v>
      </c>
      <c r="B1622" s="84"/>
      <c r="D1622" s="59"/>
      <c r="E1622" s="59"/>
      <c r="R1622" s="84"/>
      <c r="T1622" s="59"/>
    </row>
    <row r="1623" spans="1:20">
      <c r="A1623" s="37">
        <f>ROW()-1</f>
        <v>1622</v>
      </c>
      <c r="B1623" s="84"/>
      <c r="D1623" s="59"/>
      <c r="E1623" s="59"/>
      <c r="R1623" s="84"/>
      <c r="T1623" s="59"/>
    </row>
    <row r="1624" spans="1:20">
      <c r="A1624" s="37">
        <f t="shared" ref="A1624:A1635" si="96">ROW()-1</f>
        <v>1623</v>
      </c>
      <c r="B1624" s="84"/>
      <c r="D1624" s="59"/>
      <c r="E1624" s="59"/>
      <c r="R1624" s="84"/>
      <c r="T1624" s="59"/>
    </row>
    <row r="1625" spans="1:20">
      <c r="A1625" s="37">
        <f t="shared" si="96"/>
        <v>1624</v>
      </c>
      <c r="B1625" s="84"/>
      <c r="D1625" s="59"/>
      <c r="E1625" s="59"/>
      <c r="R1625" s="84"/>
      <c r="T1625" s="59"/>
    </row>
    <row r="1626" spans="1:20">
      <c r="A1626" s="37">
        <f t="shared" si="96"/>
        <v>1625</v>
      </c>
      <c r="B1626" s="84"/>
      <c r="D1626" s="59"/>
      <c r="E1626" s="59"/>
      <c r="R1626" s="84"/>
      <c r="T1626" s="59"/>
    </row>
    <row r="1627" spans="1:20">
      <c r="A1627" s="37">
        <f t="shared" si="96"/>
        <v>1626</v>
      </c>
      <c r="B1627" s="84"/>
      <c r="D1627" s="59"/>
      <c r="E1627" s="59"/>
      <c r="R1627" s="84"/>
      <c r="T1627" s="59"/>
    </row>
    <row r="1628" spans="1:20">
      <c r="A1628" s="37">
        <f t="shared" si="96"/>
        <v>1627</v>
      </c>
      <c r="B1628" s="84"/>
      <c r="D1628" s="59"/>
      <c r="E1628" s="59"/>
      <c r="R1628" s="84"/>
      <c r="T1628" s="59"/>
    </row>
    <row r="1629" spans="1:20">
      <c r="A1629" s="37">
        <f t="shared" si="96"/>
        <v>1628</v>
      </c>
      <c r="B1629" s="84"/>
      <c r="D1629" s="59"/>
      <c r="E1629" s="59"/>
      <c r="R1629" s="84"/>
      <c r="T1629" s="59"/>
    </row>
    <row r="1630" spans="1:20">
      <c r="A1630" s="37">
        <f t="shared" si="96"/>
        <v>1629</v>
      </c>
      <c r="B1630" s="84"/>
      <c r="D1630" s="59"/>
      <c r="E1630" s="59"/>
      <c r="R1630" s="84"/>
      <c r="T1630" s="59"/>
    </row>
    <row r="1631" spans="1:20">
      <c r="A1631" s="37">
        <f t="shared" si="96"/>
        <v>1630</v>
      </c>
      <c r="B1631" s="84"/>
      <c r="D1631" s="59"/>
      <c r="E1631" s="59"/>
      <c r="R1631" s="84"/>
      <c r="T1631" s="59"/>
    </row>
    <row r="1632" spans="1:20">
      <c r="A1632" s="37">
        <f t="shared" si="96"/>
        <v>1631</v>
      </c>
      <c r="B1632" s="84"/>
      <c r="D1632" s="59"/>
      <c r="E1632" s="59"/>
      <c r="R1632" s="84"/>
      <c r="T1632" s="59"/>
    </row>
    <row r="1633" spans="1:20">
      <c r="A1633" s="37">
        <f t="shared" si="96"/>
        <v>1632</v>
      </c>
      <c r="B1633" s="84"/>
      <c r="D1633" s="59"/>
      <c r="E1633" s="59"/>
      <c r="R1633" s="84"/>
      <c r="T1633" s="59"/>
    </row>
    <row r="1634" spans="1:20">
      <c r="A1634" s="37">
        <f t="shared" si="96"/>
        <v>1633</v>
      </c>
      <c r="B1634" s="84"/>
      <c r="D1634" s="59"/>
      <c r="E1634" s="59"/>
      <c r="R1634" s="84"/>
      <c r="T1634" s="59"/>
    </row>
    <row r="1635" spans="1:20">
      <c r="A1635" s="37">
        <f t="shared" si="96"/>
        <v>1634</v>
      </c>
      <c r="B1635" s="84"/>
      <c r="D1635" s="59"/>
      <c r="E1635" s="59"/>
      <c r="R1635" s="84"/>
      <c r="T1635" s="59"/>
    </row>
    <row r="1636" spans="1:20">
      <c r="A1636" s="37">
        <f t="shared" ref="A1636:A1642" si="97">ROW()-1</f>
        <v>1635</v>
      </c>
      <c r="B1636" s="84"/>
      <c r="D1636" s="59"/>
      <c r="E1636" s="59"/>
      <c r="R1636" s="84"/>
      <c r="T1636" s="59"/>
    </row>
    <row r="1637" spans="1:20">
      <c r="A1637" s="37">
        <f t="shared" si="97"/>
        <v>1636</v>
      </c>
      <c r="B1637" s="84"/>
      <c r="D1637" s="59"/>
      <c r="E1637" s="59"/>
      <c r="R1637" s="84"/>
      <c r="T1637" s="59"/>
    </row>
    <row r="1638" spans="1:20">
      <c r="A1638" s="37">
        <f t="shared" si="97"/>
        <v>1637</v>
      </c>
      <c r="B1638" s="84"/>
      <c r="D1638" s="59"/>
      <c r="E1638" s="59"/>
      <c r="R1638" s="84"/>
      <c r="T1638" s="59"/>
    </row>
    <row r="1639" spans="1:20">
      <c r="A1639" s="37">
        <f t="shared" si="97"/>
        <v>1638</v>
      </c>
      <c r="B1639" s="84"/>
      <c r="D1639" s="59"/>
      <c r="E1639" s="59"/>
      <c r="R1639" s="84"/>
      <c r="T1639" s="59"/>
    </row>
    <row r="1640" spans="1:20">
      <c r="A1640" s="37">
        <f t="shared" si="97"/>
        <v>1639</v>
      </c>
      <c r="B1640" s="84"/>
      <c r="D1640" s="59"/>
      <c r="E1640" s="59"/>
      <c r="R1640" s="84"/>
      <c r="T1640" s="59"/>
    </row>
    <row r="1641" spans="1:20">
      <c r="A1641" s="37">
        <f t="shared" si="97"/>
        <v>1640</v>
      </c>
      <c r="B1641" s="84"/>
      <c r="D1641" s="59"/>
      <c r="E1641" s="59"/>
      <c r="R1641" s="84"/>
      <c r="T1641" s="59"/>
    </row>
    <row r="1642" spans="1:20">
      <c r="A1642" s="37">
        <f t="shared" si="97"/>
        <v>1641</v>
      </c>
      <c r="B1642" s="84"/>
      <c r="D1642" s="59"/>
      <c r="E1642" s="59"/>
      <c r="R1642" s="84"/>
      <c r="T1642" s="59"/>
    </row>
    <row r="1643" spans="1:20">
      <c r="A1643" s="37">
        <f t="shared" ref="A1643:A1652" si="98">ROW()-1</f>
        <v>1642</v>
      </c>
      <c r="B1643" s="84"/>
      <c r="D1643" s="59"/>
      <c r="E1643" s="59"/>
      <c r="R1643" s="84"/>
      <c r="T1643" s="59"/>
    </row>
    <row r="1644" spans="1:20">
      <c r="A1644" s="37">
        <f t="shared" si="98"/>
        <v>1643</v>
      </c>
      <c r="B1644" s="84"/>
      <c r="D1644" s="59"/>
      <c r="E1644" s="59"/>
      <c r="R1644" s="84"/>
      <c r="T1644" s="59"/>
    </row>
    <row r="1645" spans="1:20">
      <c r="A1645" s="37">
        <f t="shared" si="98"/>
        <v>1644</v>
      </c>
      <c r="B1645" s="84"/>
      <c r="D1645" s="59"/>
      <c r="E1645" s="59"/>
      <c r="R1645" s="84"/>
      <c r="T1645" s="59"/>
    </row>
    <row r="1646" spans="1:20">
      <c r="A1646" s="37">
        <f t="shared" si="98"/>
        <v>1645</v>
      </c>
      <c r="B1646" s="84"/>
      <c r="D1646" s="59"/>
      <c r="E1646" s="59"/>
      <c r="R1646" s="84"/>
      <c r="T1646" s="59"/>
    </row>
    <row r="1647" spans="1:20">
      <c r="A1647" s="37">
        <f t="shared" si="98"/>
        <v>1646</v>
      </c>
      <c r="B1647" s="84"/>
      <c r="D1647" s="59"/>
      <c r="E1647" s="59"/>
      <c r="R1647" s="84"/>
      <c r="T1647" s="59"/>
    </row>
    <row r="1648" spans="1:20">
      <c r="A1648" s="37">
        <f t="shared" si="98"/>
        <v>1647</v>
      </c>
      <c r="B1648" s="84"/>
      <c r="D1648" s="59"/>
      <c r="E1648" s="59"/>
      <c r="R1648" s="84"/>
      <c r="T1648" s="59"/>
    </row>
    <row r="1649" spans="1:20">
      <c r="A1649" s="37">
        <f t="shared" si="98"/>
        <v>1648</v>
      </c>
      <c r="B1649" s="84"/>
      <c r="D1649" s="59"/>
      <c r="E1649" s="59"/>
      <c r="R1649" s="84"/>
      <c r="T1649" s="59"/>
    </row>
    <row r="1650" spans="1:20">
      <c r="A1650" s="37">
        <f t="shared" si="98"/>
        <v>1649</v>
      </c>
      <c r="B1650" s="84"/>
      <c r="D1650" s="59"/>
      <c r="E1650" s="59"/>
      <c r="R1650" s="84"/>
      <c r="T1650" s="59"/>
    </row>
    <row r="1651" spans="1:20">
      <c r="A1651" s="37">
        <f t="shared" si="98"/>
        <v>1650</v>
      </c>
      <c r="B1651" s="84"/>
      <c r="D1651" s="59"/>
      <c r="E1651" s="59"/>
      <c r="R1651" s="84"/>
      <c r="T1651" s="59"/>
    </row>
    <row r="1652" spans="1:20">
      <c r="A1652" s="37">
        <f t="shared" si="98"/>
        <v>1651</v>
      </c>
      <c r="B1652" s="84"/>
      <c r="D1652" s="59"/>
      <c r="E1652" s="59"/>
      <c r="R1652" s="84"/>
      <c r="T1652" s="59"/>
    </row>
    <row r="1653" spans="1:20">
      <c r="A1653" s="37">
        <f t="shared" ref="A1653:A1663" si="99">ROW()-1</f>
        <v>1652</v>
      </c>
      <c r="B1653" s="84"/>
      <c r="D1653" s="59"/>
      <c r="E1653" s="59"/>
      <c r="R1653" s="84"/>
      <c r="T1653" s="59"/>
    </row>
    <row r="1654" spans="1:20">
      <c r="A1654" s="37">
        <f t="shared" si="99"/>
        <v>1653</v>
      </c>
      <c r="B1654" s="84"/>
      <c r="D1654" s="59"/>
      <c r="E1654" s="59"/>
      <c r="R1654" s="84"/>
      <c r="T1654" s="59"/>
    </row>
    <row r="1655" spans="1:20">
      <c r="A1655" s="37">
        <f t="shared" si="99"/>
        <v>1654</v>
      </c>
      <c r="B1655" s="84"/>
      <c r="D1655" s="59"/>
      <c r="E1655" s="59"/>
      <c r="R1655" s="84"/>
      <c r="T1655" s="59"/>
    </row>
    <row r="1656" spans="1:20">
      <c r="A1656" s="37">
        <f t="shared" si="99"/>
        <v>1655</v>
      </c>
      <c r="B1656" s="84"/>
      <c r="D1656" s="59"/>
      <c r="E1656" s="59"/>
      <c r="R1656" s="84"/>
      <c r="T1656" s="59"/>
    </row>
    <row r="1657" spans="1:20">
      <c r="A1657" s="37">
        <f t="shared" si="99"/>
        <v>1656</v>
      </c>
      <c r="B1657" s="84"/>
      <c r="D1657" s="59"/>
      <c r="E1657" s="59"/>
      <c r="R1657" s="84"/>
      <c r="T1657" s="59"/>
    </row>
    <row r="1658" spans="1:20">
      <c r="A1658" s="37">
        <f t="shared" si="99"/>
        <v>1657</v>
      </c>
      <c r="B1658" s="84"/>
      <c r="D1658" s="59"/>
      <c r="E1658" s="59"/>
      <c r="R1658" s="84"/>
      <c r="T1658" s="59"/>
    </row>
    <row r="1659" spans="1:20">
      <c r="A1659" s="37">
        <f t="shared" si="99"/>
        <v>1658</v>
      </c>
      <c r="B1659" s="84"/>
      <c r="D1659" s="59"/>
      <c r="E1659" s="59"/>
      <c r="R1659" s="84"/>
      <c r="T1659" s="59"/>
    </row>
    <row r="1660" spans="1:20">
      <c r="A1660" s="37">
        <f t="shared" si="99"/>
        <v>1659</v>
      </c>
      <c r="B1660" s="84"/>
      <c r="D1660" s="59"/>
      <c r="E1660" s="59"/>
      <c r="R1660" s="84"/>
      <c r="T1660" s="59"/>
    </row>
    <row r="1661" spans="1:20">
      <c r="A1661" s="37">
        <f t="shared" si="99"/>
        <v>1660</v>
      </c>
      <c r="B1661" s="84"/>
      <c r="D1661" s="59"/>
      <c r="E1661" s="59"/>
      <c r="R1661" s="84"/>
      <c r="T1661" s="59"/>
    </row>
    <row r="1662" spans="1:20">
      <c r="A1662" s="37">
        <f t="shared" si="99"/>
        <v>1661</v>
      </c>
      <c r="B1662" s="84"/>
      <c r="D1662" s="59"/>
      <c r="E1662" s="59"/>
      <c r="R1662" s="84"/>
      <c r="T1662" s="59"/>
    </row>
    <row r="1663" spans="1:20">
      <c r="A1663" s="37">
        <f t="shared" si="99"/>
        <v>1662</v>
      </c>
      <c r="B1663" s="84"/>
      <c r="D1663" s="59"/>
      <c r="E1663" s="59"/>
      <c r="R1663" s="84"/>
      <c r="T1663" s="59"/>
    </row>
    <row r="1664" spans="1:20">
      <c r="A1664" s="37">
        <f>ROW()-1</f>
        <v>1663</v>
      </c>
      <c r="B1664" s="84"/>
      <c r="D1664" s="59"/>
      <c r="E1664" s="59"/>
      <c r="R1664" s="84"/>
      <c r="T1664" s="59"/>
    </row>
    <row r="1665" spans="1:20">
      <c r="A1665" s="37">
        <f>ROW()-1</f>
        <v>1664</v>
      </c>
      <c r="B1665" s="84"/>
      <c r="D1665" s="59"/>
      <c r="E1665" s="59"/>
      <c r="R1665" s="84"/>
      <c r="T1665" s="59"/>
    </row>
    <row r="1666" spans="1:20">
      <c r="A1666" s="37">
        <f>ROW()-1</f>
        <v>1665</v>
      </c>
      <c r="B1666" s="84"/>
      <c r="D1666" s="59"/>
      <c r="E1666" s="59"/>
      <c r="R1666" s="84"/>
      <c r="T1666" s="59"/>
    </row>
    <row r="1667" spans="1:20">
      <c r="A1667" s="37">
        <f>ROW()-1</f>
        <v>1666</v>
      </c>
      <c r="B1667" s="84"/>
      <c r="D1667" s="59"/>
      <c r="E1667" s="59"/>
      <c r="R1667" s="84"/>
      <c r="T1667" s="59"/>
    </row>
    <row r="1668" spans="1:20">
      <c r="A1668" s="37">
        <f>ROW()-1</f>
        <v>1667</v>
      </c>
      <c r="B1668" s="84"/>
      <c r="D1668" s="59"/>
      <c r="E1668" s="59"/>
      <c r="R1668" s="84"/>
      <c r="T1668" s="59"/>
    </row>
    <row r="1669" spans="1:20">
      <c r="A1669" s="37">
        <f t="shared" ref="A1669:A1680" si="100">ROW()-1</f>
        <v>1668</v>
      </c>
      <c r="B1669" s="84"/>
      <c r="D1669" s="59"/>
      <c r="E1669" s="59"/>
      <c r="R1669" s="84"/>
      <c r="T1669" s="59"/>
    </row>
    <row r="1670" spans="1:20">
      <c r="A1670" s="37">
        <f t="shared" si="100"/>
        <v>1669</v>
      </c>
      <c r="B1670" s="84"/>
      <c r="D1670" s="59"/>
      <c r="E1670" s="59"/>
      <c r="R1670" s="84"/>
      <c r="T1670" s="59"/>
    </row>
    <row r="1671" spans="1:20">
      <c r="A1671" s="37">
        <f t="shared" si="100"/>
        <v>1670</v>
      </c>
      <c r="B1671" s="84"/>
      <c r="D1671" s="59"/>
      <c r="E1671" s="59"/>
      <c r="R1671" s="84"/>
      <c r="T1671" s="59"/>
    </row>
    <row r="1672" spans="1:20">
      <c r="A1672" s="37">
        <f t="shared" si="100"/>
        <v>1671</v>
      </c>
      <c r="B1672" s="84"/>
      <c r="D1672" s="59"/>
      <c r="E1672" s="59"/>
      <c r="R1672" s="84"/>
      <c r="T1672" s="59"/>
    </row>
    <row r="1673" spans="1:20">
      <c r="A1673" s="37">
        <f t="shared" si="100"/>
        <v>1672</v>
      </c>
      <c r="B1673" s="84"/>
      <c r="D1673" s="59"/>
      <c r="E1673" s="59"/>
      <c r="R1673" s="84"/>
      <c r="T1673" s="59"/>
    </row>
    <row r="1674" spans="1:20">
      <c r="A1674" s="37">
        <f t="shared" si="100"/>
        <v>1673</v>
      </c>
      <c r="B1674" s="84"/>
      <c r="D1674" s="59"/>
      <c r="E1674" s="59"/>
      <c r="R1674" s="84"/>
      <c r="T1674" s="59"/>
    </row>
    <row r="1675" spans="1:20">
      <c r="A1675" s="37">
        <f t="shared" si="100"/>
        <v>1674</v>
      </c>
      <c r="B1675" s="84"/>
      <c r="D1675" s="59"/>
      <c r="E1675" s="59"/>
      <c r="R1675" s="84"/>
      <c r="T1675" s="59"/>
    </row>
    <row r="1676" spans="1:20">
      <c r="A1676" s="37">
        <f t="shared" si="100"/>
        <v>1675</v>
      </c>
      <c r="B1676" s="84"/>
      <c r="D1676" s="59"/>
      <c r="E1676" s="59"/>
      <c r="R1676" s="84"/>
      <c r="T1676" s="59"/>
    </row>
    <row r="1677" spans="1:20">
      <c r="A1677" s="37">
        <f t="shared" si="100"/>
        <v>1676</v>
      </c>
      <c r="B1677" s="84"/>
      <c r="D1677" s="59"/>
      <c r="E1677" s="59"/>
      <c r="R1677" s="84"/>
      <c r="T1677" s="59"/>
    </row>
    <row r="1678" spans="1:20">
      <c r="A1678" s="37">
        <f t="shared" si="100"/>
        <v>1677</v>
      </c>
      <c r="B1678" s="84"/>
      <c r="D1678" s="59"/>
      <c r="E1678" s="59"/>
      <c r="R1678" s="84"/>
      <c r="T1678" s="59"/>
    </row>
    <row r="1679" spans="1:20">
      <c r="A1679" s="37">
        <f t="shared" si="100"/>
        <v>1678</v>
      </c>
      <c r="B1679" s="84"/>
      <c r="D1679" s="59"/>
      <c r="E1679" s="59"/>
      <c r="R1679" s="84"/>
      <c r="T1679" s="59"/>
    </row>
    <row r="1680" spans="1:20">
      <c r="A1680" s="37">
        <f t="shared" si="100"/>
        <v>1679</v>
      </c>
      <c r="B1680" s="84"/>
      <c r="D1680" s="59"/>
      <c r="E1680" s="59"/>
      <c r="R1680" s="84"/>
      <c r="T1680" s="59"/>
    </row>
    <row r="1681" spans="1:20">
      <c r="A1681" s="37">
        <f>ROW()-1</f>
        <v>1680</v>
      </c>
      <c r="B1681" s="84"/>
      <c r="D1681" s="59"/>
      <c r="E1681" s="59"/>
      <c r="R1681" s="84"/>
      <c r="T1681" s="59"/>
    </row>
    <row r="1682" spans="1:20">
      <c r="A1682" s="37">
        <f>ROW()-1</f>
        <v>1681</v>
      </c>
      <c r="B1682" s="84"/>
      <c r="D1682" s="59"/>
      <c r="E1682" s="59"/>
      <c r="R1682" s="84"/>
      <c r="T1682" s="59"/>
    </row>
    <row r="1683" spans="1:20">
      <c r="A1683" s="37">
        <f>ROW()-1</f>
        <v>1682</v>
      </c>
      <c r="B1683" s="84"/>
      <c r="D1683" s="59"/>
      <c r="E1683" s="59"/>
      <c r="R1683" s="84"/>
      <c r="T1683" s="59"/>
    </row>
    <row r="1684" spans="1:20">
      <c r="A1684" s="37">
        <f>ROW()-1</f>
        <v>1683</v>
      </c>
      <c r="B1684" s="84"/>
      <c r="D1684" s="59"/>
      <c r="E1684" s="59"/>
      <c r="R1684" s="84"/>
      <c r="T1684" s="59"/>
    </row>
    <row r="1685" spans="1:20">
      <c r="A1685" s="37">
        <f>ROW()-1</f>
        <v>1684</v>
      </c>
      <c r="B1685" s="84"/>
      <c r="D1685" s="59"/>
      <c r="E1685" s="59"/>
      <c r="R1685" s="84"/>
      <c r="T1685" s="59"/>
    </row>
    <row r="1686" spans="1:20">
      <c r="A1686" s="37">
        <f t="shared" ref="A1686:A1697" si="101">ROW()-1</f>
        <v>1685</v>
      </c>
      <c r="B1686" s="84"/>
      <c r="D1686" s="59"/>
      <c r="E1686" s="59"/>
      <c r="R1686" s="84"/>
      <c r="T1686" s="59"/>
    </row>
    <row r="1687" spans="1:20">
      <c r="A1687" s="37">
        <f t="shared" si="101"/>
        <v>1686</v>
      </c>
      <c r="B1687" s="84"/>
      <c r="D1687" s="59"/>
      <c r="E1687" s="59"/>
      <c r="R1687" s="84"/>
      <c r="T1687" s="59"/>
    </row>
    <row r="1688" spans="1:20">
      <c r="A1688" s="37">
        <f t="shared" si="101"/>
        <v>1687</v>
      </c>
      <c r="B1688" s="84"/>
      <c r="D1688" s="59"/>
      <c r="E1688" s="59"/>
      <c r="R1688" s="84"/>
      <c r="T1688" s="59"/>
    </row>
    <row r="1689" spans="1:20">
      <c r="A1689" s="37">
        <f t="shared" si="101"/>
        <v>1688</v>
      </c>
      <c r="B1689" s="84"/>
      <c r="D1689" s="59"/>
      <c r="E1689" s="59"/>
      <c r="R1689" s="84"/>
      <c r="T1689" s="59"/>
    </row>
    <row r="1690" spans="1:20">
      <c r="A1690" s="37">
        <f t="shared" si="101"/>
        <v>1689</v>
      </c>
      <c r="B1690" s="84"/>
      <c r="D1690" s="59"/>
      <c r="E1690" s="59"/>
      <c r="R1690" s="84"/>
      <c r="T1690" s="59"/>
    </row>
    <row r="1691" spans="1:20">
      <c r="A1691" s="37">
        <f t="shared" si="101"/>
        <v>1690</v>
      </c>
      <c r="B1691" s="84"/>
      <c r="D1691" s="59"/>
      <c r="E1691" s="59"/>
      <c r="R1691" s="84"/>
      <c r="T1691" s="59"/>
    </row>
    <row r="1692" spans="1:20">
      <c r="A1692" s="37">
        <f t="shared" si="101"/>
        <v>1691</v>
      </c>
      <c r="B1692" s="84"/>
      <c r="D1692" s="59"/>
      <c r="E1692" s="59"/>
      <c r="R1692" s="84"/>
      <c r="T1692" s="59"/>
    </row>
    <row r="1693" spans="1:20">
      <c r="A1693" s="37">
        <f t="shared" si="101"/>
        <v>1692</v>
      </c>
      <c r="B1693" s="84"/>
      <c r="D1693" s="59"/>
      <c r="E1693" s="59"/>
      <c r="R1693" s="84"/>
      <c r="T1693" s="59"/>
    </row>
    <row r="1694" spans="1:20">
      <c r="A1694" s="37">
        <f t="shared" si="101"/>
        <v>1693</v>
      </c>
      <c r="B1694" s="84"/>
      <c r="D1694" s="59"/>
      <c r="E1694" s="59"/>
      <c r="R1694" s="84"/>
      <c r="T1694" s="59"/>
    </row>
    <row r="1695" spans="1:20">
      <c r="A1695" s="37">
        <f t="shared" si="101"/>
        <v>1694</v>
      </c>
      <c r="B1695" s="84"/>
      <c r="D1695" s="59"/>
      <c r="E1695" s="59"/>
      <c r="R1695" s="84"/>
      <c r="T1695" s="59"/>
    </row>
    <row r="1696" spans="1:20">
      <c r="A1696" s="37">
        <f t="shared" si="101"/>
        <v>1695</v>
      </c>
      <c r="B1696" s="84"/>
      <c r="D1696" s="59"/>
      <c r="E1696" s="59"/>
      <c r="R1696" s="84"/>
      <c r="T1696" s="59"/>
    </row>
    <row r="1697" spans="1:20">
      <c r="A1697" s="37">
        <f t="shared" si="101"/>
        <v>1696</v>
      </c>
      <c r="B1697" s="84"/>
      <c r="D1697" s="59"/>
      <c r="E1697" s="59"/>
      <c r="R1697" s="84"/>
      <c r="T1697" s="59"/>
    </row>
    <row r="1698" spans="1:20">
      <c r="A1698" s="37">
        <f t="shared" ref="A1698:A1705" si="102">ROW()-1</f>
        <v>1697</v>
      </c>
      <c r="B1698" s="84"/>
      <c r="D1698" s="59"/>
      <c r="E1698" s="59"/>
      <c r="R1698" s="84"/>
      <c r="T1698" s="59"/>
    </row>
    <row r="1699" spans="1:20">
      <c r="A1699" s="37">
        <f t="shared" si="102"/>
        <v>1698</v>
      </c>
      <c r="B1699" s="84"/>
      <c r="D1699" s="59"/>
      <c r="E1699" s="59"/>
      <c r="R1699" s="84"/>
      <c r="T1699" s="59"/>
    </row>
    <row r="1700" spans="1:20">
      <c r="A1700" s="37">
        <f t="shared" si="102"/>
        <v>1699</v>
      </c>
      <c r="B1700" s="84"/>
      <c r="D1700" s="59"/>
      <c r="E1700" s="59"/>
      <c r="R1700" s="84"/>
      <c r="T1700" s="59"/>
    </row>
    <row r="1701" spans="1:20">
      <c r="A1701" s="37">
        <f t="shared" si="102"/>
        <v>1700</v>
      </c>
      <c r="B1701" s="84"/>
      <c r="D1701" s="59"/>
      <c r="E1701" s="59"/>
      <c r="R1701" s="84"/>
      <c r="T1701" s="59"/>
    </row>
    <row r="1702" spans="1:20">
      <c r="A1702" s="37">
        <f t="shared" si="102"/>
        <v>1701</v>
      </c>
      <c r="B1702" s="84"/>
      <c r="D1702" s="59"/>
      <c r="E1702" s="59"/>
      <c r="R1702" s="84"/>
      <c r="T1702" s="59"/>
    </row>
    <row r="1703" spans="1:20">
      <c r="A1703" s="37">
        <f t="shared" si="102"/>
        <v>1702</v>
      </c>
      <c r="B1703" s="84"/>
      <c r="D1703" s="59"/>
      <c r="E1703" s="59"/>
      <c r="R1703" s="84"/>
      <c r="T1703" s="59"/>
    </row>
    <row r="1704" spans="1:20">
      <c r="A1704" s="37">
        <f t="shared" si="102"/>
        <v>1703</v>
      </c>
      <c r="B1704" s="84"/>
      <c r="D1704" s="59"/>
      <c r="E1704" s="59"/>
      <c r="R1704" s="84"/>
      <c r="T1704" s="59"/>
    </row>
    <row r="1705" spans="1:20">
      <c r="A1705" s="37">
        <f t="shared" si="102"/>
        <v>1704</v>
      </c>
      <c r="B1705" s="84"/>
      <c r="D1705" s="59"/>
      <c r="E1705" s="59"/>
      <c r="R1705" s="84"/>
      <c r="T1705" s="59"/>
    </row>
    <row r="1706" spans="1:20">
      <c r="A1706" s="69">
        <f t="shared" ref="A1706:A1718" si="103">ROW()-1</f>
        <v>1705</v>
      </c>
      <c r="B1706" s="137"/>
      <c r="C1706" s="69"/>
      <c r="D1706" s="59"/>
      <c r="E1706" s="59"/>
      <c r="F1706" s="69"/>
      <c r="G1706" s="69"/>
      <c r="R1706" s="84"/>
      <c r="T1706" s="59"/>
    </row>
    <row r="1707" spans="1:20">
      <c r="A1707" s="69">
        <f t="shared" si="103"/>
        <v>1706</v>
      </c>
      <c r="B1707" s="137"/>
      <c r="C1707" s="69"/>
      <c r="D1707" s="59"/>
      <c r="E1707" s="59"/>
      <c r="F1707" s="69"/>
      <c r="G1707" s="69"/>
      <c r="R1707" s="84"/>
      <c r="T1707" s="59"/>
    </row>
    <row r="1708" spans="1:20">
      <c r="A1708" s="69">
        <f t="shared" si="103"/>
        <v>1707</v>
      </c>
      <c r="B1708" s="137"/>
      <c r="C1708" s="69"/>
      <c r="D1708" s="59"/>
      <c r="E1708" s="59"/>
      <c r="F1708" s="69"/>
      <c r="G1708" s="69"/>
      <c r="R1708" s="84"/>
      <c r="T1708" s="59"/>
    </row>
    <row r="1709" spans="1:20">
      <c r="A1709" s="69">
        <f t="shared" si="103"/>
        <v>1708</v>
      </c>
      <c r="B1709" s="137"/>
      <c r="C1709" s="69"/>
      <c r="D1709" s="59"/>
      <c r="E1709" s="59"/>
      <c r="F1709" s="69"/>
      <c r="G1709" s="69"/>
      <c r="R1709" s="84"/>
      <c r="T1709" s="59"/>
    </row>
    <row r="1710" spans="1:20">
      <c r="A1710" s="69">
        <f t="shared" si="103"/>
        <v>1709</v>
      </c>
      <c r="B1710" s="137"/>
      <c r="C1710" s="69"/>
      <c r="D1710" s="59"/>
      <c r="E1710" s="59"/>
      <c r="F1710" s="69"/>
      <c r="G1710" s="69"/>
      <c r="R1710" s="84"/>
      <c r="T1710" s="59"/>
    </row>
    <row r="1711" spans="1:20">
      <c r="A1711" s="69">
        <f t="shared" si="103"/>
        <v>1710</v>
      </c>
      <c r="B1711" s="137"/>
      <c r="C1711" s="69"/>
      <c r="D1711" s="59"/>
      <c r="E1711" s="59"/>
      <c r="F1711" s="69"/>
      <c r="G1711" s="69"/>
      <c r="R1711" s="84"/>
      <c r="T1711" s="59"/>
    </row>
    <row r="1712" spans="1:20">
      <c r="A1712" s="69">
        <f t="shared" si="103"/>
        <v>1711</v>
      </c>
      <c r="B1712" s="137"/>
      <c r="C1712" s="69"/>
      <c r="D1712" s="59"/>
      <c r="E1712" s="59"/>
      <c r="F1712" s="69"/>
      <c r="G1712" s="69"/>
      <c r="R1712" s="84"/>
      <c r="T1712" s="59"/>
    </row>
    <row r="1713" spans="1:20">
      <c r="A1713" s="69">
        <f t="shared" si="103"/>
        <v>1712</v>
      </c>
      <c r="B1713" s="137"/>
      <c r="C1713" s="69"/>
      <c r="D1713" s="59"/>
      <c r="E1713" s="59"/>
      <c r="F1713" s="69"/>
      <c r="G1713" s="69"/>
      <c r="R1713" s="84"/>
      <c r="T1713" s="59"/>
    </row>
    <row r="1714" spans="1:20">
      <c r="A1714" s="69">
        <f t="shared" si="103"/>
        <v>1713</v>
      </c>
      <c r="B1714" s="137"/>
      <c r="C1714" s="69"/>
      <c r="D1714" s="59"/>
      <c r="E1714" s="59"/>
      <c r="F1714" s="69"/>
      <c r="G1714" s="69"/>
      <c r="R1714" s="84"/>
      <c r="T1714" s="59"/>
    </row>
    <row r="1715" spans="1:20">
      <c r="A1715" s="69">
        <f t="shared" si="103"/>
        <v>1714</v>
      </c>
      <c r="B1715" s="137"/>
      <c r="C1715" s="69"/>
      <c r="D1715" s="59"/>
      <c r="E1715" s="59"/>
      <c r="F1715" s="69"/>
      <c r="G1715" s="69"/>
      <c r="R1715" s="84"/>
      <c r="T1715" s="59"/>
    </row>
    <row r="1716" spans="1:20">
      <c r="A1716" s="69">
        <f t="shared" si="103"/>
        <v>1715</v>
      </c>
      <c r="B1716" s="137"/>
      <c r="C1716" s="69"/>
      <c r="D1716" s="59"/>
      <c r="E1716" s="59"/>
      <c r="F1716" s="69"/>
      <c r="G1716" s="69"/>
      <c r="R1716" s="84"/>
      <c r="T1716" s="59"/>
    </row>
    <row r="1717" spans="1:20">
      <c r="A1717" s="69">
        <f t="shared" si="103"/>
        <v>1716</v>
      </c>
      <c r="B1717" s="137"/>
      <c r="C1717" s="69"/>
      <c r="D1717" s="59"/>
      <c r="E1717" s="59"/>
      <c r="F1717" s="69"/>
      <c r="G1717" s="69"/>
      <c r="R1717" s="84"/>
      <c r="T1717" s="59"/>
    </row>
    <row r="1718" spans="1:20">
      <c r="A1718" s="69">
        <f t="shared" si="103"/>
        <v>1717</v>
      </c>
      <c r="B1718" s="137"/>
      <c r="C1718" s="69"/>
      <c r="D1718" s="59"/>
      <c r="E1718" s="59"/>
      <c r="F1718" s="69"/>
      <c r="G1718" s="69"/>
      <c r="R1718" s="84"/>
      <c r="T1718" s="59"/>
    </row>
    <row r="1719" spans="1:20">
      <c r="A1719" s="69">
        <f t="shared" ref="A1719:A1724" si="104">ROW()-1</f>
        <v>1718</v>
      </c>
      <c r="B1719" s="137"/>
      <c r="C1719" s="69"/>
      <c r="D1719" s="59"/>
      <c r="E1719" s="59"/>
      <c r="F1719" s="69"/>
      <c r="G1719" s="69"/>
      <c r="R1719" s="84"/>
      <c r="T1719" s="59"/>
    </row>
    <row r="1720" spans="1:20">
      <c r="A1720" s="69">
        <f t="shared" si="104"/>
        <v>1719</v>
      </c>
      <c r="B1720" s="137"/>
      <c r="C1720" s="69"/>
      <c r="D1720" s="59"/>
      <c r="E1720" s="59"/>
      <c r="F1720" s="69"/>
      <c r="G1720" s="69"/>
      <c r="R1720" s="84"/>
      <c r="T1720" s="59"/>
    </row>
    <row r="1721" spans="1:20">
      <c r="A1721" s="69">
        <f t="shared" si="104"/>
        <v>1720</v>
      </c>
      <c r="B1721" s="137"/>
      <c r="C1721" s="69"/>
      <c r="D1721" s="59"/>
      <c r="E1721" s="59"/>
      <c r="F1721" s="69"/>
      <c r="G1721" s="69"/>
      <c r="R1721" s="84"/>
      <c r="T1721" s="59"/>
    </row>
    <row r="1722" spans="1:20">
      <c r="A1722" s="69">
        <f t="shared" si="104"/>
        <v>1721</v>
      </c>
      <c r="B1722" s="137"/>
      <c r="C1722" s="69"/>
      <c r="D1722" s="59"/>
      <c r="E1722" s="59"/>
      <c r="F1722" s="69"/>
      <c r="G1722" s="69"/>
      <c r="R1722" s="84"/>
      <c r="T1722" s="59"/>
    </row>
    <row r="1723" spans="1:20">
      <c r="A1723" s="69">
        <f t="shared" si="104"/>
        <v>1722</v>
      </c>
      <c r="B1723" s="137"/>
      <c r="C1723" s="69"/>
      <c r="D1723" s="59"/>
      <c r="E1723" s="59"/>
      <c r="F1723" s="69"/>
      <c r="G1723" s="69"/>
      <c r="R1723" s="84"/>
      <c r="T1723" s="59"/>
    </row>
    <row r="1724" spans="1:20">
      <c r="A1724" s="69">
        <f t="shared" si="104"/>
        <v>1723</v>
      </c>
      <c r="B1724" s="137"/>
      <c r="C1724" s="69"/>
      <c r="D1724" s="59"/>
      <c r="E1724" s="59"/>
      <c r="F1724" s="69"/>
      <c r="G1724" s="69"/>
      <c r="R1724" s="84"/>
      <c r="T1724" s="59"/>
    </row>
    <row r="1725" spans="1:20">
      <c r="A1725" s="69">
        <f>ROW()-1</f>
        <v>1724</v>
      </c>
      <c r="B1725" s="137"/>
      <c r="C1725" s="69"/>
      <c r="D1725" s="59"/>
      <c r="E1725" s="59"/>
      <c r="F1725" s="69"/>
      <c r="G1725" s="69"/>
      <c r="R1725" s="84"/>
      <c r="T1725" s="59"/>
    </row>
    <row r="1726" spans="1:20">
      <c r="A1726" s="69">
        <f>ROW()-1</f>
        <v>1725</v>
      </c>
      <c r="B1726" s="137"/>
      <c r="C1726" s="69"/>
      <c r="D1726" s="59"/>
      <c r="E1726" s="59"/>
      <c r="F1726" s="69"/>
      <c r="G1726" s="69"/>
      <c r="R1726" s="84"/>
      <c r="T1726" s="59"/>
    </row>
    <row r="1727" spans="1:20">
      <c r="A1727" s="69">
        <f>ROW()-1</f>
        <v>1726</v>
      </c>
      <c r="B1727" s="137"/>
      <c r="C1727" s="69"/>
      <c r="D1727" s="59"/>
      <c r="E1727" s="59"/>
      <c r="F1727" s="69"/>
      <c r="G1727" s="69"/>
      <c r="R1727" s="84"/>
      <c r="T1727" s="59"/>
    </row>
    <row r="1728" spans="1:20">
      <c r="A1728" s="69">
        <f>ROW()-1</f>
        <v>1727</v>
      </c>
      <c r="B1728" s="137"/>
      <c r="C1728" s="69"/>
      <c r="D1728" s="59"/>
      <c r="E1728" s="59"/>
      <c r="F1728" s="69"/>
      <c r="G1728" s="69"/>
      <c r="R1728" s="84"/>
      <c r="T1728" s="59"/>
    </row>
    <row r="1729" spans="1:20">
      <c r="A1729" s="69">
        <f t="shared" ref="A1729:A1737" si="105">ROW()-1</f>
        <v>1728</v>
      </c>
      <c r="B1729" s="137"/>
      <c r="C1729" s="69"/>
      <c r="D1729" s="59"/>
      <c r="E1729" s="59"/>
      <c r="F1729" s="69"/>
      <c r="G1729" s="69"/>
      <c r="R1729" s="84"/>
      <c r="T1729" s="59"/>
    </row>
    <row r="1730" spans="1:20">
      <c r="A1730" s="69">
        <f t="shared" si="105"/>
        <v>1729</v>
      </c>
      <c r="B1730" s="137"/>
      <c r="C1730" s="69"/>
      <c r="D1730" s="59"/>
      <c r="E1730" s="59"/>
      <c r="F1730" s="69"/>
      <c r="G1730" s="69"/>
      <c r="R1730" s="84"/>
      <c r="T1730" s="59"/>
    </row>
    <row r="1731" spans="1:20">
      <c r="A1731" s="69">
        <f t="shared" si="105"/>
        <v>1730</v>
      </c>
      <c r="B1731" s="137"/>
      <c r="C1731" s="69"/>
      <c r="D1731" s="59"/>
      <c r="E1731" s="59"/>
      <c r="F1731" s="69"/>
      <c r="G1731" s="69"/>
      <c r="R1731" s="84"/>
      <c r="T1731" s="59"/>
    </row>
    <row r="1732" spans="1:20">
      <c r="A1732" s="69">
        <f t="shared" si="105"/>
        <v>1731</v>
      </c>
      <c r="B1732" s="137"/>
      <c r="C1732" s="69"/>
      <c r="D1732" s="59"/>
      <c r="E1732" s="59"/>
      <c r="F1732" s="69"/>
      <c r="G1732" s="69"/>
      <c r="R1732" s="84"/>
      <c r="T1732" s="59"/>
    </row>
    <row r="1733" spans="1:20">
      <c r="A1733" s="69">
        <f t="shared" si="105"/>
        <v>1732</v>
      </c>
      <c r="B1733" s="137"/>
      <c r="C1733" s="69"/>
      <c r="D1733" s="59"/>
      <c r="E1733" s="59"/>
      <c r="F1733" s="69"/>
      <c r="G1733" s="69"/>
      <c r="R1733" s="84"/>
      <c r="T1733" s="59"/>
    </row>
    <row r="1734" spans="1:20">
      <c r="A1734" s="69">
        <f t="shared" si="105"/>
        <v>1733</v>
      </c>
      <c r="B1734" s="137"/>
      <c r="C1734" s="69"/>
      <c r="D1734" s="59"/>
      <c r="E1734" s="59"/>
      <c r="F1734" s="69"/>
      <c r="G1734" s="69"/>
      <c r="R1734" s="84"/>
      <c r="T1734" s="59"/>
    </row>
    <row r="1735" spans="1:20">
      <c r="A1735" s="69">
        <f t="shared" si="105"/>
        <v>1734</v>
      </c>
      <c r="B1735" s="137"/>
      <c r="C1735" s="69"/>
      <c r="D1735" s="59"/>
      <c r="E1735" s="59"/>
      <c r="F1735" s="69"/>
      <c r="G1735" s="69"/>
      <c r="R1735" s="84"/>
      <c r="T1735" s="59"/>
    </row>
    <row r="1736" spans="1:20">
      <c r="A1736" s="69">
        <f t="shared" si="105"/>
        <v>1735</v>
      </c>
      <c r="B1736" s="137"/>
      <c r="C1736" s="69"/>
      <c r="D1736" s="59"/>
      <c r="E1736" s="59"/>
      <c r="F1736" s="69"/>
      <c r="G1736" s="69"/>
      <c r="R1736" s="84"/>
      <c r="T1736" s="59"/>
    </row>
    <row r="1737" spans="1:20">
      <c r="A1737" s="69">
        <f t="shared" si="105"/>
        <v>1736</v>
      </c>
      <c r="B1737" s="137"/>
      <c r="C1737" s="69"/>
      <c r="D1737" s="59"/>
      <c r="E1737" s="59"/>
      <c r="F1737" s="69"/>
      <c r="G1737" s="69"/>
      <c r="R1737" s="84"/>
      <c r="T1737" s="59"/>
    </row>
    <row r="1738" spans="1:20">
      <c r="A1738" s="69">
        <f t="shared" ref="A1738:A1747" si="106">ROW()-1</f>
        <v>1737</v>
      </c>
      <c r="B1738" s="137"/>
      <c r="C1738" s="69"/>
      <c r="D1738" s="59"/>
      <c r="E1738" s="59"/>
      <c r="F1738" s="69"/>
      <c r="G1738" s="69"/>
      <c r="R1738" s="84"/>
      <c r="T1738" s="59"/>
    </row>
    <row r="1739" spans="1:20">
      <c r="A1739" s="69">
        <f t="shared" si="106"/>
        <v>1738</v>
      </c>
      <c r="B1739" s="137"/>
      <c r="C1739" s="69"/>
      <c r="D1739" s="59"/>
      <c r="E1739" s="59"/>
      <c r="F1739" s="69"/>
      <c r="G1739" s="69"/>
      <c r="R1739" s="84"/>
      <c r="T1739" s="59"/>
    </row>
    <row r="1740" spans="1:20">
      <c r="A1740" s="69">
        <f t="shared" si="106"/>
        <v>1739</v>
      </c>
      <c r="B1740" s="137"/>
      <c r="C1740" s="69"/>
      <c r="D1740" s="59"/>
      <c r="E1740" s="59"/>
      <c r="F1740" s="69"/>
      <c r="G1740" s="69"/>
      <c r="R1740" s="84"/>
      <c r="T1740" s="59"/>
    </row>
    <row r="1741" spans="1:20">
      <c r="A1741" s="69">
        <f t="shared" si="106"/>
        <v>1740</v>
      </c>
      <c r="B1741" s="137"/>
      <c r="C1741" s="69"/>
      <c r="D1741" s="59"/>
      <c r="E1741" s="59"/>
      <c r="F1741" s="69"/>
      <c r="G1741" s="69"/>
      <c r="R1741" s="84"/>
      <c r="T1741" s="59"/>
    </row>
    <row r="1742" spans="1:20">
      <c r="A1742" s="69">
        <f t="shared" si="106"/>
        <v>1741</v>
      </c>
      <c r="B1742" s="137"/>
      <c r="C1742" s="69"/>
      <c r="D1742" s="59"/>
      <c r="E1742" s="59"/>
      <c r="F1742" s="69"/>
      <c r="G1742" s="69"/>
      <c r="R1742" s="84"/>
      <c r="T1742" s="59"/>
    </row>
    <row r="1743" spans="1:20">
      <c r="A1743" s="69">
        <f t="shared" si="106"/>
        <v>1742</v>
      </c>
      <c r="B1743" s="137"/>
      <c r="C1743" s="69"/>
      <c r="D1743" s="59"/>
      <c r="E1743" s="59"/>
      <c r="F1743" s="69"/>
      <c r="G1743" s="69"/>
      <c r="R1743" s="84"/>
      <c r="T1743" s="59"/>
    </row>
    <row r="1744" spans="1:20">
      <c r="A1744" s="69">
        <f t="shared" si="106"/>
        <v>1743</v>
      </c>
      <c r="B1744" s="137"/>
      <c r="C1744" s="69"/>
      <c r="D1744" s="59"/>
      <c r="E1744" s="59"/>
      <c r="F1744" s="69"/>
      <c r="G1744" s="69"/>
      <c r="R1744" s="84"/>
      <c r="T1744" s="59"/>
    </row>
    <row r="1745" spans="1:20">
      <c r="A1745" s="69">
        <f t="shared" si="106"/>
        <v>1744</v>
      </c>
      <c r="B1745" s="137"/>
      <c r="C1745" s="69"/>
      <c r="D1745" s="59"/>
      <c r="E1745" s="59"/>
      <c r="F1745" s="69"/>
      <c r="G1745" s="69"/>
      <c r="R1745" s="84"/>
      <c r="T1745" s="59"/>
    </row>
    <row r="1746" spans="1:20">
      <c r="A1746" s="69">
        <f t="shared" si="106"/>
        <v>1745</v>
      </c>
      <c r="B1746" s="137"/>
      <c r="C1746" s="69"/>
      <c r="D1746" s="59"/>
      <c r="E1746" s="59"/>
      <c r="F1746" s="69"/>
      <c r="G1746" s="69"/>
      <c r="R1746" s="84"/>
      <c r="T1746" s="59"/>
    </row>
    <row r="1747" spans="1:20">
      <c r="A1747" s="69">
        <f t="shared" si="106"/>
        <v>1746</v>
      </c>
      <c r="B1747" s="137"/>
      <c r="C1747" s="69"/>
      <c r="D1747" s="59"/>
      <c r="E1747" s="59"/>
      <c r="F1747" s="69"/>
      <c r="G1747" s="69"/>
      <c r="R1747" s="84"/>
      <c r="T1747" s="59"/>
    </row>
    <row r="1748" spans="1:20">
      <c r="A1748" s="69">
        <f t="shared" ref="A1748:A1777" si="107">ROW()-1</f>
        <v>1747</v>
      </c>
      <c r="B1748" s="137"/>
      <c r="C1748" s="69"/>
      <c r="D1748" s="59"/>
      <c r="E1748" s="59"/>
      <c r="F1748" s="69"/>
      <c r="G1748" s="69"/>
      <c r="R1748" s="84"/>
      <c r="T1748" s="59"/>
    </row>
    <row r="1749" spans="1:20">
      <c r="A1749" s="69">
        <f t="shared" si="107"/>
        <v>1748</v>
      </c>
      <c r="B1749" s="137"/>
      <c r="C1749" s="69"/>
      <c r="D1749" s="59"/>
      <c r="E1749" s="59"/>
      <c r="F1749" s="69"/>
      <c r="G1749" s="69"/>
      <c r="R1749" s="84"/>
      <c r="T1749" s="59"/>
    </row>
    <row r="1750" spans="1:20">
      <c r="A1750" s="69">
        <f t="shared" si="107"/>
        <v>1749</v>
      </c>
      <c r="B1750" s="137"/>
      <c r="C1750" s="69"/>
      <c r="D1750" s="59"/>
      <c r="E1750" s="59"/>
      <c r="F1750" s="69"/>
      <c r="G1750" s="69"/>
      <c r="R1750" s="84"/>
      <c r="T1750" s="59"/>
    </row>
    <row r="1751" spans="1:20">
      <c r="A1751" s="69">
        <f t="shared" si="107"/>
        <v>1750</v>
      </c>
      <c r="B1751" s="137"/>
      <c r="C1751" s="69"/>
      <c r="D1751" s="59"/>
      <c r="E1751" s="59"/>
      <c r="F1751" s="69"/>
      <c r="G1751" s="69"/>
      <c r="R1751" s="84"/>
      <c r="T1751" s="59"/>
    </row>
    <row r="1752" spans="1:20">
      <c r="A1752" s="69">
        <f t="shared" si="107"/>
        <v>1751</v>
      </c>
      <c r="B1752" s="137"/>
      <c r="C1752" s="69"/>
      <c r="D1752" s="59"/>
      <c r="E1752" s="59"/>
      <c r="F1752" s="69"/>
      <c r="G1752" s="69"/>
      <c r="R1752" s="84"/>
      <c r="T1752" s="59"/>
    </row>
    <row r="1753" spans="1:20">
      <c r="A1753" s="69">
        <f t="shared" si="107"/>
        <v>1752</v>
      </c>
      <c r="B1753" s="137"/>
      <c r="C1753" s="69"/>
      <c r="D1753" s="59"/>
      <c r="E1753" s="59"/>
      <c r="F1753" s="69"/>
      <c r="G1753" s="69"/>
      <c r="R1753" s="84"/>
      <c r="T1753" s="59"/>
    </row>
    <row r="1754" spans="1:20">
      <c r="A1754" s="69">
        <f t="shared" si="107"/>
        <v>1753</v>
      </c>
      <c r="B1754" s="137"/>
      <c r="C1754" s="69"/>
      <c r="D1754" s="59"/>
      <c r="E1754" s="59"/>
      <c r="F1754" s="69"/>
      <c r="G1754" s="69"/>
      <c r="R1754" s="84"/>
      <c r="T1754" s="59"/>
    </row>
    <row r="1755" spans="1:20">
      <c r="A1755" s="69">
        <f t="shared" si="107"/>
        <v>1754</v>
      </c>
      <c r="B1755" s="137"/>
      <c r="C1755" s="69"/>
      <c r="D1755" s="59"/>
      <c r="E1755" s="59"/>
      <c r="F1755" s="69"/>
      <c r="G1755" s="69"/>
      <c r="R1755" s="84"/>
      <c r="T1755" s="59"/>
    </row>
    <row r="1756" spans="1:20">
      <c r="A1756" s="69">
        <f t="shared" si="107"/>
        <v>1755</v>
      </c>
      <c r="B1756" s="137"/>
      <c r="C1756" s="69"/>
      <c r="D1756" s="59"/>
      <c r="E1756" s="59"/>
      <c r="F1756" s="69"/>
      <c r="G1756" s="69"/>
      <c r="R1756" s="84"/>
      <c r="T1756" s="59"/>
    </row>
    <row r="1757" spans="1:20">
      <c r="A1757" s="69">
        <f t="shared" si="107"/>
        <v>1756</v>
      </c>
      <c r="B1757" s="137"/>
      <c r="C1757" s="69"/>
      <c r="D1757" s="59"/>
      <c r="E1757" s="59"/>
      <c r="F1757" s="69"/>
      <c r="G1757" s="69"/>
      <c r="R1757" s="84"/>
      <c r="T1757" s="59"/>
    </row>
    <row r="1758" spans="1:20">
      <c r="A1758" s="69">
        <f t="shared" si="107"/>
        <v>1757</v>
      </c>
      <c r="B1758" s="137"/>
      <c r="C1758" s="69"/>
      <c r="D1758" s="59"/>
      <c r="E1758" s="59"/>
      <c r="F1758" s="69"/>
      <c r="G1758" s="69"/>
      <c r="R1758" s="84"/>
      <c r="T1758" s="59"/>
    </row>
    <row r="1759" spans="1:20">
      <c r="A1759" s="69">
        <f t="shared" si="107"/>
        <v>1758</v>
      </c>
      <c r="B1759" s="137"/>
      <c r="C1759" s="69"/>
      <c r="D1759" s="59"/>
      <c r="E1759" s="59"/>
      <c r="F1759" s="69"/>
      <c r="G1759" s="69"/>
      <c r="R1759" s="84"/>
      <c r="T1759" s="59"/>
    </row>
    <row r="1760" spans="1:20">
      <c r="A1760" s="69">
        <f t="shared" si="107"/>
        <v>1759</v>
      </c>
      <c r="B1760" s="137"/>
      <c r="C1760" s="69"/>
      <c r="D1760" s="59"/>
      <c r="E1760" s="59"/>
      <c r="F1760" s="69"/>
      <c r="G1760" s="69"/>
      <c r="R1760" s="84"/>
      <c r="T1760" s="59"/>
    </row>
    <row r="1761" spans="1:20">
      <c r="A1761" s="69">
        <f t="shared" si="107"/>
        <v>1760</v>
      </c>
      <c r="B1761" s="137"/>
      <c r="C1761" s="69"/>
      <c r="D1761" s="59"/>
      <c r="E1761" s="59"/>
      <c r="F1761" s="69"/>
      <c r="G1761" s="69"/>
      <c r="R1761" s="84"/>
      <c r="T1761" s="59"/>
    </row>
    <row r="1762" spans="1:20">
      <c r="A1762" s="69">
        <f t="shared" si="107"/>
        <v>1761</v>
      </c>
      <c r="B1762" s="137"/>
      <c r="C1762" s="69"/>
      <c r="D1762" s="59"/>
      <c r="E1762" s="59"/>
      <c r="F1762" s="69"/>
      <c r="G1762" s="69"/>
      <c r="R1762" s="84"/>
      <c r="T1762" s="59"/>
    </row>
    <row r="1763" spans="1:20">
      <c r="A1763" s="69">
        <f t="shared" si="107"/>
        <v>1762</v>
      </c>
      <c r="B1763" s="137"/>
      <c r="C1763" s="69"/>
      <c r="D1763" s="59"/>
      <c r="E1763" s="59"/>
      <c r="F1763" s="69"/>
      <c r="G1763" s="69"/>
      <c r="R1763" s="84"/>
      <c r="T1763" s="59"/>
    </row>
    <row r="1764" spans="1:20">
      <c r="A1764" s="69">
        <f t="shared" si="107"/>
        <v>1763</v>
      </c>
      <c r="B1764" s="137"/>
      <c r="C1764" s="69"/>
      <c r="D1764" s="59"/>
      <c r="E1764" s="59"/>
      <c r="F1764" s="69"/>
      <c r="G1764" s="69"/>
      <c r="R1764" s="84"/>
      <c r="T1764" s="59"/>
    </row>
    <row r="1765" spans="1:20">
      <c r="A1765" s="69">
        <f t="shared" si="107"/>
        <v>1764</v>
      </c>
      <c r="B1765" s="137"/>
      <c r="C1765" s="69"/>
      <c r="D1765" s="59"/>
      <c r="E1765" s="59"/>
      <c r="F1765" s="69"/>
      <c r="G1765" s="69"/>
      <c r="R1765" s="84"/>
      <c r="T1765" s="59"/>
    </row>
    <row r="1766" spans="1:20">
      <c r="A1766" s="69">
        <f t="shared" si="107"/>
        <v>1765</v>
      </c>
      <c r="B1766" s="137"/>
      <c r="C1766" s="69"/>
      <c r="D1766" s="59"/>
      <c r="E1766" s="59"/>
      <c r="F1766" s="69"/>
      <c r="G1766" s="69"/>
      <c r="R1766" s="84"/>
      <c r="T1766" s="59"/>
    </row>
    <row r="1767" spans="1:20">
      <c r="A1767" s="69">
        <f t="shared" si="107"/>
        <v>1766</v>
      </c>
      <c r="B1767" s="137"/>
      <c r="C1767" s="69"/>
      <c r="D1767" s="59"/>
      <c r="E1767" s="59"/>
      <c r="F1767" s="69"/>
      <c r="G1767" s="69"/>
      <c r="R1767" s="84"/>
      <c r="T1767" s="59"/>
    </row>
    <row r="1768" spans="1:20">
      <c r="A1768" s="69">
        <f t="shared" si="107"/>
        <v>1767</v>
      </c>
      <c r="B1768" s="137"/>
      <c r="C1768" s="69"/>
      <c r="D1768" s="59"/>
      <c r="E1768" s="59"/>
      <c r="F1768" s="69"/>
      <c r="G1768" s="69"/>
      <c r="R1768" s="84"/>
      <c r="T1768" s="59"/>
    </row>
    <row r="1769" spans="1:20">
      <c r="A1769" s="69">
        <f t="shared" si="107"/>
        <v>1768</v>
      </c>
      <c r="B1769" s="137"/>
      <c r="C1769" s="69"/>
      <c r="D1769" s="59"/>
      <c r="E1769" s="59"/>
      <c r="F1769" s="69"/>
      <c r="G1769" s="69"/>
      <c r="R1769" s="84"/>
      <c r="T1769" s="59"/>
    </row>
    <row r="1770" spans="1:20">
      <c r="A1770" s="69">
        <f t="shared" si="107"/>
        <v>1769</v>
      </c>
      <c r="B1770" s="137"/>
      <c r="C1770" s="69"/>
      <c r="D1770" s="59"/>
      <c r="E1770" s="59"/>
      <c r="F1770" s="69"/>
      <c r="G1770" s="69"/>
      <c r="R1770" s="84"/>
      <c r="T1770" s="59"/>
    </row>
    <row r="1771" spans="1:20">
      <c r="A1771" s="69">
        <f t="shared" si="107"/>
        <v>1770</v>
      </c>
      <c r="B1771" s="137"/>
      <c r="C1771" s="69"/>
      <c r="D1771" s="59"/>
      <c r="E1771" s="59"/>
      <c r="F1771" s="69"/>
      <c r="G1771" s="69"/>
      <c r="R1771" s="84"/>
      <c r="T1771" s="59"/>
    </row>
    <row r="1772" spans="1:20">
      <c r="A1772" s="69">
        <f t="shared" si="107"/>
        <v>1771</v>
      </c>
      <c r="B1772" s="137"/>
      <c r="C1772" s="69"/>
      <c r="D1772" s="59"/>
      <c r="E1772" s="59"/>
      <c r="F1772" s="69"/>
      <c r="G1772" s="69"/>
      <c r="R1772" s="84"/>
      <c r="T1772" s="59"/>
    </row>
    <row r="1773" spans="1:20">
      <c r="A1773" s="69">
        <f t="shared" si="107"/>
        <v>1772</v>
      </c>
      <c r="B1773" s="137"/>
      <c r="C1773" s="69"/>
      <c r="D1773" s="59"/>
      <c r="E1773" s="59"/>
      <c r="F1773" s="69"/>
      <c r="G1773" s="69"/>
      <c r="R1773" s="84"/>
      <c r="T1773" s="59"/>
    </row>
    <row r="1774" spans="1:20">
      <c r="A1774" s="69">
        <f t="shared" si="107"/>
        <v>1773</v>
      </c>
      <c r="B1774" s="137"/>
      <c r="C1774" s="69"/>
      <c r="D1774" s="59"/>
      <c r="E1774" s="59"/>
      <c r="F1774" s="69"/>
      <c r="G1774" s="69"/>
      <c r="R1774" s="84"/>
      <c r="T1774" s="59"/>
    </row>
    <row r="1775" spans="1:20">
      <c r="A1775" s="69">
        <f t="shared" si="107"/>
        <v>1774</v>
      </c>
      <c r="B1775" s="137"/>
      <c r="C1775" s="69"/>
      <c r="D1775" s="59"/>
      <c r="E1775" s="59"/>
      <c r="F1775" s="69"/>
      <c r="G1775" s="69"/>
      <c r="R1775" s="84"/>
      <c r="T1775" s="59"/>
    </row>
    <row r="1776" spans="1:20">
      <c r="A1776" s="69">
        <f t="shared" si="107"/>
        <v>1775</v>
      </c>
      <c r="B1776" s="137"/>
      <c r="C1776" s="69"/>
      <c r="D1776" s="59"/>
      <c r="E1776" s="59"/>
      <c r="F1776" s="69"/>
      <c r="G1776" s="69"/>
      <c r="R1776" s="84"/>
      <c r="T1776" s="59"/>
    </row>
    <row r="1777" spans="1:20">
      <c r="A1777" s="69">
        <f t="shared" si="107"/>
        <v>1776</v>
      </c>
      <c r="B1777" s="137"/>
      <c r="C1777" s="69"/>
      <c r="D1777" s="59"/>
      <c r="E1777" s="59"/>
      <c r="F1777" s="69"/>
      <c r="G1777" s="69"/>
      <c r="R1777" s="84"/>
      <c r="T1777" s="59"/>
    </row>
    <row r="1778" spans="1:20">
      <c r="A1778" s="37">
        <f t="shared" ref="A1778:A1809" si="108">ROW()-1</f>
        <v>1777</v>
      </c>
      <c r="B1778" s="84"/>
      <c r="D1778" s="59"/>
      <c r="E1778" s="59"/>
      <c r="R1778" s="84"/>
      <c r="T1778" s="59"/>
    </row>
    <row r="1779" spans="1:20">
      <c r="A1779" s="37">
        <f t="shared" si="108"/>
        <v>1778</v>
      </c>
      <c r="B1779" s="84"/>
      <c r="D1779" s="59"/>
      <c r="E1779" s="59"/>
      <c r="R1779" s="84"/>
      <c r="T1779" s="59"/>
    </row>
    <row r="1780" spans="1:20">
      <c r="A1780" s="37">
        <f t="shared" si="108"/>
        <v>1779</v>
      </c>
      <c r="B1780" s="84"/>
      <c r="D1780" s="59"/>
      <c r="E1780" s="59"/>
      <c r="R1780" s="84"/>
      <c r="T1780" s="59"/>
    </row>
    <row r="1781" spans="1:20">
      <c r="A1781" s="37">
        <f t="shared" si="108"/>
        <v>1780</v>
      </c>
      <c r="B1781" s="84"/>
      <c r="D1781" s="59"/>
      <c r="E1781" s="59"/>
      <c r="R1781" s="84"/>
      <c r="T1781" s="59"/>
    </row>
    <row r="1782" spans="1:20">
      <c r="A1782" s="37">
        <f t="shared" si="108"/>
        <v>1781</v>
      </c>
      <c r="B1782" s="84"/>
      <c r="D1782" s="59"/>
      <c r="E1782" s="59"/>
      <c r="R1782" s="84"/>
      <c r="T1782" s="59"/>
    </row>
    <row r="1783" spans="1:20">
      <c r="A1783" s="37">
        <f t="shared" si="108"/>
        <v>1782</v>
      </c>
      <c r="B1783" s="84"/>
      <c r="D1783" s="59"/>
      <c r="E1783" s="59"/>
      <c r="R1783" s="84"/>
      <c r="T1783" s="59"/>
    </row>
    <row r="1784" spans="1:20">
      <c r="A1784" s="37">
        <f t="shared" si="108"/>
        <v>1783</v>
      </c>
      <c r="B1784" s="84"/>
      <c r="D1784" s="59"/>
      <c r="E1784" s="59"/>
      <c r="R1784" s="84"/>
      <c r="T1784" s="59"/>
    </row>
    <row r="1785" spans="1:20">
      <c r="A1785" s="37">
        <f t="shared" si="108"/>
        <v>1784</v>
      </c>
      <c r="B1785" s="84"/>
      <c r="D1785" s="59"/>
      <c r="E1785" s="59"/>
      <c r="R1785" s="84"/>
      <c r="T1785" s="59"/>
    </row>
    <row r="1786" spans="1:20">
      <c r="A1786" s="37">
        <f t="shared" si="108"/>
        <v>1785</v>
      </c>
      <c r="B1786" s="84"/>
      <c r="D1786" s="59"/>
      <c r="E1786" s="59"/>
      <c r="R1786" s="84"/>
      <c r="T1786" s="59"/>
    </row>
    <row r="1787" spans="1:20">
      <c r="A1787" s="37">
        <f t="shared" si="108"/>
        <v>1786</v>
      </c>
      <c r="B1787" s="84"/>
      <c r="D1787" s="59"/>
      <c r="E1787" s="59"/>
      <c r="R1787" s="84"/>
      <c r="T1787" s="59"/>
    </row>
    <row r="1788" spans="1:20">
      <c r="A1788" s="37">
        <f t="shared" si="108"/>
        <v>1787</v>
      </c>
      <c r="B1788" s="84"/>
      <c r="D1788" s="59"/>
      <c r="E1788" s="59"/>
      <c r="R1788" s="84"/>
      <c r="T1788" s="59"/>
    </row>
    <row r="1789" spans="1:20">
      <c r="A1789" s="37">
        <f t="shared" si="108"/>
        <v>1788</v>
      </c>
      <c r="B1789" s="84"/>
      <c r="D1789" s="59"/>
      <c r="E1789" s="59"/>
      <c r="R1789" s="84"/>
      <c r="T1789" s="59"/>
    </row>
    <row r="1790" spans="1:20">
      <c r="A1790" s="37">
        <f t="shared" si="108"/>
        <v>1789</v>
      </c>
      <c r="B1790" s="84"/>
      <c r="D1790" s="59"/>
      <c r="E1790" s="59"/>
      <c r="R1790" s="84"/>
      <c r="T1790" s="59"/>
    </row>
    <row r="1791" spans="1:20">
      <c r="A1791" s="37">
        <f t="shared" si="108"/>
        <v>1790</v>
      </c>
      <c r="B1791" s="84"/>
      <c r="D1791" s="59"/>
      <c r="E1791" s="59"/>
      <c r="R1791" s="84"/>
      <c r="T1791" s="59"/>
    </row>
    <row r="1792" spans="1:20">
      <c r="A1792" s="37">
        <f t="shared" si="108"/>
        <v>1791</v>
      </c>
      <c r="B1792" s="84"/>
      <c r="D1792" s="59"/>
      <c r="E1792" s="59"/>
      <c r="R1792" s="84"/>
      <c r="T1792" s="59"/>
    </row>
    <row r="1793" spans="1:20">
      <c r="A1793" s="37">
        <f t="shared" si="108"/>
        <v>1792</v>
      </c>
      <c r="B1793" s="84"/>
      <c r="D1793" s="59"/>
      <c r="E1793" s="59"/>
      <c r="R1793" s="84"/>
      <c r="T1793" s="59"/>
    </row>
    <row r="1794" spans="1:20">
      <c r="A1794" s="37">
        <f t="shared" si="108"/>
        <v>1793</v>
      </c>
      <c r="B1794" s="84"/>
      <c r="D1794" s="59"/>
      <c r="E1794" s="59"/>
      <c r="R1794" s="84"/>
      <c r="T1794" s="59"/>
    </row>
    <row r="1795" spans="1:20">
      <c r="A1795" s="37">
        <f t="shared" si="108"/>
        <v>1794</v>
      </c>
      <c r="B1795" s="84"/>
      <c r="D1795" s="59"/>
      <c r="E1795" s="59"/>
      <c r="R1795" s="84"/>
      <c r="T1795" s="59"/>
    </row>
    <row r="1796" spans="1:20">
      <c r="A1796" s="37">
        <f t="shared" si="108"/>
        <v>1795</v>
      </c>
      <c r="B1796" s="84"/>
      <c r="D1796" s="59"/>
      <c r="E1796" s="59"/>
      <c r="R1796" s="84"/>
      <c r="T1796" s="59"/>
    </row>
    <row r="1797" spans="1:20">
      <c r="A1797" s="37">
        <f t="shared" si="108"/>
        <v>1796</v>
      </c>
      <c r="B1797" s="84"/>
      <c r="D1797" s="59"/>
      <c r="E1797" s="59"/>
      <c r="R1797" s="84"/>
      <c r="T1797" s="59"/>
    </row>
    <row r="1798" spans="1:20">
      <c r="A1798" s="37">
        <f t="shared" si="108"/>
        <v>1797</v>
      </c>
      <c r="B1798" s="84"/>
      <c r="D1798" s="59"/>
      <c r="E1798" s="59"/>
      <c r="R1798" s="84"/>
      <c r="T1798" s="59"/>
    </row>
    <row r="1799" spans="1:20">
      <c r="A1799" s="37">
        <f t="shared" si="108"/>
        <v>1798</v>
      </c>
      <c r="B1799" s="84"/>
      <c r="D1799" s="59"/>
      <c r="E1799" s="59"/>
      <c r="R1799" s="84"/>
      <c r="T1799" s="59"/>
    </row>
    <row r="1800" spans="1:20">
      <c r="A1800" s="37">
        <f t="shared" si="108"/>
        <v>1799</v>
      </c>
      <c r="B1800" s="84"/>
      <c r="D1800" s="59"/>
      <c r="E1800" s="59"/>
      <c r="R1800" s="84"/>
      <c r="T1800" s="59"/>
    </row>
    <row r="1801" spans="1:20">
      <c r="A1801" s="37">
        <f t="shared" si="108"/>
        <v>1800</v>
      </c>
      <c r="B1801" s="84"/>
      <c r="D1801" s="59"/>
      <c r="E1801" s="59"/>
      <c r="R1801" s="84"/>
      <c r="T1801" s="59"/>
    </row>
    <row r="1802" spans="1:20">
      <c r="A1802" s="37">
        <f t="shared" si="108"/>
        <v>1801</v>
      </c>
      <c r="B1802" s="84"/>
      <c r="D1802" s="59"/>
      <c r="E1802" s="59"/>
      <c r="R1802" s="84"/>
      <c r="T1802" s="59"/>
    </row>
    <row r="1803" spans="1:20">
      <c r="A1803" s="37">
        <f t="shared" si="108"/>
        <v>1802</v>
      </c>
      <c r="B1803" s="84"/>
      <c r="D1803" s="59"/>
      <c r="E1803" s="59"/>
      <c r="R1803" s="84"/>
      <c r="T1803" s="59"/>
    </row>
    <row r="1804" spans="1:20">
      <c r="A1804" s="37">
        <f t="shared" si="108"/>
        <v>1803</v>
      </c>
      <c r="B1804" s="84"/>
      <c r="D1804" s="59"/>
      <c r="E1804" s="59"/>
      <c r="R1804" s="84"/>
      <c r="T1804" s="59"/>
    </row>
    <row r="1805" spans="1:20">
      <c r="A1805" s="37">
        <f t="shared" si="108"/>
        <v>1804</v>
      </c>
      <c r="B1805" s="84"/>
      <c r="D1805" s="59"/>
      <c r="E1805" s="59"/>
      <c r="R1805" s="84"/>
      <c r="T1805" s="59"/>
    </row>
    <row r="1806" spans="1:20">
      <c r="A1806" s="37">
        <f t="shared" si="108"/>
        <v>1805</v>
      </c>
      <c r="B1806" s="84"/>
      <c r="D1806" s="59"/>
      <c r="E1806" s="59"/>
      <c r="R1806" s="84"/>
      <c r="T1806" s="59"/>
    </row>
    <row r="1807" spans="1:20">
      <c r="A1807" s="37">
        <f t="shared" si="108"/>
        <v>1806</v>
      </c>
      <c r="B1807" s="84"/>
      <c r="D1807" s="59"/>
      <c r="E1807" s="59"/>
      <c r="R1807" s="84"/>
      <c r="T1807" s="59"/>
    </row>
    <row r="1808" spans="1:20">
      <c r="A1808" s="37">
        <f t="shared" si="108"/>
        <v>1807</v>
      </c>
      <c r="B1808" s="84"/>
      <c r="D1808" s="59"/>
      <c r="E1808" s="59"/>
      <c r="R1808" s="84"/>
      <c r="T1808" s="59"/>
    </row>
    <row r="1809" spans="1:20">
      <c r="A1809" s="37">
        <f t="shared" si="108"/>
        <v>1808</v>
      </c>
      <c r="B1809" s="84"/>
      <c r="D1809" s="59"/>
      <c r="E1809" s="59"/>
      <c r="R1809" s="84"/>
      <c r="T1809" s="59"/>
    </row>
    <row r="1810" spans="1:20">
      <c r="A1810" s="37">
        <f t="shared" ref="A1810:A1826" si="109">ROW()-1</f>
        <v>1809</v>
      </c>
      <c r="B1810" s="84"/>
      <c r="D1810" s="59"/>
      <c r="E1810" s="59"/>
      <c r="R1810" s="84"/>
      <c r="T1810" s="59"/>
    </row>
    <row r="1811" spans="1:20">
      <c r="A1811" s="37">
        <f t="shared" si="109"/>
        <v>1810</v>
      </c>
      <c r="B1811" s="84"/>
      <c r="D1811" s="59"/>
      <c r="E1811" s="59"/>
      <c r="R1811" s="84"/>
      <c r="T1811" s="59"/>
    </row>
    <row r="1812" spans="1:20">
      <c r="A1812" s="37">
        <f t="shared" si="109"/>
        <v>1811</v>
      </c>
      <c r="B1812" s="84"/>
      <c r="D1812" s="59"/>
      <c r="E1812" s="59"/>
      <c r="R1812" s="84"/>
      <c r="T1812" s="59"/>
    </row>
    <row r="1813" spans="1:20">
      <c r="A1813" s="37">
        <f t="shared" si="109"/>
        <v>1812</v>
      </c>
      <c r="B1813" s="84"/>
      <c r="D1813" s="59"/>
      <c r="E1813" s="59"/>
      <c r="R1813" s="84"/>
      <c r="T1813" s="59"/>
    </row>
    <row r="1814" spans="1:20">
      <c r="A1814" s="37">
        <f t="shared" si="109"/>
        <v>1813</v>
      </c>
      <c r="B1814" s="84"/>
      <c r="D1814" s="59"/>
      <c r="E1814" s="59"/>
      <c r="R1814" s="84"/>
      <c r="T1814" s="59"/>
    </row>
    <row r="1815" spans="1:20">
      <c r="A1815" s="37">
        <f t="shared" si="109"/>
        <v>1814</v>
      </c>
      <c r="B1815" s="84"/>
      <c r="D1815" s="59"/>
      <c r="E1815" s="59"/>
      <c r="R1815" s="84"/>
      <c r="T1815" s="59"/>
    </row>
    <row r="1816" spans="1:20">
      <c r="A1816" s="37">
        <f t="shared" si="109"/>
        <v>1815</v>
      </c>
      <c r="B1816" s="84"/>
      <c r="D1816" s="59"/>
      <c r="E1816" s="59"/>
      <c r="R1816" s="84"/>
      <c r="T1816" s="59"/>
    </row>
    <row r="1817" spans="1:20">
      <c r="A1817" s="37">
        <f t="shared" si="109"/>
        <v>1816</v>
      </c>
      <c r="B1817" s="84"/>
      <c r="D1817" s="59"/>
      <c r="E1817" s="59"/>
      <c r="R1817" s="84"/>
      <c r="T1817" s="59"/>
    </row>
    <row r="1818" spans="1:20">
      <c r="A1818" s="37">
        <f t="shared" si="109"/>
        <v>1817</v>
      </c>
      <c r="B1818" s="84"/>
      <c r="D1818" s="59"/>
      <c r="E1818" s="59"/>
      <c r="R1818" s="84"/>
      <c r="T1818" s="59"/>
    </row>
    <row r="1819" spans="1:20">
      <c r="A1819" s="37">
        <f t="shared" si="109"/>
        <v>1818</v>
      </c>
      <c r="B1819" s="84"/>
      <c r="D1819" s="59"/>
      <c r="E1819" s="59"/>
      <c r="R1819" s="84"/>
      <c r="T1819" s="59"/>
    </row>
    <row r="1820" spans="1:20">
      <c r="A1820" s="37">
        <f t="shared" si="109"/>
        <v>1819</v>
      </c>
      <c r="B1820" s="84"/>
      <c r="D1820" s="59"/>
      <c r="E1820" s="59"/>
      <c r="R1820" s="84"/>
      <c r="T1820" s="59"/>
    </row>
    <row r="1821" spans="1:20">
      <c r="A1821" s="37">
        <f t="shared" si="109"/>
        <v>1820</v>
      </c>
      <c r="B1821" s="84"/>
      <c r="D1821" s="59"/>
      <c r="E1821" s="59"/>
      <c r="R1821" s="84"/>
      <c r="T1821" s="59"/>
    </row>
    <row r="1822" spans="1:20">
      <c r="A1822" s="37">
        <f t="shared" si="109"/>
        <v>1821</v>
      </c>
      <c r="B1822" s="84"/>
      <c r="D1822" s="59"/>
      <c r="E1822" s="59"/>
      <c r="R1822" s="84"/>
      <c r="T1822" s="59"/>
    </row>
    <row r="1823" spans="1:20">
      <c r="A1823" s="37">
        <f t="shared" si="109"/>
        <v>1822</v>
      </c>
      <c r="B1823" s="84"/>
      <c r="D1823" s="59"/>
      <c r="E1823" s="59"/>
      <c r="R1823" s="84"/>
      <c r="T1823" s="59"/>
    </row>
    <row r="1824" spans="1:20">
      <c r="A1824" s="37">
        <f t="shared" si="109"/>
        <v>1823</v>
      </c>
      <c r="B1824" s="84"/>
      <c r="D1824" s="59"/>
      <c r="E1824" s="59"/>
      <c r="R1824" s="84"/>
      <c r="T1824" s="59"/>
    </row>
    <row r="1825" spans="1:20">
      <c r="A1825" s="37">
        <f t="shared" si="109"/>
        <v>1824</v>
      </c>
      <c r="B1825" s="84"/>
      <c r="D1825" s="59"/>
      <c r="E1825" s="59"/>
      <c r="R1825" s="84"/>
      <c r="T1825" s="59"/>
    </row>
    <row r="1826" spans="1:20">
      <c r="A1826" s="37">
        <f t="shared" si="109"/>
        <v>1825</v>
      </c>
      <c r="B1826" s="84"/>
      <c r="D1826" s="59"/>
      <c r="E1826" s="59"/>
      <c r="R1826" s="84"/>
      <c r="T1826" s="59"/>
    </row>
    <row r="1827" spans="1:20">
      <c r="A1827" s="37">
        <f t="shared" ref="A1827:A1837" si="110">ROW()-1</f>
        <v>1826</v>
      </c>
      <c r="B1827" s="84"/>
      <c r="D1827" s="59"/>
      <c r="E1827" s="59"/>
      <c r="R1827" s="84"/>
      <c r="T1827" s="59"/>
    </row>
    <row r="1828" spans="1:20">
      <c r="A1828" s="37">
        <f t="shared" si="110"/>
        <v>1827</v>
      </c>
      <c r="B1828" s="84"/>
      <c r="D1828" s="59"/>
      <c r="E1828" s="59"/>
      <c r="R1828" s="84"/>
      <c r="T1828" s="59"/>
    </row>
    <row r="1829" spans="1:20">
      <c r="A1829" s="37">
        <f t="shared" si="110"/>
        <v>1828</v>
      </c>
      <c r="B1829" s="84"/>
      <c r="D1829" s="59"/>
      <c r="E1829" s="59"/>
      <c r="R1829" s="84"/>
      <c r="T1829" s="59"/>
    </row>
    <row r="1830" spans="1:20">
      <c r="A1830" s="37">
        <f t="shared" si="110"/>
        <v>1829</v>
      </c>
      <c r="B1830" s="84"/>
      <c r="D1830" s="59"/>
      <c r="E1830" s="59"/>
      <c r="R1830" s="84"/>
      <c r="T1830" s="59"/>
    </row>
    <row r="1831" spans="1:20">
      <c r="A1831" s="37">
        <f t="shared" si="110"/>
        <v>1830</v>
      </c>
      <c r="B1831" s="84"/>
      <c r="D1831" s="59"/>
      <c r="E1831" s="59"/>
      <c r="R1831" s="84"/>
      <c r="T1831" s="59"/>
    </row>
    <row r="1832" spans="1:20">
      <c r="A1832" s="37">
        <f t="shared" si="110"/>
        <v>1831</v>
      </c>
      <c r="B1832" s="84"/>
      <c r="D1832" s="59"/>
      <c r="E1832" s="59"/>
      <c r="R1832" s="84"/>
      <c r="T1832" s="59"/>
    </row>
    <row r="1833" spans="1:20">
      <c r="A1833" s="37">
        <f t="shared" si="110"/>
        <v>1832</v>
      </c>
      <c r="B1833" s="84"/>
      <c r="D1833" s="59"/>
      <c r="E1833" s="59"/>
      <c r="R1833" s="84"/>
      <c r="T1833" s="59"/>
    </row>
    <row r="1834" spans="1:20">
      <c r="A1834" s="37">
        <f t="shared" si="110"/>
        <v>1833</v>
      </c>
      <c r="B1834" s="84"/>
      <c r="D1834" s="59"/>
      <c r="E1834" s="59"/>
      <c r="R1834" s="84"/>
      <c r="T1834" s="59"/>
    </row>
    <row r="1835" spans="1:20">
      <c r="A1835" s="37">
        <f t="shared" si="110"/>
        <v>1834</v>
      </c>
      <c r="B1835" s="84"/>
      <c r="D1835" s="59"/>
      <c r="E1835" s="59"/>
      <c r="R1835" s="84"/>
      <c r="T1835" s="59"/>
    </row>
    <row r="1836" spans="1:20">
      <c r="A1836" s="37">
        <f t="shared" si="110"/>
        <v>1835</v>
      </c>
      <c r="B1836" s="84"/>
      <c r="D1836" s="59"/>
      <c r="E1836" s="59"/>
      <c r="R1836" s="84"/>
      <c r="T1836" s="59"/>
    </row>
    <row r="1837" spans="1:20">
      <c r="A1837" s="37">
        <f t="shared" si="110"/>
        <v>1836</v>
      </c>
      <c r="B1837" s="84"/>
      <c r="D1837" s="59"/>
      <c r="E1837" s="59"/>
      <c r="R1837" s="84"/>
      <c r="T1837" s="59"/>
    </row>
    <row r="1838" spans="1:20">
      <c r="A1838" s="37">
        <f t="shared" ref="A1838:A1848" si="111">ROW()-1</f>
        <v>1837</v>
      </c>
      <c r="B1838" s="84"/>
      <c r="D1838" s="59"/>
      <c r="E1838" s="59"/>
      <c r="R1838" s="84"/>
      <c r="T1838" s="59"/>
    </row>
    <row r="1839" spans="1:20">
      <c r="A1839" s="37">
        <f t="shared" si="111"/>
        <v>1838</v>
      </c>
      <c r="B1839" s="84"/>
      <c r="D1839" s="59"/>
      <c r="E1839" s="59"/>
      <c r="R1839" s="84"/>
      <c r="T1839" s="59"/>
    </row>
    <row r="1840" spans="1:20">
      <c r="A1840" s="37">
        <f t="shared" si="111"/>
        <v>1839</v>
      </c>
      <c r="B1840" s="84"/>
      <c r="D1840" s="59"/>
      <c r="E1840" s="59"/>
      <c r="R1840" s="84"/>
      <c r="T1840" s="59"/>
    </row>
    <row r="1841" spans="1:20">
      <c r="A1841" s="37">
        <f t="shared" si="111"/>
        <v>1840</v>
      </c>
      <c r="B1841" s="84"/>
      <c r="D1841" s="59"/>
      <c r="E1841" s="59"/>
      <c r="R1841" s="84"/>
      <c r="T1841" s="59"/>
    </row>
    <row r="1842" spans="1:20">
      <c r="A1842" s="37">
        <f t="shared" si="111"/>
        <v>1841</v>
      </c>
      <c r="B1842" s="84"/>
      <c r="D1842" s="59"/>
      <c r="E1842" s="59"/>
      <c r="R1842" s="84"/>
      <c r="T1842" s="59"/>
    </row>
    <row r="1843" spans="1:20">
      <c r="A1843" s="37">
        <f t="shared" si="111"/>
        <v>1842</v>
      </c>
      <c r="B1843" s="84"/>
      <c r="D1843" s="59"/>
      <c r="E1843" s="59"/>
      <c r="R1843" s="84"/>
      <c r="T1843" s="59"/>
    </row>
    <row r="1844" spans="1:20">
      <c r="A1844" s="37">
        <f t="shared" si="111"/>
        <v>1843</v>
      </c>
      <c r="B1844" s="84"/>
      <c r="D1844" s="59"/>
      <c r="E1844" s="59"/>
      <c r="R1844" s="84"/>
      <c r="T1844" s="59"/>
    </row>
    <row r="1845" spans="1:20">
      <c r="A1845" s="37">
        <f t="shared" si="111"/>
        <v>1844</v>
      </c>
      <c r="B1845" s="84"/>
      <c r="D1845" s="59"/>
      <c r="E1845" s="59"/>
      <c r="R1845" s="84"/>
      <c r="T1845" s="59"/>
    </row>
    <row r="1846" spans="1:20">
      <c r="A1846" s="37">
        <f t="shared" si="111"/>
        <v>1845</v>
      </c>
      <c r="B1846" s="84"/>
      <c r="D1846" s="59"/>
      <c r="E1846" s="59"/>
      <c r="R1846" s="84"/>
      <c r="T1846" s="59"/>
    </row>
    <row r="1847" spans="1:20">
      <c r="A1847" s="37">
        <f t="shared" si="111"/>
        <v>1846</v>
      </c>
      <c r="B1847" s="84"/>
      <c r="D1847" s="59"/>
      <c r="E1847" s="59"/>
      <c r="R1847" s="84"/>
      <c r="T1847" s="59"/>
    </row>
    <row r="1848" spans="1:20">
      <c r="A1848" s="37">
        <f t="shared" si="111"/>
        <v>1847</v>
      </c>
      <c r="B1848" s="84"/>
      <c r="D1848" s="59"/>
      <c r="E1848" s="59"/>
      <c r="R1848" s="84"/>
      <c r="T1848" s="59"/>
    </row>
    <row r="1849" spans="1:20">
      <c r="A1849" s="69">
        <f t="shared" ref="A1849:A1855" si="112">ROW()-1</f>
        <v>1848</v>
      </c>
      <c r="B1849" s="137"/>
      <c r="C1849" s="69"/>
      <c r="D1849" s="59"/>
      <c r="E1849" s="59"/>
      <c r="F1849" s="69"/>
      <c r="G1849" s="69"/>
      <c r="R1849" s="84"/>
      <c r="T1849" s="59"/>
    </row>
    <row r="1850" spans="1:20">
      <c r="A1850" s="69">
        <f t="shared" si="112"/>
        <v>1849</v>
      </c>
      <c r="B1850" s="137"/>
      <c r="C1850" s="69"/>
      <c r="D1850" s="59"/>
      <c r="E1850" s="59"/>
      <c r="F1850" s="69"/>
      <c r="G1850" s="69"/>
      <c r="R1850" s="84"/>
      <c r="T1850" s="59"/>
    </row>
    <row r="1851" spans="1:20">
      <c r="A1851" s="69">
        <f t="shared" si="112"/>
        <v>1850</v>
      </c>
      <c r="B1851" s="137"/>
      <c r="C1851" s="69"/>
      <c r="D1851" s="59"/>
      <c r="E1851" s="59"/>
      <c r="F1851" s="69"/>
      <c r="G1851" s="69"/>
      <c r="R1851" s="84"/>
      <c r="T1851" s="59"/>
    </row>
    <row r="1852" spans="1:20">
      <c r="A1852" s="69">
        <f t="shared" si="112"/>
        <v>1851</v>
      </c>
      <c r="B1852" s="137"/>
      <c r="C1852" s="69"/>
      <c r="D1852" s="59"/>
      <c r="E1852" s="59"/>
      <c r="F1852" s="69"/>
      <c r="G1852" s="69"/>
      <c r="R1852" s="84"/>
      <c r="T1852" s="59"/>
    </row>
    <row r="1853" spans="1:20">
      <c r="A1853" s="69">
        <f t="shared" si="112"/>
        <v>1852</v>
      </c>
      <c r="B1853" s="137"/>
      <c r="C1853" s="69"/>
      <c r="D1853" s="59"/>
      <c r="E1853" s="59"/>
      <c r="F1853" s="69"/>
      <c r="G1853" s="69"/>
      <c r="R1853" s="84"/>
      <c r="T1853" s="59"/>
    </row>
    <row r="1854" spans="1:20">
      <c r="A1854" s="69">
        <f t="shared" si="112"/>
        <v>1853</v>
      </c>
      <c r="B1854" s="137"/>
      <c r="C1854" s="69"/>
      <c r="D1854" s="59"/>
      <c r="E1854" s="59"/>
      <c r="F1854" s="69"/>
      <c r="G1854" s="69"/>
      <c r="R1854" s="84"/>
      <c r="T1854" s="59"/>
    </row>
    <row r="1855" spans="1:20">
      <c r="A1855" s="69">
        <f t="shared" si="112"/>
        <v>1854</v>
      </c>
      <c r="B1855" s="137"/>
      <c r="C1855" s="69"/>
      <c r="D1855" s="59"/>
      <c r="E1855" s="59"/>
      <c r="F1855" s="69"/>
      <c r="G1855" s="69"/>
      <c r="R1855" s="84"/>
      <c r="T1855" s="59"/>
    </row>
    <row r="1856" spans="1:20">
      <c r="A1856" s="69">
        <f t="shared" ref="A1856:A1868" si="113">ROW()-1</f>
        <v>1855</v>
      </c>
      <c r="B1856" s="137"/>
      <c r="C1856" s="69"/>
      <c r="D1856" s="59"/>
      <c r="E1856" s="59"/>
      <c r="F1856" s="69"/>
      <c r="G1856" s="69"/>
      <c r="R1856" s="84"/>
      <c r="T1856" s="59"/>
    </row>
    <row r="1857" spans="1:20">
      <c r="A1857" s="69">
        <f t="shared" si="113"/>
        <v>1856</v>
      </c>
      <c r="B1857" s="137"/>
      <c r="C1857" s="69"/>
      <c r="D1857" s="59"/>
      <c r="E1857" s="59"/>
      <c r="F1857" s="69"/>
      <c r="G1857" s="69"/>
      <c r="R1857" s="84"/>
      <c r="T1857" s="59"/>
    </row>
    <row r="1858" spans="1:20">
      <c r="A1858" s="69">
        <f t="shared" si="113"/>
        <v>1857</v>
      </c>
      <c r="B1858" s="137"/>
      <c r="C1858" s="69"/>
      <c r="D1858" s="59"/>
      <c r="E1858" s="59"/>
      <c r="F1858" s="69"/>
      <c r="G1858" s="69"/>
      <c r="R1858" s="84"/>
      <c r="T1858" s="59"/>
    </row>
    <row r="1859" spans="1:20">
      <c r="A1859" s="69">
        <f t="shared" si="113"/>
        <v>1858</v>
      </c>
      <c r="B1859" s="137"/>
      <c r="C1859" s="69"/>
      <c r="D1859" s="59"/>
      <c r="E1859" s="59"/>
      <c r="F1859" s="69"/>
      <c r="G1859" s="69"/>
      <c r="R1859" s="84"/>
      <c r="T1859" s="59"/>
    </row>
    <row r="1860" spans="1:20">
      <c r="A1860" s="69">
        <f t="shared" si="113"/>
        <v>1859</v>
      </c>
      <c r="B1860" s="137"/>
      <c r="C1860" s="69"/>
      <c r="D1860" s="59"/>
      <c r="E1860" s="59"/>
      <c r="F1860" s="69"/>
      <c r="G1860" s="69"/>
      <c r="R1860" s="84"/>
      <c r="T1860" s="59"/>
    </row>
    <row r="1861" spans="1:20">
      <c r="A1861" s="69">
        <f t="shared" si="113"/>
        <v>1860</v>
      </c>
      <c r="B1861" s="137"/>
      <c r="C1861" s="69"/>
      <c r="D1861" s="59"/>
      <c r="E1861" s="59"/>
      <c r="F1861" s="69"/>
      <c r="G1861" s="69"/>
      <c r="R1861" s="84"/>
      <c r="T1861" s="59"/>
    </row>
    <row r="1862" spans="1:20">
      <c r="A1862" s="69">
        <f t="shared" si="113"/>
        <v>1861</v>
      </c>
      <c r="B1862" s="137"/>
      <c r="C1862" s="69"/>
      <c r="D1862" s="59"/>
      <c r="E1862" s="59"/>
      <c r="F1862" s="69"/>
      <c r="G1862" s="69"/>
      <c r="R1862" s="84"/>
      <c r="T1862" s="59"/>
    </row>
    <row r="1863" spans="1:20">
      <c r="A1863" s="69">
        <f t="shared" si="113"/>
        <v>1862</v>
      </c>
      <c r="B1863" s="137"/>
      <c r="C1863" s="69"/>
      <c r="D1863" s="59"/>
      <c r="E1863" s="59"/>
      <c r="F1863" s="69"/>
      <c r="G1863" s="69"/>
      <c r="R1863" s="84"/>
      <c r="T1863" s="59"/>
    </row>
    <row r="1864" spans="1:20">
      <c r="A1864" s="69">
        <f t="shared" si="113"/>
        <v>1863</v>
      </c>
      <c r="B1864" s="137"/>
      <c r="C1864" s="69"/>
      <c r="D1864" s="59"/>
      <c r="E1864" s="59"/>
      <c r="F1864" s="69"/>
      <c r="G1864" s="69"/>
      <c r="R1864" s="84"/>
      <c r="T1864" s="59"/>
    </row>
    <row r="1865" spans="1:20">
      <c r="A1865" s="69">
        <f t="shared" si="113"/>
        <v>1864</v>
      </c>
      <c r="B1865" s="137"/>
      <c r="C1865" s="69"/>
      <c r="D1865" s="59"/>
      <c r="E1865" s="59"/>
      <c r="F1865" s="69"/>
      <c r="G1865" s="69"/>
      <c r="R1865" s="84"/>
      <c r="T1865" s="59"/>
    </row>
    <row r="1866" spans="1:20">
      <c r="A1866" s="69">
        <f t="shared" si="113"/>
        <v>1865</v>
      </c>
      <c r="B1866" s="137"/>
      <c r="C1866" s="69"/>
      <c r="D1866" s="59"/>
      <c r="E1866" s="59"/>
      <c r="F1866" s="69"/>
      <c r="G1866" s="69"/>
      <c r="R1866" s="84"/>
      <c r="T1866" s="59"/>
    </row>
    <row r="1867" spans="1:20">
      <c r="A1867" s="69">
        <f t="shared" si="113"/>
        <v>1866</v>
      </c>
      <c r="B1867" s="137"/>
      <c r="C1867" s="69"/>
      <c r="D1867" s="59"/>
      <c r="E1867" s="59"/>
      <c r="F1867" s="69"/>
      <c r="G1867" s="69"/>
      <c r="R1867" s="84"/>
      <c r="T1867" s="59"/>
    </row>
    <row r="1868" spans="1:20">
      <c r="A1868" s="69">
        <f t="shared" si="113"/>
        <v>1867</v>
      </c>
      <c r="B1868" s="137"/>
      <c r="C1868" s="69"/>
      <c r="D1868" s="59"/>
      <c r="E1868" s="59"/>
      <c r="F1868" s="69"/>
      <c r="G1868" s="69"/>
      <c r="R1868" s="84"/>
      <c r="T1868" s="59"/>
    </row>
    <row r="1869" spans="1:20">
      <c r="A1869" s="69">
        <f t="shared" ref="A1869:A1875" si="114">ROW()-1</f>
        <v>1868</v>
      </c>
      <c r="B1869" s="137"/>
      <c r="C1869" s="69"/>
      <c r="D1869" s="59"/>
      <c r="E1869" s="59"/>
      <c r="F1869" s="69"/>
      <c r="G1869" s="69"/>
      <c r="R1869" s="84"/>
      <c r="T1869" s="59"/>
    </row>
    <row r="1870" spans="1:20">
      <c r="A1870" s="69">
        <f t="shared" si="114"/>
        <v>1869</v>
      </c>
      <c r="B1870" s="137"/>
      <c r="C1870" s="69"/>
      <c r="D1870" s="59"/>
      <c r="E1870" s="59"/>
      <c r="F1870" s="69"/>
      <c r="G1870" s="69"/>
      <c r="R1870" s="84"/>
      <c r="T1870" s="59"/>
    </row>
    <row r="1871" spans="1:20">
      <c r="A1871" s="69">
        <f t="shared" si="114"/>
        <v>1870</v>
      </c>
      <c r="B1871" s="137"/>
      <c r="C1871" s="69"/>
      <c r="D1871" s="59"/>
      <c r="E1871" s="59"/>
      <c r="F1871" s="69"/>
      <c r="G1871" s="69"/>
      <c r="R1871" s="84"/>
      <c r="T1871" s="59"/>
    </row>
    <row r="1872" spans="1:20">
      <c r="A1872" s="69">
        <f t="shared" si="114"/>
        <v>1871</v>
      </c>
      <c r="B1872" s="137"/>
      <c r="C1872" s="69"/>
      <c r="D1872" s="59"/>
      <c r="E1872" s="59"/>
      <c r="F1872" s="69"/>
      <c r="G1872" s="69"/>
      <c r="R1872" s="84"/>
      <c r="T1872" s="59"/>
    </row>
    <row r="1873" spans="1:20">
      <c r="A1873" s="69">
        <f t="shared" si="114"/>
        <v>1872</v>
      </c>
      <c r="B1873" s="137"/>
      <c r="C1873" s="69"/>
      <c r="D1873" s="59"/>
      <c r="E1873" s="59"/>
      <c r="F1873" s="69"/>
      <c r="G1873" s="69"/>
      <c r="R1873" s="84"/>
      <c r="T1873" s="59"/>
    </row>
    <row r="1874" spans="1:20">
      <c r="A1874" s="69">
        <f t="shared" si="114"/>
        <v>1873</v>
      </c>
      <c r="B1874" s="137"/>
      <c r="C1874" s="69"/>
      <c r="D1874" s="59"/>
      <c r="E1874" s="59"/>
      <c r="F1874" s="69"/>
      <c r="G1874" s="69"/>
      <c r="R1874" s="84"/>
      <c r="T1874" s="59"/>
    </row>
    <row r="1875" spans="1:20">
      <c r="A1875" s="69">
        <f t="shared" si="114"/>
        <v>1874</v>
      </c>
      <c r="B1875" s="137"/>
      <c r="C1875" s="69"/>
      <c r="D1875" s="59"/>
      <c r="E1875" s="59"/>
      <c r="F1875" s="69"/>
      <c r="G1875" s="69"/>
      <c r="R1875" s="84"/>
      <c r="T1875" s="59"/>
    </row>
    <row r="1876" spans="1:20">
      <c r="A1876" s="37">
        <f t="shared" ref="A1876:A1885" si="115">ROW()-1</f>
        <v>1875</v>
      </c>
      <c r="B1876" s="84"/>
      <c r="D1876" s="59"/>
      <c r="E1876" s="59"/>
      <c r="R1876" s="84"/>
      <c r="T1876" s="59"/>
    </row>
    <row r="1877" spans="1:20">
      <c r="A1877" s="37">
        <f t="shared" si="115"/>
        <v>1876</v>
      </c>
      <c r="B1877" s="84"/>
      <c r="D1877" s="59"/>
      <c r="E1877" s="59"/>
      <c r="R1877" s="84"/>
      <c r="T1877" s="59"/>
    </row>
    <row r="1878" spans="1:20">
      <c r="A1878" s="37">
        <f t="shared" si="115"/>
        <v>1877</v>
      </c>
      <c r="B1878" s="84"/>
      <c r="D1878" s="59"/>
      <c r="E1878" s="59"/>
      <c r="R1878" s="84"/>
      <c r="T1878" s="59"/>
    </row>
    <row r="1879" spans="1:20">
      <c r="A1879" s="37">
        <f t="shared" si="115"/>
        <v>1878</v>
      </c>
      <c r="B1879" s="84"/>
      <c r="D1879" s="59"/>
      <c r="E1879" s="59"/>
      <c r="R1879" s="84"/>
      <c r="T1879" s="59"/>
    </row>
    <row r="1880" spans="1:20">
      <c r="A1880" s="37">
        <f t="shared" si="115"/>
        <v>1879</v>
      </c>
      <c r="B1880" s="84"/>
      <c r="D1880" s="59"/>
      <c r="E1880" s="59"/>
      <c r="R1880" s="84"/>
      <c r="T1880" s="59"/>
    </row>
    <row r="1881" spans="1:20">
      <c r="A1881" s="37">
        <f t="shared" si="115"/>
        <v>1880</v>
      </c>
      <c r="B1881" s="84"/>
      <c r="D1881" s="59"/>
      <c r="E1881" s="59"/>
      <c r="R1881" s="84"/>
      <c r="T1881" s="59"/>
    </row>
    <row r="1882" spans="1:20">
      <c r="A1882" s="37">
        <f t="shared" si="115"/>
        <v>1881</v>
      </c>
      <c r="B1882" s="84"/>
      <c r="D1882" s="59"/>
      <c r="E1882" s="59"/>
      <c r="R1882" s="84"/>
      <c r="T1882" s="59"/>
    </row>
    <row r="1883" spans="1:20">
      <c r="A1883" s="37">
        <f t="shared" si="115"/>
        <v>1882</v>
      </c>
      <c r="B1883" s="84"/>
      <c r="D1883" s="59"/>
      <c r="E1883" s="59"/>
      <c r="R1883" s="84"/>
      <c r="T1883" s="59"/>
    </row>
    <row r="1884" spans="1:20">
      <c r="A1884" s="37">
        <f t="shared" si="115"/>
        <v>1883</v>
      </c>
      <c r="B1884" s="84"/>
      <c r="D1884" s="59"/>
      <c r="E1884" s="59"/>
      <c r="R1884" s="84"/>
      <c r="T1884" s="59"/>
    </row>
    <row r="1885" spans="1:20">
      <c r="A1885" s="37">
        <f t="shared" si="115"/>
        <v>1884</v>
      </c>
      <c r="B1885" s="84"/>
      <c r="D1885" s="59"/>
      <c r="E1885" s="59"/>
      <c r="R1885" s="84"/>
      <c r="T1885" s="59"/>
    </row>
    <row r="1886" spans="1:20">
      <c r="A1886" s="37">
        <f>ROW()-1</f>
        <v>1885</v>
      </c>
      <c r="B1886" s="84"/>
      <c r="D1886" s="59"/>
      <c r="E1886" s="59"/>
      <c r="R1886" s="84"/>
      <c r="T1886" s="59"/>
    </row>
    <row r="1887" spans="1:20">
      <c r="A1887" s="37">
        <f>ROW()-1</f>
        <v>1886</v>
      </c>
      <c r="B1887" s="84"/>
      <c r="D1887" s="59"/>
      <c r="E1887" s="59"/>
      <c r="R1887" s="84"/>
      <c r="T1887" s="59"/>
    </row>
    <row r="1888" spans="1:20">
      <c r="A1888" s="37">
        <f>ROW()-1</f>
        <v>1887</v>
      </c>
      <c r="B1888" s="84"/>
      <c r="D1888" s="59"/>
      <c r="E1888" s="59"/>
      <c r="R1888" s="84"/>
      <c r="T1888" s="59"/>
    </row>
    <row r="1889" spans="1:20">
      <c r="A1889" s="37">
        <f>ROW()-1</f>
        <v>1888</v>
      </c>
      <c r="B1889" s="84"/>
      <c r="D1889" s="59"/>
      <c r="E1889" s="59"/>
      <c r="R1889" s="84"/>
      <c r="T1889" s="59"/>
    </row>
    <row r="1890" spans="1:20">
      <c r="A1890" s="37">
        <f t="shared" ref="A1890:A1902" si="116">ROW()-1</f>
        <v>1889</v>
      </c>
      <c r="B1890" s="84"/>
      <c r="D1890" s="59"/>
      <c r="E1890" s="59"/>
      <c r="R1890" s="84"/>
      <c r="T1890" s="59"/>
    </row>
    <row r="1891" spans="1:20">
      <c r="A1891" s="37">
        <f t="shared" si="116"/>
        <v>1890</v>
      </c>
      <c r="B1891" s="84"/>
      <c r="D1891" s="59"/>
      <c r="E1891" s="59"/>
      <c r="R1891" s="84"/>
      <c r="T1891" s="59"/>
    </row>
    <row r="1892" spans="1:20">
      <c r="A1892" s="37">
        <f t="shared" si="116"/>
        <v>1891</v>
      </c>
      <c r="B1892" s="84"/>
      <c r="D1892" s="59"/>
      <c r="E1892" s="59"/>
      <c r="R1892" s="84"/>
      <c r="T1892" s="59"/>
    </row>
    <row r="1893" spans="1:20">
      <c r="A1893" s="37">
        <f t="shared" si="116"/>
        <v>1892</v>
      </c>
      <c r="B1893" s="84"/>
      <c r="D1893" s="59"/>
      <c r="E1893" s="59"/>
      <c r="R1893" s="84"/>
      <c r="T1893" s="59"/>
    </row>
    <row r="1894" spans="1:20">
      <c r="A1894" s="37">
        <f t="shared" si="116"/>
        <v>1893</v>
      </c>
      <c r="B1894" s="84"/>
      <c r="D1894" s="59"/>
      <c r="E1894" s="59"/>
      <c r="R1894" s="84"/>
      <c r="T1894" s="59"/>
    </row>
    <row r="1895" spans="1:20">
      <c r="A1895" s="37">
        <f t="shared" si="116"/>
        <v>1894</v>
      </c>
      <c r="B1895" s="84"/>
      <c r="D1895" s="59"/>
      <c r="E1895" s="59"/>
      <c r="R1895" s="84"/>
      <c r="T1895" s="59"/>
    </row>
    <row r="1896" spans="1:20">
      <c r="A1896" s="37">
        <f t="shared" si="116"/>
        <v>1895</v>
      </c>
      <c r="B1896" s="84"/>
      <c r="D1896" s="59"/>
      <c r="E1896" s="59"/>
      <c r="R1896" s="84"/>
      <c r="T1896" s="59"/>
    </row>
    <row r="1897" spans="1:20">
      <c r="A1897" s="37">
        <f t="shared" si="116"/>
        <v>1896</v>
      </c>
      <c r="B1897" s="84"/>
      <c r="D1897" s="59"/>
      <c r="E1897" s="59"/>
      <c r="R1897" s="84"/>
      <c r="T1897" s="59"/>
    </row>
    <row r="1898" spans="1:20">
      <c r="A1898" s="37">
        <f t="shared" si="116"/>
        <v>1897</v>
      </c>
      <c r="B1898" s="84"/>
      <c r="D1898" s="59"/>
      <c r="E1898" s="59"/>
      <c r="R1898" s="84"/>
      <c r="T1898" s="59"/>
    </row>
    <row r="1899" spans="1:20">
      <c r="A1899" s="37">
        <f t="shared" si="116"/>
        <v>1898</v>
      </c>
      <c r="B1899" s="84"/>
      <c r="D1899" s="59"/>
      <c r="E1899" s="59"/>
      <c r="R1899" s="84"/>
      <c r="T1899" s="59"/>
    </row>
    <row r="1900" spans="1:20">
      <c r="A1900" s="37">
        <f t="shared" si="116"/>
        <v>1899</v>
      </c>
      <c r="B1900" s="84"/>
      <c r="D1900" s="59"/>
      <c r="E1900" s="59"/>
      <c r="R1900" s="84"/>
      <c r="T1900" s="59"/>
    </row>
    <row r="1901" spans="1:20">
      <c r="A1901" s="37">
        <f t="shared" si="116"/>
        <v>1900</v>
      </c>
      <c r="B1901" s="84"/>
      <c r="D1901" s="59"/>
      <c r="E1901" s="59"/>
      <c r="R1901" s="84"/>
      <c r="T1901" s="59"/>
    </row>
    <row r="1902" spans="1:20">
      <c r="A1902" s="37">
        <f t="shared" si="116"/>
        <v>1901</v>
      </c>
      <c r="B1902" s="84"/>
      <c r="D1902" s="59"/>
      <c r="E1902" s="59"/>
      <c r="R1902" s="84"/>
      <c r="T1902" s="59"/>
    </row>
    <row r="1903" spans="1:20">
      <c r="A1903" s="37">
        <f t="shared" ref="A1903:A1909" si="117">ROW()-1</f>
        <v>1902</v>
      </c>
      <c r="B1903" s="84"/>
      <c r="D1903" s="59"/>
      <c r="E1903" s="59"/>
      <c r="R1903" s="84"/>
      <c r="T1903" s="59"/>
    </row>
    <row r="1904" spans="1:20">
      <c r="A1904" s="37">
        <f t="shared" si="117"/>
        <v>1903</v>
      </c>
      <c r="B1904" s="84"/>
      <c r="D1904" s="59"/>
      <c r="E1904" s="59"/>
      <c r="R1904" s="84"/>
      <c r="T1904" s="59"/>
    </row>
    <row r="1905" spans="1:20">
      <c r="A1905" s="37">
        <f t="shared" si="117"/>
        <v>1904</v>
      </c>
      <c r="B1905" s="84"/>
      <c r="D1905" s="59"/>
      <c r="E1905" s="59"/>
      <c r="R1905" s="84"/>
      <c r="T1905" s="59"/>
    </row>
    <row r="1906" spans="1:20">
      <c r="A1906" s="37">
        <f t="shared" si="117"/>
        <v>1905</v>
      </c>
      <c r="B1906" s="84"/>
      <c r="D1906" s="59"/>
      <c r="E1906" s="59"/>
      <c r="R1906" s="84"/>
      <c r="T1906" s="59"/>
    </row>
    <row r="1907" spans="1:20">
      <c r="A1907" s="37">
        <f t="shared" si="117"/>
        <v>1906</v>
      </c>
      <c r="B1907" s="84"/>
      <c r="D1907" s="59"/>
      <c r="E1907" s="59"/>
      <c r="R1907" s="84"/>
      <c r="T1907" s="59"/>
    </row>
    <row r="1908" spans="1:20">
      <c r="A1908" s="37">
        <f t="shared" si="117"/>
        <v>1907</v>
      </c>
      <c r="B1908" s="84"/>
      <c r="D1908" s="59"/>
      <c r="E1908" s="59"/>
      <c r="R1908" s="84"/>
      <c r="T1908" s="59"/>
    </row>
    <row r="1909" spans="1:20">
      <c r="A1909" s="37">
        <f t="shared" si="117"/>
        <v>1908</v>
      </c>
      <c r="B1909" s="84"/>
      <c r="D1909" s="59"/>
      <c r="E1909" s="59"/>
      <c r="R1909" s="84"/>
      <c r="T1909" s="59"/>
    </row>
    <row r="1910" spans="1:20">
      <c r="A1910" s="37">
        <f t="shared" ref="A1910:A1922" si="118">ROW()-1</f>
        <v>1909</v>
      </c>
      <c r="B1910" s="84"/>
      <c r="D1910" s="59"/>
      <c r="E1910" s="59"/>
      <c r="R1910" s="84"/>
      <c r="T1910" s="59"/>
    </row>
    <row r="1911" spans="1:20">
      <c r="A1911" s="37">
        <f t="shared" si="118"/>
        <v>1910</v>
      </c>
      <c r="B1911" s="84"/>
      <c r="D1911" s="59"/>
      <c r="E1911" s="59"/>
      <c r="R1911" s="84"/>
      <c r="T1911" s="59"/>
    </row>
    <row r="1912" spans="1:20">
      <c r="A1912" s="37">
        <f t="shared" si="118"/>
        <v>1911</v>
      </c>
      <c r="B1912" s="84"/>
      <c r="D1912" s="59"/>
      <c r="E1912" s="59"/>
      <c r="R1912" s="84"/>
      <c r="T1912" s="59"/>
    </row>
    <row r="1913" spans="1:20">
      <c r="A1913" s="37">
        <f t="shared" si="118"/>
        <v>1912</v>
      </c>
      <c r="B1913" s="84"/>
      <c r="D1913" s="59"/>
      <c r="E1913" s="59"/>
      <c r="R1913" s="84"/>
      <c r="T1913" s="59"/>
    </row>
    <row r="1914" spans="1:20">
      <c r="A1914" s="37">
        <f t="shared" si="118"/>
        <v>1913</v>
      </c>
      <c r="B1914" s="84"/>
      <c r="D1914" s="59"/>
      <c r="E1914" s="59"/>
      <c r="R1914" s="84"/>
      <c r="T1914" s="59"/>
    </row>
    <row r="1915" spans="1:20">
      <c r="A1915" s="37">
        <f t="shared" si="118"/>
        <v>1914</v>
      </c>
      <c r="B1915" s="84"/>
      <c r="D1915" s="59"/>
      <c r="E1915" s="59"/>
      <c r="R1915" s="84"/>
      <c r="T1915" s="59"/>
    </row>
    <row r="1916" spans="1:20">
      <c r="A1916" s="37">
        <f t="shared" si="118"/>
        <v>1915</v>
      </c>
      <c r="B1916" s="84"/>
      <c r="D1916" s="59"/>
      <c r="E1916" s="59"/>
      <c r="R1916" s="84"/>
      <c r="T1916" s="59"/>
    </row>
    <row r="1917" spans="1:20">
      <c r="A1917" s="37">
        <f t="shared" si="118"/>
        <v>1916</v>
      </c>
      <c r="B1917" s="84"/>
      <c r="D1917" s="59"/>
      <c r="E1917" s="59"/>
      <c r="R1917" s="84"/>
      <c r="T1917" s="59"/>
    </row>
    <row r="1918" spans="1:20">
      <c r="A1918" s="37">
        <f t="shared" si="118"/>
        <v>1917</v>
      </c>
      <c r="B1918" s="84"/>
      <c r="D1918" s="59"/>
      <c r="E1918" s="59"/>
      <c r="R1918" s="84"/>
      <c r="T1918" s="59"/>
    </row>
    <row r="1919" spans="1:20">
      <c r="A1919" s="37">
        <f t="shared" si="118"/>
        <v>1918</v>
      </c>
      <c r="B1919" s="84"/>
      <c r="D1919" s="59"/>
      <c r="E1919" s="59"/>
      <c r="R1919" s="84"/>
      <c r="T1919" s="59"/>
    </row>
    <row r="1920" spans="1:20">
      <c r="A1920" s="37">
        <f t="shared" si="118"/>
        <v>1919</v>
      </c>
      <c r="B1920" s="84"/>
      <c r="D1920" s="59"/>
      <c r="E1920" s="59"/>
      <c r="R1920" s="84"/>
      <c r="T1920" s="59"/>
    </row>
    <row r="1921" spans="1:20">
      <c r="A1921" s="37">
        <f t="shared" si="118"/>
        <v>1920</v>
      </c>
      <c r="B1921" s="84"/>
      <c r="D1921" s="59"/>
      <c r="E1921" s="59"/>
      <c r="R1921" s="84"/>
      <c r="T1921" s="59"/>
    </row>
    <row r="1922" spans="1:20">
      <c r="A1922" s="37">
        <f t="shared" si="118"/>
        <v>1921</v>
      </c>
      <c r="B1922" s="84"/>
      <c r="D1922" s="59"/>
      <c r="E1922" s="59"/>
      <c r="R1922" s="84"/>
      <c r="T1922" s="59"/>
    </row>
    <row r="1923" spans="1:20">
      <c r="A1923" s="37">
        <f t="shared" ref="A1923:A1935" si="119">ROW()-1</f>
        <v>1922</v>
      </c>
      <c r="B1923" s="84"/>
      <c r="D1923" s="59"/>
      <c r="E1923" s="59"/>
      <c r="R1923" s="84"/>
      <c r="T1923" s="59"/>
    </row>
    <row r="1924" spans="1:20">
      <c r="A1924" s="37">
        <f t="shared" si="119"/>
        <v>1923</v>
      </c>
      <c r="B1924" s="84"/>
      <c r="D1924" s="59"/>
      <c r="E1924" s="59"/>
      <c r="R1924" s="84"/>
      <c r="T1924" s="59"/>
    </row>
    <row r="1925" spans="1:20">
      <c r="A1925" s="37">
        <f t="shared" si="119"/>
        <v>1924</v>
      </c>
      <c r="B1925" s="84"/>
      <c r="D1925" s="59"/>
      <c r="E1925" s="59"/>
      <c r="R1925" s="84"/>
      <c r="T1925" s="59"/>
    </row>
    <row r="1926" spans="1:20">
      <c r="A1926" s="37">
        <f t="shared" si="119"/>
        <v>1925</v>
      </c>
      <c r="B1926" s="84"/>
      <c r="D1926" s="59"/>
      <c r="E1926" s="59"/>
      <c r="R1926" s="84"/>
      <c r="T1926" s="59"/>
    </row>
    <row r="1927" spans="1:20">
      <c r="A1927" s="37">
        <f t="shared" si="119"/>
        <v>1926</v>
      </c>
      <c r="B1927" s="84"/>
      <c r="D1927" s="59"/>
      <c r="E1927" s="59"/>
      <c r="R1927" s="84"/>
      <c r="T1927" s="59"/>
    </row>
    <row r="1928" spans="1:20">
      <c r="A1928" s="37">
        <f t="shared" si="119"/>
        <v>1927</v>
      </c>
      <c r="B1928" s="84"/>
      <c r="D1928" s="59"/>
      <c r="E1928" s="59"/>
      <c r="R1928" s="84"/>
      <c r="T1928" s="59"/>
    </row>
    <row r="1929" spans="1:20">
      <c r="A1929" s="37">
        <f t="shared" si="119"/>
        <v>1928</v>
      </c>
      <c r="B1929" s="84"/>
      <c r="D1929" s="59"/>
      <c r="E1929" s="59"/>
      <c r="R1929" s="84"/>
      <c r="T1929" s="59"/>
    </row>
    <row r="1930" spans="1:20">
      <c r="A1930" s="37">
        <f t="shared" si="119"/>
        <v>1929</v>
      </c>
      <c r="B1930" s="84"/>
      <c r="D1930" s="59"/>
      <c r="E1930" s="59"/>
      <c r="R1930" s="84"/>
      <c r="T1930" s="59"/>
    </row>
    <row r="1931" spans="1:20">
      <c r="A1931" s="37">
        <f t="shared" si="119"/>
        <v>1930</v>
      </c>
      <c r="B1931" s="84"/>
      <c r="D1931" s="59"/>
      <c r="E1931" s="59"/>
      <c r="R1931" s="84"/>
      <c r="T1931" s="59"/>
    </row>
    <row r="1932" spans="1:20">
      <c r="A1932" s="37">
        <f t="shared" si="119"/>
        <v>1931</v>
      </c>
      <c r="B1932" s="84"/>
      <c r="D1932" s="59"/>
      <c r="E1932" s="59"/>
      <c r="R1932" s="84"/>
      <c r="T1932" s="59"/>
    </row>
    <row r="1933" spans="1:20">
      <c r="A1933" s="37">
        <f t="shared" si="119"/>
        <v>1932</v>
      </c>
      <c r="B1933" s="84"/>
      <c r="D1933" s="59"/>
      <c r="E1933" s="59"/>
      <c r="R1933" s="84"/>
      <c r="T1933" s="59"/>
    </row>
    <row r="1934" spans="1:20">
      <c r="A1934" s="37">
        <f t="shared" si="119"/>
        <v>1933</v>
      </c>
      <c r="B1934" s="84"/>
      <c r="D1934" s="59"/>
      <c r="E1934" s="59"/>
      <c r="R1934" s="84"/>
      <c r="T1934" s="59"/>
    </row>
    <row r="1935" spans="1:20">
      <c r="A1935" s="37">
        <f t="shared" si="119"/>
        <v>1934</v>
      </c>
      <c r="B1935" s="84"/>
      <c r="D1935" s="59"/>
      <c r="E1935" s="59"/>
      <c r="R1935" s="84"/>
      <c r="T1935" s="59"/>
    </row>
    <row r="1936" spans="1:20">
      <c r="A1936" s="37">
        <f>ROW()-1</f>
        <v>1935</v>
      </c>
      <c r="B1936" s="84"/>
      <c r="D1936" s="59"/>
      <c r="E1936" s="59"/>
      <c r="R1936" s="84"/>
      <c r="T1936" s="59"/>
    </row>
    <row r="1937" spans="1:20">
      <c r="A1937" s="37">
        <f>ROW()-1</f>
        <v>1936</v>
      </c>
      <c r="B1937" s="84"/>
      <c r="D1937" s="59"/>
      <c r="E1937" s="59"/>
      <c r="R1937" s="84"/>
      <c r="T1937" s="59"/>
    </row>
    <row r="1938" spans="1:20">
      <c r="A1938" s="37">
        <f>ROW()-1</f>
        <v>1937</v>
      </c>
      <c r="B1938" s="84"/>
      <c r="D1938" s="59"/>
      <c r="E1938" s="59"/>
      <c r="R1938" s="84"/>
      <c r="T1938" s="59"/>
    </row>
    <row r="1939" spans="1:20">
      <c r="A1939" s="37">
        <f>ROW()-1</f>
        <v>1938</v>
      </c>
      <c r="B1939" s="84"/>
      <c r="D1939" s="59"/>
      <c r="E1939" s="59"/>
      <c r="R1939" s="84"/>
      <c r="T1939" s="59"/>
    </row>
    <row r="1940" spans="1:20">
      <c r="A1940" s="37">
        <f t="shared" ref="A1940:A1946" si="120">ROW()-1</f>
        <v>1939</v>
      </c>
      <c r="B1940" s="84"/>
      <c r="D1940" s="59"/>
      <c r="E1940" s="59"/>
      <c r="R1940" s="84"/>
      <c r="T1940" s="59"/>
    </row>
    <row r="1941" spans="1:20">
      <c r="A1941" s="37">
        <f t="shared" si="120"/>
        <v>1940</v>
      </c>
      <c r="B1941" s="84"/>
      <c r="D1941" s="59"/>
      <c r="E1941" s="59"/>
      <c r="R1941" s="84"/>
      <c r="T1941" s="59"/>
    </row>
    <row r="1942" spans="1:20">
      <c r="A1942" s="37">
        <f t="shared" si="120"/>
        <v>1941</v>
      </c>
      <c r="B1942" s="84"/>
      <c r="D1942" s="59"/>
      <c r="E1942" s="59"/>
      <c r="R1942" s="84"/>
      <c r="T1942" s="59"/>
    </row>
    <row r="1943" spans="1:20">
      <c r="A1943" s="37">
        <f t="shared" si="120"/>
        <v>1942</v>
      </c>
      <c r="B1943" s="84"/>
      <c r="D1943" s="59"/>
      <c r="E1943" s="59"/>
      <c r="R1943" s="84"/>
      <c r="T1943" s="59"/>
    </row>
    <row r="1944" spans="1:20">
      <c r="A1944" s="37">
        <f t="shared" si="120"/>
        <v>1943</v>
      </c>
      <c r="B1944" s="84"/>
      <c r="D1944" s="59"/>
      <c r="E1944" s="59"/>
      <c r="R1944" s="84"/>
      <c r="T1944" s="59"/>
    </row>
    <row r="1945" spans="1:20">
      <c r="A1945" s="37">
        <f t="shared" si="120"/>
        <v>1944</v>
      </c>
      <c r="B1945" s="84"/>
      <c r="D1945" s="59"/>
      <c r="E1945" s="59"/>
      <c r="R1945" s="84"/>
      <c r="T1945" s="59"/>
    </row>
    <row r="1946" spans="1:20">
      <c r="A1946" s="37">
        <f t="shared" si="120"/>
        <v>1945</v>
      </c>
      <c r="B1946" s="84"/>
      <c r="D1946" s="59"/>
      <c r="E1946" s="59"/>
      <c r="R1946" s="84"/>
      <c r="T1946" s="59"/>
    </row>
    <row r="1947" spans="1:20">
      <c r="A1947" s="37">
        <f t="shared" ref="A1947:A1956" si="121">ROW()-1</f>
        <v>1946</v>
      </c>
      <c r="B1947" s="84"/>
      <c r="D1947" s="59"/>
      <c r="E1947" s="59"/>
      <c r="R1947" s="84"/>
      <c r="T1947" s="59"/>
    </row>
    <row r="1948" spans="1:20">
      <c r="A1948" s="37">
        <f t="shared" si="121"/>
        <v>1947</v>
      </c>
      <c r="B1948" s="84"/>
      <c r="D1948" s="59"/>
      <c r="E1948" s="59"/>
      <c r="R1948" s="84"/>
      <c r="T1948" s="59"/>
    </row>
    <row r="1949" spans="1:20">
      <c r="A1949" s="37">
        <f t="shared" si="121"/>
        <v>1948</v>
      </c>
      <c r="B1949" s="84"/>
      <c r="D1949" s="59"/>
      <c r="E1949" s="59"/>
      <c r="R1949" s="84"/>
      <c r="T1949" s="59"/>
    </row>
    <row r="1950" spans="1:20">
      <c r="A1950" s="37">
        <f t="shared" si="121"/>
        <v>1949</v>
      </c>
      <c r="B1950" s="84"/>
      <c r="D1950" s="59"/>
      <c r="E1950" s="59"/>
      <c r="R1950" s="84"/>
      <c r="T1950" s="59"/>
    </row>
    <row r="1951" spans="1:20">
      <c r="A1951" s="37">
        <f t="shared" si="121"/>
        <v>1950</v>
      </c>
      <c r="B1951" s="84"/>
      <c r="D1951" s="59"/>
      <c r="E1951" s="59"/>
      <c r="R1951" s="84"/>
      <c r="T1951" s="59"/>
    </row>
    <row r="1952" spans="1:20">
      <c r="A1952" s="37">
        <f t="shared" si="121"/>
        <v>1951</v>
      </c>
      <c r="B1952" s="84"/>
      <c r="D1952" s="59"/>
      <c r="E1952" s="59"/>
      <c r="R1952" s="84"/>
      <c r="T1952" s="59"/>
    </row>
    <row r="1953" spans="1:20">
      <c r="A1953" s="37">
        <f t="shared" si="121"/>
        <v>1952</v>
      </c>
      <c r="B1953" s="84"/>
      <c r="D1953" s="59"/>
      <c r="E1953" s="59"/>
      <c r="R1953" s="84"/>
      <c r="T1953" s="59"/>
    </row>
    <row r="1954" spans="1:20">
      <c r="A1954" s="37">
        <f t="shared" si="121"/>
        <v>1953</v>
      </c>
      <c r="B1954" s="84"/>
      <c r="D1954" s="59"/>
      <c r="E1954" s="59"/>
      <c r="R1954" s="84"/>
      <c r="T1954" s="59"/>
    </row>
    <row r="1955" spans="1:20">
      <c r="A1955" s="37">
        <f t="shared" si="121"/>
        <v>1954</v>
      </c>
      <c r="B1955" s="84"/>
      <c r="D1955" s="59"/>
      <c r="E1955" s="59"/>
      <c r="R1955" s="84"/>
      <c r="T1955" s="59"/>
    </row>
    <row r="1956" spans="1:20">
      <c r="A1956" s="37">
        <f t="shared" si="121"/>
        <v>1955</v>
      </c>
      <c r="B1956" s="84"/>
      <c r="D1956" s="59"/>
      <c r="E1956" s="59"/>
      <c r="R1956" s="84"/>
      <c r="T1956" s="59"/>
    </row>
    <row r="1957" spans="1:20">
      <c r="A1957" s="37">
        <f t="shared" ref="A1957:A1966" si="122">ROW()-1</f>
        <v>1956</v>
      </c>
      <c r="B1957" s="84"/>
      <c r="D1957" s="59"/>
      <c r="E1957" s="59"/>
      <c r="R1957" s="84"/>
      <c r="T1957" s="59"/>
    </row>
    <row r="1958" spans="1:20">
      <c r="A1958" s="37">
        <f t="shared" si="122"/>
        <v>1957</v>
      </c>
      <c r="B1958" s="84"/>
      <c r="D1958" s="59"/>
      <c r="E1958" s="59"/>
      <c r="R1958" s="84"/>
      <c r="T1958" s="59"/>
    </row>
    <row r="1959" spans="1:20">
      <c r="A1959" s="37">
        <f t="shared" si="122"/>
        <v>1958</v>
      </c>
      <c r="B1959" s="84"/>
      <c r="D1959" s="59"/>
      <c r="E1959" s="59"/>
      <c r="R1959" s="84"/>
      <c r="T1959" s="59"/>
    </row>
    <row r="1960" spans="1:20">
      <c r="A1960" s="37">
        <f t="shared" si="122"/>
        <v>1959</v>
      </c>
      <c r="B1960" s="84"/>
      <c r="D1960" s="59"/>
      <c r="E1960" s="59"/>
      <c r="R1960" s="84"/>
      <c r="T1960" s="59"/>
    </row>
    <row r="1961" spans="1:20">
      <c r="A1961" s="37">
        <f t="shared" si="122"/>
        <v>1960</v>
      </c>
      <c r="B1961" s="84"/>
      <c r="D1961" s="59"/>
      <c r="E1961" s="59"/>
      <c r="R1961" s="84"/>
      <c r="T1961" s="59"/>
    </row>
    <row r="1962" spans="1:20">
      <c r="A1962" s="37">
        <f t="shared" si="122"/>
        <v>1961</v>
      </c>
      <c r="B1962" s="84"/>
      <c r="D1962" s="59"/>
      <c r="E1962" s="59"/>
      <c r="R1962" s="84"/>
      <c r="T1962" s="59"/>
    </row>
    <row r="1963" spans="1:20">
      <c r="A1963" s="37">
        <f t="shared" si="122"/>
        <v>1962</v>
      </c>
      <c r="B1963" s="84"/>
      <c r="D1963" s="59"/>
      <c r="E1963" s="59"/>
      <c r="R1963" s="84"/>
      <c r="T1963" s="59"/>
    </row>
    <row r="1964" spans="1:20">
      <c r="A1964" s="37">
        <f t="shared" si="122"/>
        <v>1963</v>
      </c>
      <c r="B1964" s="84"/>
      <c r="D1964" s="59"/>
      <c r="E1964" s="59"/>
      <c r="R1964" s="84"/>
      <c r="T1964" s="59"/>
    </row>
    <row r="1965" spans="1:20">
      <c r="A1965" s="37">
        <f t="shared" si="122"/>
        <v>1964</v>
      </c>
      <c r="B1965" s="84"/>
      <c r="D1965" s="59"/>
      <c r="E1965" s="59"/>
      <c r="R1965" s="84"/>
      <c r="T1965" s="59"/>
    </row>
    <row r="1966" spans="1:20">
      <c r="A1966" s="37">
        <f t="shared" si="122"/>
        <v>1965</v>
      </c>
      <c r="B1966" s="84"/>
      <c r="D1966" s="59"/>
      <c r="E1966" s="59"/>
      <c r="R1966" s="84"/>
      <c r="T1966" s="59"/>
    </row>
    <row r="1967" spans="1:20">
      <c r="A1967" s="37">
        <f t="shared" ref="A1967:A1973" si="123">ROW()-1</f>
        <v>1966</v>
      </c>
      <c r="B1967" s="84"/>
      <c r="D1967" s="59"/>
      <c r="E1967" s="59"/>
      <c r="R1967" s="84"/>
      <c r="T1967" s="59"/>
    </row>
    <row r="1968" spans="1:20">
      <c r="A1968" s="37">
        <f t="shared" si="123"/>
        <v>1967</v>
      </c>
      <c r="B1968" s="84"/>
      <c r="D1968" s="59"/>
      <c r="E1968" s="59"/>
      <c r="R1968" s="84"/>
      <c r="T1968" s="59"/>
    </row>
    <row r="1969" spans="1:20">
      <c r="A1969" s="37">
        <f t="shared" si="123"/>
        <v>1968</v>
      </c>
      <c r="B1969" s="84"/>
      <c r="D1969" s="59"/>
      <c r="E1969" s="59"/>
      <c r="R1969" s="84"/>
      <c r="T1969" s="59"/>
    </row>
    <row r="1970" spans="1:20">
      <c r="A1970" s="37">
        <f t="shared" si="123"/>
        <v>1969</v>
      </c>
      <c r="B1970" s="84"/>
      <c r="D1970" s="59"/>
      <c r="E1970" s="59"/>
      <c r="R1970" s="84"/>
      <c r="T1970" s="59"/>
    </row>
    <row r="1971" spans="1:20">
      <c r="A1971" s="37">
        <f t="shared" si="123"/>
        <v>1970</v>
      </c>
      <c r="B1971" s="84"/>
      <c r="D1971" s="59"/>
      <c r="E1971" s="59"/>
      <c r="R1971" s="84"/>
      <c r="T1971" s="59"/>
    </row>
    <row r="1972" spans="1:20">
      <c r="A1972" s="37">
        <f t="shared" si="123"/>
        <v>1971</v>
      </c>
      <c r="B1972" s="84"/>
      <c r="D1972" s="59"/>
      <c r="E1972" s="59"/>
      <c r="R1972" s="84"/>
      <c r="T1972" s="59"/>
    </row>
    <row r="1973" spans="1:20">
      <c r="A1973" s="37">
        <f t="shared" si="123"/>
        <v>1972</v>
      </c>
      <c r="B1973" s="84"/>
      <c r="D1973" s="59"/>
      <c r="E1973" s="59"/>
      <c r="R1973" s="84"/>
      <c r="T1973" s="59"/>
    </row>
    <row r="1974" spans="1:20">
      <c r="A1974" s="37">
        <f t="shared" ref="A1974:A1986" si="124">ROW()-1</f>
        <v>1973</v>
      </c>
      <c r="B1974" s="84"/>
      <c r="D1974" s="59"/>
      <c r="E1974" s="59"/>
      <c r="R1974" s="84"/>
      <c r="T1974" s="59"/>
    </row>
    <row r="1975" spans="1:20">
      <c r="A1975" s="37">
        <f t="shared" si="124"/>
        <v>1974</v>
      </c>
      <c r="B1975" s="84"/>
      <c r="D1975" s="59"/>
      <c r="E1975" s="59"/>
      <c r="R1975" s="84"/>
      <c r="T1975" s="59"/>
    </row>
    <row r="1976" spans="1:20">
      <c r="A1976" s="37">
        <f t="shared" si="124"/>
        <v>1975</v>
      </c>
      <c r="B1976" s="84"/>
      <c r="D1976" s="59"/>
      <c r="E1976" s="59"/>
      <c r="R1976" s="84"/>
      <c r="T1976" s="59"/>
    </row>
    <row r="1977" spans="1:20">
      <c r="A1977" s="37">
        <f t="shared" si="124"/>
        <v>1976</v>
      </c>
      <c r="B1977" s="84"/>
      <c r="D1977" s="59"/>
      <c r="E1977" s="59"/>
      <c r="R1977" s="84"/>
      <c r="T1977" s="59"/>
    </row>
    <row r="1978" spans="1:20">
      <c r="A1978" s="37">
        <f t="shared" si="124"/>
        <v>1977</v>
      </c>
      <c r="B1978" s="84"/>
      <c r="D1978" s="59"/>
      <c r="E1978" s="59"/>
      <c r="R1978" s="84"/>
      <c r="T1978" s="59"/>
    </row>
    <row r="1979" spans="1:20">
      <c r="A1979" s="37">
        <f t="shared" si="124"/>
        <v>1978</v>
      </c>
      <c r="B1979" s="84"/>
      <c r="D1979" s="59"/>
      <c r="E1979" s="59"/>
      <c r="R1979" s="84"/>
      <c r="T1979" s="59"/>
    </row>
    <row r="1980" spans="1:20">
      <c r="A1980" s="37">
        <f t="shared" si="124"/>
        <v>1979</v>
      </c>
      <c r="B1980" s="84"/>
      <c r="D1980" s="59"/>
      <c r="E1980" s="59"/>
      <c r="R1980" s="84"/>
      <c r="T1980" s="59"/>
    </row>
    <row r="1981" spans="1:20">
      <c r="A1981" s="37">
        <f t="shared" si="124"/>
        <v>1980</v>
      </c>
      <c r="B1981" s="84"/>
      <c r="D1981" s="59"/>
      <c r="E1981" s="59"/>
      <c r="R1981" s="84"/>
      <c r="T1981" s="59"/>
    </row>
    <row r="1982" spans="1:20">
      <c r="A1982" s="37">
        <f t="shared" si="124"/>
        <v>1981</v>
      </c>
      <c r="B1982" s="84"/>
      <c r="D1982" s="59"/>
      <c r="E1982" s="59"/>
      <c r="R1982" s="84"/>
      <c r="T1982" s="59"/>
    </row>
    <row r="1983" spans="1:20">
      <c r="A1983" s="37">
        <f t="shared" si="124"/>
        <v>1982</v>
      </c>
      <c r="B1983" s="84"/>
      <c r="D1983" s="59"/>
      <c r="E1983" s="59"/>
      <c r="R1983" s="84"/>
      <c r="T1983" s="59"/>
    </row>
    <row r="1984" spans="1:20">
      <c r="A1984" s="37">
        <f t="shared" si="124"/>
        <v>1983</v>
      </c>
      <c r="B1984" s="84"/>
      <c r="D1984" s="59"/>
      <c r="E1984" s="59"/>
      <c r="R1984" s="84"/>
      <c r="T1984" s="59"/>
    </row>
    <row r="1985" spans="1:20">
      <c r="A1985" s="37">
        <f t="shared" si="124"/>
        <v>1984</v>
      </c>
      <c r="B1985" s="84"/>
      <c r="D1985" s="59"/>
      <c r="E1985" s="59"/>
      <c r="R1985" s="84"/>
      <c r="T1985" s="59"/>
    </row>
    <row r="1986" spans="1:20">
      <c r="A1986" s="37">
        <f t="shared" si="124"/>
        <v>1985</v>
      </c>
      <c r="B1986" s="84"/>
      <c r="D1986" s="59"/>
      <c r="E1986" s="59"/>
      <c r="R1986" s="84"/>
      <c r="T1986" s="59"/>
    </row>
    <row r="1987" spans="1:20">
      <c r="A1987" s="37">
        <f t="shared" ref="A1987:A1994" si="125">ROW()-1</f>
        <v>1986</v>
      </c>
      <c r="B1987" s="84"/>
      <c r="D1987" s="59"/>
      <c r="E1987" s="59"/>
      <c r="R1987" s="84"/>
      <c r="T1987" s="59"/>
    </row>
    <row r="1988" spans="1:20">
      <c r="A1988" s="37">
        <f t="shared" si="125"/>
        <v>1987</v>
      </c>
      <c r="B1988" s="84"/>
      <c r="D1988" s="59"/>
      <c r="E1988" s="59"/>
      <c r="R1988" s="84"/>
      <c r="T1988" s="59"/>
    </row>
    <row r="1989" spans="1:20">
      <c r="A1989" s="37">
        <f t="shared" si="125"/>
        <v>1988</v>
      </c>
      <c r="B1989" s="84"/>
      <c r="D1989" s="59"/>
      <c r="E1989" s="59"/>
      <c r="R1989" s="84"/>
      <c r="T1989" s="59"/>
    </row>
    <row r="1990" spans="1:20">
      <c r="A1990" s="37">
        <f t="shared" si="125"/>
        <v>1989</v>
      </c>
      <c r="B1990" s="84"/>
      <c r="D1990" s="59"/>
      <c r="E1990" s="59"/>
      <c r="R1990" s="84"/>
      <c r="T1990" s="59"/>
    </row>
    <row r="1991" spans="1:20">
      <c r="A1991" s="37">
        <f t="shared" si="125"/>
        <v>1990</v>
      </c>
      <c r="B1991" s="84"/>
      <c r="D1991" s="59"/>
      <c r="E1991" s="59"/>
      <c r="R1991" s="84"/>
      <c r="T1991" s="59"/>
    </row>
    <row r="1992" spans="1:20">
      <c r="A1992" s="37">
        <f t="shared" si="125"/>
        <v>1991</v>
      </c>
      <c r="B1992" s="84"/>
      <c r="D1992" s="59"/>
      <c r="E1992" s="59"/>
      <c r="R1992" s="84"/>
      <c r="T1992" s="59"/>
    </row>
    <row r="1993" spans="1:20">
      <c r="A1993" s="37">
        <f t="shared" si="125"/>
        <v>1992</v>
      </c>
      <c r="B1993" s="84"/>
      <c r="D1993" s="59"/>
      <c r="E1993" s="59"/>
      <c r="R1993" s="84"/>
      <c r="T1993" s="59"/>
    </row>
    <row r="1994" spans="1:20">
      <c r="A1994" s="37">
        <f t="shared" si="125"/>
        <v>1993</v>
      </c>
      <c r="B1994" s="84"/>
      <c r="D1994" s="59"/>
      <c r="E1994" s="59"/>
      <c r="R1994" s="84"/>
      <c r="T1994" s="59"/>
    </row>
    <row r="1995" spans="1:20">
      <c r="A1995" s="37">
        <f t="shared" ref="A1995:A2007" si="126">ROW()-1</f>
        <v>1994</v>
      </c>
      <c r="B1995" s="84"/>
      <c r="D1995" s="59"/>
      <c r="E1995" s="59"/>
      <c r="R1995" s="84"/>
      <c r="T1995" s="59"/>
    </row>
    <row r="1996" spans="1:20">
      <c r="A1996" s="37">
        <f t="shared" si="126"/>
        <v>1995</v>
      </c>
      <c r="B1996" s="84"/>
      <c r="D1996" s="59"/>
      <c r="E1996" s="59"/>
      <c r="R1996" s="84"/>
      <c r="T1996" s="59"/>
    </row>
    <row r="1997" spans="1:20">
      <c r="A1997" s="37">
        <f t="shared" si="126"/>
        <v>1996</v>
      </c>
      <c r="B1997" s="84"/>
      <c r="D1997" s="59"/>
      <c r="E1997" s="59"/>
      <c r="R1997" s="84"/>
      <c r="T1997" s="59"/>
    </row>
    <row r="1998" spans="1:20">
      <c r="A1998" s="37">
        <f t="shared" si="126"/>
        <v>1997</v>
      </c>
      <c r="B1998" s="84"/>
      <c r="D1998" s="59"/>
      <c r="E1998" s="59"/>
      <c r="R1998" s="84"/>
      <c r="T1998" s="59"/>
    </row>
    <row r="1999" spans="1:20">
      <c r="A1999" s="37">
        <f t="shared" si="126"/>
        <v>1998</v>
      </c>
      <c r="B1999" s="84"/>
      <c r="D1999" s="59"/>
      <c r="E1999" s="59"/>
      <c r="R1999" s="84"/>
      <c r="T1999" s="59"/>
    </row>
    <row r="2000" spans="1:20">
      <c r="A2000" s="37">
        <f t="shared" si="126"/>
        <v>1999</v>
      </c>
      <c r="B2000" s="84"/>
      <c r="D2000" s="59"/>
      <c r="E2000" s="59"/>
      <c r="R2000" s="84"/>
      <c r="T2000" s="59"/>
    </row>
    <row r="2001" spans="1:20">
      <c r="A2001" s="37">
        <f t="shared" si="126"/>
        <v>2000</v>
      </c>
      <c r="B2001" s="84"/>
      <c r="D2001" s="59"/>
      <c r="E2001" s="59"/>
      <c r="R2001" s="84"/>
      <c r="T2001" s="59"/>
    </row>
    <row r="2002" spans="1:20">
      <c r="A2002" s="37">
        <f t="shared" si="126"/>
        <v>2001</v>
      </c>
      <c r="B2002" s="84"/>
      <c r="D2002" s="59"/>
      <c r="E2002" s="59"/>
      <c r="R2002" s="84"/>
      <c r="T2002" s="59"/>
    </row>
    <row r="2003" spans="1:20">
      <c r="A2003" s="37">
        <f t="shared" si="126"/>
        <v>2002</v>
      </c>
      <c r="B2003" s="84"/>
      <c r="D2003" s="59"/>
      <c r="E2003" s="59"/>
      <c r="R2003" s="84"/>
      <c r="T2003" s="59"/>
    </row>
    <row r="2004" spans="1:20">
      <c r="A2004" s="37">
        <f t="shared" si="126"/>
        <v>2003</v>
      </c>
      <c r="B2004" s="84"/>
      <c r="D2004" s="59"/>
      <c r="E2004" s="59"/>
      <c r="R2004" s="84"/>
      <c r="T2004" s="59"/>
    </row>
    <row r="2005" spans="1:20">
      <c r="A2005" s="37">
        <f t="shared" si="126"/>
        <v>2004</v>
      </c>
      <c r="B2005" s="84"/>
      <c r="D2005" s="59"/>
      <c r="E2005" s="59"/>
      <c r="R2005" s="84"/>
      <c r="T2005" s="59"/>
    </row>
    <row r="2006" spans="1:20">
      <c r="A2006" s="37">
        <f t="shared" si="126"/>
        <v>2005</v>
      </c>
      <c r="B2006" s="84"/>
      <c r="D2006" s="59"/>
      <c r="E2006" s="59"/>
      <c r="R2006" s="84"/>
      <c r="T2006" s="59"/>
    </row>
    <row r="2007" spans="1:20">
      <c r="A2007" s="37">
        <f t="shared" si="126"/>
        <v>2006</v>
      </c>
      <c r="B2007" s="84"/>
      <c r="D2007" s="59"/>
      <c r="E2007" s="59"/>
      <c r="R2007" s="84"/>
      <c r="T2007" s="59"/>
    </row>
    <row r="2008" spans="1:20">
      <c r="A2008" s="69">
        <f t="shared" ref="A2008:A2016" si="127">ROW()-1</f>
        <v>2007</v>
      </c>
      <c r="B2008" s="137"/>
      <c r="C2008" s="69"/>
      <c r="D2008" s="59"/>
      <c r="E2008" s="59"/>
      <c r="F2008" s="69"/>
      <c r="G2008" s="69"/>
      <c r="R2008" s="84"/>
      <c r="T2008" s="59"/>
    </row>
    <row r="2009" spans="1:20">
      <c r="A2009" s="69">
        <f t="shared" si="127"/>
        <v>2008</v>
      </c>
      <c r="B2009" s="137"/>
      <c r="C2009" s="69"/>
      <c r="D2009" s="59"/>
      <c r="E2009" s="59"/>
      <c r="F2009" s="69"/>
      <c r="G2009" s="69"/>
      <c r="R2009" s="84"/>
      <c r="T2009" s="59"/>
    </row>
    <row r="2010" spans="1:20">
      <c r="A2010" s="69">
        <f t="shared" si="127"/>
        <v>2009</v>
      </c>
      <c r="B2010" s="137"/>
      <c r="C2010" s="69"/>
      <c r="D2010" s="59"/>
      <c r="E2010" s="59"/>
      <c r="F2010" s="69"/>
      <c r="G2010" s="69"/>
      <c r="R2010" s="84"/>
      <c r="T2010" s="59"/>
    </row>
    <row r="2011" spans="1:20">
      <c r="A2011" s="69">
        <f t="shared" si="127"/>
        <v>2010</v>
      </c>
      <c r="B2011" s="137"/>
      <c r="C2011" s="69"/>
      <c r="D2011" s="59"/>
      <c r="E2011" s="59"/>
      <c r="F2011" s="69"/>
      <c r="G2011" s="69"/>
      <c r="R2011" s="84"/>
      <c r="T2011" s="59"/>
    </row>
    <row r="2012" spans="1:20">
      <c r="A2012" s="69">
        <f t="shared" si="127"/>
        <v>2011</v>
      </c>
      <c r="B2012" s="137"/>
      <c r="C2012" s="69"/>
      <c r="D2012" s="59"/>
      <c r="E2012" s="59"/>
      <c r="F2012" s="69"/>
      <c r="G2012" s="69"/>
      <c r="R2012" s="84"/>
      <c r="T2012" s="59"/>
    </row>
    <row r="2013" spans="1:20">
      <c r="A2013" s="69">
        <f t="shared" si="127"/>
        <v>2012</v>
      </c>
      <c r="B2013" s="137"/>
      <c r="C2013" s="69"/>
      <c r="D2013" s="59"/>
      <c r="E2013" s="59"/>
      <c r="F2013" s="69"/>
      <c r="G2013" s="69"/>
      <c r="R2013" s="84"/>
      <c r="T2013" s="59"/>
    </row>
    <row r="2014" spans="1:20">
      <c r="A2014" s="69">
        <f t="shared" si="127"/>
        <v>2013</v>
      </c>
      <c r="B2014" s="137"/>
      <c r="C2014" s="69"/>
      <c r="D2014" s="71"/>
      <c r="E2014" s="71"/>
      <c r="F2014" s="69"/>
      <c r="G2014" s="69"/>
      <c r="R2014" s="84"/>
      <c r="T2014" s="59"/>
    </row>
    <row r="2015" spans="1:20">
      <c r="A2015" s="69">
        <f t="shared" si="127"/>
        <v>2014</v>
      </c>
      <c r="B2015" s="137"/>
      <c r="C2015" s="69"/>
      <c r="D2015" s="59"/>
      <c r="E2015" s="59"/>
      <c r="F2015" s="69"/>
      <c r="G2015" s="69"/>
      <c r="R2015" s="84"/>
      <c r="T2015" s="59"/>
    </row>
    <row r="2016" spans="1:20">
      <c r="A2016" s="69">
        <f t="shared" si="127"/>
        <v>2015</v>
      </c>
      <c r="B2016" s="137"/>
      <c r="C2016" s="69"/>
      <c r="D2016" s="59"/>
      <c r="E2016" s="59"/>
      <c r="F2016" s="69"/>
      <c r="G2016" s="69"/>
      <c r="R2016" s="84"/>
      <c r="T2016" s="59"/>
    </row>
    <row r="2017" spans="1:20">
      <c r="A2017" s="37">
        <f>ROW()-1</f>
        <v>2016</v>
      </c>
      <c r="B2017" s="84"/>
      <c r="D2017" s="59"/>
      <c r="E2017" s="59"/>
      <c r="R2017" s="84"/>
      <c r="T2017" s="59"/>
    </row>
    <row r="2018" spans="1:20">
      <c r="A2018" s="37">
        <f>ROW()-1</f>
        <v>2017</v>
      </c>
      <c r="B2018" s="84"/>
      <c r="D2018" s="59"/>
      <c r="E2018" s="59"/>
      <c r="R2018" s="84"/>
      <c r="T2018" s="59"/>
    </row>
    <row r="2019" spans="1:20">
      <c r="A2019" s="37">
        <f>ROW()-1</f>
        <v>2018</v>
      </c>
      <c r="B2019" s="84"/>
      <c r="D2019" s="59"/>
      <c r="E2019" s="59"/>
      <c r="R2019" s="84"/>
      <c r="T2019" s="59"/>
    </row>
    <row r="2020" spans="1:20">
      <c r="A2020" s="37">
        <f>ROW()-1</f>
        <v>2019</v>
      </c>
      <c r="B2020" s="84"/>
      <c r="D2020" s="59"/>
      <c r="E2020" s="59"/>
      <c r="R2020" s="84"/>
      <c r="T2020" s="59"/>
    </row>
    <row r="2021" spans="1:20">
      <c r="A2021" s="37">
        <f t="shared" ref="A2021:A2028" si="128">ROW()-1</f>
        <v>2020</v>
      </c>
      <c r="B2021" s="84"/>
      <c r="D2021" s="59"/>
      <c r="E2021" s="59"/>
      <c r="R2021" s="84"/>
      <c r="T2021" s="59"/>
    </row>
    <row r="2022" spans="1:20">
      <c r="A2022" s="37">
        <f t="shared" si="128"/>
        <v>2021</v>
      </c>
      <c r="B2022" s="84"/>
      <c r="D2022" s="59"/>
      <c r="E2022" s="59"/>
      <c r="R2022" s="84"/>
      <c r="T2022" s="59"/>
    </row>
    <row r="2023" spans="1:20">
      <c r="A2023" s="37">
        <f t="shared" si="128"/>
        <v>2022</v>
      </c>
      <c r="B2023" s="84"/>
      <c r="D2023" s="59"/>
      <c r="E2023" s="59"/>
      <c r="R2023" s="84"/>
      <c r="T2023" s="59"/>
    </row>
    <row r="2024" spans="1:20">
      <c r="A2024" s="37">
        <f t="shared" si="128"/>
        <v>2023</v>
      </c>
      <c r="B2024" s="84"/>
      <c r="D2024" s="59"/>
      <c r="E2024" s="59"/>
      <c r="R2024" s="84"/>
      <c r="T2024" s="59"/>
    </row>
    <row r="2025" spans="1:20">
      <c r="A2025" s="37">
        <f t="shared" si="128"/>
        <v>2024</v>
      </c>
      <c r="B2025" s="84"/>
      <c r="D2025" s="59"/>
      <c r="E2025" s="59"/>
      <c r="R2025" s="84"/>
      <c r="T2025" s="59"/>
    </row>
    <row r="2026" spans="1:20">
      <c r="A2026" s="37">
        <f t="shared" si="128"/>
        <v>2025</v>
      </c>
      <c r="B2026" s="84"/>
      <c r="D2026" s="59"/>
      <c r="E2026" s="59"/>
      <c r="R2026" s="84"/>
      <c r="T2026" s="59"/>
    </row>
    <row r="2027" spans="1:20">
      <c r="A2027" s="37">
        <f t="shared" si="128"/>
        <v>2026</v>
      </c>
      <c r="B2027" s="84"/>
      <c r="D2027" s="59"/>
      <c r="E2027" s="59"/>
      <c r="R2027" s="84"/>
      <c r="T2027" s="59"/>
    </row>
    <row r="2028" spans="1:20">
      <c r="A2028" s="37">
        <f t="shared" si="128"/>
        <v>2027</v>
      </c>
      <c r="B2028" s="84"/>
      <c r="D2028" s="59"/>
      <c r="E2028" s="59"/>
      <c r="R2028" s="84"/>
      <c r="T2028" s="59"/>
    </row>
    <row r="2029" spans="1:20">
      <c r="A2029" s="37">
        <f t="shared" ref="A2029:A2038" si="129">ROW()-1</f>
        <v>2028</v>
      </c>
      <c r="B2029" s="84"/>
      <c r="D2029" s="59"/>
      <c r="E2029" s="59"/>
      <c r="R2029" s="84"/>
      <c r="T2029" s="59"/>
    </row>
    <row r="2030" spans="1:20">
      <c r="A2030" s="37">
        <f t="shared" si="129"/>
        <v>2029</v>
      </c>
      <c r="B2030" s="84"/>
      <c r="D2030" s="59"/>
      <c r="E2030" s="59"/>
      <c r="R2030" s="84"/>
      <c r="T2030" s="59"/>
    </row>
    <row r="2031" spans="1:20">
      <c r="A2031" s="37">
        <f t="shared" si="129"/>
        <v>2030</v>
      </c>
      <c r="B2031" s="84"/>
      <c r="D2031" s="59"/>
      <c r="E2031" s="59"/>
      <c r="R2031" s="84"/>
      <c r="T2031" s="59"/>
    </row>
    <row r="2032" spans="1:20">
      <c r="A2032" s="37">
        <f t="shared" si="129"/>
        <v>2031</v>
      </c>
      <c r="B2032" s="84"/>
      <c r="D2032" s="59"/>
      <c r="E2032" s="59"/>
      <c r="R2032" s="84"/>
      <c r="T2032" s="59"/>
    </row>
    <row r="2033" spans="1:20">
      <c r="A2033" s="37">
        <f t="shared" si="129"/>
        <v>2032</v>
      </c>
      <c r="B2033" s="84"/>
      <c r="D2033" s="59"/>
      <c r="E2033" s="59"/>
      <c r="R2033" s="84"/>
      <c r="T2033" s="59"/>
    </row>
    <row r="2034" spans="1:20">
      <c r="A2034" s="37">
        <f t="shared" si="129"/>
        <v>2033</v>
      </c>
      <c r="B2034" s="84"/>
      <c r="D2034" s="59"/>
      <c r="E2034" s="59"/>
      <c r="R2034" s="84"/>
      <c r="T2034" s="59"/>
    </row>
    <row r="2035" spans="1:20">
      <c r="A2035" s="37">
        <f t="shared" si="129"/>
        <v>2034</v>
      </c>
      <c r="B2035" s="84"/>
      <c r="D2035" s="59"/>
      <c r="E2035" s="59"/>
      <c r="R2035" s="84"/>
      <c r="T2035" s="59"/>
    </row>
    <row r="2036" spans="1:20">
      <c r="A2036" s="37">
        <f t="shared" si="129"/>
        <v>2035</v>
      </c>
      <c r="B2036" s="84"/>
      <c r="D2036" s="59"/>
      <c r="E2036" s="59"/>
      <c r="R2036" s="84"/>
      <c r="T2036" s="59"/>
    </row>
    <row r="2037" spans="1:20">
      <c r="A2037" s="37">
        <f t="shared" si="129"/>
        <v>2036</v>
      </c>
      <c r="B2037" s="84"/>
      <c r="D2037" s="59"/>
      <c r="E2037" s="59"/>
      <c r="R2037" s="84"/>
      <c r="T2037" s="59"/>
    </row>
    <row r="2038" spans="1:20">
      <c r="A2038" s="37">
        <f t="shared" si="129"/>
        <v>2037</v>
      </c>
      <c r="B2038" s="84"/>
      <c r="D2038" s="59"/>
      <c r="E2038" s="59"/>
      <c r="R2038" s="84"/>
      <c r="T2038" s="59"/>
    </row>
    <row r="2039" spans="1:20">
      <c r="A2039" s="69">
        <f t="shared" ref="A2039:A2046" si="130">ROW()-1</f>
        <v>2038</v>
      </c>
      <c r="B2039" s="137"/>
      <c r="C2039" s="69"/>
      <c r="D2039" s="59"/>
      <c r="E2039" s="59"/>
      <c r="F2039" s="69"/>
      <c r="G2039" s="69"/>
      <c r="R2039" s="84"/>
      <c r="T2039" s="59"/>
    </row>
    <row r="2040" spans="1:20">
      <c r="A2040" s="69">
        <f t="shared" si="130"/>
        <v>2039</v>
      </c>
      <c r="B2040" s="137"/>
      <c r="C2040" s="69"/>
      <c r="D2040" s="59"/>
      <c r="E2040" s="59"/>
      <c r="F2040" s="69"/>
      <c r="G2040" s="69"/>
      <c r="R2040" s="84"/>
      <c r="T2040" s="59"/>
    </row>
    <row r="2041" spans="1:20">
      <c r="A2041" s="69">
        <f t="shared" si="130"/>
        <v>2040</v>
      </c>
      <c r="B2041" s="137"/>
      <c r="C2041" s="69"/>
      <c r="D2041" s="59"/>
      <c r="E2041" s="59"/>
      <c r="F2041" s="69"/>
      <c r="G2041" s="69"/>
      <c r="R2041" s="84"/>
      <c r="T2041" s="59"/>
    </row>
    <row r="2042" spans="1:20">
      <c r="A2042" s="69">
        <f t="shared" si="130"/>
        <v>2041</v>
      </c>
      <c r="B2042" s="137"/>
      <c r="C2042" s="69"/>
      <c r="D2042" s="59"/>
      <c r="E2042" s="59"/>
      <c r="F2042" s="69"/>
      <c r="G2042" s="69"/>
      <c r="R2042" s="84"/>
      <c r="T2042" s="59"/>
    </row>
    <row r="2043" spans="1:20">
      <c r="A2043" s="69">
        <f t="shared" si="130"/>
        <v>2042</v>
      </c>
      <c r="B2043" s="137"/>
      <c r="C2043" s="69"/>
      <c r="D2043" s="59"/>
      <c r="E2043" s="59"/>
      <c r="F2043" s="69"/>
      <c r="G2043" s="69"/>
      <c r="R2043" s="84"/>
      <c r="T2043" s="59"/>
    </row>
    <row r="2044" spans="1:20">
      <c r="A2044" s="69">
        <f t="shared" si="130"/>
        <v>2043</v>
      </c>
      <c r="B2044" s="137"/>
      <c r="C2044" s="69"/>
      <c r="D2044" s="59"/>
      <c r="E2044" s="59"/>
      <c r="F2044" s="69"/>
      <c r="G2044" s="69"/>
      <c r="R2044" s="84"/>
      <c r="T2044" s="59"/>
    </row>
    <row r="2045" spans="1:20">
      <c r="A2045" s="69">
        <f t="shared" si="130"/>
        <v>2044</v>
      </c>
      <c r="B2045" s="137"/>
      <c r="C2045" s="69"/>
      <c r="D2045" s="59"/>
      <c r="E2045" s="59"/>
      <c r="F2045" s="69"/>
      <c r="G2045" s="69"/>
      <c r="R2045" s="84"/>
      <c r="T2045" s="59"/>
    </row>
    <row r="2046" spans="1:20">
      <c r="A2046" s="69">
        <f t="shared" si="130"/>
        <v>2045</v>
      </c>
      <c r="B2046" s="137"/>
      <c r="C2046" s="69"/>
      <c r="D2046" s="59"/>
      <c r="E2046" s="59"/>
      <c r="F2046" s="69"/>
      <c r="G2046" s="69"/>
      <c r="R2046" s="84"/>
      <c r="T2046" s="59"/>
    </row>
    <row r="2047" spans="1:20">
      <c r="A2047" s="37">
        <f t="shared" ref="A2047:A2052" si="131">ROW()-1</f>
        <v>2046</v>
      </c>
      <c r="B2047" s="84"/>
      <c r="D2047" s="59"/>
      <c r="E2047" s="59"/>
      <c r="R2047" s="84"/>
      <c r="T2047" s="59"/>
    </row>
    <row r="2048" spans="1:20">
      <c r="A2048" s="37">
        <f t="shared" si="131"/>
        <v>2047</v>
      </c>
      <c r="B2048" s="84"/>
      <c r="D2048" s="59"/>
      <c r="E2048" s="59"/>
      <c r="R2048" s="84"/>
      <c r="T2048" s="59"/>
    </row>
    <row r="2049" spans="1:20">
      <c r="A2049" s="37">
        <f t="shared" si="131"/>
        <v>2048</v>
      </c>
      <c r="B2049" s="84"/>
      <c r="D2049" s="59"/>
      <c r="E2049" s="59"/>
      <c r="R2049" s="84"/>
      <c r="T2049" s="59"/>
    </row>
    <row r="2050" spans="1:20">
      <c r="A2050" s="37">
        <f t="shared" si="131"/>
        <v>2049</v>
      </c>
      <c r="B2050" s="84"/>
      <c r="D2050" s="59"/>
      <c r="E2050" s="59"/>
      <c r="R2050" s="84"/>
      <c r="T2050" s="59"/>
    </row>
    <row r="2051" spans="1:20">
      <c r="A2051" s="37">
        <f t="shared" si="131"/>
        <v>2050</v>
      </c>
      <c r="B2051" s="84"/>
      <c r="D2051" s="59"/>
      <c r="E2051" s="59"/>
      <c r="R2051" s="84"/>
      <c r="T2051" s="59"/>
    </row>
    <row r="2052" spans="1:20">
      <c r="A2052" s="37">
        <f t="shared" si="131"/>
        <v>2051</v>
      </c>
      <c r="B2052" s="84"/>
      <c r="D2052" s="59"/>
      <c r="E2052" s="59"/>
      <c r="R2052" s="84"/>
      <c r="T2052" s="59"/>
    </row>
    <row r="2053" spans="1:20">
      <c r="A2053" s="37">
        <f t="shared" ref="A2053:A2063" si="132">ROW()-1</f>
        <v>2052</v>
      </c>
      <c r="B2053" s="84"/>
      <c r="D2053" s="59"/>
      <c r="E2053" s="59"/>
      <c r="R2053" s="84"/>
      <c r="T2053" s="59"/>
    </row>
    <row r="2054" spans="1:20">
      <c r="A2054" s="37">
        <f t="shared" si="132"/>
        <v>2053</v>
      </c>
      <c r="B2054" s="84"/>
      <c r="D2054" s="59"/>
      <c r="E2054" s="59"/>
      <c r="R2054" s="84"/>
      <c r="T2054" s="59"/>
    </row>
    <row r="2055" spans="1:20">
      <c r="A2055" s="37">
        <f t="shared" si="132"/>
        <v>2054</v>
      </c>
      <c r="B2055" s="84"/>
      <c r="D2055" s="59"/>
      <c r="E2055" s="59"/>
      <c r="R2055" s="84"/>
      <c r="T2055" s="59"/>
    </row>
    <row r="2056" spans="1:20">
      <c r="A2056" s="37">
        <f t="shared" si="132"/>
        <v>2055</v>
      </c>
      <c r="B2056" s="84"/>
      <c r="D2056" s="59"/>
      <c r="E2056" s="59"/>
      <c r="R2056" s="84"/>
      <c r="T2056" s="59"/>
    </row>
    <row r="2057" spans="1:20">
      <c r="A2057" s="37">
        <f t="shared" si="132"/>
        <v>2056</v>
      </c>
      <c r="B2057" s="84"/>
      <c r="D2057" s="59"/>
      <c r="E2057" s="59"/>
      <c r="R2057" s="84"/>
      <c r="T2057" s="59"/>
    </row>
    <row r="2058" spans="1:20">
      <c r="A2058" s="37">
        <f t="shared" si="132"/>
        <v>2057</v>
      </c>
      <c r="B2058" s="84"/>
      <c r="D2058" s="59"/>
      <c r="E2058" s="59"/>
      <c r="R2058" s="84"/>
      <c r="T2058" s="59"/>
    </row>
    <row r="2059" spans="1:20">
      <c r="A2059" s="37">
        <f t="shared" si="132"/>
        <v>2058</v>
      </c>
      <c r="B2059" s="84"/>
      <c r="D2059" s="59"/>
      <c r="E2059" s="59"/>
      <c r="R2059" s="84"/>
      <c r="T2059" s="59"/>
    </row>
    <row r="2060" spans="1:20">
      <c r="A2060" s="37">
        <f t="shared" si="132"/>
        <v>2059</v>
      </c>
      <c r="B2060" s="84"/>
      <c r="D2060" s="59"/>
      <c r="E2060" s="59"/>
      <c r="R2060" s="84"/>
      <c r="T2060" s="59"/>
    </row>
    <row r="2061" spans="1:20">
      <c r="A2061" s="37">
        <f t="shared" si="132"/>
        <v>2060</v>
      </c>
      <c r="B2061" s="84"/>
      <c r="D2061" s="59"/>
      <c r="E2061" s="59"/>
      <c r="R2061" s="84"/>
      <c r="T2061" s="59"/>
    </row>
    <row r="2062" spans="1:20">
      <c r="A2062" s="37">
        <f t="shared" si="132"/>
        <v>2061</v>
      </c>
      <c r="B2062" s="84"/>
      <c r="D2062" s="59"/>
      <c r="E2062" s="59"/>
      <c r="R2062" s="84"/>
      <c r="T2062" s="59"/>
    </row>
    <row r="2063" spans="1:20">
      <c r="A2063" s="37">
        <f t="shared" si="132"/>
        <v>2062</v>
      </c>
      <c r="B2063" s="84"/>
      <c r="D2063" s="59"/>
      <c r="E2063" s="59"/>
      <c r="R2063" s="84"/>
      <c r="T2063" s="59"/>
    </row>
    <row r="2064" spans="1:20">
      <c r="A2064" s="37">
        <f t="shared" ref="A2064:A2077" si="133">ROW()-1</f>
        <v>2063</v>
      </c>
      <c r="B2064" s="84"/>
      <c r="D2064" s="59"/>
      <c r="E2064" s="59"/>
      <c r="R2064" s="84"/>
      <c r="T2064" s="59"/>
    </row>
    <row r="2065" spans="1:20">
      <c r="A2065" s="37">
        <f t="shared" si="133"/>
        <v>2064</v>
      </c>
      <c r="B2065" s="84"/>
      <c r="D2065" s="59"/>
      <c r="E2065" s="59"/>
      <c r="R2065" s="84"/>
      <c r="T2065" s="59"/>
    </row>
    <row r="2066" spans="1:20">
      <c r="A2066" s="37">
        <f t="shared" si="133"/>
        <v>2065</v>
      </c>
      <c r="B2066" s="84"/>
      <c r="D2066" s="59"/>
      <c r="E2066" s="59"/>
      <c r="R2066" s="84"/>
      <c r="T2066" s="59"/>
    </row>
    <row r="2067" spans="1:20">
      <c r="A2067" s="37">
        <f t="shared" si="133"/>
        <v>2066</v>
      </c>
      <c r="B2067" s="84"/>
      <c r="D2067" s="59"/>
      <c r="E2067" s="59"/>
      <c r="R2067" s="84"/>
      <c r="T2067" s="59"/>
    </row>
    <row r="2068" spans="1:20">
      <c r="A2068" s="37">
        <f t="shared" si="133"/>
        <v>2067</v>
      </c>
      <c r="B2068" s="84"/>
      <c r="D2068" s="59"/>
      <c r="E2068" s="59"/>
      <c r="R2068" s="84"/>
      <c r="T2068" s="59"/>
    </row>
    <row r="2069" spans="1:20">
      <c r="A2069" s="37">
        <f t="shared" si="133"/>
        <v>2068</v>
      </c>
      <c r="B2069" s="84"/>
      <c r="D2069" s="59"/>
      <c r="E2069" s="59"/>
      <c r="R2069" s="84"/>
      <c r="T2069" s="59"/>
    </row>
    <row r="2070" spans="1:20">
      <c r="A2070" s="37">
        <f t="shared" si="133"/>
        <v>2069</v>
      </c>
      <c r="B2070" s="84"/>
      <c r="D2070" s="59"/>
      <c r="E2070" s="59"/>
      <c r="R2070" s="84"/>
      <c r="T2070" s="59"/>
    </row>
    <row r="2071" spans="1:20">
      <c r="A2071" s="37">
        <f t="shared" si="133"/>
        <v>2070</v>
      </c>
      <c r="B2071" s="84"/>
      <c r="D2071" s="59"/>
      <c r="E2071" s="59"/>
      <c r="R2071" s="84"/>
      <c r="T2071" s="59"/>
    </row>
    <row r="2072" spans="1:20">
      <c r="A2072" s="37">
        <f t="shared" si="133"/>
        <v>2071</v>
      </c>
      <c r="B2072" s="84"/>
      <c r="D2072" s="59"/>
      <c r="E2072" s="59"/>
      <c r="R2072" s="84"/>
      <c r="T2072" s="59"/>
    </row>
    <row r="2073" spans="1:20">
      <c r="A2073" s="37">
        <f t="shared" si="133"/>
        <v>2072</v>
      </c>
      <c r="B2073" s="84"/>
      <c r="D2073" s="59"/>
      <c r="E2073" s="59"/>
      <c r="R2073" s="84"/>
      <c r="T2073" s="59"/>
    </row>
    <row r="2074" spans="1:20">
      <c r="A2074" s="37">
        <f t="shared" si="133"/>
        <v>2073</v>
      </c>
      <c r="B2074" s="84"/>
      <c r="D2074" s="59"/>
      <c r="E2074" s="59"/>
      <c r="R2074" s="84"/>
      <c r="T2074" s="59"/>
    </row>
    <row r="2075" spans="1:20">
      <c r="A2075" s="37">
        <f t="shared" si="133"/>
        <v>2074</v>
      </c>
      <c r="B2075" s="84"/>
      <c r="D2075" s="59"/>
      <c r="E2075" s="59"/>
      <c r="R2075" s="84"/>
      <c r="T2075" s="59"/>
    </row>
    <row r="2076" spans="1:20">
      <c r="A2076" s="37">
        <f t="shared" si="133"/>
        <v>2075</v>
      </c>
      <c r="B2076" s="84"/>
      <c r="D2076" s="59"/>
      <c r="E2076" s="59"/>
      <c r="R2076" s="84"/>
      <c r="T2076" s="59"/>
    </row>
    <row r="2077" spans="1:20">
      <c r="A2077" s="37">
        <f t="shared" si="133"/>
        <v>2076</v>
      </c>
      <c r="B2077" s="84"/>
      <c r="D2077" s="59"/>
      <c r="E2077" s="59"/>
      <c r="R2077" s="84"/>
      <c r="T2077" s="59"/>
    </row>
    <row r="2078" spans="1:20">
      <c r="A2078" s="37">
        <f t="shared" ref="A2078:A2083" si="134">ROW()-1</f>
        <v>2077</v>
      </c>
      <c r="B2078" s="84"/>
      <c r="D2078" s="59"/>
      <c r="E2078" s="59"/>
      <c r="R2078" s="84"/>
      <c r="T2078" s="59"/>
    </row>
    <row r="2079" spans="1:20">
      <c r="A2079" s="37">
        <f t="shared" si="134"/>
        <v>2078</v>
      </c>
      <c r="B2079" s="84"/>
      <c r="D2079" s="59"/>
      <c r="E2079" s="59"/>
      <c r="R2079" s="84"/>
      <c r="T2079" s="59"/>
    </row>
    <row r="2080" spans="1:20">
      <c r="A2080" s="37">
        <f t="shared" si="134"/>
        <v>2079</v>
      </c>
      <c r="B2080" s="84"/>
      <c r="D2080" s="59"/>
      <c r="E2080" s="59"/>
      <c r="R2080" s="84"/>
      <c r="T2080" s="59"/>
    </row>
    <row r="2081" spans="1:20">
      <c r="A2081" s="37">
        <f t="shared" si="134"/>
        <v>2080</v>
      </c>
      <c r="B2081" s="84"/>
      <c r="D2081" s="59"/>
      <c r="E2081" s="59"/>
      <c r="R2081" s="84"/>
      <c r="T2081" s="59"/>
    </row>
    <row r="2082" spans="1:20">
      <c r="A2082" s="37">
        <f t="shared" si="134"/>
        <v>2081</v>
      </c>
      <c r="B2082" s="84"/>
      <c r="D2082" s="59"/>
      <c r="E2082" s="59"/>
      <c r="R2082" s="84"/>
      <c r="T2082" s="59"/>
    </row>
    <row r="2083" spans="1:20">
      <c r="A2083" s="37">
        <f t="shared" si="134"/>
        <v>2082</v>
      </c>
      <c r="B2083" s="84"/>
      <c r="D2083" s="59"/>
      <c r="E2083" s="59"/>
      <c r="R2083" s="84"/>
      <c r="T2083" s="59"/>
    </row>
    <row r="2084" spans="1:20">
      <c r="A2084" s="37">
        <f t="shared" ref="A2084:A2090" si="135">ROW()-1</f>
        <v>2083</v>
      </c>
      <c r="B2084" s="84"/>
      <c r="D2084" s="59"/>
      <c r="E2084" s="59"/>
      <c r="R2084" s="84"/>
      <c r="T2084" s="59"/>
    </row>
    <row r="2085" spans="1:20">
      <c r="A2085" s="37">
        <f t="shared" si="135"/>
        <v>2084</v>
      </c>
      <c r="B2085" s="84"/>
      <c r="D2085" s="59"/>
      <c r="E2085" s="59"/>
      <c r="R2085" s="84"/>
      <c r="T2085" s="59"/>
    </row>
    <row r="2086" spans="1:20">
      <c r="A2086" s="37">
        <f t="shared" si="135"/>
        <v>2085</v>
      </c>
      <c r="B2086" s="84"/>
      <c r="D2086" s="59"/>
      <c r="E2086" s="59"/>
      <c r="R2086" s="84"/>
      <c r="T2086" s="59"/>
    </row>
    <row r="2087" spans="1:20">
      <c r="A2087" s="37">
        <f t="shared" si="135"/>
        <v>2086</v>
      </c>
      <c r="B2087" s="84"/>
      <c r="D2087" s="59"/>
      <c r="E2087" s="59"/>
      <c r="R2087" s="84"/>
      <c r="T2087" s="59"/>
    </row>
    <row r="2088" spans="1:20">
      <c r="A2088" s="37">
        <f t="shared" si="135"/>
        <v>2087</v>
      </c>
      <c r="B2088" s="84"/>
      <c r="D2088" s="59"/>
      <c r="E2088" s="59"/>
      <c r="R2088" s="84"/>
      <c r="T2088" s="59"/>
    </row>
    <row r="2089" spans="1:20">
      <c r="A2089" s="37">
        <f t="shared" si="135"/>
        <v>2088</v>
      </c>
      <c r="B2089" s="84"/>
      <c r="D2089" s="59"/>
      <c r="E2089" s="59"/>
      <c r="R2089" s="84"/>
      <c r="T2089" s="59"/>
    </row>
    <row r="2090" spans="1:20">
      <c r="A2090" s="37">
        <f t="shared" si="135"/>
        <v>2089</v>
      </c>
      <c r="B2090" s="84"/>
      <c r="D2090" s="59"/>
      <c r="E2090" s="59"/>
      <c r="R2090" s="84"/>
      <c r="T2090" s="59"/>
    </row>
    <row r="2091" spans="1:20">
      <c r="A2091" s="37">
        <f t="shared" ref="A2091:A2101" si="136">ROW()-1</f>
        <v>2090</v>
      </c>
      <c r="B2091" s="84"/>
      <c r="D2091" s="59"/>
      <c r="E2091" s="59"/>
      <c r="R2091" s="84"/>
      <c r="T2091" s="59"/>
    </row>
    <row r="2092" spans="1:20">
      <c r="A2092" s="37">
        <f t="shared" si="136"/>
        <v>2091</v>
      </c>
      <c r="B2092" s="84"/>
      <c r="D2092" s="59"/>
      <c r="E2092" s="59"/>
      <c r="R2092" s="84"/>
      <c r="T2092" s="59"/>
    </row>
    <row r="2093" spans="1:20">
      <c r="A2093" s="37">
        <f t="shared" si="136"/>
        <v>2092</v>
      </c>
      <c r="B2093" s="84"/>
      <c r="D2093" s="59"/>
      <c r="E2093" s="59"/>
      <c r="R2093" s="84"/>
      <c r="T2093" s="59"/>
    </row>
    <row r="2094" spans="1:20">
      <c r="A2094" s="37">
        <f t="shared" si="136"/>
        <v>2093</v>
      </c>
      <c r="B2094" s="84"/>
      <c r="D2094" s="59"/>
      <c r="E2094" s="59"/>
      <c r="R2094" s="84"/>
      <c r="T2094" s="59"/>
    </row>
    <row r="2095" spans="1:20">
      <c r="A2095" s="37">
        <f t="shared" si="136"/>
        <v>2094</v>
      </c>
      <c r="B2095" s="84"/>
      <c r="D2095" s="59"/>
      <c r="E2095" s="59"/>
      <c r="R2095" s="84"/>
      <c r="T2095" s="59"/>
    </row>
    <row r="2096" spans="1:20">
      <c r="A2096" s="37">
        <f t="shared" si="136"/>
        <v>2095</v>
      </c>
      <c r="B2096" s="84"/>
      <c r="D2096" s="59"/>
      <c r="E2096" s="59"/>
      <c r="R2096" s="84"/>
      <c r="T2096" s="59"/>
    </row>
    <row r="2097" spans="1:20">
      <c r="A2097" s="37">
        <f t="shared" si="136"/>
        <v>2096</v>
      </c>
      <c r="B2097" s="84"/>
      <c r="D2097" s="59"/>
      <c r="E2097" s="59"/>
      <c r="R2097" s="84"/>
      <c r="T2097" s="59"/>
    </row>
    <row r="2098" spans="1:20">
      <c r="A2098" s="37">
        <f t="shared" si="136"/>
        <v>2097</v>
      </c>
      <c r="B2098" s="84"/>
      <c r="D2098" s="59"/>
      <c r="E2098" s="59"/>
      <c r="R2098" s="84"/>
      <c r="T2098" s="59"/>
    </row>
    <row r="2099" spans="1:20">
      <c r="A2099" s="37">
        <f t="shared" si="136"/>
        <v>2098</v>
      </c>
      <c r="B2099" s="84"/>
      <c r="D2099" s="59"/>
      <c r="E2099" s="59"/>
      <c r="R2099" s="84"/>
      <c r="T2099" s="59"/>
    </row>
    <row r="2100" spans="1:20">
      <c r="A2100" s="37">
        <f t="shared" si="136"/>
        <v>2099</v>
      </c>
      <c r="B2100" s="84"/>
      <c r="D2100" s="59"/>
      <c r="E2100" s="59"/>
      <c r="R2100" s="84"/>
      <c r="T2100" s="59"/>
    </row>
    <row r="2101" spans="1:20">
      <c r="A2101" s="37">
        <f t="shared" si="136"/>
        <v>2100</v>
      </c>
      <c r="B2101" s="84"/>
      <c r="D2101" s="59"/>
      <c r="E2101" s="59"/>
      <c r="R2101" s="84"/>
      <c r="T2101" s="59"/>
    </row>
    <row r="2102" spans="1:20">
      <c r="A2102" s="69">
        <f t="shared" ref="A2102:A2109" si="137">ROW()-1</f>
        <v>2101</v>
      </c>
      <c r="B2102" s="137"/>
      <c r="C2102" s="69"/>
      <c r="D2102" s="59"/>
      <c r="E2102" s="59"/>
      <c r="F2102" s="69"/>
      <c r="G2102" s="69"/>
      <c r="R2102" s="84"/>
      <c r="T2102" s="59"/>
    </row>
    <row r="2103" spans="1:20">
      <c r="A2103" s="69">
        <f t="shared" si="137"/>
        <v>2102</v>
      </c>
      <c r="B2103" s="137"/>
      <c r="C2103" s="69"/>
      <c r="D2103" s="59"/>
      <c r="E2103" s="59"/>
      <c r="F2103" s="69"/>
      <c r="G2103" s="69"/>
      <c r="R2103" s="84"/>
      <c r="T2103" s="59"/>
    </row>
    <row r="2104" spans="1:20">
      <c r="A2104" s="69">
        <f t="shared" si="137"/>
        <v>2103</v>
      </c>
      <c r="B2104" s="137"/>
      <c r="C2104" s="69"/>
      <c r="D2104" s="59"/>
      <c r="E2104" s="59"/>
      <c r="F2104" s="69"/>
      <c r="G2104" s="69"/>
      <c r="R2104" s="84"/>
      <c r="T2104" s="59"/>
    </row>
    <row r="2105" spans="1:20">
      <c r="A2105" s="69">
        <f t="shared" si="137"/>
        <v>2104</v>
      </c>
      <c r="B2105" s="137"/>
      <c r="C2105" s="69"/>
      <c r="D2105" s="59"/>
      <c r="E2105" s="59"/>
      <c r="F2105" s="69"/>
      <c r="G2105" s="69"/>
      <c r="R2105" s="84"/>
      <c r="T2105" s="59"/>
    </row>
    <row r="2106" spans="1:20">
      <c r="A2106" s="69">
        <f t="shared" si="137"/>
        <v>2105</v>
      </c>
      <c r="B2106" s="137"/>
      <c r="C2106" s="69"/>
      <c r="D2106" s="59"/>
      <c r="E2106" s="59"/>
      <c r="F2106" s="69"/>
      <c r="G2106" s="69"/>
      <c r="R2106" s="84"/>
      <c r="T2106" s="59"/>
    </row>
    <row r="2107" spans="1:20">
      <c r="A2107" s="69">
        <f t="shared" si="137"/>
        <v>2106</v>
      </c>
      <c r="B2107" s="137"/>
      <c r="C2107" s="69"/>
      <c r="D2107" s="59"/>
      <c r="E2107" s="59"/>
      <c r="F2107" s="69"/>
      <c r="G2107" s="69"/>
      <c r="R2107" s="84"/>
      <c r="T2107" s="59"/>
    </row>
    <row r="2108" spans="1:20">
      <c r="A2108" s="69">
        <f t="shared" si="137"/>
        <v>2107</v>
      </c>
      <c r="B2108" s="137"/>
      <c r="C2108" s="69"/>
      <c r="D2108" s="59"/>
      <c r="E2108" s="59"/>
      <c r="F2108" s="69"/>
      <c r="G2108" s="69"/>
      <c r="R2108" s="84"/>
      <c r="T2108" s="59"/>
    </row>
    <row r="2109" spans="1:20">
      <c r="A2109" s="69">
        <f t="shared" si="137"/>
        <v>2108</v>
      </c>
      <c r="B2109" s="137"/>
      <c r="C2109" s="69"/>
      <c r="D2109" s="59"/>
      <c r="E2109" s="59"/>
      <c r="F2109" s="69"/>
      <c r="G2109" s="69"/>
      <c r="R2109" s="84"/>
      <c r="T2109" s="59"/>
    </row>
    <row r="2110" spans="1:20">
      <c r="A2110" s="69">
        <f t="shared" ref="A2110:A2116" si="138">ROW()-1</f>
        <v>2109</v>
      </c>
      <c r="B2110" s="137"/>
      <c r="C2110" s="69"/>
      <c r="D2110" s="59"/>
      <c r="E2110" s="59"/>
      <c r="F2110" s="69"/>
      <c r="G2110" s="69"/>
      <c r="R2110" s="84"/>
      <c r="T2110" s="59"/>
    </row>
    <row r="2111" spans="1:20">
      <c r="A2111" s="69">
        <f t="shared" si="138"/>
        <v>2110</v>
      </c>
      <c r="B2111" s="137"/>
      <c r="C2111" s="69"/>
      <c r="D2111" s="59"/>
      <c r="E2111" s="59"/>
      <c r="F2111" s="69"/>
      <c r="G2111" s="69"/>
      <c r="R2111" s="84"/>
      <c r="T2111" s="59"/>
    </row>
    <row r="2112" spans="1:20">
      <c r="A2112" s="69">
        <f t="shared" si="138"/>
        <v>2111</v>
      </c>
      <c r="B2112" s="137"/>
      <c r="C2112" s="69"/>
      <c r="D2112" s="59"/>
      <c r="E2112" s="59"/>
      <c r="F2112" s="69"/>
      <c r="G2112" s="69"/>
      <c r="R2112" s="84"/>
      <c r="T2112" s="59"/>
    </row>
    <row r="2113" spans="1:20">
      <c r="A2113" s="69">
        <f t="shared" si="138"/>
        <v>2112</v>
      </c>
      <c r="B2113" s="137"/>
      <c r="C2113" s="69"/>
      <c r="D2113" s="59"/>
      <c r="E2113" s="59"/>
      <c r="F2113" s="69"/>
      <c r="G2113" s="69"/>
      <c r="R2113" s="84"/>
      <c r="T2113" s="59"/>
    </row>
    <row r="2114" spans="1:20">
      <c r="A2114" s="69">
        <f t="shared" si="138"/>
        <v>2113</v>
      </c>
      <c r="B2114" s="137"/>
      <c r="C2114" s="69"/>
      <c r="D2114" s="59"/>
      <c r="E2114" s="59"/>
      <c r="F2114" s="69"/>
      <c r="G2114" s="69"/>
      <c r="R2114" s="84"/>
      <c r="T2114" s="59"/>
    </row>
    <row r="2115" spans="1:20">
      <c r="A2115" s="69">
        <f t="shared" si="138"/>
        <v>2114</v>
      </c>
      <c r="B2115" s="137"/>
      <c r="C2115" s="69"/>
      <c r="D2115" s="59"/>
      <c r="E2115" s="59"/>
      <c r="F2115" s="69"/>
      <c r="G2115" s="69"/>
      <c r="R2115" s="84"/>
      <c r="T2115" s="59"/>
    </row>
    <row r="2116" spans="1:20">
      <c r="A2116" s="69">
        <f t="shared" si="138"/>
        <v>2115</v>
      </c>
      <c r="B2116" s="137"/>
      <c r="C2116" s="69"/>
      <c r="D2116" s="59"/>
      <c r="E2116" s="59"/>
      <c r="F2116" s="69"/>
      <c r="G2116" s="69"/>
      <c r="R2116" s="84"/>
      <c r="T2116" s="59"/>
    </row>
    <row r="2117" spans="1:20">
      <c r="A2117" s="69">
        <f t="shared" ref="A2117:A2124" si="139">ROW()-1</f>
        <v>2116</v>
      </c>
      <c r="B2117" s="137"/>
      <c r="C2117" s="69"/>
      <c r="D2117" s="59"/>
      <c r="E2117" s="59"/>
      <c r="F2117" s="69"/>
      <c r="G2117" s="69"/>
      <c r="R2117" s="84"/>
      <c r="T2117" s="59"/>
    </row>
    <row r="2118" spans="1:20">
      <c r="A2118" s="69">
        <f t="shared" si="139"/>
        <v>2117</v>
      </c>
      <c r="B2118" s="137"/>
      <c r="C2118" s="69"/>
      <c r="D2118" s="59"/>
      <c r="E2118" s="59"/>
      <c r="F2118" s="69"/>
      <c r="G2118" s="69"/>
      <c r="R2118" s="84"/>
      <c r="T2118" s="59"/>
    </row>
    <row r="2119" spans="1:20">
      <c r="A2119" s="69">
        <f t="shared" si="139"/>
        <v>2118</v>
      </c>
      <c r="B2119" s="137"/>
      <c r="C2119" s="69"/>
      <c r="D2119" s="59"/>
      <c r="E2119" s="59"/>
      <c r="F2119" s="69"/>
      <c r="G2119" s="69"/>
      <c r="R2119" s="84"/>
      <c r="T2119" s="59"/>
    </row>
    <row r="2120" spans="1:20">
      <c r="A2120" s="69">
        <f t="shared" si="139"/>
        <v>2119</v>
      </c>
      <c r="B2120" s="137"/>
      <c r="C2120" s="69"/>
      <c r="D2120" s="71"/>
      <c r="E2120" s="71"/>
      <c r="F2120" s="69"/>
      <c r="G2120" s="69"/>
      <c r="R2120" s="84"/>
      <c r="T2120" s="59"/>
    </row>
    <row r="2121" spans="1:20">
      <c r="A2121" s="69">
        <f t="shared" si="139"/>
        <v>2120</v>
      </c>
      <c r="B2121" s="137"/>
      <c r="C2121" s="69"/>
      <c r="D2121" s="59"/>
      <c r="E2121" s="59"/>
      <c r="F2121" s="69"/>
      <c r="G2121" s="69"/>
      <c r="R2121" s="84"/>
      <c r="T2121" s="59"/>
    </row>
    <row r="2122" spans="1:20">
      <c r="A2122" s="69">
        <f t="shared" si="139"/>
        <v>2121</v>
      </c>
      <c r="B2122" s="137"/>
      <c r="C2122" s="69"/>
      <c r="D2122" s="59"/>
      <c r="E2122" s="59"/>
      <c r="F2122" s="69"/>
      <c r="G2122" s="69"/>
      <c r="R2122" s="84"/>
      <c r="T2122" s="59"/>
    </row>
    <row r="2123" spans="1:20">
      <c r="A2123" s="69">
        <f t="shared" si="139"/>
        <v>2122</v>
      </c>
      <c r="B2123" s="137"/>
      <c r="C2123" s="69"/>
      <c r="D2123" s="59"/>
      <c r="E2123" s="59"/>
      <c r="F2123" s="69"/>
      <c r="G2123" s="69"/>
      <c r="R2123" s="84"/>
      <c r="T2123" s="59"/>
    </row>
    <row r="2124" spans="1:20">
      <c r="A2124" s="69">
        <f t="shared" si="139"/>
        <v>2123</v>
      </c>
      <c r="B2124" s="137"/>
      <c r="C2124" s="69"/>
      <c r="D2124" s="59"/>
      <c r="E2124" s="59"/>
      <c r="F2124" s="69"/>
      <c r="G2124" s="69"/>
      <c r="R2124" s="84"/>
      <c r="T2124" s="59"/>
    </row>
    <row r="2125" spans="1:20">
      <c r="A2125" s="69">
        <f t="shared" ref="A2125:A2133" si="140">ROW()-1</f>
        <v>2124</v>
      </c>
      <c r="B2125" s="137"/>
      <c r="C2125" s="69"/>
      <c r="D2125" s="59"/>
      <c r="E2125" s="59"/>
      <c r="F2125" s="69"/>
      <c r="G2125" s="69"/>
      <c r="R2125" s="84"/>
      <c r="T2125" s="59"/>
    </row>
    <row r="2126" spans="1:20">
      <c r="A2126" s="69">
        <f t="shared" si="140"/>
        <v>2125</v>
      </c>
      <c r="B2126" s="137"/>
      <c r="C2126" s="69"/>
      <c r="D2126" s="59"/>
      <c r="E2126" s="59"/>
      <c r="F2126" s="69"/>
      <c r="G2126" s="69"/>
      <c r="R2126" s="84"/>
      <c r="T2126" s="59"/>
    </row>
    <row r="2127" spans="1:20">
      <c r="A2127" s="69">
        <f t="shared" si="140"/>
        <v>2126</v>
      </c>
      <c r="B2127" s="137"/>
      <c r="C2127" s="69"/>
      <c r="D2127" s="59"/>
      <c r="E2127" s="59"/>
      <c r="F2127" s="69"/>
      <c r="G2127" s="69"/>
      <c r="R2127" s="84"/>
      <c r="T2127" s="59"/>
    </row>
    <row r="2128" spans="1:20">
      <c r="A2128" s="69">
        <f t="shared" si="140"/>
        <v>2127</v>
      </c>
      <c r="B2128" s="137"/>
      <c r="C2128" s="69"/>
      <c r="D2128" s="59"/>
      <c r="E2128" s="59"/>
      <c r="F2128" s="69"/>
      <c r="G2128" s="69"/>
      <c r="R2128" s="84"/>
      <c r="T2128" s="59"/>
    </row>
    <row r="2129" spans="1:20">
      <c r="A2129" s="69">
        <f t="shared" si="140"/>
        <v>2128</v>
      </c>
      <c r="B2129" s="137"/>
      <c r="C2129" s="69"/>
      <c r="D2129" s="59"/>
      <c r="E2129" s="59"/>
      <c r="F2129" s="69"/>
      <c r="G2129" s="69"/>
      <c r="R2129" s="84"/>
      <c r="T2129" s="59"/>
    </row>
    <row r="2130" spans="1:20">
      <c r="A2130" s="69">
        <f t="shared" si="140"/>
        <v>2129</v>
      </c>
      <c r="B2130" s="137"/>
      <c r="C2130" s="69"/>
      <c r="D2130" s="59"/>
      <c r="E2130" s="59"/>
      <c r="F2130" s="69"/>
      <c r="G2130" s="69"/>
      <c r="R2130" s="84"/>
      <c r="T2130" s="59"/>
    </row>
    <row r="2131" spans="1:20">
      <c r="A2131" s="69">
        <f t="shared" si="140"/>
        <v>2130</v>
      </c>
      <c r="B2131" s="137"/>
      <c r="C2131" s="69"/>
      <c r="D2131" s="59"/>
      <c r="E2131" s="59"/>
      <c r="F2131" s="69"/>
      <c r="G2131" s="69"/>
      <c r="R2131" s="84"/>
      <c r="T2131" s="59"/>
    </row>
    <row r="2132" spans="1:20">
      <c r="A2132" s="69">
        <f t="shared" si="140"/>
        <v>2131</v>
      </c>
      <c r="B2132" s="137"/>
      <c r="C2132" s="69"/>
      <c r="D2132" s="59"/>
      <c r="E2132" s="59"/>
      <c r="F2132" s="69"/>
      <c r="G2132" s="69"/>
      <c r="R2132" s="84"/>
      <c r="T2132" s="59"/>
    </row>
    <row r="2133" spans="1:20">
      <c r="A2133" s="69">
        <f t="shared" si="140"/>
        <v>2132</v>
      </c>
      <c r="B2133" s="137"/>
      <c r="C2133" s="69"/>
      <c r="D2133" s="59"/>
      <c r="E2133" s="59"/>
      <c r="F2133" s="69"/>
      <c r="G2133" s="69"/>
      <c r="R2133" s="84"/>
      <c r="T2133" s="59"/>
    </row>
    <row r="2134" spans="1:20">
      <c r="A2134" s="37">
        <f t="shared" ref="A2134:A2146" si="141">ROW()-1</f>
        <v>2133</v>
      </c>
      <c r="B2134" s="84"/>
      <c r="D2134" s="59"/>
      <c r="E2134" s="59"/>
      <c r="R2134" s="84"/>
      <c r="T2134" s="59"/>
    </row>
    <row r="2135" spans="1:20">
      <c r="A2135" s="37">
        <f t="shared" si="141"/>
        <v>2134</v>
      </c>
      <c r="B2135" s="84"/>
      <c r="D2135" s="59"/>
      <c r="E2135" s="59"/>
      <c r="R2135" s="84"/>
      <c r="T2135" s="59"/>
    </row>
    <row r="2136" spans="1:20">
      <c r="A2136" s="37">
        <f t="shared" si="141"/>
        <v>2135</v>
      </c>
      <c r="B2136" s="84"/>
      <c r="D2136" s="59"/>
      <c r="E2136" s="59"/>
      <c r="R2136" s="84"/>
      <c r="T2136" s="59"/>
    </row>
    <row r="2137" spans="1:20">
      <c r="A2137" s="37">
        <f t="shared" si="141"/>
        <v>2136</v>
      </c>
      <c r="B2137" s="84"/>
      <c r="D2137" s="59"/>
      <c r="E2137" s="59"/>
      <c r="R2137" s="84"/>
      <c r="T2137" s="59"/>
    </row>
    <row r="2138" spans="1:20">
      <c r="A2138" s="37">
        <f t="shared" si="141"/>
        <v>2137</v>
      </c>
      <c r="B2138" s="84"/>
      <c r="D2138" s="59"/>
      <c r="E2138" s="59"/>
      <c r="R2138" s="84"/>
      <c r="T2138" s="59"/>
    </row>
    <row r="2139" spans="1:20">
      <c r="A2139" s="37">
        <f t="shared" si="141"/>
        <v>2138</v>
      </c>
      <c r="B2139" s="84"/>
      <c r="D2139" s="59"/>
      <c r="E2139" s="59"/>
      <c r="R2139" s="84"/>
      <c r="T2139" s="59"/>
    </row>
    <row r="2140" spans="1:20">
      <c r="A2140" s="37">
        <f t="shared" si="141"/>
        <v>2139</v>
      </c>
      <c r="B2140" s="84"/>
      <c r="D2140" s="59"/>
      <c r="E2140" s="59"/>
      <c r="R2140" s="84"/>
      <c r="T2140" s="59"/>
    </row>
    <row r="2141" spans="1:20">
      <c r="A2141" s="37">
        <f t="shared" si="141"/>
        <v>2140</v>
      </c>
      <c r="B2141" s="84"/>
      <c r="D2141" s="59"/>
      <c r="E2141" s="59"/>
      <c r="R2141" s="84"/>
      <c r="T2141" s="59"/>
    </row>
    <row r="2142" spans="1:20">
      <c r="A2142" s="37">
        <f t="shared" si="141"/>
        <v>2141</v>
      </c>
      <c r="B2142" s="84"/>
      <c r="D2142" s="59"/>
      <c r="E2142" s="59"/>
      <c r="R2142" s="84"/>
      <c r="T2142" s="59"/>
    </row>
    <row r="2143" spans="1:20">
      <c r="A2143" s="37">
        <f t="shared" si="141"/>
        <v>2142</v>
      </c>
      <c r="B2143" s="84"/>
      <c r="D2143" s="59"/>
      <c r="E2143" s="59"/>
      <c r="R2143" s="84"/>
      <c r="T2143" s="59"/>
    </row>
    <row r="2144" spans="1:20">
      <c r="A2144" s="37">
        <f t="shared" si="141"/>
        <v>2143</v>
      </c>
      <c r="B2144" s="84"/>
      <c r="D2144" s="59"/>
      <c r="E2144" s="59"/>
      <c r="R2144" s="84"/>
      <c r="T2144" s="59"/>
    </row>
    <row r="2145" spans="1:20">
      <c r="A2145" s="37">
        <f t="shared" si="141"/>
        <v>2144</v>
      </c>
      <c r="B2145" s="84"/>
      <c r="D2145" s="59"/>
      <c r="E2145" s="59"/>
      <c r="R2145" s="84"/>
      <c r="T2145" s="59"/>
    </row>
    <row r="2146" spans="1:20">
      <c r="A2146" s="37">
        <f t="shared" si="141"/>
        <v>2145</v>
      </c>
      <c r="B2146" s="84"/>
      <c r="D2146" s="59"/>
      <c r="E2146" s="59"/>
      <c r="R2146" s="84"/>
      <c r="T2146" s="59"/>
    </row>
    <row r="2147" spans="1:20">
      <c r="A2147" s="37">
        <f t="shared" ref="A2147:A2173" si="142">ROW()-1</f>
        <v>2146</v>
      </c>
      <c r="B2147" s="84"/>
      <c r="D2147" s="59"/>
      <c r="E2147" s="59"/>
      <c r="R2147" s="84"/>
      <c r="T2147" s="59"/>
    </row>
    <row r="2148" spans="1:20">
      <c r="A2148" s="37">
        <f t="shared" si="142"/>
        <v>2147</v>
      </c>
      <c r="B2148" s="84"/>
      <c r="D2148" s="59"/>
      <c r="E2148" s="59"/>
      <c r="R2148" s="84"/>
      <c r="T2148" s="59"/>
    </row>
    <row r="2149" spans="1:20">
      <c r="A2149" s="37">
        <f t="shared" si="142"/>
        <v>2148</v>
      </c>
      <c r="B2149" s="84"/>
      <c r="D2149" s="59"/>
      <c r="E2149" s="59"/>
      <c r="R2149" s="84"/>
      <c r="T2149" s="59"/>
    </row>
    <row r="2150" spans="1:20">
      <c r="A2150" s="37">
        <f t="shared" si="142"/>
        <v>2149</v>
      </c>
      <c r="B2150" s="84"/>
      <c r="D2150" s="59"/>
      <c r="E2150" s="59"/>
      <c r="R2150" s="84"/>
      <c r="T2150" s="59"/>
    </row>
    <row r="2151" spans="1:20">
      <c r="A2151" s="37">
        <f t="shared" si="142"/>
        <v>2150</v>
      </c>
      <c r="B2151" s="84"/>
      <c r="D2151" s="59"/>
      <c r="E2151" s="59"/>
      <c r="R2151" s="84"/>
      <c r="T2151" s="59"/>
    </row>
    <row r="2152" spans="1:20">
      <c r="A2152" s="37">
        <f t="shared" si="142"/>
        <v>2151</v>
      </c>
      <c r="B2152" s="84"/>
      <c r="D2152" s="59"/>
      <c r="E2152" s="59"/>
      <c r="R2152" s="84"/>
      <c r="T2152" s="59"/>
    </row>
    <row r="2153" spans="1:20">
      <c r="A2153" s="37">
        <f t="shared" si="142"/>
        <v>2152</v>
      </c>
      <c r="B2153" s="84"/>
      <c r="D2153" s="59"/>
      <c r="E2153" s="59"/>
      <c r="R2153" s="84"/>
      <c r="T2153" s="59"/>
    </row>
    <row r="2154" spans="1:20">
      <c r="A2154" s="37">
        <f t="shared" si="142"/>
        <v>2153</v>
      </c>
      <c r="B2154" s="84"/>
      <c r="D2154" s="59"/>
      <c r="E2154" s="59"/>
      <c r="R2154" s="84"/>
      <c r="T2154" s="59"/>
    </row>
    <row r="2155" spans="1:20">
      <c r="A2155" s="37">
        <f t="shared" si="142"/>
        <v>2154</v>
      </c>
      <c r="B2155" s="84"/>
      <c r="D2155" s="59"/>
      <c r="E2155" s="59"/>
      <c r="R2155" s="84"/>
      <c r="T2155" s="59"/>
    </row>
    <row r="2156" spans="1:20">
      <c r="A2156" s="37">
        <f t="shared" si="142"/>
        <v>2155</v>
      </c>
      <c r="B2156" s="84"/>
      <c r="D2156" s="59"/>
      <c r="E2156" s="59"/>
      <c r="R2156" s="84"/>
      <c r="T2156" s="59"/>
    </row>
    <row r="2157" spans="1:20">
      <c r="A2157" s="37">
        <f t="shared" si="142"/>
        <v>2156</v>
      </c>
      <c r="B2157" s="84"/>
      <c r="D2157" s="59"/>
      <c r="E2157" s="59"/>
      <c r="R2157" s="84"/>
      <c r="T2157" s="59"/>
    </row>
    <row r="2158" spans="1:20">
      <c r="A2158" s="37">
        <f t="shared" si="142"/>
        <v>2157</v>
      </c>
      <c r="B2158" s="84"/>
      <c r="D2158" s="59"/>
      <c r="E2158" s="59"/>
      <c r="R2158" s="84"/>
      <c r="T2158" s="59"/>
    </row>
    <row r="2159" spans="1:20">
      <c r="A2159" s="37">
        <f t="shared" si="142"/>
        <v>2158</v>
      </c>
      <c r="B2159" s="84"/>
      <c r="D2159" s="59"/>
      <c r="E2159" s="59"/>
      <c r="R2159" s="84"/>
      <c r="T2159" s="59"/>
    </row>
    <row r="2160" spans="1:20">
      <c r="A2160" s="37">
        <f t="shared" si="142"/>
        <v>2159</v>
      </c>
      <c r="B2160" s="84"/>
      <c r="D2160" s="59"/>
      <c r="E2160" s="59"/>
      <c r="R2160" s="84"/>
      <c r="T2160" s="59"/>
    </row>
    <row r="2161" spans="1:20">
      <c r="A2161" s="37">
        <f t="shared" si="142"/>
        <v>2160</v>
      </c>
      <c r="B2161" s="84"/>
      <c r="D2161" s="59"/>
      <c r="E2161" s="59"/>
      <c r="R2161" s="84"/>
      <c r="T2161" s="59"/>
    </row>
    <row r="2162" spans="1:20">
      <c r="A2162" s="37">
        <f t="shared" si="142"/>
        <v>2161</v>
      </c>
      <c r="B2162" s="84"/>
      <c r="D2162" s="59"/>
      <c r="E2162" s="59"/>
      <c r="R2162" s="84"/>
      <c r="T2162" s="59"/>
    </row>
    <row r="2163" spans="1:20">
      <c r="A2163" s="37">
        <f t="shared" si="142"/>
        <v>2162</v>
      </c>
      <c r="B2163" s="84"/>
      <c r="D2163" s="59"/>
      <c r="E2163" s="59"/>
      <c r="R2163" s="84"/>
      <c r="T2163" s="59"/>
    </row>
    <row r="2164" spans="1:20">
      <c r="A2164" s="37">
        <f t="shared" si="142"/>
        <v>2163</v>
      </c>
      <c r="B2164" s="84"/>
      <c r="D2164" s="59"/>
      <c r="E2164" s="59"/>
      <c r="R2164" s="84"/>
      <c r="T2164" s="59"/>
    </row>
    <row r="2165" spans="1:20">
      <c r="A2165" s="37">
        <f t="shared" si="142"/>
        <v>2164</v>
      </c>
      <c r="B2165" s="84"/>
      <c r="D2165" s="59"/>
      <c r="E2165" s="59"/>
      <c r="R2165" s="84"/>
      <c r="T2165" s="59"/>
    </row>
    <row r="2166" spans="1:20">
      <c r="A2166" s="37">
        <f t="shared" si="142"/>
        <v>2165</v>
      </c>
      <c r="B2166" s="84"/>
      <c r="D2166" s="59"/>
      <c r="E2166" s="59"/>
      <c r="R2166" s="84"/>
      <c r="T2166" s="59"/>
    </row>
    <row r="2167" spans="1:20">
      <c r="A2167" s="37">
        <f t="shared" si="142"/>
        <v>2166</v>
      </c>
      <c r="B2167" s="84"/>
      <c r="D2167" s="59"/>
      <c r="E2167" s="59"/>
      <c r="R2167" s="84"/>
      <c r="T2167" s="59"/>
    </row>
    <row r="2168" spans="1:20">
      <c r="A2168" s="37">
        <f t="shared" si="142"/>
        <v>2167</v>
      </c>
      <c r="B2168" s="84"/>
      <c r="D2168" s="59"/>
      <c r="E2168" s="59"/>
      <c r="R2168" s="84"/>
      <c r="T2168" s="59"/>
    </row>
    <row r="2169" spans="1:20">
      <c r="A2169" s="37">
        <f t="shared" si="142"/>
        <v>2168</v>
      </c>
      <c r="B2169" s="84"/>
      <c r="D2169" s="59"/>
      <c r="E2169" s="59"/>
      <c r="R2169" s="84"/>
      <c r="T2169" s="59"/>
    </row>
    <row r="2170" spans="1:20">
      <c r="A2170" s="37">
        <f t="shared" si="142"/>
        <v>2169</v>
      </c>
      <c r="B2170" s="84"/>
      <c r="D2170" s="59"/>
      <c r="E2170" s="59"/>
      <c r="R2170" s="84"/>
      <c r="T2170" s="59"/>
    </row>
    <row r="2171" spans="1:20">
      <c r="A2171" s="37">
        <f t="shared" si="142"/>
        <v>2170</v>
      </c>
      <c r="B2171" s="84"/>
      <c r="D2171" s="59"/>
      <c r="E2171" s="59"/>
      <c r="R2171" s="84"/>
      <c r="T2171" s="59"/>
    </row>
    <row r="2172" spans="1:20">
      <c r="A2172" s="37">
        <f t="shared" si="142"/>
        <v>2171</v>
      </c>
      <c r="B2172" s="84"/>
      <c r="D2172" s="59"/>
      <c r="E2172" s="59"/>
      <c r="R2172" s="84"/>
      <c r="T2172" s="59"/>
    </row>
    <row r="2173" spans="1:20">
      <c r="A2173" s="37">
        <f t="shared" si="142"/>
        <v>2172</v>
      </c>
      <c r="B2173" s="84"/>
      <c r="D2173" s="59"/>
      <c r="E2173" s="59"/>
      <c r="R2173" s="84"/>
      <c r="T2173" s="59"/>
    </row>
    <row r="2174" spans="1:20">
      <c r="A2174" s="69">
        <f t="shared" ref="A2174:A2237" si="143">ROW()-1</f>
        <v>2173</v>
      </c>
      <c r="B2174" s="137"/>
      <c r="C2174" s="69"/>
      <c r="D2174" s="71"/>
      <c r="E2174" s="71"/>
      <c r="F2174" s="69"/>
      <c r="G2174" s="69"/>
      <c r="R2174" s="84"/>
      <c r="T2174" s="59"/>
    </row>
    <row r="2175" spans="1:20">
      <c r="A2175" s="69">
        <f t="shared" si="143"/>
        <v>2174</v>
      </c>
      <c r="B2175" s="137"/>
      <c r="C2175" s="69"/>
      <c r="D2175" s="71"/>
      <c r="E2175" s="71"/>
      <c r="F2175" s="69"/>
      <c r="G2175" s="69"/>
      <c r="R2175" s="84"/>
      <c r="T2175" s="59"/>
    </row>
    <row r="2176" spans="1:20">
      <c r="A2176" s="69">
        <f t="shared" si="143"/>
        <v>2175</v>
      </c>
      <c r="B2176" s="137"/>
      <c r="C2176" s="69"/>
      <c r="D2176" s="71"/>
      <c r="E2176" s="71"/>
      <c r="F2176" s="69"/>
      <c r="G2176" s="69"/>
      <c r="R2176" s="84"/>
      <c r="T2176" s="59"/>
    </row>
    <row r="2177" spans="1:20">
      <c r="A2177" s="69">
        <f t="shared" si="143"/>
        <v>2176</v>
      </c>
      <c r="B2177" s="137"/>
      <c r="C2177" s="69"/>
      <c r="D2177" s="71"/>
      <c r="E2177" s="71"/>
      <c r="F2177" s="69"/>
      <c r="G2177" s="69"/>
      <c r="R2177" s="84"/>
      <c r="T2177" s="59"/>
    </row>
    <row r="2178" spans="1:20">
      <c r="A2178" s="69">
        <f t="shared" si="143"/>
        <v>2177</v>
      </c>
      <c r="B2178" s="137"/>
      <c r="C2178" s="69"/>
      <c r="D2178" s="71"/>
      <c r="E2178" s="71"/>
      <c r="F2178" s="69"/>
      <c r="G2178" s="69"/>
      <c r="R2178" s="84"/>
      <c r="T2178" s="59"/>
    </row>
    <row r="2179" spans="1:20">
      <c r="A2179" s="69">
        <f t="shared" si="143"/>
        <v>2178</v>
      </c>
      <c r="B2179" s="137"/>
      <c r="C2179" s="69"/>
      <c r="D2179" s="71"/>
      <c r="E2179" s="71"/>
      <c r="F2179" s="69"/>
      <c r="G2179" s="69"/>
      <c r="R2179" s="84"/>
      <c r="T2179" s="59"/>
    </row>
    <row r="2180" spans="1:20">
      <c r="A2180" s="69">
        <f t="shared" si="143"/>
        <v>2179</v>
      </c>
      <c r="B2180" s="137"/>
      <c r="C2180" s="69"/>
      <c r="D2180" s="71"/>
      <c r="E2180" s="71"/>
      <c r="F2180" s="69"/>
      <c r="G2180" s="69"/>
      <c r="R2180" s="84"/>
      <c r="T2180" s="59"/>
    </row>
    <row r="2181" spans="1:20">
      <c r="A2181" s="69">
        <f t="shared" si="143"/>
        <v>2180</v>
      </c>
      <c r="B2181" s="137"/>
      <c r="C2181" s="69"/>
      <c r="D2181" s="71"/>
      <c r="E2181" s="71"/>
      <c r="F2181" s="69"/>
      <c r="G2181" s="69"/>
      <c r="R2181" s="84"/>
      <c r="T2181" s="59"/>
    </row>
    <row r="2182" spans="1:20">
      <c r="A2182" s="69">
        <f t="shared" si="143"/>
        <v>2181</v>
      </c>
      <c r="B2182" s="137"/>
      <c r="C2182" s="69"/>
      <c r="D2182" s="71"/>
      <c r="E2182" s="71"/>
      <c r="F2182" s="69"/>
      <c r="G2182" s="69"/>
      <c r="R2182" s="84"/>
      <c r="T2182" s="59"/>
    </row>
    <row r="2183" spans="1:20">
      <c r="A2183" s="69">
        <f t="shared" si="143"/>
        <v>2182</v>
      </c>
      <c r="B2183" s="137"/>
      <c r="C2183" s="69"/>
      <c r="D2183" s="71"/>
      <c r="E2183" s="71"/>
      <c r="F2183" s="69"/>
      <c r="G2183" s="69"/>
      <c r="R2183" s="84"/>
      <c r="T2183" s="59"/>
    </row>
    <row r="2184" spans="1:20">
      <c r="A2184" s="69">
        <f t="shared" si="143"/>
        <v>2183</v>
      </c>
      <c r="B2184" s="137"/>
      <c r="C2184" s="69"/>
      <c r="D2184" s="71"/>
      <c r="E2184" s="71"/>
      <c r="F2184" s="69"/>
      <c r="G2184" s="69"/>
      <c r="R2184" s="84"/>
      <c r="T2184" s="59"/>
    </row>
    <row r="2185" spans="1:20">
      <c r="A2185" s="69">
        <f t="shared" si="143"/>
        <v>2184</v>
      </c>
      <c r="B2185" s="137"/>
      <c r="C2185" s="69"/>
      <c r="D2185" s="71"/>
      <c r="E2185" s="71"/>
      <c r="F2185" s="69"/>
      <c r="G2185" s="69"/>
      <c r="R2185" s="84"/>
      <c r="T2185" s="59"/>
    </row>
    <row r="2186" spans="1:20">
      <c r="A2186" s="69">
        <f t="shared" si="143"/>
        <v>2185</v>
      </c>
      <c r="B2186" s="137"/>
      <c r="C2186" s="69"/>
      <c r="D2186" s="71"/>
      <c r="E2186" s="71"/>
      <c r="F2186" s="69"/>
      <c r="G2186" s="69"/>
      <c r="R2186" s="84"/>
      <c r="T2186" s="59"/>
    </row>
    <row r="2187" spans="1:20">
      <c r="A2187" s="69">
        <f t="shared" si="143"/>
        <v>2186</v>
      </c>
      <c r="B2187" s="137"/>
      <c r="C2187" s="69"/>
      <c r="D2187" s="71"/>
      <c r="E2187" s="71"/>
      <c r="F2187" s="69"/>
      <c r="G2187" s="69"/>
      <c r="R2187" s="84"/>
      <c r="T2187" s="59"/>
    </row>
    <row r="2188" spans="1:20">
      <c r="A2188" s="69">
        <f t="shared" si="143"/>
        <v>2187</v>
      </c>
      <c r="B2188" s="137"/>
      <c r="C2188" s="69"/>
      <c r="D2188" s="71"/>
      <c r="E2188" s="71"/>
      <c r="F2188" s="69"/>
      <c r="G2188" s="69"/>
      <c r="R2188" s="84"/>
      <c r="T2188" s="59"/>
    </row>
    <row r="2189" spans="1:20">
      <c r="A2189" s="69">
        <f t="shared" si="143"/>
        <v>2188</v>
      </c>
      <c r="B2189" s="137"/>
      <c r="C2189" s="69"/>
      <c r="D2189" s="71"/>
      <c r="E2189" s="71"/>
      <c r="F2189" s="69"/>
      <c r="G2189" s="69"/>
      <c r="R2189" s="84"/>
      <c r="T2189" s="59"/>
    </row>
    <row r="2190" spans="1:20">
      <c r="A2190" s="69">
        <f t="shared" si="143"/>
        <v>2189</v>
      </c>
      <c r="B2190" s="137"/>
      <c r="C2190" s="69"/>
      <c r="D2190" s="71"/>
      <c r="E2190" s="71"/>
      <c r="F2190" s="69"/>
      <c r="G2190" s="69"/>
      <c r="R2190" s="84"/>
      <c r="T2190" s="59"/>
    </row>
    <row r="2191" spans="1:20">
      <c r="A2191" s="69">
        <f t="shared" si="143"/>
        <v>2190</v>
      </c>
      <c r="B2191" s="137"/>
      <c r="C2191" s="69"/>
      <c r="D2191" s="71"/>
      <c r="E2191" s="71"/>
      <c r="F2191" s="69"/>
      <c r="G2191" s="69"/>
      <c r="R2191" s="84"/>
      <c r="T2191" s="59"/>
    </row>
    <row r="2192" spans="1:20">
      <c r="A2192" s="69">
        <f t="shared" si="143"/>
        <v>2191</v>
      </c>
      <c r="B2192" s="137"/>
      <c r="C2192" s="69"/>
      <c r="D2192" s="71"/>
      <c r="E2192" s="71"/>
      <c r="F2192" s="69"/>
      <c r="G2192" s="69"/>
      <c r="R2192" s="84"/>
      <c r="T2192" s="59"/>
    </row>
    <row r="2193" spans="1:20">
      <c r="A2193" s="69">
        <f t="shared" si="143"/>
        <v>2192</v>
      </c>
      <c r="B2193" s="137"/>
      <c r="C2193" s="69"/>
      <c r="D2193" s="71"/>
      <c r="E2193" s="71"/>
      <c r="F2193" s="69"/>
      <c r="G2193" s="69"/>
      <c r="R2193" s="84"/>
      <c r="T2193" s="59"/>
    </row>
    <row r="2194" spans="1:20">
      <c r="A2194" s="69">
        <f t="shared" si="143"/>
        <v>2193</v>
      </c>
      <c r="B2194" s="137"/>
      <c r="C2194" s="69"/>
      <c r="D2194" s="71"/>
      <c r="E2194" s="71"/>
      <c r="F2194" s="69"/>
      <c r="G2194" s="69"/>
      <c r="R2194" s="84"/>
      <c r="T2194" s="59"/>
    </row>
    <row r="2195" spans="1:20">
      <c r="A2195" s="69">
        <f t="shared" si="143"/>
        <v>2194</v>
      </c>
      <c r="B2195" s="137"/>
      <c r="C2195" s="69"/>
      <c r="D2195" s="71"/>
      <c r="E2195" s="71"/>
      <c r="F2195" s="69"/>
      <c r="G2195" s="69"/>
      <c r="R2195" s="84"/>
      <c r="T2195" s="59"/>
    </row>
    <row r="2196" spans="1:20">
      <c r="A2196" s="69">
        <f t="shared" si="143"/>
        <v>2195</v>
      </c>
      <c r="B2196" s="137"/>
      <c r="C2196" s="69"/>
      <c r="D2196" s="71"/>
      <c r="E2196" s="71"/>
      <c r="F2196" s="69"/>
      <c r="G2196" s="69"/>
      <c r="R2196" s="84"/>
      <c r="T2196" s="59"/>
    </row>
    <row r="2197" spans="1:20">
      <c r="A2197" s="69">
        <f t="shared" si="143"/>
        <v>2196</v>
      </c>
      <c r="B2197" s="137"/>
      <c r="C2197" s="69"/>
      <c r="D2197" s="71"/>
      <c r="E2197" s="71"/>
      <c r="F2197" s="69"/>
      <c r="G2197" s="69"/>
      <c r="R2197" s="84"/>
      <c r="T2197" s="59"/>
    </row>
    <row r="2198" spans="1:20">
      <c r="A2198" s="69">
        <f t="shared" si="143"/>
        <v>2197</v>
      </c>
      <c r="B2198" s="137"/>
      <c r="C2198" s="69"/>
      <c r="D2198" s="71"/>
      <c r="E2198" s="71"/>
      <c r="F2198" s="69"/>
      <c r="G2198" s="69"/>
      <c r="R2198" s="84"/>
      <c r="T2198" s="59"/>
    </row>
    <row r="2199" spans="1:20">
      <c r="A2199" s="69">
        <f t="shared" si="143"/>
        <v>2198</v>
      </c>
      <c r="B2199" s="137"/>
      <c r="C2199" s="69"/>
      <c r="D2199" s="71"/>
      <c r="E2199" s="71"/>
      <c r="F2199" s="69"/>
      <c r="G2199" s="69"/>
      <c r="R2199" s="84"/>
      <c r="T2199" s="59"/>
    </row>
    <row r="2200" spans="1:20">
      <c r="A2200" s="69">
        <f t="shared" si="143"/>
        <v>2199</v>
      </c>
      <c r="B2200" s="137"/>
      <c r="C2200" s="69"/>
      <c r="D2200" s="71"/>
      <c r="E2200" s="71"/>
      <c r="F2200" s="69"/>
      <c r="G2200" s="69"/>
      <c r="R2200" s="84"/>
      <c r="T2200" s="59"/>
    </row>
    <row r="2201" spans="1:20">
      <c r="A2201" s="69">
        <f t="shared" si="143"/>
        <v>2200</v>
      </c>
      <c r="B2201" s="137"/>
      <c r="C2201" s="69"/>
      <c r="D2201" s="71"/>
      <c r="E2201" s="71"/>
      <c r="F2201" s="69"/>
      <c r="G2201" s="69"/>
      <c r="R2201" s="84"/>
      <c r="T2201" s="59"/>
    </row>
    <row r="2202" spans="1:20">
      <c r="A2202" s="69">
        <f t="shared" si="143"/>
        <v>2201</v>
      </c>
      <c r="B2202" s="137"/>
      <c r="C2202" s="69"/>
      <c r="D2202" s="71"/>
      <c r="E2202" s="71"/>
      <c r="F2202" s="69"/>
      <c r="G2202" s="69"/>
      <c r="R2202" s="84"/>
      <c r="T2202" s="59"/>
    </row>
    <row r="2203" spans="1:20">
      <c r="A2203" s="69">
        <f t="shared" si="143"/>
        <v>2202</v>
      </c>
      <c r="B2203" s="137"/>
      <c r="C2203" s="69"/>
      <c r="D2203" s="71"/>
      <c r="E2203" s="71"/>
      <c r="F2203" s="69"/>
      <c r="G2203" s="69"/>
      <c r="R2203" s="84"/>
      <c r="T2203" s="59"/>
    </row>
    <row r="2204" spans="1:20">
      <c r="A2204" s="69">
        <f t="shared" si="143"/>
        <v>2203</v>
      </c>
      <c r="B2204" s="137"/>
      <c r="C2204" s="69"/>
      <c r="D2204" s="71"/>
      <c r="E2204" s="71"/>
      <c r="F2204" s="69"/>
      <c r="G2204" s="69"/>
      <c r="R2204" s="84"/>
      <c r="T2204" s="59"/>
    </row>
    <row r="2205" spans="1:20">
      <c r="A2205" s="69">
        <f t="shared" si="143"/>
        <v>2204</v>
      </c>
      <c r="B2205" s="137"/>
      <c r="C2205" s="69"/>
      <c r="D2205" s="71"/>
      <c r="E2205" s="71"/>
      <c r="F2205" s="69"/>
      <c r="G2205" s="69"/>
      <c r="R2205" s="84"/>
      <c r="T2205" s="59"/>
    </row>
    <row r="2206" spans="1:20">
      <c r="A2206" s="69">
        <f t="shared" si="143"/>
        <v>2205</v>
      </c>
      <c r="B2206" s="137"/>
      <c r="C2206" s="69"/>
      <c r="D2206" s="71"/>
      <c r="E2206" s="71"/>
      <c r="F2206" s="69"/>
      <c r="G2206" s="69"/>
      <c r="R2206" s="84"/>
      <c r="T2206" s="59"/>
    </row>
    <row r="2207" spans="1:20">
      <c r="A2207" s="69">
        <f t="shared" si="143"/>
        <v>2206</v>
      </c>
      <c r="B2207" s="137"/>
      <c r="C2207" s="69"/>
      <c r="D2207" s="71"/>
      <c r="E2207" s="71"/>
      <c r="F2207" s="69"/>
      <c r="G2207" s="69"/>
      <c r="R2207" s="84"/>
      <c r="T2207" s="59"/>
    </row>
    <row r="2208" spans="1:20">
      <c r="A2208" s="69">
        <f t="shared" si="143"/>
        <v>2207</v>
      </c>
      <c r="B2208" s="137"/>
      <c r="C2208" s="69"/>
      <c r="D2208" s="71"/>
      <c r="E2208" s="71"/>
      <c r="F2208" s="69"/>
      <c r="G2208" s="69"/>
      <c r="R2208" s="84"/>
      <c r="T2208" s="59"/>
    </row>
    <row r="2209" spans="1:20">
      <c r="A2209" s="69">
        <f t="shared" si="143"/>
        <v>2208</v>
      </c>
      <c r="B2209" s="137"/>
      <c r="C2209" s="69"/>
      <c r="D2209" s="71"/>
      <c r="E2209" s="71"/>
      <c r="F2209" s="69"/>
      <c r="G2209" s="69"/>
      <c r="R2209" s="84"/>
      <c r="T2209" s="59"/>
    </row>
    <row r="2210" spans="1:20">
      <c r="A2210" s="69">
        <f t="shared" si="143"/>
        <v>2209</v>
      </c>
      <c r="B2210" s="137"/>
      <c r="C2210" s="69"/>
      <c r="D2210" s="71"/>
      <c r="E2210" s="71"/>
      <c r="F2210" s="69"/>
      <c r="G2210" s="69"/>
      <c r="R2210" s="84"/>
      <c r="T2210" s="59"/>
    </row>
    <row r="2211" spans="1:20">
      <c r="A2211" s="69">
        <f t="shared" si="143"/>
        <v>2210</v>
      </c>
      <c r="B2211" s="137"/>
      <c r="C2211" s="69"/>
      <c r="D2211" s="71"/>
      <c r="E2211" s="71"/>
      <c r="F2211" s="69"/>
      <c r="G2211" s="69"/>
      <c r="R2211" s="84"/>
      <c r="T2211" s="59"/>
    </row>
    <row r="2212" spans="1:20">
      <c r="A2212" s="69">
        <f t="shared" si="143"/>
        <v>2211</v>
      </c>
      <c r="B2212" s="137"/>
      <c r="C2212" s="69"/>
      <c r="D2212" s="71"/>
      <c r="E2212" s="71"/>
      <c r="F2212" s="69"/>
      <c r="G2212" s="69"/>
      <c r="R2212" s="84"/>
      <c r="T2212" s="59"/>
    </row>
    <row r="2213" spans="1:20">
      <c r="A2213" s="69">
        <f t="shared" si="143"/>
        <v>2212</v>
      </c>
      <c r="B2213" s="137"/>
      <c r="C2213" s="69"/>
      <c r="D2213" s="71"/>
      <c r="E2213" s="71"/>
      <c r="F2213" s="69"/>
      <c r="G2213" s="69"/>
      <c r="R2213" s="84"/>
      <c r="T2213" s="59"/>
    </row>
    <row r="2214" spans="1:20">
      <c r="A2214" s="69">
        <f t="shared" si="143"/>
        <v>2213</v>
      </c>
      <c r="B2214" s="137"/>
      <c r="C2214" s="69"/>
      <c r="D2214" s="71"/>
      <c r="E2214" s="71"/>
      <c r="F2214" s="69"/>
      <c r="G2214" s="69"/>
      <c r="R2214" s="84"/>
      <c r="T2214" s="59"/>
    </row>
    <row r="2215" spans="1:20">
      <c r="A2215" s="69">
        <f t="shared" si="143"/>
        <v>2214</v>
      </c>
      <c r="B2215" s="137"/>
      <c r="C2215" s="69"/>
      <c r="D2215" s="71"/>
      <c r="E2215" s="71"/>
      <c r="F2215" s="69"/>
      <c r="G2215" s="69"/>
      <c r="R2215" s="84"/>
      <c r="T2215" s="59"/>
    </row>
    <row r="2216" spans="1:20">
      <c r="A2216" s="69">
        <f t="shared" si="143"/>
        <v>2215</v>
      </c>
      <c r="B2216" s="137"/>
      <c r="C2216" s="69"/>
      <c r="D2216" s="71"/>
      <c r="E2216" s="71"/>
      <c r="F2216" s="69"/>
      <c r="G2216" s="69"/>
      <c r="R2216" s="84"/>
      <c r="T2216" s="59"/>
    </row>
    <row r="2217" spans="1:20">
      <c r="A2217" s="69">
        <f t="shared" si="143"/>
        <v>2216</v>
      </c>
      <c r="B2217" s="137"/>
      <c r="C2217" s="69"/>
      <c r="D2217" s="71"/>
      <c r="E2217" s="71"/>
      <c r="F2217" s="69"/>
      <c r="G2217" s="69"/>
      <c r="R2217" s="84"/>
      <c r="T2217" s="59"/>
    </row>
    <row r="2218" spans="1:20">
      <c r="A2218" s="69">
        <f t="shared" si="143"/>
        <v>2217</v>
      </c>
      <c r="B2218" s="137"/>
      <c r="C2218" s="69"/>
      <c r="D2218" s="71"/>
      <c r="E2218" s="71"/>
      <c r="F2218" s="69"/>
      <c r="G2218" s="69"/>
      <c r="R2218" s="84"/>
      <c r="T2218" s="59"/>
    </row>
    <row r="2219" spans="1:20">
      <c r="A2219" s="69">
        <f t="shared" si="143"/>
        <v>2218</v>
      </c>
      <c r="B2219" s="137"/>
      <c r="C2219" s="69"/>
      <c r="D2219" s="71"/>
      <c r="E2219" s="71"/>
      <c r="F2219" s="69"/>
      <c r="G2219" s="69"/>
      <c r="R2219" s="84"/>
      <c r="T2219" s="59"/>
    </row>
    <row r="2220" spans="1:20">
      <c r="A2220" s="69">
        <f t="shared" si="143"/>
        <v>2219</v>
      </c>
      <c r="B2220" s="137"/>
      <c r="C2220" s="69"/>
      <c r="D2220" s="71"/>
      <c r="E2220" s="71"/>
      <c r="F2220" s="69"/>
      <c r="G2220" s="69"/>
      <c r="R2220" s="84"/>
      <c r="T2220" s="59"/>
    </row>
    <row r="2221" spans="1:20">
      <c r="A2221" s="69">
        <f t="shared" si="143"/>
        <v>2220</v>
      </c>
      <c r="B2221" s="137"/>
      <c r="C2221" s="69"/>
      <c r="D2221" s="71"/>
      <c r="E2221" s="71"/>
      <c r="F2221" s="69"/>
      <c r="G2221" s="69"/>
      <c r="R2221" s="84"/>
      <c r="T2221" s="59"/>
    </row>
    <row r="2222" spans="1:20">
      <c r="A2222" s="69">
        <f t="shared" si="143"/>
        <v>2221</v>
      </c>
      <c r="B2222" s="137"/>
      <c r="C2222" s="69"/>
      <c r="D2222" s="71"/>
      <c r="E2222" s="71"/>
      <c r="F2222" s="69"/>
      <c r="G2222" s="69"/>
      <c r="R2222" s="84"/>
      <c r="T2222" s="59"/>
    </row>
    <row r="2223" spans="1:20">
      <c r="A2223" s="69">
        <f t="shared" si="143"/>
        <v>2222</v>
      </c>
      <c r="B2223" s="137"/>
      <c r="C2223" s="69"/>
      <c r="D2223" s="71"/>
      <c r="E2223" s="71"/>
      <c r="F2223" s="69"/>
      <c r="G2223" s="69"/>
      <c r="R2223" s="84"/>
      <c r="T2223" s="59"/>
    </row>
    <row r="2224" spans="1:20">
      <c r="A2224" s="69">
        <f t="shared" si="143"/>
        <v>2223</v>
      </c>
      <c r="B2224" s="137"/>
      <c r="C2224" s="69"/>
      <c r="D2224" s="71"/>
      <c r="E2224" s="71"/>
      <c r="F2224" s="69"/>
      <c r="G2224" s="69"/>
      <c r="R2224" s="84"/>
      <c r="T2224" s="59"/>
    </row>
    <row r="2225" spans="1:20">
      <c r="A2225" s="69">
        <f t="shared" si="143"/>
        <v>2224</v>
      </c>
      <c r="B2225" s="137"/>
      <c r="C2225" s="69"/>
      <c r="D2225" s="71"/>
      <c r="E2225" s="71"/>
      <c r="F2225" s="69"/>
      <c r="G2225" s="69"/>
      <c r="R2225" s="84"/>
      <c r="T2225" s="59"/>
    </row>
    <row r="2226" spans="1:20">
      <c r="A2226" s="69">
        <f t="shared" si="143"/>
        <v>2225</v>
      </c>
      <c r="B2226" s="137"/>
      <c r="C2226" s="69"/>
      <c r="D2226" s="71"/>
      <c r="E2226" s="71"/>
      <c r="F2226" s="69"/>
      <c r="G2226" s="69"/>
      <c r="R2226" s="84"/>
      <c r="T2226" s="59"/>
    </row>
    <row r="2227" spans="1:20">
      <c r="A2227" s="69">
        <f t="shared" si="143"/>
        <v>2226</v>
      </c>
      <c r="B2227" s="137"/>
      <c r="C2227" s="69"/>
      <c r="D2227" s="71"/>
      <c r="E2227" s="71"/>
      <c r="F2227" s="69"/>
      <c r="G2227" s="69"/>
      <c r="R2227" s="84"/>
      <c r="T2227" s="59"/>
    </row>
    <row r="2228" spans="1:20">
      <c r="A2228" s="69">
        <f t="shared" si="143"/>
        <v>2227</v>
      </c>
      <c r="B2228" s="137"/>
      <c r="C2228" s="69"/>
      <c r="D2228" s="71"/>
      <c r="E2228" s="71"/>
      <c r="F2228" s="69"/>
      <c r="G2228" s="69"/>
      <c r="R2228" s="84"/>
      <c r="T2228" s="59"/>
    </row>
    <row r="2229" spans="1:20">
      <c r="A2229" s="69">
        <f t="shared" si="143"/>
        <v>2228</v>
      </c>
      <c r="B2229" s="137"/>
      <c r="C2229" s="69"/>
      <c r="D2229" s="71"/>
      <c r="E2229" s="71"/>
      <c r="F2229" s="69"/>
      <c r="G2229" s="69"/>
      <c r="R2229" s="84"/>
      <c r="T2229" s="59"/>
    </row>
    <row r="2230" spans="1:20">
      <c r="A2230" s="69">
        <f t="shared" si="143"/>
        <v>2229</v>
      </c>
      <c r="B2230" s="137"/>
      <c r="C2230" s="69"/>
      <c r="D2230" s="71"/>
      <c r="E2230" s="71"/>
      <c r="F2230" s="69"/>
      <c r="G2230" s="69"/>
      <c r="R2230" s="84"/>
      <c r="T2230" s="59"/>
    </row>
    <row r="2231" spans="1:20">
      <c r="A2231" s="69">
        <f t="shared" si="143"/>
        <v>2230</v>
      </c>
      <c r="B2231" s="137"/>
      <c r="C2231" s="69"/>
      <c r="D2231" s="71"/>
      <c r="E2231" s="71"/>
      <c r="F2231" s="69"/>
      <c r="G2231" s="69"/>
      <c r="R2231" s="84"/>
      <c r="T2231" s="59"/>
    </row>
    <row r="2232" spans="1:20">
      <c r="A2232" s="69">
        <f t="shared" si="143"/>
        <v>2231</v>
      </c>
      <c r="B2232" s="137"/>
      <c r="C2232" s="69"/>
      <c r="D2232" s="71"/>
      <c r="E2232" s="71"/>
      <c r="F2232" s="69"/>
      <c r="G2232" s="69"/>
      <c r="R2232" s="84"/>
      <c r="T2232" s="59"/>
    </row>
    <row r="2233" spans="1:20">
      <c r="A2233" s="69">
        <f t="shared" si="143"/>
        <v>2232</v>
      </c>
      <c r="B2233" s="137"/>
      <c r="C2233" s="69"/>
      <c r="D2233" s="71"/>
      <c r="E2233" s="71"/>
      <c r="F2233" s="69"/>
      <c r="G2233" s="69"/>
      <c r="R2233" s="84"/>
      <c r="T2233" s="59"/>
    </row>
    <row r="2234" spans="1:20">
      <c r="A2234" s="69">
        <f t="shared" si="143"/>
        <v>2233</v>
      </c>
      <c r="B2234" s="137"/>
      <c r="C2234" s="69"/>
      <c r="D2234" s="71"/>
      <c r="E2234" s="71"/>
      <c r="F2234" s="69"/>
      <c r="G2234" s="69"/>
      <c r="R2234" s="84"/>
      <c r="T2234" s="59"/>
    </row>
    <row r="2235" spans="1:20">
      <c r="A2235" s="69">
        <f t="shared" si="143"/>
        <v>2234</v>
      </c>
      <c r="B2235" s="137"/>
      <c r="C2235" s="69"/>
      <c r="D2235" s="71"/>
      <c r="E2235" s="71"/>
      <c r="F2235" s="69"/>
      <c r="G2235" s="69"/>
      <c r="R2235" s="84"/>
      <c r="T2235" s="59"/>
    </row>
    <row r="2236" spans="1:20">
      <c r="A2236" s="69">
        <f t="shared" si="143"/>
        <v>2235</v>
      </c>
      <c r="B2236" s="137"/>
      <c r="C2236" s="69"/>
      <c r="D2236" s="71"/>
      <c r="E2236" s="71"/>
      <c r="F2236" s="69"/>
      <c r="G2236" s="69"/>
      <c r="R2236" s="84"/>
      <c r="T2236" s="59"/>
    </row>
    <row r="2237" spans="1:20">
      <c r="A2237" s="69">
        <f t="shared" si="143"/>
        <v>2236</v>
      </c>
      <c r="B2237" s="137"/>
      <c r="C2237" s="69"/>
      <c r="D2237" s="71"/>
      <c r="E2237" s="71"/>
      <c r="F2237" s="69"/>
      <c r="G2237" s="69"/>
      <c r="R2237" s="84"/>
      <c r="T2237" s="59"/>
    </row>
    <row r="2238" spans="1:20">
      <c r="A2238" s="69">
        <f t="shared" ref="A2238:A2301" si="144">ROW()-1</f>
        <v>2237</v>
      </c>
      <c r="B2238" s="137"/>
      <c r="C2238" s="69"/>
      <c r="D2238" s="71"/>
      <c r="E2238" s="71"/>
      <c r="F2238" s="69"/>
      <c r="G2238" s="69"/>
      <c r="R2238" s="84"/>
      <c r="T2238" s="59"/>
    </row>
    <row r="2239" spans="1:20">
      <c r="A2239" s="69">
        <f t="shared" si="144"/>
        <v>2238</v>
      </c>
      <c r="B2239" s="137"/>
      <c r="C2239" s="69"/>
      <c r="D2239" s="71"/>
      <c r="E2239" s="71"/>
      <c r="F2239" s="69"/>
      <c r="G2239" s="69"/>
      <c r="R2239" s="84"/>
      <c r="T2239" s="59"/>
    </row>
    <row r="2240" spans="1:20">
      <c r="A2240" s="69">
        <f t="shared" si="144"/>
        <v>2239</v>
      </c>
      <c r="B2240" s="137"/>
      <c r="C2240" s="69"/>
      <c r="D2240" s="71"/>
      <c r="E2240" s="71"/>
      <c r="F2240" s="69"/>
      <c r="G2240" s="69"/>
      <c r="R2240" s="84"/>
      <c r="T2240" s="59"/>
    </row>
    <row r="2241" spans="1:20">
      <c r="A2241" s="69">
        <f t="shared" si="144"/>
        <v>2240</v>
      </c>
      <c r="B2241" s="137"/>
      <c r="C2241" s="69"/>
      <c r="D2241" s="71"/>
      <c r="E2241" s="71"/>
      <c r="F2241" s="69"/>
      <c r="G2241" s="69"/>
      <c r="R2241" s="84"/>
      <c r="T2241" s="59"/>
    </row>
    <row r="2242" spans="1:20">
      <c r="A2242" s="69">
        <f t="shared" si="144"/>
        <v>2241</v>
      </c>
      <c r="B2242" s="137"/>
      <c r="C2242" s="69"/>
      <c r="D2242" s="71"/>
      <c r="E2242" s="71"/>
      <c r="F2242" s="69"/>
      <c r="G2242" s="69"/>
      <c r="R2242" s="84"/>
      <c r="T2242" s="59"/>
    </row>
    <row r="2243" spans="1:20">
      <c r="A2243" s="69">
        <f t="shared" si="144"/>
        <v>2242</v>
      </c>
      <c r="B2243" s="137"/>
      <c r="C2243" s="69"/>
      <c r="D2243" s="71"/>
      <c r="E2243" s="71"/>
      <c r="F2243" s="69"/>
      <c r="G2243" s="69"/>
      <c r="R2243" s="84"/>
      <c r="T2243" s="59"/>
    </row>
    <row r="2244" spans="1:20">
      <c r="A2244" s="69">
        <f t="shared" si="144"/>
        <v>2243</v>
      </c>
      <c r="B2244" s="137"/>
      <c r="C2244" s="69"/>
      <c r="D2244" s="71"/>
      <c r="E2244" s="71"/>
      <c r="F2244" s="69"/>
      <c r="G2244" s="69"/>
      <c r="R2244" s="84"/>
      <c r="T2244" s="59"/>
    </row>
    <row r="2245" spans="1:20">
      <c r="A2245" s="69">
        <f t="shared" si="144"/>
        <v>2244</v>
      </c>
      <c r="B2245" s="137"/>
      <c r="C2245" s="69"/>
      <c r="D2245" s="71"/>
      <c r="E2245" s="71"/>
      <c r="F2245" s="69"/>
      <c r="G2245" s="69"/>
      <c r="R2245" s="84"/>
      <c r="T2245" s="59"/>
    </row>
    <row r="2246" spans="1:20">
      <c r="A2246" s="69">
        <f t="shared" si="144"/>
        <v>2245</v>
      </c>
      <c r="B2246" s="137"/>
      <c r="C2246" s="69"/>
      <c r="D2246" s="71"/>
      <c r="E2246" s="71"/>
      <c r="F2246" s="69"/>
      <c r="G2246" s="69"/>
      <c r="R2246" s="84"/>
      <c r="T2246" s="59"/>
    </row>
    <row r="2247" spans="1:20">
      <c r="A2247" s="69">
        <f t="shared" si="144"/>
        <v>2246</v>
      </c>
      <c r="B2247" s="137"/>
      <c r="C2247" s="69"/>
      <c r="D2247" s="71"/>
      <c r="E2247" s="71"/>
      <c r="F2247" s="69"/>
      <c r="G2247" s="69"/>
      <c r="R2247" s="84"/>
      <c r="T2247" s="59"/>
    </row>
    <row r="2248" spans="1:20">
      <c r="A2248" s="69">
        <f t="shared" si="144"/>
        <v>2247</v>
      </c>
      <c r="B2248" s="137"/>
      <c r="C2248" s="69"/>
      <c r="D2248" s="71"/>
      <c r="E2248" s="71"/>
      <c r="F2248" s="69"/>
      <c r="G2248" s="69"/>
      <c r="R2248" s="84"/>
      <c r="T2248" s="59"/>
    </row>
    <row r="2249" spans="1:20">
      <c r="A2249" s="69">
        <f t="shared" si="144"/>
        <v>2248</v>
      </c>
      <c r="B2249" s="137"/>
      <c r="C2249" s="69"/>
      <c r="D2249" s="71"/>
      <c r="E2249" s="71"/>
      <c r="F2249" s="69"/>
      <c r="G2249" s="69"/>
      <c r="R2249" s="84"/>
      <c r="T2249" s="59"/>
    </row>
    <row r="2250" spans="1:20">
      <c r="A2250" s="69">
        <f t="shared" si="144"/>
        <v>2249</v>
      </c>
      <c r="B2250" s="137"/>
      <c r="C2250" s="69"/>
      <c r="D2250" s="71"/>
      <c r="E2250" s="71"/>
      <c r="F2250" s="69"/>
      <c r="G2250" s="69"/>
      <c r="R2250" s="84"/>
      <c r="T2250" s="59"/>
    </row>
    <row r="2251" spans="1:20">
      <c r="A2251" s="69">
        <f t="shared" si="144"/>
        <v>2250</v>
      </c>
      <c r="B2251" s="137"/>
      <c r="C2251" s="69"/>
      <c r="D2251" s="71"/>
      <c r="E2251" s="71"/>
      <c r="F2251" s="69"/>
      <c r="G2251" s="69"/>
      <c r="R2251" s="84"/>
      <c r="T2251" s="59"/>
    </row>
    <row r="2252" spans="1:20">
      <c r="A2252" s="69">
        <f t="shared" si="144"/>
        <v>2251</v>
      </c>
      <c r="B2252" s="137"/>
      <c r="C2252" s="69"/>
      <c r="D2252" s="71"/>
      <c r="E2252" s="71"/>
      <c r="F2252" s="69"/>
      <c r="G2252" s="69"/>
      <c r="R2252" s="84"/>
      <c r="T2252" s="59"/>
    </row>
    <row r="2253" spans="1:20">
      <c r="A2253" s="69">
        <f t="shared" si="144"/>
        <v>2252</v>
      </c>
      <c r="B2253" s="137"/>
      <c r="C2253" s="69"/>
      <c r="D2253" s="71"/>
      <c r="E2253" s="71"/>
      <c r="F2253" s="69"/>
      <c r="G2253" s="69"/>
      <c r="R2253" s="84"/>
      <c r="T2253" s="59"/>
    </row>
    <row r="2254" spans="1:20">
      <c r="A2254" s="69">
        <f t="shared" si="144"/>
        <v>2253</v>
      </c>
      <c r="B2254" s="137"/>
      <c r="C2254" s="69"/>
      <c r="D2254" s="71"/>
      <c r="E2254" s="71"/>
      <c r="F2254" s="69"/>
      <c r="G2254" s="69"/>
      <c r="R2254" s="84"/>
      <c r="T2254" s="59"/>
    </row>
    <row r="2255" spans="1:20">
      <c r="A2255" s="69">
        <f t="shared" si="144"/>
        <v>2254</v>
      </c>
      <c r="B2255" s="137"/>
      <c r="C2255" s="69"/>
      <c r="D2255" s="71"/>
      <c r="E2255" s="71"/>
      <c r="F2255" s="69"/>
      <c r="G2255" s="69"/>
      <c r="R2255" s="84"/>
      <c r="T2255" s="59"/>
    </row>
    <row r="2256" spans="1:20">
      <c r="A2256" s="69">
        <f t="shared" si="144"/>
        <v>2255</v>
      </c>
      <c r="B2256" s="137"/>
      <c r="C2256" s="69"/>
      <c r="D2256" s="71"/>
      <c r="E2256" s="71"/>
      <c r="F2256" s="69"/>
      <c r="G2256" s="69"/>
      <c r="R2256" s="84"/>
      <c r="T2256" s="59"/>
    </row>
    <row r="2257" spans="1:20">
      <c r="A2257" s="69">
        <f t="shared" si="144"/>
        <v>2256</v>
      </c>
      <c r="B2257" s="137"/>
      <c r="C2257" s="69"/>
      <c r="D2257" s="71"/>
      <c r="E2257" s="71"/>
      <c r="F2257" s="69"/>
      <c r="G2257" s="69"/>
      <c r="R2257" s="84"/>
      <c r="T2257" s="59"/>
    </row>
    <row r="2258" spans="1:20">
      <c r="A2258" s="69">
        <f t="shared" si="144"/>
        <v>2257</v>
      </c>
      <c r="B2258" s="137"/>
      <c r="C2258" s="69"/>
      <c r="D2258" s="71"/>
      <c r="E2258" s="71"/>
      <c r="F2258" s="69"/>
      <c r="G2258" s="69"/>
      <c r="R2258" s="84"/>
      <c r="T2258" s="59"/>
    </row>
    <row r="2259" spans="1:20">
      <c r="A2259" s="69">
        <f t="shared" si="144"/>
        <v>2258</v>
      </c>
      <c r="B2259" s="137"/>
      <c r="C2259" s="69"/>
      <c r="D2259" s="71"/>
      <c r="E2259" s="71"/>
      <c r="F2259" s="69"/>
      <c r="G2259" s="69"/>
      <c r="R2259" s="84"/>
      <c r="T2259" s="59"/>
    </row>
    <row r="2260" spans="1:20">
      <c r="A2260" s="69">
        <f t="shared" si="144"/>
        <v>2259</v>
      </c>
      <c r="B2260" s="137"/>
      <c r="C2260" s="69"/>
      <c r="D2260" s="71"/>
      <c r="E2260" s="71"/>
      <c r="F2260" s="69"/>
      <c r="G2260" s="69"/>
      <c r="R2260" s="84"/>
      <c r="T2260" s="59"/>
    </row>
    <row r="2261" spans="1:20">
      <c r="A2261" s="69">
        <f t="shared" si="144"/>
        <v>2260</v>
      </c>
      <c r="B2261" s="137"/>
      <c r="C2261" s="69"/>
      <c r="D2261" s="71"/>
      <c r="E2261" s="71"/>
      <c r="F2261" s="69"/>
      <c r="G2261" s="69"/>
      <c r="R2261" s="84"/>
      <c r="T2261" s="59"/>
    </row>
    <row r="2262" spans="1:20">
      <c r="A2262" s="69">
        <f t="shared" si="144"/>
        <v>2261</v>
      </c>
      <c r="B2262" s="137"/>
      <c r="C2262" s="69"/>
      <c r="D2262" s="71"/>
      <c r="E2262" s="71"/>
      <c r="F2262" s="69"/>
      <c r="G2262" s="69"/>
      <c r="R2262" s="84"/>
      <c r="T2262" s="59"/>
    </row>
    <row r="2263" spans="1:20">
      <c r="A2263" s="69">
        <f t="shared" si="144"/>
        <v>2262</v>
      </c>
      <c r="B2263" s="137"/>
      <c r="C2263" s="69"/>
      <c r="D2263" s="71"/>
      <c r="E2263" s="71"/>
      <c r="F2263" s="69"/>
      <c r="G2263" s="69"/>
      <c r="R2263" s="84"/>
      <c r="T2263" s="59"/>
    </row>
    <row r="2264" spans="1:20">
      <c r="A2264" s="69">
        <f t="shared" si="144"/>
        <v>2263</v>
      </c>
      <c r="B2264" s="137"/>
      <c r="C2264" s="69"/>
      <c r="D2264" s="71"/>
      <c r="E2264" s="71"/>
      <c r="F2264" s="69"/>
      <c r="G2264" s="69"/>
      <c r="R2264" s="84"/>
      <c r="T2264" s="59"/>
    </row>
    <row r="2265" spans="1:20">
      <c r="A2265" s="69">
        <f t="shared" si="144"/>
        <v>2264</v>
      </c>
      <c r="B2265" s="137"/>
      <c r="C2265" s="69"/>
      <c r="D2265" s="71"/>
      <c r="E2265" s="71"/>
      <c r="F2265" s="69"/>
      <c r="G2265" s="69"/>
      <c r="R2265" s="84"/>
      <c r="T2265" s="59"/>
    </row>
    <row r="2266" spans="1:20">
      <c r="A2266" s="69">
        <f t="shared" si="144"/>
        <v>2265</v>
      </c>
      <c r="B2266" s="137"/>
      <c r="C2266" s="69"/>
      <c r="D2266" s="71"/>
      <c r="E2266" s="71"/>
      <c r="F2266" s="69"/>
      <c r="G2266" s="69"/>
      <c r="R2266" s="84"/>
      <c r="T2266" s="59"/>
    </row>
    <row r="2267" spans="1:20">
      <c r="A2267" s="69">
        <f t="shared" si="144"/>
        <v>2266</v>
      </c>
      <c r="B2267" s="137"/>
      <c r="C2267" s="69"/>
      <c r="D2267" s="71"/>
      <c r="E2267" s="71"/>
      <c r="F2267" s="69"/>
      <c r="G2267" s="69"/>
      <c r="R2267" s="84"/>
      <c r="T2267" s="59"/>
    </row>
    <row r="2268" spans="1:20">
      <c r="A2268" s="69">
        <f t="shared" si="144"/>
        <v>2267</v>
      </c>
      <c r="B2268" s="137"/>
      <c r="C2268" s="69"/>
      <c r="D2268" s="71"/>
      <c r="E2268" s="71"/>
      <c r="F2268" s="69"/>
      <c r="G2268" s="69"/>
      <c r="R2268" s="84"/>
      <c r="T2268" s="59"/>
    </row>
    <row r="2269" spans="1:20">
      <c r="A2269" s="69">
        <f t="shared" si="144"/>
        <v>2268</v>
      </c>
      <c r="B2269" s="137"/>
      <c r="C2269" s="69"/>
      <c r="D2269" s="71"/>
      <c r="E2269" s="71"/>
      <c r="F2269" s="69"/>
      <c r="G2269" s="69"/>
      <c r="R2269" s="84"/>
      <c r="T2269" s="59"/>
    </row>
    <row r="2270" spans="1:20">
      <c r="A2270" s="69">
        <f t="shared" si="144"/>
        <v>2269</v>
      </c>
      <c r="B2270" s="137"/>
      <c r="C2270" s="69"/>
      <c r="D2270" s="71"/>
      <c r="E2270" s="71"/>
      <c r="F2270" s="69"/>
      <c r="G2270" s="69"/>
      <c r="R2270" s="84"/>
      <c r="T2270" s="59"/>
    </row>
    <row r="2271" spans="1:20">
      <c r="A2271" s="69">
        <f t="shared" si="144"/>
        <v>2270</v>
      </c>
      <c r="B2271" s="137"/>
      <c r="C2271" s="69"/>
      <c r="D2271" s="71"/>
      <c r="E2271" s="71"/>
      <c r="F2271" s="69"/>
      <c r="G2271" s="69"/>
      <c r="R2271" s="84"/>
      <c r="T2271" s="59"/>
    </row>
    <row r="2272" spans="1:20">
      <c r="A2272" s="69">
        <f t="shared" si="144"/>
        <v>2271</v>
      </c>
      <c r="B2272" s="137"/>
      <c r="C2272" s="69"/>
      <c r="D2272" s="71"/>
      <c r="E2272" s="71"/>
      <c r="F2272" s="69"/>
      <c r="G2272" s="69"/>
      <c r="R2272" s="84"/>
      <c r="T2272" s="59"/>
    </row>
    <row r="2273" spans="1:20">
      <c r="A2273" s="69">
        <f t="shared" si="144"/>
        <v>2272</v>
      </c>
      <c r="B2273" s="137"/>
      <c r="C2273" s="69"/>
      <c r="D2273" s="71"/>
      <c r="E2273" s="71"/>
      <c r="F2273" s="69"/>
      <c r="G2273" s="69"/>
      <c r="R2273" s="84"/>
      <c r="T2273" s="59"/>
    </row>
    <row r="2274" spans="1:20">
      <c r="A2274" s="69">
        <f t="shared" si="144"/>
        <v>2273</v>
      </c>
      <c r="B2274" s="137"/>
      <c r="C2274" s="69"/>
      <c r="D2274" s="71"/>
      <c r="E2274" s="71"/>
      <c r="F2274" s="69"/>
      <c r="G2274" s="69"/>
      <c r="R2274" s="84"/>
      <c r="T2274" s="59"/>
    </row>
    <row r="2275" spans="1:20">
      <c r="A2275" s="69">
        <f t="shared" si="144"/>
        <v>2274</v>
      </c>
      <c r="B2275" s="137"/>
      <c r="C2275" s="69"/>
      <c r="D2275" s="71"/>
      <c r="E2275" s="71"/>
      <c r="F2275" s="69"/>
      <c r="G2275" s="69"/>
      <c r="R2275" s="84"/>
      <c r="T2275" s="59"/>
    </row>
    <row r="2276" spans="1:20">
      <c r="A2276" s="69">
        <f t="shared" si="144"/>
        <v>2275</v>
      </c>
      <c r="B2276" s="137"/>
      <c r="C2276" s="69"/>
      <c r="D2276" s="71"/>
      <c r="E2276" s="71"/>
      <c r="F2276" s="69"/>
      <c r="G2276" s="69"/>
      <c r="R2276" s="84"/>
      <c r="T2276" s="59"/>
    </row>
    <row r="2277" spans="1:20">
      <c r="A2277" s="69">
        <f t="shared" si="144"/>
        <v>2276</v>
      </c>
      <c r="B2277" s="137"/>
      <c r="C2277" s="69"/>
      <c r="D2277" s="71"/>
      <c r="E2277" s="71"/>
      <c r="F2277" s="69"/>
      <c r="G2277" s="69"/>
      <c r="R2277" s="84"/>
      <c r="T2277" s="59"/>
    </row>
    <row r="2278" spans="1:20">
      <c r="A2278" s="69">
        <f t="shared" si="144"/>
        <v>2277</v>
      </c>
      <c r="B2278" s="137"/>
      <c r="C2278" s="69"/>
      <c r="D2278" s="71"/>
      <c r="E2278" s="71"/>
      <c r="F2278" s="69"/>
      <c r="G2278" s="69"/>
      <c r="R2278" s="84"/>
      <c r="T2278" s="59"/>
    </row>
    <row r="2279" spans="1:20">
      <c r="A2279" s="69">
        <f t="shared" si="144"/>
        <v>2278</v>
      </c>
      <c r="B2279" s="137"/>
      <c r="C2279" s="69"/>
      <c r="D2279" s="71"/>
      <c r="E2279" s="71"/>
      <c r="F2279" s="69"/>
      <c r="G2279" s="69"/>
      <c r="R2279" s="84"/>
      <c r="T2279" s="59"/>
    </row>
    <row r="2280" spans="1:20">
      <c r="A2280" s="69">
        <f t="shared" si="144"/>
        <v>2279</v>
      </c>
      <c r="B2280" s="137"/>
      <c r="C2280" s="69"/>
      <c r="D2280" s="71"/>
      <c r="E2280" s="71"/>
      <c r="F2280" s="69"/>
      <c r="G2280" s="69"/>
      <c r="R2280" s="84"/>
      <c r="T2280" s="59"/>
    </row>
    <row r="2281" spans="1:20">
      <c r="A2281" s="69">
        <f t="shared" si="144"/>
        <v>2280</v>
      </c>
      <c r="B2281" s="137"/>
      <c r="C2281" s="69"/>
      <c r="D2281" s="71"/>
      <c r="E2281" s="71"/>
      <c r="F2281" s="69"/>
      <c r="G2281" s="69"/>
      <c r="R2281" s="84"/>
      <c r="T2281" s="59"/>
    </row>
    <row r="2282" spans="1:20">
      <c r="A2282" s="69">
        <f t="shared" si="144"/>
        <v>2281</v>
      </c>
      <c r="B2282" s="137"/>
      <c r="C2282" s="69"/>
      <c r="D2282" s="71"/>
      <c r="E2282" s="71"/>
      <c r="F2282" s="69"/>
      <c r="G2282" s="69"/>
      <c r="R2282" s="84"/>
      <c r="T2282" s="59"/>
    </row>
    <row r="2283" spans="1:20">
      <c r="A2283" s="69">
        <f t="shared" si="144"/>
        <v>2282</v>
      </c>
      <c r="B2283" s="137"/>
      <c r="C2283" s="69"/>
      <c r="D2283" s="71"/>
      <c r="E2283" s="71"/>
      <c r="F2283" s="69"/>
      <c r="G2283" s="69"/>
      <c r="R2283" s="84"/>
      <c r="T2283" s="59"/>
    </row>
    <row r="2284" spans="1:20">
      <c r="A2284" s="69">
        <f t="shared" si="144"/>
        <v>2283</v>
      </c>
      <c r="B2284" s="137"/>
      <c r="C2284" s="69"/>
      <c r="D2284" s="71"/>
      <c r="E2284" s="71"/>
      <c r="F2284" s="69"/>
      <c r="G2284" s="69"/>
      <c r="R2284" s="84"/>
      <c r="T2284" s="59"/>
    </row>
    <row r="2285" spans="1:20">
      <c r="A2285" s="69">
        <f t="shared" si="144"/>
        <v>2284</v>
      </c>
      <c r="B2285" s="137"/>
      <c r="C2285" s="69"/>
      <c r="D2285" s="71"/>
      <c r="E2285" s="71"/>
      <c r="F2285" s="69"/>
      <c r="G2285" s="69"/>
      <c r="R2285" s="84"/>
      <c r="T2285" s="59"/>
    </row>
    <row r="2286" spans="1:20">
      <c r="A2286" s="69">
        <f t="shared" si="144"/>
        <v>2285</v>
      </c>
      <c r="B2286" s="137"/>
      <c r="C2286" s="69"/>
      <c r="D2286" s="71"/>
      <c r="E2286" s="71"/>
      <c r="F2286" s="69"/>
      <c r="G2286" s="69"/>
      <c r="R2286" s="84"/>
      <c r="T2286" s="59"/>
    </row>
    <row r="2287" spans="1:20">
      <c r="A2287" s="69">
        <f t="shared" si="144"/>
        <v>2286</v>
      </c>
      <c r="B2287" s="137"/>
      <c r="C2287" s="69"/>
      <c r="D2287" s="71"/>
      <c r="E2287" s="71"/>
      <c r="F2287" s="69"/>
      <c r="G2287" s="69"/>
      <c r="R2287" s="84"/>
      <c r="T2287" s="59"/>
    </row>
    <row r="2288" spans="1:20">
      <c r="A2288" s="69">
        <f t="shared" si="144"/>
        <v>2287</v>
      </c>
      <c r="B2288" s="137"/>
      <c r="C2288" s="69"/>
      <c r="D2288" s="71"/>
      <c r="E2288" s="71"/>
      <c r="F2288" s="69"/>
      <c r="G2288" s="69"/>
      <c r="R2288" s="84"/>
      <c r="T2288" s="59"/>
    </row>
    <row r="2289" spans="1:20">
      <c r="A2289" s="69">
        <f t="shared" si="144"/>
        <v>2288</v>
      </c>
      <c r="B2289" s="137"/>
      <c r="C2289" s="69"/>
      <c r="D2289" s="71"/>
      <c r="E2289" s="71"/>
      <c r="F2289" s="69"/>
      <c r="G2289" s="69"/>
      <c r="R2289" s="84"/>
      <c r="T2289" s="59"/>
    </row>
    <row r="2290" spans="1:20">
      <c r="A2290" s="69">
        <f t="shared" si="144"/>
        <v>2289</v>
      </c>
      <c r="B2290" s="137"/>
      <c r="C2290" s="69"/>
      <c r="D2290" s="71"/>
      <c r="E2290" s="71"/>
      <c r="F2290" s="69"/>
      <c r="G2290" s="69"/>
      <c r="R2290" s="84"/>
      <c r="T2290" s="59"/>
    </row>
    <row r="2291" spans="1:20">
      <c r="A2291" s="69">
        <f t="shared" si="144"/>
        <v>2290</v>
      </c>
      <c r="B2291" s="137"/>
      <c r="C2291" s="69"/>
      <c r="D2291" s="71"/>
      <c r="E2291" s="71"/>
      <c r="F2291" s="69"/>
      <c r="G2291" s="69"/>
      <c r="R2291" s="84"/>
      <c r="T2291" s="59"/>
    </row>
    <row r="2292" spans="1:20">
      <c r="A2292" s="69">
        <f t="shared" si="144"/>
        <v>2291</v>
      </c>
      <c r="B2292" s="137"/>
      <c r="C2292" s="69"/>
      <c r="D2292" s="71"/>
      <c r="E2292" s="71"/>
      <c r="F2292" s="69"/>
      <c r="G2292" s="69"/>
      <c r="R2292" s="84"/>
      <c r="T2292" s="59"/>
    </row>
    <row r="2293" spans="1:20">
      <c r="A2293" s="69">
        <f t="shared" si="144"/>
        <v>2292</v>
      </c>
      <c r="B2293" s="137"/>
      <c r="C2293" s="69"/>
      <c r="D2293" s="71"/>
      <c r="E2293" s="71"/>
      <c r="F2293" s="69"/>
      <c r="G2293" s="69"/>
      <c r="R2293" s="84"/>
      <c r="T2293" s="59"/>
    </row>
    <row r="2294" spans="1:20">
      <c r="A2294" s="69">
        <f t="shared" si="144"/>
        <v>2293</v>
      </c>
      <c r="B2294" s="137"/>
      <c r="C2294" s="69"/>
      <c r="D2294" s="71"/>
      <c r="E2294" s="71"/>
      <c r="F2294" s="69"/>
      <c r="G2294" s="69"/>
      <c r="R2294" s="84"/>
      <c r="T2294" s="59"/>
    </row>
    <row r="2295" spans="1:20">
      <c r="A2295" s="69">
        <f t="shared" si="144"/>
        <v>2294</v>
      </c>
      <c r="B2295" s="137"/>
      <c r="C2295" s="69"/>
      <c r="D2295" s="71"/>
      <c r="E2295" s="71"/>
      <c r="F2295" s="69"/>
      <c r="G2295" s="69"/>
      <c r="R2295" s="84"/>
      <c r="T2295" s="59"/>
    </row>
    <row r="2296" spans="1:20">
      <c r="A2296" s="69">
        <f t="shared" si="144"/>
        <v>2295</v>
      </c>
      <c r="B2296" s="137"/>
      <c r="C2296" s="69"/>
      <c r="D2296" s="71"/>
      <c r="E2296" s="71"/>
      <c r="F2296" s="69"/>
      <c r="G2296" s="69"/>
      <c r="R2296" s="84"/>
      <c r="T2296" s="59"/>
    </row>
    <row r="2297" spans="1:20">
      <c r="A2297" s="69">
        <f t="shared" si="144"/>
        <v>2296</v>
      </c>
      <c r="B2297" s="137"/>
      <c r="C2297" s="69"/>
      <c r="D2297" s="71"/>
      <c r="E2297" s="71"/>
      <c r="F2297" s="69"/>
      <c r="G2297" s="69"/>
    </row>
    <row r="2298" spans="1:20">
      <c r="A2298" s="69">
        <f t="shared" si="144"/>
        <v>2297</v>
      </c>
      <c r="B2298" s="137"/>
      <c r="C2298" s="69"/>
      <c r="D2298" s="71"/>
      <c r="E2298" s="71"/>
      <c r="F2298" s="69"/>
      <c r="G2298" s="69"/>
    </row>
    <row r="2299" spans="1:20">
      <c r="A2299" s="69">
        <f t="shared" si="144"/>
        <v>2298</v>
      </c>
      <c r="B2299" s="137"/>
      <c r="C2299" s="69"/>
      <c r="D2299" s="71"/>
      <c r="E2299" s="71"/>
      <c r="F2299" s="69"/>
      <c r="G2299" s="69"/>
    </row>
    <row r="2300" spans="1:20">
      <c r="A2300" s="69">
        <f t="shared" si="144"/>
        <v>2299</v>
      </c>
      <c r="B2300" s="137"/>
      <c r="C2300" s="69"/>
      <c r="D2300" s="71"/>
      <c r="E2300" s="71"/>
      <c r="F2300" s="69"/>
      <c r="G2300" s="69"/>
    </row>
    <row r="2301" spans="1:20">
      <c r="A2301" s="69">
        <f t="shared" si="144"/>
        <v>2300</v>
      </c>
      <c r="B2301" s="137"/>
      <c r="C2301" s="69"/>
      <c r="D2301" s="71"/>
      <c r="E2301" s="71"/>
      <c r="F2301" s="69"/>
      <c r="G2301" s="69"/>
    </row>
    <row r="2302" spans="1:20">
      <c r="A2302" s="69">
        <f t="shared" ref="A2302:A2365" si="145">ROW()-1</f>
        <v>2301</v>
      </c>
      <c r="B2302" s="137"/>
      <c r="C2302" s="69"/>
      <c r="D2302" s="71"/>
      <c r="E2302" s="71"/>
      <c r="F2302" s="69"/>
      <c r="G2302" s="69"/>
    </row>
    <row r="2303" spans="1:20">
      <c r="A2303" s="69">
        <f t="shared" si="145"/>
        <v>2302</v>
      </c>
      <c r="B2303" s="137"/>
      <c r="C2303" s="69"/>
      <c r="D2303" s="71"/>
      <c r="E2303" s="71"/>
      <c r="F2303" s="69"/>
      <c r="G2303" s="69"/>
    </row>
    <row r="2304" spans="1:20">
      <c r="A2304" s="69">
        <f t="shared" si="145"/>
        <v>2303</v>
      </c>
      <c r="B2304" s="137"/>
      <c r="C2304" s="69"/>
      <c r="D2304" s="71"/>
      <c r="E2304" s="71"/>
      <c r="F2304" s="69"/>
      <c r="G2304" s="69"/>
    </row>
    <row r="2305" spans="1:7">
      <c r="A2305" s="69">
        <f t="shared" si="145"/>
        <v>2304</v>
      </c>
      <c r="B2305" s="137"/>
      <c r="C2305" s="69"/>
      <c r="D2305" s="71"/>
      <c r="E2305" s="71"/>
      <c r="F2305" s="69"/>
      <c r="G2305" s="69"/>
    </row>
    <row r="2306" spans="1:7">
      <c r="A2306" s="69">
        <f t="shared" si="145"/>
        <v>2305</v>
      </c>
      <c r="B2306" s="137"/>
      <c r="C2306" s="69"/>
      <c r="D2306" s="71"/>
      <c r="E2306" s="71"/>
      <c r="F2306" s="69"/>
      <c r="G2306" s="69"/>
    </row>
    <row r="2307" spans="1:7">
      <c r="A2307" s="69">
        <f t="shared" si="145"/>
        <v>2306</v>
      </c>
      <c r="B2307" s="137"/>
      <c r="C2307" s="69"/>
      <c r="D2307" s="71"/>
      <c r="E2307" s="71"/>
      <c r="F2307" s="69"/>
      <c r="G2307" s="69"/>
    </row>
    <row r="2308" spans="1:7">
      <c r="A2308" s="69">
        <f t="shared" si="145"/>
        <v>2307</v>
      </c>
      <c r="B2308" s="137"/>
      <c r="C2308" s="69"/>
      <c r="D2308" s="71"/>
      <c r="E2308" s="71"/>
      <c r="F2308" s="69"/>
      <c r="G2308" s="69"/>
    </row>
    <row r="2309" spans="1:7">
      <c r="A2309" s="69">
        <f t="shared" si="145"/>
        <v>2308</v>
      </c>
      <c r="B2309" s="137"/>
      <c r="C2309" s="69"/>
      <c r="D2309" s="71"/>
      <c r="E2309" s="71"/>
      <c r="F2309" s="69"/>
      <c r="G2309" s="69"/>
    </row>
    <row r="2310" spans="1:7">
      <c r="A2310" s="69">
        <f t="shared" si="145"/>
        <v>2309</v>
      </c>
      <c r="B2310" s="137"/>
      <c r="C2310" s="69"/>
      <c r="D2310" s="71"/>
      <c r="E2310" s="71"/>
      <c r="F2310" s="69"/>
      <c r="G2310" s="69"/>
    </row>
    <row r="2311" spans="1:7">
      <c r="A2311" s="69">
        <f t="shared" si="145"/>
        <v>2310</v>
      </c>
      <c r="B2311" s="137"/>
      <c r="C2311" s="69"/>
      <c r="D2311" s="71"/>
      <c r="E2311" s="71"/>
      <c r="F2311" s="69"/>
      <c r="G2311" s="69"/>
    </row>
    <row r="2312" spans="1:7">
      <c r="A2312" s="69">
        <f t="shared" si="145"/>
        <v>2311</v>
      </c>
      <c r="B2312" s="137"/>
      <c r="C2312" s="69"/>
      <c r="D2312" s="71"/>
      <c r="E2312" s="71"/>
      <c r="F2312" s="69"/>
      <c r="G2312" s="69"/>
    </row>
    <row r="2313" spans="1:7">
      <c r="A2313" s="69">
        <f t="shared" si="145"/>
        <v>2312</v>
      </c>
      <c r="B2313" s="137"/>
      <c r="C2313" s="69"/>
      <c r="D2313" s="71"/>
      <c r="E2313" s="71"/>
      <c r="F2313" s="69"/>
      <c r="G2313" s="69"/>
    </row>
    <row r="2314" spans="1:7">
      <c r="A2314" s="69">
        <f t="shared" si="145"/>
        <v>2313</v>
      </c>
      <c r="B2314" s="137"/>
      <c r="C2314" s="69"/>
      <c r="D2314" s="71"/>
      <c r="E2314" s="71"/>
      <c r="F2314" s="69"/>
      <c r="G2314" s="69"/>
    </row>
    <row r="2315" spans="1:7">
      <c r="A2315" s="69">
        <f t="shared" si="145"/>
        <v>2314</v>
      </c>
      <c r="B2315" s="137"/>
      <c r="C2315" s="69"/>
      <c r="D2315" s="71"/>
      <c r="E2315" s="71"/>
      <c r="F2315" s="69"/>
      <c r="G2315" s="69"/>
    </row>
    <row r="2316" spans="1:7">
      <c r="A2316" s="69">
        <f t="shared" si="145"/>
        <v>2315</v>
      </c>
      <c r="B2316" s="137"/>
      <c r="C2316" s="69"/>
      <c r="D2316" s="71"/>
      <c r="E2316" s="71"/>
      <c r="F2316" s="69"/>
      <c r="G2316" s="69"/>
    </row>
    <row r="2317" spans="1:7">
      <c r="A2317" s="69">
        <f t="shared" si="145"/>
        <v>2316</v>
      </c>
      <c r="B2317" s="137"/>
      <c r="C2317" s="69"/>
      <c r="D2317" s="71"/>
      <c r="E2317" s="71"/>
      <c r="F2317" s="69"/>
      <c r="G2317" s="69"/>
    </row>
    <row r="2318" spans="1:7">
      <c r="A2318" s="69">
        <f t="shared" si="145"/>
        <v>2317</v>
      </c>
      <c r="B2318" s="137"/>
      <c r="C2318" s="69"/>
      <c r="D2318" s="71"/>
      <c r="E2318" s="71"/>
      <c r="F2318" s="69"/>
      <c r="G2318" s="69"/>
    </row>
    <row r="2319" spans="1:7">
      <c r="A2319" s="69">
        <f t="shared" si="145"/>
        <v>2318</v>
      </c>
      <c r="B2319" s="137"/>
      <c r="C2319" s="69"/>
      <c r="D2319" s="71"/>
      <c r="E2319" s="71"/>
      <c r="F2319" s="69"/>
      <c r="G2319" s="69"/>
    </row>
    <row r="2320" spans="1:7">
      <c r="A2320" s="69">
        <f t="shared" si="145"/>
        <v>2319</v>
      </c>
      <c r="B2320" s="137"/>
      <c r="C2320" s="69"/>
      <c r="D2320" s="71"/>
      <c r="E2320" s="71"/>
      <c r="F2320" s="69"/>
      <c r="G2320" s="69"/>
    </row>
    <row r="2321" spans="1:7">
      <c r="A2321" s="69">
        <f t="shared" si="145"/>
        <v>2320</v>
      </c>
      <c r="B2321" s="137"/>
      <c r="C2321" s="69"/>
      <c r="D2321" s="71"/>
      <c r="E2321" s="71"/>
      <c r="F2321" s="69"/>
      <c r="G2321" s="69"/>
    </row>
    <row r="2322" spans="1:7">
      <c r="A2322" s="69">
        <f t="shared" si="145"/>
        <v>2321</v>
      </c>
      <c r="B2322" s="137"/>
      <c r="C2322" s="69"/>
      <c r="D2322" s="71"/>
      <c r="E2322" s="71"/>
      <c r="F2322" s="69"/>
      <c r="G2322" s="69"/>
    </row>
    <row r="2323" spans="1:7">
      <c r="A2323" s="69">
        <f t="shared" si="145"/>
        <v>2322</v>
      </c>
      <c r="B2323" s="137"/>
      <c r="C2323" s="69"/>
      <c r="D2323" s="71"/>
      <c r="E2323" s="71"/>
      <c r="F2323" s="69"/>
      <c r="G2323" s="69"/>
    </row>
    <row r="2324" spans="1:7">
      <c r="A2324" s="69">
        <f t="shared" si="145"/>
        <v>2323</v>
      </c>
      <c r="B2324" s="137"/>
      <c r="C2324" s="69"/>
      <c r="D2324" s="71"/>
      <c r="E2324" s="71"/>
      <c r="F2324" s="69"/>
      <c r="G2324" s="69"/>
    </row>
    <row r="2325" spans="1:7">
      <c r="A2325" s="69">
        <f t="shared" si="145"/>
        <v>2324</v>
      </c>
      <c r="B2325" s="137"/>
      <c r="C2325" s="69"/>
      <c r="D2325" s="71"/>
      <c r="E2325" s="71"/>
      <c r="F2325" s="69"/>
      <c r="G2325" s="69"/>
    </row>
    <row r="2326" spans="1:7">
      <c r="A2326" s="69">
        <f t="shared" si="145"/>
        <v>2325</v>
      </c>
      <c r="B2326" s="137"/>
      <c r="C2326" s="69"/>
      <c r="D2326" s="71"/>
      <c r="E2326" s="71"/>
      <c r="F2326" s="69"/>
      <c r="G2326" s="69"/>
    </row>
    <row r="2327" spans="1:7">
      <c r="A2327" s="69">
        <f t="shared" si="145"/>
        <v>2326</v>
      </c>
      <c r="B2327" s="137"/>
      <c r="C2327" s="69"/>
      <c r="D2327" s="71"/>
      <c r="E2327" s="71"/>
      <c r="F2327" s="69"/>
      <c r="G2327" s="69"/>
    </row>
    <row r="2328" spans="1:7">
      <c r="A2328" s="69">
        <f t="shared" si="145"/>
        <v>2327</v>
      </c>
      <c r="B2328" s="137"/>
      <c r="C2328" s="69"/>
      <c r="D2328" s="71"/>
      <c r="E2328" s="71"/>
      <c r="F2328" s="69"/>
      <c r="G2328" s="69"/>
    </row>
    <row r="2329" spans="1:7">
      <c r="A2329" s="69">
        <f t="shared" si="145"/>
        <v>2328</v>
      </c>
      <c r="B2329" s="137"/>
      <c r="C2329" s="69"/>
      <c r="D2329" s="71"/>
      <c r="E2329" s="71"/>
      <c r="F2329" s="69"/>
      <c r="G2329" s="69"/>
    </row>
    <row r="2330" spans="1:7">
      <c r="A2330" s="69">
        <f t="shared" si="145"/>
        <v>2329</v>
      </c>
      <c r="B2330" s="137"/>
      <c r="C2330" s="69"/>
      <c r="D2330" s="71"/>
      <c r="E2330" s="71"/>
      <c r="F2330" s="69"/>
      <c r="G2330" s="69"/>
    </row>
    <row r="2331" spans="1:7">
      <c r="A2331" s="69">
        <f t="shared" si="145"/>
        <v>2330</v>
      </c>
      <c r="B2331" s="137"/>
      <c r="C2331" s="69"/>
      <c r="D2331" s="71"/>
      <c r="E2331" s="71"/>
      <c r="F2331" s="69"/>
      <c r="G2331" s="69"/>
    </row>
    <row r="2332" spans="1:7">
      <c r="A2332" s="69">
        <f t="shared" si="145"/>
        <v>2331</v>
      </c>
      <c r="B2332" s="137"/>
      <c r="C2332" s="69"/>
      <c r="D2332" s="71"/>
      <c r="E2332" s="71"/>
      <c r="F2332" s="69"/>
      <c r="G2332" s="69"/>
    </row>
    <row r="2333" spans="1:7">
      <c r="A2333" s="69">
        <f t="shared" si="145"/>
        <v>2332</v>
      </c>
      <c r="B2333" s="137"/>
      <c r="C2333" s="69"/>
      <c r="D2333" s="71"/>
      <c r="E2333" s="71"/>
      <c r="F2333" s="69"/>
      <c r="G2333" s="69"/>
    </row>
    <row r="2334" spans="1:7">
      <c r="A2334" s="69">
        <f t="shared" si="145"/>
        <v>2333</v>
      </c>
      <c r="B2334" s="137"/>
      <c r="C2334" s="69"/>
      <c r="D2334" s="71"/>
      <c r="E2334" s="71"/>
      <c r="F2334" s="69"/>
      <c r="G2334" s="69"/>
    </row>
    <row r="2335" spans="1:7">
      <c r="A2335" s="69">
        <f t="shared" si="145"/>
        <v>2334</v>
      </c>
      <c r="B2335" s="137"/>
      <c r="C2335" s="69"/>
      <c r="D2335" s="71"/>
      <c r="E2335" s="71"/>
      <c r="F2335" s="69"/>
      <c r="G2335" s="69"/>
    </row>
    <row r="2336" spans="1:7">
      <c r="A2336" s="69">
        <f t="shared" si="145"/>
        <v>2335</v>
      </c>
      <c r="B2336" s="137"/>
      <c r="C2336" s="69"/>
      <c r="D2336" s="71"/>
      <c r="E2336" s="71"/>
      <c r="F2336" s="69"/>
      <c r="G2336" s="69"/>
    </row>
    <row r="2337" spans="1:7">
      <c r="A2337" s="69">
        <f t="shared" si="145"/>
        <v>2336</v>
      </c>
      <c r="B2337" s="137"/>
      <c r="C2337" s="69"/>
      <c r="D2337" s="71"/>
      <c r="E2337" s="71"/>
      <c r="F2337" s="69"/>
      <c r="G2337" s="69"/>
    </row>
    <row r="2338" spans="1:7">
      <c r="A2338" s="69">
        <f t="shared" si="145"/>
        <v>2337</v>
      </c>
      <c r="B2338" s="137"/>
      <c r="C2338" s="69"/>
      <c r="D2338" s="71"/>
      <c r="E2338" s="71"/>
      <c r="F2338" s="69"/>
      <c r="G2338" s="69"/>
    </row>
    <row r="2339" spans="1:7">
      <c r="A2339" s="69">
        <f t="shared" si="145"/>
        <v>2338</v>
      </c>
      <c r="B2339" s="137"/>
      <c r="C2339" s="69"/>
      <c r="D2339" s="71"/>
      <c r="E2339" s="71"/>
      <c r="F2339" s="69"/>
      <c r="G2339" s="69"/>
    </row>
    <row r="2340" spans="1:7">
      <c r="A2340" s="69">
        <f t="shared" si="145"/>
        <v>2339</v>
      </c>
      <c r="B2340" s="137"/>
      <c r="C2340" s="69"/>
      <c r="D2340" s="71"/>
      <c r="E2340" s="71"/>
      <c r="F2340" s="69"/>
      <c r="G2340" s="69"/>
    </row>
    <row r="2341" spans="1:7">
      <c r="A2341" s="69">
        <f t="shared" si="145"/>
        <v>2340</v>
      </c>
      <c r="B2341" s="137"/>
      <c r="C2341" s="69"/>
      <c r="D2341" s="71"/>
      <c r="E2341" s="71"/>
      <c r="F2341" s="69"/>
      <c r="G2341" s="69"/>
    </row>
    <row r="2342" spans="1:7">
      <c r="A2342" s="69">
        <f t="shared" si="145"/>
        <v>2341</v>
      </c>
      <c r="B2342" s="137"/>
      <c r="C2342" s="69"/>
      <c r="D2342" s="71"/>
      <c r="E2342" s="71"/>
      <c r="F2342" s="69"/>
      <c r="G2342" s="69"/>
    </row>
    <row r="2343" spans="1:7">
      <c r="A2343" s="69">
        <f t="shared" si="145"/>
        <v>2342</v>
      </c>
      <c r="B2343" s="137"/>
      <c r="C2343" s="69"/>
      <c r="D2343" s="71"/>
      <c r="E2343" s="71"/>
      <c r="F2343" s="69"/>
      <c r="G2343" s="69"/>
    </row>
    <row r="2344" spans="1:7">
      <c r="A2344" s="69">
        <f t="shared" si="145"/>
        <v>2343</v>
      </c>
      <c r="B2344" s="137"/>
      <c r="C2344" s="69"/>
      <c r="D2344" s="71"/>
      <c r="E2344" s="71"/>
      <c r="F2344" s="69"/>
      <c r="G2344" s="69"/>
    </row>
    <row r="2345" spans="1:7">
      <c r="A2345" s="69">
        <f t="shared" si="145"/>
        <v>2344</v>
      </c>
      <c r="B2345" s="137"/>
      <c r="C2345" s="69"/>
      <c r="D2345" s="71"/>
      <c r="E2345" s="71"/>
      <c r="F2345" s="69"/>
      <c r="G2345" s="69"/>
    </row>
    <row r="2346" spans="1:7">
      <c r="A2346" s="69">
        <f t="shared" si="145"/>
        <v>2345</v>
      </c>
      <c r="B2346" s="137"/>
      <c r="C2346" s="69"/>
      <c r="D2346" s="71"/>
      <c r="E2346" s="71"/>
      <c r="F2346" s="69"/>
      <c r="G2346" s="69"/>
    </row>
    <row r="2347" spans="1:7">
      <c r="A2347" s="69">
        <f t="shared" si="145"/>
        <v>2346</v>
      </c>
      <c r="B2347" s="137"/>
      <c r="C2347" s="69"/>
      <c r="D2347" s="71"/>
      <c r="E2347" s="71"/>
      <c r="F2347" s="69"/>
      <c r="G2347" s="69"/>
    </row>
    <row r="2348" spans="1:7">
      <c r="A2348" s="69">
        <f t="shared" si="145"/>
        <v>2347</v>
      </c>
      <c r="B2348" s="137"/>
      <c r="C2348" s="69"/>
      <c r="D2348" s="71"/>
      <c r="E2348" s="71"/>
      <c r="F2348" s="69"/>
      <c r="G2348" s="69"/>
    </row>
    <row r="2349" spans="1:7">
      <c r="A2349" s="69">
        <f t="shared" si="145"/>
        <v>2348</v>
      </c>
      <c r="B2349" s="137"/>
      <c r="C2349" s="69"/>
      <c r="D2349" s="71"/>
      <c r="E2349" s="71"/>
      <c r="F2349" s="69"/>
      <c r="G2349" s="69"/>
    </row>
    <row r="2350" spans="1:7">
      <c r="A2350" s="69">
        <f t="shared" si="145"/>
        <v>2349</v>
      </c>
      <c r="B2350" s="137"/>
      <c r="C2350" s="69"/>
      <c r="D2350" s="71"/>
      <c r="E2350" s="71"/>
      <c r="F2350" s="69"/>
      <c r="G2350" s="69"/>
    </row>
    <row r="2351" spans="1:7">
      <c r="A2351" s="69">
        <f t="shared" si="145"/>
        <v>2350</v>
      </c>
      <c r="B2351" s="137"/>
      <c r="C2351" s="69"/>
      <c r="D2351" s="71"/>
      <c r="E2351" s="71"/>
      <c r="F2351" s="69"/>
      <c r="G2351" s="69"/>
    </row>
    <row r="2352" spans="1:7">
      <c r="A2352" s="69">
        <f t="shared" si="145"/>
        <v>2351</v>
      </c>
      <c r="B2352" s="137"/>
      <c r="C2352" s="69"/>
      <c r="D2352" s="71"/>
      <c r="E2352" s="71"/>
      <c r="F2352" s="69"/>
      <c r="G2352" s="69"/>
    </row>
    <row r="2353" spans="1:7">
      <c r="A2353" s="69">
        <f t="shared" si="145"/>
        <v>2352</v>
      </c>
      <c r="B2353" s="137"/>
      <c r="C2353" s="69"/>
      <c r="D2353" s="71"/>
      <c r="E2353" s="71"/>
      <c r="F2353" s="69"/>
      <c r="G2353" s="69"/>
    </row>
    <row r="2354" spans="1:7">
      <c r="A2354" s="69">
        <f t="shared" si="145"/>
        <v>2353</v>
      </c>
      <c r="B2354" s="137"/>
      <c r="C2354" s="69"/>
      <c r="D2354" s="71"/>
      <c r="E2354" s="71"/>
      <c r="F2354" s="69"/>
      <c r="G2354" s="69"/>
    </row>
    <row r="2355" spans="1:7">
      <c r="A2355" s="69">
        <f t="shared" si="145"/>
        <v>2354</v>
      </c>
      <c r="B2355" s="137"/>
      <c r="C2355" s="69"/>
      <c r="D2355" s="71"/>
      <c r="E2355" s="71"/>
      <c r="F2355" s="69"/>
      <c r="G2355" s="69"/>
    </row>
    <row r="2356" spans="1:7">
      <c r="A2356" s="69">
        <f t="shared" si="145"/>
        <v>2355</v>
      </c>
      <c r="B2356" s="137"/>
      <c r="C2356" s="69"/>
      <c r="D2356" s="71"/>
      <c r="E2356" s="71"/>
      <c r="F2356" s="69"/>
      <c r="G2356" s="69"/>
    </row>
    <row r="2357" spans="1:7">
      <c r="A2357" s="69">
        <f t="shared" si="145"/>
        <v>2356</v>
      </c>
      <c r="B2357" s="137"/>
      <c r="C2357" s="69"/>
      <c r="D2357" s="71"/>
      <c r="E2357" s="71"/>
      <c r="F2357" s="69"/>
      <c r="G2357" s="69"/>
    </row>
    <row r="2358" spans="1:7">
      <c r="A2358" s="69">
        <f t="shared" si="145"/>
        <v>2357</v>
      </c>
      <c r="B2358" s="137"/>
      <c r="C2358" s="69"/>
      <c r="D2358" s="71"/>
      <c r="E2358" s="71"/>
      <c r="F2358" s="69"/>
      <c r="G2358" s="69"/>
    </row>
    <row r="2359" spans="1:7">
      <c r="A2359" s="69">
        <f t="shared" si="145"/>
        <v>2358</v>
      </c>
      <c r="B2359" s="137"/>
      <c r="C2359" s="69"/>
      <c r="D2359" s="71"/>
      <c r="E2359" s="71"/>
      <c r="F2359" s="69"/>
      <c r="G2359" s="69"/>
    </row>
    <row r="2360" spans="1:7">
      <c r="A2360" s="69">
        <f t="shared" si="145"/>
        <v>2359</v>
      </c>
      <c r="B2360" s="137"/>
      <c r="C2360" s="69"/>
      <c r="D2360" s="71"/>
      <c r="E2360" s="71"/>
      <c r="F2360" s="69"/>
      <c r="G2360" s="69"/>
    </row>
    <row r="2361" spans="1:7">
      <c r="A2361" s="69">
        <f t="shared" si="145"/>
        <v>2360</v>
      </c>
      <c r="B2361" s="137"/>
      <c r="C2361" s="69"/>
      <c r="D2361" s="71"/>
      <c r="E2361" s="71"/>
      <c r="F2361" s="69"/>
      <c r="G2361" s="69"/>
    </row>
    <row r="2362" spans="1:7">
      <c r="A2362" s="69">
        <f t="shared" si="145"/>
        <v>2361</v>
      </c>
      <c r="B2362" s="137"/>
      <c r="C2362" s="69"/>
      <c r="D2362" s="71"/>
      <c r="E2362" s="71"/>
      <c r="F2362" s="69"/>
      <c r="G2362" s="69"/>
    </row>
    <row r="2363" spans="1:7">
      <c r="A2363" s="69">
        <f t="shared" si="145"/>
        <v>2362</v>
      </c>
      <c r="B2363" s="137"/>
      <c r="C2363" s="69"/>
      <c r="D2363" s="71"/>
      <c r="E2363" s="71"/>
      <c r="F2363" s="69"/>
      <c r="G2363" s="69"/>
    </row>
    <row r="2364" spans="1:7">
      <c r="A2364" s="69">
        <f t="shared" si="145"/>
        <v>2363</v>
      </c>
      <c r="B2364" s="137"/>
      <c r="C2364" s="69"/>
      <c r="D2364" s="71"/>
      <c r="E2364" s="71"/>
      <c r="F2364" s="69"/>
      <c r="G2364" s="69"/>
    </row>
    <row r="2365" spans="1:7">
      <c r="A2365" s="69">
        <f t="shared" si="145"/>
        <v>2364</v>
      </c>
      <c r="B2365" s="137"/>
      <c r="C2365" s="69"/>
      <c r="D2365" s="71"/>
      <c r="E2365" s="71"/>
      <c r="F2365" s="69"/>
      <c r="G2365" s="69"/>
    </row>
    <row r="2366" spans="1:7">
      <c r="A2366" s="69">
        <f t="shared" ref="A2366:A2429" si="146">ROW()-1</f>
        <v>2365</v>
      </c>
      <c r="B2366" s="137"/>
      <c r="C2366" s="69"/>
      <c r="D2366" s="71"/>
      <c r="E2366" s="71"/>
      <c r="F2366" s="69"/>
      <c r="G2366" s="69"/>
    </row>
    <row r="2367" spans="1:7">
      <c r="A2367" s="69">
        <f t="shared" si="146"/>
        <v>2366</v>
      </c>
      <c r="B2367" s="137"/>
      <c r="C2367" s="69"/>
      <c r="D2367" s="71"/>
      <c r="E2367" s="71"/>
      <c r="F2367" s="69"/>
      <c r="G2367" s="69"/>
    </row>
    <row r="2368" spans="1:7">
      <c r="A2368" s="69">
        <f t="shared" si="146"/>
        <v>2367</v>
      </c>
      <c r="B2368" s="137"/>
      <c r="C2368" s="69"/>
      <c r="D2368" s="71"/>
      <c r="E2368" s="71"/>
      <c r="F2368" s="69"/>
      <c r="G2368" s="69"/>
    </row>
    <row r="2369" spans="1:7">
      <c r="A2369" s="69">
        <f t="shared" si="146"/>
        <v>2368</v>
      </c>
      <c r="B2369" s="137"/>
      <c r="C2369" s="69"/>
      <c r="D2369" s="71"/>
      <c r="E2369" s="71"/>
      <c r="F2369" s="69"/>
      <c r="G2369" s="69"/>
    </row>
    <row r="2370" spans="1:7">
      <c r="A2370" s="69">
        <f t="shared" si="146"/>
        <v>2369</v>
      </c>
      <c r="B2370" s="137"/>
      <c r="C2370" s="69"/>
      <c r="D2370" s="71"/>
      <c r="E2370" s="71"/>
      <c r="F2370" s="69"/>
      <c r="G2370" s="69"/>
    </row>
    <row r="2371" spans="1:7">
      <c r="A2371" s="69">
        <f t="shared" si="146"/>
        <v>2370</v>
      </c>
      <c r="B2371" s="137"/>
      <c r="C2371" s="69"/>
      <c r="D2371" s="71"/>
      <c r="E2371" s="71"/>
      <c r="F2371" s="69"/>
      <c r="G2371" s="69"/>
    </row>
    <row r="2372" spans="1:7">
      <c r="A2372" s="69">
        <f t="shared" si="146"/>
        <v>2371</v>
      </c>
      <c r="B2372" s="137"/>
      <c r="C2372" s="69"/>
      <c r="D2372" s="71"/>
      <c r="E2372" s="71"/>
      <c r="F2372" s="69"/>
      <c r="G2372" s="69"/>
    </row>
    <row r="2373" spans="1:7">
      <c r="A2373" s="69">
        <f t="shared" si="146"/>
        <v>2372</v>
      </c>
      <c r="B2373" s="137"/>
      <c r="C2373" s="69"/>
      <c r="D2373" s="71"/>
      <c r="E2373" s="71"/>
      <c r="F2373" s="69"/>
      <c r="G2373" s="69"/>
    </row>
    <row r="2374" spans="1:7">
      <c r="A2374" s="69">
        <f t="shared" si="146"/>
        <v>2373</v>
      </c>
      <c r="B2374" s="137"/>
      <c r="C2374" s="69"/>
      <c r="D2374" s="71"/>
      <c r="E2374" s="71"/>
      <c r="F2374" s="69"/>
      <c r="G2374" s="69"/>
    </row>
    <row r="2375" spans="1:7">
      <c r="A2375" s="69">
        <f t="shared" si="146"/>
        <v>2374</v>
      </c>
      <c r="B2375" s="137"/>
      <c r="C2375" s="69"/>
      <c r="D2375" s="71"/>
      <c r="E2375" s="71"/>
      <c r="F2375" s="69"/>
      <c r="G2375" s="69"/>
    </row>
    <row r="2376" spans="1:7">
      <c r="A2376" s="69">
        <f t="shared" si="146"/>
        <v>2375</v>
      </c>
      <c r="B2376" s="137"/>
      <c r="C2376" s="69"/>
      <c r="D2376" s="71"/>
      <c r="E2376" s="71"/>
      <c r="F2376" s="69"/>
      <c r="G2376" s="69"/>
    </row>
    <row r="2377" spans="1:7">
      <c r="A2377" s="69">
        <f t="shared" si="146"/>
        <v>2376</v>
      </c>
      <c r="B2377" s="137"/>
      <c r="C2377" s="69"/>
      <c r="D2377" s="71"/>
      <c r="E2377" s="71"/>
      <c r="F2377" s="69"/>
      <c r="G2377" s="69"/>
    </row>
    <row r="2378" spans="1:7">
      <c r="A2378" s="69">
        <f t="shared" si="146"/>
        <v>2377</v>
      </c>
      <c r="B2378" s="137"/>
      <c r="C2378" s="69"/>
      <c r="D2378" s="71"/>
      <c r="E2378" s="71"/>
      <c r="F2378" s="69"/>
      <c r="G2378" s="69"/>
    </row>
    <row r="2379" spans="1:7">
      <c r="A2379" s="69">
        <f t="shared" si="146"/>
        <v>2378</v>
      </c>
      <c r="B2379" s="137"/>
      <c r="C2379" s="69"/>
      <c r="D2379" s="71"/>
      <c r="E2379" s="71"/>
      <c r="F2379" s="69"/>
      <c r="G2379" s="69"/>
    </row>
    <row r="2380" spans="1:7">
      <c r="A2380" s="69">
        <f t="shared" si="146"/>
        <v>2379</v>
      </c>
      <c r="B2380" s="137"/>
      <c r="C2380" s="69"/>
      <c r="D2380" s="71"/>
      <c r="E2380" s="71"/>
      <c r="F2380" s="69"/>
      <c r="G2380" s="69"/>
    </row>
    <row r="2381" spans="1:7">
      <c r="A2381" s="69">
        <f t="shared" si="146"/>
        <v>2380</v>
      </c>
      <c r="B2381" s="137"/>
      <c r="C2381" s="69"/>
      <c r="D2381" s="71"/>
      <c r="E2381" s="71"/>
      <c r="F2381" s="69"/>
      <c r="G2381" s="69"/>
    </row>
    <row r="2382" spans="1:7">
      <c r="A2382" s="69">
        <f t="shared" si="146"/>
        <v>2381</v>
      </c>
      <c r="B2382" s="137"/>
      <c r="C2382" s="69"/>
      <c r="D2382" s="71"/>
      <c r="E2382" s="71"/>
      <c r="F2382" s="69"/>
      <c r="G2382" s="69"/>
    </row>
    <row r="2383" spans="1:7">
      <c r="A2383" s="69">
        <f t="shared" si="146"/>
        <v>2382</v>
      </c>
      <c r="B2383" s="137"/>
      <c r="C2383" s="69"/>
      <c r="D2383" s="71"/>
      <c r="E2383" s="71"/>
      <c r="F2383" s="69"/>
      <c r="G2383" s="69"/>
    </row>
    <row r="2384" spans="1:7">
      <c r="A2384" s="69">
        <f t="shared" si="146"/>
        <v>2383</v>
      </c>
      <c r="B2384" s="137"/>
      <c r="C2384" s="69"/>
      <c r="D2384" s="71"/>
      <c r="E2384" s="71"/>
      <c r="F2384" s="69"/>
      <c r="G2384" s="69"/>
    </row>
    <row r="2385" spans="1:7">
      <c r="A2385" s="69">
        <f t="shared" si="146"/>
        <v>2384</v>
      </c>
      <c r="B2385" s="137"/>
      <c r="C2385" s="69"/>
      <c r="D2385" s="71"/>
      <c r="E2385" s="71"/>
      <c r="F2385" s="69"/>
      <c r="G2385" s="69"/>
    </row>
    <row r="2386" spans="1:7">
      <c r="A2386" s="69">
        <f t="shared" si="146"/>
        <v>2385</v>
      </c>
      <c r="B2386" s="137"/>
      <c r="C2386" s="69"/>
      <c r="D2386" s="71"/>
      <c r="E2386" s="71"/>
      <c r="F2386" s="69"/>
      <c r="G2386" s="69"/>
    </row>
    <row r="2387" spans="1:7">
      <c r="A2387" s="69">
        <f t="shared" si="146"/>
        <v>2386</v>
      </c>
      <c r="B2387" s="137"/>
      <c r="C2387" s="69"/>
      <c r="D2387" s="71"/>
      <c r="E2387" s="71"/>
      <c r="F2387" s="69"/>
      <c r="G2387" s="69"/>
    </row>
    <row r="2388" spans="1:7">
      <c r="A2388" s="69">
        <f t="shared" si="146"/>
        <v>2387</v>
      </c>
      <c r="B2388" s="137"/>
      <c r="C2388" s="69"/>
      <c r="D2388" s="71"/>
      <c r="E2388" s="71"/>
      <c r="F2388" s="69"/>
      <c r="G2388" s="69"/>
    </row>
    <row r="2389" spans="1:7">
      <c r="A2389" s="69">
        <f t="shared" si="146"/>
        <v>2388</v>
      </c>
      <c r="B2389" s="137"/>
      <c r="C2389" s="69"/>
      <c r="D2389" s="71"/>
      <c r="E2389" s="71"/>
      <c r="F2389" s="69"/>
      <c r="G2389" s="69"/>
    </row>
    <row r="2390" spans="1:7">
      <c r="A2390" s="69">
        <f t="shared" si="146"/>
        <v>2389</v>
      </c>
      <c r="B2390" s="137"/>
      <c r="C2390" s="69"/>
      <c r="D2390" s="71"/>
      <c r="E2390" s="71"/>
      <c r="F2390" s="69"/>
      <c r="G2390" s="69"/>
    </row>
    <row r="2391" spans="1:7">
      <c r="A2391" s="69">
        <f t="shared" si="146"/>
        <v>2390</v>
      </c>
      <c r="B2391" s="137"/>
      <c r="C2391" s="69"/>
      <c r="D2391" s="71"/>
      <c r="E2391" s="71"/>
      <c r="F2391" s="69"/>
      <c r="G2391" s="69"/>
    </row>
    <row r="2392" spans="1:7">
      <c r="A2392" s="69">
        <f t="shared" si="146"/>
        <v>2391</v>
      </c>
      <c r="B2392" s="137"/>
      <c r="C2392" s="69"/>
      <c r="D2392" s="71"/>
      <c r="E2392" s="71"/>
      <c r="F2392" s="69"/>
      <c r="G2392" s="69"/>
    </row>
    <row r="2393" spans="1:7">
      <c r="A2393" s="69">
        <f t="shared" si="146"/>
        <v>2392</v>
      </c>
      <c r="B2393" s="137"/>
      <c r="C2393" s="69"/>
      <c r="D2393" s="71"/>
      <c r="E2393" s="71"/>
      <c r="F2393" s="69"/>
      <c r="G2393" s="69"/>
    </row>
    <row r="2394" spans="1:7">
      <c r="A2394" s="69">
        <f t="shared" si="146"/>
        <v>2393</v>
      </c>
      <c r="B2394" s="137"/>
      <c r="C2394" s="69"/>
      <c r="D2394" s="71"/>
      <c r="E2394" s="71"/>
      <c r="F2394" s="69"/>
      <c r="G2394" s="69"/>
    </row>
    <row r="2395" spans="1:7">
      <c r="A2395" s="69">
        <f t="shared" si="146"/>
        <v>2394</v>
      </c>
      <c r="B2395" s="137"/>
      <c r="C2395" s="69"/>
      <c r="D2395" s="71"/>
      <c r="E2395" s="71"/>
      <c r="F2395" s="69"/>
      <c r="G2395" s="69"/>
    </row>
    <row r="2396" spans="1:7">
      <c r="A2396" s="69">
        <f t="shared" si="146"/>
        <v>2395</v>
      </c>
      <c r="B2396" s="137"/>
      <c r="C2396" s="69"/>
      <c r="D2396" s="71"/>
      <c r="E2396" s="71"/>
      <c r="F2396" s="69"/>
      <c r="G2396" s="69"/>
    </row>
    <row r="2397" spans="1:7">
      <c r="A2397" s="69">
        <f t="shared" si="146"/>
        <v>2396</v>
      </c>
      <c r="B2397" s="137"/>
      <c r="C2397" s="69"/>
      <c r="D2397" s="71"/>
      <c r="E2397" s="71"/>
      <c r="F2397" s="69"/>
      <c r="G2397" s="69"/>
    </row>
    <row r="2398" spans="1:7">
      <c r="A2398" s="69">
        <f t="shared" si="146"/>
        <v>2397</v>
      </c>
      <c r="B2398" s="137"/>
      <c r="C2398" s="69"/>
      <c r="D2398" s="71"/>
      <c r="E2398" s="71"/>
      <c r="F2398" s="69"/>
      <c r="G2398" s="69"/>
    </row>
    <row r="2399" spans="1:7">
      <c r="A2399" s="69">
        <f t="shared" si="146"/>
        <v>2398</v>
      </c>
      <c r="B2399" s="137"/>
      <c r="C2399" s="69"/>
      <c r="D2399" s="71"/>
      <c r="E2399" s="71"/>
      <c r="F2399" s="69"/>
      <c r="G2399" s="69"/>
    </row>
    <row r="2400" spans="1:7">
      <c r="A2400" s="69">
        <f t="shared" si="146"/>
        <v>2399</v>
      </c>
      <c r="B2400" s="137"/>
      <c r="C2400" s="69"/>
      <c r="D2400" s="71"/>
      <c r="E2400" s="71"/>
      <c r="F2400" s="69"/>
      <c r="G2400" s="69"/>
    </row>
    <row r="2401" spans="1:7">
      <c r="A2401" s="69">
        <f t="shared" si="146"/>
        <v>2400</v>
      </c>
      <c r="B2401" s="137"/>
      <c r="C2401" s="69"/>
      <c r="D2401" s="71"/>
      <c r="E2401" s="71"/>
      <c r="F2401" s="69"/>
      <c r="G2401" s="69"/>
    </row>
    <row r="2402" spans="1:7">
      <c r="A2402" s="69">
        <f t="shared" si="146"/>
        <v>2401</v>
      </c>
      <c r="B2402" s="137"/>
      <c r="C2402" s="69"/>
      <c r="D2402" s="71"/>
      <c r="E2402" s="71"/>
      <c r="F2402" s="69"/>
      <c r="G2402" s="69"/>
    </row>
    <row r="2403" spans="1:7">
      <c r="A2403" s="69">
        <f t="shared" si="146"/>
        <v>2402</v>
      </c>
      <c r="B2403" s="137"/>
      <c r="C2403" s="69"/>
      <c r="D2403" s="71"/>
      <c r="E2403" s="71"/>
      <c r="F2403" s="69"/>
      <c r="G2403" s="69"/>
    </row>
    <row r="2404" spans="1:7">
      <c r="A2404" s="69">
        <f t="shared" si="146"/>
        <v>2403</v>
      </c>
      <c r="B2404" s="137"/>
      <c r="C2404" s="69"/>
      <c r="D2404" s="71"/>
      <c r="E2404" s="71"/>
      <c r="F2404" s="69"/>
      <c r="G2404" s="69"/>
    </row>
    <row r="2405" spans="1:7">
      <c r="A2405" s="69">
        <f t="shared" si="146"/>
        <v>2404</v>
      </c>
      <c r="B2405" s="137"/>
      <c r="C2405" s="69"/>
      <c r="D2405" s="71"/>
      <c r="E2405" s="71"/>
      <c r="F2405" s="69"/>
      <c r="G2405" s="69"/>
    </row>
    <row r="2406" spans="1:7">
      <c r="A2406" s="69">
        <f t="shared" si="146"/>
        <v>2405</v>
      </c>
      <c r="B2406" s="137"/>
      <c r="C2406" s="69"/>
      <c r="D2406" s="71"/>
      <c r="E2406" s="71"/>
      <c r="F2406" s="69"/>
      <c r="G2406" s="69"/>
    </row>
    <row r="2407" spans="1:7">
      <c r="A2407" s="69">
        <f t="shared" si="146"/>
        <v>2406</v>
      </c>
      <c r="B2407" s="137"/>
      <c r="C2407" s="69"/>
      <c r="D2407" s="71"/>
      <c r="E2407" s="71"/>
      <c r="F2407" s="69"/>
      <c r="G2407" s="69"/>
    </row>
    <row r="2408" spans="1:7">
      <c r="A2408" s="69">
        <f t="shared" si="146"/>
        <v>2407</v>
      </c>
      <c r="B2408" s="137"/>
      <c r="C2408" s="69"/>
      <c r="D2408" s="71"/>
      <c r="E2408" s="71"/>
      <c r="F2408" s="69"/>
      <c r="G2408" s="69"/>
    </row>
    <row r="2409" spans="1:7">
      <c r="A2409" s="69">
        <f t="shared" si="146"/>
        <v>2408</v>
      </c>
      <c r="B2409" s="137"/>
      <c r="C2409" s="69"/>
      <c r="D2409" s="71"/>
      <c r="E2409" s="71"/>
      <c r="F2409" s="69"/>
      <c r="G2409" s="69"/>
    </row>
    <row r="2410" spans="1:7">
      <c r="A2410" s="69">
        <f t="shared" si="146"/>
        <v>2409</v>
      </c>
      <c r="B2410" s="137"/>
      <c r="C2410" s="69"/>
      <c r="D2410" s="71"/>
      <c r="E2410" s="71"/>
      <c r="F2410" s="69"/>
      <c r="G2410" s="69"/>
    </row>
    <row r="2411" spans="1:7">
      <c r="A2411" s="69">
        <f t="shared" si="146"/>
        <v>2410</v>
      </c>
      <c r="B2411" s="137"/>
      <c r="C2411" s="69"/>
      <c r="D2411" s="71"/>
      <c r="E2411" s="71"/>
      <c r="F2411" s="69"/>
      <c r="G2411" s="69"/>
    </row>
    <row r="2412" spans="1:7">
      <c r="A2412" s="69">
        <f t="shared" si="146"/>
        <v>2411</v>
      </c>
      <c r="B2412" s="137"/>
      <c r="C2412" s="69"/>
      <c r="D2412" s="71"/>
      <c r="E2412" s="71"/>
      <c r="F2412" s="69"/>
      <c r="G2412" s="69"/>
    </row>
    <row r="2413" spans="1:7">
      <c r="A2413" s="69">
        <f t="shared" si="146"/>
        <v>2412</v>
      </c>
      <c r="B2413" s="137"/>
      <c r="C2413" s="69"/>
      <c r="D2413" s="71"/>
      <c r="E2413" s="71"/>
      <c r="F2413" s="69"/>
      <c r="G2413" s="69"/>
    </row>
    <row r="2414" spans="1:7">
      <c r="A2414" s="69">
        <f t="shared" si="146"/>
        <v>2413</v>
      </c>
      <c r="B2414" s="137"/>
      <c r="C2414" s="69"/>
      <c r="D2414" s="71"/>
      <c r="E2414" s="71"/>
      <c r="F2414" s="69"/>
      <c r="G2414" s="69"/>
    </row>
    <row r="2415" spans="1:7">
      <c r="A2415" s="69">
        <f t="shared" si="146"/>
        <v>2414</v>
      </c>
      <c r="B2415" s="137"/>
      <c r="C2415" s="69"/>
      <c r="D2415" s="71"/>
      <c r="E2415" s="71"/>
      <c r="F2415" s="69"/>
      <c r="G2415" s="69"/>
    </row>
    <row r="2416" spans="1:7">
      <c r="A2416" s="69">
        <f t="shared" si="146"/>
        <v>2415</v>
      </c>
      <c r="B2416" s="137"/>
      <c r="C2416" s="69"/>
      <c r="D2416" s="71"/>
      <c r="E2416" s="71"/>
      <c r="F2416" s="69"/>
      <c r="G2416" s="69"/>
    </row>
    <row r="2417" spans="1:7">
      <c r="A2417" s="69">
        <f t="shared" si="146"/>
        <v>2416</v>
      </c>
      <c r="B2417" s="137"/>
      <c r="C2417" s="69"/>
      <c r="D2417" s="71"/>
      <c r="E2417" s="71"/>
      <c r="F2417" s="69"/>
      <c r="G2417" s="69"/>
    </row>
    <row r="2418" spans="1:7">
      <c r="A2418" s="69">
        <f t="shared" si="146"/>
        <v>2417</v>
      </c>
      <c r="B2418" s="137"/>
      <c r="C2418" s="69"/>
      <c r="D2418" s="71"/>
      <c r="E2418" s="71"/>
      <c r="F2418" s="69"/>
      <c r="G2418" s="69"/>
    </row>
    <row r="2419" spans="1:7">
      <c r="A2419" s="69">
        <f t="shared" si="146"/>
        <v>2418</v>
      </c>
      <c r="B2419" s="137"/>
      <c r="C2419" s="69"/>
      <c r="D2419" s="71"/>
      <c r="E2419" s="71"/>
      <c r="F2419" s="69"/>
      <c r="G2419" s="69"/>
    </row>
    <row r="2420" spans="1:7">
      <c r="A2420" s="69">
        <f t="shared" si="146"/>
        <v>2419</v>
      </c>
      <c r="B2420" s="137"/>
      <c r="C2420" s="69"/>
      <c r="D2420" s="71"/>
      <c r="E2420" s="71"/>
      <c r="F2420" s="69"/>
      <c r="G2420" s="69"/>
    </row>
    <row r="2421" spans="1:7">
      <c r="A2421" s="69">
        <f t="shared" si="146"/>
        <v>2420</v>
      </c>
      <c r="B2421" s="137"/>
      <c r="C2421" s="69"/>
      <c r="D2421" s="71"/>
      <c r="E2421" s="71"/>
      <c r="F2421" s="69"/>
      <c r="G2421" s="69"/>
    </row>
    <row r="2422" spans="1:7">
      <c r="A2422" s="69">
        <f t="shared" si="146"/>
        <v>2421</v>
      </c>
      <c r="B2422" s="137"/>
      <c r="C2422" s="69"/>
      <c r="D2422" s="71"/>
      <c r="E2422" s="71"/>
      <c r="F2422" s="69"/>
      <c r="G2422" s="69"/>
    </row>
    <row r="2423" spans="1:7">
      <c r="A2423" s="69">
        <f t="shared" si="146"/>
        <v>2422</v>
      </c>
      <c r="B2423" s="137"/>
      <c r="C2423" s="69"/>
      <c r="D2423" s="71"/>
      <c r="E2423" s="71"/>
      <c r="F2423" s="69"/>
      <c r="G2423" s="69"/>
    </row>
    <row r="2424" spans="1:7">
      <c r="A2424" s="69">
        <f t="shared" si="146"/>
        <v>2423</v>
      </c>
      <c r="B2424" s="137"/>
      <c r="C2424" s="69"/>
      <c r="D2424" s="71"/>
      <c r="E2424" s="71"/>
      <c r="F2424" s="69"/>
      <c r="G2424" s="69"/>
    </row>
    <row r="2425" spans="1:7">
      <c r="A2425" s="69">
        <f t="shared" si="146"/>
        <v>2424</v>
      </c>
      <c r="B2425" s="137"/>
      <c r="C2425" s="69"/>
      <c r="D2425" s="71"/>
      <c r="E2425" s="71"/>
      <c r="F2425" s="69"/>
      <c r="G2425" s="69"/>
    </row>
    <row r="2426" spans="1:7">
      <c r="A2426" s="69">
        <f t="shared" si="146"/>
        <v>2425</v>
      </c>
      <c r="B2426" s="137"/>
      <c r="C2426" s="69"/>
      <c r="D2426" s="71"/>
      <c r="E2426" s="71"/>
      <c r="F2426" s="69"/>
      <c r="G2426" s="69"/>
    </row>
    <row r="2427" spans="1:7">
      <c r="A2427" s="69">
        <f t="shared" si="146"/>
        <v>2426</v>
      </c>
      <c r="B2427" s="137"/>
      <c r="C2427" s="69"/>
      <c r="D2427" s="71"/>
      <c r="E2427" s="71"/>
      <c r="F2427" s="69"/>
      <c r="G2427" s="69"/>
    </row>
    <row r="2428" spans="1:7">
      <c r="A2428" s="69">
        <f t="shared" si="146"/>
        <v>2427</v>
      </c>
      <c r="B2428" s="137"/>
      <c r="C2428" s="69"/>
      <c r="D2428" s="71"/>
      <c r="E2428" s="71"/>
      <c r="F2428" s="69"/>
      <c r="G2428" s="69"/>
    </row>
    <row r="2429" spans="1:7">
      <c r="A2429" s="69">
        <f t="shared" si="146"/>
        <v>2428</v>
      </c>
      <c r="B2429" s="137"/>
      <c r="C2429" s="69"/>
      <c r="D2429" s="71"/>
      <c r="E2429" s="71"/>
      <c r="F2429" s="69"/>
      <c r="G2429" s="69"/>
    </row>
    <row r="2430" spans="1:7">
      <c r="A2430" s="69">
        <f t="shared" ref="A2430:A2451" si="147">ROW()-1</f>
        <v>2429</v>
      </c>
      <c r="B2430" s="137"/>
      <c r="C2430" s="69"/>
      <c r="D2430" s="71"/>
      <c r="E2430" s="71"/>
      <c r="F2430" s="69"/>
      <c r="G2430" s="69"/>
    </row>
    <row r="2431" spans="1:7">
      <c r="A2431" s="69">
        <f t="shared" si="147"/>
        <v>2430</v>
      </c>
      <c r="B2431" s="137"/>
      <c r="C2431" s="69"/>
      <c r="D2431" s="71"/>
      <c r="E2431" s="71"/>
      <c r="F2431" s="69"/>
      <c r="G2431" s="69"/>
    </row>
    <row r="2432" spans="1:7">
      <c r="A2432" s="69">
        <f t="shared" si="147"/>
        <v>2431</v>
      </c>
      <c r="B2432" s="137"/>
      <c r="C2432" s="69"/>
      <c r="D2432" s="71"/>
      <c r="E2432" s="71"/>
      <c r="F2432" s="69"/>
      <c r="G2432" s="69"/>
    </row>
    <row r="2433" spans="1:7">
      <c r="A2433" s="69">
        <f t="shared" si="147"/>
        <v>2432</v>
      </c>
      <c r="B2433" s="137"/>
      <c r="C2433" s="69"/>
      <c r="D2433" s="71"/>
      <c r="E2433" s="71"/>
      <c r="F2433" s="69"/>
      <c r="G2433" s="69"/>
    </row>
    <row r="2434" spans="1:7">
      <c r="A2434" s="69">
        <f t="shared" si="147"/>
        <v>2433</v>
      </c>
      <c r="B2434" s="137"/>
      <c r="C2434" s="69"/>
      <c r="D2434" s="71"/>
      <c r="E2434" s="71"/>
      <c r="F2434" s="69"/>
      <c r="G2434" s="69"/>
    </row>
    <row r="2435" spans="1:7">
      <c r="A2435" s="69">
        <f t="shared" si="147"/>
        <v>2434</v>
      </c>
      <c r="B2435" s="137"/>
      <c r="C2435" s="69"/>
      <c r="D2435" s="71"/>
      <c r="E2435" s="71"/>
      <c r="F2435" s="69"/>
      <c r="G2435" s="69"/>
    </row>
    <row r="2436" spans="1:7">
      <c r="A2436" s="69">
        <f t="shared" si="147"/>
        <v>2435</v>
      </c>
      <c r="B2436" s="137"/>
      <c r="C2436" s="69"/>
      <c r="D2436" s="71"/>
      <c r="E2436" s="71"/>
      <c r="F2436" s="69"/>
      <c r="G2436" s="69"/>
    </row>
    <row r="2437" spans="1:7">
      <c r="A2437" s="69">
        <f t="shared" si="147"/>
        <v>2436</v>
      </c>
      <c r="B2437" s="137"/>
      <c r="C2437" s="69"/>
      <c r="D2437" s="71"/>
      <c r="E2437" s="71"/>
      <c r="F2437" s="69"/>
      <c r="G2437" s="69"/>
    </row>
    <row r="2438" spans="1:7">
      <c r="A2438" s="69">
        <f t="shared" si="147"/>
        <v>2437</v>
      </c>
      <c r="B2438" s="137"/>
      <c r="C2438" s="69"/>
      <c r="D2438" s="71"/>
      <c r="E2438" s="71"/>
      <c r="F2438" s="69"/>
      <c r="G2438" s="69"/>
    </row>
    <row r="2439" spans="1:7">
      <c r="A2439" s="69">
        <f t="shared" si="147"/>
        <v>2438</v>
      </c>
      <c r="B2439" s="137"/>
      <c r="C2439" s="69"/>
      <c r="D2439" s="71"/>
      <c r="E2439" s="71"/>
      <c r="F2439" s="69"/>
      <c r="G2439" s="69"/>
    </row>
    <row r="2440" spans="1:7">
      <c r="A2440" s="69">
        <f t="shared" si="147"/>
        <v>2439</v>
      </c>
      <c r="B2440" s="137"/>
      <c r="C2440" s="69"/>
      <c r="D2440" s="71"/>
      <c r="E2440" s="71"/>
      <c r="F2440" s="69"/>
      <c r="G2440" s="69"/>
    </row>
    <row r="2441" spans="1:7">
      <c r="A2441" s="69">
        <f t="shared" si="147"/>
        <v>2440</v>
      </c>
      <c r="B2441" s="137"/>
      <c r="C2441" s="69"/>
      <c r="D2441" s="71"/>
      <c r="E2441" s="71"/>
      <c r="F2441" s="69"/>
      <c r="G2441" s="69"/>
    </row>
    <row r="2442" spans="1:7">
      <c r="A2442" s="69">
        <f t="shared" si="147"/>
        <v>2441</v>
      </c>
      <c r="B2442" s="137"/>
      <c r="C2442" s="69"/>
      <c r="D2442" s="71"/>
      <c r="E2442" s="71"/>
      <c r="F2442" s="69"/>
      <c r="G2442" s="69"/>
    </row>
    <row r="2443" spans="1:7">
      <c r="A2443" s="69">
        <f t="shared" si="147"/>
        <v>2442</v>
      </c>
      <c r="B2443" s="137"/>
      <c r="C2443" s="69"/>
      <c r="D2443" s="71"/>
      <c r="E2443" s="71"/>
      <c r="F2443" s="69"/>
      <c r="G2443" s="69"/>
    </row>
    <row r="2444" spans="1:7">
      <c r="A2444" s="69">
        <f t="shared" si="147"/>
        <v>2443</v>
      </c>
      <c r="B2444" s="137"/>
      <c r="C2444" s="69"/>
      <c r="D2444" s="71"/>
      <c r="E2444" s="71"/>
      <c r="F2444" s="69"/>
      <c r="G2444" s="69"/>
    </row>
    <row r="2445" spans="1:7">
      <c r="A2445" s="69">
        <f t="shared" si="147"/>
        <v>2444</v>
      </c>
      <c r="B2445" s="137"/>
      <c r="C2445" s="69"/>
      <c r="D2445" s="71"/>
      <c r="E2445" s="71"/>
      <c r="F2445" s="69"/>
      <c r="G2445" s="69"/>
    </row>
    <row r="2446" spans="1:7">
      <c r="A2446" s="69">
        <f t="shared" si="147"/>
        <v>2445</v>
      </c>
      <c r="B2446" s="137"/>
      <c r="C2446" s="69"/>
      <c r="D2446" s="71"/>
      <c r="E2446" s="71"/>
      <c r="F2446" s="69"/>
      <c r="G2446" s="69"/>
    </row>
    <row r="2447" spans="1:7">
      <c r="A2447" s="69">
        <f t="shared" si="147"/>
        <v>2446</v>
      </c>
      <c r="B2447" s="137"/>
      <c r="C2447" s="69"/>
      <c r="D2447" s="71"/>
      <c r="E2447" s="71"/>
      <c r="F2447" s="69"/>
      <c r="G2447" s="69"/>
    </row>
    <row r="2448" spans="1:7">
      <c r="A2448" s="69">
        <f t="shared" si="147"/>
        <v>2447</v>
      </c>
      <c r="B2448" s="137"/>
      <c r="C2448" s="69"/>
      <c r="D2448" s="71"/>
      <c r="E2448" s="71"/>
      <c r="F2448" s="69"/>
      <c r="G2448" s="69"/>
    </row>
    <row r="2449" spans="1:7">
      <c r="A2449" s="69">
        <f t="shared" si="147"/>
        <v>2448</v>
      </c>
      <c r="B2449" s="137"/>
      <c r="C2449" s="69"/>
      <c r="D2449" s="71"/>
      <c r="E2449" s="71"/>
      <c r="F2449" s="69"/>
      <c r="G2449" s="69"/>
    </row>
    <row r="2450" spans="1:7">
      <c r="A2450" s="69">
        <f t="shared" si="147"/>
        <v>2449</v>
      </c>
      <c r="B2450" s="137"/>
      <c r="C2450" s="69"/>
      <c r="D2450" s="71"/>
      <c r="E2450" s="71"/>
      <c r="F2450" s="69"/>
      <c r="G2450" s="69"/>
    </row>
    <row r="2451" spans="1:7">
      <c r="A2451" s="69">
        <f t="shared" si="147"/>
        <v>2450</v>
      </c>
      <c r="B2451" s="137"/>
      <c r="C2451" s="69"/>
      <c r="D2451" s="71"/>
      <c r="E2451" s="71"/>
      <c r="F2451" s="69"/>
      <c r="G2451" s="69"/>
    </row>
    <row r="2452" spans="1:7">
      <c r="D2452" s="59"/>
      <c r="E2452" s="59"/>
    </row>
    <row r="2453" spans="1:7">
      <c r="D2453" s="59"/>
      <c r="E2453" s="59"/>
    </row>
    <row r="2454" spans="1:7">
      <c r="D2454" s="59"/>
      <c r="E2454" s="59"/>
    </row>
    <row r="2455" spans="1:7">
      <c r="D2455" s="59"/>
      <c r="E2455" s="59"/>
    </row>
    <row r="2456" spans="1:7">
      <c r="D2456" s="59"/>
      <c r="E2456" s="59"/>
    </row>
    <row r="2457" spans="1:7">
      <c r="D2457" s="59"/>
      <c r="E2457" s="59"/>
    </row>
    <row r="2458" spans="1:7">
      <c r="D2458" s="59"/>
      <c r="E2458" s="59"/>
    </row>
    <row r="2459" spans="1:7">
      <c r="D2459" s="59"/>
      <c r="E2459" s="59"/>
    </row>
    <row r="2460" spans="1:7">
      <c r="D2460" s="59"/>
      <c r="E2460" s="59"/>
    </row>
    <row r="2461" spans="1:7">
      <c r="D2461" s="59"/>
      <c r="E2461" s="59"/>
    </row>
    <row r="2462" spans="1:7">
      <c r="D2462" s="59"/>
      <c r="E2462" s="59"/>
    </row>
    <row r="2463" spans="1:7">
      <c r="D2463" s="59"/>
      <c r="E2463" s="59"/>
    </row>
    <row r="2464" spans="1:7">
      <c r="D2464" s="59"/>
      <c r="E2464" s="59"/>
    </row>
    <row r="2465" spans="4:5">
      <c r="D2465" s="59"/>
      <c r="E2465" s="59"/>
    </row>
    <row r="2466" spans="4:5">
      <c r="D2466" s="59"/>
      <c r="E2466" s="59"/>
    </row>
    <row r="2467" spans="4:5">
      <c r="D2467" s="59"/>
      <c r="E2467" s="59"/>
    </row>
    <row r="2468" spans="4:5">
      <c r="D2468" s="59"/>
      <c r="E2468" s="59"/>
    </row>
    <row r="2469" spans="4:5">
      <c r="D2469" s="59"/>
      <c r="E2469" s="59"/>
    </row>
    <row r="2470" spans="4:5">
      <c r="D2470" s="59"/>
      <c r="E2470" s="59"/>
    </row>
    <row r="2471" spans="4:5">
      <c r="D2471" s="59"/>
      <c r="E2471" s="59"/>
    </row>
    <row r="2472" spans="4:5">
      <c r="D2472" s="59"/>
      <c r="E2472" s="59"/>
    </row>
    <row r="2473" spans="4:5">
      <c r="D2473" s="59"/>
      <c r="E2473" s="59"/>
    </row>
    <row r="2474" spans="4:5">
      <c r="D2474" s="59"/>
      <c r="E2474" s="59"/>
    </row>
    <row r="2475" spans="4:5">
      <c r="D2475" s="59"/>
      <c r="E2475" s="59"/>
    </row>
    <row r="2476" spans="4:5">
      <c r="D2476" s="59"/>
      <c r="E2476" s="59"/>
    </row>
    <row r="2477" spans="4:5">
      <c r="D2477" s="59"/>
      <c r="E2477" s="59"/>
    </row>
    <row r="2478" spans="4:5">
      <c r="D2478" s="59"/>
      <c r="E2478" s="59"/>
    </row>
    <row r="2479" spans="4:5">
      <c r="D2479" s="59"/>
      <c r="E2479" s="59"/>
    </row>
    <row r="2480" spans="4:5">
      <c r="D2480" s="59"/>
      <c r="E2480" s="59"/>
    </row>
    <row r="2481" spans="4:5">
      <c r="D2481" s="59"/>
      <c r="E2481" s="59"/>
    </row>
    <row r="2482" spans="4:5">
      <c r="D2482" s="59"/>
      <c r="E2482" s="59"/>
    </row>
    <row r="2483" spans="4:5">
      <c r="D2483" s="59"/>
      <c r="E2483" s="59"/>
    </row>
    <row r="2484" spans="4:5">
      <c r="D2484" s="59"/>
      <c r="E2484" s="59"/>
    </row>
    <row r="2485" spans="4:5">
      <c r="D2485" s="59"/>
      <c r="E2485" s="59"/>
    </row>
    <row r="2486" spans="4:5">
      <c r="D2486" s="59"/>
      <c r="E2486" s="59"/>
    </row>
    <row r="2487" spans="4:5">
      <c r="D2487" s="59"/>
      <c r="E2487" s="59"/>
    </row>
    <row r="2488" spans="4:5">
      <c r="D2488" s="59"/>
      <c r="E2488" s="59"/>
    </row>
    <row r="2489" spans="4:5">
      <c r="D2489" s="59"/>
      <c r="E2489" s="59"/>
    </row>
    <row r="2490" spans="4:5">
      <c r="D2490" s="59"/>
      <c r="E2490" s="59"/>
    </row>
    <row r="2491" spans="4:5">
      <c r="D2491" s="59"/>
      <c r="E2491" s="59"/>
    </row>
    <row r="2492" spans="4:5">
      <c r="D2492" s="59"/>
      <c r="E2492" s="59"/>
    </row>
    <row r="2493" spans="4:5">
      <c r="D2493" s="59"/>
      <c r="E2493" s="59"/>
    </row>
    <row r="2494" spans="4:5">
      <c r="D2494" s="59"/>
      <c r="E2494" s="59"/>
    </row>
    <row r="2495" spans="4:5">
      <c r="D2495" s="59"/>
      <c r="E2495" s="59"/>
    </row>
    <row r="2496" spans="4:5">
      <c r="D2496" s="59"/>
      <c r="E2496" s="59"/>
    </row>
    <row r="2497" spans="4:5">
      <c r="D2497" s="59"/>
      <c r="E2497" s="59"/>
    </row>
    <row r="2498" spans="4:5">
      <c r="D2498" s="59"/>
      <c r="E2498" s="59"/>
    </row>
    <row r="2499" spans="4:5">
      <c r="D2499" s="59"/>
      <c r="E2499" s="59"/>
    </row>
    <row r="2500" spans="4:5">
      <c r="D2500" s="59"/>
      <c r="E2500" s="59"/>
    </row>
    <row r="2501" spans="4:5">
      <c r="D2501" s="59"/>
      <c r="E2501" s="59"/>
    </row>
    <row r="2502" spans="4:5">
      <c r="D2502" s="59"/>
      <c r="E2502" s="59"/>
    </row>
    <row r="2503" spans="4:5">
      <c r="D2503" s="59"/>
      <c r="E2503" s="59"/>
    </row>
    <row r="2504" spans="4:5">
      <c r="D2504" s="59"/>
      <c r="E2504" s="59"/>
    </row>
    <row r="2505" spans="4:5">
      <c r="D2505" s="59"/>
      <c r="E2505" s="59"/>
    </row>
    <row r="2506" spans="4:5">
      <c r="D2506" s="59"/>
      <c r="E2506" s="59"/>
    </row>
    <row r="2507" spans="4:5">
      <c r="D2507" s="59"/>
      <c r="E2507" s="59"/>
    </row>
    <row r="2508" spans="4:5">
      <c r="D2508" s="59"/>
      <c r="E2508" s="59"/>
    </row>
    <row r="2509" spans="4:5">
      <c r="D2509" s="59"/>
      <c r="E2509" s="59"/>
    </row>
    <row r="2510" spans="4:5">
      <c r="D2510" s="59"/>
      <c r="E2510" s="59"/>
    </row>
    <row r="2511" spans="4:5">
      <c r="D2511" s="59"/>
      <c r="E2511" s="59"/>
    </row>
    <row r="2512" spans="4:5">
      <c r="D2512" s="59"/>
      <c r="E2512" s="59"/>
    </row>
    <row r="2513" spans="4:5">
      <c r="D2513" s="59"/>
      <c r="E2513" s="59"/>
    </row>
    <row r="2514" spans="4:5">
      <c r="D2514" s="59"/>
      <c r="E2514" s="59"/>
    </row>
    <row r="2515" spans="4:5">
      <c r="D2515" s="59"/>
      <c r="E2515" s="59"/>
    </row>
    <row r="2516" spans="4:5">
      <c r="D2516" s="59"/>
      <c r="E2516" s="59"/>
    </row>
    <row r="2517" spans="4:5">
      <c r="D2517" s="59"/>
      <c r="E2517" s="59"/>
    </row>
    <row r="2518" spans="4:5">
      <c r="D2518" s="59"/>
      <c r="E2518" s="59"/>
    </row>
    <row r="2519" spans="4:5">
      <c r="D2519" s="59"/>
      <c r="E2519" s="59"/>
    </row>
    <row r="2520" spans="4:5">
      <c r="D2520" s="59"/>
      <c r="E2520" s="59"/>
    </row>
    <row r="2521" spans="4:5">
      <c r="D2521" s="59"/>
      <c r="E2521" s="59"/>
    </row>
    <row r="2522" spans="4:5">
      <c r="D2522" s="59"/>
      <c r="E2522" s="59"/>
    </row>
    <row r="2523" spans="4:5">
      <c r="D2523" s="59"/>
      <c r="E2523" s="59"/>
    </row>
    <row r="2524" spans="4:5">
      <c r="D2524" s="59"/>
      <c r="E2524" s="59"/>
    </row>
    <row r="2525" spans="4:5">
      <c r="D2525" s="59"/>
      <c r="E2525" s="59"/>
    </row>
    <row r="2526" spans="4:5">
      <c r="D2526" s="59"/>
      <c r="E2526" s="59"/>
    </row>
    <row r="2527" spans="4:5">
      <c r="D2527" s="59"/>
      <c r="E2527" s="59"/>
    </row>
    <row r="2528" spans="4:5">
      <c r="D2528" s="59"/>
      <c r="E2528" s="59"/>
    </row>
    <row r="2529" spans="4:5">
      <c r="D2529" s="59"/>
      <c r="E2529" s="59"/>
    </row>
    <row r="2530" spans="4:5">
      <c r="D2530" s="59"/>
      <c r="E2530" s="59"/>
    </row>
    <row r="2531" spans="4:5">
      <c r="D2531" s="59"/>
      <c r="E2531" s="59"/>
    </row>
    <row r="2532" spans="4:5">
      <c r="D2532" s="59"/>
      <c r="E2532" s="59"/>
    </row>
    <row r="2533" spans="4:5">
      <c r="D2533" s="59"/>
      <c r="E2533" s="59"/>
    </row>
    <row r="2534" spans="4:5">
      <c r="D2534" s="59"/>
      <c r="E2534" s="59"/>
    </row>
    <row r="2535" spans="4:5">
      <c r="D2535" s="59"/>
      <c r="E2535" s="59"/>
    </row>
    <row r="2536" spans="4:5">
      <c r="D2536" s="59"/>
      <c r="E2536" s="59"/>
    </row>
    <row r="2537" spans="4:5">
      <c r="D2537" s="59"/>
      <c r="E2537" s="59"/>
    </row>
    <row r="2538" spans="4:5">
      <c r="D2538" s="59"/>
      <c r="E2538" s="59"/>
    </row>
    <row r="2539" spans="4:5">
      <c r="D2539" s="59"/>
      <c r="E2539" s="59"/>
    </row>
    <row r="2540" spans="4:5">
      <c r="D2540" s="59"/>
      <c r="E2540" s="59"/>
    </row>
    <row r="2541" spans="4:5">
      <c r="D2541" s="59"/>
      <c r="E2541" s="59"/>
    </row>
    <row r="2542" spans="4:5">
      <c r="D2542" s="59"/>
      <c r="E2542" s="59"/>
    </row>
    <row r="2543" spans="4:5">
      <c r="D2543" s="59"/>
      <c r="E2543" s="59"/>
    </row>
    <row r="2544" spans="4:5">
      <c r="D2544" s="59"/>
      <c r="E2544" s="59"/>
    </row>
    <row r="2545" spans="4:5">
      <c r="D2545" s="59"/>
      <c r="E2545" s="59"/>
    </row>
    <row r="2546" spans="4:5">
      <c r="D2546" s="59"/>
      <c r="E2546" s="59"/>
    </row>
    <row r="2547" spans="4:5">
      <c r="D2547" s="59"/>
      <c r="E2547" s="59"/>
    </row>
    <row r="2548" spans="4:5">
      <c r="D2548" s="59"/>
      <c r="E2548" s="59"/>
    </row>
    <row r="2549" spans="4:5">
      <c r="D2549" s="59"/>
      <c r="E2549" s="59"/>
    </row>
    <row r="2550" spans="4:5">
      <c r="D2550" s="59"/>
      <c r="E2550" s="59"/>
    </row>
    <row r="2551" spans="4:5">
      <c r="D2551" s="59"/>
      <c r="E2551" s="59"/>
    </row>
    <row r="2552" spans="4:5">
      <c r="D2552" s="59"/>
      <c r="E2552" s="59"/>
    </row>
    <row r="2553" spans="4:5">
      <c r="D2553" s="59"/>
      <c r="E2553" s="59"/>
    </row>
    <row r="2554" spans="4:5">
      <c r="D2554" s="59"/>
      <c r="E2554" s="59"/>
    </row>
    <row r="2555" spans="4:5">
      <c r="D2555" s="59"/>
      <c r="E2555" s="59"/>
    </row>
    <row r="2556" spans="4:5">
      <c r="D2556" s="59"/>
      <c r="E2556" s="59"/>
    </row>
    <row r="2557" spans="4:5">
      <c r="D2557" s="59"/>
      <c r="E2557" s="59"/>
    </row>
    <row r="2558" spans="4:5">
      <c r="D2558" s="59"/>
      <c r="E2558" s="59"/>
    </row>
    <row r="2559" spans="4:5">
      <c r="D2559" s="59"/>
      <c r="E2559" s="59"/>
    </row>
    <row r="2560" spans="4:5">
      <c r="D2560" s="59"/>
      <c r="E2560" s="59"/>
    </row>
    <row r="2561" spans="4:5">
      <c r="D2561" s="59"/>
      <c r="E2561" s="59"/>
    </row>
    <row r="2562" spans="4:5">
      <c r="D2562" s="59"/>
      <c r="E2562" s="59"/>
    </row>
    <row r="2563" spans="4:5">
      <c r="D2563" s="59"/>
      <c r="E2563" s="59"/>
    </row>
    <row r="2564" spans="4:5">
      <c r="D2564" s="59"/>
      <c r="E2564" s="59"/>
    </row>
    <row r="2565" spans="4:5">
      <c r="D2565" s="59"/>
      <c r="E2565" s="59"/>
    </row>
    <row r="2566" spans="4:5">
      <c r="D2566" s="59"/>
      <c r="E2566" s="59"/>
    </row>
    <row r="2567" spans="4:5">
      <c r="D2567" s="59"/>
      <c r="E2567" s="59"/>
    </row>
    <row r="2568" spans="4:5">
      <c r="D2568" s="59"/>
      <c r="E2568" s="59"/>
    </row>
    <row r="2569" spans="4:5">
      <c r="D2569" s="59"/>
      <c r="E2569" s="59"/>
    </row>
    <row r="2570" spans="4:5">
      <c r="D2570" s="59"/>
      <c r="E2570" s="59"/>
    </row>
    <row r="2571" spans="4:5">
      <c r="D2571" s="59"/>
      <c r="E2571" s="59"/>
    </row>
    <row r="2572" spans="4:5">
      <c r="D2572" s="59"/>
      <c r="E2572" s="59"/>
    </row>
    <row r="2573" spans="4:5">
      <c r="D2573" s="59"/>
      <c r="E2573" s="59"/>
    </row>
    <row r="2574" spans="4:5">
      <c r="D2574" s="59"/>
      <c r="E2574" s="59"/>
    </row>
    <row r="2575" spans="4:5">
      <c r="D2575" s="59"/>
      <c r="E2575" s="59"/>
    </row>
    <row r="2576" spans="4:5">
      <c r="D2576" s="59"/>
      <c r="E2576" s="59"/>
    </row>
    <row r="2577" spans="4:5">
      <c r="D2577" s="59"/>
      <c r="E2577" s="59"/>
    </row>
    <row r="2578" spans="4:5">
      <c r="D2578" s="59"/>
      <c r="E2578" s="59"/>
    </row>
    <row r="2579" spans="4:5">
      <c r="D2579" s="59"/>
      <c r="E2579" s="59"/>
    </row>
    <row r="2580" spans="4:5">
      <c r="D2580" s="59"/>
      <c r="E2580" s="59"/>
    </row>
    <row r="2581" spans="4:5">
      <c r="D2581" s="59"/>
      <c r="E2581" s="59"/>
    </row>
    <row r="2582" spans="4:5">
      <c r="D2582" s="59"/>
      <c r="E2582" s="59"/>
    </row>
    <row r="2583" spans="4:5">
      <c r="D2583" s="59"/>
      <c r="E2583" s="59"/>
    </row>
    <row r="2584" spans="4:5">
      <c r="D2584" s="59"/>
      <c r="E2584" s="59"/>
    </row>
    <row r="2585" spans="4:5">
      <c r="D2585" s="59"/>
      <c r="E2585" s="59"/>
    </row>
    <row r="2586" spans="4:5">
      <c r="D2586" s="59"/>
      <c r="E2586" s="59"/>
    </row>
    <row r="2587" spans="4:5">
      <c r="D2587" s="59"/>
      <c r="E2587" s="59"/>
    </row>
    <row r="2588" spans="4:5">
      <c r="D2588" s="59"/>
      <c r="E2588" s="59"/>
    </row>
    <row r="2589" spans="4:5">
      <c r="D2589" s="59"/>
      <c r="E2589" s="59"/>
    </row>
    <row r="2590" spans="4:5">
      <c r="D2590" s="59"/>
      <c r="E2590" s="59"/>
    </row>
    <row r="2591" spans="4:5">
      <c r="D2591" s="59"/>
      <c r="E2591" s="59"/>
    </row>
    <row r="2592" spans="4:5">
      <c r="D2592" s="59"/>
      <c r="E2592" s="59"/>
    </row>
    <row r="2593" spans="4:5">
      <c r="D2593" s="59"/>
      <c r="E2593" s="59"/>
    </row>
    <row r="2594" spans="4:5">
      <c r="D2594" s="59"/>
      <c r="E2594" s="59"/>
    </row>
    <row r="2595" spans="4:5">
      <c r="D2595" s="59"/>
      <c r="E2595" s="59"/>
    </row>
    <row r="2596" spans="4:5">
      <c r="D2596" s="59"/>
      <c r="E2596" s="59"/>
    </row>
    <row r="2597" spans="4:5">
      <c r="D2597" s="59"/>
      <c r="E2597" s="59"/>
    </row>
    <row r="2598" spans="4:5">
      <c r="D2598" s="59"/>
      <c r="E2598" s="59"/>
    </row>
    <row r="2599" spans="4:5">
      <c r="D2599" s="59"/>
      <c r="E2599" s="59"/>
    </row>
    <row r="2600" spans="4:5">
      <c r="D2600" s="59"/>
      <c r="E2600" s="59"/>
    </row>
    <row r="2601" spans="4:5">
      <c r="D2601" s="59"/>
      <c r="E2601" s="59"/>
    </row>
    <row r="2602" spans="4:5">
      <c r="D2602" s="59"/>
      <c r="E2602" s="59"/>
    </row>
    <row r="2603" spans="4:5">
      <c r="D2603" s="59"/>
      <c r="E2603" s="59"/>
    </row>
    <row r="2604" spans="4:5">
      <c r="D2604" s="59"/>
      <c r="E2604" s="59"/>
    </row>
    <row r="2605" spans="4:5">
      <c r="D2605" s="59"/>
      <c r="E2605" s="59"/>
    </row>
    <row r="2606" spans="4:5">
      <c r="D2606" s="59"/>
      <c r="E2606" s="59"/>
    </row>
    <row r="2607" spans="4:5">
      <c r="D2607" s="59"/>
      <c r="E2607" s="59"/>
    </row>
    <row r="2608" spans="4:5">
      <c r="D2608" s="59"/>
      <c r="E2608" s="59"/>
    </row>
    <row r="2609" spans="4:5">
      <c r="D2609" s="59"/>
      <c r="E2609" s="59"/>
    </row>
    <row r="2610" spans="4:5">
      <c r="D2610" s="59"/>
      <c r="E2610" s="59"/>
    </row>
    <row r="2611" spans="4:5">
      <c r="D2611" s="59"/>
      <c r="E2611" s="59"/>
    </row>
    <row r="2612" spans="4:5">
      <c r="D2612" s="59"/>
      <c r="E2612" s="59"/>
    </row>
    <row r="2613" spans="4:5">
      <c r="D2613" s="59"/>
      <c r="E2613" s="59"/>
    </row>
    <row r="2614" spans="4:5">
      <c r="D2614" s="59"/>
      <c r="E2614" s="59"/>
    </row>
    <row r="2615" spans="4:5">
      <c r="D2615" s="59"/>
      <c r="E2615" s="59"/>
    </row>
    <row r="2616" spans="4:5">
      <c r="D2616" s="59"/>
      <c r="E2616" s="59"/>
    </row>
    <row r="2617" spans="4:5">
      <c r="D2617" s="59"/>
      <c r="E2617" s="59"/>
    </row>
    <row r="2618" spans="4:5">
      <c r="D2618" s="59"/>
      <c r="E2618" s="59"/>
    </row>
    <row r="2619" spans="4:5">
      <c r="D2619" s="59"/>
      <c r="E2619" s="59"/>
    </row>
    <row r="2620" spans="4:5">
      <c r="D2620" s="59"/>
      <c r="E2620" s="59"/>
    </row>
    <row r="2621" spans="4:5">
      <c r="D2621" s="59"/>
      <c r="E2621" s="59"/>
    </row>
    <row r="2622" spans="4:5">
      <c r="D2622" s="59"/>
      <c r="E2622" s="59"/>
    </row>
    <row r="2623" spans="4:5">
      <c r="D2623" s="59"/>
      <c r="E2623" s="59"/>
    </row>
    <row r="2624" spans="4:5">
      <c r="D2624" s="59"/>
      <c r="E2624" s="59"/>
    </row>
    <row r="2625" spans="4:5">
      <c r="D2625" s="59"/>
      <c r="E2625" s="59"/>
    </row>
    <row r="2626" spans="4:5">
      <c r="D2626" s="59"/>
      <c r="E2626" s="59"/>
    </row>
    <row r="2627" spans="4:5">
      <c r="D2627" s="59"/>
      <c r="E2627" s="59"/>
    </row>
    <row r="2628" spans="4:5">
      <c r="D2628" s="59"/>
      <c r="E2628" s="59"/>
    </row>
    <row r="2629" spans="4:5">
      <c r="D2629" s="59"/>
      <c r="E2629" s="59"/>
    </row>
    <row r="2630" spans="4:5">
      <c r="D2630" s="59"/>
      <c r="E2630" s="59"/>
    </row>
    <row r="2631" spans="4:5">
      <c r="D2631" s="59"/>
      <c r="E2631" s="59"/>
    </row>
    <row r="2632" spans="4:5">
      <c r="D2632" s="59"/>
      <c r="E2632" s="59"/>
    </row>
    <row r="2633" spans="4:5">
      <c r="D2633" s="59"/>
      <c r="E2633" s="59"/>
    </row>
    <row r="2634" spans="4:5">
      <c r="D2634" s="59"/>
      <c r="E2634" s="59"/>
    </row>
    <row r="2635" spans="4:5">
      <c r="D2635" s="59"/>
      <c r="E2635" s="59"/>
    </row>
    <row r="2636" spans="4:5">
      <c r="D2636" s="59"/>
      <c r="E2636" s="59"/>
    </row>
    <row r="2637" spans="4:5">
      <c r="D2637" s="59"/>
      <c r="E2637" s="59"/>
    </row>
    <row r="2638" spans="4:5">
      <c r="D2638" s="59"/>
      <c r="E2638" s="59"/>
    </row>
    <row r="2639" spans="4:5">
      <c r="D2639" s="59"/>
      <c r="E2639" s="59"/>
    </row>
    <row r="2640" spans="4:5">
      <c r="D2640" s="59"/>
      <c r="E2640" s="59"/>
    </row>
    <row r="2641" spans="4:5">
      <c r="D2641" s="59"/>
      <c r="E2641" s="59"/>
    </row>
    <row r="2642" spans="4:5">
      <c r="D2642" s="59"/>
      <c r="E2642" s="59"/>
    </row>
    <row r="2643" spans="4:5">
      <c r="D2643" s="59"/>
      <c r="E2643" s="59"/>
    </row>
    <row r="2644" spans="4:5">
      <c r="D2644" s="59"/>
      <c r="E2644" s="59"/>
    </row>
    <row r="2645" spans="4:5">
      <c r="D2645" s="59"/>
      <c r="E2645" s="59"/>
    </row>
    <row r="2646" spans="4:5">
      <c r="D2646" s="59"/>
      <c r="E2646" s="59"/>
    </row>
    <row r="2647" spans="4:5">
      <c r="D2647" s="59"/>
      <c r="E2647" s="59"/>
    </row>
    <row r="2648" spans="4:5">
      <c r="D2648" s="59"/>
      <c r="E2648" s="59"/>
    </row>
    <row r="2649" spans="4:5">
      <c r="D2649" s="59"/>
      <c r="E2649" s="59"/>
    </row>
    <row r="2650" spans="4:5">
      <c r="D2650" s="59"/>
      <c r="E2650" s="59"/>
    </row>
    <row r="2651" spans="4:5">
      <c r="D2651" s="59"/>
      <c r="E2651" s="59"/>
    </row>
    <row r="2652" spans="4:5">
      <c r="D2652" s="59"/>
      <c r="E2652" s="59"/>
    </row>
    <row r="2653" spans="4:5">
      <c r="D2653" s="59"/>
      <c r="E2653" s="59"/>
    </row>
    <row r="2654" spans="4:5">
      <c r="D2654" s="59"/>
      <c r="E2654" s="59"/>
    </row>
    <row r="2655" spans="4:5">
      <c r="D2655" s="59"/>
      <c r="E2655" s="59"/>
    </row>
    <row r="2656" spans="4:5">
      <c r="D2656" s="59"/>
      <c r="E2656" s="59"/>
    </row>
    <row r="2657" spans="4:5">
      <c r="D2657" s="59"/>
      <c r="E2657" s="59"/>
    </row>
    <row r="2658" spans="4:5">
      <c r="D2658" s="59"/>
      <c r="E2658" s="59"/>
    </row>
    <row r="2659" spans="4:5">
      <c r="D2659" s="59"/>
      <c r="E2659" s="59"/>
    </row>
    <row r="2660" spans="4:5">
      <c r="D2660" s="59"/>
      <c r="E2660" s="59"/>
    </row>
    <row r="2661" spans="4:5">
      <c r="D2661" s="59"/>
      <c r="E2661" s="59"/>
    </row>
    <row r="2662" spans="4:5">
      <c r="D2662" s="59"/>
      <c r="E2662" s="59"/>
    </row>
    <row r="2663" spans="4:5">
      <c r="D2663" s="59"/>
      <c r="E2663" s="59"/>
    </row>
    <row r="2664" spans="4:5">
      <c r="D2664" s="59"/>
      <c r="E2664" s="59"/>
    </row>
    <row r="2665" spans="4:5">
      <c r="D2665" s="59"/>
      <c r="E2665" s="59"/>
    </row>
    <row r="2666" spans="4:5">
      <c r="D2666" s="59"/>
      <c r="E2666" s="59"/>
    </row>
    <row r="2667" spans="4:5">
      <c r="D2667" s="59"/>
      <c r="E2667" s="59"/>
    </row>
    <row r="2668" spans="4:5">
      <c r="D2668" s="59"/>
      <c r="E2668" s="59"/>
    </row>
    <row r="2669" spans="4:5">
      <c r="D2669" s="59"/>
      <c r="E2669" s="59"/>
    </row>
    <row r="2670" spans="4:5">
      <c r="D2670" s="59"/>
      <c r="E2670" s="59"/>
    </row>
    <row r="2671" spans="4:5">
      <c r="D2671" s="59"/>
      <c r="E2671" s="59"/>
    </row>
    <row r="2672" spans="4:5">
      <c r="D2672" s="59"/>
      <c r="E2672" s="59"/>
    </row>
    <row r="2673" spans="4:5">
      <c r="D2673" s="59"/>
      <c r="E2673" s="59"/>
    </row>
    <row r="2674" spans="4:5">
      <c r="D2674" s="59"/>
      <c r="E2674" s="59"/>
    </row>
    <row r="2675" spans="4:5">
      <c r="D2675" s="59"/>
      <c r="E2675" s="59"/>
    </row>
    <row r="2676" spans="4:5">
      <c r="D2676" s="59"/>
      <c r="E2676" s="59"/>
    </row>
    <row r="2677" spans="4:5">
      <c r="D2677" s="59"/>
      <c r="E2677" s="59"/>
    </row>
    <row r="2678" spans="4:5">
      <c r="D2678" s="59"/>
      <c r="E2678" s="59"/>
    </row>
    <row r="2679" spans="4:5">
      <c r="D2679" s="59"/>
      <c r="E2679" s="59"/>
    </row>
    <row r="2680" spans="4:5">
      <c r="D2680" s="59"/>
      <c r="E2680" s="59"/>
    </row>
    <row r="2681" spans="4:5">
      <c r="D2681" s="59"/>
      <c r="E2681" s="59"/>
    </row>
    <row r="2682" spans="4:5">
      <c r="D2682" s="59"/>
      <c r="E2682" s="59"/>
    </row>
    <row r="2683" spans="4:5">
      <c r="D2683" s="59"/>
      <c r="E2683" s="59"/>
    </row>
    <row r="2684" spans="4:5">
      <c r="D2684" s="59"/>
      <c r="E2684" s="59"/>
    </row>
    <row r="2685" spans="4:5">
      <c r="D2685" s="59"/>
      <c r="E2685" s="59"/>
    </row>
    <row r="2686" spans="4:5">
      <c r="D2686" s="59"/>
      <c r="E2686" s="59"/>
    </row>
    <row r="2687" spans="4:5">
      <c r="D2687" s="59"/>
      <c r="E2687" s="59"/>
    </row>
    <row r="2688" spans="4:5">
      <c r="D2688" s="59"/>
      <c r="E2688" s="59"/>
    </row>
    <row r="2689" spans="4:5">
      <c r="D2689" s="59"/>
      <c r="E2689" s="59"/>
    </row>
    <row r="2690" spans="4:5">
      <c r="D2690" s="59"/>
      <c r="E2690" s="59"/>
    </row>
    <row r="2691" spans="4:5">
      <c r="D2691" s="59"/>
      <c r="E2691" s="59"/>
    </row>
    <row r="2692" spans="4:5">
      <c r="D2692" s="59"/>
      <c r="E2692" s="59"/>
    </row>
    <row r="2693" spans="4:5">
      <c r="D2693" s="59"/>
      <c r="E2693" s="59"/>
    </row>
    <row r="2694" spans="4:5">
      <c r="D2694" s="59"/>
      <c r="E2694" s="59"/>
    </row>
    <row r="2695" spans="4:5">
      <c r="D2695" s="59"/>
      <c r="E2695" s="59"/>
    </row>
    <row r="2696" spans="4:5">
      <c r="D2696" s="59"/>
      <c r="E2696" s="59"/>
    </row>
    <row r="2697" spans="4:5">
      <c r="D2697" s="59"/>
      <c r="E2697" s="59"/>
    </row>
    <row r="2698" spans="4:5">
      <c r="D2698" s="59"/>
      <c r="E2698" s="59"/>
    </row>
    <row r="2699" spans="4:5">
      <c r="D2699" s="59"/>
      <c r="E2699" s="59"/>
    </row>
    <row r="2700" spans="4:5">
      <c r="D2700" s="59"/>
      <c r="E2700" s="59"/>
    </row>
    <row r="2701" spans="4:5">
      <c r="D2701" s="59"/>
      <c r="E2701" s="59"/>
    </row>
    <row r="2702" spans="4:5">
      <c r="D2702" s="59"/>
      <c r="E2702" s="59"/>
    </row>
    <row r="2703" spans="4:5">
      <c r="D2703" s="59"/>
      <c r="E2703" s="59"/>
    </row>
    <row r="2704" spans="4:5">
      <c r="D2704" s="59"/>
      <c r="E2704" s="59"/>
    </row>
    <row r="2705" spans="4:5">
      <c r="D2705" s="59"/>
      <c r="E2705" s="59"/>
    </row>
    <row r="2706" spans="4:5">
      <c r="D2706" s="59"/>
      <c r="E2706" s="59"/>
    </row>
    <row r="2707" spans="4:5">
      <c r="D2707" s="59"/>
      <c r="E2707" s="59"/>
    </row>
    <row r="2708" spans="4:5">
      <c r="D2708" s="59"/>
      <c r="E2708" s="59"/>
    </row>
    <row r="2709" spans="4:5">
      <c r="D2709" s="59"/>
      <c r="E2709" s="59"/>
    </row>
    <row r="2710" spans="4:5">
      <c r="D2710" s="59"/>
      <c r="E2710" s="59"/>
    </row>
    <row r="2711" spans="4:5">
      <c r="D2711" s="59"/>
      <c r="E2711" s="59"/>
    </row>
    <row r="2712" spans="4:5">
      <c r="D2712" s="59"/>
      <c r="E2712" s="59"/>
    </row>
    <row r="2713" spans="4:5">
      <c r="D2713" s="59"/>
      <c r="E2713" s="59"/>
    </row>
    <row r="2714" spans="4:5">
      <c r="D2714" s="59"/>
      <c r="E2714" s="59"/>
    </row>
    <row r="2715" spans="4:5">
      <c r="D2715" s="59"/>
      <c r="E2715" s="59"/>
    </row>
    <row r="2716" spans="4:5">
      <c r="D2716" s="59"/>
      <c r="E2716" s="59"/>
    </row>
    <row r="2717" spans="4:5">
      <c r="D2717" s="59"/>
      <c r="E2717" s="59"/>
    </row>
    <row r="2718" spans="4:5">
      <c r="D2718" s="59"/>
      <c r="E2718" s="59"/>
    </row>
    <row r="2719" spans="4:5">
      <c r="D2719" s="59"/>
      <c r="E2719" s="59"/>
    </row>
    <row r="2720" spans="4:5">
      <c r="D2720" s="59"/>
      <c r="E2720" s="59"/>
    </row>
    <row r="2721" spans="4:5">
      <c r="D2721" s="59"/>
      <c r="E2721" s="59"/>
    </row>
    <row r="2722" spans="4:5">
      <c r="D2722" s="59"/>
      <c r="E2722" s="59"/>
    </row>
    <row r="2723" spans="4:5">
      <c r="D2723" s="59"/>
      <c r="E2723" s="59"/>
    </row>
    <row r="2724" spans="4:5">
      <c r="D2724" s="59"/>
      <c r="E2724" s="59"/>
    </row>
    <row r="2725" spans="4:5">
      <c r="D2725" s="59"/>
      <c r="E2725" s="59"/>
    </row>
    <row r="2726" spans="4:5">
      <c r="D2726" s="59"/>
      <c r="E2726" s="59"/>
    </row>
    <row r="2727" spans="4:5">
      <c r="D2727" s="59"/>
      <c r="E2727" s="59"/>
    </row>
    <row r="2728" spans="4:5">
      <c r="D2728" s="59"/>
      <c r="E2728" s="59"/>
    </row>
    <row r="2729" spans="4:5">
      <c r="D2729" s="59"/>
      <c r="E2729" s="59"/>
    </row>
    <row r="2730" spans="4:5">
      <c r="D2730" s="59"/>
      <c r="E2730" s="59"/>
    </row>
    <row r="2731" spans="4:5">
      <c r="D2731" s="59"/>
      <c r="E2731" s="59"/>
    </row>
    <row r="2732" spans="4:5">
      <c r="D2732" s="59"/>
      <c r="E2732" s="59"/>
    </row>
    <row r="2733" spans="4:5">
      <c r="D2733" s="59"/>
      <c r="E2733" s="59"/>
    </row>
    <row r="2734" spans="4:5">
      <c r="D2734" s="59"/>
      <c r="E2734" s="59"/>
    </row>
    <row r="2735" spans="4:5">
      <c r="D2735" s="59"/>
      <c r="E2735" s="59"/>
    </row>
    <row r="2736" spans="4:5">
      <c r="D2736" s="59"/>
      <c r="E2736" s="59"/>
    </row>
    <row r="2737" spans="4:5">
      <c r="D2737" s="59"/>
      <c r="E2737" s="59"/>
    </row>
    <row r="2738" spans="4:5">
      <c r="D2738" s="59"/>
      <c r="E2738" s="59"/>
    </row>
    <row r="2739" spans="4:5">
      <c r="D2739" s="59"/>
      <c r="E2739" s="59"/>
    </row>
    <row r="2740" spans="4:5">
      <c r="D2740" s="59"/>
      <c r="E2740" s="59"/>
    </row>
    <row r="2741" spans="4:5">
      <c r="D2741" s="59"/>
      <c r="E2741" s="59"/>
    </row>
    <row r="2742" spans="4:5">
      <c r="D2742" s="59"/>
      <c r="E2742" s="59"/>
    </row>
    <row r="2743" spans="4:5">
      <c r="D2743" s="59"/>
      <c r="E2743" s="59"/>
    </row>
    <row r="2744" spans="4:5">
      <c r="D2744" s="59"/>
      <c r="E2744" s="59"/>
    </row>
    <row r="2745" spans="4:5">
      <c r="D2745" s="59"/>
      <c r="E2745" s="59"/>
    </row>
    <row r="2746" spans="4:5">
      <c r="D2746" s="59"/>
      <c r="E2746" s="59"/>
    </row>
    <row r="2747" spans="4:5">
      <c r="D2747" s="59"/>
      <c r="E2747" s="59"/>
    </row>
    <row r="2748" spans="4:5">
      <c r="D2748" s="59"/>
      <c r="E2748" s="59"/>
    </row>
    <row r="2749" spans="4:5">
      <c r="D2749" s="59"/>
      <c r="E2749" s="59"/>
    </row>
    <row r="2750" spans="4:5">
      <c r="D2750" s="59"/>
      <c r="E2750" s="59"/>
    </row>
    <row r="2751" spans="4:5">
      <c r="D2751" s="59"/>
      <c r="E2751" s="59"/>
    </row>
    <row r="2752" spans="4:5">
      <c r="D2752" s="59"/>
      <c r="E2752" s="59"/>
    </row>
    <row r="2753" spans="4:5">
      <c r="D2753" s="59"/>
      <c r="E2753" s="59"/>
    </row>
    <row r="2754" spans="4:5">
      <c r="D2754" s="59"/>
      <c r="E2754" s="59"/>
    </row>
    <row r="2755" spans="4:5">
      <c r="D2755" s="59"/>
      <c r="E2755" s="59"/>
    </row>
    <row r="2756" spans="4:5">
      <c r="D2756" s="59"/>
      <c r="E2756" s="59"/>
    </row>
    <row r="2757" spans="4:5">
      <c r="D2757" s="59"/>
      <c r="E2757" s="59"/>
    </row>
    <row r="2758" spans="4:5">
      <c r="D2758" s="59"/>
      <c r="E2758" s="59"/>
    </row>
    <row r="2759" spans="4:5">
      <c r="D2759" s="59"/>
      <c r="E2759" s="59"/>
    </row>
    <row r="2760" spans="4:5">
      <c r="D2760" s="59"/>
      <c r="E2760" s="59"/>
    </row>
    <row r="2761" spans="4:5">
      <c r="D2761" s="59"/>
      <c r="E2761" s="59"/>
    </row>
    <row r="2762" spans="4:5">
      <c r="D2762" s="59"/>
      <c r="E2762" s="59"/>
    </row>
    <row r="2763" spans="4:5">
      <c r="D2763" s="59"/>
      <c r="E2763" s="59"/>
    </row>
    <row r="2764" spans="4:5">
      <c r="D2764" s="59"/>
      <c r="E2764" s="59"/>
    </row>
    <row r="2765" spans="4:5">
      <c r="D2765" s="59"/>
      <c r="E2765" s="59"/>
    </row>
    <row r="2766" spans="4:5">
      <c r="D2766" s="59"/>
      <c r="E2766" s="59"/>
    </row>
    <row r="2767" spans="4:5">
      <c r="D2767" s="59"/>
      <c r="E2767" s="59"/>
    </row>
    <row r="2768" spans="4:5">
      <c r="D2768" s="59"/>
      <c r="E2768" s="59"/>
    </row>
    <row r="2769" spans="4:5">
      <c r="D2769" s="59"/>
      <c r="E2769" s="59"/>
    </row>
    <row r="2770" spans="4:5">
      <c r="D2770" s="59"/>
      <c r="E2770" s="59"/>
    </row>
    <row r="2771" spans="4:5">
      <c r="D2771" s="59"/>
      <c r="E2771" s="59"/>
    </row>
    <row r="2772" spans="4:5">
      <c r="D2772" s="59"/>
      <c r="E2772" s="59"/>
    </row>
    <row r="2773" spans="4:5">
      <c r="D2773" s="59"/>
      <c r="E2773" s="59"/>
    </row>
    <row r="2774" spans="4:5">
      <c r="D2774" s="59"/>
      <c r="E2774" s="59"/>
    </row>
    <row r="2775" spans="4:5">
      <c r="D2775" s="59"/>
      <c r="E2775" s="59"/>
    </row>
    <row r="2776" spans="4:5">
      <c r="D2776" s="59"/>
      <c r="E2776" s="59"/>
    </row>
    <row r="2777" spans="4:5">
      <c r="D2777" s="59"/>
      <c r="E2777" s="59"/>
    </row>
    <row r="2778" spans="4:5">
      <c r="D2778" s="59"/>
      <c r="E2778" s="59"/>
    </row>
    <row r="2779" spans="4:5">
      <c r="D2779" s="59"/>
      <c r="E2779" s="59"/>
    </row>
    <row r="2780" spans="4:5">
      <c r="D2780" s="59"/>
      <c r="E2780" s="59"/>
    </row>
    <row r="2781" spans="4:5">
      <c r="D2781" s="59"/>
      <c r="E2781" s="59"/>
    </row>
    <row r="2782" spans="4:5">
      <c r="D2782" s="59"/>
      <c r="E2782" s="59"/>
    </row>
    <row r="2783" spans="4:5">
      <c r="D2783" s="59"/>
      <c r="E2783" s="59"/>
    </row>
    <row r="2784" spans="4:5">
      <c r="D2784" s="59"/>
      <c r="E2784" s="59"/>
    </row>
    <row r="2785" spans="4:5">
      <c r="D2785" s="59"/>
      <c r="E2785" s="59"/>
    </row>
    <row r="2786" spans="4:5">
      <c r="D2786" s="59"/>
      <c r="E2786" s="59"/>
    </row>
    <row r="2787" spans="4:5">
      <c r="D2787" s="59"/>
      <c r="E2787" s="59"/>
    </row>
    <row r="2788" spans="4:5">
      <c r="D2788" s="59"/>
      <c r="E2788" s="59"/>
    </row>
    <row r="2789" spans="4:5">
      <c r="D2789" s="59"/>
      <c r="E2789" s="59"/>
    </row>
    <row r="2790" spans="4:5">
      <c r="D2790" s="59"/>
      <c r="E2790" s="59"/>
    </row>
    <row r="2791" spans="4:5">
      <c r="D2791" s="59"/>
      <c r="E2791" s="59"/>
    </row>
    <row r="2792" spans="4:5">
      <c r="D2792" s="59"/>
      <c r="E2792" s="59"/>
    </row>
    <row r="2793" spans="4:5">
      <c r="D2793" s="59"/>
      <c r="E2793" s="59"/>
    </row>
    <row r="2794" spans="4:5">
      <c r="D2794" s="59"/>
      <c r="E2794" s="59"/>
    </row>
    <row r="2795" spans="4:5">
      <c r="D2795" s="59"/>
      <c r="E2795" s="59"/>
    </row>
    <row r="2796" spans="4:5">
      <c r="D2796" s="59"/>
      <c r="E2796" s="59"/>
    </row>
    <row r="2797" spans="4:5">
      <c r="D2797" s="59"/>
      <c r="E2797" s="59"/>
    </row>
    <row r="2798" spans="4:5">
      <c r="D2798" s="59"/>
      <c r="E2798" s="59"/>
    </row>
    <row r="2799" spans="4:5">
      <c r="D2799" s="59"/>
      <c r="E2799" s="59"/>
    </row>
    <row r="2800" spans="4:5">
      <c r="D2800" s="59"/>
      <c r="E2800" s="59"/>
    </row>
    <row r="2801" spans="4:5">
      <c r="D2801" s="59"/>
      <c r="E2801" s="59"/>
    </row>
    <row r="2802" spans="4:5">
      <c r="D2802" s="59"/>
      <c r="E2802" s="59"/>
    </row>
    <row r="2803" spans="4:5">
      <c r="D2803" s="59"/>
      <c r="E2803" s="59"/>
    </row>
    <row r="2804" spans="4:5">
      <c r="D2804" s="59"/>
      <c r="E2804" s="59"/>
    </row>
    <row r="2805" spans="4:5">
      <c r="D2805" s="59"/>
      <c r="E2805" s="59"/>
    </row>
    <row r="2806" spans="4:5">
      <c r="D2806" s="59"/>
      <c r="E2806" s="59"/>
    </row>
    <row r="2807" spans="4:5">
      <c r="D2807" s="59"/>
      <c r="E2807" s="59"/>
    </row>
    <row r="2808" spans="4:5">
      <c r="D2808" s="59"/>
      <c r="E2808" s="59"/>
    </row>
    <row r="2809" spans="4:5">
      <c r="D2809" s="59"/>
      <c r="E2809" s="59"/>
    </row>
    <row r="2810" spans="4:5">
      <c r="D2810" s="59"/>
      <c r="E2810" s="59"/>
    </row>
    <row r="2811" spans="4:5">
      <c r="D2811" s="59"/>
      <c r="E2811" s="59"/>
    </row>
    <row r="2812" spans="4:5">
      <c r="D2812" s="59"/>
      <c r="E2812" s="59"/>
    </row>
    <row r="2813" spans="4:5">
      <c r="D2813" s="59"/>
      <c r="E2813" s="59"/>
    </row>
    <row r="2814" spans="4:5">
      <c r="D2814" s="59"/>
      <c r="E2814" s="59"/>
    </row>
    <row r="2815" spans="4:5">
      <c r="D2815" s="59"/>
      <c r="E2815" s="59"/>
    </row>
    <row r="2816" spans="4:5">
      <c r="D2816" s="59"/>
      <c r="E2816" s="59"/>
    </row>
    <row r="2817" spans="4:5">
      <c r="D2817" s="59"/>
      <c r="E2817" s="59"/>
    </row>
    <row r="2818" spans="4:5">
      <c r="D2818" s="59"/>
      <c r="E2818" s="59"/>
    </row>
    <row r="2819" spans="4:5">
      <c r="D2819" s="59"/>
      <c r="E2819" s="59"/>
    </row>
    <row r="2820" spans="4:5">
      <c r="D2820" s="59"/>
      <c r="E2820" s="59"/>
    </row>
    <row r="2821" spans="4:5">
      <c r="D2821" s="59"/>
      <c r="E2821" s="59"/>
    </row>
    <row r="2822" spans="4:5">
      <c r="D2822" s="59"/>
      <c r="E2822" s="59"/>
    </row>
    <row r="2823" spans="4:5">
      <c r="D2823" s="59"/>
      <c r="E2823" s="59"/>
    </row>
    <row r="2824" spans="4:5">
      <c r="D2824" s="59"/>
      <c r="E2824" s="59"/>
    </row>
    <row r="2825" spans="4:5">
      <c r="D2825" s="59"/>
      <c r="E2825" s="59"/>
    </row>
    <row r="2826" spans="4:5">
      <c r="D2826" s="59"/>
      <c r="E2826" s="59"/>
    </row>
    <row r="2827" spans="4:5">
      <c r="D2827" s="59"/>
      <c r="E2827" s="59"/>
    </row>
    <row r="2828" spans="4:5">
      <c r="D2828" s="59"/>
      <c r="E2828" s="59"/>
    </row>
    <row r="2829" spans="4:5">
      <c r="D2829" s="59"/>
      <c r="E2829" s="59"/>
    </row>
    <row r="2830" spans="4:5">
      <c r="D2830" s="59"/>
      <c r="E2830" s="59"/>
    </row>
    <row r="2831" spans="4:5">
      <c r="D2831" s="59"/>
      <c r="E2831" s="59"/>
    </row>
    <row r="2832" spans="4:5">
      <c r="D2832" s="59"/>
      <c r="E2832" s="59"/>
    </row>
    <row r="2833" spans="4:5">
      <c r="D2833" s="59"/>
      <c r="E2833" s="59"/>
    </row>
    <row r="2834" spans="4:5">
      <c r="D2834" s="59"/>
      <c r="E2834" s="59"/>
    </row>
    <row r="2835" spans="4:5">
      <c r="D2835" s="59"/>
      <c r="E2835" s="59"/>
    </row>
    <row r="2836" spans="4:5">
      <c r="D2836" s="59"/>
      <c r="E2836" s="59"/>
    </row>
    <row r="2837" spans="4:5">
      <c r="D2837" s="59"/>
      <c r="E2837" s="59"/>
    </row>
    <row r="2838" spans="4:5">
      <c r="D2838" s="59"/>
      <c r="E2838" s="59"/>
    </row>
    <row r="2839" spans="4:5">
      <c r="D2839" s="59"/>
      <c r="E2839" s="59"/>
    </row>
    <row r="2840" spans="4:5">
      <c r="D2840" s="59"/>
      <c r="E2840" s="59"/>
    </row>
    <row r="2841" spans="4:5">
      <c r="D2841" s="59"/>
      <c r="E2841" s="59"/>
    </row>
    <row r="2842" spans="4:5">
      <c r="D2842" s="59"/>
      <c r="E2842" s="59"/>
    </row>
    <row r="2843" spans="4:5">
      <c r="D2843" s="59"/>
      <c r="E2843" s="59"/>
    </row>
    <row r="2844" spans="4:5">
      <c r="D2844" s="59"/>
      <c r="E2844" s="59"/>
    </row>
    <row r="2845" spans="4:5">
      <c r="D2845" s="59"/>
      <c r="E2845" s="59"/>
    </row>
    <row r="2846" spans="4:5">
      <c r="D2846" s="59"/>
      <c r="E2846" s="59"/>
    </row>
    <row r="2847" spans="4:5">
      <c r="D2847" s="59"/>
      <c r="E2847" s="59"/>
    </row>
    <row r="2848" spans="4:5">
      <c r="D2848" s="59"/>
      <c r="E2848" s="59"/>
    </row>
    <row r="2849" spans="4:5">
      <c r="D2849" s="59"/>
      <c r="E2849" s="59"/>
    </row>
    <row r="2850" spans="4:5">
      <c r="D2850" s="59"/>
      <c r="E2850" s="59"/>
    </row>
    <row r="2851" spans="4:5">
      <c r="D2851" s="59"/>
      <c r="E2851" s="59"/>
    </row>
    <row r="2852" spans="4:5">
      <c r="D2852" s="59"/>
      <c r="E2852" s="59"/>
    </row>
    <row r="2853" spans="4:5">
      <c r="D2853" s="59"/>
      <c r="E2853" s="59"/>
    </row>
    <row r="2854" spans="4:5">
      <c r="D2854" s="59"/>
      <c r="E2854" s="59"/>
    </row>
    <row r="2855" spans="4:5">
      <c r="D2855" s="59"/>
      <c r="E2855" s="59"/>
    </row>
    <row r="2856" spans="4:5">
      <c r="D2856" s="59"/>
      <c r="E2856" s="59"/>
    </row>
    <row r="2857" spans="4:5">
      <c r="D2857" s="59"/>
      <c r="E2857" s="59"/>
    </row>
    <row r="2858" spans="4:5">
      <c r="D2858" s="59"/>
      <c r="E2858" s="59"/>
    </row>
    <row r="2859" spans="4:5">
      <c r="D2859" s="59"/>
      <c r="E2859" s="59"/>
    </row>
    <row r="2860" spans="4:5">
      <c r="D2860" s="59"/>
      <c r="E2860" s="59"/>
    </row>
    <row r="2861" spans="4:5">
      <c r="D2861" s="59"/>
      <c r="E2861" s="59"/>
    </row>
    <row r="2862" spans="4:5">
      <c r="D2862" s="59"/>
      <c r="E2862" s="59"/>
    </row>
    <row r="2863" spans="4:5">
      <c r="D2863" s="59"/>
      <c r="E2863" s="59"/>
    </row>
    <row r="2864" spans="4:5">
      <c r="D2864" s="59"/>
      <c r="E2864" s="59"/>
    </row>
    <row r="2865" spans="4:5">
      <c r="D2865" s="59"/>
      <c r="E2865" s="59"/>
    </row>
    <row r="2866" spans="4:5">
      <c r="D2866" s="59"/>
      <c r="E2866" s="59"/>
    </row>
    <row r="2867" spans="4:5">
      <c r="D2867" s="59"/>
      <c r="E2867" s="59"/>
    </row>
    <row r="2868" spans="4:5">
      <c r="D2868" s="59"/>
      <c r="E2868" s="59"/>
    </row>
    <row r="2869" spans="4:5">
      <c r="D2869" s="59"/>
      <c r="E2869" s="59"/>
    </row>
    <row r="2870" spans="4:5">
      <c r="D2870" s="59"/>
      <c r="E2870" s="59"/>
    </row>
    <row r="2871" spans="4:5">
      <c r="D2871" s="59"/>
      <c r="E2871" s="59"/>
    </row>
    <row r="2872" spans="4:5">
      <c r="D2872" s="59"/>
      <c r="E2872" s="59"/>
    </row>
    <row r="2873" spans="4:5">
      <c r="D2873" s="59"/>
      <c r="E2873" s="59"/>
    </row>
    <row r="2874" spans="4:5">
      <c r="D2874" s="59"/>
      <c r="E2874" s="59"/>
    </row>
    <row r="2875" spans="4:5">
      <c r="D2875" s="59"/>
      <c r="E2875" s="59"/>
    </row>
    <row r="2876" spans="4:5">
      <c r="D2876" s="59"/>
      <c r="E2876" s="59"/>
    </row>
    <row r="2877" spans="4:5">
      <c r="D2877" s="59"/>
      <c r="E2877" s="59"/>
    </row>
    <row r="2878" spans="4:5">
      <c r="D2878" s="59"/>
      <c r="E2878" s="59"/>
    </row>
    <row r="2879" spans="4:5">
      <c r="D2879" s="59"/>
      <c r="E2879" s="59"/>
    </row>
    <row r="2880" spans="4:5">
      <c r="D2880" s="59"/>
      <c r="E2880" s="59"/>
    </row>
    <row r="2881" spans="4:5">
      <c r="D2881" s="59"/>
      <c r="E2881" s="59"/>
    </row>
    <row r="2882" spans="4:5">
      <c r="D2882" s="59"/>
      <c r="E2882" s="59"/>
    </row>
    <row r="2883" spans="4:5">
      <c r="D2883" s="59"/>
      <c r="E2883" s="59"/>
    </row>
    <row r="2884" spans="4:5">
      <c r="D2884" s="59"/>
      <c r="E2884" s="59"/>
    </row>
    <row r="2885" spans="4:5">
      <c r="D2885" s="59"/>
      <c r="E2885" s="59"/>
    </row>
    <row r="2886" spans="4:5">
      <c r="D2886" s="59"/>
      <c r="E2886" s="59"/>
    </row>
    <row r="2887" spans="4:5">
      <c r="D2887" s="59"/>
      <c r="E2887" s="59"/>
    </row>
    <row r="2888" spans="4:5">
      <c r="D2888" s="59"/>
      <c r="E2888" s="59"/>
    </row>
    <row r="2889" spans="4:5">
      <c r="D2889" s="59"/>
      <c r="E2889" s="59"/>
    </row>
    <row r="2890" spans="4:5">
      <c r="D2890" s="59"/>
      <c r="E2890" s="59"/>
    </row>
    <row r="2891" spans="4:5">
      <c r="D2891" s="59"/>
      <c r="E2891" s="59"/>
    </row>
    <row r="2892" spans="4:5">
      <c r="D2892" s="59"/>
      <c r="E2892" s="59"/>
    </row>
    <row r="2893" spans="4:5">
      <c r="D2893" s="59"/>
      <c r="E2893" s="59"/>
    </row>
    <row r="2894" spans="4:5">
      <c r="D2894" s="59"/>
      <c r="E2894" s="59"/>
    </row>
    <row r="2895" spans="4:5">
      <c r="D2895" s="59"/>
      <c r="E2895" s="59"/>
    </row>
    <row r="2896" spans="4:5">
      <c r="D2896" s="59"/>
      <c r="E2896" s="59"/>
    </row>
    <row r="2897" spans="4:5">
      <c r="D2897" s="59"/>
      <c r="E2897" s="59"/>
    </row>
    <row r="2898" spans="4:5">
      <c r="D2898" s="59"/>
      <c r="E2898" s="59"/>
    </row>
    <row r="2899" spans="4:5">
      <c r="D2899" s="59"/>
      <c r="E2899" s="59"/>
    </row>
    <row r="2900" spans="4:5">
      <c r="D2900" s="59"/>
      <c r="E2900" s="59"/>
    </row>
    <row r="2901" spans="4:5">
      <c r="D2901" s="59"/>
      <c r="E2901" s="59"/>
    </row>
    <row r="2902" spans="4:5">
      <c r="D2902" s="59"/>
      <c r="E2902" s="59"/>
    </row>
    <row r="2903" spans="4:5">
      <c r="D2903" s="59"/>
      <c r="E2903" s="59"/>
    </row>
    <row r="2904" spans="4:5">
      <c r="D2904" s="59"/>
      <c r="E2904" s="59"/>
    </row>
    <row r="2905" spans="4:5">
      <c r="D2905" s="59"/>
      <c r="E2905" s="59"/>
    </row>
    <row r="2906" spans="4:5">
      <c r="D2906" s="59"/>
      <c r="E2906" s="59"/>
    </row>
    <row r="2907" spans="4:5">
      <c r="D2907" s="59"/>
      <c r="E2907" s="59"/>
    </row>
    <row r="2908" spans="4:5">
      <c r="D2908" s="59"/>
      <c r="E2908" s="59"/>
    </row>
    <row r="2909" spans="4:5">
      <c r="D2909" s="59"/>
      <c r="E2909" s="59"/>
    </row>
    <row r="2910" spans="4:5">
      <c r="D2910" s="59"/>
      <c r="E2910" s="59"/>
    </row>
    <row r="2911" spans="4:5">
      <c r="D2911" s="59"/>
      <c r="E2911" s="59"/>
    </row>
    <row r="2912" spans="4:5">
      <c r="D2912" s="59"/>
      <c r="E2912" s="59"/>
    </row>
    <row r="2913" spans="4:5">
      <c r="D2913" s="59"/>
      <c r="E2913" s="59"/>
    </row>
    <row r="2914" spans="4:5">
      <c r="D2914" s="59"/>
      <c r="E2914" s="59"/>
    </row>
    <row r="2915" spans="4:5">
      <c r="D2915" s="59"/>
      <c r="E2915" s="59"/>
    </row>
    <row r="2916" spans="4:5">
      <c r="D2916" s="59"/>
      <c r="E2916" s="59"/>
    </row>
    <row r="2917" spans="4:5">
      <c r="D2917" s="59"/>
      <c r="E2917" s="59"/>
    </row>
    <row r="2918" spans="4:5">
      <c r="D2918" s="59"/>
      <c r="E2918" s="59"/>
    </row>
    <row r="2919" spans="4:5">
      <c r="D2919" s="59"/>
      <c r="E2919" s="59"/>
    </row>
    <row r="2920" spans="4:5">
      <c r="D2920" s="59"/>
      <c r="E2920" s="59"/>
    </row>
    <row r="2921" spans="4:5">
      <c r="D2921" s="59"/>
      <c r="E2921" s="59"/>
    </row>
    <row r="2922" spans="4:5">
      <c r="D2922" s="59"/>
      <c r="E2922" s="59"/>
    </row>
    <row r="2923" spans="4:5">
      <c r="D2923" s="59"/>
      <c r="E2923" s="59"/>
    </row>
    <row r="2924" spans="4:5">
      <c r="D2924" s="59"/>
      <c r="E2924" s="59"/>
    </row>
    <row r="2925" spans="4:5">
      <c r="D2925" s="59"/>
      <c r="E2925" s="59"/>
    </row>
    <row r="2926" spans="4:5">
      <c r="D2926" s="59"/>
      <c r="E2926" s="59"/>
    </row>
    <row r="2927" spans="4:5">
      <c r="D2927" s="59"/>
      <c r="E2927" s="59"/>
    </row>
    <row r="2928" spans="4:5">
      <c r="D2928" s="59"/>
      <c r="E2928" s="59"/>
    </row>
    <row r="2929" spans="4:5">
      <c r="D2929" s="59"/>
      <c r="E2929" s="59"/>
    </row>
    <row r="2930" spans="4:5">
      <c r="D2930" s="59"/>
      <c r="E2930" s="59"/>
    </row>
    <row r="2931" spans="4:5">
      <c r="D2931" s="59"/>
      <c r="E2931" s="59"/>
    </row>
    <row r="2932" spans="4:5">
      <c r="D2932" s="59"/>
      <c r="E2932" s="59"/>
    </row>
    <row r="2933" spans="4:5">
      <c r="D2933" s="59"/>
      <c r="E2933" s="59"/>
    </row>
    <row r="2934" spans="4:5">
      <c r="D2934" s="59"/>
      <c r="E2934" s="59"/>
    </row>
    <row r="2935" spans="4:5">
      <c r="D2935" s="59"/>
      <c r="E2935" s="59"/>
    </row>
    <row r="2936" spans="4:5">
      <c r="D2936" s="59"/>
      <c r="E2936" s="59"/>
    </row>
    <row r="2937" spans="4:5">
      <c r="D2937" s="59"/>
      <c r="E2937" s="59"/>
    </row>
    <row r="2938" spans="4:5">
      <c r="D2938" s="59"/>
      <c r="E2938" s="59"/>
    </row>
    <row r="2939" spans="4:5">
      <c r="D2939" s="59"/>
      <c r="E2939" s="59"/>
    </row>
    <row r="2940" spans="4:5">
      <c r="D2940" s="59"/>
      <c r="E2940" s="59"/>
    </row>
    <row r="2941" spans="4:5">
      <c r="D2941" s="59"/>
      <c r="E2941" s="59"/>
    </row>
    <row r="2942" spans="4:5">
      <c r="D2942" s="59"/>
      <c r="E2942" s="59"/>
    </row>
    <row r="2943" spans="4:5">
      <c r="D2943" s="59"/>
      <c r="E2943" s="59"/>
    </row>
    <row r="2944" spans="4:5">
      <c r="D2944" s="59"/>
      <c r="E2944" s="59"/>
    </row>
    <row r="2945" spans="4:5">
      <c r="D2945" s="59"/>
      <c r="E2945" s="59"/>
    </row>
    <row r="2946" spans="4:5">
      <c r="D2946" s="59"/>
      <c r="E2946" s="59"/>
    </row>
    <row r="2947" spans="4:5">
      <c r="D2947" s="59"/>
      <c r="E2947" s="59"/>
    </row>
    <row r="2948" spans="4:5">
      <c r="D2948" s="59"/>
      <c r="E2948" s="59"/>
    </row>
    <row r="2949" spans="4:5">
      <c r="D2949" s="59"/>
      <c r="E2949" s="59"/>
    </row>
    <row r="2950" spans="4:5">
      <c r="D2950" s="59"/>
      <c r="E2950" s="59"/>
    </row>
    <row r="2951" spans="4:5">
      <c r="D2951" s="59"/>
      <c r="E2951" s="59"/>
    </row>
    <row r="2952" spans="4:5">
      <c r="D2952" s="59"/>
      <c r="E2952" s="59"/>
    </row>
    <row r="2953" spans="4:5">
      <c r="D2953" s="59"/>
      <c r="E2953" s="59"/>
    </row>
    <row r="2954" spans="4:5">
      <c r="D2954" s="59"/>
      <c r="E2954" s="59"/>
    </row>
    <row r="2955" spans="4:5">
      <c r="D2955" s="59"/>
      <c r="E2955" s="59"/>
    </row>
    <row r="2956" spans="4:5">
      <c r="D2956" s="59"/>
      <c r="E2956" s="59"/>
    </row>
    <row r="2957" spans="4:5">
      <c r="D2957" s="59"/>
      <c r="E2957" s="59"/>
    </row>
    <row r="2958" spans="4:5">
      <c r="D2958" s="59"/>
      <c r="E2958" s="59"/>
    </row>
    <row r="2959" spans="4:5">
      <c r="D2959" s="59"/>
      <c r="E2959" s="59"/>
    </row>
    <row r="2960" spans="4:5">
      <c r="D2960" s="59"/>
      <c r="E2960" s="59"/>
    </row>
    <row r="2961" spans="4:5">
      <c r="D2961" s="59"/>
      <c r="E2961" s="59"/>
    </row>
    <row r="2962" spans="4:5">
      <c r="D2962" s="59"/>
      <c r="E2962" s="59"/>
    </row>
    <row r="2963" spans="4:5">
      <c r="D2963" s="59"/>
      <c r="E2963" s="59"/>
    </row>
    <row r="2964" spans="4:5">
      <c r="D2964" s="59"/>
      <c r="E2964" s="59"/>
    </row>
    <row r="2965" spans="4:5">
      <c r="D2965" s="59"/>
      <c r="E2965" s="59"/>
    </row>
    <row r="2966" spans="4:5">
      <c r="D2966" s="59"/>
      <c r="E2966" s="59"/>
    </row>
    <row r="2967" spans="4:5">
      <c r="D2967" s="59"/>
      <c r="E2967" s="59"/>
    </row>
    <row r="2968" spans="4:5">
      <c r="D2968" s="59"/>
      <c r="E2968" s="59"/>
    </row>
    <row r="2969" spans="4:5">
      <c r="D2969" s="59"/>
      <c r="E2969" s="59"/>
    </row>
    <row r="2970" spans="4:5">
      <c r="D2970" s="59"/>
      <c r="E2970" s="59"/>
    </row>
    <row r="2971" spans="4:5">
      <c r="D2971" s="59"/>
      <c r="E2971" s="59"/>
    </row>
    <row r="2972" spans="4:5">
      <c r="D2972" s="59"/>
      <c r="E2972" s="59"/>
    </row>
    <row r="2973" spans="4:5">
      <c r="D2973" s="59"/>
      <c r="E2973" s="59"/>
    </row>
    <row r="2974" spans="4:5">
      <c r="D2974" s="59"/>
      <c r="E2974" s="59"/>
    </row>
    <row r="2975" spans="4:5">
      <c r="D2975" s="59"/>
      <c r="E2975" s="59"/>
    </row>
    <row r="2976" spans="4:5">
      <c r="D2976" s="59"/>
      <c r="E2976" s="59"/>
    </row>
    <row r="2977" spans="4:5">
      <c r="D2977" s="59"/>
      <c r="E2977" s="59"/>
    </row>
    <row r="2978" spans="4:5">
      <c r="D2978" s="59"/>
      <c r="E2978" s="59"/>
    </row>
    <row r="2979" spans="4:5">
      <c r="D2979" s="59"/>
      <c r="E2979" s="59"/>
    </row>
    <row r="2980" spans="4:5">
      <c r="D2980" s="59"/>
      <c r="E2980" s="59"/>
    </row>
    <row r="2981" spans="4:5">
      <c r="D2981" s="59"/>
      <c r="E2981" s="59"/>
    </row>
    <row r="2982" spans="4:5">
      <c r="D2982" s="59"/>
      <c r="E2982" s="59"/>
    </row>
    <row r="2983" spans="4:5">
      <c r="D2983" s="59"/>
      <c r="E2983" s="59"/>
    </row>
    <row r="2984" spans="4:5">
      <c r="D2984" s="59"/>
      <c r="E2984" s="59"/>
    </row>
    <row r="2985" spans="4:5">
      <c r="D2985" s="59"/>
      <c r="E2985" s="59"/>
    </row>
    <row r="2986" spans="4:5">
      <c r="D2986" s="59"/>
      <c r="E2986" s="59"/>
    </row>
    <row r="2987" spans="4:5">
      <c r="D2987" s="59"/>
      <c r="E2987" s="59"/>
    </row>
    <row r="2988" spans="4:5">
      <c r="D2988" s="59"/>
      <c r="E2988" s="59"/>
    </row>
    <row r="2989" spans="4:5">
      <c r="D2989" s="59"/>
      <c r="E2989" s="59"/>
    </row>
    <row r="2990" spans="4:5">
      <c r="D2990" s="59"/>
      <c r="E2990" s="59"/>
    </row>
    <row r="2991" spans="4:5">
      <c r="D2991" s="59"/>
      <c r="E2991" s="59"/>
    </row>
    <row r="2992" spans="4:5">
      <c r="D2992" s="59"/>
      <c r="E2992" s="59"/>
    </row>
    <row r="2993" spans="4:5">
      <c r="D2993" s="59"/>
      <c r="E2993" s="59"/>
    </row>
    <row r="2994" spans="4:5">
      <c r="D2994" s="59"/>
      <c r="E2994" s="59"/>
    </row>
    <row r="2995" spans="4:5">
      <c r="D2995" s="59"/>
      <c r="E2995" s="59"/>
    </row>
    <row r="2996" spans="4:5">
      <c r="D2996" s="59"/>
      <c r="E2996" s="59"/>
    </row>
    <row r="2997" spans="4:5">
      <c r="D2997" s="59"/>
      <c r="E2997" s="59"/>
    </row>
    <row r="2998" spans="4:5">
      <c r="D2998" s="59"/>
      <c r="E2998" s="59"/>
    </row>
    <row r="2999" spans="4:5">
      <c r="D2999" s="59"/>
      <c r="E2999" s="59"/>
    </row>
    <row r="3000" spans="4:5">
      <c r="D3000" s="59"/>
      <c r="E3000" s="59"/>
    </row>
    <row r="3001" spans="4:5">
      <c r="D3001" s="59"/>
      <c r="E3001" s="59"/>
    </row>
    <row r="3002" spans="4:5">
      <c r="D3002" s="59"/>
      <c r="E3002" s="59"/>
    </row>
    <row r="3003" spans="4:5">
      <c r="D3003" s="59"/>
      <c r="E3003" s="59"/>
    </row>
    <row r="3004" spans="4:5">
      <c r="D3004" s="59"/>
      <c r="E3004" s="59"/>
    </row>
    <row r="3005" spans="4:5">
      <c r="D3005" s="59"/>
      <c r="E3005" s="59"/>
    </row>
    <row r="3006" spans="4:5">
      <c r="D3006" s="59"/>
      <c r="E3006" s="59"/>
    </row>
    <row r="3007" spans="4:5">
      <c r="D3007" s="59"/>
      <c r="E3007" s="59"/>
    </row>
    <row r="3008" spans="4:5">
      <c r="D3008" s="59"/>
      <c r="E3008" s="59"/>
    </row>
    <row r="3009" spans="4:5">
      <c r="D3009" s="59"/>
      <c r="E3009" s="59"/>
    </row>
    <row r="3010" spans="4:5">
      <c r="D3010" s="59"/>
      <c r="E3010" s="59"/>
    </row>
    <row r="3011" spans="4:5">
      <c r="D3011" s="59"/>
      <c r="E3011" s="59"/>
    </row>
    <row r="3012" spans="4:5">
      <c r="D3012" s="59"/>
      <c r="E3012" s="59"/>
    </row>
    <row r="3013" spans="4:5">
      <c r="D3013" s="59"/>
      <c r="E3013" s="59"/>
    </row>
    <row r="3014" spans="4:5">
      <c r="D3014" s="59"/>
      <c r="E3014" s="59"/>
    </row>
    <row r="3015" spans="4:5">
      <c r="D3015" s="59"/>
      <c r="E3015" s="59"/>
    </row>
    <row r="3016" spans="4:5">
      <c r="D3016" s="59"/>
      <c r="E3016" s="59"/>
    </row>
    <row r="3017" spans="4:5">
      <c r="D3017" s="59"/>
      <c r="E3017" s="59"/>
    </row>
    <row r="3018" spans="4:5">
      <c r="D3018" s="59"/>
      <c r="E3018" s="59"/>
    </row>
    <row r="3019" spans="4:5">
      <c r="D3019" s="59"/>
      <c r="E3019" s="59"/>
    </row>
    <row r="3020" spans="4:5">
      <c r="D3020" s="59"/>
      <c r="E3020" s="59"/>
    </row>
    <row r="3021" spans="4:5">
      <c r="D3021" s="59"/>
      <c r="E3021" s="59"/>
    </row>
    <row r="3022" spans="4:5">
      <c r="D3022" s="59"/>
      <c r="E3022" s="59"/>
    </row>
    <row r="3023" spans="4:5">
      <c r="D3023" s="59"/>
      <c r="E3023" s="59"/>
    </row>
    <row r="3024" spans="4:5">
      <c r="D3024" s="59"/>
      <c r="E3024" s="59"/>
    </row>
    <row r="3025" spans="4:5">
      <c r="D3025" s="59"/>
      <c r="E3025" s="59"/>
    </row>
    <row r="3026" spans="4:5">
      <c r="D3026" s="59"/>
      <c r="E3026" s="59"/>
    </row>
    <row r="3027" spans="4:5">
      <c r="D3027" s="59"/>
      <c r="E3027" s="59"/>
    </row>
    <row r="3028" spans="4:5">
      <c r="D3028" s="59"/>
      <c r="E3028" s="59"/>
    </row>
    <row r="3029" spans="4:5">
      <c r="D3029" s="59"/>
      <c r="E3029" s="59"/>
    </row>
    <row r="3030" spans="4:5">
      <c r="D3030" s="59"/>
      <c r="E3030" s="59"/>
    </row>
    <row r="3031" spans="4:5">
      <c r="D3031" s="59"/>
      <c r="E3031" s="59"/>
    </row>
    <row r="3032" spans="4:5">
      <c r="D3032" s="59"/>
      <c r="E3032" s="59"/>
    </row>
    <row r="3033" spans="4:5">
      <c r="D3033" s="59"/>
      <c r="E3033" s="59"/>
    </row>
    <row r="3034" spans="4:5">
      <c r="D3034" s="59"/>
      <c r="E3034" s="59"/>
    </row>
    <row r="3035" spans="4:5">
      <c r="D3035" s="59"/>
      <c r="E3035" s="59"/>
    </row>
    <row r="3036" spans="4:5">
      <c r="D3036" s="59"/>
      <c r="E3036" s="59"/>
    </row>
    <row r="3037" spans="4:5">
      <c r="D3037" s="59"/>
      <c r="E3037" s="59"/>
    </row>
    <row r="3038" spans="4:5">
      <c r="D3038" s="59"/>
      <c r="E3038" s="59"/>
    </row>
    <row r="3039" spans="4:5">
      <c r="D3039" s="59"/>
      <c r="E3039" s="59"/>
    </row>
    <row r="3040" spans="4:5">
      <c r="D3040" s="59"/>
      <c r="E3040" s="59"/>
    </row>
    <row r="3041" spans="4:5">
      <c r="D3041" s="59"/>
      <c r="E3041" s="59"/>
    </row>
    <row r="3042" spans="4:5">
      <c r="D3042" s="59"/>
      <c r="E3042" s="59"/>
    </row>
    <row r="3043" spans="4:5">
      <c r="D3043" s="59"/>
      <c r="E3043" s="59"/>
    </row>
    <row r="3044" spans="4:5">
      <c r="D3044" s="59"/>
      <c r="E3044" s="59"/>
    </row>
    <row r="3045" spans="4:5">
      <c r="D3045" s="59"/>
      <c r="E3045" s="59"/>
    </row>
    <row r="3046" spans="4:5">
      <c r="D3046" s="59"/>
      <c r="E3046" s="59"/>
    </row>
    <row r="3047" spans="4:5">
      <c r="D3047" s="59"/>
      <c r="E3047" s="59"/>
    </row>
    <row r="3048" spans="4:5">
      <c r="D3048" s="59"/>
      <c r="E3048" s="59"/>
    </row>
    <row r="3049" spans="4:5">
      <c r="D3049" s="59"/>
      <c r="E3049" s="59"/>
    </row>
    <row r="3050" spans="4:5">
      <c r="D3050" s="59"/>
      <c r="E3050" s="59"/>
    </row>
    <row r="3051" spans="4:5">
      <c r="D3051" s="59"/>
      <c r="E3051" s="59"/>
    </row>
    <row r="3052" spans="4:5">
      <c r="D3052" s="59"/>
      <c r="E3052" s="59"/>
    </row>
    <row r="3053" spans="4:5">
      <c r="D3053" s="59"/>
      <c r="E3053" s="59"/>
    </row>
    <row r="3054" spans="4:5">
      <c r="D3054" s="59"/>
      <c r="E3054" s="59"/>
    </row>
    <row r="3055" spans="4:5">
      <c r="D3055" s="59"/>
      <c r="E3055" s="59"/>
    </row>
    <row r="3056" spans="4:5">
      <c r="D3056" s="59"/>
      <c r="E3056" s="59"/>
    </row>
    <row r="3057" spans="4:5">
      <c r="D3057" s="59"/>
      <c r="E3057" s="59"/>
    </row>
    <row r="3058" spans="4:5">
      <c r="D3058" s="59"/>
      <c r="E3058" s="59"/>
    </row>
    <row r="3059" spans="4:5">
      <c r="D3059" s="59"/>
      <c r="E3059" s="59"/>
    </row>
    <row r="3060" spans="4:5">
      <c r="D3060" s="59"/>
      <c r="E3060" s="59"/>
    </row>
    <row r="3061" spans="4:5">
      <c r="D3061" s="59"/>
      <c r="E3061" s="59"/>
    </row>
    <row r="3062" spans="4:5">
      <c r="D3062" s="59"/>
      <c r="E3062" s="59"/>
    </row>
    <row r="3063" spans="4:5">
      <c r="D3063" s="59"/>
      <c r="E3063" s="59"/>
    </row>
    <row r="3064" spans="4:5">
      <c r="D3064" s="59"/>
      <c r="E3064" s="59"/>
    </row>
    <row r="3065" spans="4:5">
      <c r="D3065" s="59"/>
      <c r="E3065" s="59"/>
    </row>
    <row r="3066" spans="4:5">
      <c r="D3066" s="59"/>
      <c r="E3066" s="59"/>
    </row>
    <row r="3067" spans="4:5">
      <c r="D3067" s="59"/>
      <c r="E3067" s="59"/>
    </row>
    <row r="3068" spans="4:5">
      <c r="D3068" s="59"/>
      <c r="E3068" s="59"/>
    </row>
    <row r="3069" spans="4:5">
      <c r="D3069" s="59"/>
      <c r="E3069" s="59"/>
    </row>
    <row r="3070" spans="4:5">
      <c r="D3070" s="59"/>
      <c r="E3070" s="59"/>
    </row>
    <row r="3071" spans="4:5">
      <c r="D3071" s="59"/>
      <c r="E3071" s="59"/>
    </row>
    <row r="3072" spans="4:5">
      <c r="D3072" s="59"/>
      <c r="E3072" s="59"/>
    </row>
    <row r="3073" spans="4:5">
      <c r="D3073" s="59"/>
      <c r="E3073" s="59"/>
    </row>
    <row r="3074" spans="4:5">
      <c r="D3074" s="59"/>
      <c r="E3074" s="59"/>
    </row>
    <row r="3075" spans="4:5">
      <c r="D3075" s="59"/>
      <c r="E3075" s="59"/>
    </row>
    <row r="3076" spans="4:5">
      <c r="D3076" s="59"/>
      <c r="E3076" s="59"/>
    </row>
    <row r="3077" spans="4:5">
      <c r="D3077" s="59"/>
      <c r="E3077" s="59"/>
    </row>
    <row r="3078" spans="4:5">
      <c r="D3078" s="59"/>
      <c r="E3078" s="59"/>
    </row>
    <row r="3079" spans="4:5">
      <c r="D3079" s="59"/>
      <c r="E3079" s="59"/>
    </row>
    <row r="3080" spans="4:5">
      <c r="D3080" s="59"/>
      <c r="E3080" s="59"/>
    </row>
    <row r="3081" spans="4:5">
      <c r="D3081" s="59"/>
      <c r="E3081" s="59"/>
    </row>
    <row r="3082" spans="4:5">
      <c r="D3082" s="59"/>
      <c r="E3082" s="59"/>
    </row>
    <row r="3083" spans="4:5">
      <c r="D3083" s="59"/>
      <c r="E3083" s="59"/>
    </row>
    <row r="3084" spans="4:5">
      <c r="D3084" s="59"/>
      <c r="E3084" s="59"/>
    </row>
    <row r="3085" spans="4:5">
      <c r="D3085" s="59"/>
      <c r="E3085" s="59"/>
    </row>
    <row r="3086" spans="4:5">
      <c r="D3086" s="59"/>
      <c r="E3086" s="59"/>
    </row>
    <row r="3087" spans="4:5">
      <c r="D3087" s="59"/>
      <c r="E3087" s="59"/>
    </row>
    <row r="3088" spans="4:5">
      <c r="D3088" s="59"/>
      <c r="E3088" s="59"/>
    </row>
    <row r="3089" spans="4:5">
      <c r="D3089" s="59"/>
      <c r="E3089" s="59"/>
    </row>
    <row r="3090" spans="4:5">
      <c r="D3090" s="59"/>
      <c r="E3090" s="59"/>
    </row>
    <row r="3091" spans="4:5">
      <c r="D3091" s="59"/>
      <c r="E3091" s="59"/>
    </row>
    <row r="3092" spans="4:5">
      <c r="D3092" s="59"/>
      <c r="E3092" s="59"/>
    </row>
    <row r="3093" spans="4:5">
      <c r="D3093" s="59"/>
      <c r="E3093" s="59"/>
    </row>
    <row r="3094" spans="4:5">
      <c r="D3094" s="59"/>
      <c r="E3094" s="59"/>
    </row>
    <row r="3095" spans="4:5">
      <c r="D3095" s="59"/>
      <c r="E3095" s="59"/>
    </row>
    <row r="3096" spans="4:5">
      <c r="D3096" s="59"/>
      <c r="E3096" s="59"/>
    </row>
    <row r="3097" spans="4:5">
      <c r="D3097" s="59"/>
      <c r="E3097" s="59"/>
    </row>
    <row r="3098" spans="4:5">
      <c r="D3098" s="59"/>
      <c r="E3098" s="59"/>
    </row>
    <row r="3099" spans="4:5">
      <c r="D3099" s="59"/>
      <c r="E3099" s="59"/>
    </row>
    <row r="3100" spans="4:5">
      <c r="D3100" s="59"/>
      <c r="E3100" s="59"/>
    </row>
    <row r="3101" spans="4:5">
      <c r="D3101" s="59"/>
      <c r="E3101" s="59"/>
    </row>
    <row r="3102" spans="4:5">
      <c r="D3102" s="59"/>
      <c r="E3102" s="59"/>
    </row>
    <row r="3103" spans="4:5">
      <c r="D3103" s="59"/>
      <c r="E3103" s="59"/>
    </row>
    <row r="3104" spans="4:5">
      <c r="D3104" s="59"/>
      <c r="E3104" s="59"/>
    </row>
    <row r="3105" spans="4:5">
      <c r="D3105" s="59"/>
      <c r="E3105" s="59"/>
    </row>
    <row r="3106" spans="4:5">
      <c r="D3106" s="59"/>
      <c r="E3106" s="59"/>
    </row>
    <row r="3107" spans="4:5">
      <c r="D3107" s="59"/>
      <c r="E3107" s="59"/>
    </row>
    <row r="3108" spans="4:5">
      <c r="D3108" s="59"/>
      <c r="E3108" s="59"/>
    </row>
    <row r="3109" spans="4:5">
      <c r="D3109" s="59"/>
      <c r="E3109" s="59"/>
    </row>
    <row r="3110" spans="4:5">
      <c r="D3110" s="59"/>
      <c r="E3110" s="59"/>
    </row>
    <row r="3111" spans="4:5">
      <c r="D3111" s="59"/>
      <c r="E3111" s="59"/>
    </row>
    <row r="3112" spans="4:5">
      <c r="D3112" s="59"/>
      <c r="E3112" s="59"/>
    </row>
    <row r="3113" spans="4:5">
      <c r="D3113" s="59"/>
      <c r="E3113" s="59"/>
    </row>
    <row r="3114" spans="4:5">
      <c r="D3114" s="59"/>
      <c r="E3114" s="59"/>
    </row>
    <row r="3115" spans="4:5">
      <c r="D3115" s="59"/>
      <c r="E3115" s="59"/>
    </row>
    <row r="3116" spans="4:5">
      <c r="D3116" s="59"/>
      <c r="E3116" s="59"/>
    </row>
    <row r="3117" spans="4:5">
      <c r="D3117" s="59"/>
      <c r="E3117" s="59"/>
    </row>
    <row r="3118" spans="4:5">
      <c r="D3118" s="59"/>
      <c r="E3118" s="59"/>
    </row>
    <row r="3119" spans="4:5">
      <c r="D3119" s="59"/>
      <c r="E3119" s="59"/>
    </row>
    <row r="3120" spans="4:5">
      <c r="D3120" s="59"/>
      <c r="E3120" s="59"/>
    </row>
    <row r="3121" spans="4:5">
      <c r="D3121" s="59"/>
      <c r="E3121" s="59"/>
    </row>
    <row r="3122" spans="4:5">
      <c r="D3122" s="59"/>
      <c r="E3122" s="59"/>
    </row>
    <row r="3123" spans="4:5">
      <c r="D3123" s="59"/>
      <c r="E3123" s="59"/>
    </row>
    <row r="3124" spans="4:5">
      <c r="D3124" s="59"/>
      <c r="E3124" s="59"/>
    </row>
    <row r="3125" spans="4:5">
      <c r="D3125" s="59"/>
      <c r="E3125" s="59"/>
    </row>
    <row r="3126" spans="4:5">
      <c r="D3126" s="59"/>
      <c r="E3126" s="59"/>
    </row>
    <row r="3127" spans="4:5">
      <c r="D3127" s="59"/>
      <c r="E3127" s="59"/>
    </row>
    <row r="3128" spans="4:5">
      <c r="D3128" s="59"/>
      <c r="E3128" s="59"/>
    </row>
    <row r="3129" spans="4:5">
      <c r="D3129" s="59"/>
      <c r="E3129" s="59"/>
    </row>
    <row r="3130" spans="4:5">
      <c r="D3130" s="59"/>
      <c r="E3130" s="59"/>
    </row>
    <row r="3131" spans="4:5">
      <c r="D3131" s="59"/>
      <c r="E3131" s="59"/>
    </row>
    <row r="3132" spans="4:5">
      <c r="D3132" s="59"/>
      <c r="E3132" s="59"/>
    </row>
    <row r="3133" spans="4:5">
      <c r="D3133" s="59"/>
      <c r="E3133" s="59"/>
    </row>
    <row r="3134" spans="4:5">
      <c r="D3134" s="59"/>
      <c r="E3134" s="59"/>
    </row>
    <row r="3135" spans="4:5">
      <c r="D3135" s="59"/>
      <c r="E3135" s="59"/>
    </row>
    <row r="3136" spans="4:5">
      <c r="D3136" s="59"/>
      <c r="E3136" s="59"/>
    </row>
    <row r="3137" spans="4:5">
      <c r="D3137" s="59"/>
      <c r="E3137" s="59"/>
    </row>
    <row r="3138" spans="4:5">
      <c r="D3138" s="59"/>
      <c r="E3138" s="59"/>
    </row>
    <row r="3139" spans="4:5">
      <c r="D3139" s="59"/>
      <c r="E3139" s="59"/>
    </row>
    <row r="3140" spans="4:5">
      <c r="D3140" s="59"/>
      <c r="E3140" s="59"/>
    </row>
    <row r="3141" spans="4:5">
      <c r="D3141" s="59"/>
      <c r="E3141" s="59"/>
    </row>
    <row r="3142" spans="4:5">
      <c r="D3142" s="59"/>
      <c r="E3142" s="59"/>
    </row>
    <row r="3143" spans="4:5">
      <c r="D3143" s="59"/>
      <c r="E3143" s="59"/>
    </row>
    <row r="3144" spans="4:5">
      <c r="D3144" s="59"/>
      <c r="E3144" s="59"/>
    </row>
    <row r="3145" spans="4:5">
      <c r="D3145" s="59"/>
      <c r="E3145" s="59"/>
    </row>
    <row r="3146" spans="4:5">
      <c r="D3146" s="59"/>
      <c r="E3146" s="59"/>
    </row>
    <row r="3147" spans="4:5">
      <c r="D3147" s="59"/>
      <c r="E3147" s="59"/>
    </row>
    <row r="3148" spans="4:5">
      <c r="D3148" s="59"/>
      <c r="E3148" s="59"/>
    </row>
    <row r="3149" spans="4:5">
      <c r="D3149" s="59"/>
      <c r="E3149" s="59"/>
    </row>
    <row r="3150" spans="4:5">
      <c r="D3150" s="59"/>
      <c r="E3150" s="59"/>
    </row>
    <row r="3151" spans="4:5">
      <c r="D3151" s="59"/>
      <c r="E3151" s="59"/>
    </row>
    <row r="3152" spans="4:5">
      <c r="D3152" s="59"/>
      <c r="E3152" s="59"/>
    </row>
    <row r="3153" spans="4:5">
      <c r="D3153" s="59"/>
      <c r="E3153" s="59"/>
    </row>
    <row r="3154" spans="4:5">
      <c r="D3154" s="59"/>
      <c r="E3154" s="59"/>
    </row>
    <row r="3155" spans="4:5">
      <c r="D3155" s="59"/>
      <c r="E3155" s="59"/>
    </row>
    <row r="3156" spans="4:5">
      <c r="D3156" s="59"/>
      <c r="E3156" s="59"/>
    </row>
    <row r="3157" spans="4:5">
      <c r="D3157" s="59"/>
      <c r="E3157" s="59"/>
    </row>
    <row r="3158" spans="4:5">
      <c r="D3158" s="59"/>
      <c r="E3158" s="59"/>
    </row>
    <row r="3159" spans="4:5">
      <c r="D3159" s="59"/>
      <c r="E3159" s="59"/>
    </row>
    <row r="3160" spans="4:5">
      <c r="D3160" s="59"/>
      <c r="E3160" s="59"/>
    </row>
    <row r="3161" spans="4:5">
      <c r="D3161" s="59"/>
      <c r="E3161" s="59"/>
    </row>
    <row r="3162" spans="4:5">
      <c r="D3162" s="59"/>
      <c r="E3162" s="59"/>
    </row>
    <row r="3163" spans="4:5">
      <c r="D3163" s="59"/>
      <c r="E3163" s="59"/>
    </row>
    <row r="3164" spans="4:5">
      <c r="D3164" s="59"/>
      <c r="E3164" s="59"/>
    </row>
    <row r="3165" spans="4:5">
      <c r="D3165" s="59"/>
      <c r="E3165" s="59"/>
    </row>
    <row r="3166" spans="4:5">
      <c r="D3166" s="59"/>
      <c r="E3166" s="59"/>
    </row>
    <row r="3167" spans="4:5">
      <c r="D3167" s="59"/>
      <c r="E3167" s="59"/>
    </row>
    <row r="3168" spans="4:5">
      <c r="D3168" s="59"/>
      <c r="E3168" s="59"/>
    </row>
    <row r="3169" spans="4:5">
      <c r="D3169" s="59"/>
      <c r="E3169" s="59"/>
    </row>
    <row r="3170" spans="4:5">
      <c r="D3170" s="59"/>
      <c r="E3170" s="59"/>
    </row>
    <row r="3171" spans="4:5">
      <c r="D3171" s="59"/>
      <c r="E3171" s="59"/>
    </row>
    <row r="3172" spans="4:5">
      <c r="D3172" s="59"/>
      <c r="E3172" s="59"/>
    </row>
    <row r="3173" spans="4:5">
      <c r="D3173" s="59"/>
      <c r="E3173" s="59"/>
    </row>
    <row r="3174" spans="4:5">
      <c r="D3174" s="59"/>
      <c r="E3174" s="59"/>
    </row>
    <row r="3175" spans="4:5">
      <c r="D3175" s="59"/>
      <c r="E3175" s="59"/>
    </row>
    <row r="3176" spans="4:5">
      <c r="D3176" s="59"/>
      <c r="E3176" s="59"/>
    </row>
    <row r="3177" spans="4:5">
      <c r="D3177" s="59"/>
      <c r="E3177" s="59"/>
    </row>
    <row r="3178" spans="4:5">
      <c r="D3178" s="59"/>
      <c r="E3178" s="59"/>
    </row>
    <row r="3179" spans="4:5">
      <c r="D3179" s="59"/>
      <c r="E3179" s="59"/>
    </row>
    <row r="3180" spans="4:5">
      <c r="D3180" s="59"/>
      <c r="E3180" s="59"/>
    </row>
    <row r="3181" spans="4:5">
      <c r="D3181" s="59"/>
      <c r="E3181" s="59"/>
    </row>
    <row r="3182" spans="4:5">
      <c r="D3182" s="59"/>
      <c r="E3182" s="59"/>
    </row>
    <row r="3183" spans="4:5">
      <c r="D3183" s="59"/>
      <c r="E3183" s="59"/>
    </row>
    <row r="3184" spans="4:5">
      <c r="D3184" s="59"/>
      <c r="E3184" s="59"/>
    </row>
    <row r="3185" spans="4:5">
      <c r="D3185" s="59"/>
      <c r="E3185" s="59"/>
    </row>
    <row r="3186" spans="4:5">
      <c r="D3186" s="59"/>
      <c r="E3186" s="59"/>
    </row>
    <row r="3187" spans="4:5">
      <c r="D3187" s="59"/>
      <c r="E3187" s="59"/>
    </row>
    <row r="3188" spans="4:5">
      <c r="D3188" s="59"/>
      <c r="E3188" s="59"/>
    </row>
    <row r="3189" spans="4:5">
      <c r="D3189" s="59"/>
      <c r="E3189" s="59"/>
    </row>
    <row r="3190" spans="4:5">
      <c r="D3190" s="59"/>
      <c r="E3190" s="59"/>
    </row>
    <row r="3191" spans="4:5">
      <c r="D3191" s="59"/>
      <c r="E3191" s="59"/>
    </row>
    <row r="3192" spans="4:5">
      <c r="D3192" s="59"/>
      <c r="E3192" s="59"/>
    </row>
    <row r="3193" spans="4:5">
      <c r="D3193" s="59"/>
      <c r="E3193" s="59"/>
    </row>
    <row r="3194" spans="4:5">
      <c r="D3194" s="59"/>
      <c r="E3194" s="59"/>
    </row>
    <row r="3195" spans="4:5">
      <c r="D3195" s="59"/>
      <c r="E3195" s="59"/>
    </row>
    <row r="3196" spans="4:5">
      <c r="D3196" s="59"/>
      <c r="E3196" s="59"/>
    </row>
    <row r="3197" spans="4:5">
      <c r="D3197" s="59"/>
      <c r="E3197" s="59"/>
    </row>
    <row r="3198" spans="4:5">
      <c r="D3198" s="59"/>
      <c r="E3198" s="59"/>
    </row>
    <row r="3199" spans="4:5">
      <c r="D3199" s="59"/>
      <c r="E3199" s="59"/>
    </row>
    <row r="3200" spans="4:5">
      <c r="D3200" s="59"/>
      <c r="E3200" s="59"/>
    </row>
    <row r="3201" spans="4:5">
      <c r="D3201" s="59"/>
      <c r="E3201" s="59"/>
    </row>
    <row r="3202" spans="4:5">
      <c r="D3202" s="59"/>
      <c r="E3202" s="59"/>
    </row>
    <row r="3203" spans="4:5">
      <c r="D3203" s="59"/>
      <c r="E3203" s="59"/>
    </row>
    <row r="3204" spans="4:5">
      <c r="D3204" s="59"/>
      <c r="E3204" s="59"/>
    </row>
    <row r="3205" spans="4:5">
      <c r="D3205" s="59"/>
      <c r="E3205" s="59"/>
    </row>
    <row r="3206" spans="4:5">
      <c r="D3206" s="59"/>
      <c r="E3206" s="59"/>
    </row>
    <row r="3207" spans="4:5">
      <c r="D3207" s="59"/>
      <c r="E3207" s="59"/>
    </row>
    <row r="3208" spans="4:5">
      <c r="D3208" s="59"/>
      <c r="E3208" s="59"/>
    </row>
    <row r="3209" spans="4:5">
      <c r="D3209" s="59"/>
      <c r="E3209" s="59"/>
    </row>
    <row r="3210" spans="4:5">
      <c r="D3210" s="59"/>
      <c r="E3210" s="59"/>
    </row>
    <row r="3211" spans="4:5">
      <c r="D3211" s="59"/>
      <c r="E3211" s="59"/>
    </row>
    <row r="3212" spans="4:5">
      <c r="D3212" s="59"/>
      <c r="E3212" s="59"/>
    </row>
    <row r="3213" spans="4:5">
      <c r="D3213" s="59"/>
      <c r="E3213" s="59"/>
    </row>
    <row r="3214" spans="4:5">
      <c r="D3214" s="59"/>
      <c r="E3214" s="59"/>
    </row>
    <row r="3215" spans="4:5">
      <c r="D3215" s="59"/>
      <c r="E3215" s="59"/>
    </row>
    <row r="3216" spans="4:5">
      <c r="D3216" s="59"/>
      <c r="E3216" s="59"/>
    </row>
    <row r="3217" spans="4:5">
      <c r="D3217" s="59"/>
      <c r="E3217" s="59"/>
    </row>
    <row r="3218" spans="4:5">
      <c r="D3218" s="59"/>
      <c r="E3218" s="59"/>
    </row>
    <row r="3219" spans="4:5">
      <c r="D3219" s="59"/>
      <c r="E3219" s="59"/>
    </row>
    <row r="3220" spans="4:5">
      <c r="D3220" s="59"/>
      <c r="E3220" s="59"/>
    </row>
    <row r="3221" spans="4:5">
      <c r="D3221" s="59"/>
      <c r="E3221" s="59"/>
    </row>
    <row r="3222" spans="4:5">
      <c r="D3222" s="59"/>
      <c r="E3222" s="59"/>
    </row>
    <row r="3223" spans="4:5">
      <c r="D3223" s="59"/>
      <c r="E3223" s="59"/>
    </row>
    <row r="3224" spans="4:5">
      <c r="D3224" s="59"/>
      <c r="E3224" s="59"/>
    </row>
    <row r="3225" spans="4:5">
      <c r="D3225" s="59"/>
      <c r="E3225" s="59"/>
    </row>
    <row r="3226" spans="4:5">
      <c r="D3226" s="59"/>
      <c r="E3226" s="59"/>
    </row>
    <row r="3227" spans="4:5">
      <c r="D3227" s="59"/>
      <c r="E3227" s="59"/>
    </row>
    <row r="3228" spans="4:5">
      <c r="D3228" s="59"/>
      <c r="E3228" s="59"/>
    </row>
    <row r="3229" spans="4:5">
      <c r="D3229" s="59"/>
      <c r="E3229" s="59"/>
    </row>
    <row r="3230" spans="4:5">
      <c r="D3230" s="59"/>
      <c r="E3230" s="59"/>
    </row>
    <row r="3231" spans="4:5">
      <c r="D3231" s="59"/>
      <c r="E3231" s="59"/>
    </row>
    <row r="3232" spans="4:5">
      <c r="D3232" s="59"/>
      <c r="E3232" s="59"/>
    </row>
    <row r="3233" spans="4:5">
      <c r="D3233" s="59"/>
      <c r="E3233" s="59"/>
    </row>
    <row r="3234" spans="4:5">
      <c r="D3234" s="59"/>
      <c r="E3234" s="59"/>
    </row>
    <row r="3235" spans="4:5">
      <c r="D3235" s="59"/>
      <c r="E3235" s="59"/>
    </row>
    <row r="3236" spans="4:5">
      <c r="D3236" s="59"/>
      <c r="E3236" s="59"/>
    </row>
    <row r="3237" spans="4:5">
      <c r="D3237" s="59"/>
      <c r="E3237" s="59"/>
    </row>
    <row r="3238" spans="4:5">
      <c r="D3238" s="59"/>
      <c r="E3238" s="59"/>
    </row>
    <row r="3239" spans="4:5">
      <c r="D3239" s="59"/>
      <c r="E3239" s="59"/>
    </row>
    <row r="3240" spans="4:5">
      <c r="D3240" s="59"/>
      <c r="E3240" s="59"/>
    </row>
    <row r="3241" spans="4:5">
      <c r="D3241" s="59"/>
      <c r="E3241" s="59"/>
    </row>
    <row r="3242" spans="4:5">
      <c r="D3242" s="59"/>
      <c r="E3242" s="59"/>
    </row>
    <row r="3243" spans="4:5">
      <c r="D3243" s="59"/>
      <c r="E3243" s="59"/>
    </row>
    <row r="3244" spans="4:5">
      <c r="D3244" s="59"/>
      <c r="E3244" s="59"/>
    </row>
    <row r="3245" spans="4:5">
      <c r="D3245" s="59"/>
      <c r="E3245" s="59"/>
    </row>
    <row r="3246" spans="4:5">
      <c r="D3246" s="59"/>
      <c r="E3246" s="59"/>
    </row>
    <row r="3247" spans="4:5">
      <c r="D3247" s="59"/>
      <c r="E3247" s="59"/>
    </row>
    <row r="3248" spans="4:5">
      <c r="D3248" s="59"/>
      <c r="E3248" s="59"/>
    </row>
    <row r="3249" spans="4:5">
      <c r="D3249" s="59"/>
      <c r="E3249" s="59"/>
    </row>
    <row r="3250" spans="4:5">
      <c r="D3250" s="59"/>
      <c r="E3250" s="59"/>
    </row>
    <row r="3251" spans="4:5">
      <c r="D3251" s="59"/>
      <c r="E3251" s="59"/>
    </row>
    <row r="3252" spans="4:5">
      <c r="D3252" s="59"/>
      <c r="E3252" s="59"/>
    </row>
    <row r="3253" spans="4:5">
      <c r="D3253" s="59"/>
      <c r="E3253" s="59"/>
    </row>
    <row r="3254" spans="4:5">
      <c r="D3254" s="59"/>
      <c r="E3254" s="59"/>
    </row>
    <row r="3255" spans="4:5">
      <c r="D3255" s="59"/>
      <c r="E3255" s="59"/>
    </row>
    <row r="3256" spans="4:5">
      <c r="D3256" s="59"/>
      <c r="E3256" s="59"/>
    </row>
    <row r="3257" spans="4:5">
      <c r="D3257" s="59"/>
      <c r="E3257" s="59"/>
    </row>
    <row r="3258" spans="4:5">
      <c r="D3258" s="59"/>
      <c r="E3258" s="59"/>
    </row>
    <row r="3259" spans="4:5">
      <c r="D3259" s="59"/>
      <c r="E3259" s="59"/>
    </row>
    <row r="3260" spans="4:5">
      <c r="D3260" s="59"/>
      <c r="E3260" s="59"/>
    </row>
    <row r="3261" spans="4:5">
      <c r="D3261" s="59"/>
      <c r="E3261" s="59"/>
    </row>
    <row r="3262" spans="4:5">
      <c r="D3262" s="59"/>
      <c r="E3262" s="59"/>
    </row>
    <row r="3263" spans="4:5">
      <c r="D3263" s="59"/>
      <c r="E3263" s="59"/>
    </row>
    <row r="3264" spans="4:5">
      <c r="D3264" s="59"/>
      <c r="E3264" s="59"/>
    </row>
    <row r="3265" spans="4:5">
      <c r="D3265" s="59"/>
      <c r="E3265" s="59"/>
    </row>
    <row r="3266" spans="4:5">
      <c r="D3266" s="59"/>
      <c r="E3266" s="59"/>
    </row>
    <row r="3267" spans="4:5">
      <c r="D3267" s="59"/>
      <c r="E3267" s="59"/>
    </row>
    <row r="3268" spans="4:5">
      <c r="D3268" s="59"/>
      <c r="E3268" s="59"/>
    </row>
    <row r="3269" spans="4:5">
      <c r="D3269" s="59"/>
      <c r="E3269" s="59"/>
    </row>
    <row r="3270" spans="4:5">
      <c r="D3270" s="59"/>
      <c r="E3270" s="59"/>
    </row>
    <row r="3271" spans="4:5">
      <c r="D3271" s="59"/>
      <c r="E3271" s="59"/>
    </row>
    <row r="3272" spans="4:5">
      <c r="D3272" s="59"/>
      <c r="E3272" s="59"/>
    </row>
    <row r="3273" spans="4:5">
      <c r="D3273" s="59"/>
      <c r="E3273" s="59"/>
    </row>
    <row r="3274" spans="4:5">
      <c r="D3274" s="59"/>
      <c r="E3274" s="59"/>
    </row>
    <row r="3275" spans="4:5">
      <c r="D3275" s="59"/>
      <c r="E3275" s="59"/>
    </row>
    <row r="3276" spans="4:5">
      <c r="D3276" s="59"/>
      <c r="E3276" s="59"/>
    </row>
    <row r="3277" spans="4:5">
      <c r="D3277" s="59"/>
      <c r="E3277" s="59"/>
    </row>
    <row r="3278" spans="4:5">
      <c r="D3278" s="59"/>
      <c r="E3278" s="59"/>
    </row>
    <row r="3279" spans="4:5">
      <c r="D3279" s="59"/>
      <c r="E3279" s="59"/>
    </row>
    <row r="3280" spans="4:5">
      <c r="D3280" s="59"/>
      <c r="E3280" s="59"/>
    </row>
    <row r="3281" spans="4:5">
      <c r="D3281" s="59"/>
      <c r="E3281" s="59"/>
    </row>
    <row r="3282" spans="4:5">
      <c r="D3282" s="59"/>
      <c r="E3282" s="59"/>
    </row>
    <row r="3283" spans="4:5">
      <c r="D3283" s="59"/>
      <c r="E3283" s="59"/>
    </row>
    <row r="3284" spans="4:5">
      <c r="D3284" s="59"/>
      <c r="E3284" s="59"/>
    </row>
    <row r="3285" spans="4:5">
      <c r="D3285" s="59"/>
      <c r="E3285" s="59"/>
    </row>
    <row r="3286" spans="4:5">
      <c r="D3286" s="59"/>
      <c r="E3286" s="59"/>
    </row>
    <row r="3287" spans="4:5">
      <c r="D3287" s="59"/>
      <c r="E3287" s="59"/>
    </row>
    <row r="3288" spans="4:5">
      <c r="D3288" s="59"/>
      <c r="E3288" s="59"/>
    </row>
    <row r="3289" spans="4:5">
      <c r="D3289" s="59"/>
      <c r="E3289" s="59"/>
    </row>
    <row r="3290" spans="4:5">
      <c r="D3290" s="59"/>
      <c r="E3290" s="59"/>
    </row>
    <row r="3291" spans="4:5">
      <c r="D3291" s="59"/>
      <c r="E3291" s="59"/>
    </row>
    <row r="3292" spans="4:5">
      <c r="D3292" s="59"/>
      <c r="E3292" s="59"/>
    </row>
    <row r="3293" spans="4:5">
      <c r="D3293" s="59"/>
      <c r="E3293" s="59"/>
    </row>
    <row r="3294" spans="4:5">
      <c r="D3294" s="59"/>
      <c r="E3294" s="59"/>
    </row>
    <row r="3295" spans="4:5">
      <c r="D3295" s="59"/>
      <c r="E3295" s="59"/>
    </row>
    <row r="3296" spans="4:5">
      <c r="D3296" s="59"/>
      <c r="E3296" s="59"/>
    </row>
    <row r="3297" spans="4:5">
      <c r="D3297" s="59"/>
      <c r="E3297" s="59"/>
    </row>
    <row r="3298" spans="4:5">
      <c r="D3298" s="59"/>
      <c r="E3298" s="59"/>
    </row>
    <row r="3299" spans="4:5">
      <c r="D3299" s="59"/>
      <c r="E3299" s="59"/>
    </row>
    <row r="3300" spans="4:5">
      <c r="D3300" s="59"/>
      <c r="E3300" s="59"/>
    </row>
    <row r="3301" spans="4:5">
      <c r="D3301" s="59"/>
      <c r="E3301" s="59"/>
    </row>
    <row r="3302" spans="4:5">
      <c r="D3302" s="59"/>
      <c r="E3302" s="59"/>
    </row>
    <row r="3303" spans="4:5">
      <c r="D3303" s="59"/>
      <c r="E3303" s="59"/>
    </row>
    <row r="3304" spans="4:5">
      <c r="D3304" s="59"/>
      <c r="E3304" s="59"/>
    </row>
    <row r="3305" spans="4:5">
      <c r="D3305" s="59"/>
      <c r="E3305" s="59"/>
    </row>
    <row r="3306" spans="4:5">
      <c r="D3306" s="59"/>
      <c r="E3306" s="59"/>
    </row>
    <row r="3307" spans="4:5">
      <c r="D3307" s="59"/>
      <c r="E3307" s="59"/>
    </row>
    <row r="3308" spans="4:5">
      <c r="D3308" s="59"/>
      <c r="E3308" s="59"/>
    </row>
    <row r="3309" spans="4:5">
      <c r="D3309" s="59"/>
      <c r="E3309" s="59"/>
    </row>
    <row r="3310" spans="4:5">
      <c r="D3310" s="59"/>
      <c r="E3310" s="59"/>
    </row>
    <row r="3311" spans="4:5">
      <c r="D3311" s="59"/>
      <c r="E3311" s="59"/>
    </row>
    <row r="3312" spans="4:5">
      <c r="D3312" s="59"/>
      <c r="E3312" s="59"/>
    </row>
    <row r="3313" spans="4:5">
      <c r="D3313" s="59"/>
      <c r="E3313" s="59"/>
    </row>
    <row r="3314" spans="4:5">
      <c r="D3314" s="59"/>
      <c r="E3314" s="59"/>
    </row>
    <row r="3315" spans="4:5">
      <c r="D3315" s="59"/>
      <c r="E3315" s="59"/>
    </row>
    <row r="3316" spans="4:5">
      <c r="D3316" s="59"/>
      <c r="E3316" s="59"/>
    </row>
    <row r="3317" spans="4:5">
      <c r="D3317" s="59"/>
      <c r="E3317" s="59"/>
    </row>
    <row r="3318" spans="4:5">
      <c r="D3318" s="59"/>
      <c r="E3318" s="59"/>
    </row>
    <row r="3319" spans="4:5">
      <c r="D3319" s="59"/>
      <c r="E3319" s="59"/>
    </row>
    <row r="3320" spans="4:5">
      <c r="D3320" s="59"/>
      <c r="E3320" s="59"/>
    </row>
    <row r="3321" spans="4:5">
      <c r="D3321" s="59"/>
      <c r="E3321" s="59"/>
    </row>
    <row r="3322" spans="4:5">
      <c r="D3322" s="59"/>
      <c r="E3322" s="59"/>
    </row>
    <row r="3323" spans="4:5">
      <c r="D3323" s="59"/>
      <c r="E3323" s="59"/>
    </row>
    <row r="3324" spans="4:5">
      <c r="D3324" s="59"/>
      <c r="E3324" s="59"/>
    </row>
    <row r="3325" spans="4:5">
      <c r="D3325" s="59"/>
      <c r="E3325" s="59"/>
    </row>
    <row r="3326" spans="4:5">
      <c r="D3326" s="59"/>
      <c r="E3326" s="59"/>
    </row>
    <row r="3327" spans="4:5">
      <c r="D3327" s="59"/>
      <c r="E3327" s="59"/>
    </row>
    <row r="3328" spans="4:5">
      <c r="D3328" s="59"/>
      <c r="E3328" s="59"/>
    </row>
    <row r="3329" spans="4:5">
      <c r="D3329" s="59"/>
      <c r="E3329" s="59"/>
    </row>
    <row r="3330" spans="4:5">
      <c r="D3330" s="59"/>
      <c r="E3330" s="59"/>
    </row>
    <row r="3331" spans="4:5">
      <c r="D3331" s="59"/>
      <c r="E3331" s="59"/>
    </row>
    <row r="3332" spans="4:5">
      <c r="D3332" s="59"/>
      <c r="E3332" s="59"/>
    </row>
    <row r="3333" spans="4:5">
      <c r="D3333" s="59"/>
      <c r="E3333" s="59"/>
    </row>
    <row r="3334" spans="4:5">
      <c r="D3334" s="59"/>
      <c r="E3334" s="59"/>
    </row>
    <row r="3335" spans="4:5">
      <c r="D3335" s="59"/>
      <c r="E3335" s="59"/>
    </row>
    <row r="3336" spans="4:5">
      <c r="D3336" s="59"/>
      <c r="E3336" s="59"/>
    </row>
    <row r="3337" spans="4:5">
      <c r="D3337" s="59"/>
      <c r="E3337" s="59"/>
    </row>
    <row r="3338" spans="4:5">
      <c r="D3338" s="59"/>
      <c r="E3338" s="59"/>
    </row>
    <row r="3339" spans="4:5">
      <c r="D3339" s="59"/>
      <c r="E3339" s="59"/>
    </row>
    <row r="3340" spans="4:5">
      <c r="D3340" s="59"/>
      <c r="E3340" s="59"/>
    </row>
    <row r="3341" spans="4:5">
      <c r="D3341" s="59"/>
      <c r="E3341" s="59"/>
    </row>
    <row r="3342" spans="4:5">
      <c r="D3342" s="59"/>
      <c r="E3342" s="59"/>
    </row>
    <row r="3343" spans="4:5">
      <c r="D3343" s="59"/>
      <c r="E3343" s="59"/>
    </row>
    <row r="3344" spans="4:5">
      <c r="D3344" s="59"/>
      <c r="E3344" s="59"/>
    </row>
    <row r="3345" spans="4:5">
      <c r="D3345" s="59"/>
      <c r="E3345" s="59"/>
    </row>
    <row r="3346" spans="4:5">
      <c r="D3346" s="59"/>
      <c r="E3346" s="59"/>
    </row>
    <row r="3347" spans="4:5">
      <c r="D3347" s="59"/>
      <c r="E3347" s="59"/>
    </row>
    <row r="3348" spans="4:5">
      <c r="D3348" s="59"/>
      <c r="E3348" s="59"/>
    </row>
    <row r="3349" spans="4:5">
      <c r="D3349" s="59"/>
      <c r="E3349" s="59"/>
    </row>
    <row r="3350" spans="4:5">
      <c r="D3350" s="59"/>
      <c r="E3350" s="59"/>
    </row>
    <row r="3351" spans="4:5">
      <c r="D3351" s="59"/>
      <c r="E3351" s="59"/>
    </row>
    <row r="3352" spans="4:5">
      <c r="D3352" s="59"/>
      <c r="E3352" s="59"/>
    </row>
    <row r="3353" spans="4:5">
      <c r="D3353" s="59"/>
      <c r="E3353" s="59"/>
    </row>
    <row r="3354" spans="4:5">
      <c r="D3354" s="59"/>
      <c r="E3354" s="59"/>
    </row>
    <row r="3355" spans="4:5">
      <c r="D3355" s="59"/>
      <c r="E3355" s="59"/>
    </row>
    <row r="3356" spans="4:5">
      <c r="D3356" s="59"/>
      <c r="E3356" s="59"/>
    </row>
    <row r="3357" spans="4:5">
      <c r="D3357" s="59"/>
      <c r="E3357" s="59"/>
    </row>
    <row r="3358" spans="4:5">
      <c r="D3358" s="59"/>
      <c r="E3358" s="59"/>
    </row>
    <row r="3359" spans="4:5">
      <c r="D3359" s="59"/>
      <c r="E3359" s="59"/>
    </row>
    <row r="3360" spans="4:5">
      <c r="D3360" s="59"/>
      <c r="E3360" s="59"/>
    </row>
    <row r="3361" spans="4:5">
      <c r="D3361" s="59"/>
      <c r="E3361" s="59"/>
    </row>
    <row r="3362" spans="4:5">
      <c r="D3362" s="59"/>
      <c r="E3362" s="59"/>
    </row>
    <row r="3363" spans="4:5">
      <c r="D3363" s="59"/>
      <c r="E3363" s="59"/>
    </row>
    <row r="3364" spans="4:5">
      <c r="D3364" s="59"/>
      <c r="E3364" s="59"/>
    </row>
    <row r="3365" spans="4:5">
      <c r="D3365" s="59"/>
      <c r="E3365" s="59"/>
    </row>
    <row r="3366" spans="4:5">
      <c r="D3366" s="59"/>
      <c r="E3366" s="59"/>
    </row>
    <row r="3367" spans="4:5">
      <c r="D3367" s="59"/>
      <c r="E3367" s="59"/>
    </row>
    <row r="3368" spans="4:5">
      <c r="D3368" s="59"/>
      <c r="E3368" s="59"/>
    </row>
    <row r="3369" spans="4:5">
      <c r="D3369" s="59"/>
      <c r="E3369" s="59"/>
    </row>
    <row r="3370" spans="4:5">
      <c r="D3370" s="59"/>
      <c r="E3370" s="59"/>
    </row>
    <row r="3371" spans="4:5">
      <c r="D3371" s="59"/>
      <c r="E3371" s="59"/>
    </row>
    <row r="3372" spans="4:5">
      <c r="D3372" s="59"/>
      <c r="E3372" s="59"/>
    </row>
    <row r="3373" spans="4:5">
      <c r="D3373" s="59"/>
      <c r="E3373" s="59"/>
    </row>
    <row r="3374" spans="4:5">
      <c r="D3374" s="59"/>
      <c r="E3374" s="59"/>
    </row>
    <row r="3375" spans="4:5">
      <c r="D3375" s="59"/>
      <c r="E3375" s="59"/>
    </row>
    <row r="3376" spans="4:5">
      <c r="D3376" s="59"/>
      <c r="E3376" s="59"/>
    </row>
    <row r="3377" spans="4:5">
      <c r="D3377" s="59"/>
      <c r="E3377" s="59"/>
    </row>
    <row r="3378" spans="4:5">
      <c r="D3378" s="59"/>
      <c r="E3378" s="59"/>
    </row>
    <row r="3379" spans="4:5">
      <c r="D3379" s="59"/>
      <c r="E3379" s="59"/>
    </row>
    <row r="3380" spans="4:5">
      <c r="D3380" s="59"/>
      <c r="E3380" s="59"/>
    </row>
    <row r="3381" spans="4:5">
      <c r="D3381" s="59"/>
      <c r="E3381" s="59"/>
    </row>
    <row r="3382" spans="4:5">
      <c r="D3382" s="59"/>
      <c r="E3382" s="59"/>
    </row>
    <row r="3383" spans="4:5">
      <c r="D3383" s="59"/>
      <c r="E3383" s="59"/>
    </row>
    <row r="3384" spans="4:5">
      <c r="D3384" s="59"/>
      <c r="E3384" s="59"/>
    </row>
    <row r="3385" spans="4:5">
      <c r="D3385" s="59"/>
      <c r="E3385" s="59"/>
    </row>
    <row r="3386" spans="4:5">
      <c r="D3386" s="59"/>
      <c r="E3386" s="59"/>
    </row>
    <row r="3387" spans="4:5">
      <c r="D3387" s="59"/>
      <c r="E3387" s="59"/>
    </row>
    <row r="3388" spans="4:5">
      <c r="D3388" s="59"/>
      <c r="E3388" s="59"/>
    </row>
    <row r="3389" spans="4:5">
      <c r="D3389" s="59"/>
      <c r="E3389" s="59"/>
    </row>
    <row r="3390" spans="4:5">
      <c r="D3390" s="59"/>
      <c r="E3390" s="59"/>
    </row>
    <row r="3391" spans="4:5">
      <c r="D3391" s="59"/>
      <c r="E3391" s="59"/>
    </row>
    <row r="3392" spans="4:5">
      <c r="D3392" s="59"/>
      <c r="E3392" s="59"/>
    </row>
    <row r="3393" spans="4:5">
      <c r="D3393" s="59"/>
      <c r="E3393" s="59"/>
    </row>
    <row r="3394" spans="4:5">
      <c r="D3394" s="59"/>
      <c r="E3394" s="59"/>
    </row>
    <row r="3395" spans="4:5">
      <c r="D3395" s="59"/>
      <c r="E3395" s="59"/>
    </row>
    <row r="3396" spans="4:5">
      <c r="D3396" s="59"/>
      <c r="E3396" s="59"/>
    </row>
    <row r="3397" spans="4:5">
      <c r="D3397" s="59"/>
      <c r="E3397" s="59"/>
    </row>
    <row r="3398" spans="4:5">
      <c r="D3398" s="59"/>
      <c r="E3398" s="59"/>
    </row>
    <row r="3399" spans="4:5">
      <c r="D3399" s="59"/>
      <c r="E3399" s="59"/>
    </row>
    <row r="3400" spans="4:5">
      <c r="D3400" s="59"/>
      <c r="E3400" s="59"/>
    </row>
    <row r="3401" spans="4:5">
      <c r="D3401" s="59"/>
      <c r="E3401" s="59"/>
    </row>
    <row r="3402" spans="4:5">
      <c r="D3402" s="59"/>
      <c r="E3402" s="59"/>
    </row>
    <row r="3403" spans="4:5">
      <c r="D3403" s="59"/>
      <c r="E3403" s="59"/>
    </row>
    <row r="3404" spans="4:5">
      <c r="D3404" s="59"/>
      <c r="E3404" s="59"/>
    </row>
    <row r="3405" spans="4:5">
      <c r="D3405" s="59"/>
      <c r="E3405" s="59"/>
    </row>
    <row r="3406" spans="4:5">
      <c r="D3406" s="59"/>
      <c r="E3406" s="59"/>
    </row>
    <row r="3407" spans="4:5">
      <c r="D3407" s="59"/>
      <c r="E3407" s="59"/>
    </row>
    <row r="3408" spans="4:5">
      <c r="D3408" s="59"/>
      <c r="E3408" s="59"/>
    </row>
    <row r="3409" spans="4:5">
      <c r="D3409" s="59"/>
      <c r="E3409" s="59"/>
    </row>
    <row r="3410" spans="4:5">
      <c r="D3410" s="59"/>
      <c r="E3410" s="59"/>
    </row>
    <row r="3411" spans="4:5">
      <c r="D3411" s="59"/>
      <c r="E3411" s="59"/>
    </row>
    <row r="3412" spans="4:5">
      <c r="D3412" s="59"/>
      <c r="E3412" s="59"/>
    </row>
    <row r="3413" spans="4:5">
      <c r="D3413" s="59"/>
      <c r="E3413" s="59"/>
    </row>
    <row r="3414" spans="4:5">
      <c r="D3414" s="59"/>
      <c r="E3414" s="59"/>
    </row>
    <row r="3415" spans="4:5">
      <c r="D3415" s="59"/>
      <c r="E3415" s="59"/>
    </row>
    <row r="3416" spans="4:5">
      <c r="D3416" s="59"/>
      <c r="E3416" s="59"/>
    </row>
    <row r="3417" spans="4:5">
      <c r="D3417" s="59"/>
      <c r="E3417" s="59"/>
    </row>
    <row r="3418" spans="4:5">
      <c r="D3418" s="59"/>
      <c r="E3418" s="59"/>
    </row>
    <row r="3419" spans="4:5">
      <c r="D3419" s="59"/>
      <c r="E3419" s="59"/>
    </row>
    <row r="3420" spans="4:5">
      <c r="D3420" s="59"/>
      <c r="E3420" s="59"/>
    </row>
    <row r="3421" spans="4:5">
      <c r="D3421" s="59"/>
      <c r="E3421" s="59"/>
    </row>
    <row r="3422" spans="4:5">
      <c r="D3422" s="59"/>
      <c r="E3422" s="59"/>
    </row>
    <row r="3423" spans="4:5">
      <c r="D3423" s="59"/>
      <c r="E3423" s="59"/>
    </row>
    <row r="3424" spans="4:5">
      <c r="D3424" s="59"/>
      <c r="E3424" s="59"/>
    </row>
    <row r="3425" spans="4:5">
      <c r="D3425" s="59"/>
      <c r="E3425" s="59"/>
    </row>
    <row r="3426" spans="4:5">
      <c r="D3426" s="59"/>
      <c r="E3426" s="59"/>
    </row>
    <row r="3427" spans="4:5">
      <c r="D3427" s="59"/>
      <c r="E3427" s="59"/>
    </row>
    <row r="3428" spans="4:5">
      <c r="D3428" s="59"/>
      <c r="E3428" s="59"/>
    </row>
    <row r="3429" spans="4:5">
      <c r="D3429" s="59"/>
      <c r="E3429" s="59"/>
    </row>
    <row r="3430" spans="4:5">
      <c r="D3430" s="59"/>
      <c r="E3430" s="59"/>
    </row>
    <row r="3431" spans="4:5">
      <c r="D3431" s="59"/>
      <c r="E3431" s="59"/>
    </row>
    <row r="3432" spans="4:5">
      <c r="D3432" s="59"/>
      <c r="E3432" s="59"/>
    </row>
    <row r="3433" spans="4:5">
      <c r="D3433" s="59"/>
      <c r="E3433" s="59"/>
    </row>
    <row r="3434" spans="4:5">
      <c r="D3434" s="59"/>
      <c r="E3434" s="59"/>
    </row>
    <row r="3435" spans="4:5">
      <c r="D3435" s="59"/>
      <c r="E3435" s="59"/>
    </row>
    <row r="3436" spans="4:5">
      <c r="D3436" s="59"/>
      <c r="E3436" s="59"/>
    </row>
    <row r="3437" spans="4:5">
      <c r="D3437" s="59"/>
      <c r="E3437" s="59"/>
    </row>
    <row r="3438" spans="4:5">
      <c r="D3438" s="59"/>
      <c r="E3438" s="59"/>
    </row>
    <row r="3439" spans="4:5">
      <c r="D3439" s="59"/>
      <c r="E3439" s="59"/>
    </row>
    <row r="3440" spans="4:5">
      <c r="D3440" s="59"/>
      <c r="E3440" s="59"/>
    </row>
    <row r="3441" spans="4:5">
      <c r="D3441" s="59"/>
      <c r="E3441" s="59"/>
    </row>
    <row r="3442" spans="4:5">
      <c r="D3442" s="59"/>
      <c r="E3442" s="59"/>
    </row>
    <row r="3443" spans="4:5">
      <c r="D3443" s="59"/>
      <c r="E3443" s="59"/>
    </row>
    <row r="3444" spans="4:5">
      <c r="D3444" s="59"/>
      <c r="E3444" s="59"/>
    </row>
    <row r="3445" spans="4:5">
      <c r="D3445" s="59"/>
      <c r="E3445" s="59"/>
    </row>
    <row r="3446" spans="4:5">
      <c r="D3446" s="59"/>
      <c r="E3446" s="59"/>
    </row>
    <row r="3447" spans="4:5">
      <c r="D3447" s="59"/>
      <c r="E3447" s="59"/>
    </row>
    <row r="3448" spans="4:5">
      <c r="D3448" s="59"/>
      <c r="E3448" s="59"/>
    </row>
    <row r="3449" spans="4:5">
      <c r="D3449" s="59"/>
      <c r="E3449" s="59"/>
    </row>
    <row r="3450" spans="4:5">
      <c r="D3450" s="59"/>
      <c r="E3450" s="59"/>
    </row>
    <row r="3451" spans="4:5">
      <c r="D3451" s="59"/>
      <c r="E3451" s="59"/>
    </row>
    <row r="3452" spans="4:5">
      <c r="D3452" s="59"/>
      <c r="E3452" s="59"/>
    </row>
    <row r="3453" spans="4:5">
      <c r="D3453" s="59"/>
      <c r="E3453" s="59"/>
    </row>
    <row r="3454" spans="4:5">
      <c r="D3454" s="59"/>
      <c r="E3454" s="59"/>
    </row>
    <row r="3455" spans="4:5">
      <c r="D3455" s="59"/>
      <c r="E3455" s="59"/>
    </row>
    <row r="3456" spans="4:5">
      <c r="D3456" s="59"/>
      <c r="E3456" s="59"/>
    </row>
    <row r="3457" spans="4:5">
      <c r="D3457" s="59"/>
      <c r="E3457" s="59"/>
    </row>
    <row r="3458" spans="4:5">
      <c r="D3458" s="59"/>
      <c r="E3458" s="59"/>
    </row>
    <row r="3459" spans="4:5">
      <c r="D3459" s="59"/>
      <c r="E3459" s="59"/>
    </row>
    <row r="3460" spans="4:5">
      <c r="D3460" s="59"/>
      <c r="E3460" s="59"/>
    </row>
    <row r="3461" spans="4:5">
      <c r="D3461" s="59"/>
      <c r="E3461" s="59"/>
    </row>
    <row r="3462" spans="4:5">
      <c r="D3462" s="59"/>
      <c r="E3462" s="59"/>
    </row>
    <row r="3463" spans="4:5">
      <c r="D3463" s="59"/>
      <c r="E3463" s="59"/>
    </row>
    <row r="3464" spans="4:5">
      <c r="D3464" s="59"/>
      <c r="E3464" s="59"/>
    </row>
    <row r="3465" spans="4:5">
      <c r="D3465" s="59"/>
      <c r="E3465" s="59"/>
    </row>
    <row r="3466" spans="4:5">
      <c r="D3466" s="59"/>
      <c r="E3466" s="59"/>
    </row>
    <row r="3467" spans="4:5">
      <c r="D3467" s="59"/>
      <c r="E3467" s="59"/>
    </row>
    <row r="3468" spans="4:5">
      <c r="D3468" s="59"/>
      <c r="E3468" s="59"/>
    </row>
    <row r="3469" spans="4:5">
      <c r="D3469" s="59"/>
      <c r="E3469" s="59"/>
    </row>
    <row r="3470" spans="4:5">
      <c r="D3470" s="59"/>
      <c r="E3470" s="59"/>
    </row>
    <row r="3471" spans="4:5">
      <c r="D3471" s="59"/>
      <c r="E3471" s="59"/>
    </row>
    <row r="3472" spans="4:5">
      <c r="D3472" s="59"/>
      <c r="E3472" s="59"/>
    </row>
    <row r="3473" spans="4:5">
      <c r="D3473" s="59"/>
      <c r="E3473" s="59"/>
    </row>
    <row r="3474" spans="4:5">
      <c r="D3474" s="59"/>
      <c r="E3474" s="59"/>
    </row>
    <row r="3475" spans="4:5">
      <c r="D3475" s="59"/>
      <c r="E3475" s="59"/>
    </row>
    <row r="3476" spans="4:5">
      <c r="D3476" s="59"/>
      <c r="E3476" s="59"/>
    </row>
    <row r="3477" spans="4:5">
      <c r="D3477" s="59"/>
      <c r="E3477" s="59"/>
    </row>
    <row r="3478" spans="4:5">
      <c r="D3478" s="59"/>
      <c r="E3478" s="59"/>
    </row>
    <row r="3479" spans="4:5">
      <c r="D3479" s="59"/>
      <c r="E3479" s="59"/>
    </row>
    <row r="3480" spans="4:5">
      <c r="D3480" s="59"/>
      <c r="E3480" s="59"/>
    </row>
    <row r="3481" spans="4:5">
      <c r="D3481" s="59"/>
      <c r="E3481" s="59"/>
    </row>
    <row r="3482" spans="4:5">
      <c r="D3482" s="59"/>
      <c r="E3482" s="59"/>
    </row>
    <row r="3483" spans="4:5">
      <c r="D3483" s="59"/>
      <c r="E3483" s="59"/>
    </row>
    <row r="3484" spans="4:5">
      <c r="D3484" s="59"/>
      <c r="E3484" s="59"/>
    </row>
    <row r="3485" spans="4:5">
      <c r="D3485" s="59"/>
      <c r="E3485" s="59"/>
    </row>
    <row r="3486" spans="4:5">
      <c r="D3486" s="59"/>
      <c r="E3486" s="59"/>
    </row>
    <row r="3487" spans="4:5">
      <c r="D3487" s="59"/>
      <c r="E3487" s="59"/>
    </row>
    <row r="3488" spans="4:5">
      <c r="D3488" s="59"/>
      <c r="E3488" s="59"/>
    </row>
    <row r="3489" spans="4:5">
      <c r="D3489" s="59"/>
      <c r="E3489" s="59"/>
    </row>
    <row r="3490" spans="4:5">
      <c r="D3490" s="59"/>
      <c r="E3490" s="59"/>
    </row>
    <row r="3491" spans="4:5">
      <c r="D3491" s="59"/>
      <c r="E3491" s="59"/>
    </row>
    <row r="3492" spans="4:5">
      <c r="D3492" s="59"/>
      <c r="E3492" s="59"/>
    </row>
    <row r="3493" spans="4:5">
      <c r="D3493" s="59"/>
      <c r="E3493" s="59"/>
    </row>
    <row r="3494" spans="4:5">
      <c r="D3494" s="59"/>
      <c r="E3494" s="59"/>
    </row>
    <row r="3495" spans="4:5">
      <c r="D3495" s="59"/>
      <c r="E3495" s="59"/>
    </row>
    <row r="3496" spans="4:5">
      <c r="D3496" s="59"/>
      <c r="E3496" s="59"/>
    </row>
    <row r="3497" spans="4:5">
      <c r="D3497" s="59"/>
      <c r="E3497" s="59"/>
    </row>
    <row r="3498" spans="4:5">
      <c r="D3498" s="59"/>
      <c r="E3498" s="59"/>
    </row>
    <row r="3499" spans="4:5">
      <c r="D3499" s="59"/>
      <c r="E3499" s="59"/>
    </row>
    <row r="3500" spans="4:5">
      <c r="D3500" s="59"/>
      <c r="E3500" s="59"/>
    </row>
    <row r="3501" spans="4:5">
      <c r="D3501" s="59"/>
      <c r="E3501" s="59"/>
    </row>
    <row r="3502" spans="4:5">
      <c r="D3502" s="59"/>
      <c r="E3502" s="59"/>
    </row>
    <row r="3503" spans="4:5">
      <c r="D3503" s="59"/>
      <c r="E3503" s="59"/>
    </row>
    <row r="3504" spans="4:5">
      <c r="D3504" s="59"/>
      <c r="E3504" s="59"/>
    </row>
    <row r="3505" spans="4:5">
      <c r="D3505" s="59"/>
      <c r="E3505" s="59"/>
    </row>
    <row r="3506" spans="4:5">
      <c r="D3506" s="59"/>
      <c r="E3506" s="59"/>
    </row>
    <row r="3507" spans="4:5">
      <c r="D3507" s="59"/>
      <c r="E3507" s="59"/>
    </row>
    <row r="3508" spans="4:5">
      <c r="D3508" s="59"/>
      <c r="E3508" s="59"/>
    </row>
    <row r="3509" spans="4:5">
      <c r="D3509" s="59"/>
      <c r="E3509" s="59"/>
    </row>
    <row r="3510" spans="4:5">
      <c r="D3510" s="59"/>
      <c r="E3510" s="59"/>
    </row>
    <row r="3511" spans="4:5">
      <c r="D3511" s="59"/>
      <c r="E3511" s="59"/>
    </row>
    <row r="3512" spans="4:5">
      <c r="D3512" s="59"/>
      <c r="E3512" s="59"/>
    </row>
    <row r="3513" spans="4:5">
      <c r="D3513" s="59"/>
      <c r="E3513" s="59"/>
    </row>
    <row r="3514" spans="4:5">
      <c r="D3514" s="59"/>
      <c r="E3514" s="59"/>
    </row>
    <row r="3515" spans="4:5">
      <c r="D3515" s="59"/>
      <c r="E3515" s="59"/>
    </row>
    <row r="3516" spans="4:5">
      <c r="D3516" s="59"/>
      <c r="E3516" s="59"/>
    </row>
    <row r="3517" spans="4:5">
      <c r="D3517" s="59"/>
      <c r="E3517" s="59"/>
    </row>
    <row r="3518" spans="4:5">
      <c r="D3518" s="59"/>
      <c r="E3518" s="59"/>
    </row>
    <row r="3519" spans="4:5">
      <c r="D3519" s="59"/>
      <c r="E3519" s="59"/>
    </row>
    <row r="3520" spans="4:5">
      <c r="D3520" s="59"/>
      <c r="E3520" s="59"/>
    </row>
    <row r="3521" spans="4:5">
      <c r="D3521" s="59"/>
      <c r="E3521" s="59"/>
    </row>
    <row r="3522" spans="4:5">
      <c r="D3522" s="59"/>
      <c r="E3522" s="59"/>
    </row>
    <row r="3523" spans="4:5">
      <c r="D3523" s="59"/>
      <c r="E3523" s="59"/>
    </row>
    <row r="3524" spans="4:5">
      <c r="D3524" s="59"/>
      <c r="E3524" s="59"/>
    </row>
    <row r="3525" spans="4:5">
      <c r="D3525" s="59"/>
      <c r="E3525" s="59"/>
    </row>
    <row r="3526" spans="4:5">
      <c r="D3526" s="59"/>
      <c r="E3526" s="59"/>
    </row>
    <row r="3527" spans="4:5">
      <c r="D3527" s="59"/>
      <c r="E3527" s="59"/>
    </row>
    <row r="3528" spans="4:5">
      <c r="D3528" s="59"/>
      <c r="E3528" s="59"/>
    </row>
    <row r="3529" spans="4:5">
      <c r="D3529" s="59"/>
      <c r="E3529" s="59"/>
    </row>
    <row r="3530" spans="4:5">
      <c r="D3530" s="59"/>
      <c r="E3530" s="59"/>
    </row>
    <row r="3531" spans="4:5">
      <c r="D3531" s="59"/>
      <c r="E3531" s="59"/>
    </row>
    <row r="3532" spans="4:5">
      <c r="D3532" s="59"/>
      <c r="E3532" s="59"/>
    </row>
    <row r="3533" spans="4:5">
      <c r="D3533" s="59"/>
      <c r="E3533" s="59"/>
    </row>
    <row r="3534" spans="4:5">
      <c r="D3534" s="59"/>
      <c r="E3534" s="59"/>
    </row>
    <row r="3535" spans="4:5">
      <c r="D3535" s="59"/>
      <c r="E3535" s="59"/>
    </row>
    <row r="3536" spans="4:5">
      <c r="D3536" s="59"/>
      <c r="E3536" s="59"/>
    </row>
    <row r="3537" spans="4:5">
      <c r="D3537" s="59"/>
      <c r="E3537" s="59"/>
    </row>
    <row r="3538" spans="4:5">
      <c r="D3538" s="59"/>
      <c r="E3538" s="59"/>
    </row>
    <row r="3539" spans="4:5">
      <c r="D3539" s="59"/>
      <c r="E3539" s="59"/>
    </row>
    <row r="3540" spans="4:5">
      <c r="D3540" s="59"/>
      <c r="E3540" s="59"/>
    </row>
    <row r="3541" spans="4:5">
      <c r="D3541" s="59"/>
      <c r="E3541" s="59"/>
    </row>
    <row r="3542" spans="4:5">
      <c r="D3542" s="59"/>
      <c r="E3542" s="59"/>
    </row>
    <row r="3543" spans="4:5">
      <c r="D3543" s="59"/>
      <c r="E3543" s="59"/>
    </row>
    <row r="3544" spans="4:5">
      <c r="D3544" s="59"/>
      <c r="E3544" s="59"/>
    </row>
    <row r="3545" spans="4:5">
      <c r="D3545" s="59"/>
      <c r="E3545" s="59"/>
    </row>
    <row r="3546" spans="4:5">
      <c r="D3546" s="59"/>
      <c r="E3546" s="59"/>
    </row>
    <row r="3547" spans="4:5">
      <c r="D3547" s="59"/>
      <c r="E3547" s="59"/>
    </row>
    <row r="3548" spans="4:5">
      <c r="D3548" s="59"/>
      <c r="E3548" s="59"/>
    </row>
    <row r="3549" spans="4:5">
      <c r="D3549" s="59"/>
      <c r="E3549" s="59"/>
    </row>
    <row r="3550" spans="4:5">
      <c r="D3550" s="59"/>
      <c r="E3550" s="59"/>
    </row>
    <row r="3551" spans="4:5">
      <c r="D3551" s="59"/>
      <c r="E3551" s="59"/>
    </row>
    <row r="3552" spans="4:5">
      <c r="D3552" s="59"/>
      <c r="E3552" s="59"/>
    </row>
    <row r="3553" spans="4:5">
      <c r="D3553" s="59"/>
      <c r="E3553" s="59"/>
    </row>
    <row r="3554" spans="4:5">
      <c r="D3554" s="59"/>
      <c r="E3554" s="59"/>
    </row>
    <row r="3555" spans="4:5">
      <c r="D3555" s="59"/>
      <c r="E3555" s="59"/>
    </row>
    <row r="3556" spans="4:5">
      <c r="D3556" s="59"/>
      <c r="E3556" s="59"/>
    </row>
    <row r="3557" spans="4:5">
      <c r="D3557" s="59"/>
      <c r="E3557" s="59"/>
    </row>
    <row r="3558" spans="4:5">
      <c r="D3558" s="59"/>
      <c r="E3558" s="59"/>
    </row>
    <row r="3559" spans="4:5">
      <c r="D3559" s="59"/>
      <c r="E3559" s="59"/>
    </row>
    <row r="3560" spans="4:5">
      <c r="D3560" s="59"/>
      <c r="E3560" s="59"/>
    </row>
    <row r="3561" spans="4:5">
      <c r="D3561" s="59"/>
      <c r="E3561" s="59"/>
    </row>
    <row r="3562" spans="4:5">
      <c r="D3562" s="59"/>
      <c r="E3562" s="59"/>
    </row>
    <row r="3563" spans="4:5">
      <c r="D3563" s="59"/>
      <c r="E3563" s="59"/>
    </row>
    <row r="3564" spans="4:5">
      <c r="D3564" s="59"/>
      <c r="E3564" s="59"/>
    </row>
    <row r="3565" spans="4:5">
      <c r="D3565" s="59"/>
      <c r="E3565" s="59"/>
    </row>
    <row r="3566" spans="4:5">
      <c r="D3566" s="59"/>
      <c r="E3566" s="59"/>
    </row>
    <row r="3567" spans="4:5">
      <c r="D3567" s="59"/>
      <c r="E3567" s="59"/>
    </row>
    <row r="3568" spans="4:5">
      <c r="D3568" s="59"/>
      <c r="E3568" s="59"/>
    </row>
    <row r="3569" spans="4:5">
      <c r="D3569" s="59"/>
      <c r="E3569" s="59"/>
    </row>
    <row r="3570" spans="4:5">
      <c r="D3570" s="59"/>
      <c r="E3570" s="59"/>
    </row>
    <row r="3571" spans="4:5">
      <c r="D3571" s="59"/>
      <c r="E3571" s="59"/>
    </row>
    <row r="3572" spans="4:5">
      <c r="D3572" s="59"/>
      <c r="E3572" s="59"/>
    </row>
    <row r="3573" spans="4:5">
      <c r="D3573" s="59"/>
      <c r="E3573" s="59"/>
    </row>
    <row r="3574" spans="4:5">
      <c r="D3574" s="59"/>
      <c r="E3574" s="59"/>
    </row>
    <row r="3575" spans="4:5">
      <c r="D3575" s="59"/>
      <c r="E3575" s="59"/>
    </row>
    <row r="3576" spans="4:5">
      <c r="D3576" s="59"/>
      <c r="E3576" s="59"/>
    </row>
    <row r="3577" spans="4:5">
      <c r="D3577" s="59"/>
      <c r="E3577" s="59"/>
    </row>
    <row r="3578" spans="4:5">
      <c r="D3578" s="59"/>
      <c r="E3578" s="59"/>
    </row>
    <row r="3579" spans="4:5">
      <c r="D3579" s="59"/>
      <c r="E3579" s="59"/>
    </row>
    <row r="3580" spans="4:5">
      <c r="D3580" s="59"/>
      <c r="E3580" s="59"/>
    </row>
    <row r="3581" spans="4:5">
      <c r="D3581" s="59"/>
      <c r="E3581" s="59"/>
    </row>
    <row r="3582" spans="4:5">
      <c r="D3582" s="59"/>
      <c r="E3582" s="59"/>
    </row>
    <row r="3583" spans="4:5">
      <c r="D3583" s="59"/>
      <c r="E3583" s="59"/>
    </row>
    <row r="3584" spans="4:5">
      <c r="D3584" s="59"/>
      <c r="E3584" s="59"/>
    </row>
    <row r="3585" spans="4:5">
      <c r="D3585" s="59"/>
      <c r="E3585" s="59"/>
    </row>
    <row r="3586" spans="4:5">
      <c r="D3586" s="59"/>
      <c r="E3586" s="59"/>
    </row>
    <row r="3587" spans="4:5">
      <c r="D3587" s="59"/>
      <c r="E3587" s="59"/>
    </row>
    <row r="3588" spans="4:5">
      <c r="D3588" s="59"/>
      <c r="E3588" s="59"/>
    </row>
    <row r="3589" spans="4:5">
      <c r="D3589" s="59"/>
      <c r="E3589" s="59"/>
    </row>
    <row r="3590" spans="4:5">
      <c r="D3590" s="59"/>
      <c r="E3590" s="59"/>
    </row>
    <row r="3591" spans="4:5">
      <c r="D3591" s="59"/>
      <c r="E3591" s="59"/>
    </row>
    <row r="3592" spans="4:5">
      <c r="D3592" s="59"/>
      <c r="E3592" s="59"/>
    </row>
    <row r="3593" spans="4:5">
      <c r="D3593" s="59"/>
      <c r="E3593" s="59"/>
    </row>
    <row r="3594" spans="4:5">
      <c r="D3594" s="59"/>
      <c r="E3594" s="59"/>
    </row>
    <row r="3595" spans="4:5">
      <c r="D3595" s="59"/>
      <c r="E3595" s="59"/>
    </row>
    <row r="3596" spans="4:5">
      <c r="D3596" s="59"/>
      <c r="E3596" s="59"/>
    </row>
    <row r="3597" spans="4:5">
      <c r="D3597" s="59"/>
      <c r="E3597" s="59"/>
    </row>
    <row r="3598" spans="4:5">
      <c r="D3598" s="59"/>
      <c r="E3598" s="59"/>
    </row>
    <row r="3599" spans="4:5">
      <c r="D3599" s="59"/>
      <c r="E3599" s="59"/>
    </row>
    <row r="3600" spans="4:5">
      <c r="D3600" s="59"/>
      <c r="E3600" s="59"/>
    </row>
    <row r="3601" spans="4:5">
      <c r="D3601" s="59"/>
      <c r="E3601" s="59"/>
    </row>
    <row r="3602" spans="4:5">
      <c r="D3602" s="59"/>
      <c r="E3602" s="59"/>
    </row>
    <row r="3603" spans="4:5">
      <c r="D3603" s="59"/>
      <c r="E3603" s="59"/>
    </row>
    <row r="3604" spans="4:5">
      <c r="D3604" s="59"/>
      <c r="E3604" s="59"/>
    </row>
    <row r="3605" spans="4:5">
      <c r="D3605" s="59"/>
      <c r="E3605" s="59"/>
    </row>
    <row r="3606" spans="4:5">
      <c r="D3606" s="59"/>
      <c r="E3606" s="59"/>
    </row>
    <row r="3607" spans="4:5">
      <c r="D3607" s="59"/>
      <c r="E3607" s="59"/>
    </row>
    <row r="3608" spans="4:5">
      <c r="D3608" s="59"/>
      <c r="E3608" s="59"/>
    </row>
    <row r="3609" spans="4:5">
      <c r="D3609" s="59"/>
      <c r="E3609" s="59"/>
    </row>
    <row r="3610" spans="4:5">
      <c r="D3610" s="59"/>
      <c r="E3610" s="59"/>
    </row>
    <row r="3611" spans="4:5">
      <c r="D3611" s="59"/>
      <c r="E3611" s="59"/>
    </row>
    <row r="3612" spans="4:5">
      <c r="D3612" s="59"/>
      <c r="E3612" s="59"/>
    </row>
    <row r="3613" spans="4:5">
      <c r="D3613" s="59"/>
      <c r="E3613" s="59"/>
    </row>
    <row r="3614" spans="4:5">
      <c r="D3614" s="59"/>
      <c r="E3614" s="59"/>
    </row>
    <row r="3615" spans="4:5">
      <c r="D3615" s="59"/>
      <c r="E3615" s="59"/>
    </row>
    <row r="3616" spans="4:5">
      <c r="D3616" s="59"/>
      <c r="E3616" s="59"/>
    </row>
    <row r="3617" spans="4:5">
      <c r="D3617" s="59"/>
      <c r="E3617" s="59"/>
    </row>
    <row r="3618" spans="4:5">
      <c r="D3618" s="59"/>
      <c r="E3618" s="59"/>
    </row>
    <row r="3619" spans="4:5">
      <c r="D3619" s="59"/>
      <c r="E3619" s="59"/>
    </row>
    <row r="3620" spans="4:5">
      <c r="D3620" s="59"/>
      <c r="E3620" s="59"/>
    </row>
    <row r="3621" spans="4:5">
      <c r="D3621" s="59"/>
      <c r="E3621" s="59"/>
    </row>
    <row r="3622" spans="4:5">
      <c r="D3622" s="59"/>
      <c r="E3622" s="59"/>
    </row>
    <row r="3623" spans="4:5">
      <c r="D3623" s="59"/>
      <c r="E3623" s="59"/>
    </row>
    <row r="3624" spans="4:5">
      <c r="D3624" s="59"/>
      <c r="E3624" s="59"/>
    </row>
    <row r="3625" spans="4:5">
      <c r="D3625" s="59"/>
      <c r="E3625" s="59"/>
    </row>
    <row r="3626" spans="4:5">
      <c r="D3626" s="59"/>
      <c r="E3626" s="59"/>
    </row>
    <row r="3627" spans="4:5">
      <c r="D3627" s="59"/>
      <c r="E3627" s="59"/>
    </row>
    <row r="3628" spans="4:5">
      <c r="D3628" s="59"/>
      <c r="E3628" s="59"/>
    </row>
    <row r="3629" spans="4:5">
      <c r="D3629" s="59"/>
      <c r="E3629" s="59"/>
    </row>
    <row r="3630" spans="4:5">
      <c r="D3630" s="59"/>
      <c r="E3630" s="59"/>
    </row>
    <row r="3631" spans="4:5">
      <c r="D3631" s="59"/>
      <c r="E3631" s="59"/>
    </row>
    <row r="3632" spans="4:5">
      <c r="D3632" s="59"/>
      <c r="E3632" s="59"/>
    </row>
    <row r="3633" spans="4:5">
      <c r="D3633" s="59"/>
      <c r="E3633" s="59"/>
    </row>
    <row r="3634" spans="4:5">
      <c r="D3634" s="59"/>
      <c r="E3634" s="59"/>
    </row>
    <row r="3635" spans="4:5">
      <c r="D3635" s="59"/>
      <c r="E3635" s="59"/>
    </row>
    <row r="3636" spans="4:5">
      <c r="D3636" s="59"/>
      <c r="E3636" s="59"/>
    </row>
    <row r="3637" spans="4:5">
      <c r="D3637" s="59"/>
      <c r="E3637" s="59"/>
    </row>
    <row r="3638" spans="4:5">
      <c r="D3638" s="59"/>
      <c r="E3638" s="59"/>
    </row>
    <row r="3639" spans="4:5">
      <c r="D3639" s="59"/>
      <c r="E3639" s="59"/>
    </row>
    <row r="3640" spans="4:5">
      <c r="D3640" s="59"/>
      <c r="E3640" s="59"/>
    </row>
    <row r="3641" spans="4:5">
      <c r="D3641" s="59"/>
      <c r="E3641" s="59"/>
    </row>
    <row r="3642" spans="4:5">
      <c r="D3642" s="59"/>
      <c r="E3642" s="59"/>
    </row>
    <row r="3643" spans="4:5">
      <c r="D3643" s="59"/>
      <c r="E3643" s="59"/>
    </row>
    <row r="3644" spans="4:5">
      <c r="D3644" s="59"/>
      <c r="E3644" s="59"/>
    </row>
    <row r="3645" spans="4:5">
      <c r="D3645" s="59"/>
      <c r="E3645" s="59"/>
    </row>
    <row r="3646" spans="4:5">
      <c r="D3646" s="59"/>
      <c r="E3646" s="59"/>
    </row>
    <row r="3647" spans="4:5">
      <c r="D3647" s="59"/>
      <c r="E3647" s="59"/>
    </row>
    <row r="3648" spans="4:5">
      <c r="D3648" s="59"/>
      <c r="E3648" s="59"/>
    </row>
    <row r="3649" spans="4:5">
      <c r="D3649" s="59"/>
      <c r="E3649" s="59"/>
    </row>
    <row r="3650" spans="4:5">
      <c r="D3650" s="59"/>
      <c r="E3650" s="59"/>
    </row>
    <row r="3651" spans="4:5">
      <c r="D3651" s="59"/>
      <c r="E3651" s="59"/>
    </row>
    <row r="3652" spans="4:5">
      <c r="D3652" s="59"/>
      <c r="E3652" s="59"/>
    </row>
    <row r="3653" spans="4:5">
      <c r="D3653" s="59"/>
      <c r="E3653" s="59"/>
    </row>
    <row r="3654" spans="4:5">
      <c r="D3654" s="59"/>
      <c r="E3654" s="59"/>
    </row>
    <row r="3655" spans="4:5">
      <c r="D3655" s="59"/>
      <c r="E3655" s="59"/>
    </row>
    <row r="3656" spans="4:5">
      <c r="D3656" s="59"/>
      <c r="E3656" s="59"/>
    </row>
    <row r="3657" spans="4:5">
      <c r="D3657" s="59"/>
      <c r="E3657" s="59"/>
    </row>
    <row r="3658" spans="4:5">
      <c r="D3658" s="59"/>
      <c r="E3658" s="59"/>
    </row>
    <row r="3659" spans="4:5">
      <c r="D3659" s="59"/>
      <c r="E3659" s="59"/>
    </row>
    <row r="3660" spans="4:5">
      <c r="D3660" s="59"/>
      <c r="E3660" s="59"/>
    </row>
    <row r="3661" spans="4:5">
      <c r="D3661" s="59"/>
      <c r="E3661" s="59"/>
    </row>
    <row r="3662" spans="4:5">
      <c r="D3662" s="59"/>
      <c r="E3662" s="59"/>
    </row>
    <row r="3663" spans="4:5">
      <c r="D3663" s="59"/>
      <c r="E3663" s="59"/>
    </row>
    <row r="3664" spans="4:5">
      <c r="D3664" s="59"/>
      <c r="E3664" s="59"/>
    </row>
    <row r="3665" spans="4:5">
      <c r="D3665" s="59"/>
      <c r="E3665" s="59"/>
    </row>
    <row r="3666" spans="4:5">
      <c r="D3666" s="59"/>
      <c r="E3666" s="59"/>
    </row>
    <row r="3667" spans="4:5">
      <c r="D3667" s="59"/>
      <c r="E3667" s="59"/>
    </row>
    <row r="3668" spans="4:5">
      <c r="D3668" s="59"/>
      <c r="E3668" s="59"/>
    </row>
    <row r="3669" spans="4:5">
      <c r="D3669" s="59"/>
      <c r="E3669" s="59"/>
    </row>
    <row r="3670" spans="4:5">
      <c r="D3670" s="59"/>
      <c r="E3670" s="59"/>
    </row>
    <row r="3671" spans="4:5">
      <c r="D3671" s="59"/>
      <c r="E3671" s="59"/>
    </row>
    <row r="3672" spans="4:5">
      <c r="D3672" s="59"/>
      <c r="E3672" s="59"/>
    </row>
    <row r="3673" spans="4:5">
      <c r="D3673" s="59"/>
      <c r="E3673" s="59"/>
    </row>
    <row r="3674" spans="4:5">
      <c r="D3674" s="59"/>
      <c r="E3674" s="59"/>
    </row>
    <row r="3675" spans="4:5">
      <c r="D3675" s="59"/>
      <c r="E3675" s="59"/>
    </row>
    <row r="3676" spans="4:5">
      <c r="D3676" s="59"/>
      <c r="E3676" s="59"/>
    </row>
    <row r="3677" spans="4:5">
      <c r="D3677" s="59"/>
      <c r="E3677" s="59"/>
    </row>
    <row r="3678" spans="4:5">
      <c r="D3678" s="59"/>
      <c r="E3678" s="59"/>
    </row>
    <row r="3679" spans="4:5">
      <c r="D3679" s="59"/>
      <c r="E3679" s="59"/>
    </row>
    <row r="3680" spans="4:5">
      <c r="D3680" s="59"/>
      <c r="E3680" s="59"/>
    </row>
    <row r="3681" spans="4:5">
      <c r="D3681" s="59"/>
      <c r="E3681" s="59"/>
    </row>
    <row r="3682" spans="4:5">
      <c r="D3682" s="59"/>
      <c r="E3682" s="59"/>
    </row>
    <row r="3683" spans="4:5">
      <c r="D3683" s="59"/>
      <c r="E3683" s="59"/>
    </row>
    <row r="3684" spans="4:5">
      <c r="D3684" s="59"/>
      <c r="E3684" s="59"/>
    </row>
    <row r="3685" spans="4:5">
      <c r="D3685" s="59"/>
      <c r="E3685" s="59"/>
    </row>
    <row r="3686" spans="4:5">
      <c r="D3686" s="59"/>
      <c r="E3686" s="59"/>
    </row>
    <row r="3687" spans="4:5">
      <c r="D3687" s="59"/>
      <c r="E3687" s="59"/>
    </row>
    <row r="3688" spans="4:5">
      <c r="D3688" s="59"/>
      <c r="E3688" s="59"/>
    </row>
    <row r="3689" spans="4:5">
      <c r="D3689" s="59"/>
      <c r="E3689" s="59"/>
    </row>
    <row r="3690" spans="4:5">
      <c r="D3690" s="59"/>
      <c r="E3690" s="59"/>
    </row>
    <row r="3691" spans="4:5">
      <c r="D3691" s="59"/>
      <c r="E3691" s="59"/>
    </row>
    <row r="3692" spans="4:5">
      <c r="D3692" s="59"/>
      <c r="E3692" s="59"/>
    </row>
    <row r="3693" spans="4:5">
      <c r="D3693" s="59"/>
      <c r="E3693" s="59"/>
    </row>
    <row r="3694" spans="4:5">
      <c r="D3694" s="59"/>
      <c r="E3694" s="59"/>
    </row>
    <row r="3695" spans="4:5">
      <c r="D3695" s="59"/>
      <c r="E3695" s="59"/>
    </row>
    <row r="3696" spans="4:5">
      <c r="D3696" s="59"/>
      <c r="E3696" s="59"/>
    </row>
    <row r="3697" spans="4:5">
      <c r="D3697" s="59"/>
      <c r="E3697" s="59"/>
    </row>
    <row r="3698" spans="4:5">
      <c r="D3698" s="59"/>
      <c r="E3698" s="59"/>
    </row>
    <row r="3699" spans="4:5">
      <c r="D3699" s="59"/>
      <c r="E3699" s="59"/>
    </row>
    <row r="3700" spans="4:5">
      <c r="D3700" s="59"/>
      <c r="E3700" s="59"/>
    </row>
    <row r="3701" spans="4:5">
      <c r="D3701" s="59"/>
      <c r="E3701" s="59"/>
    </row>
    <row r="3702" spans="4:5">
      <c r="D3702" s="59"/>
      <c r="E3702" s="59"/>
    </row>
    <row r="3703" spans="4:5">
      <c r="D3703" s="59"/>
      <c r="E3703" s="59"/>
    </row>
    <row r="3704" spans="4:5">
      <c r="D3704" s="59"/>
      <c r="E3704" s="59"/>
    </row>
    <row r="3705" spans="4:5">
      <c r="D3705" s="59"/>
      <c r="E3705" s="59"/>
    </row>
    <row r="3706" spans="4:5">
      <c r="D3706" s="59"/>
      <c r="E3706" s="59"/>
    </row>
    <row r="3707" spans="4:5">
      <c r="D3707" s="59"/>
      <c r="E3707" s="59"/>
    </row>
    <row r="3708" spans="4:5">
      <c r="D3708" s="59"/>
      <c r="E3708" s="59"/>
    </row>
    <row r="3709" spans="4:5">
      <c r="D3709" s="59"/>
      <c r="E3709" s="59"/>
    </row>
    <row r="3710" spans="4:5">
      <c r="D3710" s="59"/>
      <c r="E3710" s="59"/>
    </row>
    <row r="3711" spans="4:5">
      <c r="D3711" s="59"/>
      <c r="E3711" s="59"/>
    </row>
    <row r="3712" spans="4:5">
      <c r="D3712" s="59"/>
      <c r="E3712" s="59"/>
    </row>
    <row r="3713" spans="4:5">
      <c r="D3713" s="59"/>
      <c r="E3713" s="59"/>
    </row>
    <row r="3714" spans="4:5">
      <c r="D3714" s="59"/>
      <c r="E3714" s="59"/>
    </row>
    <row r="3715" spans="4:5">
      <c r="D3715" s="59"/>
      <c r="E3715" s="59"/>
    </row>
    <row r="3716" spans="4:5">
      <c r="D3716" s="59"/>
      <c r="E3716" s="59"/>
    </row>
    <row r="3717" spans="4:5">
      <c r="D3717" s="59"/>
      <c r="E3717" s="59"/>
    </row>
    <row r="3718" spans="4:5">
      <c r="D3718" s="59"/>
      <c r="E3718" s="59"/>
    </row>
    <row r="3719" spans="4:5">
      <c r="D3719" s="59"/>
      <c r="E3719" s="59"/>
    </row>
    <row r="3720" spans="4:5">
      <c r="D3720" s="59"/>
      <c r="E3720" s="59"/>
    </row>
    <row r="3721" spans="4:5">
      <c r="D3721" s="59"/>
      <c r="E3721" s="59"/>
    </row>
    <row r="3722" spans="4:5">
      <c r="D3722" s="59"/>
      <c r="E3722" s="59"/>
    </row>
    <row r="3723" spans="4:5">
      <c r="D3723" s="59"/>
      <c r="E3723" s="59"/>
    </row>
    <row r="3724" spans="4:5">
      <c r="D3724" s="59"/>
      <c r="E3724" s="59"/>
    </row>
    <row r="3725" spans="4:5">
      <c r="D3725" s="59"/>
      <c r="E3725" s="59"/>
    </row>
    <row r="3726" spans="4:5">
      <c r="D3726" s="59"/>
      <c r="E3726" s="59"/>
    </row>
    <row r="3727" spans="4:5">
      <c r="D3727" s="59"/>
      <c r="E3727" s="59"/>
    </row>
    <row r="3728" spans="4:5">
      <c r="D3728" s="59"/>
      <c r="E3728" s="59"/>
    </row>
    <row r="3729" spans="4:5">
      <c r="D3729" s="59"/>
      <c r="E3729" s="59"/>
    </row>
    <row r="3730" spans="4:5">
      <c r="D3730" s="59"/>
      <c r="E3730" s="59"/>
    </row>
    <row r="3731" spans="4:5">
      <c r="D3731" s="59"/>
      <c r="E3731" s="59"/>
    </row>
    <row r="3732" spans="4:5">
      <c r="D3732" s="59"/>
      <c r="E3732" s="59"/>
    </row>
    <row r="3733" spans="4:5">
      <c r="D3733" s="59"/>
      <c r="E3733" s="59"/>
    </row>
    <row r="3734" spans="4:5">
      <c r="D3734" s="59"/>
      <c r="E3734" s="59"/>
    </row>
    <row r="3735" spans="4:5">
      <c r="D3735" s="59"/>
      <c r="E3735" s="59"/>
    </row>
    <row r="3736" spans="4:5">
      <c r="D3736" s="59"/>
      <c r="E3736" s="59"/>
    </row>
    <row r="3737" spans="4:5">
      <c r="D3737" s="59"/>
      <c r="E3737" s="59"/>
    </row>
    <row r="3738" spans="4:5">
      <c r="D3738" s="59"/>
      <c r="E3738" s="59"/>
    </row>
    <row r="3739" spans="4:5">
      <c r="D3739" s="59"/>
      <c r="E3739" s="59"/>
    </row>
    <row r="3740" spans="4:5">
      <c r="D3740" s="59"/>
      <c r="E3740" s="59"/>
    </row>
    <row r="3741" spans="4:5">
      <c r="D3741" s="59"/>
      <c r="E3741" s="59"/>
    </row>
    <row r="3742" spans="4:5">
      <c r="D3742" s="59"/>
      <c r="E3742" s="59"/>
    </row>
    <row r="3743" spans="4:5">
      <c r="D3743" s="59"/>
      <c r="E3743" s="59"/>
    </row>
    <row r="3744" spans="4:5">
      <c r="D3744" s="59"/>
      <c r="E3744" s="59"/>
    </row>
    <row r="3745" spans="4:5">
      <c r="D3745" s="59"/>
      <c r="E3745" s="59"/>
    </row>
    <row r="3746" spans="4:5">
      <c r="D3746" s="59"/>
      <c r="E3746" s="59"/>
    </row>
    <row r="3747" spans="4:5">
      <c r="D3747" s="59"/>
      <c r="E3747" s="59"/>
    </row>
    <row r="3748" spans="4:5">
      <c r="D3748" s="59"/>
      <c r="E3748" s="59"/>
    </row>
    <row r="3749" spans="4:5">
      <c r="D3749" s="59"/>
      <c r="E3749" s="59"/>
    </row>
    <row r="3750" spans="4:5">
      <c r="D3750" s="59"/>
      <c r="E3750" s="59"/>
    </row>
    <row r="3751" spans="4:5">
      <c r="D3751" s="59"/>
      <c r="E3751" s="59"/>
    </row>
    <row r="3752" spans="4:5">
      <c r="D3752" s="59"/>
      <c r="E3752" s="59"/>
    </row>
    <row r="3753" spans="4:5">
      <c r="D3753" s="59"/>
      <c r="E3753" s="59"/>
    </row>
    <row r="3754" spans="4:5">
      <c r="D3754" s="59"/>
      <c r="E3754" s="59"/>
    </row>
    <row r="3755" spans="4:5">
      <c r="D3755" s="59"/>
      <c r="E3755" s="59"/>
    </row>
    <row r="3756" spans="4:5">
      <c r="D3756" s="59"/>
      <c r="E3756" s="59"/>
    </row>
    <row r="3757" spans="4:5">
      <c r="D3757" s="59"/>
      <c r="E3757" s="59"/>
    </row>
    <row r="3758" spans="4:5">
      <c r="D3758" s="59"/>
      <c r="E3758" s="59"/>
    </row>
    <row r="3759" spans="4:5">
      <c r="D3759" s="59"/>
      <c r="E3759" s="59"/>
    </row>
    <row r="3760" spans="4:5">
      <c r="D3760" s="59"/>
      <c r="E3760" s="59"/>
    </row>
    <row r="3761" spans="4:5">
      <c r="D3761" s="59"/>
      <c r="E3761" s="59"/>
    </row>
    <row r="3762" spans="4:5">
      <c r="D3762" s="59"/>
      <c r="E3762" s="59"/>
    </row>
    <row r="3763" spans="4:5">
      <c r="D3763" s="59"/>
      <c r="E3763" s="59"/>
    </row>
    <row r="3764" spans="4:5">
      <c r="D3764" s="59"/>
      <c r="E3764" s="59"/>
    </row>
    <row r="3765" spans="4:5">
      <c r="D3765" s="59"/>
      <c r="E3765" s="59"/>
    </row>
    <row r="3766" spans="4:5">
      <c r="D3766" s="59"/>
      <c r="E3766" s="59"/>
    </row>
    <row r="3767" spans="4:5">
      <c r="D3767" s="59"/>
      <c r="E3767" s="59"/>
    </row>
    <row r="3768" spans="4:5">
      <c r="D3768" s="59"/>
      <c r="E3768" s="59"/>
    </row>
    <row r="3769" spans="4:5">
      <c r="D3769" s="59"/>
      <c r="E3769" s="59"/>
    </row>
    <row r="3770" spans="4:5">
      <c r="D3770" s="59"/>
      <c r="E3770" s="59"/>
    </row>
    <row r="3771" spans="4:5">
      <c r="D3771" s="59"/>
      <c r="E3771" s="59"/>
    </row>
    <row r="3772" spans="4:5">
      <c r="D3772" s="59"/>
      <c r="E3772" s="59"/>
    </row>
    <row r="3773" spans="4:5">
      <c r="D3773" s="59"/>
      <c r="E3773" s="59"/>
    </row>
    <row r="3774" spans="4:5">
      <c r="D3774" s="59"/>
      <c r="E3774" s="59"/>
    </row>
    <row r="3775" spans="4:5">
      <c r="D3775" s="59"/>
      <c r="E3775" s="59"/>
    </row>
    <row r="3776" spans="4:5">
      <c r="D3776" s="59"/>
      <c r="E3776" s="59"/>
    </row>
    <row r="3777" spans="4:5">
      <c r="D3777" s="59"/>
      <c r="E3777" s="59"/>
    </row>
    <row r="3778" spans="4:5">
      <c r="D3778" s="59"/>
      <c r="E3778" s="59"/>
    </row>
    <row r="3779" spans="4:5">
      <c r="D3779" s="59"/>
      <c r="E3779" s="59"/>
    </row>
    <row r="3780" spans="4:5">
      <c r="D3780" s="59"/>
      <c r="E3780" s="59"/>
    </row>
    <row r="3781" spans="4:5">
      <c r="D3781" s="59"/>
      <c r="E3781" s="59"/>
    </row>
    <row r="3782" spans="4:5">
      <c r="D3782" s="59"/>
      <c r="E3782" s="59"/>
    </row>
    <row r="3783" spans="4:5">
      <c r="D3783" s="59"/>
      <c r="E3783" s="59"/>
    </row>
    <row r="3784" spans="4:5">
      <c r="D3784" s="59"/>
      <c r="E3784" s="59"/>
    </row>
    <row r="3785" spans="4:5">
      <c r="D3785" s="59"/>
      <c r="E3785" s="59"/>
    </row>
    <row r="3786" spans="4:5">
      <c r="D3786" s="59"/>
      <c r="E3786" s="59"/>
    </row>
    <row r="3787" spans="4:5">
      <c r="D3787" s="59"/>
      <c r="E3787" s="59"/>
    </row>
    <row r="3788" spans="4:5">
      <c r="D3788" s="59"/>
      <c r="E3788" s="59"/>
    </row>
    <row r="3789" spans="4:5">
      <c r="D3789" s="59"/>
      <c r="E3789" s="59"/>
    </row>
    <row r="3790" spans="4:5">
      <c r="D3790" s="59"/>
      <c r="E3790" s="59"/>
    </row>
    <row r="3791" spans="4:5">
      <c r="D3791" s="59"/>
      <c r="E3791" s="59"/>
    </row>
    <row r="3792" spans="4:5">
      <c r="D3792" s="59"/>
      <c r="E3792" s="59"/>
    </row>
    <row r="3793" spans="4:5">
      <c r="D3793" s="59"/>
      <c r="E3793" s="59"/>
    </row>
    <row r="3794" spans="4:5">
      <c r="D3794" s="59"/>
      <c r="E3794" s="59"/>
    </row>
    <row r="3795" spans="4:5">
      <c r="D3795" s="59"/>
      <c r="E3795" s="59"/>
    </row>
    <row r="3796" spans="4:5">
      <c r="D3796" s="59"/>
      <c r="E3796" s="59"/>
    </row>
    <row r="3797" spans="4:5">
      <c r="D3797" s="59"/>
      <c r="E3797" s="59"/>
    </row>
    <row r="3798" spans="4:5">
      <c r="D3798" s="59"/>
      <c r="E3798" s="59"/>
    </row>
    <row r="3799" spans="4:5">
      <c r="D3799" s="59"/>
      <c r="E3799" s="59"/>
    </row>
    <row r="3800" spans="4:5">
      <c r="D3800" s="59"/>
      <c r="E3800" s="59"/>
    </row>
    <row r="3801" spans="4:5">
      <c r="D3801" s="59"/>
      <c r="E3801" s="59"/>
    </row>
    <row r="3802" spans="4:5">
      <c r="D3802" s="59"/>
      <c r="E3802" s="59"/>
    </row>
    <row r="3803" spans="4:5">
      <c r="D3803" s="59"/>
      <c r="E3803" s="59"/>
    </row>
    <row r="3804" spans="4:5">
      <c r="D3804" s="59"/>
      <c r="E3804" s="59"/>
    </row>
    <row r="3805" spans="4:5">
      <c r="D3805" s="59"/>
      <c r="E3805" s="59"/>
    </row>
    <row r="3806" spans="4:5">
      <c r="D3806" s="59"/>
      <c r="E3806" s="59"/>
    </row>
    <row r="3807" spans="4:5">
      <c r="D3807" s="59"/>
      <c r="E3807" s="59"/>
    </row>
    <row r="3808" spans="4:5">
      <c r="D3808" s="59"/>
      <c r="E3808" s="59"/>
    </row>
    <row r="3809" spans="4:5">
      <c r="D3809" s="59"/>
      <c r="E3809" s="59"/>
    </row>
    <row r="3810" spans="4:5">
      <c r="D3810" s="59"/>
      <c r="E3810" s="59"/>
    </row>
    <row r="3811" spans="4:5">
      <c r="D3811" s="59"/>
      <c r="E3811" s="59"/>
    </row>
    <row r="3812" spans="4:5">
      <c r="D3812" s="59"/>
      <c r="E3812" s="59"/>
    </row>
    <row r="3813" spans="4:5">
      <c r="D3813" s="59"/>
      <c r="E3813" s="59"/>
    </row>
    <row r="3814" spans="4:5">
      <c r="D3814" s="59"/>
      <c r="E3814" s="59"/>
    </row>
    <row r="3815" spans="4:5">
      <c r="D3815" s="59"/>
      <c r="E3815" s="59"/>
    </row>
    <row r="3816" spans="4:5">
      <c r="D3816" s="59"/>
      <c r="E3816" s="59"/>
    </row>
    <row r="3817" spans="4:5">
      <c r="D3817" s="59"/>
      <c r="E3817" s="59"/>
    </row>
    <row r="3818" spans="4:5">
      <c r="D3818" s="59"/>
      <c r="E3818" s="59"/>
    </row>
    <row r="3819" spans="4:5">
      <c r="D3819" s="59"/>
      <c r="E3819" s="59"/>
    </row>
    <row r="3820" spans="4:5">
      <c r="D3820" s="59"/>
      <c r="E3820" s="59"/>
    </row>
    <row r="3821" spans="4:5">
      <c r="D3821" s="59"/>
      <c r="E3821" s="59"/>
    </row>
    <row r="3822" spans="4:5">
      <c r="D3822" s="59"/>
      <c r="E3822" s="59"/>
    </row>
    <row r="3823" spans="4:5">
      <c r="D3823" s="59"/>
      <c r="E3823" s="59"/>
    </row>
    <row r="3824" spans="4:5">
      <c r="D3824" s="59"/>
      <c r="E3824" s="59"/>
    </row>
    <row r="3825" spans="4:5">
      <c r="D3825" s="59"/>
      <c r="E3825" s="59"/>
    </row>
    <row r="3826" spans="4:5">
      <c r="D3826" s="59"/>
      <c r="E3826" s="59"/>
    </row>
    <row r="3827" spans="4:5">
      <c r="D3827" s="59"/>
      <c r="E3827" s="59"/>
    </row>
    <row r="3828" spans="4:5">
      <c r="D3828" s="59"/>
      <c r="E3828" s="59"/>
    </row>
    <row r="3829" spans="4:5">
      <c r="D3829" s="59"/>
      <c r="E3829" s="59"/>
    </row>
    <row r="3830" spans="4:5">
      <c r="D3830" s="59"/>
      <c r="E3830" s="59"/>
    </row>
    <row r="3831" spans="4:5">
      <c r="D3831" s="59"/>
      <c r="E3831" s="59"/>
    </row>
    <row r="3832" spans="4:5">
      <c r="D3832" s="59"/>
      <c r="E3832" s="59"/>
    </row>
    <row r="3833" spans="4:5">
      <c r="D3833" s="59"/>
      <c r="E3833" s="59"/>
    </row>
    <row r="3834" spans="4:5">
      <c r="D3834" s="59"/>
      <c r="E3834" s="59"/>
    </row>
    <row r="3835" spans="4:5">
      <c r="D3835" s="59"/>
      <c r="E3835" s="59"/>
    </row>
    <row r="3836" spans="4:5">
      <c r="D3836" s="59"/>
      <c r="E3836" s="59"/>
    </row>
    <row r="3837" spans="4:5">
      <c r="D3837" s="59"/>
      <c r="E3837" s="59"/>
    </row>
    <row r="3838" spans="4:5">
      <c r="D3838" s="59"/>
      <c r="E3838" s="59"/>
    </row>
    <row r="3839" spans="4:5">
      <c r="D3839" s="59"/>
      <c r="E3839" s="59"/>
    </row>
    <row r="3840" spans="4:5">
      <c r="D3840" s="59"/>
      <c r="E3840" s="59"/>
    </row>
    <row r="3841" spans="4:5">
      <c r="D3841" s="59"/>
      <c r="E3841" s="59"/>
    </row>
    <row r="3842" spans="4:5">
      <c r="D3842" s="59"/>
      <c r="E3842" s="59"/>
    </row>
    <row r="3843" spans="4:5">
      <c r="D3843" s="59"/>
      <c r="E3843" s="59"/>
    </row>
    <row r="3844" spans="4:5">
      <c r="D3844" s="59"/>
      <c r="E3844" s="59"/>
    </row>
    <row r="3845" spans="4:5">
      <c r="D3845" s="59"/>
      <c r="E3845" s="59"/>
    </row>
    <row r="3846" spans="4:5">
      <c r="D3846" s="59"/>
      <c r="E3846" s="59"/>
    </row>
    <row r="3847" spans="4:5">
      <c r="D3847" s="59"/>
      <c r="E3847" s="59"/>
    </row>
    <row r="3848" spans="4:5">
      <c r="D3848" s="59"/>
      <c r="E3848" s="59"/>
    </row>
    <row r="3849" spans="4:5">
      <c r="D3849" s="59"/>
      <c r="E3849" s="59"/>
    </row>
    <row r="3850" spans="4:5">
      <c r="D3850" s="59"/>
      <c r="E3850" s="59"/>
    </row>
    <row r="3851" spans="4:5">
      <c r="D3851" s="59"/>
      <c r="E3851" s="59"/>
    </row>
    <row r="3852" spans="4:5">
      <c r="D3852" s="59"/>
      <c r="E3852" s="59"/>
    </row>
    <row r="3853" spans="4:5">
      <c r="D3853" s="59"/>
      <c r="E3853" s="59"/>
    </row>
    <row r="3854" spans="4:5">
      <c r="D3854" s="59"/>
      <c r="E3854" s="59"/>
    </row>
    <row r="3855" spans="4:5">
      <c r="D3855" s="59"/>
      <c r="E3855" s="59"/>
    </row>
    <row r="3856" spans="4:5">
      <c r="D3856" s="59"/>
      <c r="E3856" s="59"/>
    </row>
    <row r="3857" spans="4:5">
      <c r="D3857" s="59"/>
      <c r="E3857" s="59"/>
    </row>
    <row r="3858" spans="4:5">
      <c r="D3858" s="59"/>
      <c r="E3858" s="59"/>
    </row>
    <row r="3859" spans="4:5">
      <c r="D3859" s="59"/>
      <c r="E3859" s="59"/>
    </row>
    <row r="3860" spans="4:5">
      <c r="D3860" s="59"/>
      <c r="E3860" s="59"/>
    </row>
    <row r="3861" spans="4:5">
      <c r="D3861" s="59"/>
      <c r="E3861" s="59"/>
    </row>
    <row r="3862" spans="4:5">
      <c r="D3862" s="59"/>
      <c r="E3862" s="59"/>
    </row>
    <row r="3863" spans="4:5">
      <c r="D3863" s="59"/>
      <c r="E3863" s="59"/>
    </row>
    <row r="3864" spans="4:5">
      <c r="D3864" s="59"/>
      <c r="E3864" s="59"/>
    </row>
    <row r="3865" spans="4:5">
      <c r="D3865" s="59"/>
      <c r="E3865" s="59"/>
    </row>
    <row r="3866" spans="4:5">
      <c r="D3866" s="59"/>
      <c r="E3866" s="59"/>
    </row>
    <row r="3867" spans="4:5">
      <c r="D3867" s="59"/>
      <c r="E3867" s="59"/>
    </row>
    <row r="3868" spans="4:5">
      <c r="D3868" s="59"/>
      <c r="E3868" s="59"/>
    </row>
    <row r="3869" spans="4:5">
      <c r="D3869" s="59"/>
      <c r="E3869" s="59"/>
    </row>
    <row r="3870" spans="4:5">
      <c r="D3870" s="59"/>
      <c r="E3870" s="59"/>
    </row>
    <row r="3871" spans="4:5">
      <c r="D3871" s="59"/>
      <c r="E3871" s="59"/>
    </row>
    <row r="3872" spans="4:5">
      <c r="D3872" s="59"/>
      <c r="E3872" s="59"/>
    </row>
    <row r="3873" spans="4:5">
      <c r="D3873" s="59"/>
      <c r="E3873" s="59"/>
    </row>
    <row r="3874" spans="4:5">
      <c r="D3874" s="59"/>
      <c r="E3874" s="59"/>
    </row>
    <row r="3875" spans="4:5">
      <c r="D3875" s="59"/>
      <c r="E3875" s="59"/>
    </row>
    <row r="3876" spans="4:5">
      <c r="D3876" s="59"/>
      <c r="E3876" s="59"/>
    </row>
    <row r="3877" spans="4:5">
      <c r="D3877" s="59"/>
      <c r="E3877" s="59"/>
    </row>
    <row r="3878" spans="4:5">
      <c r="D3878" s="59"/>
      <c r="E3878" s="59"/>
    </row>
    <row r="3879" spans="4:5">
      <c r="D3879" s="59"/>
      <c r="E3879" s="59"/>
    </row>
    <row r="3880" spans="4:5">
      <c r="D3880" s="59"/>
      <c r="E3880" s="59"/>
    </row>
    <row r="3881" spans="4:5">
      <c r="D3881" s="59"/>
      <c r="E3881" s="59"/>
    </row>
    <row r="3882" spans="4:5">
      <c r="D3882" s="59"/>
      <c r="E3882" s="59"/>
    </row>
    <row r="3883" spans="4:5">
      <c r="D3883" s="59"/>
      <c r="E3883" s="59"/>
    </row>
    <row r="3884" spans="4:5">
      <c r="D3884" s="59"/>
      <c r="E3884" s="59"/>
    </row>
    <row r="3885" spans="4:5">
      <c r="D3885" s="59"/>
      <c r="E3885" s="59"/>
    </row>
    <row r="3886" spans="4:5">
      <c r="D3886" s="59"/>
      <c r="E3886" s="59"/>
    </row>
    <row r="3887" spans="4:5">
      <c r="D3887" s="59"/>
      <c r="E3887" s="59"/>
    </row>
    <row r="3888" spans="4:5">
      <c r="D3888" s="59"/>
      <c r="E3888" s="59"/>
    </row>
    <row r="3889" spans="4:5">
      <c r="D3889" s="59"/>
      <c r="E3889" s="59"/>
    </row>
    <row r="3890" spans="4:5">
      <c r="D3890" s="59"/>
      <c r="E3890" s="59"/>
    </row>
    <row r="3891" spans="4:5">
      <c r="D3891" s="59"/>
      <c r="E3891" s="59"/>
    </row>
    <row r="3892" spans="4:5">
      <c r="D3892" s="59"/>
      <c r="E3892" s="59"/>
    </row>
    <row r="3893" spans="4:5">
      <c r="D3893" s="59"/>
      <c r="E3893" s="59"/>
    </row>
    <row r="3894" spans="4:5">
      <c r="D3894" s="59"/>
      <c r="E3894" s="59"/>
    </row>
    <row r="3895" spans="4:5">
      <c r="D3895" s="59"/>
      <c r="E3895" s="59"/>
    </row>
    <row r="3896" spans="4:5">
      <c r="D3896" s="59"/>
      <c r="E3896" s="59"/>
    </row>
    <row r="3897" spans="4:5">
      <c r="D3897" s="59"/>
      <c r="E3897" s="59"/>
    </row>
    <row r="3898" spans="4:5">
      <c r="D3898" s="59"/>
      <c r="E3898" s="59"/>
    </row>
    <row r="3899" spans="4:5">
      <c r="D3899" s="59"/>
      <c r="E3899" s="59"/>
    </row>
    <row r="3900" spans="4:5">
      <c r="D3900" s="59"/>
      <c r="E3900" s="59"/>
    </row>
    <row r="3901" spans="4:5">
      <c r="D3901" s="59"/>
      <c r="E3901" s="59"/>
    </row>
    <row r="3902" spans="4:5">
      <c r="D3902" s="59"/>
      <c r="E3902" s="59"/>
    </row>
    <row r="3903" spans="4:5">
      <c r="D3903" s="59"/>
      <c r="E3903" s="59"/>
    </row>
    <row r="3904" spans="4:5">
      <c r="D3904" s="59"/>
      <c r="E3904" s="59"/>
    </row>
    <row r="3905" spans="4:5">
      <c r="D3905" s="59"/>
      <c r="E3905" s="59"/>
    </row>
    <row r="3906" spans="4:5">
      <c r="D3906" s="59"/>
      <c r="E3906" s="59"/>
    </row>
    <row r="3907" spans="4:5">
      <c r="D3907" s="59"/>
      <c r="E3907" s="59"/>
    </row>
    <row r="3908" spans="4:5">
      <c r="D3908" s="59"/>
      <c r="E3908" s="59"/>
    </row>
    <row r="3909" spans="4:5">
      <c r="D3909" s="59"/>
      <c r="E3909" s="59"/>
    </row>
    <row r="3910" spans="4:5">
      <c r="D3910" s="59"/>
      <c r="E3910" s="59"/>
    </row>
    <row r="3911" spans="4:5">
      <c r="D3911" s="59"/>
      <c r="E3911" s="59"/>
    </row>
    <row r="3912" spans="4:5">
      <c r="D3912" s="59"/>
      <c r="E3912" s="59"/>
    </row>
    <row r="3913" spans="4:5">
      <c r="D3913" s="59"/>
      <c r="E3913" s="59"/>
    </row>
    <row r="3914" spans="4:5">
      <c r="D3914" s="59"/>
      <c r="E3914" s="59"/>
    </row>
    <row r="3915" spans="4:5">
      <c r="D3915" s="59"/>
      <c r="E3915" s="59"/>
    </row>
    <row r="3916" spans="4:5">
      <c r="D3916" s="59"/>
      <c r="E3916" s="59"/>
    </row>
    <row r="3917" spans="4:5">
      <c r="D3917" s="59"/>
      <c r="E3917" s="59"/>
    </row>
    <row r="3918" spans="4:5">
      <c r="D3918" s="59"/>
      <c r="E3918" s="59"/>
    </row>
    <row r="3919" spans="4:5">
      <c r="D3919" s="59"/>
      <c r="E3919" s="59"/>
    </row>
    <row r="3920" spans="4:5">
      <c r="D3920" s="59"/>
      <c r="E3920" s="59"/>
    </row>
    <row r="3921" spans="4:5">
      <c r="D3921" s="59"/>
      <c r="E3921" s="59"/>
    </row>
    <row r="3922" spans="4:5">
      <c r="D3922" s="59"/>
      <c r="E3922" s="59"/>
    </row>
    <row r="3923" spans="4:5">
      <c r="D3923" s="59"/>
      <c r="E3923" s="59"/>
    </row>
    <row r="3924" spans="4:5">
      <c r="D3924" s="59"/>
      <c r="E3924" s="59"/>
    </row>
    <row r="3925" spans="4:5">
      <c r="D3925" s="59"/>
      <c r="E3925" s="59"/>
    </row>
    <row r="3926" spans="4:5">
      <c r="D3926" s="59"/>
      <c r="E3926" s="59"/>
    </row>
    <row r="3927" spans="4:5">
      <c r="D3927" s="59"/>
      <c r="E3927" s="59"/>
    </row>
    <row r="3928" spans="4:5">
      <c r="D3928" s="59"/>
      <c r="E3928" s="59"/>
    </row>
    <row r="3929" spans="4:5">
      <c r="D3929" s="59"/>
      <c r="E3929" s="59"/>
    </row>
    <row r="3930" spans="4:5">
      <c r="D3930" s="59"/>
      <c r="E3930" s="59"/>
    </row>
    <row r="3931" spans="4:5">
      <c r="D3931" s="59"/>
      <c r="E3931" s="59"/>
    </row>
    <row r="3932" spans="4:5">
      <c r="D3932" s="59"/>
      <c r="E3932" s="59"/>
    </row>
    <row r="3933" spans="4:5">
      <c r="D3933" s="59"/>
      <c r="E3933" s="59"/>
    </row>
    <row r="3934" spans="4:5">
      <c r="D3934" s="59"/>
      <c r="E3934" s="59"/>
    </row>
    <row r="3935" spans="4:5">
      <c r="D3935" s="59"/>
      <c r="E3935" s="59"/>
    </row>
    <row r="3936" spans="4:5">
      <c r="D3936" s="59"/>
      <c r="E3936" s="59"/>
    </row>
    <row r="3937" spans="4:5">
      <c r="D3937" s="59"/>
      <c r="E3937" s="59"/>
    </row>
    <row r="3938" spans="4:5">
      <c r="D3938" s="59"/>
      <c r="E3938" s="59"/>
    </row>
    <row r="3939" spans="4:5">
      <c r="D3939" s="59"/>
      <c r="E3939" s="59"/>
    </row>
    <row r="3940" spans="4:5">
      <c r="D3940" s="59"/>
      <c r="E3940" s="59"/>
    </row>
    <row r="3941" spans="4:5">
      <c r="D3941" s="59"/>
      <c r="E3941" s="59"/>
    </row>
    <row r="3942" spans="4:5">
      <c r="D3942" s="59"/>
      <c r="E3942" s="59"/>
    </row>
    <row r="3943" spans="4:5">
      <c r="D3943" s="59"/>
      <c r="E3943" s="59"/>
    </row>
    <row r="3944" spans="4:5">
      <c r="D3944" s="59"/>
      <c r="E3944" s="59"/>
    </row>
    <row r="3945" spans="4:5">
      <c r="D3945" s="59"/>
      <c r="E3945" s="59"/>
    </row>
    <row r="3946" spans="4:5">
      <c r="D3946" s="59"/>
      <c r="E3946" s="59"/>
    </row>
    <row r="3947" spans="4:5">
      <c r="D3947" s="59"/>
      <c r="E3947" s="59"/>
    </row>
    <row r="3948" spans="4:5">
      <c r="D3948" s="59"/>
      <c r="E3948" s="59"/>
    </row>
    <row r="3949" spans="4:5">
      <c r="D3949" s="59"/>
      <c r="E3949" s="59"/>
    </row>
    <row r="3950" spans="4:5">
      <c r="D3950" s="59"/>
      <c r="E3950" s="59"/>
    </row>
    <row r="3951" spans="4:5">
      <c r="D3951" s="59"/>
      <c r="E3951" s="59"/>
    </row>
    <row r="3952" spans="4:5">
      <c r="D3952" s="59"/>
      <c r="E3952" s="59"/>
    </row>
    <row r="3953" spans="4:5">
      <c r="D3953" s="59"/>
      <c r="E3953" s="59"/>
    </row>
    <row r="3954" spans="4:5">
      <c r="D3954" s="59"/>
      <c r="E3954" s="59"/>
    </row>
    <row r="3955" spans="4:5">
      <c r="D3955" s="59"/>
      <c r="E3955" s="59"/>
    </row>
    <row r="3956" spans="4:5">
      <c r="D3956" s="59"/>
      <c r="E3956" s="59"/>
    </row>
    <row r="3957" spans="4:5">
      <c r="D3957" s="59"/>
      <c r="E3957" s="59"/>
    </row>
    <row r="3958" spans="4:5">
      <c r="D3958" s="59"/>
      <c r="E3958" s="59"/>
    </row>
    <row r="3959" spans="4:5">
      <c r="D3959" s="59"/>
      <c r="E3959" s="59"/>
    </row>
    <row r="3960" spans="4:5">
      <c r="D3960" s="59"/>
      <c r="E3960" s="59"/>
    </row>
    <row r="3961" spans="4:5">
      <c r="D3961" s="59"/>
      <c r="E3961" s="59"/>
    </row>
    <row r="3962" spans="4:5">
      <c r="D3962" s="59"/>
      <c r="E3962" s="59"/>
    </row>
    <row r="3963" spans="4:5">
      <c r="D3963" s="59"/>
      <c r="E3963" s="59"/>
    </row>
    <row r="3964" spans="4:5">
      <c r="D3964" s="59"/>
      <c r="E3964" s="59"/>
    </row>
    <row r="3965" spans="4:5">
      <c r="D3965" s="59"/>
      <c r="E3965" s="59"/>
    </row>
    <row r="3966" spans="4:5">
      <c r="D3966" s="59"/>
      <c r="E3966" s="59"/>
    </row>
    <row r="3967" spans="4:5">
      <c r="D3967" s="59"/>
      <c r="E3967" s="59"/>
    </row>
    <row r="3968" spans="4:5">
      <c r="D3968" s="59"/>
      <c r="E3968" s="59"/>
    </row>
    <row r="3969" spans="4:5">
      <c r="D3969" s="59"/>
      <c r="E3969" s="59"/>
    </row>
    <row r="3970" spans="4:5">
      <c r="D3970" s="59"/>
      <c r="E3970" s="59"/>
    </row>
    <row r="3971" spans="4:5">
      <c r="D3971" s="59"/>
      <c r="E3971" s="59"/>
    </row>
    <row r="3972" spans="4:5">
      <c r="D3972" s="59"/>
      <c r="E3972" s="59"/>
    </row>
    <row r="3973" spans="4:5">
      <c r="D3973" s="59"/>
      <c r="E3973" s="59"/>
    </row>
    <row r="3974" spans="4:5">
      <c r="D3974" s="59"/>
      <c r="E3974" s="59"/>
    </row>
    <row r="3975" spans="4:5">
      <c r="D3975" s="59"/>
      <c r="E3975" s="59"/>
    </row>
    <row r="3976" spans="4:5">
      <c r="D3976" s="59"/>
      <c r="E3976" s="59"/>
    </row>
    <row r="3977" spans="4:5">
      <c r="D3977" s="59"/>
      <c r="E3977" s="59"/>
    </row>
    <row r="3978" spans="4:5">
      <c r="D3978" s="59"/>
      <c r="E3978" s="59"/>
    </row>
    <row r="3979" spans="4:5">
      <c r="D3979" s="59"/>
      <c r="E3979" s="59"/>
    </row>
    <row r="3980" spans="4:5">
      <c r="D3980" s="59"/>
      <c r="E3980" s="59"/>
    </row>
    <row r="3981" spans="4:5">
      <c r="D3981" s="59"/>
      <c r="E3981" s="59"/>
    </row>
    <row r="3982" spans="4:5">
      <c r="D3982" s="59"/>
      <c r="E3982" s="59"/>
    </row>
    <row r="3983" spans="4:5">
      <c r="D3983" s="59"/>
      <c r="E3983" s="59"/>
    </row>
    <row r="3984" spans="4:5">
      <c r="D3984" s="59"/>
      <c r="E3984" s="59"/>
    </row>
    <row r="3985" spans="4:5">
      <c r="D3985" s="59"/>
      <c r="E3985" s="59"/>
    </row>
    <row r="3986" spans="4:5">
      <c r="D3986" s="59"/>
      <c r="E3986" s="59"/>
    </row>
    <row r="3987" spans="4:5">
      <c r="D3987" s="59"/>
      <c r="E3987" s="59"/>
    </row>
    <row r="3988" spans="4:5">
      <c r="D3988" s="59"/>
      <c r="E3988" s="59"/>
    </row>
    <row r="3989" spans="4:5">
      <c r="D3989" s="59"/>
      <c r="E3989" s="59"/>
    </row>
    <row r="3990" spans="4:5">
      <c r="D3990" s="59"/>
      <c r="E3990" s="59"/>
    </row>
    <row r="3991" spans="4:5">
      <c r="D3991" s="59"/>
      <c r="E3991" s="59"/>
    </row>
    <row r="3992" spans="4:5">
      <c r="D3992" s="59"/>
      <c r="E3992" s="59"/>
    </row>
    <row r="3993" spans="4:5">
      <c r="D3993" s="59"/>
      <c r="E3993" s="59"/>
    </row>
    <row r="3994" spans="4:5">
      <c r="D3994" s="59"/>
      <c r="E3994" s="59"/>
    </row>
    <row r="3995" spans="4:5">
      <c r="D3995" s="59"/>
      <c r="E3995" s="59"/>
    </row>
    <row r="3996" spans="4:5">
      <c r="D3996" s="59"/>
      <c r="E3996" s="59"/>
    </row>
    <row r="3997" spans="4:5">
      <c r="D3997" s="59"/>
      <c r="E3997" s="59"/>
    </row>
    <row r="3998" spans="4:5">
      <c r="D3998" s="59"/>
      <c r="E3998" s="59"/>
    </row>
    <row r="3999" spans="4:5">
      <c r="D3999" s="59"/>
      <c r="E3999" s="59"/>
    </row>
    <row r="4000" spans="4:5">
      <c r="D4000" s="59"/>
      <c r="E4000" s="59"/>
    </row>
    <row r="4001" spans="4:5">
      <c r="D4001" s="59"/>
      <c r="E4001" s="59"/>
    </row>
    <row r="4002" spans="4:5">
      <c r="D4002" s="59"/>
      <c r="E4002" s="59"/>
    </row>
    <row r="4003" spans="4:5">
      <c r="D4003" s="59"/>
      <c r="E4003" s="59"/>
    </row>
    <row r="4004" spans="4:5">
      <c r="D4004" s="59"/>
      <c r="E4004" s="59"/>
    </row>
    <row r="4005" spans="4:5">
      <c r="D4005" s="59"/>
      <c r="E4005" s="59"/>
    </row>
    <row r="4006" spans="4:5">
      <c r="D4006" s="59"/>
      <c r="E4006" s="59"/>
    </row>
    <row r="4007" spans="4:5">
      <c r="D4007" s="59"/>
      <c r="E4007" s="59"/>
    </row>
    <row r="4008" spans="4:5">
      <c r="D4008" s="59"/>
      <c r="E4008" s="59"/>
    </row>
    <row r="4009" spans="4:5">
      <c r="D4009" s="59"/>
      <c r="E4009" s="59"/>
    </row>
    <row r="4010" spans="4:5">
      <c r="D4010" s="59"/>
      <c r="E4010" s="59"/>
    </row>
    <row r="4011" spans="4:5">
      <c r="D4011" s="59"/>
      <c r="E4011" s="59"/>
    </row>
    <row r="4012" spans="4:5">
      <c r="D4012" s="59"/>
      <c r="E4012" s="59"/>
    </row>
    <row r="4013" spans="4:5">
      <c r="D4013" s="59"/>
      <c r="E4013" s="59"/>
    </row>
    <row r="4014" spans="4:5">
      <c r="D4014" s="59"/>
      <c r="E4014" s="59"/>
    </row>
    <row r="4015" spans="4:5">
      <c r="D4015" s="59"/>
      <c r="E4015" s="59"/>
    </row>
    <row r="4016" spans="4:5">
      <c r="D4016" s="59"/>
      <c r="E4016" s="59"/>
    </row>
    <row r="4017" spans="4:5">
      <c r="D4017" s="59"/>
      <c r="E4017" s="59"/>
    </row>
    <row r="4018" spans="4:5">
      <c r="D4018" s="59"/>
      <c r="E4018" s="59"/>
    </row>
    <row r="4019" spans="4:5">
      <c r="D4019" s="59"/>
      <c r="E4019" s="59"/>
    </row>
    <row r="4020" spans="4:5">
      <c r="D4020" s="59"/>
      <c r="E4020" s="59"/>
    </row>
    <row r="4021" spans="4:5">
      <c r="D4021" s="59"/>
      <c r="E4021" s="59"/>
    </row>
    <row r="4022" spans="4:5">
      <c r="D4022" s="59"/>
      <c r="E4022" s="59"/>
    </row>
    <row r="4023" spans="4:5">
      <c r="D4023" s="59"/>
      <c r="E4023" s="59"/>
    </row>
    <row r="4024" spans="4:5">
      <c r="D4024" s="59"/>
      <c r="E4024" s="59"/>
    </row>
    <row r="4025" spans="4:5">
      <c r="D4025" s="59"/>
      <c r="E4025" s="59"/>
    </row>
    <row r="4026" spans="4:5">
      <c r="D4026" s="59"/>
      <c r="E4026" s="59"/>
    </row>
    <row r="4027" spans="4:5">
      <c r="D4027" s="59"/>
      <c r="E4027" s="59"/>
    </row>
    <row r="4028" spans="4:5">
      <c r="D4028" s="59"/>
      <c r="E4028" s="59"/>
    </row>
    <row r="4029" spans="4:5">
      <c r="D4029" s="59"/>
      <c r="E4029" s="59"/>
    </row>
    <row r="4030" spans="4:5">
      <c r="D4030" s="59"/>
      <c r="E4030" s="59"/>
    </row>
    <row r="4031" spans="4:5">
      <c r="D4031" s="59"/>
      <c r="E4031" s="59"/>
    </row>
    <row r="4032" spans="4:5">
      <c r="D4032" s="59"/>
      <c r="E4032" s="59"/>
    </row>
    <row r="4033" spans="4:5">
      <c r="D4033" s="59"/>
      <c r="E4033" s="59"/>
    </row>
    <row r="4034" spans="4:5">
      <c r="D4034" s="59"/>
      <c r="E4034" s="59"/>
    </row>
    <row r="4035" spans="4:5">
      <c r="D4035" s="59"/>
      <c r="E4035" s="59"/>
    </row>
    <row r="4036" spans="4:5">
      <c r="D4036" s="59"/>
      <c r="E4036" s="59"/>
    </row>
    <row r="4037" spans="4:5">
      <c r="D4037" s="59"/>
      <c r="E4037" s="59"/>
    </row>
    <row r="4038" spans="4:5">
      <c r="D4038" s="59"/>
      <c r="E4038" s="59"/>
    </row>
    <row r="4039" spans="4:5">
      <c r="D4039" s="59"/>
      <c r="E4039" s="59"/>
    </row>
    <row r="4040" spans="4:5">
      <c r="D4040" s="59"/>
      <c r="E4040" s="59"/>
    </row>
    <row r="4041" spans="4:5">
      <c r="D4041" s="59"/>
      <c r="E4041" s="59"/>
    </row>
    <row r="4042" spans="4:5">
      <c r="D4042" s="59"/>
      <c r="E4042" s="59"/>
    </row>
    <row r="4043" spans="4:5">
      <c r="D4043" s="59"/>
      <c r="E4043" s="59"/>
    </row>
    <row r="4044" spans="4:5">
      <c r="D4044" s="59"/>
      <c r="E4044" s="59"/>
    </row>
    <row r="4045" spans="4:5">
      <c r="D4045" s="59"/>
      <c r="E4045" s="59"/>
    </row>
    <row r="4046" spans="4:5">
      <c r="D4046" s="59"/>
      <c r="E4046" s="59"/>
    </row>
    <row r="4047" spans="4:5">
      <c r="D4047" s="59"/>
      <c r="E4047" s="59"/>
    </row>
    <row r="4048" spans="4:5">
      <c r="D4048" s="59"/>
      <c r="E4048" s="59"/>
    </row>
    <row r="4049" spans="4:5">
      <c r="D4049" s="59"/>
      <c r="E4049" s="59"/>
    </row>
    <row r="4050" spans="4:5">
      <c r="D4050" s="59"/>
      <c r="E4050" s="59"/>
    </row>
    <row r="4051" spans="4:5">
      <c r="D4051" s="59"/>
      <c r="E4051" s="59"/>
    </row>
    <row r="4052" spans="4:5">
      <c r="D4052" s="59"/>
      <c r="E4052" s="59"/>
    </row>
    <row r="4053" spans="4:5">
      <c r="D4053" s="59"/>
      <c r="E4053" s="59"/>
    </row>
    <row r="4054" spans="4:5">
      <c r="D4054" s="59"/>
      <c r="E4054" s="59"/>
    </row>
    <row r="4055" spans="4:5">
      <c r="D4055" s="59"/>
      <c r="E4055" s="59"/>
    </row>
    <row r="4056" spans="4:5">
      <c r="D4056" s="59"/>
      <c r="E4056" s="59"/>
    </row>
    <row r="4057" spans="4:5">
      <c r="D4057" s="59"/>
      <c r="E4057" s="59"/>
    </row>
    <row r="4058" spans="4:5">
      <c r="D4058" s="59"/>
      <c r="E4058" s="59"/>
    </row>
    <row r="4059" spans="4:5">
      <c r="D4059" s="59"/>
      <c r="E4059" s="59"/>
    </row>
    <row r="4060" spans="4:5">
      <c r="D4060" s="59"/>
      <c r="E4060" s="59"/>
    </row>
    <row r="4061" spans="4:5">
      <c r="D4061" s="59"/>
      <c r="E4061" s="59"/>
    </row>
    <row r="4062" spans="4:5">
      <c r="D4062" s="59"/>
      <c r="E4062" s="59"/>
    </row>
    <row r="4063" spans="4:5">
      <c r="D4063" s="59"/>
      <c r="E4063" s="59"/>
    </row>
    <row r="4064" spans="4:5">
      <c r="D4064" s="59"/>
      <c r="E4064" s="59"/>
    </row>
    <row r="4065" spans="4:5">
      <c r="D4065" s="59"/>
      <c r="E4065" s="59"/>
    </row>
    <row r="4066" spans="4:5">
      <c r="D4066" s="59"/>
      <c r="E4066" s="59"/>
    </row>
    <row r="4067" spans="4:5">
      <c r="D4067" s="59"/>
      <c r="E4067" s="59"/>
    </row>
    <row r="4068" spans="4:5">
      <c r="D4068" s="59"/>
      <c r="E4068" s="59"/>
    </row>
    <row r="4069" spans="4:5">
      <c r="D4069" s="59"/>
      <c r="E4069" s="59"/>
    </row>
    <row r="4070" spans="4:5">
      <c r="D4070" s="59"/>
      <c r="E4070" s="59"/>
    </row>
    <row r="4071" spans="4:5">
      <c r="D4071" s="59"/>
      <c r="E4071" s="59"/>
    </row>
    <row r="4072" spans="4:5">
      <c r="D4072" s="59"/>
      <c r="E4072" s="59"/>
    </row>
    <row r="4073" spans="4:5">
      <c r="D4073" s="59"/>
      <c r="E4073" s="59"/>
    </row>
    <row r="4074" spans="4:5">
      <c r="D4074" s="59"/>
      <c r="E4074" s="59"/>
    </row>
    <row r="4075" spans="4:5">
      <c r="D4075" s="59"/>
      <c r="E4075" s="59"/>
    </row>
    <row r="4076" spans="4:5">
      <c r="D4076" s="59"/>
      <c r="E4076" s="59"/>
    </row>
    <row r="4077" spans="4:5">
      <c r="D4077" s="59"/>
      <c r="E4077" s="59"/>
    </row>
    <row r="4078" spans="4:5">
      <c r="D4078" s="59"/>
      <c r="E4078" s="59"/>
    </row>
    <row r="4079" spans="4:5">
      <c r="D4079" s="59"/>
      <c r="E4079" s="59"/>
    </row>
    <row r="4080" spans="4:5">
      <c r="D4080" s="59"/>
      <c r="E4080" s="59"/>
    </row>
    <row r="4081" spans="4:5">
      <c r="D4081" s="59"/>
      <c r="E4081" s="59"/>
    </row>
    <row r="4082" spans="4:5">
      <c r="D4082" s="59"/>
      <c r="E4082" s="59"/>
    </row>
    <row r="4083" spans="4:5">
      <c r="D4083" s="59"/>
      <c r="E4083" s="59"/>
    </row>
    <row r="4084" spans="4:5">
      <c r="D4084" s="59"/>
      <c r="E4084" s="59"/>
    </row>
    <row r="4085" spans="4:5">
      <c r="D4085" s="59"/>
      <c r="E4085" s="59"/>
    </row>
    <row r="4086" spans="4:5">
      <c r="D4086" s="59"/>
      <c r="E4086" s="59"/>
    </row>
    <row r="4087" spans="4:5">
      <c r="D4087" s="59"/>
      <c r="E4087" s="59"/>
    </row>
    <row r="4088" spans="4:5">
      <c r="D4088" s="59"/>
      <c r="E4088" s="59"/>
    </row>
    <row r="4089" spans="4:5">
      <c r="D4089" s="59"/>
      <c r="E4089" s="59"/>
    </row>
    <row r="4090" spans="4:5">
      <c r="D4090" s="59"/>
      <c r="E4090" s="59"/>
    </row>
    <row r="4091" spans="4:5">
      <c r="D4091" s="59"/>
      <c r="E4091" s="59"/>
    </row>
    <row r="4092" spans="4:5">
      <c r="D4092" s="59"/>
      <c r="E4092" s="59"/>
    </row>
    <row r="4093" spans="4:5">
      <c r="D4093" s="59"/>
      <c r="E4093" s="59"/>
    </row>
    <row r="4094" spans="4:5">
      <c r="D4094" s="59"/>
      <c r="E4094" s="59"/>
    </row>
    <row r="4095" spans="4:5">
      <c r="D4095" s="59"/>
      <c r="E4095" s="59"/>
    </row>
    <row r="4096" spans="4:5">
      <c r="D4096" s="59"/>
      <c r="E4096" s="59"/>
    </row>
    <row r="4097" spans="4:5">
      <c r="D4097" s="59"/>
      <c r="E4097" s="59"/>
    </row>
    <row r="4098" spans="4:5">
      <c r="D4098" s="59"/>
      <c r="E4098" s="59"/>
    </row>
    <row r="4099" spans="4:5">
      <c r="D4099" s="59"/>
      <c r="E4099" s="59"/>
    </row>
    <row r="4100" spans="4:5">
      <c r="D4100" s="59"/>
      <c r="E4100" s="59"/>
    </row>
    <row r="4101" spans="4:5">
      <c r="D4101" s="59"/>
      <c r="E4101" s="59"/>
    </row>
    <row r="4102" spans="4:5">
      <c r="D4102" s="59"/>
      <c r="E4102" s="59"/>
    </row>
    <row r="4103" spans="4:5">
      <c r="D4103" s="59"/>
      <c r="E4103" s="59"/>
    </row>
    <row r="4104" spans="4:5">
      <c r="D4104" s="59"/>
      <c r="E4104" s="59"/>
    </row>
    <row r="4105" spans="4:5">
      <c r="D4105" s="59"/>
      <c r="E4105" s="59"/>
    </row>
    <row r="4106" spans="4:5">
      <c r="D4106" s="59"/>
      <c r="E4106" s="59"/>
    </row>
    <row r="4107" spans="4:5">
      <c r="D4107" s="59"/>
      <c r="E4107" s="59"/>
    </row>
    <row r="4108" spans="4:5">
      <c r="D4108" s="59"/>
      <c r="E4108" s="59"/>
    </row>
    <row r="4109" spans="4:5">
      <c r="D4109" s="59"/>
      <c r="E4109" s="59"/>
    </row>
    <row r="4110" spans="4:5">
      <c r="D4110" s="59"/>
      <c r="E4110" s="59"/>
    </row>
    <row r="4111" spans="4:5">
      <c r="D4111" s="59"/>
      <c r="E4111" s="59"/>
    </row>
    <row r="4112" spans="4:5">
      <c r="D4112" s="59"/>
      <c r="E4112" s="59"/>
    </row>
    <row r="4113" spans="4:5">
      <c r="D4113" s="59"/>
      <c r="E4113" s="59"/>
    </row>
    <row r="4114" spans="4:5">
      <c r="D4114" s="59"/>
      <c r="E4114" s="59"/>
    </row>
    <row r="4115" spans="4:5">
      <c r="D4115" s="59"/>
      <c r="E4115" s="59"/>
    </row>
    <row r="4116" spans="4:5">
      <c r="D4116" s="59"/>
      <c r="E4116" s="59"/>
    </row>
    <row r="4117" spans="4:5">
      <c r="D4117" s="59"/>
      <c r="E4117" s="59"/>
    </row>
    <row r="4118" spans="4:5">
      <c r="D4118" s="59"/>
      <c r="E4118" s="59"/>
    </row>
    <row r="4119" spans="4:5">
      <c r="D4119" s="59"/>
      <c r="E4119" s="59"/>
    </row>
    <row r="4120" spans="4:5">
      <c r="D4120" s="59"/>
      <c r="E4120" s="59"/>
    </row>
    <row r="4121" spans="4:5">
      <c r="D4121" s="59"/>
      <c r="E4121" s="59"/>
    </row>
    <row r="4122" spans="4:5">
      <c r="D4122" s="59"/>
      <c r="E4122" s="59"/>
    </row>
    <row r="4123" spans="4:5">
      <c r="D4123" s="59"/>
      <c r="E4123" s="59"/>
    </row>
    <row r="4124" spans="4:5">
      <c r="D4124" s="59"/>
      <c r="E4124" s="59"/>
    </row>
    <row r="4125" spans="4:5">
      <c r="D4125" s="59"/>
      <c r="E4125" s="59"/>
    </row>
    <row r="4126" spans="4:5">
      <c r="D4126" s="59"/>
      <c r="E4126" s="59"/>
    </row>
    <row r="4127" spans="4:5">
      <c r="D4127" s="59"/>
      <c r="E4127" s="59"/>
    </row>
    <row r="4128" spans="4:5">
      <c r="D4128" s="59"/>
      <c r="E4128" s="59"/>
    </row>
    <row r="4129" spans="4:5">
      <c r="D4129" s="59"/>
      <c r="E4129" s="59"/>
    </row>
    <row r="4130" spans="4:5">
      <c r="D4130" s="59"/>
      <c r="E4130" s="59"/>
    </row>
    <row r="4131" spans="4:5">
      <c r="D4131" s="59"/>
      <c r="E4131" s="59"/>
    </row>
    <row r="4132" spans="4:5">
      <c r="D4132" s="59"/>
      <c r="E4132" s="59"/>
    </row>
    <row r="4133" spans="4:5">
      <c r="D4133" s="59"/>
      <c r="E4133" s="59"/>
    </row>
    <row r="4134" spans="4:5">
      <c r="D4134" s="59"/>
      <c r="E4134" s="59"/>
    </row>
    <row r="4135" spans="4:5">
      <c r="D4135" s="59"/>
      <c r="E4135" s="59"/>
    </row>
    <row r="4136" spans="4:5">
      <c r="D4136" s="59"/>
      <c r="E4136" s="59"/>
    </row>
    <row r="4137" spans="4:5">
      <c r="D4137" s="59"/>
      <c r="E4137" s="59"/>
    </row>
    <row r="4138" spans="4:5">
      <c r="D4138" s="59"/>
      <c r="E4138" s="59"/>
    </row>
    <row r="4139" spans="4:5">
      <c r="D4139" s="59"/>
      <c r="E4139" s="59"/>
    </row>
    <row r="4140" spans="4:5">
      <c r="D4140" s="59"/>
      <c r="E4140" s="59"/>
    </row>
    <row r="4141" spans="4:5">
      <c r="D4141" s="59"/>
      <c r="E4141" s="59"/>
    </row>
    <row r="4142" spans="4:5">
      <c r="D4142" s="59"/>
      <c r="E4142" s="59"/>
    </row>
    <row r="4143" spans="4:5">
      <c r="D4143" s="59"/>
      <c r="E4143" s="59"/>
    </row>
    <row r="4144" spans="4:5">
      <c r="D4144" s="59"/>
      <c r="E4144" s="59"/>
    </row>
    <row r="4145" spans="4:5">
      <c r="D4145" s="59"/>
      <c r="E4145" s="59"/>
    </row>
    <row r="4146" spans="4:5">
      <c r="D4146" s="59"/>
      <c r="E4146" s="59"/>
    </row>
    <row r="4147" spans="4:5">
      <c r="D4147" s="59"/>
      <c r="E4147" s="59"/>
    </row>
    <row r="4148" spans="4:5">
      <c r="D4148" s="59"/>
      <c r="E4148" s="59"/>
    </row>
    <row r="4149" spans="4:5">
      <c r="D4149" s="59"/>
      <c r="E4149" s="59"/>
    </row>
    <row r="4150" spans="4:5">
      <c r="D4150" s="59"/>
      <c r="E4150" s="59"/>
    </row>
    <row r="4151" spans="4:5">
      <c r="D4151" s="59"/>
      <c r="E4151" s="59"/>
    </row>
    <row r="4152" spans="4:5">
      <c r="D4152" s="59"/>
      <c r="E4152" s="59"/>
    </row>
    <row r="4153" spans="4:5">
      <c r="D4153" s="59"/>
      <c r="E4153" s="59"/>
    </row>
    <row r="4154" spans="4:5">
      <c r="D4154" s="59"/>
      <c r="E4154" s="59"/>
    </row>
    <row r="4155" spans="4:5">
      <c r="D4155" s="59"/>
      <c r="E4155" s="59"/>
    </row>
    <row r="4156" spans="4:5">
      <c r="D4156" s="59"/>
      <c r="E4156" s="59"/>
    </row>
    <row r="4157" spans="4:5">
      <c r="D4157" s="59"/>
      <c r="E4157" s="59"/>
    </row>
    <row r="4158" spans="4:5">
      <c r="D4158" s="59"/>
      <c r="E4158" s="59"/>
    </row>
    <row r="4159" spans="4:5">
      <c r="D4159" s="59"/>
      <c r="E4159" s="59"/>
    </row>
    <row r="4160" spans="4:5">
      <c r="D4160" s="59"/>
      <c r="E4160" s="59"/>
    </row>
    <row r="4161" spans="4:5">
      <c r="D4161" s="59"/>
      <c r="E4161" s="59"/>
    </row>
    <row r="4162" spans="4:5">
      <c r="D4162" s="59"/>
      <c r="E4162" s="59"/>
    </row>
    <row r="4163" spans="4:5">
      <c r="D4163" s="59"/>
      <c r="E4163" s="59"/>
    </row>
    <row r="4164" spans="4:5">
      <c r="D4164" s="59"/>
      <c r="E4164" s="59"/>
    </row>
    <row r="4165" spans="4:5">
      <c r="D4165" s="59"/>
      <c r="E4165" s="59"/>
    </row>
    <row r="4166" spans="4:5">
      <c r="D4166" s="59"/>
      <c r="E4166" s="59"/>
    </row>
    <row r="4167" spans="4:5">
      <c r="D4167" s="59"/>
      <c r="E4167" s="59"/>
    </row>
    <row r="4168" spans="4:5">
      <c r="D4168" s="59"/>
      <c r="E4168" s="59"/>
    </row>
    <row r="4169" spans="4:5">
      <c r="D4169" s="59"/>
      <c r="E4169" s="59"/>
    </row>
    <row r="4170" spans="4:5">
      <c r="D4170" s="59"/>
      <c r="E4170" s="59"/>
    </row>
    <row r="4171" spans="4:5">
      <c r="D4171" s="59"/>
      <c r="E4171" s="59"/>
    </row>
    <row r="4172" spans="4:5">
      <c r="D4172" s="59"/>
      <c r="E4172" s="59"/>
    </row>
    <row r="4173" spans="4:5">
      <c r="D4173" s="59"/>
      <c r="E4173" s="59"/>
    </row>
    <row r="4174" spans="4:5">
      <c r="D4174" s="59"/>
      <c r="E4174" s="59"/>
    </row>
    <row r="4175" spans="4:5">
      <c r="D4175" s="59"/>
      <c r="E4175" s="59"/>
    </row>
    <row r="4176" spans="4:5">
      <c r="D4176" s="59"/>
      <c r="E4176" s="59"/>
    </row>
    <row r="4177" spans="4:5">
      <c r="D4177" s="59"/>
      <c r="E4177" s="59"/>
    </row>
    <row r="4178" spans="4:5">
      <c r="D4178" s="59"/>
      <c r="E4178" s="59"/>
    </row>
    <row r="4179" spans="4:5">
      <c r="D4179" s="59"/>
      <c r="E4179" s="59"/>
    </row>
    <row r="4180" spans="4:5">
      <c r="D4180" s="59"/>
      <c r="E4180" s="59"/>
    </row>
    <row r="4181" spans="4:5">
      <c r="D4181" s="59"/>
      <c r="E4181" s="59"/>
    </row>
    <row r="4182" spans="4:5">
      <c r="D4182" s="59"/>
      <c r="E4182" s="59"/>
    </row>
    <row r="4183" spans="4:5">
      <c r="D4183" s="59"/>
      <c r="E4183" s="59"/>
    </row>
    <row r="4184" spans="4:5">
      <c r="D4184" s="59"/>
      <c r="E4184" s="59"/>
    </row>
    <row r="4185" spans="4:5">
      <c r="D4185" s="59"/>
      <c r="E4185" s="59"/>
    </row>
    <row r="4186" spans="4:5">
      <c r="D4186" s="59"/>
      <c r="E4186" s="59"/>
    </row>
    <row r="4187" spans="4:5">
      <c r="D4187" s="59"/>
      <c r="E4187" s="59"/>
    </row>
    <row r="4188" spans="4:5">
      <c r="D4188" s="59"/>
      <c r="E4188" s="59"/>
    </row>
    <row r="4189" spans="4:5">
      <c r="D4189" s="59"/>
      <c r="E4189" s="59"/>
    </row>
    <row r="4190" spans="4:5">
      <c r="D4190" s="59"/>
      <c r="E4190" s="59"/>
    </row>
    <row r="4191" spans="4:5">
      <c r="D4191" s="59"/>
      <c r="E4191" s="59"/>
    </row>
    <row r="4192" spans="4:5">
      <c r="D4192" s="59"/>
      <c r="E4192" s="59"/>
    </row>
    <row r="4193" spans="4:5">
      <c r="D4193" s="59"/>
      <c r="E4193" s="59"/>
    </row>
    <row r="4194" spans="4:5">
      <c r="D4194" s="59"/>
      <c r="E4194" s="59"/>
    </row>
    <row r="4195" spans="4:5">
      <c r="D4195" s="59"/>
      <c r="E4195" s="59"/>
    </row>
    <row r="4196" spans="4:5">
      <c r="D4196" s="59"/>
      <c r="E4196" s="59"/>
    </row>
    <row r="4197" spans="4:5">
      <c r="D4197" s="59"/>
      <c r="E4197" s="59"/>
    </row>
    <row r="4198" spans="4:5">
      <c r="D4198" s="59"/>
      <c r="E4198" s="59"/>
    </row>
    <row r="4199" spans="4:5">
      <c r="D4199" s="59"/>
      <c r="E4199" s="59"/>
    </row>
    <row r="4200" spans="4:5">
      <c r="D4200" s="59"/>
      <c r="E4200" s="59"/>
    </row>
    <row r="4201" spans="4:5">
      <c r="D4201" s="59"/>
      <c r="E4201" s="59"/>
    </row>
    <row r="4202" spans="4:5">
      <c r="D4202" s="59"/>
      <c r="E4202" s="59"/>
    </row>
    <row r="4203" spans="4:5">
      <c r="D4203" s="59"/>
      <c r="E4203" s="59"/>
    </row>
    <row r="4204" spans="4:5">
      <c r="D4204" s="59"/>
      <c r="E4204" s="59"/>
    </row>
    <row r="4205" spans="4:5">
      <c r="D4205" s="59"/>
      <c r="E4205" s="59"/>
    </row>
    <row r="4206" spans="4:5">
      <c r="D4206" s="59"/>
      <c r="E4206" s="59"/>
    </row>
    <row r="4207" spans="4:5">
      <c r="D4207" s="59"/>
      <c r="E4207" s="59"/>
    </row>
    <row r="4208" spans="4:5">
      <c r="D4208" s="59"/>
      <c r="E4208" s="59"/>
    </row>
    <row r="4209" spans="4:5">
      <c r="D4209" s="59"/>
      <c r="E4209" s="59"/>
    </row>
    <row r="4210" spans="4:5">
      <c r="D4210" s="59"/>
      <c r="E4210" s="59"/>
    </row>
    <row r="4211" spans="4:5">
      <c r="D4211" s="59"/>
      <c r="E4211" s="59"/>
    </row>
    <row r="4212" spans="4:5">
      <c r="D4212" s="59"/>
      <c r="E4212" s="59"/>
    </row>
    <row r="4213" spans="4:5">
      <c r="D4213" s="59"/>
      <c r="E4213" s="59"/>
    </row>
    <row r="4214" spans="4:5">
      <c r="D4214" s="59"/>
      <c r="E4214" s="59"/>
    </row>
    <row r="4215" spans="4:5">
      <c r="D4215" s="59"/>
      <c r="E4215" s="59"/>
    </row>
    <row r="4216" spans="4:5">
      <c r="D4216" s="59"/>
      <c r="E4216" s="59"/>
    </row>
    <row r="4217" spans="4:5">
      <c r="D4217" s="59"/>
      <c r="E4217" s="59"/>
    </row>
    <row r="4218" spans="4:5">
      <c r="D4218" s="59"/>
      <c r="E4218" s="59"/>
    </row>
    <row r="4219" spans="4:5">
      <c r="D4219" s="59"/>
      <c r="E4219" s="59"/>
    </row>
    <row r="4220" spans="4:5">
      <c r="D4220" s="59"/>
      <c r="E4220" s="59"/>
    </row>
    <row r="4221" spans="4:5">
      <c r="D4221" s="59"/>
      <c r="E4221" s="59"/>
    </row>
    <row r="4222" spans="4:5">
      <c r="D4222" s="59"/>
      <c r="E4222" s="59"/>
    </row>
    <row r="4223" spans="4:5">
      <c r="D4223" s="59"/>
      <c r="E4223" s="59"/>
    </row>
    <row r="4224" spans="4:5">
      <c r="D4224" s="59"/>
      <c r="E4224" s="59"/>
    </row>
    <row r="4225" spans="4:5">
      <c r="D4225" s="59"/>
      <c r="E4225" s="59"/>
    </row>
    <row r="4226" spans="4:5">
      <c r="D4226" s="59"/>
      <c r="E4226" s="59"/>
    </row>
    <row r="4227" spans="4:5">
      <c r="D4227" s="59"/>
      <c r="E4227" s="59"/>
    </row>
    <row r="4228" spans="4:5">
      <c r="D4228" s="59"/>
      <c r="E4228" s="59"/>
    </row>
    <row r="4229" spans="4:5">
      <c r="D4229" s="59"/>
      <c r="E4229" s="59"/>
    </row>
    <row r="4230" spans="4:5">
      <c r="D4230" s="59"/>
      <c r="E4230" s="59"/>
    </row>
    <row r="4231" spans="4:5">
      <c r="D4231" s="59"/>
      <c r="E4231" s="59"/>
    </row>
    <row r="4232" spans="4:5">
      <c r="D4232" s="59"/>
      <c r="E4232" s="59"/>
    </row>
    <row r="4233" spans="4:5">
      <c r="D4233" s="59"/>
      <c r="E4233" s="59"/>
    </row>
    <row r="4234" spans="4:5">
      <c r="D4234" s="59"/>
      <c r="E4234" s="59"/>
    </row>
    <row r="4235" spans="4:5">
      <c r="D4235" s="59"/>
      <c r="E4235" s="59"/>
    </row>
    <row r="4236" spans="4:5">
      <c r="D4236" s="59"/>
      <c r="E4236" s="59"/>
    </row>
    <row r="4237" spans="4:5">
      <c r="D4237" s="59"/>
      <c r="E4237" s="59"/>
    </row>
    <row r="4238" spans="4:5">
      <c r="D4238" s="59"/>
      <c r="E4238" s="59"/>
    </row>
    <row r="4239" spans="4:5">
      <c r="D4239" s="59"/>
      <c r="E4239" s="59"/>
    </row>
    <row r="4240" spans="4:5">
      <c r="D4240" s="59"/>
      <c r="E4240" s="59"/>
    </row>
    <row r="4241" spans="4:5">
      <c r="D4241" s="59"/>
      <c r="E4241" s="59"/>
    </row>
    <row r="4242" spans="4:5">
      <c r="D4242" s="59"/>
      <c r="E4242" s="59"/>
    </row>
    <row r="4243" spans="4:5">
      <c r="D4243" s="59"/>
      <c r="E4243" s="59"/>
    </row>
    <row r="4244" spans="4:5">
      <c r="D4244" s="59"/>
      <c r="E4244" s="59"/>
    </row>
    <row r="4245" spans="4:5">
      <c r="D4245" s="59"/>
      <c r="E4245" s="59"/>
    </row>
    <row r="4246" spans="4:5">
      <c r="D4246" s="59"/>
      <c r="E4246" s="59"/>
    </row>
    <row r="4247" spans="4:5">
      <c r="D4247" s="59"/>
      <c r="E4247" s="59"/>
    </row>
    <row r="4248" spans="4:5">
      <c r="D4248" s="59"/>
      <c r="E4248" s="59"/>
    </row>
    <row r="4249" spans="4:5">
      <c r="D4249" s="59"/>
      <c r="E4249" s="59"/>
    </row>
    <row r="4250" spans="4:5">
      <c r="D4250" s="59"/>
      <c r="E4250" s="59"/>
    </row>
    <row r="4251" spans="4:5">
      <c r="D4251" s="59"/>
      <c r="E4251" s="59"/>
    </row>
    <row r="4252" spans="4:5">
      <c r="D4252" s="59"/>
      <c r="E4252" s="59"/>
    </row>
    <row r="4253" spans="4:5">
      <c r="D4253" s="59"/>
      <c r="E4253" s="59"/>
    </row>
    <row r="4254" spans="4:5">
      <c r="D4254" s="59"/>
      <c r="E4254" s="59"/>
    </row>
    <row r="4255" spans="4:5">
      <c r="D4255" s="59"/>
      <c r="E4255" s="59"/>
    </row>
    <row r="4256" spans="4:5">
      <c r="D4256" s="59"/>
      <c r="E4256" s="59"/>
    </row>
    <row r="4257" spans="4:5">
      <c r="D4257" s="59"/>
      <c r="E4257" s="59"/>
    </row>
    <row r="4258" spans="4:5">
      <c r="D4258" s="59"/>
      <c r="E4258" s="59"/>
    </row>
    <row r="4259" spans="4:5">
      <c r="D4259" s="59"/>
      <c r="E4259" s="59"/>
    </row>
    <row r="4260" spans="4:5">
      <c r="D4260" s="59"/>
      <c r="E4260" s="59"/>
    </row>
    <row r="4261" spans="4:5">
      <c r="D4261" s="59"/>
      <c r="E4261" s="59"/>
    </row>
    <row r="4262" spans="4:5">
      <c r="D4262" s="59"/>
      <c r="E4262" s="59"/>
    </row>
    <row r="4263" spans="4:5">
      <c r="D4263" s="59"/>
      <c r="E4263" s="59"/>
    </row>
    <row r="4264" spans="4:5">
      <c r="D4264" s="59"/>
      <c r="E4264" s="59"/>
    </row>
    <row r="4265" spans="4:5">
      <c r="D4265" s="59"/>
      <c r="E4265" s="59"/>
    </row>
    <row r="4266" spans="4:5">
      <c r="D4266" s="59"/>
      <c r="E4266" s="59"/>
    </row>
    <row r="4267" spans="4:5">
      <c r="D4267" s="59"/>
      <c r="E4267" s="59"/>
    </row>
    <row r="4268" spans="4:5">
      <c r="D4268" s="59"/>
      <c r="E4268" s="59"/>
    </row>
    <row r="4269" spans="4:5">
      <c r="D4269" s="59"/>
      <c r="E4269" s="59"/>
    </row>
    <row r="4270" spans="4:5">
      <c r="D4270" s="59"/>
      <c r="E4270" s="59"/>
    </row>
    <row r="4271" spans="4:5">
      <c r="D4271" s="59"/>
      <c r="E4271" s="59"/>
    </row>
    <row r="4272" spans="4:5">
      <c r="D4272" s="59"/>
      <c r="E4272" s="59"/>
    </row>
    <row r="4273" spans="4:5">
      <c r="D4273" s="59"/>
      <c r="E4273" s="59"/>
    </row>
    <row r="4274" spans="4:5">
      <c r="D4274" s="59"/>
      <c r="E4274" s="59"/>
    </row>
    <row r="4275" spans="4:5">
      <c r="D4275" s="59"/>
      <c r="E4275" s="59"/>
    </row>
    <row r="4276" spans="4:5">
      <c r="D4276" s="59"/>
      <c r="E4276" s="59"/>
    </row>
    <row r="4277" spans="4:5">
      <c r="D4277" s="59"/>
      <c r="E4277" s="59"/>
    </row>
    <row r="4278" spans="4:5">
      <c r="D4278" s="59"/>
      <c r="E4278" s="59"/>
    </row>
    <row r="4279" spans="4:5">
      <c r="D4279" s="59"/>
      <c r="E4279" s="59"/>
    </row>
    <row r="4280" spans="4:5">
      <c r="D4280" s="59"/>
      <c r="E4280" s="59"/>
    </row>
    <row r="4281" spans="4:5">
      <c r="D4281" s="59"/>
      <c r="E4281" s="59"/>
    </row>
    <row r="4282" spans="4:5">
      <c r="D4282" s="59"/>
      <c r="E4282" s="59"/>
    </row>
    <row r="4283" spans="4:5">
      <c r="D4283" s="59"/>
      <c r="E4283" s="59"/>
    </row>
    <row r="4284" spans="4:5">
      <c r="D4284" s="59"/>
      <c r="E4284" s="59"/>
    </row>
    <row r="4285" spans="4:5">
      <c r="D4285" s="59"/>
      <c r="E4285" s="59"/>
    </row>
    <row r="4286" spans="4:5">
      <c r="D4286" s="59"/>
      <c r="E4286" s="59"/>
    </row>
    <row r="4287" spans="4:5">
      <c r="D4287" s="59"/>
      <c r="E4287" s="59"/>
    </row>
    <row r="4288" spans="4:5">
      <c r="D4288" s="59"/>
      <c r="E4288" s="59"/>
    </row>
    <row r="4289" spans="4:5">
      <c r="D4289" s="59"/>
      <c r="E4289" s="59"/>
    </row>
    <row r="4290" spans="4:5">
      <c r="D4290" s="59"/>
      <c r="E4290" s="59"/>
    </row>
    <row r="4291" spans="4:5">
      <c r="D4291" s="59"/>
      <c r="E4291" s="59"/>
    </row>
    <row r="4292" spans="4:5">
      <c r="D4292" s="59"/>
      <c r="E4292" s="59"/>
    </row>
    <row r="4293" spans="4:5">
      <c r="D4293" s="59"/>
      <c r="E4293" s="59"/>
    </row>
    <row r="4294" spans="4:5">
      <c r="D4294" s="59"/>
      <c r="E4294" s="59"/>
    </row>
    <row r="4295" spans="4:5">
      <c r="D4295" s="59"/>
      <c r="E4295" s="59"/>
    </row>
    <row r="4296" spans="4:5">
      <c r="D4296" s="59"/>
      <c r="E4296" s="59"/>
    </row>
    <row r="4297" spans="4:5">
      <c r="D4297" s="59"/>
      <c r="E4297" s="59"/>
    </row>
    <row r="4298" spans="4:5">
      <c r="D4298" s="59"/>
      <c r="E4298" s="59"/>
    </row>
    <row r="4299" spans="4:5">
      <c r="D4299" s="59"/>
      <c r="E4299" s="59"/>
    </row>
    <row r="4300" spans="4:5">
      <c r="D4300" s="59"/>
      <c r="E4300" s="59"/>
    </row>
    <row r="4301" spans="4:5">
      <c r="D4301" s="59"/>
      <c r="E4301" s="59"/>
    </row>
    <row r="4302" spans="4:5">
      <c r="D4302" s="59"/>
      <c r="E4302" s="59"/>
    </row>
    <row r="4303" spans="4:5">
      <c r="D4303" s="59"/>
      <c r="E4303" s="59"/>
    </row>
    <row r="4304" spans="4:5">
      <c r="D4304" s="59"/>
      <c r="E4304" s="59"/>
    </row>
    <row r="4305" spans="4:5">
      <c r="D4305" s="59"/>
      <c r="E4305" s="59"/>
    </row>
    <row r="4306" spans="4:5">
      <c r="D4306" s="59"/>
      <c r="E4306" s="59"/>
    </row>
    <row r="4307" spans="4:5">
      <c r="D4307" s="59"/>
      <c r="E4307" s="59"/>
    </row>
    <row r="4308" spans="4:5">
      <c r="D4308" s="59"/>
      <c r="E4308" s="59"/>
    </row>
    <row r="4309" spans="4:5">
      <c r="D4309" s="59"/>
      <c r="E4309" s="59"/>
    </row>
    <row r="4310" spans="4:5">
      <c r="D4310" s="59"/>
      <c r="E4310" s="59"/>
    </row>
    <row r="4311" spans="4:5">
      <c r="D4311" s="59"/>
      <c r="E4311" s="59"/>
    </row>
    <row r="4312" spans="4:5">
      <c r="D4312" s="59"/>
      <c r="E4312" s="59"/>
    </row>
    <row r="4313" spans="4:5">
      <c r="D4313" s="59"/>
      <c r="E4313" s="59"/>
    </row>
    <row r="4314" spans="4:5">
      <c r="D4314" s="59"/>
      <c r="E4314" s="59"/>
    </row>
    <row r="4315" spans="4:5">
      <c r="D4315" s="59"/>
      <c r="E4315" s="59"/>
    </row>
    <row r="4316" spans="4:5">
      <c r="D4316" s="59"/>
      <c r="E4316" s="59"/>
    </row>
    <row r="4317" spans="4:5">
      <c r="D4317" s="59"/>
      <c r="E4317" s="59"/>
    </row>
    <row r="4318" spans="4:5">
      <c r="D4318" s="59"/>
      <c r="E4318" s="59"/>
    </row>
    <row r="4319" spans="4:5">
      <c r="D4319" s="59"/>
      <c r="E4319" s="59"/>
    </row>
    <row r="4320" spans="4:5">
      <c r="D4320" s="59"/>
      <c r="E4320" s="59"/>
    </row>
    <row r="4321" spans="4:5">
      <c r="D4321" s="59"/>
      <c r="E4321" s="59"/>
    </row>
    <row r="4322" spans="4:5">
      <c r="D4322" s="59"/>
      <c r="E4322" s="59"/>
    </row>
    <row r="4323" spans="4:5">
      <c r="D4323" s="59"/>
      <c r="E4323" s="59"/>
    </row>
    <row r="4324" spans="4:5">
      <c r="D4324" s="59"/>
      <c r="E4324" s="59"/>
    </row>
    <row r="4325" spans="4:5">
      <c r="D4325" s="59"/>
      <c r="E4325" s="59"/>
    </row>
    <row r="4326" spans="4:5">
      <c r="D4326" s="59"/>
      <c r="E4326" s="59"/>
    </row>
    <row r="4327" spans="4:5">
      <c r="D4327" s="59"/>
      <c r="E4327" s="59"/>
    </row>
    <row r="4328" spans="4:5">
      <c r="D4328" s="59"/>
      <c r="E4328" s="59"/>
    </row>
    <row r="4329" spans="4:5">
      <c r="D4329" s="59"/>
      <c r="E4329" s="59"/>
    </row>
    <row r="4330" spans="4:5">
      <c r="D4330" s="59"/>
      <c r="E4330" s="59"/>
    </row>
    <row r="4331" spans="4:5">
      <c r="D4331" s="59"/>
      <c r="E4331" s="59"/>
    </row>
    <row r="4332" spans="4:5">
      <c r="D4332" s="59"/>
      <c r="E4332" s="59"/>
    </row>
    <row r="4333" spans="4:5">
      <c r="D4333" s="59"/>
      <c r="E4333" s="59"/>
    </row>
    <row r="4334" spans="4:5">
      <c r="D4334" s="59"/>
      <c r="E4334" s="59"/>
    </row>
    <row r="4335" spans="4:5">
      <c r="D4335" s="59"/>
      <c r="E4335" s="59"/>
    </row>
    <row r="4336" spans="4:5">
      <c r="D4336" s="59"/>
      <c r="E4336" s="59"/>
    </row>
    <row r="4337" spans="4:5">
      <c r="D4337" s="59"/>
      <c r="E4337" s="59"/>
    </row>
    <row r="4338" spans="4:5">
      <c r="D4338" s="59"/>
      <c r="E4338" s="59"/>
    </row>
    <row r="4339" spans="4:5">
      <c r="D4339" s="59"/>
      <c r="E4339" s="59"/>
    </row>
    <row r="4340" spans="4:5">
      <c r="D4340" s="59"/>
      <c r="E4340" s="59"/>
    </row>
    <row r="4341" spans="4:5">
      <c r="D4341" s="59"/>
      <c r="E4341" s="59"/>
    </row>
    <row r="4342" spans="4:5">
      <c r="D4342" s="59"/>
      <c r="E4342" s="59"/>
    </row>
    <row r="4343" spans="4:5">
      <c r="D4343" s="59"/>
      <c r="E4343" s="59"/>
    </row>
    <row r="4344" spans="4:5">
      <c r="D4344" s="59"/>
      <c r="E4344" s="59"/>
    </row>
    <row r="4345" spans="4:5">
      <c r="D4345" s="59"/>
      <c r="E4345" s="59"/>
    </row>
    <row r="4346" spans="4:5">
      <c r="D4346" s="59"/>
      <c r="E4346" s="59"/>
    </row>
    <row r="4347" spans="4:5">
      <c r="D4347" s="59"/>
      <c r="E4347" s="59"/>
    </row>
    <row r="4348" spans="4:5">
      <c r="D4348" s="59"/>
      <c r="E4348" s="59"/>
    </row>
    <row r="4349" spans="4:5">
      <c r="D4349" s="59"/>
      <c r="E4349" s="59"/>
    </row>
    <row r="4350" spans="4:5">
      <c r="D4350" s="59"/>
      <c r="E4350" s="59"/>
    </row>
    <row r="4351" spans="4:5">
      <c r="D4351" s="59"/>
      <c r="E4351" s="59"/>
    </row>
    <row r="4352" spans="4:5">
      <c r="D4352" s="59"/>
      <c r="E4352" s="59"/>
    </row>
    <row r="4353" spans="4:5">
      <c r="D4353" s="59"/>
      <c r="E4353" s="59"/>
    </row>
    <row r="4354" spans="4:5">
      <c r="D4354" s="59"/>
      <c r="E4354" s="59"/>
    </row>
    <row r="4355" spans="4:5">
      <c r="D4355" s="59"/>
      <c r="E4355" s="59"/>
    </row>
    <row r="4356" spans="4:5">
      <c r="D4356" s="59"/>
      <c r="E4356" s="59"/>
    </row>
    <row r="4357" spans="4:5">
      <c r="D4357" s="59"/>
      <c r="E4357" s="59"/>
    </row>
    <row r="4358" spans="4:5">
      <c r="D4358" s="59"/>
      <c r="E4358" s="59"/>
    </row>
    <row r="4359" spans="4:5">
      <c r="D4359" s="59"/>
      <c r="E4359" s="59"/>
    </row>
    <row r="4360" spans="4:5">
      <c r="D4360" s="59"/>
      <c r="E4360" s="59"/>
    </row>
    <row r="4361" spans="4:5">
      <c r="D4361" s="59"/>
      <c r="E4361" s="59"/>
    </row>
    <row r="4362" spans="4:5">
      <c r="D4362" s="59"/>
      <c r="E4362" s="59"/>
    </row>
    <row r="4363" spans="4:5">
      <c r="D4363" s="59"/>
      <c r="E4363" s="59"/>
    </row>
    <row r="4364" spans="4:5">
      <c r="D4364" s="59"/>
      <c r="E4364" s="59"/>
    </row>
    <row r="4365" spans="4:5">
      <c r="D4365" s="59"/>
      <c r="E4365" s="59"/>
    </row>
    <row r="4366" spans="4:5">
      <c r="D4366" s="59"/>
      <c r="E4366" s="59"/>
    </row>
    <row r="4367" spans="4:5">
      <c r="D4367" s="59"/>
      <c r="E4367" s="59"/>
    </row>
    <row r="4368" spans="4:5">
      <c r="D4368" s="59"/>
      <c r="E4368" s="59"/>
    </row>
    <row r="4369" spans="4:5">
      <c r="D4369" s="59"/>
      <c r="E4369" s="59"/>
    </row>
    <row r="4370" spans="4:5">
      <c r="D4370" s="59"/>
      <c r="E4370" s="59"/>
    </row>
    <row r="4371" spans="4:5">
      <c r="D4371" s="59"/>
      <c r="E4371" s="59"/>
    </row>
    <row r="4372" spans="4:5">
      <c r="D4372" s="59"/>
      <c r="E4372" s="59"/>
    </row>
    <row r="4373" spans="4:5">
      <c r="D4373" s="59"/>
      <c r="E4373" s="59"/>
    </row>
    <row r="4374" spans="4:5">
      <c r="D4374" s="59"/>
      <c r="E4374" s="59"/>
    </row>
    <row r="4375" spans="4:5">
      <c r="D4375" s="59"/>
      <c r="E4375" s="59"/>
    </row>
    <row r="4376" spans="4:5">
      <c r="D4376" s="59"/>
      <c r="E4376" s="59"/>
    </row>
    <row r="4377" spans="4:5">
      <c r="D4377" s="59"/>
      <c r="E4377" s="59"/>
    </row>
    <row r="4378" spans="4:5">
      <c r="D4378" s="59"/>
      <c r="E4378" s="59"/>
    </row>
    <row r="4379" spans="4:5">
      <c r="D4379" s="59"/>
      <c r="E4379" s="59"/>
    </row>
    <row r="4380" spans="4:5">
      <c r="D4380" s="59"/>
      <c r="E4380" s="59"/>
    </row>
    <row r="4381" spans="4:5">
      <c r="D4381" s="59"/>
      <c r="E4381" s="59"/>
    </row>
    <row r="4382" spans="4:5">
      <c r="D4382" s="59"/>
      <c r="E4382" s="59"/>
    </row>
    <row r="4383" spans="4:5">
      <c r="D4383" s="59"/>
      <c r="E4383" s="59"/>
    </row>
    <row r="4384" spans="4:5">
      <c r="D4384" s="59"/>
      <c r="E4384" s="59"/>
    </row>
    <row r="4385" spans="4:5">
      <c r="D4385" s="59"/>
      <c r="E4385" s="59"/>
    </row>
    <row r="4386" spans="4:5">
      <c r="D4386" s="59"/>
      <c r="E4386" s="59"/>
    </row>
    <row r="4387" spans="4:5">
      <c r="D4387" s="59"/>
      <c r="E4387" s="59"/>
    </row>
    <row r="4388" spans="4:5">
      <c r="D4388" s="59"/>
      <c r="E4388" s="59"/>
    </row>
    <row r="4389" spans="4:5">
      <c r="D4389" s="59"/>
      <c r="E4389" s="59"/>
    </row>
    <row r="4390" spans="4:5">
      <c r="D4390" s="59"/>
      <c r="E4390" s="59"/>
    </row>
    <row r="4391" spans="4:5">
      <c r="D4391" s="59"/>
      <c r="E4391" s="59"/>
    </row>
    <row r="4392" spans="4:5">
      <c r="D4392" s="59"/>
      <c r="E4392" s="59"/>
    </row>
    <row r="4393" spans="4:5">
      <c r="D4393" s="59"/>
      <c r="E4393" s="59"/>
    </row>
    <row r="4394" spans="4:5">
      <c r="D4394" s="59"/>
      <c r="E4394" s="59"/>
    </row>
    <row r="4395" spans="4:5">
      <c r="D4395" s="59"/>
      <c r="E4395" s="59"/>
    </row>
    <row r="4396" spans="4:5">
      <c r="D4396" s="59"/>
      <c r="E4396" s="59"/>
    </row>
    <row r="4397" spans="4:5">
      <c r="D4397" s="59"/>
      <c r="E4397" s="59"/>
    </row>
    <row r="4398" spans="4:5">
      <c r="D4398" s="59"/>
      <c r="E4398" s="59"/>
    </row>
    <row r="4399" spans="4:5">
      <c r="D4399" s="59"/>
      <c r="E4399" s="59"/>
    </row>
    <row r="4400" spans="4:5">
      <c r="D4400" s="59"/>
      <c r="E4400" s="59"/>
    </row>
    <row r="4401" spans="4:5">
      <c r="D4401" s="59"/>
      <c r="E4401" s="59"/>
    </row>
    <row r="4402" spans="4:5">
      <c r="D4402" s="59"/>
      <c r="E4402" s="59"/>
    </row>
    <row r="4403" spans="4:5">
      <c r="D4403" s="59"/>
      <c r="E4403" s="59"/>
    </row>
    <row r="4404" spans="4:5">
      <c r="D4404" s="59"/>
      <c r="E4404" s="59"/>
    </row>
    <row r="4405" spans="4:5">
      <c r="D4405" s="59"/>
      <c r="E4405" s="59"/>
    </row>
    <row r="4406" spans="4:5">
      <c r="D4406" s="59"/>
      <c r="E4406" s="59"/>
    </row>
    <row r="4407" spans="4:5">
      <c r="D4407" s="59"/>
      <c r="E4407" s="59"/>
    </row>
    <row r="4408" spans="4:5">
      <c r="D4408" s="59"/>
      <c r="E4408" s="59"/>
    </row>
    <row r="4409" spans="4:5">
      <c r="D4409" s="59"/>
      <c r="E4409" s="59"/>
    </row>
    <row r="4410" spans="4:5">
      <c r="D4410" s="59"/>
      <c r="E4410" s="59"/>
    </row>
    <row r="4411" spans="4:5">
      <c r="D4411" s="59"/>
      <c r="E4411" s="59"/>
    </row>
    <row r="4412" spans="4:5">
      <c r="D4412" s="59"/>
      <c r="E4412" s="59"/>
    </row>
    <row r="4413" spans="4:5">
      <c r="D4413" s="59"/>
      <c r="E4413" s="59"/>
    </row>
    <row r="4414" spans="4:5">
      <c r="D4414" s="59"/>
      <c r="E4414" s="59"/>
    </row>
    <row r="4415" spans="4:5">
      <c r="D4415" s="59"/>
      <c r="E4415" s="59"/>
    </row>
    <row r="4416" spans="4:5">
      <c r="D4416" s="59"/>
      <c r="E4416" s="59"/>
    </row>
    <row r="4417" spans="4:5">
      <c r="D4417" s="59"/>
      <c r="E4417" s="59"/>
    </row>
    <row r="4418" spans="4:5">
      <c r="D4418" s="59"/>
      <c r="E4418" s="59"/>
    </row>
    <row r="4419" spans="4:5">
      <c r="D4419" s="59"/>
      <c r="E4419" s="59"/>
    </row>
    <row r="4420" spans="4:5">
      <c r="D4420" s="59"/>
      <c r="E4420" s="59"/>
    </row>
    <row r="4421" spans="4:5">
      <c r="D4421" s="59"/>
      <c r="E4421" s="59"/>
    </row>
    <row r="4422" spans="4:5">
      <c r="D4422" s="59"/>
      <c r="E4422" s="59"/>
    </row>
    <row r="4423" spans="4:5">
      <c r="D4423" s="59"/>
      <c r="E4423" s="59"/>
    </row>
    <row r="4424" spans="4:5">
      <c r="D4424" s="59"/>
      <c r="E4424" s="59"/>
    </row>
    <row r="4425" spans="4:5">
      <c r="D4425" s="59"/>
      <c r="E4425" s="59"/>
    </row>
    <row r="4426" spans="4:5">
      <c r="D4426" s="59"/>
      <c r="E4426" s="59"/>
    </row>
    <row r="4427" spans="4:5">
      <c r="D4427" s="59"/>
      <c r="E4427" s="59"/>
    </row>
    <row r="4428" spans="4:5">
      <c r="D4428" s="59"/>
      <c r="E4428" s="59"/>
    </row>
    <row r="4429" spans="4:5">
      <c r="D4429" s="59"/>
      <c r="E4429" s="59"/>
    </row>
    <row r="4430" spans="4:5">
      <c r="D4430" s="59"/>
      <c r="E4430" s="59"/>
    </row>
    <row r="4431" spans="4:5">
      <c r="D4431" s="59"/>
      <c r="E4431" s="59"/>
    </row>
    <row r="4432" spans="4:5">
      <c r="D4432" s="59"/>
      <c r="E4432" s="59"/>
    </row>
    <row r="4433" spans="4:5">
      <c r="D4433" s="59"/>
      <c r="E4433" s="59"/>
    </row>
    <row r="4434" spans="4:5">
      <c r="D4434" s="59"/>
      <c r="E4434" s="59"/>
    </row>
    <row r="4435" spans="4:5">
      <c r="D4435" s="59"/>
      <c r="E4435" s="59"/>
    </row>
    <row r="4436" spans="4:5">
      <c r="D4436" s="59"/>
      <c r="E4436" s="59"/>
    </row>
    <row r="4437" spans="4:5">
      <c r="D4437" s="59"/>
      <c r="E4437" s="59"/>
    </row>
    <row r="4438" spans="4:5">
      <c r="D4438" s="59"/>
      <c r="E4438" s="59"/>
    </row>
    <row r="4439" spans="4:5">
      <c r="D4439" s="59"/>
      <c r="E4439" s="59"/>
    </row>
    <row r="4440" spans="4:5">
      <c r="D4440" s="59"/>
      <c r="E4440" s="59"/>
    </row>
    <row r="4441" spans="4:5">
      <c r="D4441" s="59"/>
      <c r="E4441" s="59"/>
    </row>
    <row r="4442" spans="4:5">
      <c r="D4442" s="59"/>
      <c r="E4442" s="59"/>
    </row>
    <row r="4443" spans="4:5">
      <c r="D4443" s="59"/>
      <c r="E4443" s="59"/>
    </row>
    <row r="4444" spans="4:5">
      <c r="D4444" s="59"/>
      <c r="E4444" s="59"/>
    </row>
    <row r="4445" spans="4:5">
      <c r="D4445" s="59"/>
      <c r="E4445" s="59"/>
    </row>
    <row r="4446" spans="4:5">
      <c r="D4446" s="59"/>
      <c r="E4446" s="59"/>
    </row>
    <row r="4447" spans="4:5">
      <c r="D4447" s="59"/>
      <c r="E4447" s="59"/>
    </row>
    <row r="4448" spans="4:5">
      <c r="D4448" s="59"/>
      <c r="E4448" s="59"/>
    </row>
    <row r="4449" spans="4:5">
      <c r="D4449" s="59"/>
      <c r="E4449" s="59"/>
    </row>
    <row r="4450" spans="4:5">
      <c r="D4450" s="59"/>
      <c r="E4450" s="59"/>
    </row>
    <row r="4451" spans="4:5">
      <c r="D4451" s="59"/>
      <c r="E4451" s="59"/>
    </row>
    <row r="4452" spans="4:5">
      <c r="D4452" s="59"/>
      <c r="E4452" s="59"/>
    </row>
    <row r="4453" spans="4:5">
      <c r="D4453" s="59"/>
      <c r="E4453" s="59"/>
    </row>
    <row r="4454" spans="4:5">
      <c r="D4454" s="59"/>
      <c r="E4454" s="59"/>
    </row>
    <row r="4455" spans="4:5">
      <c r="D4455" s="59"/>
      <c r="E4455" s="59"/>
    </row>
    <row r="4456" spans="4:5">
      <c r="D4456" s="59"/>
      <c r="E4456" s="59"/>
    </row>
    <row r="4457" spans="4:5">
      <c r="D4457" s="59"/>
      <c r="E4457" s="59"/>
    </row>
    <row r="4458" spans="4:5">
      <c r="D4458" s="59"/>
      <c r="E4458" s="59"/>
    </row>
    <row r="4459" spans="4:5">
      <c r="D4459" s="59"/>
      <c r="E4459" s="59"/>
    </row>
    <row r="4460" spans="4:5">
      <c r="D4460" s="59"/>
      <c r="E4460" s="59"/>
    </row>
    <row r="4461" spans="4:5">
      <c r="D4461" s="59"/>
      <c r="E4461" s="59"/>
    </row>
    <row r="4462" spans="4:5">
      <c r="D4462" s="59"/>
      <c r="E4462" s="59"/>
    </row>
    <row r="4463" spans="4:5">
      <c r="D4463" s="59"/>
      <c r="E4463" s="59"/>
    </row>
    <row r="4464" spans="4:5">
      <c r="D4464" s="59"/>
      <c r="E4464" s="59"/>
    </row>
    <row r="4465" spans="4:5">
      <c r="D4465" s="59"/>
      <c r="E4465" s="59"/>
    </row>
    <row r="4466" spans="4:5">
      <c r="D4466" s="59"/>
      <c r="E4466" s="59"/>
    </row>
    <row r="4467" spans="4:5">
      <c r="D4467" s="59"/>
      <c r="E4467" s="59"/>
    </row>
    <row r="4468" spans="4:5">
      <c r="D4468" s="59"/>
      <c r="E4468" s="59"/>
    </row>
    <row r="4469" spans="4:5">
      <c r="D4469" s="59"/>
      <c r="E4469" s="59"/>
    </row>
    <row r="4470" spans="4:5">
      <c r="D4470" s="59"/>
      <c r="E4470" s="59"/>
    </row>
    <row r="4471" spans="4:5">
      <c r="D4471" s="59"/>
      <c r="E4471" s="59"/>
    </row>
    <row r="4472" spans="4:5">
      <c r="D4472" s="59"/>
      <c r="E4472" s="59"/>
    </row>
    <row r="4473" spans="4:5">
      <c r="D4473" s="59"/>
      <c r="E4473" s="59"/>
    </row>
    <row r="4474" spans="4:5">
      <c r="D4474" s="59"/>
      <c r="E4474" s="59"/>
    </row>
    <row r="4475" spans="4:5">
      <c r="D4475" s="59"/>
      <c r="E4475" s="59"/>
    </row>
    <row r="4476" spans="4:5">
      <c r="D4476" s="59"/>
      <c r="E4476" s="59"/>
    </row>
    <row r="4477" spans="4:5">
      <c r="D4477" s="59"/>
      <c r="E4477" s="59"/>
    </row>
    <row r="4478" spans="4:5">
      <c r="D4478" s="59"/>
      <c r="E4478" s="59"/>
    </row>
    <row r="4479" spans="4:5">
      <c r="D4479" s="59"/>
      <c r="E4479" s="59"/>
    </row>
    <row r="4480" spans="4:5">
      <c r="D4480" s="59"/>
      <c r="E4480" s="59"/>
    </row>
    <row r="4481" spans="4:5">
      <c r="D4481" s="59"/>
      <c r="E4481" s="59"/>
    </row>
    <row r="4482" spans="4:5">
      <c r="D4482" s="59"/>
      <c r="E4482" s="59"/>
    </row>
    <row r="4483" spans="4:5">
      <c r="D4483" s="59"/>
      <c r="E4483" s="59"/>
    </row>
    <row r="4484" spans="4:5">
      <c r="D4484" s="59"/>
      <c r="E4484" s="59"/>
    </row>
    <row r="4485" spans="4:5">
      <c r="D4485" s="59"/>
      <c r="E4485" s="59"/>
    </row>
    <row r="4486" spans="4:5">
      <c r="D4486" s="59"/>
      <c r="E4486" s="59"/>
    </row>
    <row r="4487" spans="4:5">
      <c r="D4487" s="59"/>
      <c r="E4487" s="59"/>
    </row>
    <row r="4488" spans="4:5">
      <c r="D4488" s="59"/>
      <c r="E4488" s="59"/>
    </row>
    <row r="4489" spans="4:5">
      <c r="D4489" s="59"/>
      <c r="E4489" s="59"/>
    </row>
    <row r="4490" spans="4:5">
      <c r="D4490" s="59"/>
      <c r="E4490" s="59"/>
    </row>
    <row r="4491" spans="4:5">
      <c r="D4491" s="59"/>
      <c r="E4491" s="59"/>
    </row>
    <row r="4492" spans="4:5">
      <c r="D4492" s="59"/>
      <c r="E4492" s="59"/>
    </row>
    <row r="4493" spans="4:5">
      <c r="D4493" s="59"/>
      <c r="E4493" s="59"/>
    </row>
    <row r="4494" spans="4:5">
      <c r="D4494" s="59"/>
      <c r="E4494" s="59"/>
    </row>
    <row r="4495" spans="4:5">
      <c r="D4495" s="59"/>
      <c r="E4495" s="59"/>
    </row>
    <row r="4496" spans="4:5">
      <c r="D4496" s="59"/>
      <c r="E4496" s="59"/>
    </row>
    <row r="4497" spans="4:5">
      <c r="D4497" s="59"/>
      <c r="E4497" s="59"/>
    </row>
    <row r="4498" spans="4:5">
      <c r="D4498" s="59"/>
      <c r="E4498" s="59"/>
    </row>
    <row r="4499" spans="4:5">
      <c r="D4499" s="59"/>
      <c r="E4499" s="59"/>
    </row>
    <row r="4500" spans="4:5">
      <c r="D4500" s="59"/>
      <c r="E4500" s="59"/>
    </row>
    <row r="4501" spans="4:5">
      <c r="D4501" s="59"/>
      <c r="E4501" s="59"/>
    </row>
    <row r="4502" spans="4:5">
      <c r="D4502" s="59"/>
      <c r="E4502" s="59"/>
    </row>
    <row r="4503" spans="4:5">
      <c r="D4503" s="59"/>
      <c r="E4503" s="59"/>
    </row>
    <row r="4504" spans="4:5">
      <c r="D4504" s="59"/>
      <c r="E4504" s="59"/>
    </row>
    <row r="4505" spans="4:5">
      <c r="D4505" s="59"/>
      <c r="E4505" s="59"/>
    </row>
    <row r="4506" spans="4:5">
      <c r="D4506" s="59"/>
      <c r="E4506" s="59"/>
    </row>
    <row r="4507" spans="4:5">
      <c r="D4507" s="59"/>
      <c r="E4507" s="59"/>
    </row>
    <row r="4508" spans="4:5">
      <c r="D4508" s="59"/>
      <c r="E4508" s="59"/>
    </row>
    <row r="4509" spans="4:5">
      <c r="D4509" s="59"/>
      <c r="E4509" s="59"/>
    </row>
    <row r="4510" spans="4:5">
      <c r="D4510" s="59"/>
      <c r="E4510" s="59"/>
    </row>
    <row r="4511" spans="4:5">
      <c r="D4511" s="59"/>
      <c r="E4511" s="59"/>
    </row>
    <row r="4512" spans="4:5">
      <c r="D4512" s="59"/>
      <c r="E4512" s="59"/>
    </row>
    <row r="4513" spans="4:5">
      <c r="D4513" s="59"/>
      <c r="E4513" s="59"/>
    </row>
    <row r="4514" spans="4:5">
      <c r="D4514" s="59"/>
      <c r="E4514" s="59"/>
    </row>
    <row r="4515" spans="4:5">
      <c r="D4515" s="59"/>
      <c r="E4515" s="59"/>
    </row>
    <row r="4516" spans="4:5">
      <c r="D4516" s="59"/>
      <c r="E4516" s="59"/>
    </row>
    <row r="4517" spans="4:5">
      <c r="D4517" s="59"/>
      <c r="E4517" s="59"/>
    </row>
    <row r="4518" spans="4:5">
      <c r="D4518" s="59"/>
      <c r="E4518" s="59"/>
    </row>
    <row r="4519" spans="4:5">
      <c r="D4519" s="59"/>
      <c r="E4519" s="59"/>
    </row>
    <row r="4520" spans="4:5">
      <c r="D4520" s="59"/>
      <c r="E4520" s="59"/>
    </row>
    <row r="4521" spans="4:5">
      <c r="D4521" s="59"/>
      <c r="E4521" s="59"/>
    </row>
    <row r="4522" spans="4:5">
      <c r="D4522" s="59"/>
      <c r="E4522" s="59"/>
    </row>
    <row r="4523" spans="4:5">
      <c r="D4523" s="59"/>
      <c r="E4523" s="59"/>
    </row>
    <row r="4524" spans="4:5">
      <c r="D4524" s="59"/>
      <c r="E4524" s="59"/>
    </row>
    <row r="4525" spans="4:5">
      <c r="D4525" s="59"/>
      <c r="E4525" s="59"/>
    </row>
    <row r="4526" spans="4:5">
      <c r="D4526" s="59"/>
      <c r="E4526" s="59"/>
    </row>
    <row r="4527" spans="4:5">
      <c r="D4527" s="59"/>
      <c r="E4527" s="59"/>
    </row>
    <row r="4528" spans="4:5">
      <c r="D4528" s="59"/>
      <c r="E4528" s="59"/>
    </row>
    <row r="4529" spans="4:5">
      <c r="D4529" s="59"/>
      <c r="E4529" s="59"/>
    </row>
    <row r="4530" spans="4:5">
      <c r="D4530" s="59"/>
      <c r="E4530" s="59"/>
    </row>
    <row r="4531" spans="4:5">
      <c r="D4531" s="59"/>
      <c r="E4531" s="59"/>
    </row>
    <row r="4532" spans="4:5">
      <c r="D4532" s="59"/>
      <c r="E4532" s="59"/>
    </row>
    <row r="4533" spans="4:5">
      <c r="D4533" s="59"/>
      <c r="E4533" s="59"/>
    </row>
    <row r="4534" spans="4:5">
      <c r="D4534" s="59"/>
      <c r="E4534" s="59"/>
    </row>
    <row r="4535" spans="4:5">
      <c r="D4535" s="59"/>
      <c r="E4535" s="59"/>
    </row>
    <row r="4536" spans="4:5">
      <c r="D4536" s="59"/>
      <c r="E4536" s="59"/>
    </row>
    <row r="4537" spans="4:5">
      <c r="D4537" s="59"/>
      <c r="E4537" s="59"/>
    </row>
    <row r="4538" spans="4:5">
      <c r="D4538" s="59"/>
      <c r="E4538" s="59"/>
    </row>
    <row r="4539" spans="4:5">
      <c r="D4539" s="59"/>
      <c r="E4539" s="59"/>
    </row>
    <row r="4540" spans="4:5">
      <c r="D4540" s="59"/>
      <c r="E4540" s="59"/>
    </row>
    <row r="4541" spans="4:5">
      <c r="D4541" s="59"/>
      <c r="E4541" s="59"/>
    </row>
    <row r="4542" spans="4:5">
      <c r="D4542" s="59"/>
      <c r="E4542" s="59"/>
    </row>
    <row r="4543" spans="4:5">
      <c r="D4543" s="59"/>
      <c r="E4543" s="59"/>
    </row>
    <row r="4544" spans="4:5">
      <c r="D4544" s="59"/>
      <c r="E4544" s="59"/>
    </row>
    <row r="4545" spans="4:5">
      <c r="D4545" s="59"/>
      <c r="E4545" s="59"/>
    </row>
    <row r="4546" spans="4:5">
      <c r="D4546" s="59"/>
      <c r="E4546" s="59"/>
    </row>
    <row r="4547" spans="4:5">
      <c r="D4547" s="59"/>
      <c r="E4547" s="59"/>
    </row>
    <row r="4548" spans="4:5">
      <c r="D4548" s="59"/>
      <c r="E4548" s="59"/>
    </row>
    <row r="4549" spans="4:5">
      <c r="D4549" s="59"/>
      <c r="E4549" s="59"/>
    </row>
    <row r="4550" spans="4:5">
      <c r="D4550" s="59"/>
      <c r="E4550" s="59"/>
    </row>
    <row r="4551" spans="4:5">
      <c r="D4551" s="59"/>
      <c r="E4551" s="59"/>
    </row>
    <row r="4552" spans="4:5">
      <c r="D4552" s="59"/>
      <c r="E4552" s="59"/>
    </row>
    <row r="4553" spans="4:5">
      <c r="D4553" s="59"/>
      <c r="E4553" s="59"/>
    </row>
    <row r="4554" spans="4:5">
      <c r="D4554" s="59"/>
      <c r="E4554" s="59"/>
    </row>
    <row r="4555" spans="4:5">
      <c r="D4555" s="59"/>
      <c r="E4555" s="59"/>
    </row>
    <row r="4556" spans="4:5">
      <c r="D4556" s="59"/>
      <c r="E4556" s="59"/>
    </row>
    <row r="4557" spans="4:5">
      <c r="D4557" s="59"/>
      <c r="E4557" s="59"/>
    </row>
    <row r="4558" spans="4:5">
      <c r="D4558" s="59"/>
      <c r="E4558" s="59"/>
    </row>
    <row r="4559" spans="4:5">
      <c r="D4559" s="59"/>
      <c r="E4559" s="59"/>
    </row>
    <row r="4560" spans="4:5">
      <c r="D4560" s="59"/>
      <c r="E4560" s="59"/>
    </row>
    <row r="4561" spans="4:5">
      <c r="D4561" s="59"/>
      <c r="E4561" s="59"/>
    </row>
    <row r="4562" spans="4:5">
      <c r="D4562" s="59"/>
      <c r="E4562" s="59"/>
    </row>
    <row r="4563" spans="4:5">
      <c r="D4563" s="59"/>
      <c r="E4563" s="59"/>
    </row>
    <row r="4564" spans="4:5">
      <c r="D4564" s="59"/>
      <c r="E4564" s="59"/>
    </row>
    <row r="4565" spans="4:5">
      <c r="D4565" s="59"/>
      <c r="E4565" s="59"/>
    </row>
    <row r="4566" spans="4:5">
      <c r="D4566" s="59"/>
      <c r="E4566" s="59"/>
    </row>
    <row r="4567" spans="4:5">
      <c r="D4567" s="59"/>
      <c r="E4567" s="59"/>
    </row>
    <row r="4568" spans="4:5">
      <c r="D4568" s="59"/>
      <c r="E4568" s="59"/>
    </row>
    <row r="4569" spans="4:5">
      <c r="D4569" s="59"/>
      <c r="E4569" s="59"/>
    </row>
    <row r="4570" spans="4:5">
      <c r="D4570" s="59"/>
      <c r="E4570" s="59"/>
    </row>
    <row r="4571" spans="4:5">
      <c r="D4571" s="59"/>
      <c r="E4571" s="59"/>
    </row>
    <row r="4572" spans="4:5">
      <c r="D4572" s="59"/>
      <c r="E4572" s="59"/>
    </row>
    <row r="4573" spans="4:5">
      <c r="D4573" s="59"/>
      <c r="E4573" s="59"/>
    </row>
    <row r="4574" spans="4:5">
      <c r="D4574" s="59"/>
      <c r="E4574" s="59"/>
    </row>
    <row r="4575" spans="4:5">
      <c r="D4575" s="59"/>
      <c r="E4575" s="59"/>
    </row>
    <row r="4576" spans="4:5">
      <c r="D4576" s="59"/>
      <c r="E4576" s="59"/>
    </row>
    <row r="4577" spans="4:5">
      <c r="D4577" s="59"/>
      <c r="E4577" s="59"/>
    </row>
    <row r="4578" spans="4:5">
      <c r="D4578" s="59"/>
      <c r="E4578" s="59"/>
    </row>
    <row r="4579" spans="4:5">
      <c r="D4579" s="59"/>
      <c r="E4579" s="59"/>
    </row>
    <row r="4580" spans="4:5">
      <c r="D4580" s="59"/>
      <c r="E4580" s="59"/>
    </row>
    <row r="4581" spans="4:5">
      <c r="D4581" s="59"/>
      <c r="E4581" s="59"/>
    </row>
    <row r="4582" spans="4:5">
      <c r="D4582" s="59"/>
      <c r="E4582" s="59"/>
    </row>
    <row r="4583" spans="4:5">
      <c r="D4583" s="59"/>
      <c r="E4583" s="59"/>
    </row>
    <row r="4584" spans="4:5">
      <c r="D4584" s="59"/>
      <c r="E4584" s="59"/>
    </row>
    <row r="4585" spans="4:5">
      <c r="D4585" s="59"/>
      <c r="E4585" s="59"/>
    </row>
    <row r="4586" spans="4:5">
      <c r="D4586" s="59"/>
      <c r="E4586" s="59"/>
    </row>
    <row r="4587" spans="4:5">
      <c r="D4587" s="59"/>
      <c r="E4587" s="59"/>
    </row>
    <row r="4588" spans="4:5">
      <c r="D4588" s="59"/>
      <c r="E4588" s="59"/>
    </row>
    <row r="4589" spans="4:5">
      <c r="D4589" s="59"/>
      <c r="E4589" s="59"/>
    </row>
    <row r="4590" spans="4:5">
      <c r="D4590" s="59"/>
      <c r="E4590" s="59"/>
    </row>
    <row r="4591" spans="4:5">
      <c r="D4591" s="59"/>
      <c r="E4591" s="59"/>
    </row>
    <row r="4592" spans="4:5">
      <c r="D4592" s="59"/>
      <c r="E4592" s="59"/>
    </row>
    <row r="4593" spans="4:5">
      <c r="D4593" s="59"/>
      <c r="E4593" s="59"/>
    </row>
    <row r="4594" spans="4:5">
      <c r="D4594" s="59"/>
      <c r="E4594" s="59"/>
    </row>
    <row r="4595" spans="4:5">
      <c r="D4595" s="59"/>
      <c r="E4595" s="59"/>
    </row>
    <row r="4596" spans="4:5">
      <c r="D4596" s="59"/>
      <c r="E4596" s="59"/>
    </row>
    <row r="4597" spans="4:5">
      <c r="D4597" s="59"/>
      <c r="E4597" s="59"/>
    </row>
    <row r="4598" spans="4:5">
      <c r="D4598" s="59"/>
      <c r="E4598" s="59"/>
    </row>
    <row r="4599" spans="4:5">
      <c r="D4599" s="59"/>
      <c r="E4599" s="59"/>
    </row>
    <row r="4600" spans="4:5">
      <c r="D4600" s="59"/>
      <c r="E4600" s="59"/>
    </row>
    <row r="4601" spans="4:5">
      <c r="D4601" s="59"/>
      <c r="E4601" s="59"/>
    </row>
    <row r="4602" spans="4:5">
      <c r="D4602" s="59"/>
      <c r="E4602" s="59"/>
    </row>
    <row r="4603" spans="4:5">
      <c r="D4603" s="59"/>
      <c r="E4603" s="59"/>
    </row>
    <row r="4604" spans="4:5">
      <c r="D4604" s="59"/>
      <c r="E4604" s="59"/>
    </row>
    <row r="4605" spans="4:5">
      <c r="D4605" s="59"/>
      <c r="E4605" s="59"/>
    </row>
    <row r="4606" spans="4:5">
      <c r="D4606" s="59"/>
      <c r="E4606" s="59"/>
    </row>
    <row r="4607" spans="4:5">
      <c r="D4607" s="59"/>
      <c r="E4607" s="59"/>
    </row>
    <row r="4608" spans="4:5">
      <c r="D4608" s="59"/>
      <c r="E4608" s="59"/>
    </row>
    <row r="4609" spans="4:5">
      <c r="D4609" s="59"/>
      <c r="E4609" s="59"/>
    </row>
    <row r="4610" spans="4:5">
      <c r="D4610" s="59"/>
      <c r="E4610" s="59"/>
    </row>
    <row r="4611" spans="4:5">
      <c r="D4611" s="59"/>
      <c r="E4611" s="59"/>
    </row>
    <row r="4612" spans="4:5">
      <c r="D4612" s="59"/>
      <c r="E4612" s="59"/>
    </row>
    <row r="4613" spans="4:5">
      <c r="D4613" s="59"/>
      <c r="E4613" s="59"/>
    </row>
    <row r="4614" spans="4:5">
      <c r="D4614" s="59"/>
      <c r="E4614" s="59"/>
    </row>
    <row r="4615" spans="4:5">
      <c r="D4615" s="59"/>
      <c r="E4615" s="59"/>
    </row>
    <row r="4616" spans="4:5">
      <c r="D4616" s="59"/>
      <c r="E4616" s="59"/>
    </row>
    <row r="4617" spans="4:5">
      <c r="D4617" s="59"/>
      <c r="E4617" s="59"/>
    </row>
    <row r="4618" spans="4:5">
      <c r="D4618" s="59"/>
      <c r="E4618" s="59"/>
    </row>
    <row r="4619" spans="4:5">
      <c r="D4619" s="59"/>
      <c r="E4619" s="59"/>
    </row>
    <row r="4620" spans="4:5">
      <c r="D4620" s="59"/>
      <c r="E4620" s="59"/>
    </row>
    <row r="4621" spans="4:5">
      <c r="D4621" s="59"/>
      <c r="E4621" s="59"/>
    </row>
    <row r="4622" spans="4:5">
      <c r="D4622" s="59"/>
      <c r="E4622" s="59"/>
    </row>
    <row r="4623" spans="4:5">
      <c r="D4623" s="59"/>
      <c r="E4623" s="59"/>
    </row>
    <row r="4624" spans="4:5">
      <c r="D4624" s="59"/>
      <c r="E4624" s="59"/>
    </row>
    <row r="4625" spans="4:5">
      <c r="D4625" s="59"/>
      <c r="E4625" s="59"/>
    </row>
    <row r="4626" spans="4:5">
      <c r="D4626" s="59"/>
      <c r="E4626" s="59"/>
    </row>
    <row r="4627" spans="4:5">
      <c r="D4627" s="59"/>
      <c r="E4627" s="59"/>
    </row>
    <row r="4628" spans="4:5">
      <c r="D4628" s="59"/>
      <c r="E4628" s="59"/>
    </row>
    <row r="4629" spans="4:5">
      <c r="D4629" s="59"/>
      <c r="E4629" s="59"/>
    </row>
    <row r="4630" spans="4:5">
      <c r="D4630" s="59"/>
      <c r="E4630" s="59"/>
    </row>
    <row r="4631" spans="4:5">
      <c r="D4631" s="59"/>
      <c r="E4631" s="59"/>
    </row>
    <row r="4632" spans="4:5">
      <c r="D4632" s="59"/>
      <c r="E4632" s="59"/>
    </row>
    <row r="4633" spans="4:5">
      <c r="D4633" s="59"/>
      <c r="E4633" s="59"/>
    </row>
    <row r="4634" spans="4:5">
      <c r="D4634" s="59"/>
      <c r="E4634" s="59"/>
    </row>
    <row r="4635" spans="4:5">
      <c r="D4635" s="59"/>
      <c r="E4635" s="59"/>
    </row>
    <row r="4636" spans="4:5">
      <c r="D4636" s="59"/>
      <c r="E4636" s="59"/>
    </row>
    <row r="4637" spans="4:5">
      <c r="D4637" s="59"/>
      <c r="E4637" s="59"/>
    </row>
    <row r="4638" spans="4:5">
      <c r="D4638" s="59"/>
      <c r="E4638" s="59"/>
    </row>
    <row r="4639" spans="4:5">
      <c r="D4639" s="59"/>
      <c r="E4639" s="59"/>
    </row>
    <row r="4640" spans="4:5">
      <c r="D4640" s="59"/>
      <c r="E4640" s="59"/>
    </row>
    <row r="4641" spans="4:5">
      <c r="D4641" s="59"/>
      <c r="E4641" s="59"/>
    </row>
    <row r="4642" spans="4:5">
      <c r="D4642" s="59"/>
      <c r="E4642" s="59"/>
    </row>
    <row r="4643" spans="4:5">
      <c r="D4643" s="59"/>
      <c r="E4643" s="59"/>
    </row>
    <row r="4644" spans="4:5">
      <c r="D4644" s="59"/>
      <c r="E4644" s="59"/>
    </row>
    <row r="4645" spans="4:5">
      <c r="D4645" s="59"/>
      <c r="E4645" s="59"/>
    </row>
    <row r="4646" spans="4:5">
      <c r="D4646" s="59"/>
      <c r="E4646" s="59"/>
    </row>
    <row r="4647" spans="4:5">
      <c r="D4647" s="59"/>
      <c r="E4647" s="59"/>
    </row>
    <row r="4648" spans="4:5">
      <c r="D4648" s="59"/>
      <c r="E4648" s="59"/>
    </row>
    <row r="4649" spans="4:5">
      <c r="D4649" s="59"/>
      <c r="E4649" s="59"/>
    </row>
    <row r="4650" spans="4:5">
      <c r="D4650" s="59"/>
      <c r="E4650" s="59"/>
    </row>
    <row r="4651" spans="4:5">
      <c r="D4651" s="59"/>
      <c r="E4651" s="59"/>
    </row>
    <row r="4652" spans="4:5">
      <c r="D4652" s="59"/>
      <c r="E4652" s="59"/>
    </row>
    <row r="4653" spans="4:5">
      <c r="D4653" s="59"/>
      <c r="E4653" s="59"/>
    </row>
    <row r="4654" spans="4:5">
      <c r="D4654" s="59"/>
      <c r="E4654" s="59"/>
    </row>
    <row r="4655" spans="4:5">
      <c r="D4655" s="59"/>
      <c r="E4655" s="59"/>
    </row>
    <row r="4656" spans="4:5">
      <c r="D4656" s="59"/>
      <c r="E4656" s="59"/>
    </row>
    <row r="4657" spans="4:5">
      <c r="D4657" s="59"/>
      <c r="E4657" s="59"/>
    </row>
    <row r="4658" spans="4:5">
      <c r="D4658" s="59"/>
      <c r="E4658" s="59"/>
    </row>
    <row r="4659" spans="4:5">
      <c r="D4659" s="59"/>
      <c r="E4659" s="59"/>
    </row>
    <row r="4660" spans="4:5">
      <c r="D4660" s="59"/>
      <c r="E4660" s="59"/>
    </row>
    <row r="4661" spans="4:5">
      <c r="D4661" s="59"/>
      <c r="E4661" s="59"/>
    </row>
    <row r="4662" spans="4:5">
      <c r="D4662" s="59"/>
      <c r="E4662" s="59"/>
    </row>
    <row r="4663" spans="4:5">
      <c r="D4663" s="59"/>
      <c r="E4663" s="59"/>
    </row>
    <row r="4664" spans="4:5">
      <c r="D4664" s="59"/>
      <c r="E4664" s="59"/>
    </row>
    <row r="4665" spans="4:5">
      <c r="D4665" s="59"/>
      <c r="E4665" s="59"/>
    </row>
    <row r="4666" spans="4:5">
      <c r="D4666" s="59"/>
      <c r="E4666" s="59"/>
    </row>
    <row r="4667" spans="4:5">
      <c r="D4667" s="59"/>
      <c r="E4667" s="59"/>
    </row>
    <row r="4668" spans="4:5">
      <c r="D4668" s="59"/>
      <c r="E4668" s="59"/>
    </row>
    <row r="4669" spans="4:5">
      <c r="D4669" s="59"/>
      <c r="E4669" s="59"/>
    </row>
    <row r="4670" spans="4:5">
      <c r="D4670" s="59"/>
      <c r="E4670" s="59"/>
    </row>
    <row r="4671" spans="4:5">
      <c r="D4671" s="59"/>
      <c r="E4671" s="59"/>
    </row>
    <row r="4672" spans="4:5">
      <c r="D4672" s="59"/>
      <c r="E4672" s="59"/>
    </row>
    <row r="4673" spans="4:5">
      <c r="D4673" s="59"/>
      <c r="E4673" s="59"/>
    </row>
    <row r="4674" spans="4:5">
      <c r="D4674" s="59"/>
      <c r="E4674" s="59"/>
    </row>
    <row r="4675" spans="4:5">
      <c r="D4675" s="59"/>
      <c r="E4675" s="59"/>
    </row>
    <row r="4676" spans="4:5">
      <c r="D4676" s="59"/>
      <c r="E4676" s="59"/>
    </row>
    <row r="4677" spans="4:5">
      <c r="D4677" s="59"/>
      <c r="E4677" s="59"/>
    </row>
    <row r="4678" spans="4:5">
      <c r="D4678" s="59"/>
      <c r="E4678" s="59"/>
    </row>
    <row r="4679" spans="4:5">
      <c r="D4679" s="59"/>
      <c r="E4679" s="59"/>
    </row>
    <row r="4680" spans="4:5">
      <c r="D4680" s="59"/>
      <c r="E4680" s="59"/>
    </row>
    <row r="4681" spans="4:5">
      <c r="D4681" s="59"/>
      <c r="E4681" s="59"/>
    </row>
    <row r="4682" spans="4:5">
      <c r="D4682" s="59"/>
      <c r="E4682" s="59"/>
    </row>
    <row r="4683" spans="4:5">
      <c r="D4683" s="59"/>
      <c r="E4683" s="59"/>
    </row>
    <row r="4684" spans="4:5">
      <c r="D4684" s="59"/>
      <c r="E4684" s="59"/>
    </row>
    <row r="4685" spans="4:5">
      <c r="D4685" s="59"/>
      <c r="E4685" s="59"/>
    </row>
    <row r="4686" spans="4:5">
      <c r="D4686" s="59"/>
      <c r="E4686" s="59"/>
    </row>
    <row r="4687" spans="4:5">
      <c r="D4687" s="59"/>
      <c r="E4687" s="59"/>
    </row>
    <row r="4688" spans="4:5">
      <c r="D4688" s="59"/>
      <c r="E4688" s="59"/>
    </row>
    <row r="4689" spans="4:5">
      <c r="D4689" s="59"/>
      <c r="E4689" s="59"/>
    </row>
    <row r="4690" spans="4:5">
      <c r="D4690" s="59"/>
      <c r="E4690" s="59"/>
    </row>
    <row r="4691" spans="4:5">
      <c r="D4691" s="59"/>
      <c r="E4691" s="59"/>
    </row>
    <row r="4692" spans="4:5">
      <c r="D4692" s="59"/>
      <c r="E4692" s="59"/>
    </row>
    <row r="4693" spans="4:5">
      <c r="D4693" s="59"/>
      <c r="E4693" s="59"/>
    </row>
    <row r="4694" spans="4:5">
      <c r="D4694" s="59"/>
      <c r="E4694" s="59"/>
    </row>
    <row r="4695" spans="4:5">
      <c r="D4695" s="59"/>
      <c r="E4695" s="59"/>
    </row>
    <row r="4696" spans="4:5">
      <c r="D4696" s="59"/>
      <c r="E4696" s="59"/>
    </row>
    <row r="4697" spans="4:5">
      <c r="D4697" s="59"/>
      <c r="E4697" s="59"/>
    </row>
    <row r="4698" spans="4:5">
      <c r="D4698" s="59"/>
      <c r="E4698" s="59"/>
    </row>
    <row r="4699" spans="4:5">
      <c r="D4699" s="59"/>
      <c r="E4699" s="59"/>
    </row>
    <row r="4700" spans="4:5">
      <c r="D4700" s="59"/>
      <c r="E4700" s="59"/>
    </row>
    <row r="4701" spans="4:5">
      <c r="D4701" s="59"/>
      <c r="E4701" s="59"/>
    </row>
    <row r="4702" spans="4:5">
      <c r="D4702" s="59"/>
      <c r="E4702" s="59"/>
    </row>
    <row r="4703" spans="4:5">
      <c r="D4703" s="59"/>
      <c r="E4703" s="59"/>
    </row>
    <row r="4704" spans="4:5">
      <c r="D4704" s="59"/>
      <c r="E4704" s="59"/>
    </row>
    <row r="4705" spans="4:5">
      <c r="D4705" s="59"/>
      <c r="E4705" s="59"/>
    </row>
    <row r="4706" spans="4:5">
      <c r="D4706" s="59"/>
      <c r="E4706" s="59"/>
    </row>
    <row r="4707" spans="4:5">
      <c r="D4707" s="59"/>
      <c r="E4707" s="59"/>
    </row>
    <row r="4708" spans="4:5">
      <c r="D4708" s="59"/>
      <c r="E4708" s="59"/>
    </row>
    <row r="4709" spans="4:5">
      <c r="D4709" s="59"/>
      <c r="E4709" s="59"/>
    </row>
    <row r="4710" spans="4:5">
      <c r="D4710" s="59"/>
      <c r="E4710" s="59"/>
    </row>
    <row r="4711" spans="4:5">
      <c r="D4711" s="59"/>
      <c r="E4711" s="59"/>
    </row>
    <row r="4712" spans="4:5">
      <c r="D4712" s="59"/>
      <c r="E4712" s="59"/>
    </row>
    <row r="4713" spans="4:5">
      <c r="D4713" s="59"/>
      <c r="E4713" s="59"/>
    </row>
    <row r="4714" spans="4:5">
      <c r="D4714" s="59"/>
      <c r="E4714" s="59"/>
    </row>
    <row r="4715" spans="4:5">
      <c r="D4715" s="59"/>
      <c r="E4715" s="59"/>
    </row>
    <row r="4716" spans="4:5">
      <c r="D4716" s="59"/>
      <c r="E4716" s="59"/>
    </row>
    <row r="4717" spans="4:5">
      <c r="D4717" s="59"/>
      <c r="E4717" s="59"/>
    </row>
    <row r="4718" spans="4:5">
      <c r="D4718" s="59"/>
      <c r="E4718" s="59"/>
    </row>
    <row r="4719" spans="4:5">
      <c r="D4719" s="59"/>
      <c r="E4719" s="59"/>
    </row>
    <row r="4720" spans="4:5">
      <c r="D4720" s="59"/>
      <c r="E4720" s="59"/>
    </row>
    <row r="4721" spans="4:5">
      <c r="D4721" s="59"/>
      <c r="E4721" s="59"/>
    </row>
    <row r="4722" spans="4:5">
      <c r="D4722" s="59"/>
      <c r="E4722" s="59"/>
    </row>
    <row r="4723" spans="4:5">
      <c r="D4723" s="59"/>
      <c r="E4723" s="59"/>
    </row>
    <row r="4724" spans="4:5">
      <c r="D4724" s="59"/>
      <c r="E4724" s="59"/>
    </row>
    <row r="4725" spans="4:5">
      <c r="D4725" s="59"/>
      <c r="E4725" s="59"/>
    </row>
    <row r="4726" spans="4:5">
      <c r="D4726" s="59"/>
      <c r="E4726" s="59"/>
    </row>
    <row r="4727" spans="4:5">
      <c r="D4727" s="59"/>
      <c r="E4727" s="59"/>
    </row>
    <row r="4728" spans="4:5">
      <c r="D4728" s="59"/>
      <c r="E4728" s="59"/>
    </row>
    <row r="4729" spans="4:5">
      <c r="D4729" s="59"/>
      <c r="E4729" s="59"/>
    </row>
    <row r="4730" spans="4:5">
      <c r="D4730" s="59"/>
      <c r="E4730" s="59"/>
    </row>
    <row r="4731" spans="4:5">
      <c r="D4731" s="59"/>
      <c r="E4731" s="59"/>
    </row>
    <row r="4732" spans="4:5">
      <c r="D4732" s="59"/>
      <c r="E4732" s="59"/>
    </row>
    <row r="4733" spans="4:5">
      <c r="D4733" s="59"/>
      <c r="E4733" s="59"/>
    </row>
    <row r="4734" spans="4:5">
      <c r="D4734" s="59"/>
      <c r="E4734" s="59"/>
    </row>
    <row r="4735" spans="4:5">
      <c r="D4735" s="59"/>
      <c r="E4735" s="59"/>
    </row>
    <row r="4736" spans="4:5">
      <c r="D4736" s="59"/>
      <c r="E4736" s="59"/>
    </row>
    <row r="4737" spans="4:5">
      <c r="D4737" s="59"/>
      <c r="E4737" s="59"/>
    </row>
    <row r="4738" spans="4:5">
      <c r="D4738" s="59"/>
      <c r="E4738" s="59"/>
    </row>
    <row r="4739" spans="4:5">
      <c r="D4739" s="59"/>
      <c r="E4739" s="59"/>
    </row>
    <row r="4740" spans="4:5">
      <c r="D4740" s="59"/>
      <c r="E4740" s="59"/>
    </row>
    <row r="4741" spans="4:5">
      <c r="D4741" s="59"/>
      <c r="E4741" s="59"/>
    </row>
    <row r="4742" spans="4:5">
      <c r="D4742" s="59"/>
      <c r="E4742" s="59"/>
    </row>
    <row r="4743" spans="4:5">
      <c r="D4743" s="59"/>
      <c r="E4743" s="59"/>
    </row>
    <row r="4744" spans="4:5">
      <c r="D4744" s="59"/>
      <c r="E4744" s="59"/>
    </row>
    <row r="4745" spans="4:5">
      <c r="D4745" s="59"/>
      <c r="E4745" s="59"/>
    </row>
    <row r="4746" spans="4:5">
      <c r="D4746" s="59"/>
      <c r="E4746" s="59"/>
    </row>
    <row r="4747" spans="4:5">
      <c r="D4747" s="59"/>
      <c r="E4747" s="59"/>
    </row>
    <row r="4748" spans="4:5">
      <c r="D4748" s="59"/>
      <c r="E4748" s="59"/>
    </row>
    <row r="4749" spans="4:5">
      <c r="D4749" s="59"/>
      <c r="E4749" s="59"/>
    </row>
    <row r="4750" spans="4:5">
      <c r="D4750" s="59"/>
      <c r="E4750" s="59"/>
    </row>
    <row r="4751" spans="4:5">
      <c r="D4751" s="59"/>
      <c r="E4751" s="59"/>
    </row>
    <row r="4752" spans="4:5">
      <c r="D4752" s="59"/>
      <c r="E4752" s="59"/>
    </row>
    <row r="4753" spans="4:5">
      <c r="D4753" s="59"/>
      <c r="E4753" s="59"/>
    </row>
    <row r="4754" spans="4:5">
      <c r="D4754" s="59"/>
      <c r="E4754" s="59"/>
    </row>
    <row r="4755" spans="4:5">
      <c r="D4755" s="59"/>
      <c r="E4755" s="59"/>
    </row>
    <row r="4756" spans="4:5">
      <c r="D4756" s="59"/>
      <c r="E4756" s="59"/>
    </row>
    <row r="4757" spans="4:5">
      <c r="D4757" s="59"/>
      <c r="E4757" s="59"/>
    </row>
    <row r="4758" spans="4:5">
      <c r="D4758" s="59"/>
      <c r="E4758" s="59"/>
    </row>
    <row r="4759" spans="4:5">
      <c r="D4759" s="59"/>
      <c r="E4759" s="59"/>
    </row>
    <row r="4760" spans="4:5">
      <c r="D4760" s="59"/>
      <c r="E4760" s="59"/>
    </row>
    <row r="4761" spans="4:5">
      <c r="D4761" s="59"/>
      <c r="E4761" s="59"/>
    </row>
    <row r="4762" spans="4:5">
      <c r="D4762" s="59"/>
      <c r="E4762" s="59"/>
    </row>
    <row r="4763" spans="4:5">
      <c r="D4763" s="59"/>
      <c r="E4763" s="59"/>
    </row>
    <row r="4764" spans="4:5">
      <c r="D4764" s="59"/>
      <c r="E4764" s="59"/>
    </row>
    <row r="4765" spans="4:5">
      <c r="D4765" s="59"/>
      <c r="E4765" s="59"/>
    </row>
    <row r="4766" spans="4:5">
      <c r="D4766" s="59"/>
      <c r="E4766" s="59"/>
    </row>
    <row r="4767" spans="4:5">
      <c r="D4767" s="59"/>
      <c r="E4767" s="59"/>
    </row>
    <row r="4768" spans="4:5">
      <c r="D4768" s="59"/>
      <c r="E4768" s="59"/>
    </row>
    <row r="4769" spans="4:5">
      <c r="D4769" s="59"/>
      <c r="E4769" s="59"/>
    </row>
    <row r="4770" spans="4:5">
      <c r="D4770" s="59"/>
      <c r="E4770" s="59"/>
    </row>
    <row r="4771" spans="4:5">
      <c r="D4771" s="59"/>
      <c r="E4771" s="59"/>
    </row>
    <row r="4772" spans="4:5">
      <c r="D4772" s="59"/>
      <c r="E4772" s="59"/>
    </row>
    <row r="4773" spans="4:5">
      <c r="D4773" s="59"/>
      <c r="E4773" s="59"/>
    </row>
    <row r="4774" spans="4:5">
      <c r="D4774" s="59"/>
      <c r="E4774" s="59"/>
    </row>
    <row r="4775" spans="4:5">
      <c r="D4775" s="59"/>
      <c r="E4775" s="59"/>
    </row>
    <row r="4776" spans="4:5">
      <c r="D4776" s="59"/>
      <c r="E4776" s="59"/>
    </row>
    <row r="4777" spans="4:5">
      <c r="D4777" s="59"/>
      <c r="E4777" s="59"/>
    </row>
    <row r="4778" spans="4:5">
      <c r="D4778" s="59"/>
      <c r="E4778" s="59"/>
    </row>
    <row r="4779" spans="4:5">
      <c r="D4779" s="59"/>
      <c r="E4779" s="59"/>
    </row>
    <row r="4780" spans="4:5">
      <c r="D4780" s="59"/>
      <c r="E4780" s="59"/>
    </row>
    <row r="4781" spans="4:5">
      <c r="D4781" s="59"/>
      <c r="E4781" s="59"/>
    </row>
    <row r="4782" spans="4:5">
      <c r="D4782" s="59"/>
      <c r="E4782" s="59"/>
    </row>
    <row r="4783" spans="4:5">
      <c r="D4783" s="59"/>
      <c r="E4783" s="59"/>
    </row>
    <row r="4784" spans="4:5">
      <c r="D4784" s="59"/>
      <c r="E4784" s="59"/>
    </row>
    <row r="4785" spans="4:5">
      <c r="D4785" s="59"/>
      <c r="E4785" s="59"/>
    </row>
    <row r="4786" spans="4:5">
      <c r="D4786" s="59"/>
      <c r="E4786" s="59"/>
    </row>
    <row r="4787" spans="4:5">
      <c r="D4787" s="59"/>
      <c r="E4787" s="59"/>
    </row>
    <row r="4788" spans="4:5">
      <c r="D4788" s="59"/>
      <c r="E4788" s="59"/>
    </row>
    <row r="4789" spans="4:5">
      <c r="D4789" s="59"/>
      <c r="E4789" s="59"/>
    </row>
    <row r="4790" spans="4:5">
      <c r="D4790" s="59"/>
      <c r="E4790" s="59"/>
    </row>
    <row r="4791" spans="4:5">
      <c r="D4791" s="59"/>
      <c r="E4791" s="59"/>
    </row>
    <row r="4792" spans="4:5">
      <c r="D4792" s="59"/>
      <c r="E4792" s="59"/>
    </row>
    <row r="4793" spans="4:5">
      <c r="D4793" s="59"/>
      <c r="E4793" s="59"/>
    </row>
    <row r="4794" spans="4:5">
      <c r="D4794" s="59"/>
      <c r="E4794" s="59"/>
    </row>
    <row r="4795" spans="4:5">
      <c r="D4795" s="59"/>
      <c r="E4795" s="59"/>
    </row>
    <row r="4796" spans="4:5">
      <c r="D4796" s="59"/>
      <c r="E4796" s="59"/>
    </row>
    <row r="4797" spans="4:5">
      <c r="D4797" s="59"/>
      <c r="E4797" s="59"/>
    </row>
    <row r="4798" spans="4:5">
      <c r="D4798" s="59"/>
      <c r="E4798" s="59"/>
    </row>
    <row r="4799" spans="4:5">
      <c r="D4799" s="59"/>
      <c r="E4799" s="59"/>
    </row>
    <row r="4800" spans="4:5">
      <c r="D4800" s="59"/>
      <c r="E4800" s="59"/>
    </row>
    <row r="4801" spans="4:5">
      <c r="D4801" s="59"/>
      <c r="E4801" s="59"/>
    </row>
    <row r="4802" spans="4:5">
      <c r="D4802" s="59"/>
      <c r="E4802" s="59"/>
    </row>
    <row r="4803" spans="4:5">
      <c r="D4803" s="59"/>
      <c r="E4803" s="59"/>
    </row>
    <row r="4804" spans="4:5">
      <c r="D4804" s="59"/>
      <c r="E4804" s="59"/>
    </row>
    <row r="4805" spans="4:5">
      <c r="D4805" s="59"/>
      <c r="E4805" s="59"/>
    </row>
    <row r="4806" spans="4:5">
      <c r="D4806" s="59"/>
      <c r="E4806" s="59"/>
    </row>
    <row r="4807" spans="4:5">
      <c r="D4807" s="59"/>
      <c r="E4807" s="59"/>
    </row>
    <row r="4808" spans="4:5">
      <c r="D4808" s="59"/>
      <c r="E4808" s="59"/>
    </row>
    <row r="4809" spans="4:5">
      <c r="D4809" s="59"/>
      <c r="E4809" s="59"/>
    </row>
    <row r="4810" spans="4:5">
      <c r="D4810" s="59"/>
      <c r="E4810" s="59"/>
    </row>
    <row r="4811" spans="4:5">
      <c r="D4811" s="59"/>
      <c r="E4811" s="59"/>
    </row>
    <row r="4812" spans="4:5">
      <c r="D4812" s="59"/>
      <c r="E4812" s="59"/>
    </row>
    <row r="4813" spans="4:5">
      <c r="D4813" s="59"/>
      <c r="E4813" s="59"/>
    </row>
    <row r="4814" spans="4:5">
      <c r="D4814" s="59"/>
      <c r="E4814" s="59"/>
    </row>
    <row r="4815" spans="4:5">
      <c r="D4815" s="59"/>
      <c r="E4815" s="59"/>
    </row>
    <row r="4816" spans="4:5">
      <c r="D4816" s="59"/>
      <c r="E4816" s="59"/>
    </row>
    <row r="4817" spans="4:5">
      <c r="D4817" s="59"/>
      <c r="E4817" s="59"/>
    </row>
    <row r="4818" spans="4:5">
      <c r="D4818" s="59"/>
      <c r="E4818" s="59"/>
    </row>
    <row r="4819" spans="4:5">
      <c r="D4819" s="59"/>
      <c r="E4819" s="59"/>
    </row>
    <row r="4820" spans="4:5">
      <c r="D4820" s="59"/>
      <c r="E4820" s="59"/>
    </row>
    <row r="4821" spans="4:5">
      <c r="D4821" s="59"/>
      <c r="E4821" s="59"/>
    </row>
    <row r="4822" spans="4:5">
      <c r="D4822" s="59"/>
      <c r="E4822" s="59"/>
    </row>
    <row r="4823" spans="4:5">
      <c r="D4823" s="59"/>
      <c r="E4823" s="59"/>
    </row>
    <row r="4824" spans="4:5">
      <c r="D4824" s="59"/>
      <c r="E4824" s="59"/>
    </row>
    <row r="4825" spans="4:5">
      <c r="D4825" s="59"/>
      <c r="E4825" s="59"/>
    </row>
    <row r="4826" spans="4:5">
      <c r="D4826" s="59"/>
      <c r="E4826" s="59"/>
    </row>
    <row r="4827" spans="4:5">
      <c r="D4827" s="59"/>
      <c r="E4827" s="59"/>
    </row>
    <row r="4828" spans="4:5">
      <c r="D4828" s="59"/>
      <c r="E4828" s="59"/>
    </row>
    <row r="4829" spans="4:5">
      <c r="D4829" s="59"/>
      <c r="E4829" s="59"/>
    </row>
    <row r="4830" spans="4:5">
      <c r="D4830" s="59"/>
      <c r="E4830" s="59"/>
    </row>
    <row r="4831" spans="4:5">
      <c r="D4831" s="59"/>
      <c r="E4831" s="59"/>
    </row>
    <row r="4832" spans="4:5">
      <c r="D4832" s="59"/>
      <c r="E4832" s="59"/>
    </row>
    <row r="4833" spans="4:5">
      <c r="D4833" s="59"/>
      <c r="E4833" s="59"/>
    </row>
    <row r="4834" spans="4:5">
      <c r="D4834" s="59"/>
      <c r="E4834" s="59"/>
    </row>
    <row r="4835" spans="4:5">
      <c r="D4835" s="59"/>
      <c r="E4835" s="59"/>
    </row>
    <row r="4836" spans="4:5">
      <c r="D4836" s="59"/>
      <c r="E4836" s="59"/>
    </row>
    <row r="4837" spans="4:5">
      <c r="D4837" s="59"/>
      <c r="E4837" s="59"/>
    </row>
    <row r="4838" spans="4:5">
      <c r="D4838" s="59"/>
      <c r="E4838" s="59"/>
    </row>
    <row r="4839" spans="4:5">
      <c r="D4839" s="59"/>
      <c r="E4839" s="59"/>
    </row>
    <row r="4840" spans="4:5">
      <c r="D4840" s="59"/>
      <c r="E4840" s="59"/>
    </row>
    <row r="4841" spans="4:5">
      <c r="D4841" s="59"/>
      <c r="E4841" s="59"/>
    </row>
    <row r="4842" spans="4:5">
      <c r="D4842" s="59"/>
      <c r="E4842" s="59"/>
    </row>
    <row r="4843" spans="4:5">
      <c r="D4843" s="59"/>
      <c r="E4843" s="59"/>
    </row>
    <row r="4844" spans="4:5">
      <c r="D4844" s="59"/>
      <c r="E4844" s="59"/>
    </row>
    <row r="4845" spans="4:5">
      <c r="D4845" s="59"/>
      <c r="E4845" s="59"/>
    </row>
    <row r="4846" spans="4:5">
      <c r="D4846" s="59"/>
      <c r="E4846" s="59"/>
    </row>
    <row r="4847" spans="4:5">
      <c r="D4847" s="59"/>
      <c r="E4847" s="59"/>
    </row>
    <row r="4848" spans="4:5">
      <c r="D4848" s="59"/>
      <c r="E4848" s="59"/>
    </row>
    <row r="4849" spans="4:5">
      <c r="D4849" s="59"/>
      <c r="E4849" s="59"/>
    </row>
    <row r="4850" spans="4:5">
      <c r="D4850" s="59"/>
      <c r="E4850" s="59"/>
    </row>
    <row r="4851" spans="4:5">
      <c r="D4851" s="59"/>
      <c r="E4851" s="59"/>
    </row>
    <row r="4852" spans="4:5">
      <c r="D4852" s="59"/>
      <c r="E4852" s="59"/>
    </row>
    <row r="4853" spans="4:5">
      <c r="D4853" s="59"/>
      <c r="E4853" s="59"/>
    </row>
    <row r="4854" spans="4:5">
      <c r="D4854" s="59"/>
      <c r="E4854" s="59"/>
    </row>
    <row r="4855" spans="4:5">
      <c r="D4855" s="59"/>
      <c r="E4855" s="59"/>
    </row>
    <row r="4856" spans="4:5">
      <c r="D4856" s="59"/>
      <c r="E4856" s="59"/>
    </row>
    <row r="4857" spans="4:5">
      <c r="D4857" s="59"/>
      <c r="E4857" s="59"/>
    </row>
    <row r="4858" spans="4:5">
      <c r="D4858" s="59"/>
      <c r="E4858" s="59"/>
    </row>
    <row r="4859" spans="4:5">
      <c r="D4859" s="59"/>
      <c r="E4859" s="59"/>
    </row>
    <row r="4860" spans="4:5">
      <c r="D4860" s="59"/>
      <c r="E4860" s="59"/>
    </row>
    <row r="4861" spans="4:5">
      <c r="D4861" s="59"/>
      <c r="E4861" s="59"/>
    </row>
    <row r="4862" spans="4:5">
      <c r="D4862" s="59"/>
      <c r="E4862" s="59"/>
    </row>
    <row r="4863" spans="4:5">
      <c r="D4863" s="59"/>
      <c r="E4863" s="59"/>
    </row>
    <row r="4864" spans="4:5">
      <c r="D4864" s="59"/>
      <c r="E4864" s="59"/>
    </row>
    <row r="4865" spans="4:5">
      <c r="D4865" s="59"/>
      <c r="E4865" s="59"/>
    </row>
    <row r="4866" spans="4:5">
      <c r="D4866" s="59"/>
      <c r="E4866" s="59"/>
    </row>
    <row r="4867" spans="4:5">
      <c r="D4867" s="59"/>
      <c r="E4867" s="59"/>
    </row>
    <row r="4868" spans="4:5">
      <c r="D4868" s="59"/>
      <c r="E4868" s="59"/>
    </row>
    <row r="4869" spans="4:5">
      <c r="D4869" s="59"/>
      <c r="E4869" s="59"/>
    </row>
    <row r="4870" spans="4:5">
      <c r="D4870" s="59"/>
      <c r="E4870" s="59"/>
    </row>
    <row r="4871" spans="4:5">
      <c r="D4871" s="59"/>
      <c r="E4871" s="59"/>
    </row>
    <row r="4872" spans="4:5">
      <c r="D4872" s="59"/>
      <c r="E4872" s="59"/>
    </row>
    <row r="4873" spans="4:5">
      <c r="D4873" s="59"/>
      <c r="E4873" s="59"/>
    </row>
    <row r="4874" spans="4:5">
      <c r="D4874" s="59"/>
      <c r="E4874" s="59"/>
    </row>
    <row r="4875" spans="4:5">
      <c r="D4875" s="59"/>
      <c r="E4875" s="59"/>
    </row>
    <row r="4876" spans="4:5">
      <c r="D4876" s="59"/>
      <c r="E4876" s="59"/>
    </row>
    <row r="4877" spans="4:5">
      <c r="D4877" s="59"/>
      <c r="E4877" s="59"/>
    </row>
    <row r="4878" spans="4:5">
      <c r="D4878" s="59"/>
      <c r="E4878" s="59"/>
    </row>
    <row r="4879" spans="4:5">
      <c r="D4879" s="59"/>
      <c r="E4879" s="59"/>
    </row>
    <row r="4880" spans="4:5">
      <c r="D4880" s="59"/>
      <c r="E4880" s="59"/>
    </row>
    <row r="4881" spans="4:5">
      <c r="D4881" s="59"/>
      <c r="E4881" s="59"/>
    </row>
    <row r="4882" spans="4:5">
      <c r="D4882" s="59"/>
      <c r="E4882" s="59"/>
    </row>
    <row r="4883" spans="4:5">
      <c r="D4883" s="59"/>
      <c r="E4883" s="59"/>
    </row>
    <row r="4884" spans="4:5">
      <c r="D4884" s="59"/>
      <c r="E4884" s="59"/>
    </row>
    <row r="4885" spans="4:5">
      <c r="D4885" s="59"/>
      <c r="E4885" s="59"/>
    </row>
    <row r="4886" spans="4:5">
      <c r="D4886" s="59"/>
      <c r="E4886" s="59"/>
    </row>
    <row r="4887" spans="4:5">
      <c r="D4887" s="59"/>
      <c r="E4887" s="59"/>
    </row>
    <row r="4888" spans="4:5">
      <c r="D4888" s="59"/>
      <c r="E4888" s="59"/>
    </row>
    <row r="4889" spans="4:5">
      <c r="D4889" s="59"/>
      <c r="E4889" s="59"/>
    </row>
    <row r="4890" spans="4:5">
      <c r="D4890" s="59"/>
      <c r="E4890" s="59"/>
    </row>
    <row r="4891" spans="4:5">
      <c r="D4891" s="59"/>
      <c r="E4891" s="59"/>
    </row>
    <row r="4892" spans="4:5">
      <c r="D4892" s="59"/>
      <c r="E4892" s="59"/>
    </row>
    <row r="4893" spans="4:5">
      <c r="D4893" s="59"/>
      <c r="E4893" s="59"/>
    </row>
    <row r="4894" spans="4:5">
      <c r="D4894" s="59"/>
      <c r="E4894" s="59"/>
    </row>
    <row r="4895" spans="4:5">
      <c r="D4895" s="59"/>
      <c r="E4895" s="59"/>
    </row>
    <row r="4896" spans="4:5">
      <c r="D4896" s="59"/>
      <c r="E4896" s="59"/>
    </row>
    <row r="4897" spans="4:5">
      <c r="D4897" s="59"/>
      <c r="E4897" s="59"/>
    </row>
    <row r="4898" spans="4:5">
      <c r="D4898" s="59"/>
      <c r="E4898" s="59"/>
    </row>
    <row r="4899" spans="4:5">
      <c r="D4899" s="59"/>
      <c r="E4899" s="59"/>
    </row>
    <row r="4900" spans="4:5">
      <c r="D4900" s="59"/>
      <c r="E4900" s="59"/>
    </row>
    <row r="4901" spans="4:5">
      <c r="D4901" s="59"/>
      <c r="E4901" s="59"/>
    </row>
    <row r="4902" spans="4:5">
      <c r="D4902" s="59"/>
      <c r="E4902" s="59"/>
    </row>
    <row r="4903" spans="4:5">
      <c r="D4903" s="59"/>
      <c r="E4903" s="59"/>
    </row>
    <row r="4904" spans="4:5">
      <c r="D4904" s="59"/>
      <c r="E4904" s="59"/>
    </row>
    <row r="4905" spans="4:5">
      <c r="D4905" s="59"/>
      <c r="E4905" s="59"/>
    </row>
    <row r="4906" spans="4:5">
      <c r="D4906" s="59"/>
      <c r="E4906" s="59"/>
    </row>
    <row r="4907" spans="4:5">
      <c r="D4907" s="59"/>
      <c r="E4907" s="59"/>
    </row>
    <row r="4908" spans="4:5">
      <c r="D4908" s="59"/>
      <c r="E4908" s="59"/>
    </row>
    <row r="4909" spans="4:5">
      <c r="D4909" s="59"/>
      <c r="E4909" s="59"/>
    </row>
    <row r="4910" spans="4:5">
      <c r="D4910" s="59"/>
      <c r="E4910" s="59"/>
    </row>
    <row r="4911" spans="4:5">
      <c r="D4911" s="59"/>
      <c r="E4911" s="59"/>
    </row>
    <row r="4912" spans="4:5">
      <c r="D4912" s="59"/>
      <c r="E4912" s="59"/>
    </row>
    <row r="4913" spans="4:5">
      <c r="D4913" s="59"/>
      <c r="E4913" s="59"/>
    </row>
    <row r="4914" spans="4:5">
      <c r="D4914" s="59"/>
      <c r="E4914" s="59"/>
    </row>
    <row r="4915" spans="4:5">
      <c r="D4915" s="59"/>
      <c r="E4915" s="59"/>
    </row>
    <row r="4916" spans="4:5">
      <c r="D4916" s="59"/>
      <c r="E4916" s="59"/>
    </row>
    <row r="4917" spans="4:5">
      <c r="D4917" s="59"/>
      <c r="E4917" s="59"/>
    </row>
    <row r="4918" spans="4:5">
      <c r="D4918" s="59"/>
      <c r="E4918" s="59"/>
    </row>
    <row r="4919" spans="4:5">
      <c r="D4919" s="59"/>
      <c r="E4919" s="59"/>
    </row>
    <row r="4920" spans="4:5">
      <c r="D4920" s="59"/>
      <c r="E4920" s="59"/>
    </row>
    <row r="4921" spans="4:5">
      <c r="D4921" s="59"/>
      <c r="E4921" s="59"/>
    </row>
    <row r="4922" spans="4:5">
      <c r="D4922" s="59"/>
      <c r="E4922" s="59"/>
    </row>
    <row r="4923" spans="4:5">
      <c r="D4923" s="59"/>
      <c r="E4923" s="59"/>
    </row>
    <row r="4924" spans="4:5">
      <c r="D4924" s="59"/>
      <c r="E4924" s="59"/>
    </row>
    <row r="4925" spans="4:5">
      <c r="D4925" s="59"/>
      <c r="E4925" s="59"/>
    </row>
    <row r="4926" spans="4:5">
      <c r="D4926" s="59"/>
      <c r="E4926" s="59"/>
    </row>
    <row r="4927" spans="4:5">
      <c r="D4927" s="59"/>
      <c r="E4927" s="59"/>
    </row>
    <row r="4928" spans="4:5">
      <c r="D4928" s="59"/>
      <c r="E4928" s="59"/>
    </row>
    <row r="4929" spans="4:5">
      <c r="D4929" s="59"/>
      <c r="E4929" s="59"/>
    </row>
    <row r="4930" spans="4:5">
      <c r="D4930" s="59"/>
      <c r="E4930" s="59"/>
    </row>
    <row r="4931" spans="4:5">
      <c r="D4931" s="59"/>
      <c r="E4931" s="59"/>
    </row>
    <row r="4932" spans="4:5">
      <c r="D4932" s="59"/>
      <c r="E4932" s="59"/>
    </row>
    <row r="4933" spans="4:5">
      <c r="D4933" s="59"/>
      <c r="E4933" s="59"/>
    </row>
    <row r="4934" spans="4:5">
      <c r="D4934" s="59"/>
      <c r="E4934" s="59"/>
    </row>
    <row r="4935" spans="4:5">
      <c r="D4935" s="59"/>
      <c r="E4935" s="59"/>
    </row>
    <row r="4936" spans="4:5">
      <c r="D4936" s="59"/>
      <c r="E4936" s="59"/>
    </row>
    <row r="4937" spans="4:5">
      <c r="D4937" s="59"/>
      <c r="E4937" s="59"/>
    </row>
    <row r="4938" spans="4:5">
      <c r="D4938" s="59"/>
      <c r="E4938" s="59"/>
    </row>
    <row r="4939" spans="4:5">
      <c r="D4939" s="59"/>
      <c r="E4939" s="59"/>
    </row>
    <row r="4940" spans="4:5">
      <c r="D4940" s="59"/>
      <c r="E4940" s="59"/>
    </row>
    <row r="4941" spans="4:5">
      <c r="D4941" s="59"/>
      <c r="E4941" s="59"/>
    </row>
    <row r="4942" spans="4:5">
      <c r="D4942" s="59"/>
      <c r="E4942" s="59"/>
    </row>
    <row r="4943" spans="4:5">
      <c r="D4943" s="59"/>
      <c r="E4943" s="59"/>
    </row>
    <row r="4944" spans="4:5">
      <c r="D4944" s="59"/>
      <c r="E4944" s="59"/>
    </row>
    <row r="4945" spans="4:5">
      <c r="D4945" s="59"/>
      <c r="E4945" s="59"/>
    </row>
    <row r="4946" spans="4:5">
      <c r="D4946" s="59"/>
      <c r="E4946" s="59"/>
    </row>
    <row r="4947" spans="4:5">
      <c r="D4947" s="59"/>
      <c r="E4947" s="59"/>
    </row>
    <row r="4948" spans="4:5">
      <c r="D4948" s="59"/>
      <c r="E4948" s="59"/>
    </row>
    <row r="4949" spans="4:5">
      <c r="D4949" s="59"/>
      <c r="E4949" s="59"/>
    </row>
    <row r="4950" spans="4:5">
      <c r="D4950" s="59"/>
      <c r="E4950" s="59"/>
    </row>
    <row r="4951" spans="4:5">
      <c r="D4951" s="59"/>
      <c r="E4951" s="59"/>
    </row>
    <row r="4952" spans="4:5">
      <c r="D4952" s="59"/>
      <c r="E4952" s="59"/>
    </row>
    <row r="4953" spans="4:5">
      <c r="D4953" s="59"/>
      <c r="E4953" s="59"/>
    </row>
    <row r="4954" spans="4:5">
      <c r="D4954" s="59"/>
      <c r="E4954" s="59"/>
    </row>
    <row r="4955" spans="4:5">
      <c r="D4955" s="59"/>
      <c r="E4955" s="59"/>
    </row>
    <row r="4956" spans="4:5">
      <c r="D4956" s="59"/>
      <c r="E4956" s="59"/>
    </row>
    <row r="4957" spans="4:5">
      <c r="D4957" s="59"/>
      <c r="E4957" s="59"/>
    </row>
    <row r="4958" spans="4:5">
      <c r="D4958" s="59"/>
      <c r="E4958" s="59"/>
    </row>
    <row r="4959" spans="4:5">
      <c r="D4959" s="59"/>
      <c r="E4959" s="59"/>
    </row>
    <row r="4960" spans="4:5">
      <c r="D4960" s="59"/>
      <c r="E4960" s="59"/>
    </row>
    <row r="4961" spans="4:5">
      <c r="D4961" s="59"/>
      <c r="E4961" s="59"/>
    </row>
    <row r="4962" spans="4:5">
      <c r="D4962" s="59"/>
      <c r="E4962" s="59"/>
    </row>
    <row r="4963" spans="4:5">
      <c r="D4963" s="59"/>
      <c r="E4963" s="59"/>
    </row>
    <row r="4964" spans="4:5">
      <c r="D4964" s="59"/>
      <c r="E4964" s="59"/>
    </row>
    <row r="4965" spans="4:5">
      <c r="D4965" s="59"/>
      <c r="E4965" s="59"/>
    </row>
    <row r="4966" spans="4:5">
      <c r="D4966" s="59"/>
      <c r="E4966" s="59"/>
    </row>
    <row r="4967" spans="4:5">
      <c r="D4967" s="59"/>
      <c r="E4967" s="59"/>
    </row>
    <row r="4968" spans="4:5">
      <c r="D4968" s="59"/>
      <c r="E4968" s="59"/>
    </row>
    <row r="4969" spans="4:5">
      <c r="D4969" s="59"/>
      <c r="E4969" s="59"/>
    </row>
    <row r="4970" spans="4:5">
      <c r="D4970" s="59"/>
      <c r="E4970" s="59"/>
    </row>
    <row r="4971" spans="4:5">
      <c r="D4971" s="59"/>
      <c r="E4971" s="59"/>
    </row>
    <row r="4972" spans="4:5">
      <c r="D4972" s="59"/>
      <c r="E4972" s="59"/>
    </row>
    <row r="4973" spans="4:5">
      <c r="D4973" s="59"/>
      <c r="E4973" s="59"/>
    </row>
    <row r="4974" spans="4:5">
      <c r="D4974" s="59"/>
      <c r="E4974" s="59"/>
    </row>
    <row r="4975" spans="4:5">
      <c r="D4975" s="59"/>
      <c r="E4975" s="59"/>
    </row>
    <row r="4976" spans="4:5">
      <c r="D4976" s="59"/>
      <c r="E4976" s="59"/>
    </row>
    <row r="4977" spans="4:5">
      <c r="D4977" s="59"/>
      <c r="E4977" s="59"/>
    </row>
    <row r="4978" spans="4:5">
      <c r="D4978" s="59"/>
      <c r="E4978" s="59"/>
    </row>
    <row r="4979" spans="4:5">
      <c r="D4979" s="59"/>
      <c r="E4979" s="59"/>
    </row>
    <row r="4980" spans="4:5">
      <c r="D4980" s="59"/>
      <c r="E4980" s="59"/>
    </row>
    <row r="4981" spans="4:5">
      <c r="D4981" s="59"/>
      <c r="E4981" s="59"/>
    </row>
    <row r="4982" spans="4:5">
      <c r="D4982" s="59"/>
      <c r="E4982" s="59"/>
    </row>
    <row r="4983" spans="4:5">
      <c r="D4983" s="59"/>
      <c r="E4983" s="59"/>
    </row>
    <row r="4984" spans="4:5">
      <c r="D4984" s="59"/>
      <c r="E4984" s="59"/>
    </row>
    <row r="4985" spans="4:5">
      <c r="D4985" s="59"/>
      <c r="E4985" s="59"/>
    </row>
    <row r="4986" spans="4:5">
      <c r="D4986" s="59"/>
      <c r="E4986" s="59"/>
    </row>
    <row r="4987" spans="4:5">
      <c r="D4987" s="59"/>
      <c r="E4987" s="59"/>
    </row>
    <row r="4988" spans="4:5">
      <c r="D4988" s="59"/>
      <c r="E4988" s="59"/>
    </row>
    <row r="4989" spans="4:5">
      <c r="D4989" s="59"/>
      <c r="E4989" s="59"/>
    </row>
    <row r="4990" spans="4:5">
      <c r="D4990" s="59"/>
      <c r="E4990" s="59"/>
    </row>
    <row r="4991" spans="4:5">
      <c r="D4991" s="59"/>
      <c r="E4991" s="59"/>
    </row>
    <row r="4992" spans="4:5">
      <c r="D4992" s="59"/>
      <c r="E4992" s="59"/>
    </row>
    <row r="4993" spans="4:5">
      <c r="D4993" s="59"/>
      <c r="E4993" s="59"/>
    </row>
    <row r="4994" spans="4:5">
      <c r="D4994" s="59"/>
      <c r="E4994" s="59"/>
    </row>
    <row r="4995" spans="4:5">
      <c r="D4995" s="59"/>
      <c r="E4995" s="59"/>
    </row>
    <row r="4996" spans="4:5">
      <c r="D4996" s="59"/>
      <c r="E4996" s="59"/>
    </row>
    <row r="4997" spans="4:5">
      <c r="D4997" s="59"/>
      <c r="E4997" s="59"/>
    </row>
    <row r="4998" spans="4:5">
      <c r="D4998" s="59"/>
      <c r="E4998" s="59"/>
    </row>
    <row r="4999" spans="4:5">
      <c r="D4999" s="59"/>
      <c r="E4999" s="59"/>
    </row>
    <row r="5000" spans="4:5">
      <c r="D5000" s="59"/>
      <c r="E5000" s="59"/>
    </row>
    <row r="5001" spans="4:5">
      <c r="D5001" s="59"/>
      <c r="E5001" s="59"/>
    </row>
    <row r="5002" spans="4:5">
      <c r="D5002" s="59"/>
      <c r="E5002" s="59"/>
    </row>
    <row r="5003" spans="4:5">
      <c r="D5003" s="59"/>
      <c r="E5003" s="59"/>
    </row>
    <row r="5004" spans="4:5">
      <c r="D5004" s="59"/>
      <c r="E5004" s="59"/>
    </row>
    <row r="5005" spans="4:5">
      <c r="D5005" s="59"/>
      <c r="E5005" s="59"/>
    </row>
    <row r="5006" spans="4:5">
      <c r="D5006" s="59"/>
      <c r="E5006" s="59"/>
    </row>
    <row r="5007" spans="4:5">
      <c r="D5007" s="59"/>
      <c r="E5007" s="59"/>
    </row>
    <row r="5008" spans="4:5">
      <c r="D5008" s="59"/>
      <c r="E5008" s="59"/>
    </row>
    <row r="5009" spans="4:5">
      <c r="D5009" s="59"/>
      <c r="E5009" s="59"/>
    </row>
    <row r="5010" spans="4:5">
      <c r="D5010" s="59"/>
      <c r="E5010" s="59"/>
    </row>
    <row r="5011" spans="4:5">
      <c r="D5011" s="59"/>
      <c r="E5011" s="59"/>
    </row>
    <row r="5012" spans="4:5">
      <c r="D5012" s="59"/>
      <c r="E5012" s="59"/>
    </row>
    <row r="5013" spans="4:5">
      <c r="D5013" s="59"/>
      <c r="E5013" s="59"/>
    </row>
    <row r="5014" spans="4:5">
      <c r="D5014" s="59"/>
      <c r="E5014" s="59"/>
    </row>
    <row r="5015" spans="4:5">
      <c r="D5015" s="59"/>
      <c r="E5015" s="59"/>
    </row>
    <row r="5016" spans="4:5">
      <c r="D5016" s="59"/>
      <c r="E5016" s="59"/>
    </row>
    <row r="5017" spans="4:5">
      <c r="D5017" s="59"/>
      <c r="E5017" s="59"/>
    </row>
    <row r="5018" spans="4:5">
      <c r="D5018" s="59"/>
      <c r="E5018" s="59"/>
    </row>
    <row r="5019" spans="4:5">
      <c r="D5019" s="59"/>
      <c r="E5019" s="59"/>
    </row>
    <row r="5020" spans="4:5">
      <c r="D5020" s="59"/>
      <c r="E5020" s="59"/>
    </row>
    <row r="5021" spans="4:5">
      <c r="D5021" s="59"/>
      <c r="E5021" s="59"/>
    </row>
    <row r="5022" spans="4:5">
      <c r="D5022" s="59"/>
      <c r="E5022" s="59"/>
    </row>
    <row r="5023" spans="4:5">
      <c r="D5023" s="59"/>
      <c r="E5023" s="59"/>
    </row>
    <row r="5024" spans="4:5">
      <c r="D5024" s="59"/>
      <c r="E5024" s="59"/>
    </row>
    <row r="5025" spans="4:5">
      <c r="D5025" s="59"/>
      <c r="E5025" s="59"/>
    </row>
    <row r="5026" spans="4:5">
      <c r="D5026" s="59"/>
      <c r="E5026" s="59"/>
    </row>
    <row r="5027" spans="4:5">
      <c r="D5027" s="59"/>
      <c r="E5027" s="59"/>
    </row>
    <row r="5028" spans="4:5">
      <c r="D5028" s="59"/>
      <c r="E5028" s="59"/>
    </row>
    <row r="5029" spans="4:5">
      <c r="D5029" s="59"/>
      <c r="E5029" s="59"/>
    </row>
    <row r="5030" spans="4:5">
      <c r="D5030" s="59"/>
      <c r="E5030" s="59"/>
    </row>
    <row r="5031" spans="4:5">
      <c r="D5031" s="59"/>
      <c r="E5031" s="59"/>
    </row>
    <row r="5032" spans="4:5">
      <c r="D5032" s="59"/>
      <c r="E5032" s="59"/>
    </row>
  </sheetData>
  <phoneticPr fontId="68" type="noConversion"/>
  <dataValidations count="2">
    <dataValidation type="list" allowBlank="1" showInputMessage="1" showErrorMessage="1" sqref="D12:E16 T2:T10" xr:uid="{00000000-0002-0000-0200-000000000000}">
      <formula1>ListBookies</formula1>
    </dataValidation>
    <dataValidation type="list" allowBlank="1" showInputMessage="1" showErrorMessage="1" sqref="C5:C16 L5:M6 C2:C3 S9:S10 K4:K6 K12 K8 K10" xr:uid="{00000000-0002-0000-0200-000001000000}">
      <formula1>ListDepWithType</formula1>
    </dataValidation>
  </dataValidations>
  <pageMargins left="0.7" right="0.7" top="0.75" bottom="0.75" header="0.3" footer="0.3"/>
  <pageSetup paperSize="9" orientation="portrait"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expression" priority="1591" id="{597804BC-B732-4261-8DB1-EAD9E7AB5358}">
            <xm:f>IF(SUMPRODUCT(-- (D1 =BookieNavn!$I$2:$I$279)) &gt; 0, 0, 1)</xm:f>
            <x14:dxf>
              <fill>
                <patternFill>
                  <bgColor rgb="FF0070C0"/>
                </patternFill>
              </fill>
            </x14:dxf>
          </x14:cfRule>
          <xm:sqref>T1 D1:E1 D119:E123 T346:T1048576 D501:E1048576 D53:E53 D55:E69 D99:E101 D103:E103 D105:E106 D114 T38:T41 D71:E88 T43:T77 D90:E97 D115:E117 D124:D140 D177:D179 D181:D183 D142:D175 T79:T92 T94:T99 T101:T110 D185:D195 D197:D235 D237:D241 D243:D249 D251:D252 T113:T114 D254 D257 D259:D261 D263 D265:D268 D271:D275 T116:T117 D277 T119:T120 D279:D280 D282:D500 T122:T340</xm:sqref>
        </x14:conditionalFormatting>
        <x14:conditionalFormatting xmlns:xm="http://schemas.microsoft.com/office/excel/2006/main">
          <x14:cfRule type="expression" priority="19" id="{D2A23819-7A8F-094E-ACD2-DF23AFC854DB}">
            <xm:f>IF(SUMPRODUCT(-- (T100 =BookieNavn!$I$2:$I$279)) &gt; 0, 0, 1)</xm:f>
            <x14:dxf>
              <fill>
                <patternFill>
                  <bgColor rgb="FF0070C0"/>
                </patternFill>
              </fill>
            </x14:dxf>
          </x14:cfRule>
          <xm:sqref>T100</xm:sqref>
        </x14:conditionalFormatting>
        <x14:conditionalFormatting xmlns:xm="http://schemas.microsoft.com/office/excel/2006/main">
          <x14:cfRule type="expression" priority="18" id="{C88DA493-2119-E448-BD8C-C7FCAA8DDD66}">
            <xm:f>IF(SUMPRODUCT(-- (D236 =BookieNavn!$I$2:$I$279)) &gt; 0, 0, 1)</xm:f>
            <x14:dxf>
              <fill>
                <patternFill>
                  <bgColor rgb="FF0070C0"/>
                </patternFill>
              </fill>
            </x14:dxf>
          </x14:cfRule>
          <xm:sqref>D236</xm:sqref>
        </x14:conditionalFormatting>
        <x14:conditionalFormatting xmlns:xm="http://schemas.microsoft.com/office/excel/2006/main">
          <x14:cfRule type="expression" priority="17" id="{9D36AE48-B7DD-2441-B8DF-50F1AB838023}">
            <xm:f>IF(SUMPRODUCT(-- (D250 =BookieNavn!$I$2:$I$279)) &gt; 0, 0, 1)</xm:f>
            <x14:dxf>
              <fill>
                <patternFill>
                  <bgColor rgb="FF0070C0"/>
                </patternFill>
              </fill>
            </x14:dxf>
          </x14:cfRule>
          <xm:sqref>D250</xm:sqref>
        </x14:conditionalFormatting>
        <x14:conditionalFormatting xmlns:xm="http://schemas.microsoft.com/office/excel/2006/main">
          <x14:cfRule type="expression" priority="16" id="{22D77F2A-077D-1B45-BA75-51AC8C9DDE17}">
            <xm:f>IF(SUMPRODUCT(-- (T111 =BookieNavn!$I$2:$I$279)) &gt; 0, 0, 1)</xm:f>
            <x14:dxf>
              <fill>
                <patternFill>
                  <bgColor rgb="FF0070C0"/>
                </patternFill>
              </fill>
            </x14:dxf>
          </x14:cfRule>
          <xm:sqref>T111</xm:sqref>
        </x14:conditionalFormatting>
        <x14:conditionalFormatting xmlns:xm="http://schemas.microsoft.com/office/excel/2006/main">
          <x14:cfRule type="expression" priority="15" id="{D7413E08-862B-E545-936D-C333371F02F2}">
            <xm:f>IF(SUMPRODUCT(-- (D253 =BookieNavn!$I$2:$I$279)) &gt; 0, 0, 1)</xm:f>
            <x14:dxf>
              <fill>
                <patternFill>
                  <bgColor rgb="FF0070C0"/>
                </patternFill>
              </fill>
            </x14:dxf>
          </x14:cfRule>
          <xm:sqref>D253</xm:sqref>
        </x14:conditionalFormatting>
        <x14:conditionalFormatting xmlns:xm="http://schemas.microsoft.com/office/excel/2006/main">
          <x14:cfRule type="expression" priority="14" id="{7C58B31C-8CAA-F142-A25D-8F8A63260D3D}">
            <xm:f>IF(SUMPRODUCT(-- (D255 =BookieNavn!$I$2:$I$279)) &gt; 0, 0, 1)</xm:f>
            <x14:dxf>
              <fill>
                <patternFill>
                  <bgColor rgb="FF0070C0"/>
                </patternFill>
              </fill>
            </x14:dxf>
          </x14:cfRule>
          <xm:sqref>D255</xm:sqref>
        </x14:conditionalFormatting>
        <x14:conditionalFormatting xmlns:xm="http://schemas.microsoft.com/office/excel/2006/main">
          <x14:cfRule type="expression" priority="13" id="{7719000C-6427-184A-BE16-22A9CF43E1D2}">
            <xm:f>IF(SUMPRODUCT(-- (D256 =BookieNavn!$I$2:$I$279)) &gt; 0, 0, 1)</xm:f>
            <x14:dxf>
              <fill>
                <patternFill>
                  <bgColor rgb="FF0070C0"/>
                </patternFill>
              </fill>
            </x14:dxf>
          </x14:cfRule>
          <xm:sqref>D256</xm:sqref>
        </x14:conditionalFormatting>
        <x14:conditionalFormatting xmlns:xm="http://schemas.microsoft.com/office/excel/2006/main">
          <x14:cfRule type="expression" priority="12" id="{ADEC0894-C0AC-B846-A443-E863327BCC54}">
            <xm:f>IF(SUMPRODUCT(-- (T112 =BookieNavn!$I$2:$I$279)) &gt; 0, 0, 1)</xm:f>
            <x14:dxf>
              <fill>
                <patternFill>
                  <bgColor rgb="FF0070C0"/>
                </patternFill>
              </fill>
            </x14:dxf>
          </x14:cfRule>
          <xm:sqref>T112</xm:sqref>
        </x14:conditionalFormatting>
        <x14:conditionalFormatting xmlns:xm="http://schemas.microsoft.com/office/excel/2006/main">
          <x14:cfRule type="expression" priority="11" id="{75638504-FB1B-EF45-AC48-376D53561D5F}">
            <xm:f>IF(SUMPRODUCT(-- (D258 =BookieNavn!$I$2:$I$279)) &gt; 0, 0, 1)</xm:f>
            <x14:dxf>
              <fill>
                <patternFill>
                  <bgColor rgb="FF0070C0"/>
                </patternFill>
              </fill>
            </x14:dxf>
          </x14:cfRule>
          <xm:sqref>D258</xm:sqref>
        </x14:conditionalFormatting>
        <x14:conditionalFormatting xmlns:xm="http://schemas.microsoft.com/office/excel/2006/main">
          <x14:cfRule type="expression" priority="10" id="{390AE62E-9C89-5141-8F3B-74E7BBFDE905}">
            <xm:f>IF(SUMPRODUCT(-- (D262 =BookieNavn!$I$2:$I$279)) &gt; 0, 0, 1)</xm:f>
            <x14:dxf>
              <fill>
                <patternFill>
                  <bgColor rgb="FF0070C0"/>
                </patternFill>
              </fill>
            </x14:dxf>
          </x14:cfRule>
          <xm:sqref>D262</xm:sqref>
        </x14:conditionalFormatting>
        <x14:conditionalFormatting xmlns:xm="http://schemas.microsoft.com/office/excel/2006/main">
          <x14:cfRule type="expression" priority="9" id="{56048B50-10B8-C644-ABAE-ABAC783EE83B}">
            <xm:f>IF(SUMPRODUCT(-- (D264 =BookieNavn!$I$2:$I$279)) &gt; 0, 0, 1)</xm:f>
            <x14:dxf>
              <fill>
                <patternFill>
                  <bgColor rgb="FF0070C0"/>
                </patternFill>
              </fill>
            </x14:dxf>
          </x14:cfRule>
          <xm:sqref>D264</xm:sqref>
        </x14:conditionalFormatting>
        <x14:conditionalFormatting xmlns:xm="http://schemas.microsoft.com/office/excel/2006/main">
          <x14:cfRule type="expression" priority="8" id="{16BFADEA-C1BE-4B4F-847E-5030FF19DF93}">
            <xm:f>IF(SUMPRODUCT(-- (D269 =BookieNavn!$I$2:$I$279)) &gt; 0, 0, 1)</xm:f>
            <x14:dxf>
              <fill>
                <patternFill>
                  <bgColor rgb="FF0070C0"/>
                </patternFill>
              </fill>
            </x14:dxf>
          </x14:cfRule>
          <xm:sqref>D269</xm:sqref>
        </x14:conditionalFormatting>
        <x14:conditionalFormatting xmlns:xm="http://schemas.microsoft.com/office/excel/2006/main">
          <x14:cfRule type="expression" priority="7" id="{1D74B91C-C365-6F42-9802-D7C9D47749CF}">
            <xm:f>IF(SUMPRODUCT(-- (T115 =BookieNavn!$I$2:$I$279)) &gt; 0, 0, 1)</xm:f>
            <x14:dxf>
              <fill>
                <patternFill>
                  <bgColor rgb="FF0070C0"/>
                </patternFill>
              </fill>
            </x14:dxf>
          </x14:cfRule>
          <xm:sqref>T115</xm:sqref>
        </x14:conditionalFormatting>
        <x14:conditionalFormatting xmlns:xm="http://schemas.microsoft.com/office/excel/2006/main">
          <x14:cfRule type="expression" priority="6" id="{CCAFAE11-92E2-8C4E-89D5-62365AC12B0C}">
            <xm:f>IF(SUMPRODUCT(-- (D270 =BookieNavn!$I$2:$I$279)) &gt; 0, 0, 1)</xm:f>
            <x14:dxf>
              <fill>
                <patternFill>
                  <bgColor rgb="FF0070C0"/>
                </patternFill>
              </fill>
            </x14:dxf>
          </x14:cfRule>
          <xm:sqref>D270</xm:sqref>
        </x14:conditionalFormatting>
        <x14:conditionalFormatting xmlns:xm="http://schemas.microsoft.com/office/excel/2006/main">
          <x14:cfRule type="expression" priority="5" id="{E6BF4EBD-2602-9F42-88E8-EFE2598AA9B0}">
            <xm:f>IF(SUMPRODUCT(-- (D276 =BookieNavn!$I$2:$I$279)) &gt; 0, 0, 1)</xm:f>
            <x14:dxf>
              <fill>
                <patternFill>
                  <bgColor rgb="FF0070C0"/>
                </patternFill>
              </fill>
            </x14:dxf>
          </x14:cfRule>
          <xm:sqref>D276</xm:sqref>
        </x14:conditionalFormatting>
        <x14:conditionalFormatting xmlns:xm="http://schemas.microsoft.com/office/excel/2006/main">
          <x14:cfRule type="expression" priority="4" id="{C0A6DA40-8045-2B43-BAD7-589F183D4714}">
            <xm:f>IF(SUMPRODUCT(-- (T118 =BookieNavn!$I$2:$I$279)) &gt; 0, 0, 1)</xm:f>
            <x14:dxf>
              <fill>
                <patternFill>
                  <bgColor rgb="FF0070C0"/>
                </patternFill>
              </fill>
            </x14:dxf>
          </x14:cfRule>
          <xm:sqref>T118</xm:sqref>
        </x14:conditionalFormatting>
        <x14:conditionalFormatting xmlns:xm="http://schemas.microsoft.com/office/excel/2006/main">
          <x14:cfRule type="expression" priority="3" id="{97A22724-D9FF-4549-943A-D65342A289AE}">
            <xm:f>IF(SUMPRODUCT(-- (D278 =BookieNavn!$I$2:$I$279)) &gt; 0, 0, 1)</xm:f>
            <x14:dxf>
              <fill>
                <patternFill>
                  <bgColor rgb="FF0070C0"/>
                </patternFill>
              </fill>
            </x14:dxf>
          </x14:cfRule>
          <xm:sqref>D278</xm:sqref>
        </x14:conditionalFormatting>
        <x14:conditionalFormatting xmlns:xm="http://schemas.microsoft.com/office/excel/2006/main">
          <x14:cfRule type="expression" priority="2" id="{31EA576C-83CB-DB49-97F5-4FFE397F761E}">
            <xm:f>IF(SUMPRODUCT(-- (D281 =BookieNavn!$I$2:$I$279)) &gt; 0, 0, 1)</xm:f>
            <x14:dxf>
              <fill>
                <patternFill>
                  <bgColor rgb="FF0070C0"/>
                </patternFill>
              </fill>
            </x14:dxf>
          </x14:cfRule>
          <xm:sqref>D281</xm:sqref>
        </x14:conditionalFormatting>
        <x14:conditionalFormatting xmlns:xm="http://schemas.microsoft.com/office/excel/2006/main">
          <x14:cfRule type="expression" priority="1" id="{26AB5996-B771-6C44-98C0-441192585D9A}">
            <xm:f>IF(SUMPRODUCT(-- (T121 =BookieNavn!$I$2:$I$279)) &gt; 0, 0, 1)</xm:f>
            <x14:dxf>
              <fill>
                <patternFill>
                  <bgColor rgb="FF0070C0"/>
                </patternFill>
              </fill>
            </x14:dxf>
          </x14:cfRule>
          <xm:sqref>T121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352B618-C5AA-844A-BB20-D2B1C7B17029}">
          <x14:formula1>
            <xm:f>'https://studntnu-my.sharepoint.com/Users/ludvigloite/OneDrive - NTNU/Lagres_på_Mac/Annet/Prosjekter/Betting/[2020_BettingRegnskap.xlsx]BookieNavn'!#REF!</xm:f>
          </x14:formula1>
          <xm:sqref>C5:C16 C2:C3 S9:S10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8CB9-A3F1-4EBF-8013-5A5BB829BA9C}">
  <dimension ref="A2:W108"/>
  <sheetViews>
    <sheetView workbookViewId="0">
      <selection activeCell="F14" sqref="F14"/>
    </sheetView>
  </sheetViews>
  <sheetFormatPr baseColWidth="10" defaultColWidth="8.83203125" defaultRowHeight="15"/>
  <cols>
    <col min="1" max="1" width="17.33203125" style="174" customWidth="1"/>
    <col min="2" max="2" width="11" style="174" customWidth="1"/>
    <col min="3" max="3" width="11.6640625" style="174" customWidth="1"/>
    <col min="4" max="4" width="12.6640625" style="174" bestFit="1" customWidth="1"/>
    <col min="5" max="5" width="14.5" style="174" customWidth="1"/>
    <col min="6" max="6" width="34" style="174" customWidth="1"/>
    <col min="7" max="7" width="10.1640625" style="174" bestFit="1" customWidth="1"/>
    <col min="8" max="10" width="8.83203125" style="174"/>
    <col min="11" max="11" width="15" style="174" bestFit="1" customWidth="1"/>
    <col min="12" max="12" width="8" style="174" bestFit="1" customWidth="1"/>
    <col min="13" max="13" width="10.83203125" style="174" bestFit="1" customWidth="1"/>
    <col min="14" max="14" width="8.1640625" style="174" bestFit="1" customWidth="1"/>
    <col min="15" max="15" width="10.5" style="174" bestFit="1" customWidth="1"/>
    <col min="16" max="16" width="10.1640625" style="174" bestFit="1" customWidth="1"/>
    <col min="17" max="19" width="8.83203125" style="174"/>
    <col min="20" max="20" width="10.83203125" style="174" bestFit="1" customWidth="1"/>
    <col min="21" max="21" width="8.83203125" style="174"/>
    <col min="22" max="22" width="10.5" style="174" bestFit="1" customWidth="1"/>
    <col min="23" max="23" width="10.1640625" style="174" bestFit="1" customWidth="1"/>
    <col min="24" max="16384" width="8.83203125" style="174"/>
  </cols>
  <sheetData>
    <row r="2" spans="1:23">
      <c r="D2" s="174" t="s">
        <v>319</v>
      </c>
      <c r="F2" s="188">
        <v>0.3</v>
      </c>
    </row>
    <row r="3" spans="1:23">
      <c r="D3" s="174" t="s">
        <v>315</v>
      </c>
      <c r="F3" s="174">
        <v>0</v>
      </c>
      <c r="L3" s="174" t="s">
        <v>296</v>
      </c>
      <c r="M3" s="174" t="s">
        <v>440</v>
      </c>
      <c r="R3" s="174" t="s">
        <v>448</v>
      </c>
    </row>
    <row r="4" spans="1:23">
      <c r="L4" s="174">
        <v>2020</v>
      </c>
    </row>
    <row r="5" spans="1:23">
      <c r="A5" s="70" t="s">
        <v>298</v>
      </c>
      <c r="B5" s="70" t="s">
        <v>300</v>
      </c>
      <c r="C5" s="70" t="s">
        <v>27</v>
      </c>
      <c r="D5" s="70" t="s">
        <v>301</v>
      </c>
      <c r="E5" s="70" t="s">
        <v>302</v>
      </c>
      <c r="F5" s="70" t="s">
        <v>303</v>
      </c>
      <c r="L5" s="171">
        <v>43831</v>
      </c>
      <c r="M5" s="135">
        <v>43862</v>
      </c>
      <c r="N5" s="171">
        <v>43891</v>
      </c>
      <c r="O5" s="135">
        <v>43922</v>
      </c>
      <c r="P5" s="171">
        <v>43952</v>
      </c>
      <c r="Q5" s="135">
        <v>43983</v>
      </c>
      <c r="R5" s="171">
        <v>44013</v>
      </c>
      <c r="S5" s="135">
        <v>44044</v>
      </c>
      <c r="T5" s="171">
        <v>44075</v>
      </c>
      <c r="U5" s="135">
        <v>44105</v>
      </c>
      <c r="V5" s="171">
        <v>44136</v>
      </c>
      <c r="W5" s="135">
        <v>44166</v>
      </c>
    </row>
    <row r="6" spans="1:23">
      <c r="A6" s="174" t="s">
        <v>308</v>
      </c>
      <c r="B6" s="186">
        <f>L6</f>
        <v>0</v>
      </c>
      <c r="C6" s="186">
        <v>0</v>
      </c>
      <c r="D6" s="186">
        <f>C6+MAX(ROUND(B6*$F$2,0),F$3)</f>
        <v>0</v>
      </c>
      <c r="E6" s="186">
        <v>0</v>
      </c>
      <c r="F6" s="186">
        <f t="shared" ref="F6:F17" si="0">D6-E6</f>
        <v>0</v>
      </c>
      <c r="K6" s="70" t="s">
        <v>276</v>
      </c>
      <c r="L6" s="161">
        <f>SUM(L7:L160)</f>
        <v>0</v>
      </c>
      <c r="M6" s="161">
        <f>SUM(M7:M160)</f>
        <v>0</v>
      </c>
      <c r="N6" s="70">
        <f>SUM(N7:N160)</f>
        <v>0</v>
      </c>
      <c r="O6" s="70">
        <f>SUM(O7:O160)</f>
        <v>0</v>
      </c>
      <c r="P6" s="70">
        <f>SUM(P7:P160)</f>
        <v>0</v>
      </c>
      <c r="Q6" s="70">
        <f t="shared" ref="Q6:V6" si="1">SUM(Q7:Q160)</f>
        <v>0</v>
      </c>
      <c r="R6" s="70">
        <f t="shared" si="1"/>
        <v>0</v>
      </c>
      <c r="S6" s="70">
        <f t="shared" si="1"/>
        <v>0</v>
      </c>
      <c r="T6" s="70">
        <f t="shared" si="1"/>
        <v>0</v>
      </c>
      <c r="U6" s="70">
        <f t="shared" si="1"/>
        <v>0</v>
      </c>
      <c r="V6" s="70">
        <f t="shared" si="1"/>
        <v>0</v>
      </c>
      <c r="W6" s="70">
        <f>SUM(W7:W160)</f>
        <v>0</v>
      </c>
    </row>
    <row r="7" spans="1:23">
      <c r="A7" s="174" t="s">
        <v>309</v>
      </c>
      <c r="B7" s="186">
        <f>M6</f>
        <v>0</v>
      </c>
      <c r="C7" s="186">
        <v>0</v>
      </c>
      <c r="D7" s="186">
        <f t="shared" ref="D7:D17" si="2">C7+MAX(ROUND(B7*$F$2,0),F$3)</f>
        <v>0</v>
      </c>
      <c r="E7" s="186">
        <v>0</v>
      </c>
      <c r="F7" s="186">
        <f t="shared" si="0"/>
        <v>0</v>
      </c>
      <c r="K7" s="174" t="str" cm="1">
        <f t="array" ref="K7">IFERROR(INDEX(BookieNavn!H$2:H$1251,SMALL(IF(EXACT(LEFT(BookieNavn!H$2:H$1251,2),M$3),ROW(BookieNavn!H$2:H$1251)-ROW(BookieNavn!H$2)+1),ROWS(BookieNavn!H$2:'BookieNavn'!H2))),"")</f>
        <v>LiBetsson</v>
      </c>
      <c r="L7" s="186">
        <f>SUMIFS(DWbonus[[Sum]:[Sum]],DWbonus[[Dato]:[Dato]], "&gt;="&amp;L$5,DWbonus[[Dato]:[Dato]],"&lt;="&amp;EOMONTH(L$5,0),DWbonus[[Bookie]:[Bookie]],$K7)+SUMIFS(LayTable[[Faktisk res]:[Faktisk res]],LayTable[[Dato]:[Dato]],"&gt;="&amp;L$5,LayTable[[Dato]:[Dato]],"&lt;="&amp;EOMONTH(L$5,0),LayTable[[Bookmaker]:[Bookmaker]],$K7)+SUMIFS(BetTable[[AR_per_bookie]:[AR_per_bookie]],BetTable[[B1]:[B1]],$K7,BetTable[[Date]:[Date]], "&gt;="&amp;L$5,BetTable[[Date]:[Date]],"&lt;="&amp;EOMONTH(L$5,0))+SUMIFS(BetTable[[AR_per_bookie]:[AR_per_bookie]],BetTable[[B2]:[B2]],$K7,BetTable[[Date]:[Date]], "&gt;="&amp;L$5,BetTable[[Date]:[Date]],"&lt;="&amp;EOMONTH(L$5,0))+SUMIFS(BetTable[[AR_per_bookie]:[AR_per_bookie]],BetTable[[B3]:[B3]],$K7,BetTable[[Date]:[Date]], "&gt;="&amp;L$5,BetTable[[Date]:[Date]],"&lt;="&amp;EOMONTH(L$5,0))</f>
        <v>0</v>
      </c>
      <c r="M7" s="186">
        <f>SUMIFS(DWbonus[[Sum]:[Sum]],DWbonus[[Dato]:[Dato]], "&gt;="&amp;M$5,DWbonus[[Dato]:[Dato]],"&lt;="&amp;EOMONTH(M$5,0),DWbonus[[Bookie]:[Bookie]],$K7)+SUMIFS(LayTable[[Faktisk res]:[Faktisk res]],LayTable[[Dato]:[Dato]],"&gt;="&amp;M$5,LayTable[[Dato]:[Dato]],"&lt;="&amp;EOMONTH(M$5,0),LayTable[[Bookmaker]:[Bookmaker]],$K7)+SUMIFS(BetTable[[AR_per_bookie]:[AR_per_bookie]],BetTable[[B1]:[B1]],$K7,BetTable[[Date]:[Date]], "&gt;="&amp;M$5,BetTable[[Date]:[Date]],"&lt;="&amp;EOMONTH(M$5,0))+SUMIFS(BetTable[[AR_per_bookie]:[AR_per_bookie]],BetTable[[B2]:[B2]],$K7,BetTable[[Date]:[Date]], "&gt;="&amp;M$5,BetTable[[Date]:[Date]],"&lt;="&amp;EOMONTH(M$5,0))+SUMIFS(BetTable[[AR_per_bookie]:[AR_per_bookie]],BetTable[[B3]:[B3]],$K7,BetTable[[Date]:[Date]], "&gt;="&amp;M$5,BetTable[[Date]:[Date]],"&lt;="&amp;EOMONTH(M$5,0))</f>
        <v>0</v>
      </c>
      <c r="N7" s="186">
        <f>SUMIFS(DWbonus[[Sum]:[Sum]],DWbonus[[Dato]:[Dato]], "&gt;="&amp;N$5,DWbonus[[Dato]:[Dato]],"&lt;="&amp;EOMONTH(N$5,0),DWbonus[[Bookie]:[Bookie]],$K7)+SUMIFS(LayTable[[Faktisk res]:[Faktisk res]],LayTable[[Dato]:[Dato]],"&gt;="&amp;N$5,LayTable[[Dato]:[Dato]],"&lt;="&amp;EOMONTH(N$5,0),LayTable[[Bookmaker]:[Bookmaker]],$K7)+SUMIFS(BetTable[[AR_per_bookie]:[AR_per_bookie]],BetTable[[B1]:[B1]],$K7,BetTable[[Date]:[Date]], "&gt;="&amp;N$5,BetTable[[Date]:[Date]],"&lt;="&amp;EOMONTH(N$5,0))+SUMIFS(BetTable[[AR_per_bookie]:[AR_per_bookie]],BetTable[[B2]:[B2]],$K7,BetTable[[Date]:[Date]], "&gt;="&amp;N$5,BetTable[[Date]:[Date]],"&lt;="&amp;EOMONTH(N$5,0))+SUMIFS(BetTable[[AR_per_bookie]:[AR_per_bookie]],BetTable[[B3]:[B3]],$K7,BetTable[[Date]:[Date]], "&gt;="&amp;N$5,BetTable[[Date]:[Date]],"&lt;="&amp;EOMONTH(N$5,0))</f>
        <v>0</v>
      </c>
      <c r="O7" s="186">
        <f>SUMIFS(DWbonus[[Sum]:[Sum]],DWbonus[[Dato]:[Dato]], "&gt;="&amp;O$5,DWbonus[[Dato]:[Dato]],"&lt;="&amp;EOMONTH(O$5,0),DWbonus[[Bookie]:[Bookie]],$K7)+SUMIFS(LayTable[[Faktisk res]:[Faktisk res]],LayTable[[Dato]:[Dato]],"&gt;="&amp;O$5,LayTable[[Dato]:[Dato]],"&lt;="&amp;EOMONTH(O$5,0),LayTable[[Bookmaker]:[Bookmaker]],$K7)+SUMIFS(BetTable[[AR_per_bookie]:[AR_per_bookie]],BetTable[[B1]:[B1]],$K7,BetTable[[Date]:[Date]], "&gt;="&amp;O$5,BetTable[[Date]:[Date]],"&lt;="&amp;EOMONTH(O$5,0))+SUMIFS(BetTable[[AR_per_bookie]:[AR_per_bookie]],BetTable[[B2]:[B2]],$K7,BetTable[[Date]:[Date]], "&gt;="&amp;O$5,BetTable[[Date]:[Date]],"&lt;="&amp;EOMONTH(O$5,0))+SUMIFS(BetTable[[AR_per_bookie]:[AR_per_bookie]],BetTable[[B3]:[B3]],$K7,BetTable[[Date]:[Date]], "&gt;="&amp;O$5,BetTable[[Date]:[Date]],"&lt;="&amp;EOMONTH(O$5,0))</f>
        <v>0</v>
      </c>
      <c r="P7" s="186">
        <f>SUMIFS(DWbonus[[Sum]:[Sum]],DWbonus[[Dato]:[Dato]], "&gt;="&amp;P$5,DWbonus[[Dato]:[Dato]],"&lt;="&amp;EOMONTH(P$5,0),DWbonus[[Bookie]:[Bookie]],$K7)+SUMIFS(LayTable[[Faktisk res]:[Faktisk res]],LayTable[[Dato]:[Dato]],"&gt;="&amp;P$5,LayTable[[Dato]:[Dato]],"&lt;="&amp;EOMONTH(P$5,0),LayTable[[Bookmaker]:[Bookmaker]],$K7)+SUMIFS(BetTable[[AR_per_bookie]:[AR_per_bookie]],BetTable[[B1]:[B1]],$K7,BetTable[[Date]:[Date]], "&gt;="&amp;P$5,BetTable[[Date]:[Date]],"&lt;="&amp;EOMONTH(P$5,0))+SUMIFS(BetTable[[AR_per_bookie]:[AR_per_bookie]],BetTable[[B2]:[B2]],$K7,BetTable[[Date]:[Date]], "&gt;="&amp;P$5,BetTable[[Date]:[Date]],"&lt;="&amp;EOMONTH(P$5,0))+SUMIFS(BetTable[[AR_per_bookie]:[AR_per_bookie]],BetTable[[B3]:[B3]],$K7,BetTable[[Date]:[Date]], "&gt;="&amp;P$5,BetTable[[Date]:[Date]],"&lt;="&amp;EOMONTH(P$5,0))</f>
        <v>0</v>
      </c>
      <c r="Q7" s="186">
        <f>SUMIFS(DWbonus[[Sum]:[Sum]],DWbonus[[Dato]:[Dato]], "&gt;="&amp;Q$5,DWbonus[[Dato]:[Dato]],"&lt;="&amp;EOMONTH(Q$5,0),DWbonus[[Bookie]:[Bookie]],$K7)+SUMIFS(LayTable[[Faktisk res]:[Faktisk res]],LayTable[[Dato]:[Dato]],"&gt;="&amp;Q$5,LayTable[[Dato]:[Dato]],"&lt;="&amp;EOMONTH(Q$5,0),LayTable[[Bookmaker]:[Bookmaker]],$K7)+SUMIFS(BetTable[[AR_per_bookie]:[AR_per_bookie]],BetTable[[B1]:[B1]],$K7,BetTable[[Date]:[Date]], "&gt;="&amp;Q$5,BetTable[[Date]:[Date]],"&lt;="&amp;EOMONTH(Q$5,0))+SUMIFS(BetTable[[AR_per_bookie]:[AR_per_bookie]],BetTable[[B2]:[B2]],$K7,BetTable[[Date]:[Date]], "&gt;="&amp;Q$5,BetTable[[Date]:[Date]],"&lt;="&amp;EOMONTH(Q$5,0))+SUMIFS(BetTable[[AR_per_bookie]:[AR_per_bookie]],BetTable[[B3]:[B3]],$K7,BetTable[[Date]:[Date]], "&gt;="&amp;Q$5,BetTable[[Date]:[Date]],"&lt;="&amp;EOMONTH(Q$5,0))</f>
        <v>0</v>
      </c>
      <c r="R7" s="186">
        <f>SUMIFS(DWbonus[[Sum]:[Sum]],DWbonus[[Dato]:[Dato]], "&gt;="&amp;R$5,DWbonus[[Dato]:[Dato]],"&lt;="&amp;EOMONTH(R$5,0),DWbonus[[Bookie]:[Bookie]],$K7)+SUMIFS(LayTable[[Faktisk res]:[Faktisk res]],LayTable[[Dato]:[Dato]],"&gt;="&amp;R$5,LayTable[[Dato]:[Dato]],"&lt;="&amp;EOMONTH(R$5,0),LayTable[[Bookmaker]:[Bookmaker]],$K7)+SUMIFS(BetTable[[AR_per_bookie]:[AR_per_bookie]],BetTable[[B1]:[B1]],$K7,BetTable[[Date]:[Date]], "&gt;="&amp;R$5,BetTable[[Date]:[Date]],"&lt;="&amp;EOMONTH(R$5,0))+SUMIFS(BetTable[[AR_per_bookie]:[AR_per_bookie]],BetTable[[B2]:[B2]],$K7,BetTable[[Date]:[Date]], "&gt;="&amp;R$5,BetTable[[Date]:[Date]],"&lt;="&amp;EOMONTH(R$5,0))+SUMIFS(BetTable[[AR_per_bookie]:[AR_per_bookie]],BetTable[[B3]:[B3]],$K7,BetTable[[Date]:[Date]], "&gt;="&amp;R$5,BetTable[[Date]:[Date]],"&lt;="&amp;EOMONTH(R$5,0))</f>
        <v>0</v>
      </c>
      <c r="S7" s="186">
        <f>SUMIFS(DWbonus[[Sum]:[Sum]],DWbonus[[Dato]:[Dato]], "&gt;="&amp;S$5,DWbonus[[Dato]:[Dato]],"&lt;="&amp;EOMONTH(S$5,0),DWbonus[[Bookie]:[Bookie]],$K7)+SUMIFS(LayTable[[Faktisk res]:[Faktisk res]],LayTable[[Dato]:[Dato]],"&gt;="&amp;S$5,LayTable[[Dato]:[Dato]],"&lt;="&amp;EOMONTH(S$5,0),LayTable[[Bookmaker]:[Bookmaker]],$K7)+SUMIFS(BetTable[[AR_per_bookie]:[AR_per_bookie]],BetTable[[B1]:[B1]],$K7,BetTable[[Date]:[Date]], "&gt;="&amp;S$5,BetTable[[Date]:[Date]],"&lt;="&amp;EOMONTH(S$5,0))+SUMIFS(BetTable[[AR_per_bookie]:[AR_per_bookie]],BetTable[[B2]:[B2]],$K7,BetTable[[Date]:[Date]], "&gt;="&amp;S$5,BetTable[[Date]:[Date]],"&lt;="&amp;EOMONTH(S$5,0))+SUMIFS(BetTable[[AR_per_bookie]:[AR_per_bookie]],BetTable[[B3]:[B3]],$K7,BetTable[[Date]:[Date]], "&gt;="&amp;S$5,BetTable[[Date]:[Date]],"&lt;="&amp;EOMONTH(S$5,0))</f>
        <v>0</v>
      </c>
      <c r="T7" s="186">
        <f>SUMIFS(DWbonus[[Sum]:[Sum]],DWbonus[[Dato]:[Dato]], "&gt;="&amp;T$5,DWbonus[[Dato]:[Dato]],"&lt;="&amp;EOMONTH(T$5,0),DWbonus[[Bookie]:[Bookie]],$K7)+SUMIFS(LayTable[[Faktisk res]:[Faktisk res]],LayTable[[Dato]:[Dato]],"&gt;="&amp;T$5,LayTable[[Dato]:[Dato]],"&lt;="&amp;EOMONTH(T$5,0),LayTable[[Bookmaker]:[Bookmaker]],$K7)+SUMIFS(BetTable[[AR_per_bookie]:[AR_per_bookie]],BetTable[[B1]:[B1]],$K7,BetTable[[Date]:[Date]], "&gt;="&amp;T$5,BetTable[[Date]:[Date]],"&lt;="&amp;EOMONTH(T$5,0))+SUMIFS(BetTable[[AR_per_bookie]:[AR_per_bookie]],BetTable[[B2]:[B2]],$K7,BetTable[[Date]:[Date]], "&gt;="&amp;T$5,BetTable[[Date]:[Date]],"&lt;="&amp;EOMONTH(T$5,0))+SUMIFS(BetTable[[AR_per_bookie]:[AR_per_bookie]],BetTable[[B3]:[B3]],$K7,BetTable[[Date]:[Date]], "&gt;="&amp;T$5,BetTable[[Date]:[Date]],"&lt;="&amp;EOMONTH(T$5,0))</f>
        <v>0</v>
      </c>
      <c r="U7" s="186">
        <f>SUMIFS(DWbonus[[Sum]:[Sum]],DWbonus[[Dato]:[Dato]], "&gt;="&amp;U$5,DWbonus[[Dato]:[Dato]],"&lt;="&amp;EOMONTH(U$5,0),DWbonus[[Bookie]:[Bookie]],$K7)+SUMIFS(LayTable[[Faktisk res]:[Faktisk res]],LayTable[[Dato]:[Dato]],"&gt;="&amp;U$5,LayTable[[Dato]:[Dato]],"&lt;="&amp;EOMONTH(U$5,0),LayTable[[Bookmaker]:[Bookmaker]],$K7)+SUMIFS(BetTable[[AR_per_bookie]:[AR_per_bookie]],BetTable[[B1]:[B1]],$K7,BetTable[[Date]:[Date]], "&gt;="&amp;U$5,BetTable[[Date]:[Date]],"&lt;="&amp;EOMONTH(U$5,0))+SUMIFS(BetTable[[AR_per_bookie]:[AR_per_bookie]],BetTable[[B2]:[B2]],$K7,BetTable[[Date]:[Date]], "&gt;="&amp;U$5,BetTable[[Date]:[Date]],"&lt;="&amp;EOMONTH(U$5,0))+SUMIFS(BetTable[[AR_per_bookie]:[AR_per_bookie]],BetTable[[B3]:[B3]],$K7,BetTable[[Date]:[Date]], "&gt;="&amp;U$5,BetTable[[Date]:[Date]],"&lt;="&amp;EOMONTH(U$5,0))</f>
        <v>0</v>
      </c>
      <c r="V7" s="186">
        <f>SUMIFS(DWbonus[[Sum]:[Sum]],DWbonus[[Dato]:[Dato]], "&gt;="&amp;V$5,DWbonus[[Dato]:[Dato]],"&lt;="&amp;EOMONTH(V$5,0),DWbonus[[Bookie]:[Bookie]],$K7)+SUMIFS(LayTable[[Faktisk res]:[Faktisk res]],LayTable[[Dato]:[Dato]],"&gt;="&amp;V$5,LayTable[[Dato]:[Dato]],"&lt;="&amp;EOMONTH(V$5,0),LayTable[[Bookmaker]:[Bookmaker]],$K7)+SUMIFS(BetTable[[AR_per_bookie]:[AR_per_bookie]],BetTable[[B1]:[B1]],$K7,BetTable[[Date]:[Date]], "&gt;="&amp;V$5,BetTable[[Date]:[Date]],"&lt;="&amp;EOMONTH(V$5,0))+SUMIFS(BetTable[[AR_per_bookie]:[AR_per_bookie]],BetTable[[B2]:[B2]],$K7,BetTable[[Date]:[Date]], "&gt;="&amp;V$5,BetTable[[Date]:[Date]],"&lt;="&amp;EOMONTH(V$5,0))+SUMIFS(BetTable[[AR_per_bookie]:[AR_per_bookie]],BetTable[[B3]:[B3]],$K7,BetTable[[Date]:[Date]], "&gt;="&amp;V$5,BetTable[[Date]:[Date]],"&lt;="&amp;EOMONTH(V$5,0))</f>
        <v>0</v>
      </c>
      <c r="W7" s="186">
        <f>SUMIFS(DWbonus[[Sum]:[Sum]],DWbonus[[Dato]:[Dato]], "&gt;="&amp;W$5,DWbonus[[Dato]:[Dato]],"&lt;="&amp;EOMONTH(W$5,0),DWbonus[[Bookie]:[Bookie]],$K7)+SUMIFS(LayTable[[Faktisk res]:[Faktisk res]],LayTable[[Dato]:[Dato]],"&gt;="&amp;W$5,LayTable[[Dato]:[Dato]],"&lt;="&amp;EOMONTH(W$5,0),LayTable[[Bookmaker]:[Bookmaker]],$K7)+SUMIFS(BetTable[[AR_per_bookie]:[AR_per_bookie]],BetTable[[B1]:[B1]],$K7,BetTable[[Date]:[Date]], "&gt;="&amp;W$5,BetTable[[Date]:[Date]],"&lt;="&amp;EOMONTH(W$5,0))+SUMIFS(BetTable[[AR_per_bookie]:[AR_per_bookie]],BetTable[[B2]:[B2]],$K7,BetTable[[Date]:[Date]], "&gt;="&amp;W$5,BetTable[[Date]:[Date]],"&lt;="&amp;EOMONTH(W$5,0))+SUMIFS(BetTable[[AR_per_bookie]:[AR_per_bookie]],BetTable[[B3]:[B3]],$K7,BetTable[[Date]:[Date]], "&gt;="&amp;W$5,BetTable[[Date]:[Date]],"&lt;="&amp;EOMONTH(W$5,0))</f>
        <v>0</v>
      </c>
    </row>
    <row r="8" spans="1:23">
      <c r="A8" s="174" t="s">
        <v>310</v>
      </c>
      <c r="B8" s="186">
        <f>N6</f>
        <v>0</v>
      </c>
      <c r="C8" s="186">
        <v>0</v>
      </c>
      <c r="D8" s="186">
        <f t="shared" si="2"/>
        <v>0</v>
      </c>
      <c r="E8" s="186">
        <v>0</v>
      </c>
      <c r="F8" s="186">
        <f t="shared" si="0"/>
        <v>0</v>
      </c>
      <c r="K8" s="174" t="str">
        <f t="array" ref="K8">IFERROR(INDEX(BookieNavn!H$2:H$1251,SMALL(IF(EXACT(LEFT(BookieNavn!H$2:H$1251,2),M$3),ROW(BookieNavn!H$2:H$1251)-ROW(BookieNavn!H$2)+1),ROWS(BookieNavn!H$2:'BookieNavn'!H3))),"")</f>
        <v>LiBetsafe</v>
      </c>
      <c r="L8" s="186">
        <f>SUMIFS(DWbonus[[Sum]:[Sum]],DWbonus[[Dato]:[Dato]], "&gt;="&amp;L$5,DWbonus[[Dato]:[Dato]],"&lt;="&amp;EOMONTH(L$5,0),DWbonus[[Bookie]:[Bookie]],$K8)+SUMIFS(LayTable[[Faktisk res]:[Faktisk res]],LayTable[[Dato]:[Dato]],"&gt;="&amp;L$5,LayTable[[Dato]:[Dato]],"&lt;="&amp;EOMONTH(L$5,0),LayTable[[Bookmaker]:[Bookmaker]],$K8)+SUMIFS(BetTable[[AR_per_bookie]:[AR_per_bookie]],BetTable[[B1]:[B1]],$K8,BetTable[[Date]:[Date]], "&gt;="&amp;L$5,BetTable[[Date]:[Date]],"&lt;="&amp;EOMONTH(L$5,0))+SUMIFS(BetTable[[AR_per_bookie]:[AR_per_bookie]],BetTable[[B2]:[B2]],$K8,BetTable[[Date]:[Date]], "&gt;="&amp;L$5,BetTable[[Date]:[Date]],"&lt;="&amp;EOMONTH(L$5,0))+SUMIFS(BetTable[[AR_per_bookie]:[AR_per_bookie]],BetTable[[B3]:[B3]],$K8,BetTable[[Date]:[Date]], "&gt;="&amp;L$5,BetTable[[Date]:[Date]],"&lt;="&amp;EOMONTH(L$5,0))</f>
        <v>0</v>
      </c>
      <c r="M8" s="186">
        <f>SUMIFS(DWbonus[[Sum]:[Sum]],DWbonus[[Dato]:[Dato]], "&gt;="&amp;M$5,DWbonus[[Dato]:[Dato]],"&lt;="&amp;EOMONTH(M$5,0),DWbonus[[Bookie]:[Bookie]],$K8)+SUMIFS(LayTable[[Faktisk res]:[Faktisk res]],LayTable[[Dato]:[Dato]],"&gt;="&amp;M$5,LayTable[[Dato]:[Dato]],"&lt;="&amp;EOMONTH(M$5,0),LayTable[[Bookmaker]:[Bookmaker]],$K8)+SUMIFS(BetTable[[AR_per_bookie]:[AR_per_bookie]],BetTable[[B1]:[B1]],$K8,BetTable[[Date]:[Date]], "&gt;="&amp;M$5,BetTable[[Date]:[Date]],"&lt;="&amp;EOMONTH(M$5,0))+SUMIFS(BetTable[[AR_per_bookie]:[AR_per_bookie]],BetTable[[B2]:[B2]],$K8,BetTable[[Date]:[Date]], "&gt;="&amp;M$5,BetTable[[Date]:[Date]],"&lt;="&amp;EOMONTH(M$5,0))+SUMIFS(BetTable[[AR_per_bookie]:[AR_per_bookie]],BetTable[[B3]:[B3]],$K8,BetTable[[Date]:[Date]], "&gt;="&amp;M$5,BetTable[[Date]:[Date]],"&lt;="&amp;EOMONTH(M$5,0))</f>
        <v>0</v>
      </c>
      <c r="N8" s="186">
        <f>SUMIFS(DWbonus[[Sum]:[Sum]],DWbonus[[Dato]:[Dato]], "&gt;="&amp;N$5,DWbonus[[Dato]:[Dato]],"&lt;="&amp;EOMONTH(N$5,0),DWbonus[[Bookie]:[Bookie]],$K8)+SUMIFS(LayTable[[Faktisk res]:[Faktisk res]],LayTable[[Dato]:[Dato]],"&gt;="&amp;N$5,LayTable[[Dato]:[Dato]],"&lt;="&amp;EOMONTH(N$5,0),LayTable[[Bookmaker]:[Bookmaker]],$K8)+SUMIFS(BetTable[[AR_per_bookie]:[AR_per_bookie]],BetTable[[B1]:[B1]],$K8,BetTable[[Date]:[Date]], "&gt;="&amp;N$5,BetTable[[Date]:[Date]],"&lt;="&amp;EOMONTH(N$5,0))+SUMIFS(BetTable[[AR_per_bookie]:[AR_per_bookie]],BetTable[[B2]:[B2]],$K8,BetTable[[Date]:[Date]], "&gt;="&amp;N$5,BetTable[[Date]:[Date]],"&lt;="&amp;EOMONTH(N$5,0))+SUMIFS(BetTable[[AR_per_bookie]:[AR_per_bookie]],BetTable[[B3]:[B3]],$K8,BetTable[[Date]:[Date]], "&gt;="&amp;N$5,BetTable[[Date]:[Date]],"&lt;="&amp;EOMONTH(N$5,0))</f>
        <v>0</v>
      </c>
      <c r="O8" s="186">
        <f>SUMIFS(DWbonus[[Sum]:[Sum]],DWbonus[[Dato]:[Dato]], "&gt;="&amp;O$5,DWbonus[[Dato]:[Dato]],"&lt;="&amp;EOMONTH(O$5,0),DWbonus[[Bookie]:[Bookie]],$K8)+SUMIFS(LayTable[[Faktisk res]:[Faktisk res]],LayTable[[Dato]:[Dato]],"&gt;="&amp;O$5,LayTable[[Dato]:[Dato]],"&lt;="&amp;EOMONTH(O$5,0),LayTable[[Bookmaker]:[Bookmaker]],$K8)+SUMIFS(BetTable[[AR_per_bookie]:[AR_per_bookie]],BetTable[[B1]:[B1]],$K8,BetTable[[Date]:[Date]], "&gt;="&amp;O$5,BetTable[[Date]:[Date]],"&lt;="&amp;EOMONTH(O$5,0))+SUMIFS(BetTable[[AR_per_bookie]:[AR_per_bookie]],BetTable[[B2]:[B2]],$K8,BetTable[[Date]:[Date]], "&gt;="&amp;O$5,BetTable[[Date]:[Date]],"&lt;="&amp;EOMONTH(O$5,0))+SUMIFS(BetTable[[AR_per_bookie]:[AR_per_bookie]],BetTable[[B3]:[B3]],$K8,BetTable[[Date]:[Date]], "&gt;="&amp;O$5,BetTable[[Date]:[Date]],"&lt;="&amp;EOMONTH(O$5,0))</f>
        <v>0</v>
      </c>
      <c r="P8" s="186">
        <f>SUMIFS(DWbonus[[Sum]:[Sum]],DWbonus[[Dato]:[Dato]], "&gt;="&amp;P$5,DWbonus[[Dato]:[Dato]],"&lt;="&amp;EOMONTH(P$5,0),DWbonus[[Bookie]:[Bookie]],$K8)+SUMIFS(LayTable[[Faktisk res]:[Faktisk res]],LayTable[[Dato]:[Dato]],"&gt;="&amp;P$5,LayTable[[Dato]:[Dato]],"&lt;="&amp;EOMONTH(P$5,0),LayTable[[Bookmaker]:[Bookmaker]],$K8)+SUMIFS(BetTable[[AR_per_bookie]:[AR_per_bookie]],BetTable[[B1]:[B1]],$K8,BetTable[[Date]:[Date]], "&gt;="&amp;P$5,BetTable[[Date]:[Date]],"&lt;="&amp;EOMONTH(P$5,0))+SUMIFS(BetTable[[AR_per_bookie]:[AR_per_bookie]],BetTable[[B2]:[B2]],$K8,BetTable[[Date]:[Date]], "&gt;="&amp;P$5,BetTable[[Date]:[Date]],"&lt;="&amp;EOMONTH(P$5,0))+SUMIFS(BetTable[[AR_per_bookie]:[AR_per_bookie]],BetTable[[B3]:[B3]],$K8,BetTable[[Date]:[Date]], "&gt;="&amp;P$5,BetTable[[Date]:[Date]],"&lt;="&amp;EOMONTH(P$5,0))</f>
        <v>0</v>
      </c>
      <c r="Q8" s="186">
        <f>SUMIFS(DWbonus[[Sum]:[Sum]],DWbonus[[Dato]:[Dato]], "&gt;="&amp;Q$5,DWbonus[[Dato]:[Dato]],"&lt;="&amp;EOMONTH(Q$5,0),DWbonus[[Bookie]:[Bookie]],$K8)+SUMIFS(LayTable[[Faktisk res]:[Faktisk res]],LayTable[[Dato]:[Dato]],"&gt;="&amp;Q$5,LayTable[[Dato]:[Dato]],"&lt;="&amp;EOMONTH(Q$5,0),LayTable[[Bookmaker]:[Bookmaker]],$K8)+SUMIFS(BetTable[[AR_per_bookie]:[AR_per_bookie]],BetTable[[B1]:[B1]],$K8,BetTable[[Date]:[Date]], "&gt;="&amp;Q$5,BetTable[[Date]:[Date]],"&lt;="&amp;EOMONTH(Q$5,0))+SUMIFS(BetTable[[AR_per_bookie]:[AR_per_bookie]],BetTable[[B2]:[B2]],$K8,BetTable[[Date]:[Date]], "&gt;="&amp;Q$5,BetTable[[Date]:[Date]],"&lt;="&amp;EOMONTH(Q$5,0))+SUMIFS(BetTable[[AR_per_bookie]:[AR_per_bookie]],BetTable[[B3]:[B3]],$K8,BetTable[[Date]:[Date]], "&gt;="&amp;Q$5,BetTable[[Date]:[Date]],"&lt;="&amp;EOMONTH(Q$5,0))</f>
        <v>0</v>
      </c>
      <c r="R8" s="186">
        <f>SUMIFS(DWbonus[[Sum]:[Sum]],DWbonus[[Dato]:[Dato]], "&gt;="&amp;R$5,DWbonus[[Dato]:[Dato]],"&lt;="&amp;EOMONTH(R$5,0),DWbonus[[Bookie]:[Bookie]],$K8)+SUMIFS(LayTable[[Faktisk res]:[Faktisk res]],LayTable[[Dato]:[Dato]],"&gt;="&amp;R$5,LayTable[[Dato]:[Dato]],"&lt;="&amp;EOMONTH(R$5,0),LayTable[[Bookmaker]:[Bookmaker]],$K8)+SUMIFS(BetTable[[AR_per_bookie]:[AR_per_bookie]],BetTable[[B1]:[B1]],$K8,BetTable[[Date]:[Date]], "&gt;="&amp;R$5,BetTable[[Date]:[Date]],"&lt;="&amp;EOMONTH(R$5,0))+SUMIFS(BetTable[[AR_per_bookie]:[AR_per_bookie]],BetTable[[B2]:[B2]],$K8,BetTable[[Date]:[Date]], "&gt;="&amp;R$5,BetTable[[Date]:[Date]],"&lt;="&amp;EOMONTH(R$5,0))+SUMIFS(BetTable[[AR_per_bookie]:[AR_per_bookie]],BetTable[[B3]:[B3]],$K8,BetTable[[Date]:[Date]], "&gt;="&amp;R$5,BetTable[[Date]:[Date]],"&lt;="&amp;EOMONTH(R$5,0))</f>
        <v>0</v>
      </c>
      <c r="S8" s="186">
        <f>SUMIFS(DWbonus[[Sum]:[Sum]],DWbonus[[Dato]:[Dato]], "&gt;="&amp;S$5,DWbonus[[Dato]:[Dato]],"&lt;="&amp;EOMONTH(S$5,0),DWbonus[[Bookie]:[Bookie]],$K8)+SUMIFS(LayTable[[Faktisk res]:[Faktisk res]],LayTable[[Dato]:[Dato]],"&gt;="&amp;S$5,LayTable[[Dato]:[Dato]],"&lt;="&amp;EOMONTH(S$5,0),LayTable[[Bookmaker]:[Bookmaker]],$K8)+SUMIFS(BetTable[[AR_per_bookie]:[AR_per_bookie]],BetTable[[B1]:[B1]],$K8,BetTable[[Date]:[Date]], "&gt;="&amp;S$5,BetTable[[Date]:[Date]],"&lt;="&amp;EOMONTH(S$5,0))+SUMIFS(BetTable[[AR_per_bookie]:[AR_per_bookie]],BetTable[[B2]:[B2]],$K8,BetTable[[Date]:[Date]], "&gt;="&amp;S$5,BetTable[[Date]:[Date]],"&lt;="&amp;EOMONTH(S$5,0))+SUMIFS(BetTable[[AR_per_bookie]:[AR_per_bookie]],BetTable[[B3]:[B3]],$K8,BetTable[[Date]:[Date]], "&gt;="&amp;S$5,BetTable[[Date]:[Date]],"&lt;="&amp;EOMONTH(S$5,0))</f>
        <v>0</v>
      </c>
      <c r="T8" s="186">
        <f>SUMIFS(DWbonus[[Sum]:[Sum]],DWbonus[[Dato]:[Dato]], "&gt;="&amp;T$5,DWbonus[[Dato]:[Dato]],"&lt;="&amp;EOMONTH(T$5,0),DWbonus[[Bookie]:[Bookie]],$K8)+SUMIFS(LayTable[[Faktisk res]:[Faktisk res]],LayTable[[Dato]:[Dato]],"&gt;="&amp;T$5,LayTable[[Dato]:[Dato]],"&lt;="&amp;EOMONTH(T$5,0),LayTable[[Bookmaker]:[Bookmaker]],$K8)+SUMIFS(BetTable[[AR_per_bookie]:[AR_per_bookie]],BetTable[[B1]:[B1]],$K8,BetTable[[Date]:[Date]], "&gt;="&amp;T$5,BetTable[[Date]:[Date]],"&lt;="&amp;EOMONTH(T$5,0))+SUMIFS(BetTable[[AR_per_bookie]:[AR_per_bookie]],BetTable[[B2]:[B2]],$K8,BetTable[[Date]:[Date]], "&gt;="&amp;T$5,BetTable[[Date]:[Date]],"&lt;="&amp;EOMONTH(T$5,0))+SUMIFS(BetTable[[AR_per_bookie]:[AR_per_bookie]],BetTable[[B3]:[B3]],$K8,BetTable[[Date]:[Date]], "&gt;="&amp;T$5,BetTable[[Date]:[Date]],"&lt;="&amp;EOMONTH(T$5,0))</f>
        <v>0</v>
      </c>
      <c r="U8" s="186">
        <f>SUMIFS(DWbonus[[Sum]:[Sum]],DWbonus[[Dato]:[Dato]], "&gt;="&amp;U$5,DWbonus[[Dato]:[Dato]],"&lt;="&amp;EOMONTH(U$5,0),DWbonus[[Bookie]:[Bookie]],$K8)+SUMIFS(LayTable[[Faktisk res]:[Faktisk res]],LayTable[[Dato]:[Dato]],"&gt;="&amp;U$5,LayTable[[Dato]:[Dato]],"&lt;="&amp;EOMONTH(U$5,0),LayTable[[Bookmaker]:[Bookmaker]],$K8)+SUMIFS(BetTable[[AR_per_bookie]:[AR_per_bookie]],BetTable[[B1]:[B1]],$K8,BetTable[[Date]:[Date]], "&gt;="&amp;U$5,BetTable[[Date]:[Date]],"&lt;="&amp;EOMONTH(U$5,0))+SUMIFS(BetTable[[AR_per_bookie]:[AR_per_bookie]],BetTable[[B2]:[B2]],$K8,BetTable[[Date]:[Date]], "&gt;="&amp;U$5,BetTable[[Date]:[Date]],"&lt;="&amp;EOMONTH(U$5,0))+SUMIFS(BetTable[[AR_per_bookie]:[AR_per_bookie]],BetTable[[B3]:[B3]],$K8,BetTable[[Date]:[Date]], "&gt;="&amp;U$5,BetTable[[Date]:[Date]],"&lt;="&amp;EOMONTH(U$5,0))</f>
        <v>0</v>
      </c>
      <c r="V8" s="186">
        <f>SUMIFS(DWbonus[[Sum]:[Sum]],DWbonus[[Dato]:[Dato]], "&gt;="&amp;V$5,DWbonus[[Dato]:[Dato]],"&lt;="&amp;EOMONTH(V$5,0),DWbonus[[Bookie]:[Bookie]],$K8)+SUMIFS(LayTable[[Faktisk res]:[Faktisk res]],LayTable[[Dato]:[Dato]],"&gt;="&amp;V$5,LayTable[[Dato]:[Dato]],"&lt;="&amp;EOMONTH(V$5,0),LayTable[[Bookmaker]:[Bookmaker]],$K8)+SUMIFS(BetTable[[AR_per_bookie]:[AR_per_bookie]],BetTable[[B1]:[B1]],$K8,BetTable[[Date]:[Date]], "&gt;="&amp;V$5,BetTable[[Date]:[Date]],"&lt;="&amp;EOMONTH(V$5,0))+SUMIFS(BetTable[[AR_per_bookie]:[AR_per_bookie]],BetTable[[B2]:[B2]],$K8,BetTable[[Date]:[Date]], "&gt;="&amp;V$5,BetTable[[Date]:[Date]],"&lt;="&amp;EOMONTH(V$5,0))+SUMIFS(BetTable[[AR_per_bookie]:[AR_per_bookie]],BetTable[[B3]:[B3]],$K8,BetTable[[Date]:[Date]], "&gt;="&amp;V$5,BetTable[[Date]:[Date]],"&lt;="&amp;EOMONTH(V$5,0))</f>
        <v>0</v>
      </c>
      <c r="W8" s="186">
        <f>SUMIFS(DWbonus[[Sum]:[Sum]],DWbonus[[Dato]:[Dato]], "&gt;="&amp;W$5,DWbonus[[Dato]:[Dato]],"&lt;="&amp;EOMONTH(W$5,0),DWbonus[[Bookie]:[Bookie]],$K8)+SUMIFS(LayTable[[Faktisk res]:[Faktisk res]],LayTable[[Dato]:[Dato]],"&gt;="&amp;W$5,LayTable[[Dato]:[Dato]],"&lt;="&amp;EOMONTH(W$5,0),LayTable[[Bookmaker]:[Bookmaker]],$K8)+SUMIFS(BetTable[[AR_per_bookie]:[AR_per_bookie]],BetTable[[B1]:[B1]],$K8,BetTable[[Date]:[Date]], "&gt;="&amp;W$5,BetTable[[Date]:[Date]],"&lt;="&amp;EOMONTH(W$5,0))+SUMIFS(BetTable[[AR_per_bookie]:[AR_per_bookie]],BetTable[[B2]:[B2]],$K8,BetTable[[Date]:[Date]], "&gt;="&amp;W$5,BetTable[[Date]:[Date]],"&lt;="&amp;EOMONTH(W$5,0))+SUMIFS(BetTable[[AR_per_bookie]:[AR_per_bookie]],BetTable[[B3]:[B3]],$K8,BetTable[[Date]:[Date]], "&gt;="&amp;W$5,BetTable[[Date]:[Date]],"&lt;="&amp;EOMONTH(W$5,0))</f>
        <v>0</v>
      </c>
    </row>
    <row r="9" spans="1:23">
      <c r="A9" s="174" t="s">
        <v>311</v>
      </c>
      <c r="B9" s="186">
        <f>O6</f>
        <v>0</v>
      </c>
      <c r="C9" s="186">
        <v>0</v>
      </c>
      <c r="D9" s="186">
        <f t="shared" si="2"/>
        <v>0</v>
      </c>
      <c r="E9" s="186">
        <v>0</v>
      </c>
      <c r="F9" s="186">
        <f t="shared" si="0"/>
        <v>0</v>
      </c>
      <c r="K9" s="174" t="str">
        <f t="array" ref="K9">IFERROR(INDEX(BookieNavn!H$2:H$1251,SMALL(IF(EXACT(LEFT(BookieNavn!H$2:H$1251,2),M$3),ROW(BookieNavn!H$2:H$1251)-ROW(BookieNavn!H$2)+1),ROWS(BookieNavn!H$2:'BookieNavn'!H4))),"")</f>
        <v>LiNordicbet</v>
      </c>
      <c r="L9" s="186">
        <f>SUMIFS(DWbonus[[Sum]:[Sum]],DWbonus[[Dato]:[Dato]], "&gt;="&amp;L$5,DWbonus[[Dato]:[Dato]],"&lt;="&amp;EOMONTH(L$5,0),DWbonus[[Bookie]:[Bookie]],$K9)+SUMIFS(LayTable[[Faktisk res]:[Faktisk res]],LayTable[[Dato]:[Dato]],"&gt;="&amp;L$5,LayTable[[Dato]:[Dato]],"&lt;="&amp;EOMONTH(L$5,0),LayTable[[Bookmaker]:[Bookmaker]],$K9)+SUMIFS(BetTable[[AR_per_bookie]:[AR_per_bookie]],BetTable[[B1]:[B1]],$K9,BetTable[[Date]:[Date]], "&gt;="&amp;L$5,BetTable[[Date]:[Date]],"&lt;="&amp;EOMONTH(L$5,0))+SUMIFS(BetTable[[AR_per_bookie]:[AR_per_bookie]],BetTable[[B2]:[B2]],$K9,BetTable[[Date]:[Date]], "&gt;="&amp;L$5,BetTable[[Date]:[Date]],"&lt;="&amp;EOMONTH(L$5,0))+SUMIFS(BetTable[[AR_per_bookie]:[AR_per_bookie]],BetTable[[B3]:[B3]],$K9,BetTable[[Date]:[Date]], "&gt;="&amp;L$5,BetTable[[Date]:[Date]],"&lt;="&amp;EOMONTH(L$5,0))</f>
        <v>0</v>
      </c>
      <c r="M9" s="186">
        <f>SUMIFS(DWbonus[[Sum]:[Sum]],DWbonus[[Dato]:[Dato]], "&gt;="&amp;M$5,DWbonus[[Dato]:[Dato]],"&lt;="&amp;EOMONTH(M$5,0),DWbonus[[Bookie]:[Bookie]],$K9)+SUMIFS(LayTable[[Faktisk res]:[Faktisk res]],LayTable[[Dato]:[Dato]],"&gt;="&amp;M$5,LayTable[[Dato]:[Dato]],"&lt;="&amp;EOMONTH(M$5,0),LayTable[[Bookmaker]:[Bookmaker]],$K9)+SUMIFS(BetTable[[AR_per_bookie]:[AR_per_bookie]],BetTable[[B1]:[B1]],$K9,BetTable[[Date]:[Date]], "&gt;="&amp;M$5,BetTable[[Date]:[Date]],"&lt;="&amp;EOMONTH(M$5,0))+SUMIFS(BetTable[[AR_per_bookie]:[AR_per_bookie]],BetTable[[B2]:[B2]],$K9,BetTable[[Date]:[Date]], "&gt;="&amp;M$5,BetTable[[Date]:[Date]],"&lt;="&amp;EOMONTH(M$5,0))+SUMIFS(BetTable[[AR_per_bookie]:[AR_per_bookie]],BetTable[[B3]:[B3]],$K9,BetTable[[Date]:[Date]], "&gt;="&amp;M$5,BetTable[[Date]:[Date]],"&lt;="&amp;EOMONTH(M$5,0))</f>
        <v>0</v>
      </c>
      <c r="N9" s="186">
        <f>SUMIFS(DWbonus[[Sum]:[Sum]],DWbonus[[Dato]:[Dato]], "&gt;="&amp;N$5,DWbonus[[Dato]:[Dato]],"&lt;="&amp;EOMONTH(N$5,0),DWbonus[[Bookie]:[Bookie]],$K9)+SUMIFS(LayTable[[Faktisk res]:[Faktisk res]],LayTable[[Dato]:[Dato]],"&gt;="&amp;N$5,LayTable[[Dato]:[Dato]],"&lt;="&amp;EOMONTH(N$5,0),LayTable[[Bookmaker]:[Bookmaker]],$K9)+SUMIFS(BetTable[[AR_per_bookie]:[AR_per_bookie]],BetTable[[B1]:[B1]],$K9,BetTable[[Date]:[Date]], "&gt;="&amp;N$5,BetTable[[Date]:[Date]],"&lt;="&amp;EOMONTH(N$5,0))+SUMIFS(BetTable[[AR_per_bookie]:[AR_per_bookie]],BetTable[[B2]:[B2]],$K9,BetTable[[Date]:[Date]], "&gt;="&amp;N$5,BetTable[[Date]:[Date]],"&lt;="&amp;EOMONTH(N$5,0))+SUMIFS(BetTable[[AR_per_bookie]:[AR_per_bookie]],BetTable[[B3]:[B3]],$K9,BetTable[[Date]:[Date]], "&gt;="&amp;N$5,BetTable[[Date]:[Date]],"&lt;="&amp;EOMONTH(N$5,0))</f>
        <v>0</v>
      </c>
      <c r="O9" s="186">
        <f>SUMIFS(DWbonus[[Sum]:[Sum]],DWbonus[[Dato]:[Dato]], "&gt;="&amp;O$5,DWbonus[[Dato]:[Dato]],"&lt;="&amp;EOMONTH(O$5,0),DWbonus[[Bookie]:[Bookie]],$K9)+SUMIFS(LayTable[[Faktisk res]:[Faktisk res]],LayTable[[Dato]:[Dato]],"&gt;="&amp;O$5,LayTable[[Dato]:[Dato]],"&lt;="&amp;EOMONTH(O$5,0),LayTable[[Bookmaker]:[Bookmaker]],$K9)+SUMIFS(BetTable[[AR_per_bookie]:[AR_per_bookie]],BetTable[[B1]:[B1]],$K9,BetTable[[Date]:[Date]], "&gt;="&amp;O$5,BetTable[[Date]:[Date]],"&lt;="&amp;EOMONTH(O$5,0))+SUMIFS(BetTable[[AR_per_bookie]:[AR_per_bookie]],BetTable[[B2]:[B2]],$K9,BetTable[[Date]:[Date]], "&gt;="&amp;O$5,BetTable[[Date]:[Date]],"&lt;="&amp;EOMONTH(O$5,0))+SUMIFS(BetTable[[AR_per_bookie]:[AR_per_bookie]],BetTable[[B3]:[B3]],$K9,BetTable[[Date]:[Date]], "&gt;="&amp;O$5,BetTable[[Date]:[Date]],"&lt;="&amp;EOMONTH(O$5,0))</f>
        <v>0</v>
      </c>
      <c r="P9" s="186">
        <f>SUMIFS(DWbonus[[Sum]:[Sum]],DWbonus[[Dato]:[Dato]], "&gt;="&amp;P$5,DWbonus[[Dato]:[Dato]],"&lt;="&amp;EOMONTH(P$5,0),DWbonus[[Bookie]:[Bookie]],$K9)+SUMIFS(LayTable[[Faktisk res]:[Faktisk res]],LayTable[[Dato]:[Dato]],"&gt;="&amp;P$5,LayTable[[Dato]:[Dato]],"&lt;="&amp;EOMONTH(P$5,0),LayTable[[Bookmaker]:[Bookmaker]],$K9)+SUMIFS(BetTable[[AR_per_bookie]:[AR_per_bookie]],BetTable[[B1]:[B1]],$K9,BetTable[[Date]:[Date]], "&gt;="&amp;P$5,BetTable[[Date]:[Date]],"&lt;="&amp;EOMONTH(P$5,0))+SUMIFS(BetTable[[AR_per_bookie]:[AR_per_bookie]],BetTable[[B2]:[B2]],$K9,BetTable[[Date]:[Date]], "&gt;="&amp;P$5,BetTable[[Date]:[Date]],"&lt;="&amp;EOMONTH(P$5,0))+SUMIFS(BetTable[[AR_per_bookie]:[AR_per_bookie]],BetTable[[B3]:[B3]],$K9,BetTable[[Date]:[Date]], "&gt;="&amp;P$5,BetTable[[Date]:[Date]],"&lt;="&amp;EOMONTH(P$5,0))</f>
        <v>0</v>
      </c>
      <c r="Q9" s="186">
        <f>SUMIFS(DWbonus[[Sum]:[Sum]],DWbonus[[Dato]:[Dato]], "&gt;="&amp;Q$5,DWbonus[[Dato]:[Dato]],"&lt;="&amp;EOMONTH(Q$5,0),DWbonus[[Bookie]:[Bookie]],$K9)+SUMIFS(LayTable[[Faktisk res]:[Faktisk res]],LayTable[[Dato]:[Dato]],"&gt;="&amp;Q$5,LayTable[[Dato]:[Dato]],"&lt;="&amp;EOMONTH(Q$5,0),LayTable[[Bookmaker]:[Bookmaker]],$K9)+SUMIFS(BetTable[[AR_per_bookie]:[AR_per_bookie]],BetTable[[B1]:[B1]],$K9,BetTable[[Date]:[Date]], "&gt;="&amp;Q$5,BetTable[[Date]:[Date]],"&lt;="&amp;EOMONTH(Q$5,0))+SUMIFS(BetTable[[AR_per_bookie]:[AR_per_bookie]],BetTable[[B2]:[B2]],$K9,BetTable[[Date]:[Date]], "&gt;="&amp;Q$5,BetTable[[Date]:[Date]],"&lt;="&amp;EOMONTH(Q$5,0))+SUMIFS(BetTable[[AR_per_bookie]:[AR_per_bookie]],BetTable[[B3]:[B3]],$K9,BetTable[[Date]:[Date]], "&gt;="&amp;Q$5,BetTable[[Date]:[Date]],"&lt;="&amp;EOMONTH(Q$5,0))</f>
        <v>0</v>
      </c>
      <c r="R9" s="186">
        <f>SUMIFS(DWbonus[[Sum]:[Sum]],DWbonus[[Dato]:[Dato]], "&gt;="&amp;R$5,DWbonus[[Dato]:[Dato]],"&lt;="&amp;EOMONTH(R$5,0),DWbonus[[Bookie]:[Bookie]],$K9)+SUMIFS(LayTable[[Faktisk res]:[Faktisk res]],LayTable[[Dato]:[Dato]],"&gt;="&amp;R$5,LayTable[[Dato]:[Dato]],"&lt;="&amp;EOMONTH(R$5,0),LayTable[[Bookmaker]:[Bookmaker]],$K9)+SUMIFS(BetTable[[AR_per_bookie]:[AR_per_bookie]],BetTable[[B1]:[B1]],$K9,BetTable[[Date]:[Date]], "&gt;="&amp;R$5,BetTable[[Date]:[Date]],"&lt;="&amp;EOMONTH(R$5,0))+SUMIFS(BetTable[[AR_per_bookie]:[AR_per_bookie]],BetTable[[B2]:[B2]],$K9,BetTable[[Date]:[Date]], "&gt;="&amp;R$5,BetTable[[Date]:[Date]],"&lt;="&amp;EOMONTH(R$5,0))+SUMIFS(BetTable[[AR_per_bookie]:[AR_per_bookie]],BetTable[[B3]:[B3]],$K9,BetTable[[Date]:[Date]], "&gt;="&amp;R$5,BetTable[[Date]:[Date]],"&lt;="&amp;EOMONTH(R$5,0))</f>
        <v>0</v>
      </c>
      <c r="S9" s="186">
        <f>SUMIFS(DWbonus[[Sum]:[Sum]],DWbonus[[Dato]:[Dato]], "&gt;="&amp;S$5,DWbonus[[Dato]:[Dato]],"&lt;="&amp;EOMONTH(S$5,0),DWbonus[[Bookie]:[Bookie]],$K9)+SUMIFS(LayTable[[Faktisk res]:[Faktisk res]],LayTable[[Dato]:[Dato]],"&gt;="&amp;S$5,LayTable[[Dato]:[Dato]],"&lt;="&amp;EOMONTH(S$5,0),LayTable[[Bookmaker]:[Bookmaker]],$K9)+SUMIFS(BetTable[[AR_per_bookie]:[AR_per_bookie]],BetTable[[B1]:[B1]],$K9,BetTable[[Date]:[Date]], "&gt;="&amp;S$5,BetTable[[Date]:[Date]],"&lt;="&amp;EOMONTH(S$5,0))+SUMIFS(BetTable[[AR_per_bookie]:[AR_per_bookie]],BetTable[[B2]:[B2]],$K9,BetTable[[Date]:[Date]], "&gt;="&amp;S$5,BetTable[[Date]:[Date]],"&lt;="&amp;EOMONTH(S$5,0))+SUMIFS(BetTable[[AR_per_bookie]:[AR_per_bookie]],BetTable[[B3]:[B3]],$K9,BetTable[[Date]:[Date]], "&gt;="&amp;S$5,BetTable[[Date]:[Date]],"&lt;="&amp;EOMONTH(S$5,0))</f>
        <v>0</v>
      </c>
      <c r="T9" s="186">
        <f>SUMIFS(DWbonus[[Sum]:[Sum]],DWbonus[[Dato]:[Dato]], "&gt;="&amp;T$5,DWbonus[[Dato]:[Dato]],"&lt;="&amp;EOMONTH(T$5,0),DWbonus[[Bookie]:[Bookie]],$K9)+SUMIFS(LayTable[[Faktisk res]:[Faktisk res]],LayTable[[Dato]:[Dato]],"&gt;="&amp;T$5,LayTable[[Dato]:[Dato]],"&lt;="&amp;EOMONTH(T$5,0),LayTable[[Bookmaker]:[Bookmaker]],$K9)+SUMIFS(BetTable[[AR_per_bookie]:[AR_per_bookie]],BetTable[[B1]:[B1]],$K9,BetTable[[Date]:[Date]], "&gt;="&amp;T$5,BetTable[[Date]:[Date]],"&lt;="&amp;EOMONTH(T$5,0))+SUMIFS(BetTable[[AR_per_bookie]:[AR_per_bookie]],BetTable[[B2]:[B2]],$K9,BetTable[[Date]:[Date]], "&gt;="&amp;T$5,BetTable[[Date]:[Date]],"&lt;="&amp;EOMONTH(T$5,0))+SUMIFS(BetTable[[AR_per_bookie]:[AR_per_bookie]],BetTable[[B3]:[B3]],$K9,BetTable[[Date]:[Date]], "&gt;="&amp;T$5,BetTable[[Date]:[Date]],"&lt;="&amp;EOMONTH(T$5,0))</f>
        <v>0</v>
      </c>
      <c r="U9" s="186">
        <f>SUMIFS(DWbonus[[Sum]:[Sum]],DWbonus[[Dato]:[Dato]], "&gt;="&amp;U$5,DWbonus[[Dato]:[Dato]],"&lt;="&amp;EOMONTH(U$5,0),DWbonus[[Bookie]:[Bookie]],$K9)+SUMIFS(LayTable[[Faktisk res]:[Faktisk res]],LayTable[[Dato]:[Dato]],"&gt;="&amp;U$5,LayTable[[Dato]:[Dato]],"&lt;="&amp;EOMONTH(U$5,0),LayTable[[Bookmaker]:[Bookmaker]],$K9)+SUMIFS(BetTable[[AR_per_bookie]:[AR_per_bookie]],BetTable[[B1]:[B1]],$K9,BetTable[[Date]:[Date]], "&gt;="&amp;U$5,BetTable[[Date]:[Date]],"&lt;="&amp;EOMONTH(U$5,0))+SUMIFS(BetTable[[AR_per_bookie]:[AR_per_bookie]],BetTable[[B2]:[B2]],$K9,BetTable[[Date]:[Date]], "&gt;="&amp;U$5,BetTable[[Date]:[Date]],"&lt;="&amp;EOMONTH(U$5,0))+SUMIFS(BetTable[[AR_per_bookie]:[AR_per_bookie]],BetTable[[B3]:[B3]],$K9,BetTable[[Date]:[Date]], "&gt;="&amp;U$5,BetTable[[Date]:[Date]],"&lt;="&amp;EOMONTH(U$5,0))</f>
        <v>0</v>
      </c>
      <c r="V9" s="186">
        <f>SUMIFS(DWbonus[[Sum]:[Sum]],DWbonus[[Dato]:[Dato]], "&gt;="&amp;V$5,DWbonus[[Dato]:[Dato]],"&lt;="&amp;EOMONTH(V$5,0),DWbonus[[Bookie]:[Bookie]],$K9)+SUMIFS(LayTable[[Faktisk res]:[Faktisk res]],LayTable[[Dato]:[Dato]],"&gt;="&amp;V$5,LayTable[[Dato]:[Dato]],"&lt;="&amp;EOMONTH(V$5,0),LayTable[[Bookmaker]:[Bookmaker]],$K9)+SUMIFS(BetTable[[AR_per_bookie]:[AR_per_bookie]],BetTable[[B1]:[B1]],$K9,BetTable[[Date]:[Date]], "&gt;="&amp;V$5,BetTable[[Date]:[Date]],"&lt;="&amp;EOMONTH(V$5,0))+SUMIFS(BetTable[[AR_per_bookie]:[AR_per_bookie]],BetTable[[B2]:[B2]],$K9,BetTable[[Date]:[Date]], "&gt;="&amp;V$5,BetTable[[Date]:[Date]],"&lt;="&amp;EOMONTH(V$5,0))+SUMIFS(BetTable[[AR_per_bookie]:[AR_per_bookie]],BetTable[[B3]:[B3]],$K9,BetTable[[Date]:[Date]], "&gt;="&amp;V$5,BetTable[[Date]:[Date]],"&lt;="&amp;EOMONTH(V$5,0))</f>
        <v>0</v>
      </c>
      <c r="W9" s="186">
        <f>SUMIFS(DWbonus[[Sum]:[Sum]],DWbonus[[Dato]:[Dato]], "&gt;="&amp;W$5,DWbonus[[Dato]:[Dato]],"&lt;="&amp;EOMONTH(W$5,0),DWbonus[[Bookie]:[Bookie]],$K9)+SUMIFS(LayTable[[Faktisk res]:[Faktisk res]],LayTable[[Dato]:[Dato]],"&gt;="&amp;W$5,LayTable[[Dato]:[Dato]],"&lt;="&amp;EOMONTH(W$5,0),LayTable[[Bookmaker]:[Bookmaker]],$K9)+SUMIFS(BetTable[[AR_per_bookie]:[AR_per_bookie]],BetTable[[B1]:[B1]],$K9,BetTable[[Date]:[Date]], "&gt;="&amp;W$5,BetTable[[Date]:[Date]],"&lt;="&amp;EOMONTH(W$5,0))+SUMIFS(BetTable[[AR_per_bookie]:[AR_per_bookie]],BetTable[[B2]:[B2]],$K9,BetTable[[Date]:[Date]], "&gt;="&amp;W$5,BetTable[[Date]:[Date]],"&lt;="&amp;EOMONTH(W$5,0))+SUMIFS(BetTable[[AR_per_bookie]:[AR_per_bookie]],BetTable[[B3]:[B3]],$K9,BetTable[[Date]:[Date]], "&gt;="&amp;W$5,BetTable[[Date]:[Date]],"&lt;="&amp;EOMONTH(W$5,0))</f>
        <v>0</v>
      </c>
    </row>
    <row r="10" spans="1:23">
      <c r="A10" s="174" t="s">
        <v>312</v>
      </c>
      <c r="B10" s="186">
        <f>P6</f>
        <v>0</v>
      </c>
      <c r="C10" s="186">
        <v>0</v>
      </c>
      <c r="D10" s="186">
        <f t="shared" si="2"/>
        <v>0</v>
      </c>
      <c r="E10" s="186">
        <v>0</v>
      </c>
      <c r="F10" s="186">
        <f t="shared" si="0"/>
        <v>0</v>
      </c>
      <c r="K10" s="174" t="str">
        <f t="array" ref="K10">IFERROR(INDEX(BookieNavn!H$2:H$1251,SMALL(IF(EXACT(LEFT(BookieNavn!H$2:H$1251,2),M$3),ROW(BookieNavn!H$2:H$1251)-ROW(BookieNavn!H$2)+1),ROWS(BookieNavn!H$2:'BookieNavn'!H5))),"")</f>
        <v>LiUnibet</v>
      </c>
      <c r="L10" s="186">
        <f>SUMIFS(DWbonus[[Sum]:[Sum]],DWbonus[[Dato]:[Dato]], "&gt;="&amp;L$5,DWbonus[[Dato]:[Dato]],"&lt;="&amp;EOMONTH(L$5,0),DWbonus[[Bookie]:[Bookie]],$K10)+SUMIFS(LayTable[[Faktisk res]:[Faktisk res]],LayTable[[Dato]:[Dato]],"&gt;="&amp;L$5,LayTable[[Dato]:[Dato]],"&lt;="&amp;EOMONTH(L$5,0),LayTable[[Bookmaker]:[Bookmaker]],$K10)+SUMIFS(BetTable[[AR_per_bookie]:[AR_per_bookie]],BetTable[[B1]:[B1]],$K10,BetTable[[Date]:[Date]], "&gt;="&amp;L$5,BetTable[[Date]:[Date]],"&lt;="&amp;EOMONTH(L$5,0))+SUMIFS(BetTable[[AR_per_bookie]:[AR_per_bookie]],BetTable[[B2]:[B2]],$K10,BetTable[[Date]:[Date]], "&gt;="&amp;L$5,BetTable[[Date]:[Date]],"&lt;="&amp;EOMONTH(L$5,0))+SUMIFS(BetTable[[AR_per_bookie]:[AR_per_bookie]],BetTable[[B3]:[B3]],$K10,BetTable[[Date]:[Date]], "&gt;="&amp;L$5,BetTable[[Date]:[Date]],"&lt;="&amp;EOMONTH(L$5,0))</f>
        <v>0</v>
      </c>
      <c r="M10" s="186">
        <f>SUMIFS(DWbonus[[Sum]:[Sum]],DWbonus[[Dato]:[Dato]], "&gt;="&amp;M$5,DWbonus[[Dato]:[Dato]],"&lt;="&amp;EOMONTH(M$5,0),DWbonus[[Bookie]:[Bookie]],$K10)+SUMIFS(LayTable[[Faktisk res]:[Faktisk res]],LayTable[[Dato]:[Dato]],"&gt;="&amp;M$5,LayTable[[Dato]:[Dato]],"&lt;="&amp;EOMONTH(M$5,0),LayTable[[Bookmaker]:[Bookmaker]],$K10)+SUMIFS(BetTable[[AR_per_bookie]:[AR_per_bookie]],BetTable[[B1]:[B1]],$K10,BetTable[[Date]:[Date]], "&gt;="&amp;M$5,BetTable[[Date]:[Date]],"&lt;="&amp;EOMONTH(M$5,0))+SUMIFS(BetTable[[AR_per_bookie]:[AR_per_bookie]],BetTable[[B2]:[B2]],$K10,BetTable[[Date]:[Date]], "&gt;="&amp;M$5,BetTable[[Date]:[Date]],"&lt;="&amp;EOMONTH(M$5,0))+SUMIFS(BetTable[[AR_per_bookie]:[AR_per_bookie]],BetTable[[B3]:[B3]],$K10,BetTable[[Date]:[Date]], "&gt;="&amp;M$5,BetTable[[Date]:[Date]],"&lt;="&amp;EOMONTH(M$5,0))</f>
        <v>0</v>
      </c>
      <c r="N10" s="186">
        <f>SUMIFS(DWbonus[[Sum]:[Sum]],DWbonus[[Dato]:[Dato]], "&gt;="&amp;N$5,DWbonus[[Dato]:[Dato]],"&lt;="&amp;EOMONTH(N$5,0),DWbonus[[Bookie]:[Bookie]],$K10)+SUMIFS(LayTable[[Faktisk res]:[Faktisk res]],LayTable[[Dato]:[Dato]],"&gt;="&amp;N$5,LayTable[[Dato]:[Dato]],"&lt;="&amp;EOMONTH(N$5,0),LayTable[[Bookmaker]:[Bookmaker]],$K10)+SUMIFS(BetTable[[AR_per_bookie]:[AR_per_bookie]],BetTable[[B1]:[B1]],$K10,BetTable[[Date]:[Date]], "&gt;="&amp;N$5,BetTable[[Date]:[Date]],"&lt;="&amp;EOMONTH(N$5,0))+SUMIFS(BetTable[[AR_per_bookie]:[AR_per_bookie]],BetTable[[B2]:[B2]],$K10,BetTable[[Date]:[Date]], "&gt;="&amp;N$5,BetTable[[Date]:[Date]],"&lt;="&amp;EOMONTH(N$5,0))+SUMIFS(BetTable[[AR_per_bookie]:[AR_per_bookie]],BetTable[[B3]:[B3]],$K10,BetTable[[Date]:[Date]], "&gt;="&amp;N$5,BetTable[[Date]:[Date]],"&lt;="&amp;EOMONTH(N$5,0))</f>
        <v>0</v>
      </c>
      <c r="O10" s="186">
        <f>SUMIFS(DWbonus[[Sum]:[Sum]],DWbonus[[Dato]:[Dato]], "&gt;="&amp;O$5,DWbonus[[Dato]:[Dato]],"&lt;="&amp;EOMONTH(O$5,0),DWbonus[[Bookie]:[Bookie]],$K10)+SUMIFS(LayTable[[Faktisk res]:[Faktisk res]],LayTable[[Dato]:[Dato]],"&gt;="&amp;O$5,LayTable[[Dato]:[Dato]],"&lt;="&amp;EOMONTH(O$5,0),LayTable[[Bookmaker]:[Bookmaker]],$K10)+SUMIFS(BetTable[[AR_per_bookie]:[AR_per_bookie]],BetTable[[B1]:[B1]],$K10,BetTable[[Date]:[Date]], "&gt;="&amp;O$5,BetTable[[Date]:[Date]],"&lt;="&amp;EOMONTH(O$5,0))+SUMIFS(BetTable[[AR_per_bookie]:[AR_per_bookie]],BetTable[[B2]:[B2]],$K10,BetTable[[Date]:[Date]], "&gt;="&amp;O$5,BetTable[[Date]:[Date]],"&lt;="&amp;EOMONTH(O$5,0))+SUMIFS(BetTable[[AR_per_bookie]:[AR_per_bookie]],BetTable[[B3]:[B3]],$K10,BetTable[[Date]:[Date]], "&gt;="&amp;O$5,BetTable[[Date]:[Date]],"&lt;="&amp;EOMONTH(O$5,0))</f>
        <v>0</v>
      </c>
      <c r="P10" s="186">
        <f>SUMIFS(DWbonus[[Sum]:[Sum]],DWbonus[[Dato]:[Dato]], "&gt;="&amp;P$5,DWbonus[[Dato]:[Dato]],"&lt;="&amp;EOMONTH(P$5,0),DWbonus[[Bookie]:[Bookie]],$K10)+SUMIFS(LayTable[[Faktisk res]:[Faktisk res]],LayTable[[Dato]:[Dato]],"&gt;="&amp;P$5,LayTable[[Dato]:[Dato]],"&lt;="&amp;EOMONTH(P$5,0),LayTable[[Bookmaker]:[Bookmaker]],$K10)+SUMIFS(BetTable[[AR_per_bookie]:[AR_per_bookie]],BetTable[[B1]:[B1]],$K10,BetTable[[Date]:[Date]], "&gt;="&amp;P$5,BetTable[[Date]:[Date]],"&lt;="&amp;EOMONTH(P$5,0))+SUMIFS(BetTable[[AR_per_bookie]:[AR_per_bookie]],BetTable[[B2]:[B2]],$K10,BetTable[[Date]:[Date]], "&gt;="&amp;P$5,BetTable[[Date]:[Date]],"&lt;="&amp;EOMONTH(P$5,0))+SUMIFS(BetTable[[AR_per_bookie]:[AR_per_bookie]],BetTable[[B3]:[B3]],$K10,BetTable[[Date]:[Date]], "&gt;="&amp;P$5,BetTable[[Date]:[Date]],"&lt;="&amp;EOMONTH(P$5,0))</f>
        <v>0</v>
      </c>
      <c r="Q10" s="186">
        <f>SUMIFS(DWbonus[[Sum]:[Sum]],DWbonus[[Dato]:[Dato]], "&gt;="&amp;Q$5,DWbonus[[Dato]:[Dato]],"&lt;="&amp;EOMONTH(Q$5,0),DWbonus[[Bookie]:[Bookie]],$K10)+SUMIFS(LayTable[[Faktisk res]:[Faktisk res]],LayTable[[Dato]:[Dato]],"&gt;="&amp;Q$5,LayTable[[Dato]:[Dato]],"&lt;="&amp;EOMONTH(Q$5,0),LayTable[[Bookmaker]:[Bookmaker]],$K10)+SUMIFS(BetTable[[AR_per_bookie]:[AR_per_bookie]],BetTable[[B1]:[B1]],$K10,BetTable[[Date]:[Date]], "&gt;="&amp;Q$5,BetTable[[Date]:[Date]],"&lt;="&amp;EOMONTH(Q$5,0))+SUMIFS(BetTable[[AR_per_bookie]:[AR_per_bookie]],BetTable[[B2]:[B2]],$K10,BetTable[[Date]:[Date]], "&gt;="&amp;Q$5,BetTable[[Date]:[Date]],"&lt;="&amp;EOMONTH(Q$5,0))+SUMIFS(BetTable[[AR_per_bookie]:[AR_per_bookie]],BetTable[[B3]:[B3]],$K10,BetTable[[Date]:[Date]], "&gt;="&amp;Q$5,BetTable[[Date]:[Date]],"&lt;="&amp;EOMONTH(Q$5,0))</f>
        <v>0</v>
      </c>
      <c r="R10" s="186">
        <f>SUMIFS(DWbonus[[Sum]:[Sum]],DWbonus[[Dato]:[Dato]], "&gt;="&amp;R$5,DWbonus[[Dato]:[Dato]],"&lt;="&amp;EOMONTH(R$5,0),DWbonus[[Bookie]:[Bookie]],$K10)+SUMIFS(LayTable[[Faktisk res]:[Faktisk res]],LayTable[[Dato]:[Dato]],"&gt;="&amp;R$5,LayTable[[Dato]:[Dato]],"&lt;="&amp;EOMONTH(R$5,0),LayTable[[Bookmaker]:[Bookmaker]],$K10)+SUMIFS(BetTable[[AR_per_bookie]:[AR_per_bookie]],BetTable[[B1]:[B1]],$K10,BetTable[[Date]:[Date]], "&gt;="&amp;R$5,BetTable[[Date]:[Date]],"&lt;="&amp;EOMONTH(R$5,0))+SUMIFS(BetTable[[AR_per_bookie]:[AR_per_bookie]],BetTable[[B2]:[B2]],$K10,BetTable[[Date]:[Date]], "&gt;="&amp;R$5,BetTable[[Date]:[Date]],"&lt;="&amp;EOMONTH(R$5,0))+SUMIFS(BetTable[[AR_per_bookie]:[AR_per_bookie]],BetTable[[B3]:[B3]],$K10,BetTable[[Date]:[Date]], "&gt;="&amp;R$5,BetTable[[Date]:[Date]],"&lt;="&amp;EOMONTH(R$5,0))</f>
        <v>0</v>
      </c>
      <c r="S10" s="186">
        <f>SUMIFS(DWbonus[[Sum]:[Sum]],DWbonus[[Dato]:[Dato]], "&gt;="&amp;S$5,DWbonus[[Dato]:[Dato]],"&lt;="&amp;EOMONTH(S$5,0),DWbonus[[Bookie]:[Bookie]],$K10)+SUMIFS(LayTable[[Faktisk res]:[Faktisk res]],LayTable[[Dato]:[Dato]],"&gt;="&amp;S$5,LayTable[[Dato]:[Dato]],"&lt;="&amp;EOMONTH(S$5,0),LayTable[[Bookmaker]:[Bookmaker]],$K10)+SUMIFS(BetTable[[AR_per_bookie]:[AR_per_bookie]],BetTable[[B1]:[B1]],$K10,BetTable[[Date]:[Date]], "&gt;="&amp;S$5,BetTable[[Date]:[Date]],"&lt;="&amp;EOMONTH(S$5,0))+SUMIFS(BetTable[[AR_per_bookie]:[AR_per_bookie]],BetTable[[B2]:[B2]],$K10,BetTable[[Date]:[Date]], "&gt;="&amp;S$5,BetTable[[Date]:[Date]],"&lt;="&amp;EOMONTH(S$5,0))+SUMIFS(BetTable[[AR_per_bookie]:[AR_per_bookie]],BetTable[[B3]:[B3]],$K10,BetTable[[Date]:[Date]], "&gt;="&amp;S$5,BetTable[[Date]:[Date]],"&lt;="&amp;EOMONTH(S$5,0))</f>
        <v>0</v>
      </c>
      <c r="T10" s="186">
        <f>SUMIFS(DWbonus[[Sum]:[Sum]],DWbonus[[Dato]:[Dato]], "&gt;="&amp;T$5,DWbonus[[Dato]:[Dato]],"&lt;="&amp;EOMONTH(T$5,0),DWbonus[[Bookie]:[Bookie]],$K10)+SUMIFS(LayTable[[Faktisk res]:[Faktisk res]],LayTable[[Dato]:[Dato]],"&gt;="&amp;T$5,LayTable[[Dato]:[Dato]],"&lt;="&amp;EOMONTH(T$5,0),LayTable[[Bookmaker]:[Bookmaker]],$K10)+SUMIFS(BetTable[[AR_per_bookie]:[AR_per_bookie]],BetTable[[B1]:[B1]],$K10,BetTable[[Date]:[Date]], "&gt;="&amp;T$5,BetTable[[Date]:[Date]],"&lt;="&amp;EOMONTH(T$5,0))+SUMIFS(BetTable[[AR_per_bookie]:[AR_per_bookie]],BetTable[[B2]:[B2]],$K10,BetTable[[Date]:[Date]], "&gt;="&amp;T$5,BetTable[[Date]:[Date]],"&lt;="&amp;EOMONTH(T$5,0))+SUMIFS(BetTable[[AR_per_bookie]:[AR_per_bookie]],BetTable[[B3]:[B3]],$K10,BetTable[[Date]:[Date]], "&gt;="&amp;T$5,BetTable[[Date]:[Date]],"&lt;="&amp;EOMONTH(T$5,0))</f>
        <v>0</v>
      </c>
      <c r="U10" s="186">
        <f>SUMIFS(DWbonus[[Sum]:[Sum]],DWbonus[[Dato]:[Dato]], "&gt;="&amp;U$5,DWbonus[[Dato]:[Dato]],"&lt;="&amp;EOMONTH(U$5,0),DWbonus[[Bookie]:[Bookie]],$K10)+SUMIFS(LayTable[[Faktisk res]:[Faktisk res]],LayTable[[Dato]:[Dato]],"&gt;="&amp;U$5,LayTable[[Dato]:[Dato]],"&lt;="&amp;EOMONTH(U$5,0),LayTable[[Bookmaker]:[Bookmaker]],$K10)+SUMIFS(BetTable[[AR_per_bookie]:[AR_per_bookie]],BetTable[[B1]:[B1]],$K10,BetTable[[Date]:[Date]], "&gt;="&amp;U$5,BetTable[[Date]:[Date]],"&lt;="&amp;EOMONTH(U$5,0))+SUMIFS(BetTable[[AR_per_bookie]:[AR_per_bookie]],BetTable[[B2]:[B2]],$K10,BetTable[[Date]:[Date]], "&gt;="&amp;U$5,BetTable[[Date]:[Date]],"&lt;="&amp;EOMONTH(U$5,0))+SUMIFS(BetTable[[AR_per_bookie]:[AR_per_bookie]],BetTable[[B3]:[B3]],$K10,BetTable[[Date]:[Date]], "&gt;="&amp;U$5,BetTable[[Date]:[Date]],"&lt;="&amp;EOMONTH(U$5,0))</f>
        <v>0</v>
      </c>
      <c r="V10" s="186">
        <f>SUMIFS(DWbonus[[Sum]:[Sum]],DWbonus[[Dato]:[Dato]], "&gt;="&amp;V$5,DWbonus[[Dato]:[Dato]],"&lt;="&amp;EOMONTH(V$5,0),DWbonus[[Bookie]:[Bookie]],$K10)+SUMIFS(LayTable[[Faktisk res]:[Faktisk res]],LayTable[[Dato]:[Dato]],"&gt;="&amp;V$5,LayTable[[Dato]:[Dato]],"&lt;="&amp;EOMONTH(V$5,0),LayTable[[Bookmaker]:[Bookmaker]],$K10)+SUMIFS(BetTable[[AR_per_bookie]:[AR_per_bookie]],BetTable[[B1]:[B1]],$K10,BetTable[[Date]:[Date]], "&gt;="&amp;V$5,BetTable[[Date]:[Date]],"&lt;="&amp;EOMONTH(V$5,0))+SUMIFS(BetTable[[AR_per_bookie]:[AR_per_bookie]],BetTable[[B2]:[B2]],$K10,BetTable[[Date]:[Date]], "&gt;="&amp;V$5,BetTable[[Date]:[Date]],"&lt;="&amp;EOMONTH(V$5,0))+SUMIFS(BetTable[[AR_per_bookie]:[AR_per_bookie]],BetTable[[B3]:[B3]],$K10,BetTable[[Date]:[Date]], "&gt;="&amp;V$5,BetTable[[Date]:[Date]],"&lt;="&amp;EOMONTH(V$5,0))</f>
        <v>0</v>
      </c>
      <c r="W10" s="186">
        <f>SUMIFS(DWbonus[[Sum]:[Sum]],DWbonus[[Dato]:[Dato]], "&gt;="&amp;W$5,DWbonus[[Dato]:[Dato]],"&lt;="&amp;EOMONTH(W$5,0),DWbonus[[Bookie]:[Bookie]],$K10)+SUMIFS(LayTable[[Faktisk res]:[Faktisk res]],LayTable[[Dato]:[Dato]],"&gt;="&amp;W$5,LayTable[[Dato]:[Dato]],"&lt;="&amp;EOMONTH(W$5,0),LayTable[[Bookmaker]:[Bookmaker]],$K10)+SUMIFS(BetTable[[AR_per_bookie]:[AR_per_bookie]],BetTable[[B1]:[B1]],$K10,BetTable[[Date]:[Date]], "&gt;="&amp;W$5,BetTable[[Date]:[Date]],"&lt;="&amp;EOMONTH(W$5,0))+SUMIFS(BetTable[[AR_per_bookie]:[AR_per_bookie]],BetTable[[B2]:[B2]],$K10,BetTable[[Date]:[Date]], "&gt;="&amp;W$5,BetTable[[Date]:[Date]],"&lt;="&amp;EOMONTH(W$5,0))+SUMIFS(BetTable[[AR_per_bookie]:[AR_per_bookie]],BetTable[[B3]:[B3]],$K10,BetTable[[Date]:[Date]], "&gt;="&amp;W$5,BetTable[[Date]:[Date]],"&lt;="&amp;EOMONTH(W$5,0))</f>
        <v>0</v>
      </c>
    </row>
    <row r="11" spans="1:23">
      <c r="A11" s="174" t="s">
        <v>313</v>
      </c>
      <c r="B11" s="186">
        <f>Q6</f>
        <v>0</v>
      </c>
      <c r="C11" s="186">
        <v>0</v>
      </c>
      <c r="D11" s="186">
        <f t="shared" si="2"/>
        <v>0</v>
      </c>
      <c r="E11" s="186">
        <v>0</v>
      </c>
      <c r="F11" s="186">
        <f t="shared" si="0"/>
        <v>0</v>
      </c>
      <c r="K11" s="174" t="str">
        <f t="array" ref="K11">IFERROR(INDEX(BookieNavn!H$2:H$1251,SMALL(IF(EXACT(LEFT(BookieNavn!H$2:H$1251,2),M$3),ROW(BookieNavn!H$2:H$1251)-ROW(BookieNavn!H$2)+1),ROWS(BookieNavn!H$2:'BookieNavn'!H6))),"")</f>
        <v>LiBethard</v>
      </c>
      <c r="L11" s="186">
        <f>SUMIFS(DWbonus[[Sum]:[Sum]],DWbonus[[Dato]:[Dato]], "&gt;="&amp;L$5,DWbonus[[Dato]:[Dato]],"&lt;="&amp;EOMONTH(L$5,0),DWbonus[[Bookie]:[Bookie]],$K11)+SUMIFS(LayTable[[Faktisk res]:[Faktisk res]],LayTable[[Dato]:[Dato]],"&gt;="&amp;L$5,LayTable[[Dato]:[Dato]],"&lt;="&amp;EOMONTH(L$5,0),LayTable[[Bookmaker]:[Bookmaker]],$K11)+SUMIFS(BetTable[[AR_per_bookie]:[AR_per_bookie]],BetTable[[B1]:[B1]],$K11,BetTable[[Date]:[Date]], "&gt;="&amp;L$5,BetTable[[Date]:[Date]],"&lt;="&amp;EOMONTH(L$5,0))+SUMIFS(BetTable[[AR_per_bookie]:[AR_per_bookie]],BetTable[[B2]:[B2]],$K11,BetTable[[Date]:[Date]], "&gt;="&amp;L$5,BetTable[[Date]:[Date]],"&lt;="&amp;EOMONTH(L$5,0))+SUMIFS(BetTable[[AR_per_bookie]:[AR_per_bookie]],BetTable[[B3]:[B3]],$K11,BetTable[[Date]:[Date]], "&gt;="&amp;L$5,BetTable[[Date]:[Date]],"&lt;="&amp;EOMONTH(L$5,0))</f>
        <v>0</v>
      </c>
      <c r="M11" s="186">
        <f>SUMIFS(DWbonus[[Sum]:[Sum]],DWbonus[[Dato]:[Dato]], "&gt;="&amp;M$5,DWbonus[[Dato]:[Dato]],"&lt;="&amp;EOMONTH(M$5,0),DWbonus[[Bookie]:[Bookie]],$K11)+SUMIFS(LayTable[[Faktisk res]:[Faktisk res]],LayTable[[Dato]:[Dato]],"&gt;="&amp;M$5,LayTable[[Dato]:[Dato]],"&lt;="&amp;EOMONTH(M$5,0),LayTable[[Bookmaker]:[Bookmaker]],$K11)+SUMIFS(BetTable[[AR_per_bookie]:[AR_per_bookie]],BetTable[[B1]:[B1]],$K11,BetTable[[Date]:[Date]], "&gt;="&amp;M$5,BetTable[[Date]:[Date]],"&lt;="&amp;EOMONTH(M$5,0))+SUMIFS(BetTable[[AR_per_bookie]:[AR_per_bookie]],BetTable[[B2]:[B2]],$K11,BetTable[[Date]:[Date]], "&gt;="&amp;M$5,BetTable[[Date]:[Date]],"&lt;="&amp;EOMONTH(M$5,0))+SUMIFS(BetTable[[AR_per_bookie]:[AR_per_bookie]],BetTable[[B3]:[B3]],$K11,BetTable[[Date]:[Date]], "&gt;="&amp;M$5,BetTable[[Date]:[Date]],"&lt;="&amp;EOMONTH(M$5,0))</f>
        <v>0</v>
      </c>
      <c r="N11" s="186">
        <f>SUMIFS(DWbonus[[Sum]:[Sum]],DWbonus[[Dato]:[Dato]], "&gt;="&amp;N$5,DWbonus[[Dato]:[Dato]],"&lt;="&amp;EOMONTH(N$5,0),DWbonus[[Bookie]:[Bookie]],$K11)+SUMIFS(LayTable[[Faktisk res]:[Faktisk res]],LayTable[[Dato]:[Dato]],"&gt;="&amp;N$5,LayTable[[Dato]:[Dato]],"&lt;="&amp;EOMONTH(N$5,0),LayTable[[Bookmaker]:[Bookmaker]],$K11)+SUMIFS(BetTable[[AR_per_bookie]:[AR_per_bookie]],BetTable[[B1]:[B1]],$K11,BetTable[[Date]:[Date]], "&gt;="&amp;N$5,BetTable[[Date]:[Date]],"&lt;="&amp;EOMONTH(N$5,0))+SUMIFS(BetTable[[AR_per_bookie]:[AR_per_bookie]],BetTable[[B2]:[B2]],$K11,BetTable[[Date]:[Date]], "&gt;="&amp;N$5,BetTable[[Date]:[Date]],"&lt;="&amp;EOMONTH(N$5,0))+SUMIFS(BetTable[[AR_per_bookie]:[AR_per_bookie]],BetTable[[B3]:[B3]],$K11,BetTable[[Date]:[Date]], "&gt;="&amp;N$5,BetTable[[Date]:[Date]],"&lt;="&amp;EOMONTH(N$5,0))</f>
        <v>0</v>
      </c>
      <c r="O11" s="186">
        <f>SUMIFS(DWbonus[[Sum]:[Sum]],DWbonus[[Dato]:[Dato]], "&gt;="&amp;O$5,DWbonus[[Dato]:[Dato]],"&lt;="&amp;EOMONTH(O$5,0),DWbonus[[Bookie]:[Bookie]],$K11)+SUMIFS(LayTable[[Faktisk res]:[Faktisk res]],LayTable[[Dato]:[Dato]],"&gt;="&amp;O$5,LayTable[[Dato]:[Dato]],"&lt;="&amp;EOMONTH(O$5,0),LayTable[[Bookmaker]:[Bookmaker]],$K11)+SUMIFS(BetTable[[AR_per_bookie]:[AR_per_bookie]],BetTable[[B1]:[B1]],$K11,BetTable[[Date]:[Date]], "&gt;="&amp;O$5,BetTable[[Date]:[Date]],"&lt;="&amp;EOMONTH(O$5,0))+SUMIFS(BetTable[[AR_per_bookie]:[AR_per_bookie]],BetTable[[B2]:[B2]],$K11,BetTable[[Date]:[Date]], "&gt;="&amp;O$5,BetTable[[Date]:[Date]],"&lt;="&amp;EOMONTH(O$5,0))+SUMIFS(BetTable[[AR_per_bookie]:[AR_per_bookie]],BetTable[[B3]:[B3]],$K11,BetTable[[Date]:[Date]], "&gt;="&amp;O$5,BetTable[[Date]:[Date]],"&lt;="&amp;EOMONTH(O$5,0))</f>
        <v>0</v>
      </c>
      <c r="P11" s="186">
        <f>SUMIFS(DWbonus[[Sum]:[Sum]],DWbonus[[Dato]:[Dato]], "&gt;="&amp;P$5,DWbonus[[Dato]:[Dato]],"&lt;="&amp;EOMONTH(P$5,0),DWbonus[[Bookie]:[Bookie]],$K11)+SUMIFS(LayTable[[Faktisk res]:[Faktisk res]],LayTable[[Dato]:[Dato]],"&gt;="&amp;P$5,LayTable[[Dato]:[Dato]],"&lt;="&amp;EOMONTH(P$5,0),LayTable[[Bookmaker]:[Bookmaker]],$K11)+SUMIFS(BetTable[[AR_per_bookie]:[AR_per_bookie]],BetTable[[B1]:[B1]],$K11,BetTable[[Date]:[Date]], "&gt;="&amp;P$5,BetTable[[Date]:[Date]],"&lt;="&amp;EOMONTH(P$5,0))+SUMIFS(BetTable[[AR_per_bookie]:[AR_per_bookie]],BetTable[[B2]:[B2]],$K11,BetTable[[Date]:[Date]], "&gt;="&amp;P$5,BetTable[[Date]:[Date]],"&lt;="&amp;EOMONTH(P$5,0))+SUMIFS(BetTable[[AR_per_bookie]:[AR_per_bookie]],BetTable[[B3]:[B3]],$K11,BetTable[[Date]:[Date]], "&gt;="&amp;P$5,BetTable[[Date]:[Date]],"&lt;="&amp;EOMONTH(P$5,0))</f>
        <v>0</v>
      </c>
      <c r="Q11" s="186">
        <f>SUMIFS(DWbonus[[Sum]:[Sum]],DWbonus[[Dato]:[Dato]], "&gt;="&amp;Q$5,DWbonus[[Dato]:[Dato]],"&lt;="&amp;EOMONTH(Q$5,0),DWbonus[[Bookie]:[Bookie]],$K11)+SUMIFS(LayTable[[Faktisk res]:[Faktisk res]],LayTable[[Dato]:[Dato]],"&gt;="&amp;Q$5,LayTable[[Dato]:[Dato]],"&lt;="&amp;EOMONTH(Q$5,0),LayTable[[Bookmaker]:[Bookmaker]],$K11)+SUMIFS(BetTable[[AR_per_bookie]:[AR_per_bookie]],BetTable[[B1]:[B1]],$K11,BetTable[[Date]:[Date]], "&gt;="&amp;Q$5,BetTable[[Date]:[Date]],"&lt;="&amp;EOMONTH(Q$5,0))+SUMIFS(BetTable[[AR_per_bookie]:[AR_per_bookie]],BetTable[[B2]:[B2]],$K11,BetTable[[Date]:[Date]], "&gt;="&amp;Q$5,BetTable[[Date]:[Date]],"&lt;="&amp;EOMONTH(Q$5,0))+SUMIFS(BetTable[[AR_per_bookie]:[AR_per_bookie]],BetTable[[B3]:[B3]],$K11,BetTable[[Date]:[Date]], "&gt;="&amp;Q$5,BetTable[[Date]:[Date]],"&lt;="&amp;EOMONTH(Q$5,0))</f>
        <v>0</v>
      </c>
      <c r="R11" s="186">
        <f>SUMIFS(DWbonus[[Sum]:[Sum]],DWbonus[[Dato]:[Dato]], "&gt;="&amp;R$5,DWbonus[[Dato]:[Dato]],"&lt;="&amp;EOMONTH(R$5,0),DWbonus[[Bookie]:[Bookie]],$K11)+SUMIFS(LayTable[[Faktisk res]:[Faktisk res]],LayTable[[Dato]:[Dato]],"&gt;="&amp;R$5,LayTable[[Dato]:[Dato]],"&lt;="&amp;EOMONTH(R$5,0),LayTable[[Bookmaker]:[Bookmaker]],$K11)+SUMIFS(BetTable[[AR_per_bookie]:[AR_per_bookie]],BetTable[[B1]:[B1]],$K11,BetTable[[Date]:[Date]], "&gt;="&amp;R$5,BetTable[[Date]:[Date]],"&lt;="&amp;EOMONTH(R$5,0))+SUMIFS(BetTable[[AR_per_bookie]:[AR_per_bookie]],BetTable[[B2]:[B2]],$K11,BetTable[[Date]:[Date]], "&gt;="&amp;R$5,BetTable[[Date]:[Date]],"&lt;="&amp;EOMONTH(R$5,0))+SUMIFS(BetTable[[AR_per_bookie]:[AR_per_bookie]],BetTable[[B3]:[B3]],$K11,BetTable[[Date]:[Date]], "&gt;="&amp;R$5,BetTable[[Date]:[Date]],"&lt;="&amp;EOMONTH(R$5,0))</f>
        <v>0</v>
      </c>
      <c r="S11" s="186">
        <f>SUMIFS(DWbonus[[Sum]:[Sum]],DWbonus[[Dato]:[Dato]], "&gt;="&amp;S$5,DWbonus[[Dato]:[Dato]],"&lt;="&amp;EOMONTH(S$5,0),DWbonus[[Bookie]:[Bookie]],$K11)+SUMIFS(LayTable[[Faktisk res]:[Faktisk res]],LayTable[[Dato]:[Dato]],"&gt;="&amp;S$5,LayTable[[Dato]:[Dato]],"&lt;="&amp;EOMONTH(S$5,0),LayTable[[Bookmaker]:[Bookmaker]],$K11)+SUMIFS(BetTable[[AR_per_bookie]:[AR_per_bookie]],BetTable[[B1]:[B1]],$K11,BetTable[[Date]:[Date]], "&gt;="&amp;S$5,BetTable[[Date]:[Date]],"&lt;="&amp;EOMONTH(S$5,0))+SUMIFS(BetTable[[AR_per_bookie]:[AR_per_bookie]],BetTable[[B2]:[B2]],$K11,BetTable[[Date]:[Date]], "&gt;="&amp;S$5,BetTable[[Date]:[Date]],"&lt;="&amp;EOMONTH(S$5,0))+SUMIFS(BetTable[[AR_per_bookie]:[AR_per_bookie]],BetTable[[B3]:[B3]],$K11,BetTable[[Date]:[Date]], "&gt;="&amp;S$5,BetTable[[Date]:[Date]],"&lt;="&amp;EOMONTH(S$5,0))</f>
        <v>0</v>
      </c>
      <c r="T11" s="186">
        <f>SUMIFS(DWbonus[[Sum]:[Sum]],DWbonus[[Dato]:[Dato]], "&gt;="&amp;T$5,DWbonus[[Dato]:[Dato]],"&lt;="&amp;EOMONTH(T$5,0),DWbonus[[Bookie]:[Bookie]],$K11)+SUMIFS(LayTable[[Faktisk res]:[Faktisk res]],LayTable[[Dato]:[Dato]],"&gt;="&amp;T$5,LayTable[[Dato]:[Dato]],"&lt;="&amp;EOMONTH(T$5,0),LayTable[[Bookmaker]:[Bookmaker]],$K11)+SUMIFS(BetTable[[AR_per_bookie]:[AR_per_bookie]],BetTable[[B1]:[B1]],$K11,BetTable[[Date]:[Date]], "&gt;="&amp;T$5,BetTable[[Date]:[Date]],"&lt;="&amp;EOMONTH(T$5,0))+SUMIFS(BetTable[[AR_per_bookie]:[AR_per_bookie]],BetTable[[B2]:[B2]],$K11,BetTable[[Date]:[Date]], "&gt;="&amp;T$5,BetTable[[Date]:[Date]],"&lt;="&amp;EOMONTH(T$5,0))+SUMIFS(BetTable[[AR_per_bookie]:[AR_per_bookie]],BetTable[[B3]:[B3]],$K11,BetTable[[Date]:[Date]], "&gt;="&amp;T$5,BetTable[[Date]:[Date]],"&lt;="&amp;EOMONTH(T$5,0))</f>
        <v>0</v>
      </c>
      <c r="U11" s="186">
        <f>SUMIFS(DWbonus[[Sum]:[Sum]],DWbonus[[Dato]:[Dato]], "&gt;="&amp;U$5,DWbonus[[Dato]:[Dato]],"&lt;="&amp;EOMONTH(U$5,0),DWbonus[[Bookie]:[Bookie]],$K11)+SUMIFS(LayTable[[Faktisk res]:[Faktisk res]],LayTable[[Dato]:[Dato]],"&gt;="&amp;U$5,LayTable[[Dato]:[Dato]],"&lt;="&amp;EOMONTH(U$5,0),LayTable[[Bookmaker]:[Bookmaker]],$K11)+SUMIFS(BetTable[[AR_per_bookie]:[AR_per_bookie]],BetTable[[B1]:[B1]],$K11,BetTable[[Date]:[Date]], "&gt;="&amp;U$5,BetTable[[Date]:[Date]],"&lt;="&amp;EOMONTH(U$5,0))+SUMIFS(BetTable[[AR_per_bookie]:[AR_per_bookie]],BetTable[[B2]:[B2]],$K11,BetTable[[Date]:[Date]], "&gt;="&amp;U$5,BetTable[[Date]:[Date]],"&lt;="&amp;EOMONTH(U$5,0))+SUMIFS(BetTable[[AR_per_bookie]:[AR_per_bookie]],BetTable[[B3]:[B3]],$K11,BetTable[[Date]:[Date]], "&gt;="&amp;U$5,BetTable[[Date]:[Date]],"&lt;="&amp;EOMONTH(U$5,0))</f>
        <v>0</v>
      </c>
      <c r="V11" s="186">
        <f>SUMIFS(DWbonus[[Sum]:[Sum]],DWbonus[[Dato]:[Dato]], "&gt;="&amp;V$5,DWbonus[[Dato]:[Dato]],"&lt;="&amp;EOMONTH(V$5,0),DWbonus[[Bookie]:[Bookie]],$K11)+SUMIFS(LayTable[[Faktisk res]:[Faktisk res]],LayTable[[Dato]:[Dato]],"&gt;="&amp;V$5,LayTable[[Dato]:[Dato]],"&lt;="&amp;EOMONTH(V$5,0),LayTable[[Bookmaker]:[Bookmaker]],$K11)+SUMIFS(BetTable[[AR_per_bookie]:[AR_per_bookie]],BetTable[[B1]:[B1]],$K11,BetTable[[Date]:[Date]], "&gt;="&amp;V$5,BetTable[[Date]:[Date]],"&lt;="&amp;EOMONTH(V$5,0))+SUMIFS(BetTable[[AR_per_bookie]:[AR_per_bookie]],BetTable[[B2]:[B2]],$K11,BetTable[[Date]:[Date]], "&gt;="&amp;V$5,BetTable[[Date]:[Date]],"&lt;="&amp;EOMONTH(V$5,0))+SUMIFS(BetTable[[AR_per_bookie]:[AR_per_bookie]],BetTable[[B3]:[B3]],$K11,BetTable[[Date]:[Date]], "&gt;="&amp;V$5,BetTable[[Date]:[Date]],"&lt;="&amp;EOMONTH(V$5,0))</f>
        <v>0</v>
      </c>
      <c r="W11" s="186">
        <f>SUMIFS(DWbonus[[Sum]:[Sum]],DWbonus[[Dato]:[Dato]], "&gt;="&amp;W$5,DWbonus[[Dato]:[Dato]],"&lt;="&amp;EOMONTH(W$5,0),DWbonus[[Bookie]:[Bookie]],$K11)+SUMIFS(LayTable[[Faktisk res]:[Faktisk res]],LayTable[[Dato]:[Dato]],"&gt;="&amp;W$5,LayTable[[Dato]:[Dato]],"&lt;="&amp;EOMONTH(W$5,0),LayTable[[Bookmaker]:[Bookmaker]],$K11)+SUMIFS(BetTable[[AR_per_bookie]:[AR_per_bookie]],BetTable[[B1]:[B1]],$K11,BetTable[[Date]:[Date]], "&gt;="&amp;W$5,BetTable[[Date]:[Date]],"&lt;="&amp;EOMONTH(W$5,0))+SUMIFS(BetTable[[AR_per_bookie]:[AR_per_bookie]],BetTable[[B2]:[B2]],$K11,BetTable[[Date]:[Date]], "&gt;="&amp;W$5,BetTable[[Date]:[Date]],"&lt;="&amp;EOMONTH(W$5,0))+SUMIFS(BetTable[[AR_per_bookie]:[AR_per_bookie]],BetTable[[B3]:[B3]],$K11,BetTable[[Date]:[Date]], "&gt;="&amp;W$5,BetTable[[Date]:[Date]],"&lt;="&amp;EOMONTH(W$5,0))</f>
        <v>0</v>
      </c>
    </row>
    <row r="12" spans="1:23">
      <c r="A12" s="174" t="s">
        <v>314</v>
      </c>
      <c r="B12" s="186">
        <f>R6-G25</f>
        <v>-255</v>
      </c>
      <c r="C12" s="186">
        <v>0</v>
      </c>
      <c r="D12" s="186">
        <f>C12+MAX(ROUND(B12*$F$2,0),F$3)</f>
        <v>0</v>
      </c>
      <c r="E12" s="186">
        <f>G27+867</f>
        <v>3260</v>
      </c>
      <c r="F12" s="186">
        <f>D12-E12</f>
        <v>-3260</v>
      </c>
      <c r="K12" s="174" t="str">
        <f t="array" ref="K12">IFERROR(INDEX(BookieNavn!H$2:H$1251,SMALL(IF(EXACT(LEFT(BookieNavn!H$2:H$1251,2),M$3),ROW(BookieNavn!H$2:H$1251)-ROW(BookieNavn!H$2)+1),ROWS(BookieNavn!H$2:'BookieNavn'!H7))),"")</f>
        <v>LiBet365</v>
      </c>
      <c r="L12" s="186">
        <f>SUMIFS(DWbonus[[Sum]:[Sum]],DWbonus[[Dato]:[Dato]], "&gt;="&amp;L$5,DWbonus[[Dato]:[Dato]],"&lt;="&amp;EOMONTH(L$5,0),DWbonus[[Bookie]:[Bookie]],$K12)+SUMIFS(LayTable[[Faktisk res]:[Faktisk res]],LayTable[[Dato]:[Dato]],"&gt;="&amp;L$5,LayTable[[Dato]:[Dato]],"&lt;="&amp;EOMONTH(L$5,0),LayTable[[Bookmaker]:[Bookmaker]],$K12)+SUMIFS(BetTable[[AR_per_bookie]:[AR_per_bookie]],BetTable[[B1]:[B1]],$K12,BetTable[[Date]:[Date]], "&gt;="&amp;L$5,BetTable[[Date]:[Date]],"&lt;="&amp;EOMONTH(L$5,0))+SUMIFS(BetTable[[AR_per_bookie]:[AR_per_bookie]],BetTable[[B2]:[B2]],$K12,BetTable[[Date]:[Date]], "&gt;="&amp;L$5,BetTable[[Date]:[Date]],"&lt;="&amp;EOMONTH(L$5,0))+SUMIFS(BetTable[[AR_per_bookie]:[AR_per_bookie]],BetTable[[B3]:[B3]],$K12,BetTable[[Date]:[Date]], "&gt;="&amp;L$5,BetTable[[Date]:[Date]],"&lt;="&amp;EOMONTH(L$5,0))</f>
        <v>0</v>
      </c>
      <c r="M12" s="186">
        <f>SUMIFS(DWbonus[[Sum]:[Sum]],DWbonus[[Dato]:[Dato]], "&gt;="&amp;M$5,DWbonus[[Dato]:[Dato]],"&lt;="&amp;EOMONTH(M$5,0),DWbonus[[Bookie]:[Bookie]],$K12)+SUMIFS(LayTable[[Faktisk res]:[Faktisk res]],LayTable[[Dato]:[Dato]],"&gt;="&amp;M$5,LayTable[[Dato]:[Dato]],"&lt;="&amp;EOMONTH(M$5,0),LayTable[[Bookmaker]:[Bookmaker]],$K12)+SUMIFS(BetTable[[AR_per_bookie]:[AR_per_bookie]],BetTable[[B1]:[B1]],$K12,BetTable[[Date]:[Date]], "&gt;="&amp;M$5,BetTable[[Date]:[Date]],"&lt;="&amp;EOMONTH(M$5,0))+SUMIFS(BetTable[[AR_per_bookie]:[AR_per_bookie]],BetTable[[B2]:[B2]],$K12,BetTable[[Date]:[Date]], "&gt;="&amp;M$5,BetTable[[Date]:[Date]],"&lt;="&amp;EOMONTH(M$5,0))+SUMIFS(BetTable[[AR_per_bookie]:[AR_per_bookie]],BetTable[[B3]:[B3]],$K12,BetTable[[Date]:[Date]], "&gt;="&amp;M$5,BetTable[[Date]:[Date]],"&lt;="&amp;EOMONTH(M$5,0))</f>
        <v>0</v>
      </c>
      <c r="N12" s="186">
        <f>SUMIFS(DWbonus[[Sum]:[Sum]],DWbonus[[Dato]:[Dato]], "&gt;="&amp;N$5,DWbonus[[Dato]:[Dato]],"&lt;="&amp;EOMONTH(N$5,0),DWbonus[[Bookie]:[Bookie]],$K12)+SUMIFS(LayTable[[Faktisk res]:[Faktisk res]],LayTable[[Dato]:[Dato]],"&gt;="&amp;N$5,LayTable[[Dato]:[Dato]],"&lt;="&amp;EOMONTH(N$5,0),LayTable[[Bookmaker]:[Bookmaker]],$K12)+SUMIFS(BetTable[[AR_per_bookie]:[AR_per_bookie]],BetTable[[B1]:[B1]],$K12,BetTable[[Date]:[Date]], "&gt;="&amp;N$5,BetTable[[Date]:[Date]],"&lt;="&amp;EOMONTH(N$5,0))+SUMIFS(BetTable[[AR_per_bookie]:[AR_per_bookie]],BetTable[[B2]:[B2]],$K12,BetTable[[Date]:[Date]], "&gt;="&amp;N$5,BetTable[[Date]:[Date]],"&lt;="&amp;EOMONTH(N$5,0))+SUMIFS(BetTable[[AR_per_bookie]:[AR_per_bookie]],BetTable[[B3]:[B3]],$K12,BetTable[[Date]:[Date]], "&gt;="&amp;N$5,BetTable[[Date]:[Date]],"&lt;="&amp;EOMONTH(N$5,0))</f>
        <v>0</v>
      </c>
      <c r="O12" s="186">
        <f>SUMIFS(DWbonus[[Sum]:[Sum]],DWbonus[[Dato]:[Dato]], "&gt;="&amp;O$5,DWbonus[[Dato]:[Dato]],"&lt;="&amp;EOMONTH(O$5,0),DWbonus[[Bookie]:[Bookie]],$K12)+SUMIFS(LayTable[[Faktisk res]:[Faktisk res]],LayTable[[Dato]:[Dato]],"&gt;="&amp;O$5,LayTable[[Dato]:[Dato]],"&lt;="&amp;EOMONTH(O$5,0),LayTable[[Bookmaker]:[Bookmaker]],$K12)+SUMIFS(BetTable[[AR_per_bookie]:[AR_per_bookie]],BetTable[[B1]:[B1]],$K12,BetTable[[Date]:[Date]], "&gt;="&amp;O$5,BetTable[[Date]:[Date]],"&lt;="&amp;EOMONTH(O$5,0))+SUMIFS(BetTable[[AR_per_bookie]:[AR_per_bookie]],BetTable[[B2]:[B2]],$K12,BetTable[[Date]:[Date]], "&gt;="&amp;O$5,BetTable[[Date]:[Date]],"&lt;="&amp;EOMONTH(O$5,0))+SUMIFS(BetTable[[AR_per_bookie]:[AR_per_bookie]],BetTable[[B3]:[B3]],$K12,BetTable[[Date]:[Date]], "&gt;="&amp;O$5,BetTable[[Date]:[Date]],"&lt;="&amp;EOMONTH(O$5,0))</f>
        <v>0</v>
      </c>
      <c r="P12" s="186">
        <f>SUMIFS(DWbonus[[Sum]:[Sum]],DWbonus[[Dato]:[Dato]], "&gt;="&amp;P$5,DWbonus[[Dato]:[Dato]],"&lt;="&amp;EOMONTH(P$5,0),DWbonus[[Bookie]:[Bookie]],$K12)+SUMIFS(LayTable[[Faktisk res]:[Faktisk res]],LayTable[[Dato]:[Dato]],"&gt;="&amp;P$5,LayTable[[Dato]:[Dato]],"&lt;="&amp;EOMONTH(P$5,0),LayTable[[Bookmaker]:[Bookmaker]],$K12)+SUMIFS(BetTable[[AR_per_bookie]:[AR_per_bookie]],BetTable[[B1]:[B1]],$K12,BetTable[[Date]:[Date]], "&gt;="&amp;P$5,BetTable[[Date]:[Date]],"&lt;="&amp;EOMONTH(P$5,0))+SUMIFS(BetTable[[AR_per_bookie]:[AR_per_bookie]],BetTable[[B2]:[B2]],$K12,BetTable[[Date]:[Date]], "&gt;="&amp;P$5,BetTable[[Date]:[Date]],"&lt;="&amp;EOMONTH(P$5,0))+SUMIFS(BetTable[[AR_per_bookie]:[AR_per_bookie]],BetTable[[B3]:[B3]],$K12,BetTable[[Date]:[Date]], "&gt;="&amp;P$5,BetTable[[Date]:[Date]],"&lt;="&amp;EOMONTH(P$5,0))</f>
        <v>0</v>
      </c>
      <c r="Q12" s="186">
        <f>SUMIFS(DWbonus[[Sum]:[Sum]],DWbonus[[Dato]:[Dato]], "&gt;="&amp;Q$5,DWbonus[[Dato]:[Dato]],"&lt;="&amp;EOMONTH(Q$5,0),DWbonus[[Bookie]:[Bookie]],$K12)+SUMIFS(LayTable[[Faktisk res]:[Faktisk res]],LayTable[[Dato]:[Dato]],"&gt;="&amp;Q$5,LayTable[[Dato]:[Dato]],"&lt;="&amp;EOMONTH(Q$5,0),LayTable[[Bookmaker]:[Bookmaker]],$K12)+SUMIFS(BetTable[[AR_per_bookie]:[AR_per_bookie]],BetTable[[B1]:[B1]],$K12,BetTable[[Date]:[Date]], "&gt;="&amp;Q$5,BetTable[[Date]:[Date]],"&lt;="&amp;EOMONTH(Q$5,0))+SUMIFS(BetTable[[AR_per_bookie]:[AR_per_bookie]],BetTable[[B2]:[B2]],$K12,BetTable[[Date]:[Date]], "&gt;="&amp;Q$5,BetTable[[Date]:[Date]],"&lt;="&amp;EOMONTH(Q$5,0))+SUMIFS(BetTable[[AR_per_bookie]:[AR_per_bookie]],BetTable[[B3]:[B3]],$K12,BetTable[[Date]:[Date]], "&gt;="&amp;Q$5,BetTable[[Date]:[Date]],"&lt;="&amp;EOMONTH(Q$5,0))</f>
        <v>0</v>
      </c>
      <c r="R12" s="186">
        <f>SUMIFS(DWbonus[[Sum]:[Sum]],DWbonus[[Dato]:[Dato]], "&gt;="&amp;R$5,DWbonus[[Dato]:[Dato]],"&lt;="&amp;EOMONTH(R$5,0),DWbonus[[Bookie]:[Bookie]],$K12)+SUMIFS(LayTable[[Faktisk res]:[Faktisk res]],LayTable[[Dato]:[Dato]],"&gt;="&amp;R$5,LayTable[[Dato]:[Dato]],"&lt;="&amp;EOMONTH(R$5,0),LayTable[[Bookmaker]:[Bookmaker]],$K12)+SUMIFS(BetTable[[AR_per_bookie]:[AR_per_bookie]],BetTable[[B1]:[B1]],$K12,BetTable[[Date]:[Date]], "&gt;="&amp;R$5,BetTable[[Date]:[Date]],"&lt;="&amp;EOMONTH(R$5,0))+SUMIFS(BetTable[[AR_per_bookie]:[AR_per_bookie]],BetTable[[B2]:[B2]],$K12,BetTable[[Date]:[Date]], "&gt;="&amp;R$5,BetTable[[Date]:[Date]],"&lt;="&amp;EOMONTH(R$5,0))+SUMIFS(BetTable[[AR_per_bookie]:[AR_per_bookie]],BetTable[[B3]:[B3]],$K12,BetTable[[Date]:[Date]], "&gt;="&amp;R$5,BetTable[[Date]:[Date]],"&lt;="&amp;EOMONTH(R$5,0))</f>
        <v>0</v>
      </c>
      <c r="S12" s="186">
        <f>SUMIFS(DWbonus[[Sum]:[Sum]],DWbonus[[Dato]:[Dato]], "&gt;="&amp;S$5,DWbonus[[Dato]:[Dato]],"&lt;="&amp;EOMONTH(S$5,0),DWbonus[[Bookie]:[Bookie]],$K12)+SUMIFS(LayTable[[Faktisk res]:[Faktisk res]],LayTable[[Dato]:[Dato]],"&gt;="&amp;S$5,LayTable[[Dato]:[Dato]],"&lt;="&amp;EOMONTH(S$5,0),LayTable[[Bookmaker]:[Bookmaker]],$K12)+SUMIFS(BetTable[[AR_per_bookie]:[AR_per_bookie]],BetTable[[B1]:[B1]],$K12,BetTable[[Date]:[Date]], "&gt;="&amp;S$5,BetTable[[Date]:[Date]],"&lt;="&amp;EOMONTH(S$5,0))+SUMIFS(BetTable[[AR_per_bookie]:[AR_per_bookie]],BetTable[[B2]:[B2]],$K12,BetTable[[Date]:[Date]], "&gt;="&amp;S$5,BetTable[[Date]:[Date]],"&lt;="&amp;EOMONTH(S$5,0))+SUMIFS(BetTable[[AR_per_bookie]:[AR_per_bookie]],BetTable[[B3]:[B3]],$K12,BetTable[[Date]:[Date]], "&gt;="&amp;S$5,BetTable[[Date]:[Date]],"&lt;="&amp;EOMONTH(S$5,0))</f>
        <v>0</v>
      </c>
      <c r="T12" s="186">
        <f>SUMIFS(DWbonus[[Sum]:[Sum]],DWbonus[[Dato]:[Dato]], "&gt;="&amp;T$5,DWbonus[[Dato]:[Dato]],"&lt;="&amp;EOMONTH(T$5,0),DWbonus[[Bookie]:[Bookie]],$K12)+SUMIFS(LayTable[[Faktisk res]:[Faktisk res]],LayTable[[Dato]:[Dato]],"&gt;="&amp;T$5,LayTable[[Dato]:[Dato]],"&lt;="&amp;EOMONTH(T$5,0),LayTable[[Bookmaker]:[Bookmaker]],$K12)+SUMIFS(BetTable[[AR_per_bookie]:[AR_per_bookie]],BetTable[[B1]:[B1]],$K12,BetTable[[Date]:[Date]], "&gt;="&amp;T$5,BetTable[[Date]:[Date]],"&lt;="&amp;EOMONTH(T$5,0))+SUMIFS(BetTable[[AR_per_bookie]:[AR_per_bookie]],BetTable[[B2]:[B2]],$K12,BetTable[[Date]:[Date]], "&gt;="&amp;T$5,BetTable[[Date]:[Date]],"&lt;="&amp;EOMONTH(T$5,0))+SUMIFS(BetTable[[AR_per_bookie]:[AR_per_bookie]],BetTable[[B3]:[B3]],$K12,BetTable[[Date]:[Date]], "&gt;="&amp;T$5,BetTable[[Date]:[Date]],"&lt;="&amp;EOMONTH(T$5,0))</f>
        <v>0</v>
      </c>
      <c r="U12" s="186">
        <f>SUMIFS(DWbonus[[Sum]:[Sum]],DWbonus[[Dato]:[Dato]], "&gt;="&amp;U$5,DWbonus[[Dato]:[Dato]],"&lt;="&amp;EOMONTH(U$5,0),DWbonus[[Bookie]:[Bookie]],$K12)+SUMIFS(LayTable[[Faktisk res]:[Faktisk res]],LayTable[[Dato]:[Dato]],"&gt;="&amp;U$5,LayTable[[Dato]:[Dato]],"&lt;="&amp;EOMONTH(U$5,0),LayTable[[Bookmaker]:[Bookmaker]],$K12)+SUMIFS(BetTable[[AR_per_bookie]:[AR_per_bookie]],BetTable[[B1]:[B1]],$K12,BetTable[[Date]:[Date]], "&gt;="&amp;U$5,BetTable[[Date]:[Date]],"&lt;="&amp;EOMONTH(U$5,0))+SUMIFS(BetTable[[AR_per_bookie]:[AR_per_bookie]],BetTable[[B2]:[B2]],$K12,BetTable[[Date]:[Date]], "&gt;="&amp;U$5,BetTable[[Date]:[Date]],"&lt;="&amp;EOMONTH(U$5,0))+SUMIFS(BetTable[[AR_per_bookie]:[AR_per_bookie]],BetTable[[B3]:[B3]],$K12,BetTable[[Date]:[Date]], "&gt;="&amp;U$5,BetTable[[Date]:[Date]],"&lt;="&amp;EOMONTH(U$5,0))</f>
        <v>0</v>
      </c>
      <c r="V12" s="186">
        <f>SUMIFS(DWbonus[[Sum]:[Sum]],DWbonus[[Dato]:[Dato]], "&gt;="&amp;V$5,DWbonus[[Dato]:[Dato]],"&lt;="&amp;EOMONTH(V$5,0),DWbonus[[Bookie]:[Bookie]],$K12)+SUMIFS(LayTable[[Faktisk res]:[Faktisk res]],LayTable[[Dato]:[Dato]],"&gt;="&amp;V$5,LayTable[[Dato]:[Dato]],"&lt;="&amp;EOMONTH(V$5,0),LayTable[[Bookmaker]:[Bookmaker]],$K12)+SUMIFS(BetTable[[AR_per_bookie]:[AR_per_bookie]],BetTable[[B1]:[B1]],$K12,BetTable[[Date]:[Date]], "&gt;="&amp;V$5,BetTable[[Date]:[Date]],"&lt;="&amp;EOMONTH(V$5,0))+SUMIFS(BetTable[[AR_per_bookie]:[AR_per_bookie]],BetTable[[B2]:[B2]],$K12,BetTable[[Date]:[Date]], "&gt;="&amp;V$5,BetTable[[Date]:[Date]],"&lt;="&amp;EOMONTH(V$5,0))+SUMIFS(BetTable[[AR_per_bookie]:[AR_per_bookie]],BetTable[[B3]:[B3]],$K12,BetTable[[Date]:[Date]], "&gt;="&amp;V$5,BetTable[[Date]:[Date]],"&lt;="&amp;EOMONTH(V$5,0))</f>
        <v>0</v>
      </c>
      <c r="W12" s="186">
        <f>SUMIFS(DWbonus[[Sum]:[Sum]],DWbonus[[Dato]:[Dato]], "&gt;="&amp;W$5,DWbonus[[Dato]:[Dato]],"&lt;="&amp;EOMONTH(W$5,0),DWbonus[[Bookie]:[Bookie]],$K12)+SUMIFS(LayTable[[Faktisk res]:[Faktisk res]],LayTable[[Dato]:[Dato]],"&gt;="&amp;W$5,LayTable[[Dato]:[Dato]],"&lt;="&amp;EOMONTH(W$5,0),LayTable[[Bookmaker]:[Bookmaker]],$K12)+SUMIFS(BetTable[[AR_per_bookie]:[AR_per_bookie]],BetTable[[B1]:[B1]],$K12,BetTable[[Date]:[Date]], "&gt;="&amp;W$5,BetTable[[Date]:[Date]],"&lt;="&amp;EOMONTH(W$5,0))+SUMIFS(BetTable[[AR_per_bookie]:[AR_per_bookie]],BetTable[[B2]:[B2]],$K12,BetTable[[Date]:[Date]], "&gt;="&amp;W$5,BetTable[[Date]:[Date]],"&lt;="&amp;EOMONTH(W$5,0))+SUMIFS(BetTable[[AR_per_bookie]:[AR_per_bookie]],BetTable[[B3]:[B3]],$K12,BetTable[[Date]:[Date]], "&gt;="&amp;W$5,BetTable[[Date]:[Date]],"&lt;="&amp;EOMONTH(W$5,0))</f>
        <v>0</v>
      </c>
    </row>
    <row r="13" spans="1:23">
      <c r="A13" s="174" t="s">
        <v>297</v>
      </c>
      <c r="B13" s="186">
        <f>S6-G25-500</f>
        <v>-755</v>
      </c>
      <c r="C13" s="186">
        <v>0</v>
      </c>
      <c r="D13" s="186">
        <f>C13+MAX(ROUND(B13*$F$2,0),F$3)-500</f>
        <v>-500</v>
      </c>
      <c r="E13" s="186">
        <v>3570</v>
      </c>
      <c r="F13" s="186">
        <f t="shared" si="0"/>
        <v>-4070</v>
      </c>
      <c r="K13" s="174" t="str">
        <f t="array" ref="K13">IFERROR(INDEX(BookieNavn!H$2:H$1251,SMALL(IF(EXACT(LEFT(BookieNavn!H$2:H$1251,2),M$3),ROW(BookieNavn!H$2:H$1251)-ROW(BookieNavn!H$2)+1),ROWS(BookieNavn!H$2:'BookieNavn'!H8))),"")</f>
        <v>LiComeOn</v>
      </c>
      <c r="L13" s="186">
        <f>SUMIFS(DWbonus[[Sum]:[Sum]],DWbonus[[Dato]:[Dato]], "&gt;="&amp;L$5,DWbonus[[Dato]:[Dato]],"&lt;="&amp;EOMONTH(L$5,0),DWbonus[[Bookie]:[Bookie]],$K13)+SUMIFS(LayTable[[Faktisk res]:[Faktisk res]],LayTable[[Dato]:[Dato]],"&gt;="&amp;L$5,LayTable[[Dato]:[Dato]],"&lt;="&amp;EOMONTH(L$5,0),LayTable[[Bookmaker]:[Bookmaker]],$K13)+SUMIFS(BetTable[[AR_per_bookie]:[AR_per_bookie]],BetTable[[B1]:[B1]],$K13,BetTable[[Date]:[Date]], "&gt;="&amp;L$5,BetTable[[Date]:[Date]],"&lt;="&amp;EOMONTH(L$5,0))+SUMIFS(BetTable[[AR_per_bookie]:[AR_per_bookie]],BetTable[[B2]:[B2]],$K13,BetTable[[Date]:[Date]], "&gt;="&amp;L$5,BetTable[[Date]:[Date]],"&lt;="&amp;EOMONTH(L$5,0))+SUMIFS(BetTable[[AR_per_bookie]:[AR_per_bookie]],BetTable[[B3]:[B3]],$K13,BetTable[[Date]:[Date]], "&gt;="&amp;L$5,BetTable[[Date]:[Date]],"&lt;="&amp;EOMONTH(L$5,0))</f>
        <v>0</v>
      </c>
      <c r="M13" s="186">
        <f>SUMIFS(DWbonus[[Sum]:[Sum]],DWbonus[[Dato]:[Dato]], "&gt;="&amp;M$5,DWbonus[[Dato]:[Dato]],"&lt;="&amp;EOMONTH(M$5,0),DWbonus[[Bookie]:[Bookie]],$K13)+SUMIFS(LayTable[[Faktisk res]:[Faktisk res]],LayTable[[Dato]:[Dato]],"&gt;="&amp;M$5,LayTable[[Dato]:[Dato]],"&lt;="&amp;EOMONTH(M$5,0),LayTable[[Bookmaker]:[Bookmaker]],$K13)+SUMIFS(BetTable[[AR_per_bookie]:[AR_per_bookie]],BetTable[[B1]:[B1]],$K13,BetTable[[Date]:[Date]], "&gt;="&amp;M$5,BetTable[[Date]:[Date]],"&lt;="&amp;EOMONTH(M$5,0))+SUMIFS(BetTable[[AR_per_bookie]:[AR_per_bookie]],BetTable[[B2]:[B2]],$K13,BetTable[[Date]:[Date]], "&gt;="&amp;M$5,BetTable[[Date]:[Date]],"&lt;="&amp;EOMONTH(M$5,0))+SUMIFS(BetTable[[AR_per_bookie]:[AR_per_bookie]],BetTable[[B3]:[B3]],$K13,BetTable[[Date]:[Date]], "&gt;="&amp;M$5,BetTable[[Date]:[Date]],"&lt;="&amp;EOMONTH(M$5,0))</f>
        <v>0</v>
      </c>
      <c r="N13" s="186">
        <f>SUMIFS(DWbonus[[Sum]:[Sum]],DWbonus[[Dato]:[Dato]], "&gt;="&amp;N$5,DWbonus[[Dato]:[Dato]],"&lt;="&amp;EOMONTH(N$5,0),DWbonus[[Bookie]:[Bookie]],$K13)+SUMIFS(LayTable[[Faktisk res]:[Faktisk res]],LayTable[[Dato]:[Dato]],"&gt;="&amp;N$5,LayTable[[Dato]:[Dato]],"&lt;="&amp;EOMONTH(N$5,0),LayTable[[Bookmaker]:[Bookmaker]],$K13)+SUMIFS(BetTable[[AR_per_bookie]:[AR_per_bookie]],BetTable[[B1]:[B1]],$K13,BetTable[[Date]:[Date]], "&gt;="&amp;N$5,BetTable[[Date]:[Date]],"&lt;="&amp;EOMONTH(N$5,0))+SUMIFS(BetTable[[AR_per_bookie]:[AR_per_bookie]],BetTable[[B2]:[B2]],$K13,BetTable[[Date]:[Date]], "&gt;="&amp;N$5,BetTable[[Date]:[Date]],"&lt;="&amp;EOMONTH(N$5,0))+SUMIFS(BetTable[[AR_per_bookie]:[AR_per_bookie]],BetTable[[B3]:[B3]],$K13,BetTable[[Date]:[Date]], "&gt;="&amp;N$5,BetTable[[Date]:[Date]],"&lt;="&amp;EOMONTH(N$5,0))</f>
        <v>0</v>
      </c>
      <c r="O13" s="186">
        <f>SUMIFS(DWbonus[[Sum]:[Sum]],DWbonus[[Dato]:[Dato]], "&gt;="&amp;O$5,DWbonus[[Dato]:[Dato]],"&lt;="&amp;EOMONTH(O$5,0),DWbonus[[Bookie]:[Bookie]],$K13)+SUMIFS(LayTable[[Faktisk res]:[Faktisk res]],LayTable[[Dato]:[Dato]],"&gt;="&amp;O$5,LayTable[[Dato]:[Dato]],"&lt;="&amp;EOMONTH(O$5,0),LayTable[[Bookmaker]:[Bookmaker]],$K13)+SUMIFS(BetTable[[AR_per_bookie]:[AR_per_bookie]],BetTable[[B1]:[B1]],$K13,BetTable[[Date]:[Date]], "&gt;="&amp;O$5,BetTable[[Date]:[Date]],"&lt;="&amp;EOMONTH(O$5,0))+SUMIFS(BetTable[[AR_per_bookie]:[AR_per_bookie]],BetTable[[B2]:[B2]],$K13,BetTable[[Date]:[Date]], "&gt;="&amp;O$5,BetTable[[Date]:[Date]],"&lt;="&amp;EOMONTH(O$5,0))+SUMIFS(BetTable[[AR_per_bookie]:[AR_per_bookie]],BetTable[[B3]:[B3]],$K13,BetTable[[Date]:[Date]], "&gt;="&amp;O$5,BetTable[[Date]:[Date]],"&lt;="&amp;EOMONTH(O$5,0))</f>
        <v>0</v>
      </c>
      <c r="P13" s="186">
        <f>SUMIFS(DWbonus[[Sum]:[Sum]],DWbonus[[Dato]:[Dato]], "&gt;="&amp;P$5,DWbonus[[Dato]:[Dato]],"&lt;="&amp;EOMONTH(P$5,0),DWbonus[[Bookie]:[Bookie]],$K13)+SUMIFS(LayTable[[Faktisk res]:[Faktisk res]],LayTable[[Dato]:[Dato]],"&gt;="&amp;P$5,LayTable[[Dato]:[Dato]],"&lt;="&amp;EOMONTH(P$5,0),LayTable[[Bookmaker]:[Bookmaker]],$K13)+SUMIFS(BetTable[[AR_per_bookie]:[AR_per_bookie]],BetTable[[B1]:[B1]],$K13,BetTable[[Date]:[Date]], "&gt;="&amp;P$5,BetTable[[Date]:[Date]],"&lt;="&amp;EOMONTH(P$5,0))+SUMIFS(BetTable[[AR_per_bookie]:[AR_per_bookie]],BetTable[[B2]:[B2]],$K13,BetTable[[Date]:[Date]], "&gt;="&amp;P$5,BetTable[[Date]:[Date]],"&lt;="&amp;EOMONTH(P$5,0))+SUMIFS(BetTable[[AR_per_bookie]:[AR_per_bookie]],BetTable[[B3]:[B3]],$K13,BetTable[[Date]:[Date]], "&gt;="&amp;P$5,BetTable[[Date]:[Date]],"&lt;="&amp;EOMONTH(P$5,0))</f>
        <v>0</v>
      </c>
      <c r="Q13" s="186">
        <f>SUMIFS(DWbonus[[Sum]:[Sum]],DWbonus[[Dato]:[Dato]], "&gt;="&amp;Q$5,DWbonus[[Dato]:[Dato]],"&lt;="&amp;EOMONTH(Q$5,0),DWbonus[[Bookie]:[Bookie]],$K13)+SUMIFS(LayTable[[Faktisk res]:[Faktisk res]],LayTable[[Dato]:[Dato]],"&gt;="&amp;Q$5,LayTable[[Dato]:[Dato]],"&lt;="&amp;EOMONTH(Q$5,0),LayTable[[Bookmaker]:[Bookmaker]],$K13)+SUMIFS(BetTable[[AR_per_bookie]:[AR_per_bookie]],BetTable[[B1]:[B1]],$K13,BetTable[[Date]:[Date]], "&gt;="&amp;Q$5,BetTable[[Date]:[Date]],"&lt;="&amp;EOMONTH(Q$5,0))+SUMIFS(BetTable[[AR_per_bookie]:[AR_per_bookie]],BetTable[[B2]:[B2]],$K13,BetTable[[Date]:[Date]], "&gt;="&amp;Q$5,BetTable[[Date]:[Date]],"&lt;="&amp;EOMONTH(Q$5,0))+SUMIFS(BetTable[[AR_per_bookie]:[AR_per_bookie]],BetTable[[B3]:[B3]],$K13,BetTable[[Date]:[Date]], "&gt;="&amp;Q$5,BetTable[[Date]:[Date]],"&lt;="&amp;EOMONTH(Q$5,0))</f>
        <v>0</v>
      </c>
      <c r="R13" s="186">
        <f>SUMIFS(DWbonus[[Sum]:[Sum]],DWbonus[[Dato]:[Dato]], "&gt;="&amp;R$5,DWbonus[[Dato]:[Dato]],"&lt;="&amp;EOMONTH(R$5,0),DWbonus[[Bookie]:[Bookie]],$K13)+SUMIFS(LayTable[[Faktisk res]:[Faktisk res]],LayTable[[Dato]:[Dato]],"&gt;="&amp;R$5,LayTable[[Dato]:[Dato]],"&lt;="&amp;EOMONTH(R$5,0),LayTable[[Bookmaker]:[Bookmaker]],$K13)+SUMIFS(BetTable[[AR_per_bookie]:[AR_per_bookie]],BetTable[[B1]:[B1]],$K13,BetTable[[Date]:[Date]], "&gt;="&amp;R$5,BetTable[[Date]:[Date]],"&lt;="&amp;EOMONTH(R$5,0))+SUMIFS(BetTable[[AR_per_bookie]:[AR_per_bookie]],BetTable[[B2]:[B2]],$K13,BetTable[[Date]:[Date]], "&gt;="&amp;R$5,BetTable[[Date]:[Date]],"&lt;="&amp;EOMONTH(R$5,0))+SUMIFS(BetTable[[AR_per_bookie]:[AR_per_bookie]],BetTable[[B3]:[B3]],$K13,BetTable[[Date]:[Date]], "&gt;="&amp;R$5,BetTable[[Date]:[Date]],"&lt;="&amp;EOMONTH(R$5,0))</f>
        <v>0</v>
      </c>
      <c r="S13" s="186">
        <f>SUMIFS(DWbonus[[Sum]:[Sum]],DWbonus[[Dato]:[Dato]], "&gt;="&amp;S$5,DWbonus[[Dato]:[Dato]],"&lt;="&amp;EOMONTH(S$5,0),DWbonus[[Bookie]:[Bookie]],$K13)+SUMIFS(LayTable[[Faktisk res]:[Faktisk res]],LayTable[[Dato]:[Dato]],"&gt;="&amp;S$5,LayTable[[Dato]:[Dato]],"&lt;="&amp;EOMONTH(S$5,0),LayTable[[Bookmaker]:[Bookmaker]],$K13)+SUMIFS(BetTable[[AR_per_bookie]:[AR_per_bookie]],BetTable[[B1]:[B1]],$K13,BetTable[[Date]:[Date]], "&gt;="&amp;S$5,BetTable[[Date]:[Date]],"&lt;="&amp;EOMONTH(S$5,0))+SUMIFS(BetTable[[AR_per_bookie]:[AR_per_bookie]],BetTable[[B2]:[B2]],$K13,BetTable[[Date]:[Date]], "&gt;="&amp;S$5,BetTable[[Date]:[Date]],"&lt;="&amp;EOMONTH(S$5,0))+SUMIFS(BetTable[[AR_per_bookie]:[AR_per_bookie]],BetTable[[B3]:[B3]],$K13,BetTable[[Date]:[Date]], "&gt;="&amp;S$5,BetTable[[Date]:[Date]],"&lt;="&amp;EOMONTH(S$5,0))</f>
        <v>0</v>
      </c>
      <c r="T13" s="186">
        <f>SUMIFS(DWbonus[[Sum]:[Sum]],DWbonus[[Dato]:[Dato]], "&gt;="&amp;T$5,DWbonus[[Dato]:[Dato]],"&lt;="&amp;EOMONTH(T$5,0),DWbonus[[Bookie]:[Bookie]],$K13)+SUMIFS(LayTable[[Faktisk res]:[Faktisk res]],LayTable[[Dato]:[Dato]],"&gt;="&amp;T$5,LayTable[[Dato]:[Dato]],"&lt;="&amp;EOMONTH(T$5,0),LayTable[[Bookmaker]:[Bookmaker]],$K13)+SUMIFS(BetTable[[AR_per_bookie]:[AR_per_bookie]],BetTable[[B1]:[B1]],$K13,BetTable[[Date]:[Date]], "&gt;="&amp;T$5,BetTable[[Date]:[Date]],"&lt;="&amp;EOMONTH(T$5,0))+SUMIFS(BetTable[[AR_per_bookie]:[AR_per_bookie]],BetTable[[B2]:[B2]],$K13,BetTable[[Date]:[Date]], "&gt;="&amp;T$5,BetTable[[Date]:[Date]],"&lt;="&amp;EOMONTH(T$5,0))+SUMIFS(BetTable[[AR_per_bookie]:[AR_per_bookie]],BetTable[[B3]:[B3]],$K13,BetTable[[Date]:[Date]], "&gt;="&amp;T$5,BetTable[[Date]:[Date]],"&lt;="&amp;EOMONTH(T$5,0))</f>
        <v>0</v>
      </c>
      <c r="U13" s="186">
        <f>SUMIFS(DWbonus[[Sum]:[Sum]],DWbonus[[Dato]:[Dato]], "&gt;="&amp;U$5,DWbonus[[Dato]:[Dato]],"&lt;="&amp;EOMONTH(U$5,0),DWbonus[[Bookie]:[Bookie]],$K13)+SUMIFS(LayTable[[Faktisk res]:[Faktisk res]],LayTable[[Dato]:[Dato]],"&gt;="&amp;U$5,LayTable[[Dato]:[Dato]],"&lt;="&amp;EOMONTH(U$5,0),LayTable[[Bookmaker]:[Bookmaker]],$K13)+SUMIFS(BetTable[[AR_per_bookie]:[AR_per_bookie]],BetTable[[B1]:[B1]],$K13,BetTable[[Date]:[Date]], "&gt;="&amp;U$5,BetTable[[Date]:[Date]],"&lt;="&amp;EOMONTH(U$5,0))+SUMIFS(BetTable[[AR_per_bookie]:[AR_per_bookie]],BetTable[[B2]:[B2]],$K13,BetTable[[Date]:[Date]], "&gt;="&amp;U$5,BetTable[[Date]:[Date]],"&lt;="&amp;EOMONTH(U$5,0))+SUMIFS(BetTable[[AR_per_bookie]:[AR_per_bookie]],BetTable[[B3]:[B3]],$K13,BetTable[[Date]:[Date]], "&gt;="&amp;U$5,BetTable[[Date]:[Date]],"&lt;="&amp;EOMONTH(U$5,0))</f>
        <v>0</v>
      </c>
      <c r="V13" s="186">
        <f>SUMIFS(DWbonus[[Sum]:[Sum]],DWbonus[[Dato]:[Dato]], "&gt;="&amp;V$5,DWbonus[[Dato]:[Dato]],"&lt;="&amp;EOMONTH(V$5,0),DWbonus[[Bookie]:[Bookie]],$K13)+SUMIFS(LayTable[[Faktisk res]:[Faktisk res]],LayTable[[Dato]:[Dato]],"&gt;="&amp;V$5,LayTable[[Dato]:[Dato]],"&lt;="&amp;EOMONTH(V$5,0),LayTable[[Bookmaker]:[Bookmaker]],$K13)+SUMIFS(BetTable[[AR_per_bookie]:[AR_per_bookie]],BetTable[[B1]:[B1]],$K13,BetTable[[Date]:[Date]], "&gt;="&amp;V$5,BetTable[[Date]:[Date]],"&lt;="&amp;EOMONTH(V$5,0))+SUMIFS(BetTable[[AR_per_bookie]:[AR_per_bookie]],BetTable[[B2]:[B2]],$K13,BetTable[[Date]:[Date]], "&gt;="&amp;V$5,BetTable[[Date]:[Date]],"&lt;="&amp;EOMONTH(V$5,0))+SUMIFS(BetTable[[AR_per_bookie]:[AR_per_bookie]],BetTable[[B3]:[B3]],$K13,BetTable[[Date]:[Date]], "&gt;="&amp;V$5,BetTable[[Date]:[Date]],"&lt;="&amp;EOMONTH(V$5,0))</f>
        <v>0</v>
      </c>
      <c r="W13" s="186">
        <f>SUMIFS(DWbonus[[Sum]:[Sum]],DWbonus[[Dato]:[Dato]], "&gt;="&amp;W$5,DWbonus[[Dato]:[Dato]],"&lt;="&amp;EOMONTH(W$5,0),DWbonus[[Bookie]:[Bookie]],$K13)+SUMIFS(LayTable[[Faktisk res]:[Faktisk res]],LayTable[[Dato]:[Dato]],"&gt;="&amp;W$5,LayTable[[Dato]:[Dato]],"&lt;="&amp;EOMONTH(W$5,0),LayTable[[Bookmaker]:[Bookmaker]],$K13)+SUMIFS(BetTable[[AR_per_bookie]:[AR_per_bookie]],BetTable[[B1]:[B1]],$K13,BetTable[[Date]:[Date]], "&gt;="&amp;W$5,BetTable[[Date]:[Date]],"&lt;="&amp;EOMONTH(W$5,0))+SUMIFS(BetTable[[AR_per_bookie]:[AR_per_bookie]],BetTable[[B2]:[B2]],$K13,BetTable[[Date]:[Date]], "&gt;="&amp;W$5,BetTable[[Date]:[Date]],"&lt;="&amp;EOMONTH(W$5,0))+SUMIFS(BetTable[[AR_per_bookie]:[AR_per_bookie]],BetTable[[B3]:[B3]],$K13,BetTable[[Date]:[Date]], "&gt;="&amp;W$5,BetTable[[Date]:[Date]],"&lt;="&amp;EOMONTH(W$5,0))</f>
        <v>0</v>
      </c>
    </row>
    <row r="14" spans="1:23">
      <c r="A14" s="174" t="s">
        <v>299</v>
      </c>
      <c r="B14" s="186">
        <f>T6-G25</f>
        <v>-255</v>
      </c>
      <c r="C14" s="186">
        <v>0</v>
      </c>
      <c r="D14" s="186">
        <f t="shared" si="2"/>
        <v>0</v>
      </c>
      <c r="E14" s="186">
        <v>0</v>
      </c>
      <c r="F14" s="186">
        <f t="shared" si="0"/>
        <v>0</v>
      </c>
      <c r="K14" s="174" t="str">
        <f t="array" ref="K14">IFERROR(INDEX(BookieNavn!H$2:H$1251,SMALL(IF(EXACT(LEFT(BookieNavn!H$2:H$1251,2),M$3),ROW(BookieNavn!H$2:H$1251)-ROW(BookieNavn!H$2)+1),ROWS(BookieNavn!H$2:'BookieNavn'!H9))),"")</f>
        <v>LiRizk</v>
      </c>
      <c r="L14" s="186">
        <f>SUMIFS(DWbonus[[Sum]:[Sum]],DWbonus[[Dato]:[Dato]], "&gt;="&amp;L$5,DWbonus[[Dato]:[Dato]],"&lt;="&amp;EOMONTH(L$5,0),DWbonus[[Bookie]:[Bookie]],$K14)+SUMIFS(LayTable[[Faktisk res]:[Faktisk res]],LayTable[[Dato]:[Dato]],"&gt;="&amp;L$5,LayTable[[Dato]:[Dato]],"&lt;="&amp;EOMONTH(L$5,0),LayTable[[Bookmaker]:[Bookmaker]],$K14)+SUMIFS(BetTable[[AR_per_bookie]:[AR_per_bookie]],BetTable[[B1]:[B1]],$K14,BetTable[[Date]:[Date]], "&gt;="&amp;L$5,BetTable[[Date]:[Date]],"&lt;="&amp;EOMONTH(L$5,0))+SUMIFS(BetTable[[AR_per_bookie]:[AR_per_bookie]],BetTable[[B2]:[B2]],$K14,BetTable[[Date]:[Date]], "&gt;="&amp;L$5,BetTable[[Date]:[Date]],"&lt;="&amp;EOMONTH(L$5,0))+SUMIFS(BetTable[[AR_per_bookie]:[AR_per_bookie]],BetTable[[B3]:[B3]],$K14,BetTable[[Date]:[Date]], "&gt;="&amp;L$5,BetTable[[Date]:[Date]],"&lt;="&amp;EOMONTH(L$5,0))</f>
        <v>0</v>
      </c>
      <c r="M14" s="186">
        <f>SUMIFS(DWbonus[[Sum]:[Sum]],DWbonus[[Dato]:[Dato]], "&gt;="&amp;M$5,DWbonus[[Dato]:[Dato]],"&lt;="&amp;EOMONTH(M$5,0),DWbonus[[Bookie]:[Bookie]],$K14)+SUMIFS(LayTable[[Faktisk res]:[Faktisk res]],LayTable[[Dato]:[Dato]],"&gt;="&amp;M$5,LayTable[[Dato]:[Dato]],"&lt;="&amp;EOMONTH(M$5,0),LayTable[[Bookmaker]:[Bookmaker]],$K14)+SUMIFS(BetTable[[AR_per_bookie]:[AR_per_bookie]],BetTable[[B1]:[B1]],$K14,BetTable[[Date]:[Date]], "&gt;="&amp;M$5,BetTable[[Date]:[Date]],"&lt;="&amp;EOMONTH(M$5,0))+SUMIFS(BetTable[[AR_per_bookie]:[AR_per_bookie]],BetTable[[B2]:[B2]],$K14,BetTable[[Date]:[Date]], "&gt;="&amp;M$5,BetTable[[Date]:[Date]],"&lt;="&amp;EOMONTH(M$5,0))+SUMIFS(BetTable[[AR_per_bookie]:[AR_per_bookie]],BetTable[[B3]:[B3]],$K14,BetTable[[Date]:[Date]], "&gt;="&amp;M$5,BetTable[[Date]:[Date]],"&lt;="&amp;EOMONTH(M$5,0))</f>
        <v>0</v>
      </c>
      <c r="N14" s="186">
        <f>SUMIFS(DWbonus[[Sum]:[Sum]],DWbonus[[Dato]:[Dato]], "&gt;="&amp;N$5,DWbonus[[Dato]:[Dato]],"&lt;="&amp;EOMONTH(N$5,0),DWbonus[[Bookie]:[Bookie]],$K14)+SUMIFS(LayTable[[Faktisk res]:[Faktisk res]],LayTable[[Dato]:[Dato]],"&gt;="&amp;N$5,LayTable[[Dato]:[Dato]],"&lt;="&amp;EOMONTH(N$5,0),LayTable[[Bookmaker]:[Bookmaker]],$K14)+SUMIFS(BetTable[[AR_per_bookie]:[AR_per_bookie]],BetTable[[B1]:[B1]],$K14,BetTable[[Date]:[Date]], "&gt;="&amp;N$5,BetTable[[Date]:[Date]],"&lt;="&amp;EOMONTH(N$5,0))+SUMIFS(BetTable[[AR_per_bookie]:[AR_per_bookie]],BetTable[[B2]:[B2]],$K14,BetTable[[Date]:[Date]], "&gt;="&amp;N$5,BetTable[[Date]:[Date]],"&lt;="&amp;EOMONTH(N$5,0))+SUMIFS(BetTable[[AR_per_bookie]:[AR_per_bookie]],BetTable[[B3]:[B3]],$K14,BetTable[[Date]:[Date]], "&gt;="&amp;N$5,BetTable[[Date]:[Date]],"&lt;="&amp;EOMONTH(N$5,0))</f>
        <v>0</v>
      </c>
      <c r="O14" s="186">
        <f>SUMIFS(DWbonus[[Sum]:[Sum]],DWbonus[[Dato]:[Dato]], "&gt;="&amp;O$5,DWbonus[[Dato]:[Dato]],"&lt;="&amp;EOMONTH(O$5,0),DWbonus[[Bookie]:[Bookie]],$K14)+SUMIFS(LayTable[[Faktisk res]:[Faktisk res]],LayTable[[Dato]:[Dato]],"&gt;="&amp;O$5,LayTable[[Dato]:[Dato]],"&lt;="&amp;EOMONTH(O$5,0),LayTable[[Bookmaker]:[Bookmaker]],$K14)+SUMIFS(BetTable[[AR_per_bookie]:[AR_per_bookie]],BetTable[[B1]:[B1]],$K14,BetTable[[Date]:[Date]], "&gt;="&amp;O$5,BetTable[[Date]:[Date]],"&lt;="&amp;EOMONTH(O$5,0))+SUMIFS(BetTable[[AR_per_bookie]:[AR_per_bookie]],BetTable[[B2]:[B2]],$K14,BetTable[[Date]:[Date]], "&gt;="&amp;O$5,BetTable[[Date]:[Date]],"&lt;="&amp;EOMONTH(O$5,0))+SUMIFS(BetTable[[AR_per_bookie]:[AR_per_bookie]],BetTable[[B3]:[B3]],$K14,BetTable[[Date]:[Date]], "&gt;="&amp;O$5,BetTable[[Date]:[Date]],"&lt;="&amp;EOMONTH(O$5,0))</f>
        <v>0</v>
      </c>
      <c r="P14" s="186">
        <f>SUMIFS(DWbonus[[Sum]:[Sum]],DWbonus[[Dato]:[Dato]], "&gt;="&amp;P$5,DWbonus[[Dato]:[Dato]],"&lt;="&amp;EOMONTH(P$5,0),DWbonus[[Bookie]:[Bookie]],$K14)+SUMIFS(LayTable[[Faktisk res]:[Faktisk res]],LayTable[[Dato]:[Dato]],"&gt;="&amp;P$5,LayTable[[Dato]:[Dato]],"&lt;="&amp;EOMONTH(P$5,0),LayTable[[Bookmaker]:[Bookmaker]],$K14)+SUMIFS(BetTable[[AR_per_bookie]:[AR_per_bookie]],BetTable[[B1]:[B1]],$K14,BetTable[[Date]:[Date]], "&gt;="&amp;P$5,BetTable[[Date]:[Date]],"&lt;="&amp;EOMONTH(P$5,0))+SUMIFS(BetTable[[AR_per_bookie]:[AR_per_bookie]],BetTable[[B2]:[B2]],$K14,BetTable[[Date]:[Date]], "&gt;="&amp;P$5,BetTable[[Date]:[Date]],"&lt;="&amp;EOMONTH(P$5,0))+SUMIFS(BetTable[[AR_per_bookie]:[AR_per_bookie]],BetTable[[B3]:[B3]],$K14,BetTable[[Date]:[Date]], "&gt;="&amp;P$5,BetTable[[Date]:[Date]],"&lt;="&amp;EOMONTH(P$5,0))</f>
        <v>0</v>
      </c>
      <c r="Q14" s="186">
        <f>SUMIFS(DWbonus[[Sum]:[Sum]],DWbonus[[Dato]:[Dato]], "&gt;="&amp;Q$5,DWbonus[[Dato]:[Dato]],"&lt;="&amp;EOMONTH(Q$5,0),DWbonus[[Bookie]:[Bookie]],$K14)+SUMIFS(LayTable[[Faktisk res]:[Faktisk res]],LayTable[[Dato]:[Dato]],"&gt;="&amp;Q$5,LayTable[[Dato]:[Dato]],"&lt;="&amp;EOMONTH(Q$5,0),LayTable[[Bookmaker]:[Bookmaker]],$K14)+SUMIFS(BetTable[[AR_per_bookie]:[AR_per_bookie]],BetTable[[B1]:[B1]],$K14,BetTable[[Date]:[Date]], "&gt;="&amp;Q$5,BetTable[[Date]:[Date]],"&lt;="&amp;EOMONTH(Q$5,0))+SUMIFS(BetTable[[AR_per_bookie]:[AR_per_bookie]],BetTable[[B2]:[B2]],$K14,BetTable[[Date]:[Date]], "&gt;="&amp;Q$5,BetTable[[Date]:[Date]],"&lt;="&amp;EOMONTH(Q$5,0))+SUMIFS(BetTable[[AR_per_bookie]:[AR_per_bookie]],BetTable[[B3]:[B3]],$K14,BetTable[[Date]:[Date]], "&gt;="&amp;Q$5,BetTable[[Date]:[Date]],"&lt;="&amp;EOMONTH(Q$5,0))</f>
        <v>0</v>
      </c>
      <c r="R14" s="186">
        <f>SUMIFS(DWbonus[[Sum]:[Sum]],DWbonus[[Dato]:[Dato]], "&gt;="&amp;R$5,DWbonus[[Dato]:[Dato]],"&lt;="&amp;EOMONTH(R$5,0),DWbonus[[Bookie]:[Bookie]],$K14)+SUMIFS(LayTable[[Faktisk res]:[Faktisk res]],LayTable[[Dato]:[Dato]],"&gt;="&amp;R$5,LayTable[[Dato]:[Dato]],"&lt;="&amp;EOMONTH(R$5,0),LayTable[[Bookmaker]:[Bookmaker]],$K14)+SUMIFS(BetTable[[AR_per_bookie]:[AR_per_bookie]],BetTable[[B1]:[B1]],$K14,BetTable[[Date]:[Date]], "&gt;="&amp;R$5,BetTable[[Date]:[Date]],"&lt;="&amp;EOMONTH(R$5,0))+SUMIFS(BetTable[[AR_per_bookie]:[AR_per_bookie]],BetTable[[B2]:[B2]],$K14,BetTable[[Date]:[Date]], "&gt;="&amp;R$5,BetTable[[Date]:[Date]],"&lt;="&amp;EOMONTH(R$5,0))+SUMIFS(BetTable[[AR_per_bookie]:[AR_per_bookie]],BetTable[[B3]:[B3]],$K14,BetTable[[Date]:[Date]], "&gt;="&amp;R$5,BetTable[[Date]:[Date]],"&lt;="&amp;EOMONTH(R$5,0))</f>
        <v>0</v>
      </c>
      <c r="S14" s="186">
        <f>SUMIFS(DWbonus[[Sum]:[Sum]],DWbonus[[Dato]:[Dato]], "&gt;="&amp;S$5,DWbonus[[Dato]:[Dato]],"&lt;="&amp;EOMONTH(S$5,0),DWbonus[[Bookie]:[Bookie]],$K14)+SUMIFS(LayTable[[Faktisk res]:[Faktisk res]],LayTable[[Dato]:[Dato]],"&gt;="&amp;S$5,LayTable[[Dato]:[Dato]],"&lt;="&amp;EOMONTH(S$5,0),LayTable[[Bookmaker]:[Bookmaker]],$K14)+SUMIFS(BetTable[[AR_per_bookie]:[AR_per_bookie]],BetTable[[B1]:[B1]],$K14,BetTable[[Date]:[Date]], "&gt;="&amp;S$5,BetTable[[Date]:[Date]],"&lt;="&amp;EOMONTH(S$5,0))+SUMIFS(BetTable[[AR_per_bookie]:[AR_per_bookie]],BetTable[[B2]:[B2]],$K14,BetTable[[Date]:[Date]], "&gt;="&amp;S$5,BetTable[[Date]:[Date]],"&lt;="&amp;EOMONTH(S$5,0))+SUMIFS(BetTable[[AR_per_bookie]:[AR_per_bookie]],BetTable[[B3]:[B3]],$K14,BetTable[[Date]:[Date]], "&gt;="&amp;S$5,BetTable[[Date]:[Date]],"&lt;="&amp;EOMONTH(S$5,0))</f>
        <v>0</v>
      </c>
      <c r="T14" s="186">
        <f>SUMIFS(DWbonus[[Sum]:[Sum]],DWbonus[[Dato]:[Dato]], "&gt;="&amp;T$5,DWbonus[[Dato]:[Dato]],"&lt;="&amp;EOMONTH(T$5,0),DWbonus[[Bookie]:[Bookie]],$K14)+SUMIFS(LayTable[[Faktisk res]:[Faktisk res]],LayTable[[Dato]:[Dato]],"&gt;="&amp;T$5,LayTable[[Dato]:[Dato]],"&lt;="&amp;EOMONTH(T$5,0),LayTable[[Bookmaker]:[Bookmaker]],$K14)+SUMIFS(BetTable[[AR_per_bookie]:[AR_per_bookie]],BetTable[[B1]:[B1]],$K14,BetTable[[Date]:[Date]], "&gt;="&amp;T$5,BetTable[[Date]:[Date]],"&lt;="&amp;EOMONTH(T$5,0))+SUMIFS(BetTable[[AR_per_bookie]:[AR_per_bookie]],BetTable[[B2]:[B2]],$K14,BetTable[[Date]:[Date]], "&gt;="&amp;T$5,BetTable[[Date]:[Date]],"&lt;="&amp;EOMONTH(T$5,0))+SUMIFS(BetTable[[AR_per_bookie]:[AR_per_bookie]],BetTable[[B3]:[B3]],$K14,BetTable[[Date]:[Date]], "&gt;="&amp;T$5,BetTable[[Date]:[Date]],"&lt;="&amp;EOMONTH(T$5,0))</f>
        <v>0</v>
      </c>
      <c r="U14" s="186">
        <f>SUMIFS(DWbonus[[Sum]:[Sum]],DWbonus[[Dato]:[Dato]], "&gt;="&amp;U$5,DWbonus[[Dato]:[Dato]],"&lt;="&amp;EOMONTH(U$5,0),DWbonus[[Bookie]:[Bookie]],$K14)+SUMIFS(LayTable[[Faktisk res]:[Faktisk res]],LayTable[[Dato]:[Dato]],"&gt;="&amp;U$5,LayTable[[Dato]:[Dato]],"&lt;="&amp;EOMONTH(U$5,0),LayTable[[Bookmaker]:[Bookmaker]],$K14)+SUMIFS(BetTable[[AR_per_bookie]:[AR_per_bookie]],BetTable[[B1]:[B1]],$K14,BetTable[[Date]:[Date]], "&gt;="&amp;U$5,BetTable[[Date]:[Date]],"&lt;="&amp;EOMONTH(U$5,0))+SUMIFS(BetTable[[AR_per_bookie]:[AR_per_bookie]],BetTable[[B2]:[B2]],$K14,BetTable[[Date]:[Date]], "&gt;="&amp;U$5,BetTable[[Date]:[Date]],"&lt;="&amp;EOMONTH(U$5,0))+SUMIFS(BetTable[[AR_per_bookie]:[AR_per_bookie]],BetTable[[B3]:[B3]],$K14,BetTable[[Date]:[Date]], "&gt;="&amp;U$5,BetTable[[Date]:[Date]],"&lt;="&amp;EOMONTH(U$5,0))</f>
        <v>0</v>
      </c>
      <c r="V14" s="186">
        <f>SUMIFS(DWbonus[[Sum]:[Sum]],DWbonus[[Dato]:[Dato]], "&gt;="&amp;V$5,DWbonus[[Dato]:[Dato]],"&lt;="&amp;EOMONTH(V$5,0),DWbonus[[Bookie]:[Bookie]],$K14)+SUMIFS(LayTable[[Faktisk res]:[Faktisk res]],LayTable[[Dato]:[Dato]],"&gt;="&amp;V$5,LayTable[[Dato]:[Dato]],"&lt;="&amp;EOMONTH(V$5,0),LayTable[[Bookmaker]:[Bookmaker]],$K14)+SUMIFS(BetTable[[AR_per_bookie]:[AR_per_bookie]],BetTable[[B1]:[B1]],$K14,BetTable[[Date]:[Date]], "&gt;="&amp;V$5,BetTable[[Date]:[Date]],"&lt;="&amp;EOMONTH(V$5,0))+SUMIFS(BetTable[[AR_per_bookie]:[AR_per_bookie]],BetTable[[B2]:[B2]],$K14,BetTable[[Date]:[Date]], "&gt;="&amp;V$5,BetTable[[Date]:[Date]],"&lt;="&amp;EOMONTH(V$5,0))+SUMIFS(BetTable[[AR_per_bookie]:[AR_per_bookie]],BetTable[[B3]:[B3]],$K14,BetTable[[Date]:[Date]], "&gt;="&amp;V$5,BetTable[[Date]:[Date]],"&lt;="&amp;EOMONTH(V$5,0))</f>
        <v>0</v>
      </c>
      <c r="W14" s="186">
        <f>SUMIFS(DWbonus[[Sum]:[Sum]],DWbonus[[Dato]:[Dato]], "&gt;="&amp;W$5,DWbonus[[Dato]:[Dato]],"&lt;="&amp;EOMONTH(W$5,0),DWbonus[[Bookie]:[Bookie]],$K14)+SUMIFS(LayTable[[Faktisk res]:[Faktisk res]],LayTable[[Dato]:[Dato]],"&gt;="&amp;W$5,LayTable[[Dato]:[Dato]],"&lt;="&amp;EOMONTH(W$5,0),LayTable[[Bookmaker]:[Bookmaker]],$K14)+SUMIFS(BetTable[[AR_per_bookie]:[AR_per_bookie]],BetTable[[B1]:[B1]],$K14,BetTable[[Date]:[Date]], "&gt;="&amp;W$5,BetTable[[Date]:[Date]],"&lt;="&amp;EOMONTH(W$5,0))+SUMIFS(BetTable[[AR_per_bookie]:[AR_per_bookie]],BetTable[[B2]:[B2]],$K14,BetTable[[Date]:[Date]], "&gt;="&amp;W$5,BetTable[[Date]:[Date]],"&lt;="&amp;EOMONTH(W$5,0))+SUMIFS(BetTable[[AR_per_bookie]:[AR_per_bookie]],BetTable[[B3]:[B3]],$K14,BetTable[[Date]:[Date]], "&gt;="&amp;W$5,BetTable[[Date]:[Date]],"&lt;="&amp;EOMONTH(W$5,0))</f>
        <v>0</v>
      </c>
    </row>
    <row r="15" spans="1:23">
      <c r="A15" s="174" t="s">
        <v>304</v>
      </c>
      <c r="B15" s="186">
        <f>U6-G25</f>
        <v>-255</v>
      </c>
      <c r="C15" s="186">
        <v>0</v>
      </c>
      <c r="D15" s="186">
        <f t="shared" si="2"/>
        <v>0</v>
      </c>
      <c r="E15" s="186">
        <v>0</v>
      </c>
      <c r="F15" s="186">
        <f t="shared" si="0"/>
        <v>0</v>
      </c>
      <c r="K15" s="174" t="str">
        <f t="array" ref="K15">IFERROR(INDEX(BookieNavn!H$2:H$1251,SMALL(IF(EXACT(LEFT(BookieNavn!H$2:H$1251,2),M$3),ROW(BookieNavn!H$2:H$1251)-ROW(BookieNavn!H$2)+1),ROWS(BookieNavn!H$2:'BookieNavn'!H10))),"")</f>
        <v>LiBet90</v>
      </c>
      <c r="L15" s="186">
        <f>SUMIFS(DWbonus[[Sum]:[Sum]],DWbonus[[Dato]:[Dato]], "&gt;="&amp;L$5,DWbonus[[Dato]:[Dato]],"&lt;="&amp;EOMONTH(L$5,0),DWbonus[[Bookie]:[Bookie]],$K15)+SUMIFS(LayTable[[Faktisk res]:[Faktisk res]],LayTable[[Dato]:[Dato]],"&gt;="&amp;L$5,LayTable[[Dato]:[Dato]],"&lt;="&amp;EOMONTH(L$5,0),LayTable[[Bookmaker]:[Bookmaker]],$K15)+SUMIFS(BetTable[[AR_per_bookie]:[AR_per_bookie]],BetTable[[B1]:[B1]],$K15,BetTable[[Date]:[Date]], "&gt;="&amp;L$5,BetTable[[Date]:[Date]],"&lt;="&amp;EOMONTH(L$5,0))+SUMIFS(BetTable[[AR_per_bookie]:[AR_per_bookie]],BetTable[[B2]:[B2]],$K15,BetTable[[Date]:[Date]], "&gt;="&amp;L$5,BetTable[[Date]:[Date]],"&lt;="&amp;EOMONTH(L$5,0))+SUMIFS(BetTable[[AR_per_bookie]:[AR_per_bookie]],BetTable[[B3]:[B3]],$K15,BetTable[[Date]:[Date]], "&gt;="&amp;L$5,BetTable[[Date]:[Date]],"&lt;="&amp;EOMONTH(L$5,0))</f>
        <v>0</v>
      </c>
      <c r="M15" s="186">
        <f>SUMIFS(DWbonus[[Sum]:[Sum]],DWbonus[[Dato]:[Dato]], "&gt;="&amp;M$5,DWbonus[[Dato]:[Dato]],"&lt;="&amp;EOMONTH(M$5,0),DWbonus[[Bookie]:[Bookie]],$K15)+SUMIFS(LayTable[[Faktisk res]:[Faktisk res]],LayTable[[Dato]:[Dato]],"&gt;="&amp;M$5,LayTable[[Dato]:[Dato]],"&lt;="&amp;EOMONTH(M$5,0),LayTable[[Bookmaker]:[Bookmaker]],$K15)+SUMIFS(BetTable[[AR_per_bookie]:[AR_per_bookie]],BetTable[[B1]:[B1]],$K15,BetTable[[Date]:[Date]], "&gt;="&amp;M$5,BetTable[[Date]:[Date]],"&lt;="&amp;EOMONTH(M$5,0))+SUMIFS(BetTable[[AR_per_bookie]:[AR_per_bookie]],BetTable[[B2]:[B2]],$K15,BetTable[[Date]:[Date]], "&gt;="&amp;M$5,BetTable[[Date]:[Date]],"&lt;="&amp;EOMONTH(M$5,0))+SUMIFS(BetTable[[AR_per_bookie]:[AR_per_bookie]],BetTable[[B3]:[B3]],$K15,BetTable[[Date]:[Date]], "&gt;="&amp;M$5,BetTable[[Date]:[Date]],"&lt;="&amp;EOMONTH(M$5,0))</f>
        <v>0</v>
      </c>
      <c r="N15" s="186">
        <f>SUMIFS(DWbonus[[Sum]:[Sum]],DWbonus[[Dato]:[Dato]], "&gt;="&amp;N$5,DWbonus[[Dato]:[Dato]],"&lt;="&amp;EOMONTH(N$5,0),DWbonus[[Bookie]:[Bookie]],$K15)+SUMIFS(LayTable[[Faktisk res]:[Faktisk res]],LayTable[[Dato]:[Dato]],"&gt;="&amp;N$5,LayTable[[Dato]:[Dato]],"&lt;="&amp;EOMONTH(N$5,0),LayTable[[Bookmaker]:[Bookmaker]],$K15)+SUMIFS(BetTable[[AR_per_bookie]:[AR_per_bookie]],BetTable[[B1]:[B1]],$K15,BetTable[[Date]:[Date]], "&gt;="&amp;N$5,BetTable[[Date]:[Date]],"&lt;="&amp;EOMONTH(N$5,0))+SUMIFS(BetTable[[AR_per_bookie]:[AR_per_bookie]],BetTable[[B2]:[B2]],$K15,BetTable[[Date]:[Date]], "&gt;="&amp;N$5,BetTable[[Date]:[Date]],"&lt;="&amp;EOMONTH(N$5,0))+SUMIFS(BetTable[[AR_per_bookie]:[AR_per_bookie]],BetTable[[B3]:[B3]],$K15,BetTable[[Date]:[Date]], "&gt;="&amp;N$5,BetTable[[Date]:[Date]],"&lt;="&amp;EOMONTH(N$5,0))</f>
        <v>0</v>
      </c>
      <c r="O15" s="186">
        <f>SUMIFS(DWbonus[[Sum]:[Sum]],DWbonus[[Dato]:[Dato]], "&gt;="&amp;O$5,DWbonus[[Dato]:[Dato]],"&lt;="&amp;EOMONTH(O$5,0),DWbonus[[Bookie]:[Bookie]],$K15)+SUMIFS(LayTable[[Faktisk res]:[Faktisk res]],LayTable[[Dato]:[Dato]],"&gt;="&amp;O$5,LayTable[[Dato]:[Dato]],"&lt;="&amp;EOMONTH(O$5,0),LayTable[[Bookmaker]:[Bookmaker]],$K15)+SUMIFS(BetTable[[AR_per_bookie]:[AR_per_bookie]],BetTable[[B1]:[B1]],$K15,BetTable[[Date]:[Date]], "&gt;="&amp;O$5,BetTable[[Date]:[Date]],"&lt;="&amp;EOMONTH(O$5,0))+SUMIFS(BetTable[[AR_per_bookie]:[AR_per_bookie]],BetTable[[B2]:[B2]],$K15,BetTable[[Date]:[Date]], "&gt;="&amp;O$5,BetTable[[Date]:[Date]],"&lt;="&amp;EOMONTH(O$5,0))+SUMIFS(BetTable[[AR_per_bookie]:[AR_per_bookie]],BetTable[[B3]:[B3]],$K15,BetTable[[Date]:[Date]], "&gt;="&amp;O$5,BetTable[[Date]:[Date]],"&lt;="&amp;EOMONTH(O$5,0))</f>
        <v>0</v>
      </c>
      <c r="P15" s="186">
        <f>SUMIFS(DWbonus[[Sum]:[Sum]],DWbonus[[Dato]:[Dato]], "&gt;="&amp;P$5,DWbonus[[Dato]:[Dato]],"&lt;="&amp;EOMONTH(P$5,0),DWbonus[[Bookie]:[Bookie]],$K15)+SUMIFS(LayTable[[Faktisk res]:[Faktisk res]],LayTable[[Dato]:[Dato]],"&gt;="&amp;P$5,LayTable[[Dato]:[Dato]],"&lt;="&amp;EOMONTH(P$5,0),LayTable[[Bookmaker]:[Bookmaker]],$K15)+SUMIFS(BetTable[[AR_per_bookie]:[AR_per_bookie]],BetTable[[B1]:[B1]],$K15,BetTable[[Date]:[Date]], "&gt;="&amp;P$5,BetTable[[Date]:[Date]],"&lt;="&amp;EOMONTH(P$5,0))+SUMIFS(BetTable[[AR_per_bookie]:[AR_per_bookie]],BetTable[[B2]:[B2]],$K15,BetTable[[Date]:[Date]], "&gt;="&amp;P$5,BetTable[[Date]:[Date]],"&lt;="&amp;EOMONTH(P$5,0))+SUMIFS(BetTable[[AR_per_bookie]:[AR_per_bookie]],BetTable[[B3]:[B3]],$K15,BetTable[[Date]:[Date]], "&gt;="&amp;P$5,BetTable[[Date]:[Date]],"&lt;="&amp;EOMONTH(P$5,0))</f>
        <v>0</v>
      </c>
      <c r="Q15" s="186">
        <f>SUMIFS(DWbonus[[Sum]:[Sum]],DWbonus[[Dato]:[Dato]], "&gt;="&amp;Q$5,DWbonus[[Dato]:[Dato]],"&lt;="&amp;EOMONTH(Q$5,0),DWbonus[[Bookie]:[Bookie]],$K15)+SUMIFS(LayTable[[Faktisk res]:[Faktisk res]],LayTable[[Dato]:[Dato]],"&gt;="&amp;Q$5,LayTable[[Dato]:[Dato]],"&lt;="&amp;EOMONTH(Q$5,0),LayTable[[Bookmaker]:[Bookmaker]],$K15)+SUMIFS(BetTable[[AR_per_bookie]:[AR_per_bookie]],BetTable[[B1]:[B1]],$K15,BetTable[[Date]:[Date]], "&gt;="&amp;Q$5,BetTable[[Date]:[Date]],"&lt;="&amp;EOMONTH(Q$5,0))+SUMIFS(BetTable[[AR_per_bookie]:[AR_per_bookie]],BetTable[[B2]:[B2]],$K15,BetTable[[Date]:[Date]], "&gt;="&amp;Q$5,BetTable[[Date]:[Date]],"&lt;="&amp;EOMONTH(Q$5,0))+SUMIFS(BetTable[[AR_per_bookie]:[AR_per_bookie]],BetTable[[B3]:[B3]],$K15,BetTable[[Date]:[Date]], "&gt;="&amp;Q$5,BetTable[[Date]:[Date]],"&lt;="&amp;EOMONTH(Q$5,0))</f>
        <v>0</v>
      </c>
      <c r="R15" s="186">
        <f>SUMIFS(DWbonus[[Sum]:[Sum]],DWbonus[[Dato]:[Dato]], "&gt;="&amp;R$5,DWbonus[[Dato]:[Dato]],"&lt;="&amp;EOMONTH(R$5,0),DWbonus[[Bookie]:[Bookie]],$K15)+SUMIFS(LayTable[[Faktisk res]:[Faktisk res]],LayTable[[Dato]:[Dato]],"&gt;="&amp;R$5,LayTable[[Dato]:[Dato]],"&lt;="&amp;EOMONTH(R$5,0),LayTable[[Bookmaker]:[Bookmaker]],$K15)+SUMIFS(BetTable[[AR_per_bookie]:[AR_per_bookie]],BetTable[[B1]:[B1]],$K15,BetTable[[Date]:[Date]], "&gt;="&amp;R$5,BetTable[[Date]:[Date]],"&lt;="&amp;EOMONTH(R$5,0))+SUMIFS(BetTable[[AR_per_bookie]:[AR_per_bookie]],BetTable[[B2]:[B2]],$K15,BetTable[[Date]:[Date]], "&gt;="&amp;R$5,BetTable[[Date]:[Date]],"&lt;="&amp;EOMONTH(R$5,0))+SUMIFS(BetTable[[AR_per_bookie]:[AR_per_bookie]],BetTable[[B3]:[B3]],$K15,BetTable[[Date]:[Date]], "&gt;="&amp;R$5,BetTable[[Date]:[Date]],"&lt;="&amp;EOMONTH(R$5,0))</f>
        <v>0</v>
      </c>
      <c r="S15" s="186">
        <f>SUMIFS(DWbonus[[Sum]:[Sum]],DWbonus[[Dato]:[Dato]], "&gt;="&amp;S$5,DWbonus[[Dato]:[Dato]],"&lt;="&amp;EOMONTH(S$5,0),DWbonus[[Bookie]:[Bookie]],$K15)+SUMIFS(LayTable[[Faktisk res]:[Faktisk res]],LayTable[[Dato]:[Dato]],"&gt;="&amp;S$5,LayTable[[Dato]:[Dato]],"&lt;="&amp;EOMONTH(S$5,0),LayTable[[Bookmaker]:[Bookmaker]],$K15)+SUMIFS(BetTable[[AR_per_bookie]:[AR_per_bookie]],BetTable[[B1]:[B1]],$K15,BetTable[[Date]:[Date]], "&gt;="&amp;S$5,BetTable[[Date]:[Date]],"&lt;="&amp;EOMONTH(S$5,0))+SUMIFS(BetTable[[AR_per_bookie]:[AR_per_bookie]],BetTable[[B2]:[B2]],$K15,BetTable[[Date]:[Date]], "&gt;="&amp;S$5,BetTable[[Date]:[Date]],"&lt;="&amp;EOMONTH(S$5,0))+SUMIFS(BetTable[[AR_per_bookie]:[AR_per_bookie]],BetTable[[B3]:[B3]],$K15,BetTable[[Date]:[Date]], "&gt;="&amp;S$5,BetTable[[Date]:[Date]],"&lt;="&amp;EOMONTH(S$5,0))</f>
        <v>0</v>
      </c>
      <c r="T15" s="186">
        <f>SUMIFS(DWbonus[[Sum]:[Sum]],DWbonus[[Dato]:[Dato]], "&gt;="&amp;T$5,DWbonus[[Dato]:[Dato]],"&lt;="&amp;EOMONTH(T$5,0),DWbonus[[Bookie]:[Bookie]],$K15)+SUMIFS(LayTable[[Faktisk res]:[Faktisk res]],LayTable[[Dato]:[Dato]],"&gt;="&amp;T$5,LayTable[[Dato]:[Dato]],"&lt;="&amp;EOMONTH(T$5,0),LayTable[[Bookmaker]:[Bookmaker]],$K15)+SUMIFS(BetTable[[AR_per_bookie]:[AR_per_bookie]],BetTable[[B1]:[B1]],$K15,BetTable[[Date]:[Date]], "&gt;="&amp;T$5,BetTable[[Date]:[Date]],"&lt;="&amp;EOMONTH(T$5,0))+SUMIFS(BetTable[[AR_per_bookie]:[AR_per_bookie]],BetTable[[B2]:[B2]],$K15,BetTable[[Date]:[Date]], "&gt;="&amp;T$5,BetTable[[Date]:[Date]],"&lt;="&amp;EOMONTH(T$5,0))+SUMIFS(BetTable[[AR_per_bookie]:[AR_per_bookie]],BetTable[[B3]:[B3]],$K15,BetTable[[Date]:[Date]], "&gt;="&amp;T$5,BetTable[[Date]:[Date]],"&lt;="&amp;EOMONTH(T$5,0))</f>
        <v>0</v>
      </c>
      <c r="U15" s="186">
        <f>SUMIFS(DWbonus[[Sum]:[Sum]],DWbonus[[Dato]:[Dato]], "&gt;="&amp;U$5,DWbonus[[Dato]:[Dato]],"&lt;="&amp;EOMONTH(U$5,0),DWbonus[[Bookie]:[Bookie]],$K15)+SUMIFS(LayTable[[Faktisk res]:[Faktisk res]],LayTable[[Dato]:[Dato]],"&gt;="&amp;U$5,LayTable[[Dato]:[Dato]],"&lt;="&amp;EOMONTH(U$5,0),LayTable[[Bookmaker]:[Bookmaker]],$K15)+SUMIFS(BetTable[[AR_per_bookie]:[AR_per_bookie]],BetTable[[B1]:[B1]],$K15,BetTable[[Date]:[Date]], "&gt;="&amp;U$5,BetTable[[Date]:[Date]],"&lt;="&amp;EOMONTH(U$5,0))+SUMIFS(BetTable[[AR_per_bookie]:[AR_per_bookie]],BetTable[[B2]:[B2]],$K15,BetTable[[Date]:[Date]], "&gt;="&amp;U$5,BetTable[[Date]:[Date]],"&lt;="&amp;EOMONTH(U$5,0))+SUMIFS(BetTable[[AR_per_bookie]:[AR_per_bookie]],BetTable[[B3]:[B3]],$K15,BetTable[[Date]:[Date]], "&gt;="&amp;U$5,BetTable[[Date]:[Date]],"&lt;="&amp;EOMONTH(U$5,0))</f>
        <v>0</v>
      </c>
      <c r="V15" s="186">
        <f>SUMIFS(DWbonus[[Sum]:[Sum]],DWbonus[[Dato]:[Dato]], "&gt;="&amp;V$5,DWbonus[[Dato]:[Dato]],"&lt;="&amp;EOMONTH(V$5,0),DWbonus[[Bookie]:[Bookie]],$K15)+SUMIFS(LayTable[[Faktisk res]:[Faktisk res]],LayTable[[Dato]:[Dato]],"&gt;="&amp;V$5,LayTable[[Dato]:[Dato]],"&lt;="&amp;EOMONTH(V$5,0),LayTable[[Bookmaker]:[Bookmaker]],$K15)+SUMIFS(BetTable[[AR_per_bookie]:[AR_per_bookie]],BetTable[[B1]:[B1]],$K15,BetTable[[Date]:[Date]], "&gt;="&amp;V$5,BetTable[[Date]:[Date]],"&lt;="&amp;EOMONTH(V$5,0))+SUMIFS(BetTable[[AR_per_bookie]:[AR_per_bookie]],BetTable[[B2]:[B2]],$K15,BetTable[[Date]:[Date]], "&gt;="&amp;V$5,BetTable[[Date]:[Date]],"&lt;="&amp;EOMONTH(V$5,0))+SUMIFS(BetTable[[AR_per_bookie]:[AR_per_bookie]],BetTable[[B3]:[B3]],$K15,BetTable[[Date]:[Date]], "&gt;="&amp;V$5,BetTable[[Date]:[Date]],"&lt;="&amp;EOMONTH(V$5,0))</f>
        <v>0</v>
      </c>
      <c r="W15" s="186">
        <f>SUMIFS(DWbonus[[Sum]:[Sum]],DWbonus[[Dato]:[Dato]], "&gt;="&amp;W$5,DWbonus[[Dato]:[Dato]],"&lt;="&amp;EOMONTH(W$5,0),DWbonus[[Bookie]:[Bookie]],$K15)+SUMIFS(LayTable[[Faktisk res]:[Faktisk res]],LayTable[[Dato]:[Dato]],"&gt;="&amp;W$5,LayTable[[Dato]:[Dato]],"&lt;="&amp;EOMONTH(W$5,0),LayTable[[Bookmaker]:[Bookmaker]],$K15)+SUMIFS(BetTable[[AR_per_bookie]:[AR_per_bookie]],BetTable[[B1]:[B1]],$K15,BetTable[[Date]:[Date]], "&gt;="&amp;W$5,BetTable[[Date]:[Date]],"&lt;="&amp;EOMONTH(W$5,0))+SUMIFS(BetTable[[AR_per_bookie]:[AR_per_bookie]],BetTable[[B2]:[B2]],$K15,BetTable[[Date]:[Date]], "&gt;="&amp;W$5,BetTable[[Date]:[Date]],"&lt;="&amp;EOMONTH(W$5,0))+SUMIFS(BetTable[[AR_per_bookie]:[AR_per_bookie]],BetTable[[B3]:[B3]],$K15,BetTable[[Date]:[Date]], "&gt;="&amp;W$5,BetTable[[Date]:[Date]],"&lt;="&amp;EOMONTH(W$5,0))</f>
        <v>0</v>
      </c>
    </row>
    <row r="16" spans="1:23">
      <c r="A16" s="174" t="s">
        <v>305</v>
      </c>
      <c r="B16" s="186">
        <f>V6-G25</f>
        <v>-255</v>
      </c>
      <c r="C16" s="186">
        <v>0</v>
      </c>
      <c r="D16" s="186">
        <f t="shared" si="2"/>
        <v>0</v>
      </c>
      <c r="E16" s="186">
        <v>0</v>
      </c>
      <c r="F16" s="186">
        <f t="shared" si="0"/>
        <v>0</v>
      </c>
      <c r="K16" s="174" t="str">
        <f t="array" ref="K16">IFERROR(INDEX(BookieNavn!H$2:H$1251,SMALL(IF(EXACT(LEFT(BookieNavn!H$2:H$1251,2),M$3),ROW(BookieNavn!H$2:H$1251)-ROW(BookieNavn!H$2)+1),ROWS(BookieNavn!H$2:'BookieNavn'!H11))),"")</f>
        <v>LiNorgesspill</v>
      </c>
      <c r="L16" s="186">
        <f>SUMIFS(DWbonus[[Sum]:[Sum]],DWbonus[[Dato]:[Dato]], "&gt;="&amp;L$5,DWbonus[[Dato]:[Dato]],"&lt;="&amp;EOMONTH(L$5,0),DWbonus[[Bookie]:[Bookie]],$K16)+SUMIFS(LayTable[[Faktisk res]:[Faktisk res]],LayTable[[Dato]:[Dato]],"&gt;="&amp;L$5,LayTable[[Dato]:[Dato]],"&lt;="&amp;EOMONTH(L$5,0),LayTable[[Bookmaker]:[Bookmaker]],$K16)+SUMIFS(BetTable[[AR_per_bookie]:[AR_per_bookie]],BetTable[[B1]:[B1]],$K16,BetTable[[Date]:[Date]], "&gt;="&amp;L$5,BetTable[[Date]:[Date]],"&lt;="&amp;EOMONTH(L$5,0))+SUMIFS(BetTable[[AR_per_bookie]:[AR_per_bookie]],BetTable[[B2]:[B2]],$K16,BetTable[[Date]:[Date]], "&gt;="&amp;L$5,BetTable[[Date]:[Date]],"&lt;="&amp;EOMONTH(L$5,0))+SUMIFS(BetTable[[AR_per_bookie]:[AR_per_bookie]],BetTable[[B3]:[B3]],$K16,BetTable[[Date]:[Date]], "&gt;="&amp;L$5,BetTable[[Date]:[Date]],"&lt;="&amp;EOMONTH(L$5,0))</f>
        <v>0</v>
      </c>
      <c r="M16" s="186">
        <f>SUMIFS(DWbonus[[Sum]:[Sum]],DWbonus[[Dato]:[Dato]], "&gt;="&amp;M$5,DWbonus[[Dato]:[Dato]],"&lt;="&amp;EOMONTH(M$5,0),DWbonus[[Bookie]:[Bookie]],$K16)+SUMIFS(LayTable[[Faktisk res]:[Faktisk res]],LayTable[[Dato]:[Dato]],"&gt;="&amp;M$5,LayTable[[Dato]:[Dato]],"&lt;="&amp;EOMONTH(M$5,0),LayTable[[Bookmaker]:[Bookmaker]],$K16)+SUMIFS(BetTable[[AR_per_bookie]:[AR_per_bookie]],BetTable[[B1]:[B1]],$K16,BetTable[[Date]:[Date]], "&gt;="&amp;M$5,BetTable[[Date]:[Date]],"&lt;="&amp;EOMONTH(M$5,0))+SUMIFS(BetTable[[AR_per_bookie]:[AR_per_bookie]],BetTable[[B2]:[B2]],$K16,BetTable[[Date]:[Date]], "&gt;="&amp;M$5,BetTable[[Date]:[Date]],"&lt;="&amp;EOMONTH(M$5,0))+SUMIFS(BetTable[[AR_per_bookie]:[AR_per_bookie]],BetTable[[B3]:[B3]],$K16,BetTable[[Date]:[Date]], "&gt;="&amp;M$5,BetTable[[Date]:[Date]],"&lt;="&amp;EOMONTH(M$5,0))</f>
        <v>0</v>
      </c>
      <c r="N16" s="186">
        <f>SUMIFS(DWbonus[[Sum]:[Sum]],DWbonus[[Dato]:[Dato]], "&gt;="&amp;N$5,DWbonus[[Dato]:[Dato]],"&lt;="&amp;EOMONTH(N$5,0),DWbonus[[Bookie]:[Bookie]],$K16)+SUMIFS(LayTable[[Faktisk res]:[Faktisk res]],LayTable[[Dato]:[Dato]],"&gt;="&amp;N$5,LayTable[[Dato]:[Dato]],"&lt;="&amp;EOMONTH(N$5,0),LayTable[[Bookmaker]:[Bookmaker]],$K16)+SUMIFS(BetTable[[AR_per_bookie]:[AR_per_bookie]],BetTable[[B1]:[B1]],$K16,BetTable[[Date]:[Date]], "&gt;="&amp;N$5,BetTable[[Date]:[Date]],"&lt;="&amp;EOMONTH(N$5,0))+SUMIFS(BetTable[[AR_per_bookie]:[AR_per_bookie]],BetTable[[B2]:[B2]],$K16,BetTable[[Date]:[Date]], "&gt;="&amp;N$5,BetTable[[Date]:[Date]],"&lt;="&amp;EOMONTH(N$5,0))+SUMIFS(BetTable[[AR_per_bookie]:[AR_per_bookie]],BetTable[[B3]:[B3]],$K16,BetTable[[Date]:[Date]], "&gt;="&amp;N$5,BetTable[[Date]:[Date]],"&lt;="&amp;EOMONTH(N$5,0))</f>
        <v>0</v>
      </c>
      <c r="O16" s="186">
        <f>SUMIFS(DWbonus[[Sum]:[Sum]],DWbonus[[Dato]:[Dato]], "&gt;="&amp;O$5,DWbonus[[Dato]:[Dato]],"&lt;="&amp;EOMONTH(O$5,0),DWbonus[[Bookie]:[Bookie]],$K16)+SUMIFS(LayTable[[Faktisk res]:[Faktisk res]],LayTable[[Dato]:[Dato]],"&gt;="&amp;O$5,LayTable[[Dato]:[Dato]],"&lt;="&amp;EOMONTH(O$5,0),LayTable[[Bookmaker]:[Bookmaker]],$K16)+SUMIFS(BetTable[[AR_per_bookie]:[AR_per_bookie]],BetTable[[B1]:[B1]],$K16,BetTable[[Date]:[Date]], "&gt;="&amp;O$5,BetTable[[Date]:[Date]],"&lt;="&amp;EOMONTH(O$5,0))+SUMIFS(BetTable[[AR_per_bookie]:[AR_per_bookie]],BetTable[[B2]:[B2]],$K16,BetTable[[Date]:[Date]], "&gt;="&amp;O$5,BetTable[[Date]:[Date]],"&lt;="&amp;EOMONTH(O$5,0))+SUMIFS(BetTable[[AR_per_bookie]:[AR_per_bookie]],BetTable[[B3]:[B3]],$K16,BetTable[[Date]:[Date]], "&gt;="&amp;O$5,BetTable[[Date]:[Date]],"&lt;="&amp;EOMONTH(O$5,0))</f>
        <v>0</v>
      </c>
      <c r="P16" s="186">
        <f>SUMIFS(DWbonus[[Sum]:[Sum]],DWbonus[[Dato]:[Dato]], "&gt;="&amp;P$5,DWbonus[[Dato]:[Dato]],"&lt;="&amp;EOMONTH(P$5,0),DWbonus[[Bookie]:[Bookie]],$K16)+SUMIFS(LayTable[[Faktisk res]:[Faktisk res]],LayTable[[Dato]:[Dato]],"&gt;="&amp;P$5,LayTable[[Dato]:[Dato]],"&lt;="&amp;EOMONTH(P$5,0),LayTable[[Bookmaker]:[Bookmaker]],$K16)+SUMIFS(BetTable[[AR_per_bookie]:[AR_per_bookie]],BetTable[[B1]:[B1]],$K16,BetTable[[Date]:[Date]], "&gt;="&amp;P$5,BetTable[[Date]:[Date]],"&lt;="&amp;EOMONTH(P$5,0))+SUMIFS(BetTable[[AR_per_bookie]:[AR_per_bookie]],BetTable[[B2]:[B2]],$K16,BetTable[[Date]:[Date]], "&gt;="&amp;P$5,BetTable[[Date]:[Date]],"&lt;="&amp;EOMONTH(P$5,0))+SUMIFS(BetTable[[AR_per_bookie]:[AR_per_bookie]],BetTable[[B3]:[B3]],$K16,BetTable[[Date]:[Date]], "&gt;="&amp;P$5,BetTable[[Date]:[Date]],"&lt;="&amp;EOMONTH(P$5,0))</f>
        <v>0</v>
      </c>
      <c r="Q16" s="186">
        <f>SUMIFS(DWbonus[[Sum]:[Sum]],DWbonus[[Dato]:[Dato]], "&gt;="&amp;Q$5,DWbonus[[Dato]:[Dato]],"&lt;="&amp;EOMONTH(Q$5,0),DWbonus[[Bookie]:[Bookie]],$K16)+SUMIFS(LayTable[[Faktisk res]:[Faktisk res]],LayTable[[Dato]:[Dato]],"&gt;="&amp;Q$5,LayTable[[Dato]:[Dato]],"&lt;="&amp;EOMONTH(Q$5,0),LayTable[[Bookmaker]:[Bookmaker]],$K16)+SUMIFS(BetTable[[AR_per_bookie]:[AR_per_bookie]],BetTable[[B1]:[B1]],$K16,BetTable[[Date]:[Date]], "&gt;="&amp;Q$5,BetTable[[Date]:[Date]],"&lt;="&amp;EOMONTH(Q$5,0))+SUMIFS(BetTable[[AR_per_bookie]:[AR_per_bookie]],BetTable[[B2]:[B2]],$K16,BetTable[[Date]:[Date]], "&gt;="&amp;Q$5,BetTable[[Date]:[Date]],"&lt;="&amp;EOMONTH(Q$5,0))+SUMIFS(BetTable[[AR_per_bookie]:[AR_per_bookie]],BetTable[[B3]:[B3]],$K16,BetTable[[Date]:[Date]], "&gt;="&amp;Q$5,BetTable[[Date]:[Date]],"&lt;="&amp;EOMONTH(Q$5,0))</f>
        <v>0</v>
      </c>
      <c r="R16" s="186">
        <f>SUMIFS(DWbonus[[Sum]:[Sum]],DWbonus[[Dato]:[Dato]], "&gt;="&amp;R$5,DWbonus[[Dato]:[Dato]],"&lt;="&amp;EOMONTH(R$5,0),DWbonus[[Bookie]:[Bookie]],$K16)+SUMIFS(LayTable[[Faktisk res]:[Faktisk res]],LayTable[[Dato]:[Dato]],"&gt;="&amp;R$5,LayTable[[Dato]:[Dato]],"&lt;="&amp;EOMONTH(R$5,0),LayTable[[Bookmaker]:[Bookmaker]],$K16)+SUMIFS(BetTable[[AR_per_bookie]:[AR_per_bookie]],BetTable[[B1]:[B1]],$K16,BetTable[[Date]:[Date]], "&gt;="&amp;R$5,BetTable[[Date]:[Date]],"&lt;="&amp;EOMONTH(R$5,0))+SUMIFS(BetTable[[AR_per_bookie]:[AR_per_bookie]],BetTable[[B2]:[B2]],$K16,BetTable[[Date]:[Date]], "&gt;="&amp;R$5,BetTable[[Date]:[Date]],"&lt;="&amp;EOMONTH(R$5,0))+SUMIFS(BetTable[[AR_per_bookie]:[AR_per_bookie]],BetTable[[B3]:[B3]],$K16,BetTable[[Date]:[Date]], "&gt;="&amp;R$5,BetTable[[Date]:[Date]],"&lt;="&amp;EOMONTH(R$5,0))</f>
        <v>0</v>
      </c>
      <c r="S16" s="186">
        <f>SUMIFS(DWbonus[[Sum]:[Sum]],DWbonus[[Dato]:[Dato]], "&gt;="&amp;S$5,DWbonus[[Dato]:[Dato]],"&lt;="&amp;EOMONTH(S$5,0),DWbonus[[Bookie]:[Bookie]],$K16)+SUMIFS(LayTable[[Faktisk res]:[Faktisk res]],LayTable[[Dato]:[Dato]],"&gt;="&amp;S$5,LayTable[[Dato]:[Dato]],"&lt;="&amp;EOMONTH(S$5,0),LayTable[[Bookmaker]:[Bookmaker]],$K16)+SUMIFS(BetTable[[AR_per_bookie]:[AR_per_bookie]],BetTable[[B1]:[B1]],$K16,BetTable[[Date]:[Date]], "&gt;="&amp;S$5,BetTable[[Date]:[Date]],"&lt;="&amp;EOMONTH(S$5,0))+SUMIFS(BetTable[[AR_per_bookie]:[AR_per_bookie]],BetTable[[B2]:[B2]],$K16,BetTable[[Date]:[Date]], "&gt;="&amp;S$5,BetTable[[Date]:[Date]],"&lt;="&amp;EOMONTH(S$5,0))+SUMIFS(BetTable[[AR_per_bookie]:[AR_per_bookie]],BetTable[[B3]:[B3]],$K16,BetTable[[Date]:[Date]], "&gt;="&amp;S$5,BetTable[[Date]:[Date]],"&lt;="&amp;EOMONTH(S$5,0))</f>
        <v>0</v>
      </c>
      <c r="T16" s="186">
        <f>SUMIFS(DWbonus[[Sum]:[Sum]],DWbonus[[Dato]:[Dato]], "&gt;="&amp;T$5,DWbonus[[Dato]:[Dato]],"&lt;="&amp;EOMONTH(T$5,0),DWbonus[[Bookie]:[Bookie]],$K16)+SUMIFS(LayTable[[Faktisk res]:[Faktisk res]],LayTable[[Dato]:[Dato]],"&gt;="&amp;T$5,LayTable[[Dato]:[Dato]],"&lt;="&amp;EOMONTH(T$5,0),LayTable[[Bookmaker]:[Bookmaker]],$K16)+SUMIFS(BetTable[[AR_per_bookie]:[AR_per_bookie]],BetTable[[B1]:[B1]],$K16,BetTable[[Date]:[Date]], "&gt;="&amp;T$5,BetTable[[Date]:[Date]],"&lt;="&amp;EOMONTH(T$5,0))+SUMIFS(BetTable[[AR_per_bookie]:[AR_per_bookie]],BetTable[[B2]:[B2]],$K16,BetTable[[Date]:[Date]], "&gt;="&amp;T$5,BetTable[[Date]:[Date]],"&lt;="&amp;EOMONTH(T$5,0))+SUMIFS(BetTable[[AR_per_bookie]:[AR_per_bookie]],BetTable[[B3]:[B3]],$K16,BetTable[[Date]:[Date]], "&gt;="&amp;T$5,BetTable[[Date]:[Date]],"&lt;="&amp;EOMONTH(T$5,0))</f>
        <v>0</v>
      </c>
      <c r="U16" s="186">
        <f>SUMIFS(DWbonus[[Sum]:[Sum]],DWbonus[[Dato]:[Dato]], "&gt;="&amp;U$5,DWbonus[[Dato]:[Dato]],"&lt;="&amp;EOMONTH(U$5,0),DWbonus[[Bookie]:[Bookie]],$K16)+SUMIFS(LayTable[[Faktisk res]:[Faktisk res]],LayTable[[Dato]:[Dato]],"&gt;="&amp;U$5,LayTable[[Dato]:[Dato]],"&lt;="&amp;EOMONTH(U$5,0),LayTable[[Bookmaker]:[Bookmaker]],$K16)+SUMIFS(BetTable[[AR_per_bookie]:[AR_per_bookie]],BetTable[[B1]:[B1]],$K16,BetTable[[Date]:[Date]], "&gt;="&amp;U$5,BetTable[[Date]:[Date]],"&lt;="&amp;EOMONTH(U$5,0))+SUMIFS(BetTable[[AR_per_bookie]:[AR_per_bookie]],BetTable[[B2]:[B2]],$K16,BetTable[[Date]:[Date]], "&gt;="&amp;U$5,BetTable[[Date]:[Date]],"&lt;="&amp;EOMONTH(U$5,0))+SUMIFS(BetTable[[AR_per_bookie]:[AR_per_bookie]],BetTable[[B3]:[B3]],$K16,BetTable[[Date]:[Date]], "&gt;="&amp;U$5,BetTable[[Date]:[Date]],"&lt;="&amp;EOMONTH(U$5,0))</f>
        <v>0</v>
      </c>
      <c r="V16" s="186">
        <f>SUMIFS(DWbonus[[Sum]:[Sum]],DWbonus[[Dato]:[Dato]], "&gt;="&amp;V$5,DWbonus[[Dato]:[Dato]],"&lt;="&amp;EOMONTH(V$5,0),DWbonus[[Bookie]:[Bookie]],$K16)+SUMIFS(LayTable[[Faktisk res]:[Faktisk res]],LayTable[[Dato]:[Dato]],"&gt;="&amp;V$5,LayTable[[Dato]:[Dato]],"&lt;="&amp;EOMONTH(V$5,0),LayTable[[Bookmaker]:[Bookmaker]],$K16)+SUMIFS(BetTable[[AR_per_bookie]:[AR_per_bookie]],BetTable[[B1]:[B1]],$K16,BetTable[[Date]:[Date]], "&gt;="&amp;V$5,BetTable[[Date]:[Date]],"&lt;="&amp;EOMONTH(V$5,0))+SUMIFS(BetTable[[AR_per_bookie]:[AR_per_bookie]],BetTable[[B2]:[B2]],$K16,BetTable[[Date]:[Date]], "&gt;="&amp;V$5,BetTable[[Date]:[Date]],"&lt;="&amp;EOMONTH(V$5,0))+SUMIFS(BetTable[[AR_per_bookie]:[AR_per_bookie]],BetTable[[B3]:[B3]],$K16,BetTable[[Date]:[Date]], "&gt;="&amp;V$5,BetTable[[Date]:[Date]],"&lt;="&amp;EOMONTH(V$5,0))</f>
        <v>0</v>
      </c>
      <c r="W16" s="186">
        <f>SUMIFS(DWbonus[[Sum]:[Sum]],DWbonus[[Dato]:[Dato]], "&gt;="&amp;W$5,DWbonus[[Dato]:[Dato]],"&lt;="&amp;EOMONTH(W$5,0),DWbonus[[Bookie]:[Bookie]],$K16)+SUMIFS(LayTable[[Faktisk res]:[Faktisk res]],LayTable[[Dato]:[Dato]],"&gt;="&amp;W$5,LayTable[[Dato]:[Dato]],"&lt;="&amp;EOMONTH(W$5,0),LayTable[[Bookmaker]:[Bookmaker]],$K16)+SUMIFS(BetTable[[AR_per_bookie]:[AR_per_bookie]],BetTable[[B1]:[B1]],$K16,BetTable[[Date]:[Date]], "&gt;="&amp;W$5,BetTable[[Date]:[Date]],"&lt;="&amp;EOMONTH(W$5,0))+SUMIFS(BetTable[[AR_per_bookie]:[AR_per_bookie]],BetTable[[B2]:[B2]],$K16,BetTable[[Date]:[Date]], "&gt;="&amp;W$5,BetTable[[Date]:[Date]],"&lt;="&amp;EOMONTH(W$5,0))+SUMIFS(BetTable[[AR_per_bookie]:[AR_per_bookie]],BetTable[[B3]:[B3]],$K16,BetTable[[Date]:[Date]], "&gt;="&amp;W$5,BetTable[[Date]:[Date]],"&lt;="&amp;EOMONTH(W$5,0))</f>
        <v>0</v>
      </c>
    </row>
    <row r="17" spans="1:23">
      <c r="A17" s="174" t="s">
        <v>307</v>
      </c>
      <c r="B17" s="186">
        <f>W6-G25</f>
        <v>-255</v>
      </c>
      <c r="C17" s="186">
        <v>0</v>
      </c>
      <c r="D17" s="186">
        <f t="shared" si="2"/>
        <v>0</v>
      </c>
      <c r="E17" s="186">
        <v>0</v>
      </c>
      <c r="F17" s="186">
        <f t="shared" si="0"/>
        <v>0</v>
      </c>
      <c r="K17" s="174" t="str">
        <f t="array" ref="K17">IFERROR(INDEX(BookieNavn!H$2:H$1251,SMALL(IF(EXACT(LEFT(BookieNavn!H$2:H$1251,2),M$3),ROW(BookieNavn!H$2:H$1251)-ROW(BookieNavn!H$2)+1),ROWS(BookieNavn!H$2:'BookieNavn'!H12))),"")</f>
        <v>LiLeoVegas</v>
      </c>
      <c r="L17" s="186">
        <f>SUMIFS(DWbonus[[Sum]:[Sum]],DWbonus[[Dato]:[Dato]], "&gt;="&amp;L$5,DWbonus[[Dato]:[Dato]],"&lt;="&amp;EOMONTH(L$5,0),DWbonus[[Bookie]:[Bookie]],$K17)+SUMIFS(LayTable[[Faktisk res]:[Faktisk res]],LayTable[[Dato]:[Dato]],"&gt;="&amp;L$5,LayTable[[Dato]:[Dato]],"&lt;="&amp;EOMONTH(L$5,0),LayTable[[Bookmaker]:[Bookmaker]],$K17)+SUMIFS(BetTable[[AR_per_bookie]:[AR_per_bookie]],BetTable[[B1]:[B1]],$K17,BetTable[[Date]:[Date]], "&gt;="&amp;L$5,BetTable[[Date]:[Date]],"&lt;="&amp;EOMONTH(L$5,0))+SUMIFS(BetTable[[AR_per_bookie]:[AR_per_bookie]],BetTable[[B2]:[B2]],$K17,BetTable[[Date]:[Date]], "&gt;="&amp;L$5,BetTable[[Date]:[Date]],"&lt;="&amp;EOMONTH(L$5,0))+SUMIFS(BetTable[[AR_per_bookie]:[AR_per_bookie]],BetTable[[B3]:[B3]],$K17,BetTable[[Date]:[Date]], "&gt;="&amp;L$5,BetTable[[Date]:[Date]],"&lt;="&amp;EOMONTH(L$5,0))</f>
        <v>0</v>
      </c>
      <c r="M17" s="186">
        <f>SUMIFS(DWbonus[[Sum]:[Sum]],DWbonus[[Dato]:[Dato]], "&gt;="&amp;M$5,DWbonus[[Dato]:[Dato]],"&lt;="&amp;EOMONTH(M$5,0),DWbonus[[Bookie]:[Bookie]],$K17)+SUMIFS(LayTable[[Faktisk res]:[Faktisk res]],LayTable[[Dato]:[Dato]],"&gt;="&amp;M$5,LayTable[[Dato]:[Dato]],"&lt;="&amp;EOMONTH(M$5,0),LayTable[[Bookmaker]:[Bookmaker]],$K17)+SUMIFS(BetTable[[AR_per_bookie]:[AR_per_bookie]],BetTable[[B1]:[B1]],$K17,BetTable[[Date]:[Date]], "&gt;="&amp;M$5,BetTable[[Date]:[Date]],"&lt;="&amp;EOMONTH(M$5,0))+SUMIFS(BetTable[[AR_per_bookie]:[AR_per_bookie]],BetTable[[B2]:[B2]],$K17,BetTable[[Date]:[Date]], "&gt;="&amp;M$5,BetTable[[Date]:[Date]],"&lt;="&amp;EOMONTH(M$5,0))+SUMIFS(BetTable[[AR_per_bookie]:[AR_per_bookie]],BetTable[[B3]:[B3]],$K17,BetTable[[Date]:[Date]], "&gt;="&amp;M$5,BetTable[[Date]:[Date]],"&lt;="&amp;EOMONTH(M$5,0))</f>
        <v>0</v>
      </c>
      <c r="N17" s="186">
        <f>SUMIFS(DWbonus[[Sum]:[Sum]],DWbonus[[Dato]:[Dato]], "&gt;="&amp;N$5,DWbonus[[Dato]:[Dato]],"&lt;="&amp;EOMONTH(N$5,0),DWbonus[[Bookie]:[Bookie]],$K17)+SUMIFS(LayTable[[Faktisk res]:[Faktisk res]],LayTable[[Dato]:[Dato]],"&gt;="&amp;N$5,LayTable[[Dato]:[Dato]],"&lt;="&amp;EOMONTH(N$5,0),LayTable[[Bookmaker]:[Bookmaker]],$K17)+SUMIFS(BetTable[[AR_per_bookie]:[AR_per_bookie]],BetTable[[B1]:[B1]],$K17,BetTable[[Date]:[Date]], "&gt;="&amp;N$5,BetTable[[Date]:[Date]],"&lt;="&amp;EOMONTH(N$5,0))+SUMIFS(BetTable[[AR_per_bookie]:[AR_per_bookie]],BetTable[[B2]:[B2]],$K17,BetTable[[Date]:[Date]], "&gt;="&amp;N$5,BetTable[[Date]:[Date]],"&lt;="&amp;EOMONTH(N$5,0))+SUMIFS(BetTable[[AR_per_bookie]:[AR_per_bookie]],BetTable[[B3]:[B3]],$K17,BetTable[[Date]:[Date]], "&gt;="&amp;N$5,BetTable[[Date]:[Date]],"&lt;="&amp;EOMONTH(N$5,0))</f>
        <v>0</v>
      </c>
      <c r="O17" s="186">
        <f>SUMIFS(DWbonus[[Sum]:[Sum]],DWbonus[[Dato]:[Dato]], "&gt;="&amp;O$5,DWbonus[[Dato]:[Dato]],"&lt;="&amp;EOMONTH(O$5,0),DWbonus[[Bookie]:[Bookie]],$K17)+SUMIFS(LayTable[[Faktisk res]:[Faktisk res]],LayTable[[Dato]:[Dato]],"&gt;="&amp;O$5,LayTable[[Dato]:[Dato]],"&lt;="&amp;EOMONTH(O$5,0),LayTable[[Bookmaker]:[Bookmaker]],$K17)+SUMIFS(BetTable[[AR_per_bookie]:[AR_per_bookie]],BetTable[[B1]:[B1]],$K17,BetTable[[Date]:[Date]], "&gt;="&amp;O$5,BetTable[[Date]:[Date]],"&lt;="&amp;EOMONTH(O$5,0))+SUMIFS(BetTable[[AR_per_bookie]:[AR_per_bookie]],BetTable[[B2]:[B2]],$K17,BetTable[[Date]:[Date]], "&gt;="&amp;O$5,BetTable[[Date]:[Date]],"&lt;="&amp;EOMONTH(O$5,0))+SUMIFS(BetTable[[AR_per_bookie]:[AR_per_bookie]],BetTable[[B3]:[B3]],$K17,BetTable[[Date]:[Date]], "&gt;="&amp;O$5,BetTable[[Date]:[Date]],"&lt;="&amp;EOMONTH(O$5,0))</f>
        <v>0</v>
      </c>
      <c r="P17" s="186">
        <f>SUMIFS(DWbonus[[Sum]:[Sum]],DWbonus[[Dato]:[Dato]], "&gt;="&amp;P$5,DWbonus[[Dato]:[Dato]],"&lt;="&amp;EOMONTH(P$5,0),DWbonus[[Bookie]:[Bookie]],$K17)+SUMIFS(LayTable[[Faktisk res]:[Faktisk res]],LayTable[[Dato]:[Dato]],"&gt;="&amp;P$5,LayTable[[Dato]:[Dato]],"&lt;="&amp;EOMONTH(P$5,0),LayTable[[Bookmaker]:[Bookmaker]],$K17)+SUMIFS(BetTable[[AR_per_bookie]:[AR_per_bookie]],BetTable[[B1]:[B1]],$K17,BetTable[[Date]:[Date]], "&gt;="&amp;P$5,BetTable[[Date]:[Date]],"&lt;="&amp;EOMONTH(P$5,0))+SUMIFS(BetTable[[AR_per_bookie]:[AR_per_bookie]],BetTable[[B2]:[B2]],$K17,BetTable[[Date]:[Date]], "&gt;="&amp;P$5,BetTable[[Date]:[Date]],"&lt;="&amp;EOMONTH(P$5,0))+SUMIFS(BetTable[[AR_per_bookie]:[AR_per_bookie]],BetTable[[B3]:[B3]],$K17,BetTable[[Date]:[Date]], "&gt;="&amp;P$5,BetTable[[Date]:[Date]],"&lt;="&amp;EOMONTH(P$5,0))</f>
        <v>0</v>
      </c>
      <c r="Q17" s="186">
        <f>SUMIFS(DWbonus[[Sum]:[Sum]],DWbonus[[Dato]:[Dato]], "&gt;="&amp;Q$5,DWbonus[[Dato]:[Dato]],"&lt;="&amp;EOMONTH(Q$5,0),DWbonus[[Bookie]:[Bookie]],$K17)+SUMIFS(LayTable[[Faktisk res]:[Faktisk res]],LayTable[[Dato]:[Dato]],"&gt;="&amp;Q$5,LayTable[[Dato]:[Dato]],"&lt;="&amp;EOMONTH(Q$5,0),LayTable[[Bookmaker]:[Bookmaker]],$K17)+SUMIFS(BetTable[[AR_per_bookie]:[AR_per_bookie]],BetTable[[B1]:[B1]],$K17,BetTable[[Date]:[Date]], "&gt;="&amp;Q$5,BetTable[[Date]:[Date]],"&lt;="&amp;EOMONTH(Q$5,0))+SUMIFS(BetTable[[AR_per_bookie]:[AR_per_bookie]],BetTable[[B2]:[B2]],$K17,BetTable[[Date]:[Date]], "&gt;="&amp;Q$5,BetTable[[Date]:[Date]],"&lt;="&amp;EOMONTH(Q$5,0))+SUMIFS(BetTable[[AR_per_bookie]:[AR_per_bookie]],BetTable[[B3]:[B3]],$K17,BetTable[[Date]:[Date]], "&gt;="&amp;Q$5,BetTable[[Date]:[Date]],"&lt;="&amp;EOMONTH(Q$5,0))</f>
        <v>0</v>
      </c>
      <c r="R17" s="186">
        <f>SUMIFS(DWbonus[[Sum]:[Sum]],DWbonus[[Dato]:[Dato]], "&gt;="&amp;R$5,DWbonus[[Dato]:[Dato]],"&lt;="&amp;EOMONTH(R$5,0),DWbonus[[Bookie]:[Bookie]],$K17)+SUMIFS(LayTable[[Faktisk res]:[Faktisk res]],LayTable[[Dato]:[Dato]],"&gt;="&amp;R$5,LayTable[[Dato]:[Dato]],"&lt;="&amp;EOMONTH(R$5,0),LayTable[[Bookmaker]:[Bookmaker]],$K17)+SUMIFS(BetTable[[AR_per_bookie]:[AR_per_bookie]],BetTable[[B1]:[B1]],$K17,BetTable[[Date]:[Date]], "&gt;="&amp;R$5,BetTable[[Date]:[Date]],"&lt;="&amp;EOMONTH(R$5,0))+SUMIFS(BetTable[[AR_per_bookie]:[AR_per_bookie]],BetTable[[B2]:[B2]],$K17,BetTable[[Date]:[Date]], "&gt;="&amp;R$5,BetTable[[Date]:[Date]],"&lt;="&amp;EOMONTH(R$5,0))+SUMIFS(BetTable[[AR_per_bookie]:[AR_per_bookie]],BetTable[[B3]:[B3]],$K17,BetTable[[Date]:[Date]], "&gt;="&amp;R$5,BetTable[[Date]:[Date]],"&lt;="&amp;EOMONTH(R$5,0))</f>
        <v>0</v>
      </c>
      <c r="S17" s="186">
        <f>SUMIFS(DWbonus[[Sum]:[Sum]],DWbonus[[Dato]:[Dato]], "&gt;="&amp;S$5,DWbonus[[Dato]:[Dato]],"&lt;="&amp;EOMONTH(S$5,0),DWbonus[[Bookie]:[Bookie]],$K17)+SUMIFS(LayTable[[Faktisk res]:[Faktisk res]],LayTable[[Dato]:[Dato]],"&gt;="&amp;S$5,LayTable[[Dato]:[Dato]],"&lt;="&amp;EOMONTH(S$5,0),LayTable[[Bookmaker]:[Bookmaker]],$K17)+SUMIFS(BetTable[[AR_per_bookie]:[AR_per_bookie]],BetTable[[B1]:[B1]],$K17,BetTable[[Date]:[Date]], "&gt;="&amp;S$5,BetTable[[Date]:[Date]],"&lt;="&amp;EOMONTH(S$5,0))+SUMIFS(BetTable[[AR_per_bookie]:[AR_per_bookie]],BetTable[[B2]:[B2]],$K17,BetTable[[Date]:[Date]], "&gt;="&amp;S$5,BetTable[[Date]:[Date]],"&lt;="&amp;EOMONTH(S$5,0))+SUMIFS(BetTable[[AR_per_bookie]:[AR_per_bookie]],BetTable[[B3]:[B3]],$K17,BetTable[[Date]:[Date]], "&gt;="&amp;S$5,BetTable[[Date]:[Date]],"&lt;="&amp;EOMONTH(S$5,0))</f>
        <v>0</v>
      </c>
      <c r="T17" s="186">
        <f>SUMIFS(DWbonus[[Sum]:[Sum]],DWbonus[[Dato]:[Dato]], "&gt;="&amp;T$5,DWbonus[[Dato]:[Dato]],"&lt;="&amp;EOMONTH(T$5,0),DWbonus[[Bookie]:[Bookie]],$K17)+SUMIFS(LayTable[[Faktisk res]:[Faktisk res]],LayTable[[Dato]:[Dato]],"&gt;="&amp;T$5,LayTable[[Dato]:[Dato]],"&lt;="&amp;EOMONTH(T$5,0),LayTable[[Bookmaker]:[Bookmaker]],$K17)+SUMIFS(BetTable[[AR_per_bookie]:[AR_per_bookie]],BetTable[[B1]:[B1]],$K17,BetTable[[Date]:[Date]], "&gt;="&amp;T$5,BetTable[[Date]:[Date]],"&lt;="&amp;EOMONTH(T$5,0))+SUMIFS(BetTable[[AR_per_bookie]:[AR_per_bookie]],BetTable[[B2]:[B2]],$K17,BetTable[[Date]:[Date]], "&gt;="&amp;T$5,BetTable[[Date]:[Date]],"&lt;="&amp;EOMONTH(T$5,0))+SUMIFS(BetTable[[AR_per_bookie]:[AR_per_bookie]],BetTable[[B3]:[B3]],$K17,BetTable[[Date]:[Date]], "&gt;="&amp;T$5,BetTable[[Date]:[Date]],"&lt;="&amp;EOMONTH(T$5,0))</f>
        <v>0</v>
      </c>
      <c r="U17" s="186">
        <f>SUMIFS(DWbonus[[Sum]:[Sum]],DWbonus[[Dato]:[Dato]], "&gt;="&amp;U$5,DWbonus[[Dato]:[Dato]],"&lt;="&amp;EOMONTH(U$5,0),DWbonus[[Bookie]:[Bookie]],$K17)+SUMIFS(LayTable[[Faktisk res]:[Faktisk res]],LayTable[[Dato]:[Dato]],"&gt;="&amp;U$5,LayTable[[Dato]:[Dato]],"&lt;="&amp;EOMONTH(U$5,0),LayTable[[Bookmaker]:[Bookmaker]],$K17)+SUMIFS(BetTable[[AR_per_bookie]:[AR_per_bookie]],BetTable[[B1]:[B1]],$K17,BetTable[[Date]:[Date]], "&gt;="&amp;U$5,BetTable[[Date]:[Date]],"&lt;="&amp;EOMONTH(U$5,0))+SUMIFS(BetTable[[AR_per_bookie]:[AR_per_bookie]],BetTable[[B2]:[B2]],$K17,BetTable[[Date]:[Date]], "&gt;="&amp;U$5,BetTable[[Date]:[Date]],"&lt;="&amp;EOMONTH(U$5,0))+SUMIFS(BetTable[[AR_per_bookie]:[AR_per_bookie]],BetTable[[B3]:[B3]],$K17,BetTable[[Date]:[Date]], "&gt;="&amp;U$5,BetTable[[Date]:[Date]],"&lt;="&amp;EOMONTH(U$5,0))</f>
        <v>0</v>
      </c>
      <c r="V17" s="186">
        <f>SUMIFS(DWbonus[[Sum]:[Sum]],DWbonus[[Dato]:[Dato]], "&gt;="&amp;V$5,DWbonus[[Dato]:[Dato]],"&lt;="&amp;EOMONTH(V$5,0),DWbonus[[Bookie]:[Bookie]],$K17)+SUMIFS(LayTable[[Faktisk res]:[Faktisk res]],LayTable[[Dato]:[Dato]],"&gt;="&amp;V$5,LayTable[[Dato]:[Dato]],"&lt;="&amp;EOMONTH(V$5,0),LayTable[[Bookmaker]:[Bookmaker]],$K17)+SUMIFS(BetTable[[AR_per_bookie]:[AR_per_bookie]],BetTable[[B1]:[B1]],$K17,BetTable[[Date]:[Date]], "&gt;="&amp;V$5,BetTable[[Date]:[Date]],"&lt;="&amp;EOMONTH(V$5,0))+SUMIFS(BetTable[[AR_per_bookie]:[AR_per_bookie]],BetTable[[B2]:[B2]],$K17,BetTable[[Date]:[Date]], "&gt;="&amp;V$5,BetTable[[Date]:[Date]],"&lt;="&amp;EOMONTH(V$5,0))+SUMIFS(BetTable[[AR_per_bookie]:[AR_per_bookie]],BetTable[[B3]:[B3]],$K17,BetTable[[Date]:[Date]], "&gt;="&amp;V$5,BetTable[[Date]:[Date]],"&lt;="&amp;EOMONTH(V$5,0))</f>
        <v>0</v>
      </c>
      <c r="W17" s="186">
        <f>SUMIFS(DWbonus[[Sum]:[Sum]],DWbonus[[Dato]:[Dato]], "&gt;="&amp;W$5,DWbonus[[Dato]:[Dato]],"&lt;="&amp;EOMONTH(W$5,0),DWbonus[[Bookie]:[Bookie]],$K17)+SUMIFS(LayTable[[Faktisk res]:[Faktisk res]],LayTable[[Dato]:[Dato]],"&gt;="&amp;W$5,LayTable[[Dato]:[Dato]],"&lt;="&amp;EOMONTH(W$5,0),LayTable[[Bookmaker]:[Bookmaker]],$K17)+SUMIFS(BetTable[[AR_per_bookie]:[AR_per_bookie]],BetTable[[B1]:[B1]],$K17,BetTable[[Date]:[Date]], "&gt;="&amp;W$5,BetTable[[Date]:[Date]],"&lt;="&amp;EOMONTH(W$5,0))+SUMIFS(BetTable[[AR_per_bookie]:[AR_per_bookie]],BetTable[[B2]:[B2]],$K17,BetTable[[Date]:[Date]], "&gt;="&amp;W$5,BetTable[[Date]:[Date]],"&lt;="&amp;EOMONTH(W$5,0))+SUMIFS(BetTable[[AR_per_bookie]:[AR_per_bookie]],BetTable[[B3]:[B3]],$K17,BetTable[[Date]:[Date]], "&gt;="&amp;W$5,BetTable[[Date]:[Date]],"&lt;="&amp;EOMONTH(W$5,0))</f>
        <v>0</v>
      </c>
    </row>
    <row r="18" spans="1:23">
      <c r="K18" s="174" t="str">
        <f t="array" ref="K18">IFERROR(INDEX(BookieNavn!H$2:H$1251,SMALL(IF(EXACT(LEFT(BookieNavn!H$2:H$1251,2),M$3),ROW(BookieNavn!H$2:H$1251)-ROW(BookieNavn!H$2)+1),ROWS(BookieNavn!H$2:'BookieNavn'!H13))),"")</f>
        <v>LiGuts</v>
      </c>
      <c r="L18" s="186">
        <f>SUMIFS(DWbonus[[Sum]:[Sum]],DWbonus[[Dato]:[Dato]], "&gt;="&amp;L$5,DWbonus[[Dato]:[Dato]],"&lt;="&amp;EOMONTH(L$5,0),DWbonus[[Bookie]:[Bookie]],$K18)+SUMIFS(LayTable[[Faktisk res]:[Faktisk res]],LayTable[[Dato]:[Dato]],"&gt;="&amp;L$5,LayTable[[Dato]:[Dato]],"&lt;="&amp;EOMONTH(L$5,0),LayTable[[Bookmaker]:[Bookmaker]],$K18)+SUMIFS(BetTable[[AR_per_bookie]:[AR_per_bookie]],BetTable[[B1]:[B1]],$K18,BetTable[[Date]:[Date]], "&gt;="&amp;L$5,BetTable[[Date]:[Date]],"&lt;="&amp;EOMONTH(L$5,0))+SUMIFS(BetTable[[AR_per_bookie]:[AR_per_bookie]],BetTable[[B2]:[B2]],$K18,BetTable[[Date]:[Date]], "&gt;="&amp;L$5,BetTable[[Date]:[Date]],"&lt;="&amp;EOMONTH(L$5,0))+SUMIFS(BetTable[[AR_per_bookie]:[AR_per_bookie]],BetTable[[B3]:[B3]],$K18,BetTable[[Date]:[Date]], "&gt;="&amp;L$5,BetTable[[Date]:[Date]],"&lt;="&amp;EOMONTH(L$5,0))</f>
        <v>0</v>
      </c>
      <c r="M18" s="186">
        <f>SUMIFS(DWbonus[[Sum]:[Sum]],DWbonus[[Dato]:[Dato]], "&gt;="&amp;M$5,DWbonus[[Dato]:[Dato]],"&lt;="&amp;EOMONTH(M$5,0),DWbonus[[Bookie]:[Bookie]],$K18)+SUMIFS(LayTable[[Faktisk res]:[Faktisk res]],LayTable[[Dato]:[Dato]],"&gt;="&amp;M$5,LayTable[[Dato]:[Dato]],"&lt;="&amp;EOMONTH(M$5,0),LayTable[[Bookmaker]:[Bookmaker]],$K18)+SUMIFS(BetTable[[AR_per_bookie]:[AR_per_bookie]],BetTable[[B1]:[B1]],$K18,BetTable[[Date]:[Date]], "&gt;="&amp;M$5,BetTable[[Date]:[Date]],"&lt;="&amp;EOMONTH(M$5,0))+SUMIFS(BetTable[[AR_per_bookie]:[AR_per_bookie]],BetTable[[B2]:[B2]],$K18,BetTable[[Date]:[Date]], "&gt;="&amp;M$5,BetTable[[Date]:[Date]],"&lt;="&amp;EOMONTH(M$5,0))+SUMIFS(BetTable[[AR_per_bookie]:[AR_per_bookie]],BetTable[[B3]:[B3]],$K18,BetTable[[Date]:[Date]], "&gt;="&amp;M$5,BetTable[[Date]:[Date]],"&lt;="&amp;EOMONTH(M$5,0))</f>
        <v>0</v>
      </c>
      <c r="N18" s="186">
        <f>SUMIFS(DWbonus[[Sum]:[Sum]],DWbonus[[Dato]:[Dato]], "&gt;="&amp;N$5,DWbonus[[Dato]:[Dato]],"&lt;="&amp;EOMONTH(N$5,0),DWbonus[[Bookie]:[Bookie]],$K18)+SUMIFS(LayTable[[Faktisk res]:[Faktisk res]],LayTable[[Dato]:[Dato]],"&gt;="&amp;N$5,LayTable[[Dato]:[Dato]],"&lt;="&amp;EOMONTH(N$5,0),LayTable[[Bookmaker]:[Bookmaker]],$K18)+SUMIFS(BetTable[[AR_per_bookie]:[AR_per_bookie]],BetTable[[B1]:[B1]],$K18,BetTable[[Date]:[Date]], "&gt;="&amp;N$5,BetTable[[Date]:[Date]],"&lt;="&amp;EOMONTH(N$5,0))+SUMIFS(BetTable[[AR_per_bookie]:[AR_per_bookie]],BetTable[[B2]:[B2]],$K18,BetTable[[Date]:[Date]], "&gt;="&amp;N$5,BetTable[[Date]:[Date]],"&lt;="&amp;EOMONTH(N$5,0))+SUMIFS(BetTable[[AR_per_bookie]:[AR_per_bookie]],BetTable[[B3]:[B3]],$K18,BetTable[[Date]:[Date]], "&gt;="&amp;N$5,BetTable[[Date]:[Date]],"&lt;="&amp;EOMONTH(N$5,0))</f>
        <v>0</v>
      </c>
      <c r="O18" s="186">
        <f>SUMIFS(DWbonus[[Sum]:[Sum]],DWbonus[[Dato]:[Dato]], "&gt;="&amp;O$5,DWbonus[[Dato]:[Dato]],"&lt;="&amp;EOMONTH(O$5,0),DWbonus[[Bookie]:[Bookie]],$K18)+SUMIFS(LayTable[[Faktisk res]:[Faktisk res]],LayTable[[Dato]:[Dato]],"&gt;="&amp;O$5,LayTable[[Dato]:[Dato]],"&lt;="&amp;EOMONTH(O$5,0),LayTable[[Bookmaker]:[Bookmaker]],$K18)+SUMIFS(BetTable[[AR_per_bookie]:[AR_per_bookie]],BetTable[[B1]:[B1]],$K18,BetTable[[Date]:[Date]], "&gt;="&amp;O$5,BetTable[[Date]:[Date]],"&lt;="&amp;EOMONTH(O$5,0))+SUMIFS(BetTable[[AR_per_bookie]:[AR_per_bookie]],BetTable[[B2]:[B2]],$K18,BetTable[[Date]:[Date]], "&gt;="&amp;O$5,BetTable[[Date]:[Date]],"&lt;="&amp;EOMONTH(O$5,0))+SUMIFS(BetTable[[AR_per_bookie]:[AR_per_bookie]],BetTable[[B3]:[B3]],$K18,BetTable[[Date]:[Date]], "&gt;="&amp;O$5,BetTable[[Date]:[Date]],"&lt;="&amp;EOMONTH(O$5,0))</f>
        <v>0</v>
      </c>
      <c r="P18" s="186">
        <f>SUMIFS(DWbonus[[Sum]:[Sum]],DWbonus[[Dato]:[Dato]], "&gt;="&amp;P$5,DWbonus[[Dato]:[Dato]],"&lt;="&amp;EOMONTH(P$5,0),DWbonus[[Bookie]:[Bookie]],$K18)+SUMIFS(LayTable[[Faktisk res]:[Faktisk res]],LayTable[[Dato]:[Dato]],"&gt;="&amp;P$5,LayTable[[Dato]:[Dato]],"&lt;="&amp;EOMONTH(P$5,0),LayTable[[Bookmaker]:[Bookmaker]],$K18)+SUMIFS(BetTable[[AR_per_bookie]:[AR_per_bookie]],BetTable[[B1]:[B1]],$K18,BetTable[[Date]:[Date]], "&gt;="&amp;P$5,BetTable[[Date]:[Date]],"&lt;="&amp;EOMONTH(P$5,0))+SUMIFS(BetTable[[AR_per_bookie]:[AR_per_bookie]],BetTable[[B2]:[B2]],$K18,BetTable[[Date]:[Date]], "&gt;="&amp;P$5,BetTable[[Date]:[Date]],"&lt;="&amp;EOMONTH(P$5,0))+SUMIFS(BetTable[[AR_per_bookie]:[AR_per_bookie]],BetTable[[B3]:[B3]],$K18,BetTable[[Date]:[Date]], "&gt;="&amp;P$5,BetTable[[Date]:[Date]],"&lt;="&amp;EOMONTH(P$5,0))</f>
        <v>0</v>
      </c>
      <c r="Q18" s="186">
        <f>SUMIFS(DWbonus[[Sum]:[Sum]],DWbonus[[Dato]:[Dato]], "&gt;="&amp;Q$5,DWbonus[[Dato]:[Dato]],"&lt;="&amp;EOMONTH(Q$5,0),DWbonus[[Bookie]:[Bookie]],$K18)+SUMIFS(LayTable[[Faktisk res]:[Faktisk res]],LayTable[[Dato]:[Dato]],"&gt;="&amp;Q$5,LayTable[[Dato]:[Dato]],"&lt;="&amp;EOMONTH(Q$5,0),LayTable[[Bookmaker]:[Bookmaker]],$K18)+SUMIFS(BetTable[[AR_per_bookie]:[AR_per_bookie]],BetTable[[B1]:[B1]],$K18,BetTable[[Date]:[Date]], "&gt;="&amp;Q$5,BetTable[[Date]:[Date]],"&lt;="&amp;EOMONTH(Q$5,0))+SUMIFS(BetTable[[AR_per_bookie]:[AR_per_bookie]],BetTable[[B2]:[B2]],$K18,BetTable[[Date]:[Date]], "&gt;="&amp;Q$5,BetTable[[Date]:[Date]],"&lt;="&amp;EOMONTH(Q$5,0))+SUMIFS(BetTable[[AR_per_bookie]:[AR_per_bookie]],BetTable[[B3]:[B3]],$K18,BetTable[[Date]:[Date]], "&gt;="&amp;Q$5,BetTable[[Date]:[Date]],"&lt;="&amp;EOMONTH(Q$5,0))</f>
        <v>0</v>
      </c>
      <c r="R18" s="186">
        <f>SUMIFS(DWbonus[[Sum]:[Sum]],DWbonus[[Dato]:[Dato]], "&gt;="&amp;R$5,DWbonus[[Dato]:[Dato]],"&lt;="&amp;EOMONTH(R$5,0),DWbonus[[Bookie]:[Bookie]],$K18)+SUMIFS(LayTable[[Faktisk res]:[Faktisk res]],LayTable[[Dato]:[Dato]],"&gt;="&amp;R$5,LayTable[[Dato]:[Dato]],"&lt;="&amp;EOMONTH(R$5,0),LayTable[[Bookmaker]:[Bookmaker]],$K18)+SUMIFS(BetTable[[AR_per_bookie]:[AR_per_bookie]],BetTable[[B1]:[B1]],$K18,BetTable[[Date]:[Date]], "&gt;="&amp;R$5,BetTable[[Date]:[Date]],"&lt;="&amp;EOMONTH(R$5,0))+SUMIFS(BetTable[[AR_per_bookie]:[AR_per_bookie]],BetTable[[B2]:[B2]],$K18,BetTable[[Date]:[Date]], "&gt;="&amp;R$5,BetTable[[Date]:[Date]],"&lt;="&amp;EOMONTH(R$5,0))+SUMIFS(BetTable[[AR_per_bookie]:[AR_per_bookie]],BetTable[[B3]:[B3]],$K18,BetTable[[Date]:[Date]], "&gt;="&amp;R$5,BetTable[[Date]:[Date]],"&lt;="&amp;EOMONTH(R$5,0))</f>
        <v>0</v>
      </c>
      <c r="S18" s="186">
        <f>SUMIFS(DWbonus[[Sum]:[Sum]],DWbonus[[Dato]:[Dato]], "&gt;="&amp;S$5,DWbonus[[Dato]:[Dato]],"&lt;="&amp;EOMONTH(S$5,0),DWbonus[[Bookie]:[Bookie]],$K18)+SUMIFS(LayTable[[Faktisk res]:[Faktisk res]],LayTable[[Dato]:[Dato]],"&gt;="&amp;S$5,LayTable[[Dato]:[Dato]],"&lt;="&amp;EOMONTH(S$5,0),LayTable[[Bookmaker]:[Bookmaker]],$K18)+SUMIFS(BetTable[[AR_per_bookie]:[AR_per_bookie]],BetTable[[B1]:[B1]],$K18,BetTable[[Date]:[Date]], "&gt;="&amp;S$5,BetTable[[Date]:[Date]],"&lt;="&amp;EOMONTH(S$5,0))+SUMIFS(BetTable[[AR_per_bookie]:[AR_per_bookie]],BetTable[[B2]:[B2]],$K18,BetTable[[Date]:[Date]], "&gt;="&amp;S$5,BetTable[[Date]:[Date]],"&lt;="&amp;EOMONTH(S$5,0))+SUMIFS(BetTable[[AR_per_bookie]:[AR_per_bookie]],BetTable[[B3]:[B3]],$K18,BetTable[[Date]:[Date]], "&gt;="&amp;S$5,BetTable[[Date]:[Date]],"&lt;="&amp;EOMONTH(S$5,0))</f>
        <v>0</v>
      </c>
      <c r="T18" s="186">
        <f>SUMIFS(DWbonus[[Sum]:[Sum]],DWbonus[[Dato]:[Dato]], "&gt;="&amp;T$5,DWbonus[[Dato]:[Dato]],"&lt;="&amp;EOMONTH(T$5,0),DWbonus[[Bookie]:[Bookie]],$K18)+SUMIFS(LayTable[[Faktisk res]:[Faktisk res]],LayTable[[Dato]:[Dato]],"&gt;="&amp;T$5,LayTable[[Dato]:[Dato]],"&lt;="&amp;EOMONTH(T$5,0),LayTable[[Bookmaker]:[Bookmaker]],$K18)+SUMIFS(BetTable[[AR_per_bookie]:[AR_per_bookie]],BetTable[[B1]:[B1]],$K18,BetTable[[Date]:[Date]], "&gt;="&amp;T$5,BetTable[[Date]:[Date]],"&lt;="&amp;EOMONTH(T$5,0))+SUMIFS(BetTable[[AR_per_bookie]:[AR_per_bookie]],BetTable[[B2]:[B2]],$K18,BetTable[[Date]:[Date]], "&gt;="&amp;T$5,BetTable[[Date]:[Date]],"&lt;="&amp;EOMONTH(T$5,0))+SUMIFS(BetTable[[AR_per_bookie]:[AR_per_bookie]],BetTable[[B3]:[B3]],$K18,BetTable[[Date]:[Date]], "&gt;="&amp;T$5,BetTable[[Date]:[Date]],"&lt;="&amp;EOMONTH(T$5,0))</f>
        <v>0</v>
      </c>
      <c r="U18" s="186">
        <f>SUMIFS(DWbonus[[Sum]:[Sum]],DWbonus[[Dato]:[Dato]], "&gt;="&amp;U$5,DWbonus[[Dato]:[Dato]],"&lt;="&amp;EOMONTH(U$5,0),DWbonus[[Bookie]:[Bookie]],$K18)+SUMIFS(LayTable[[Faktisk res]:[Faktisk res]],LayTable[[Dato]:[Dato]],"&gt;="&amp;U$5,LayTable[[Dato]:[Dato]],"&lt;="&amp;EOMONTH(U$5,0),LayTable[[Bookmaker]:[Bookmaker]],$K18)+SUMIFS(BetTable[[AR_per_bookie]:[AR_per_bookie]],BetTable[[B1]:[B1]],$K18,BetTable[[Date]:[Date]], "&gt;="&amp;U$5,BetTable[[Date]:[Date]],"&lt;="&amp;EOMONTH(U$5,0))+SUMIFS(BetTable[[AR_per_bookie]:[AR_per_bookie]],BetTable[[B2]:[B2]],$K18,BetTable[[Date]:[Date]], "&gt;="&amp;U$5,BetTable[[Date]:[Date]],"&lt;="&amp;EOMONTH(U$5,0))+SUMIFS(BetTable[[AR_per_bookie]:[AR_per_bookie]],BetTable[[B3]:[B3]],$K18,BetTable[[Date]:[Date]], "&gt;="&amp;U$5,BetTable[[Date]:[Date]],"&lt;="&amp;EOMONTH(U$5,0))</f>
        <v>0</v>
      </c>
      <c r="V18" s="186">
        <f>SUMIFS(DWbonus[[Sum]:[Sum]],DWbonus[[Dato]:[Dato]], "&gt;="&amp;V$5,DWbonus[[Dato]:[Dato]],"&lt;="&amp;EOMONTH(V$5,0),DWbonus[[Bookie]:[Bookie]],$K18)+SUMIFS(LayTable[[Faktisk res]:[Faktisk res]],LayTable[[Dato]:[Dato]],"&gt;="&amp;V$5,LayTable[[Dato]:[Dato]],"&lt;="&amp;EOMONTH(V$5,0),LayTable[[Bookmaker]:[Bookmaker]],$K18)+SUMIFS(BetTable[[AR_per_bookie]:[AR_per_bookie]],BetTable[[B1]:[B1]],$K18,BetTable[[Date]:[Date]], "&gt;="&amp;V$5,BetTable[[Date]:[Date]],"&lt;="&amp;EOMONTH(V$5,0))+SUMIFS(BetTable[[AR_per_bookie]:[AR_per_bookie]],BetTable[[B2]:[B2]],$K18,BetTable[[Date]:[Date]], "&gt;="&amp;V$5,BetTable[[Date]:[Date]],"&lt;="&amp;EOMONTH(V$5,0))+SUMIFS(BetTable[[AR_per_bookie]:[AR_per_bookie]],BetTable[[B3]:[B3]],$K18,BetTable[[Date]:[Date]], "&gt;="&amp;V$5,BetTable[[Date]:[Date]],"&lt;="&amp;EOMONTH(V$5,0))</f>
        <v>0</v>
      </c>
      <c r="W18" s="186">
        <f>SUMIFS(DWbonus[[Sum]:[Sum]],DWbonus[[Dato]:[Dato]], "&gt;="&amp;W$5,DWbonus[[Dato]:[Dato]],"&lt;="&amp;EOMONTH(W$5,0),DWbonus[[Bookie]:[Bookie]],$K18)+SUMIFS(LayTable[[Faktisk res]:[Faktisk res]],LayTable[[Dato]:[Dato]],"&gt;="&amp;W$5,LayTable[[Dato]:[Dato]],"&lt;="&amp;EOMONTH(W$5,0),LayTable[[Bookmaker]:[Bookmaker]],$K18)+SUMIFS(BetTable[[AR_per_bookie]:[AR_per_bookie]],BetTable[[B1]:[B1]],$K18,BetTable[[Date]:[Date]], "&gt;="&amp;W$5,BetTable[[Date]:[Date]],"&lt;="&amp;EOMONTH(W$5,0))+SUMIFS(BetTable[[AR_per_bookie]:[AR_per_bookie]],BetTable[[B2]:[B2]],$K18,BetTable[[Date]:[Date]], "&gt;="&amp;W$5,BetTable[[Date]:[Date]],"&lt;="&amp;EOMONTH(W$5,0))+SUMIFS(BetTable[[AR_per_bookie]:[AR_per_bookie]],BetTable[[B3]:[B3]],$K18,BetTable[[Date]:[Date]], "&gt;="&amp;W$5,BetTable[[Date]:[Date]],"&lt;="&amp;EOMONTH(W$5,0))</f>
        <v>0</v>
      </c>
    </row>
    <row r="19" spans="1:23">
      <c r="A19" s="70" t="s">
        <v>396</v>
      </c>
      <c r="B19" s="161">
        <f>SUM(B6:B17)</f>
        <v>-2030</v>
      </c>
      <c r="C19" s="161">
        <f>SUM(C6:C17)</f>
        <v>0</v>
      </c>
      <c r="D19" s="161">
        <f>SUM(D6:D17)</f>
        <v>-500</v>
      </c>
      <c r="E19" s="161">
        <f>SUM(E6:E17)</f>
        <v>6830</v>
      </c>
      <c r="F19" s="161">
        <f>SUM(F6:F17)</f>
        <v>-7330</v>
      </c>
      <c r="K19" s="174" t="str">
        <f t="array" ref="K19">IFERROR(INDEX(BookieNavn!H$2:H$1251,SMALL(IF(EXACT(LEFT(BookieNavn!H$2:H$1251,2),M$3),ROW(BookieNavn!H$2:H$1251)-ROW(BookieNavn!H$2)+1),ROWS(BookieNavn!H$2:'BookieNavn'!H14))),"")</f>
        <v>LiMrGreen</v>
      </c>
      <c r="L19" s="186">
        <f>SUMIFS(DWbonus[[Sum]:[Sum]],DWbonus[[Dato]:[Dato]], "&gt;="&amp;L$5,DWbonus[[Dato]:[Dato]],"&lt;="&amp;EOMONTH(L$5,0),DWbonus[[Bookie]:[Bookie]],$K19)+SUMIFS(LayTable[[Faktisk res]:[Faktisk res]],LayTable[[Dato]:[Dato]],"&gt;="&amp;L$5,LayTable[[Dato]:[Dato]],"&lt;="&amp;EOMONTH(L$5,0),LayTable[[Bookmaker]:[Bookmaker]],$K19)+SUMIFS(BetTable[[AR_per_bookie]:[AR_per_bookie]],BetTable[[B1]:[B1]],$K19,BetTable[[Date]:[Date]], "&gt;="&amp;L$5,BetTable[[Date]:[Date]],"&lt;="&amp;EOMONTH(L$5,0))+SUMIFS(BetTable[[AR_per_bookie]:[AR_per_bookie]],BetTable[[B2]:[B2]],$K19,BetTable[[Date]:[Date]], "&gt;="&amp;L$5,BetTable[[Date]:[Date]],"&lt;="&amp;EOMONTH(L$5,0))+SUMIFS(BetTable[[AR_per_bookie]:[AR_per_bookie]],BetTable[[B3]:[B3]],$K19,BetTable[[Date]:[Date]], "&gt;="&amp;L$5,BetTable[[Date]:[Date]],"&lt;="&amp;EOMONTH(L$5,0))</f>
        <v>0</v>
      </c>
      <c r="M19" s="186">
        <f>SUMIFS(DWbonus[[Sum]:[Sum]],DWbonus[[Dato]:[Dato]], "&gt;="&amp;M$5,DWbonus[[Dato]:[Dato]],"&lt;="&amp;EOMONTH(M$5,0),DWbonus[[Bookie]:[Bookie]],$K19)+SUMIFS(LayTable[[Faktisk res]:[Faktisk res]],LayTable[[Dato]:[Dato]],"&gt;="&amp;M$5,LayTable[[Dato]:[Dato]],"&lt;="&amp;EOMONTH(M$5,0),LayTable[[Bookmaker]:[Bookmaker]],$K19)+SUMIFS(BetTable[[AR_per_bookie]:[AR_per_bookie]],BetTable[[B1]:[B1]],$K19,BetTable[[Date]:[Date]], "&gt;="&amp;M$5,BetTable[[Date]:[Date]],"&lt;="&amp;EOMONTH(M$5,0))+SUMIFS(BetTable[[AR_per_bookie]:[AR_per_bookie]],BetTable[[B2]:[B2]],$K19,BetTable[[Date]:[Date]], "&gt;="&amp;M$5,BetTable[[Date]:[Date]],"&lt;="&amp;EOMONTH(M$5,0))+SUMIFS(BetTable[[AR_per_bookie]:[AR_per_bookie]],BetTable[[B3]:[B3]],$K19,BetTable[[Date]:[Date]], "&gt;="&amp;M$5,BetTable[[Date]:[Date]],"&lt;="&amp;EOMONTH(M$5,0))</f>
        <v>0</v>
      </c>
      <c r="N19" s="186">
        <f>SUMIFS(DWbonus[[Sum]:[Sum]],DWbonus[[Dato]:[Dato]], "&gt;="&amp;N$5,DWbonus[[Dato]:[Dato]],"&lt;="&amp;EOMONTH(N$5,0),DWbonus[[Bookie]:[Bookie]],$K19)+SUMIFS(LayTable[[Faktisk res]:[Faktisk res]],LayTable[[Dato]:[Dato]],"&gt;="&amp;N$5,LayTable[[Dato]:[Dato]],"&lt;="&amp;EOMONTH(N$5,0),LayTable[[Bookmaker]:[Bookmaker]],$K19)+SUMIFS(BetTable[[AR_per_bookie]:[AR_per_bookie]],BetTable[[B1]:[B1]],$K19,BetTable[[Date]:[Date]], "&gt;="&amp;N$5,BetTable[[Date]:[Date]],"&lt;="&amp;EOMONTH(N$5,0))+SUMIFS(BetTable[[AR_per_bookie]:[AR_per_bookie]],BetTable[[B2]:[B2]],$K19,BetTable[[Date]:[Date]], "&gt;="&amp;N$5,BetTable[[Date]:[Date]],"&lt;="&amp;EOMONTH(N$5,0))+SUMIFS(BetTable[[AR_per_bookie]:[AR_per_bookie]],BetTable[[B3]:[B3]],$K19,BetTable[[Date]:[Date]], "&gt;="&amp;N$5,BetTable[[Date]:[Date]],"&lt;="&amp;EOMONTH(N$5,0))</f>
        <v>0</v>
      </c>
      <c r="O19" s="186">
        <f>SUMIFS(DWbonus[[Sum]:[Sum]],DWbonus[[Dato]:[Dato]], "&gt;="&amp;O$5,DWbonus[[Dato]:[Dato]],"&lt;="&amp;EOMONTH(O$5,0),DWbonus[[Bookie]:[Bookie]],$K19)+SUMIFS(LayTable[[Faktisk res]:[Faktisk res]],LayTable[[Dato]:[Dato]],"&gt;="&amp;O$5,LayTable[[Dato]:[Dato]],"&lt;="&amp;EOMONTH(O$5,0),LayTable[[Bookmaker]:[Bookmaker]],$K19)+SUMIFS(BetTable[[AR_per_bookie]:[AR_per_bookie]],BetTable[[B1]:[B1]],$K19,BetTable[[Date]:[Date]], "&gt;="&amp;O$5,BetTable[[Date]:[Date]],"&lt;="&amp;EOMONTH(O$5,0))+SUMIFS(BetTable[[AR_per_bookie]:[AR_per_bookie]],BetTable[[B2]:[B2]],$K19,BetTable[[Date]:[Date]], "&gt;="&amp;O$5,BetTable[[Date]:[Date]],"&lt;="&amp;EOMONTH(O$5,0))+SUMIFS(BetTable[[AR_per_bookie]:[AR_per_bookie]],BetTable[[B3]:[B3]],$K19,BetTable[[Date]:[Date]], "&gt;="&amp;O$5,BetTable[[Date]:[Date]],"&lt;="&amp;EOMONTH(O$5,0))</f>
        <v>0</v>
      </c>
      <c r="P19" s="186">
        <f>SUMIFS(DWbonus[[Sum]:[Sum]],DWbonus[[Dato]:[Dato]], "&gt;="&amp;P$5,DWbonus[[Dato]:[Dato]],"&lt;="&amp;EOMONTH(P$5,0),DWbonus[[Bookie]:[Bookie]],$K19)+SUMIFS(LayTable[[Faktisk res]:[Faktisk res]],LayTable[[Dato]:[Dato]],"&gt;="&amp;P$5,LayTable[[Dato]:[Dato]],"&lt;="&amp;EOMONTH(P$5,0),LayTable[[Bookmaker]:[Bookmaker]],$K19)+SUMIFS(BetTable[[AR_per_bookie]:[AR_per_bookie]],BetTable[[B1]:[B1]],$K19,BetTable[[Date]:[Date]], "&gt;="&amp;P$5,BetTable[[Date]:[Date]],"&lt;="&amp;EOMONTH(P$5,0))+SUMIFS(BetTable[[AR_per_bookie]:[AR_per_bookie]],BetTable[[B2]:[B2]],$K19,BetTable[[Date]:[Date]], "&gt;="&amp;P$5,BetTable[[Date]:[Date]],"&lt;="&amp;EOMONTH(P$5,0))+SUMIFS(BetTable[[AR_per_bookie]:[AR_per_bookie]],BetTable[[B3]:[B3]],$K19,BetTable[[Date]:[Date]], "&gt;="&amp;P$5,BetTable[[Date]:[Date]],"&lt;="&amp;EOMONTH(P$5,0))</f>
        <v>0</v>
      </c>
      <c r="Q19" s="186">
        <f>SUMIFS(DWbonus[[Sum]:[Sum]],DWbonus[[Dato]:[Dato]], "&gt;="&amp;Q$5,DWbonus[[Dato]:[Dato]],"&lt;="&amp;EOMONTH(Q$5,0),DWbonus[[Bookie]:[Bookie]],$K19)+SUMIFS(LayTable[[Faktisk res]:[Faktisk res]],LayTable[[Dato]:[Dato]],"&gt;="&amp;Q$5,LayTable[[Dato]:[Dato]],"&lt;="&amp;EOMONTH(Q$5,0),LayTable[[Bookmaker]:[Bookmaker]],$K19)+SUMIFS(BetTable[[AR_per_bookie]:[AR_per_bookie]],BetTable[[B1]:[B1]],$K19,BetTable[[Date]:[Date]], "&gt;="&amp;Q$5,BetTable[[Date]:[Date]],"&lt;="&amp;EOMONTH(Q$5,0))+SUMIFS(BetTable[[AR_per_bookie]:[AR_per_bookie]],BetTable[[B2]:[B2]],$K19,BetTable[[Date]:[Date]], "&gt;="&amp;Q$5,BetTable[[Date]:[Date]],"&lt;="&amp;EOMONTH(Q$5,0))+SUMIFS(BetTable[[AR_per_bookie]:[AR_per_bookie]],BetTable[[B3]:[B3]],$K19,BetTable[[Date]:[Date]], "&gt;="&amp;Q$5,BetTable[[Date]:[Date]],"&lt;="&amp;EOMONTH(Q$5,0))</f>
        <v>0</v>
      </c>
      <c r="R19" s="186">
        <f>SUMIFS(DWbonus[[Sum]:[Sum]],DWbonus[[Dato]:[Dato]], "&gt;="&amp;R$5,DWbonus[[Dato]:[Dato]],"&lt;="&amp;EOMONTH(R$5,0),DWbonus[[Bookie]:[Bookie]],$K19)+SUMIFS(LayTable[[Faktisk res]:[Faktisk res]],LayTable[[Dato]:[Dato]],"&gt;="&amp;R$5,LayTable[[Dato]:[Dato]],"&lt;="&amp;EOMONTH(R$5,0),LayTable[[Bookmaker]:[Bookmaker]],$K19)+SUMIFS(BetTable[[AR_per_bookie]:[AR_per_bookie]],BetTable[[B1]:[B1]],$K19,BetTable[[Date]:[Date]], "&gt;="&amp;R$5,BetTable[[Date]:[Date]],"&lt;="&amp;EOMONTH(R$5,0))+SUMIFS(BetTable[[AR_per_bookie]:[AR_per_bookie]],BetTable[[B2]:[B2]],$K19,BetTable[[Date]:[Date]], "&gt;="&amp;R$5,BetTable[[Date]:[Date]],"&lt;="&amp;EOMONTH(R$5,0))+SUMIFS(BetTable[[AR_per_bookie]:[AR_per_bookie]],BetTable[[B3]:[B3]],$K19,BetTable[[Date]:[Date]], "&gt;="&amp;R$5,BetTable[[Date]:[Date]],"&lt;="&amp;EOMONTH(R$5,0))</f>
        <v>0</v>
      </c>
      <c r="S19" s="186">
        <f>SUMIFS(DWbonus[[Sum]:[Sum]],DWbonus[[Dato]:[Dato]], "&gt;="&amp;S$5,DWbonus[[Dato]:[Dato]],"&lt;="&amp;EOMONTH(S$5,0),DWbonus[[Bookie]:[Bookie]],$K19)+SUMIFS(LayTable[[Faktisk res]:[Faktisk res]],LayTable[[Dato]:[Dato]],"&gt;="&amp;S$5,LayTable[[Dato]:[Dato]],"&lt;="&amp;EOMONTH(S$5,0),LayTable[[Bookmaker]:[Bookmaker]],$K19)+SUMIFS(BetTable[[AR_per_bookie]:[AR_per_bookie]],BetTable[[B1]:[B1]],$K19,BetTable[[Date]:[Date]], "&gt;="&amp;S$5,BetTable[[Date]:[Date]],"&lt;="&amp;EOMONTH(S$5,0))+SUMIFS(BetTable[[AR_per_bookie]:[AR_per_bookie]],BetTable[[B2]:[B2]],$K19,BetTable[[Date]:[Date]], "&gt;="&amp;S$5,BetTable[[Date]:[Date]],"&lt;="&amp;EOMONTH(S$5,0))+SUMIFS(BetTable[[AR_per_bookie]:[AR_per_bookie]],BetTable[[B3]:[B3]],$K19,BetTable[[Date]:[Date]], "&gt;="&amp;S$5,BetTable[[Date]:[Date]],"&lt;="&amp;EOMONTH(S$5,0))</f>
        <v>0</v>
      </c>
      <c r="T19" s="186">
        <f>SUMIFS(DWbonus[[Sum]:[Sum]],DWbonus[[Dato]:[Dato]], "&gt;="&amp;T$5,DWbonus[[Dato]:[Dato]],"&lt;="&amp;EOMONTH(T$5,0),DWbonus[[Bookie]:[Bookie]],$K19)+SUMIFS(LayTable[[Faktisk res]:[Faktisk res]],LayTable[[Dato]:[Dato]],"&gt;="&amp;T$5,LayTable[[Dato]:[Dato]],"&lt;="&amp;EOMONTH(T$5,0),LayTable[[Bookmaker]:[Bookmaker]],$K19)+SUMIFS(BetTable[[AR_per_bookie]:[AR_per_bookie]],BetTable[[B1]:[B1]],$K19,BetTable[[Date]:[Date]], "&gt;="&amp;T$5,BetTable[[Date]:[Date]],"&lt;="&amp;EOMONTH(T$5,0))+SUMIFS(BetTable[[AR_per_bookie]:[AR_per_bookie]],BetTable[[B2]:[B2]],$K19,BetTable[[Date]:[Date]], "&gt;="&amp;T$5,BetTable[[Date]:[Date]],"&lt;="&amp;EOMONTH(T$5,0))+SUMIFS(BetTable[[AR_per_bookie]:[AR_per_bookie]],BetTable[[B3]:[B3]],$K19,BetTable[[Date]:[Date]], "&gt;="&amp;T$5,BetTable[[Date]:[Date]],"&lt;="&amp;EOMONTH(T$5,0))</f>
        <v>0</v>
      </c>
      <c r="U19" s="186">
        <f>SUMIFS(DWbonus[[Sum]:[Sum]],DWbonus[[Dato]:[Dato]], "&gt;="&amp;U$5,DWbonus[[Dato]:[Dato]],"&lt;="&amp;EOMONTH(U$5,0),DWbonus[[Bookie]:[Bookie]],$K19)+SUMIFS(LayTable[[Faktisk res]:[Faktisk res]],LayTable[[Dato]:[Dato]],"&gt;="&amp;U$5,LayTable[[Dato]:[Dato]],"&lt;="&amp;EOMONTH(U$5,0),LayTable[[Bookmaker]:[Bookmaker]],$K19)+SUMIFS(BetTable[[AR_per_bookie]:[AR_per_bookie]],BetTable[[B1]:[B1]],$K19,BetTable[[Date]:[Date]], "&gt;="&amp;U$5,BetTable[[Date]:[Date]],"&lt;="&amp;EOMONTH(U$5,0))+SUMIFS(BetTable[[AR_per_bookie]:[AR_per_bookie]],BetTable[[B2]:[B2]],$K19,BetTable[[Date]:[Date]], "&gt;="&amp;U$5,BetTable[[Date]:[Date]],"&lt;="&amp;EOMONTH(U$5,0))+SUMIFS(BetTable[[AR_per_bookie]:[AR_per_bookie]],BetTable[[B3]:[B3]],$K19,BetTable[[Date]:[Date]], "&gt;="&amp;U$5,BetTable[[Date]:[Date]],"&lt;="&amp;EOMONTH(U$5,0))</f>
        <v>0</v>
      </c>
      <c r="V19" s="186">
        <f>SUMIFS(DWbonus[[Sum]:[Sum]],DWbonus[[Dato]:[Dato]], "&gt;="&amp;V$5,DWbonus[[Dato]:[Dato]],"&lt;="&amp;EOMONTH(V$5,0),DWbonus[[Bookie]:[Bookie]],$K19)+SUMIFS(LayTable[[Faktisk res]:[Faktisk res]],LayTable[[Dato]:[Dato]],"&gt;="&amp;V$5,LayTable[[Dato]:[Dato]],"&lt;="&amp;EOMONTH(V$5,0),LayTable[[Bookmaker]:[Bookmaker]],$K19)+SUMIFS(BetTable[[AR_per_bookie]:[AR_per_bookie]],BetTable[[B1]:[B1]],$K19,BetTable[[Date]:[Date]], "&gt;="&amp;V$5,BetTable[[Date]:[Date]],"&lt;="&amp;EOMONTH(V$5,0))+SUMIFS(BetTable[[AR_per_bookie]:[AR_per_bookie]],BetTable[[B2]:[B2]],$K19,BetTable[[Date]:[Date]], "&gt;="&amp;V$5,BetTable[[Date]:[Date]],"&lt;="&amp;EOMONTH(V$5,0))+SUMIFS(BetTable[[AR_per_bookie]:[AR_per_bookie]],BetTable[[B3]:[B3]],$K19,BetTable[[Date]:[Date]], "&gt;="&amp;V$5,BetTable[[Date]:[Date]],"&lt;="&amp;EOMONTH(V$5,0))</f>
        <v>0</v>
      </c>
      <c r="W19" s="186">
        <f>SUMIFS(DWbonus[[Sum]:[Sum]],DWbonus[[Dato]:[Dato]], "&gt;="&amp;W$5,DWbonus[[Dato]:[Dato]],"&lt;="&amp;EOMONTH(W$5,0),DWbonus[[Bookie]:[Bookie]],$K19)+SUMIFS(LayTable[[Faktisk res]:[Faktisk res]],LayTable[[Dato]:[Dato]],"&gt;="&amp;W$5,LayTable[[Dato]:[Dato]],"&lt;="&amp;EOMONTH(W$5,0),LayTable[[Bookmaker]:[Bookmaker]],$K19)+SUMIFS(BetTable[[AR_per_bookie]:[AR_per_bookie]],BetTable[[B1]:[B1]],$K19,BetTable[[Date]:[Date]], "&gt;="&amp;W$5,BetTable[[Date]:[Date]],"&lt;="&amp;EOMONTH(W$5,0))+SUMIFS(BetTable[[AR_per_bookie]:[AR_per_bookie]],BetTable[[B2]:[B2]],$K19,BetTable[[Date]:[Date]], "&gt;="&amp;W$5,BetTable[[Date]:[Date]],"&lt;="&amp;EOMONTH(W$5,0))+SUMIFS(BetTable[[AR_per_bookie]:[AR_per_bookie]],BetTable[[B3]:[B3]],$K19,BetTable[[Date]:[Date]], "&gt;="&amp;W$5,BetTable[[Date]:[Date]],"&lt;="&amp;EOMONTH(W$5,0))</f>
        <v>0</v>
      </c>
    </row>
    <row r="20" spans="1:23">
      <c r="K20" s="174" t="str">
        <f t="array" ref="K20">IFERROR(INDEX(BookieNavn!H$2:H$1251,SMALL(IF(EXACT(LEFT(BookieNavn!H$2:H$1251,2),M$3),ROW(BookieNavn!H$2:H$1251)-ROW(BookieNavn!H$2)+1),ROWS(BookieNavn!H$2:'BookieNavn'!H15))),"")</f>
        <v/>
      </c>
      <c r="L20" s="186">
        <f>SUMIFS(DWbonus[[Sum]:[Sum]],DWbonus[[Dato]:[Dato]], "&gt;="&amp;L$5,DWbonus[[Dato]:[Dato]],"&lt;="&amp;EOMONTH(L$5,0),DWbonus[[Bookie]:[Bookie]],$K20)+SUMIFS(LayTable[[Faktisk res]:[Faktisk res]],LayTable[[Dato]:[Dato]],"&gt;="&amp;L$5,LayTable[[Dato]:[Dato]],"&lt;="&amp;EOMONTH(L$5,0),LayTable[[Bookmaker]:[Bookmaker]],$K20)+SUMIFS(BetTable[[AR_per_bookie]:[AR_per_bookie]],BetTable[[B1]:[B1]],$K20,BetTable[[Date]:[Date]], "&gt;="&amp;L$5,BetTable[[Date]:[Date]],"&lt;="&amp;EOMONTH(L$5,0))+SUMIFS(BetTable[[AR_per_bookie]:[AR_per_bookie]],BetTable[[B2]:[B2]],$K20,BetTable[[Date]:[Date]], "&gt;="&amp;L$5,BetTable[[Date]:[Date]],"&lt;="&amp;EOMONTH(L$5,0))+SUMIFS(BetTable[[AR_per_bookie]:[AR_per_bookie]],BetTable[[B3]:[B3]],$K20,BetTable[[Date]:[Date]], "&gt;="&amp;L$5,BetTable[[Date]:[Date]],"&lt;="&amp;EOMONTH(L$5,0))</f>
        <v>0</v>
      </c>
      <c r="M20" s="186">
        <f>SUMIFS(DWbonus[[Sum]:[Sum]],DWbonus[[Dato]:[Dato]], "&gt;="&amp;M$5,DWbonus[[Dato]:[Dato]],"&lt;="&amp;EOMONTH(M$5,0),DWbonus[[Bookie]:[Bookie]],$K20)+SUMIFS(LayTable[[Faktisk res]:[Faktisk res]],LayTable[[Dato]:[Dato]],"&gt;="&amp;M$5,LayTable[[Dato]:[Dato]],"&lt;="&amp;EOMONTH(M$5,0),LayTable[[Bookmaker]:[Bookmaker]],$K20)+SUMIFS(BetTable[[AR_per_bookie]:[AR_per_bookie]],BetTable[[B1]:[B1]],$K20,BetTable[[Date]:[Date]], "&gt;="&amp;M$5,BetTable[[Date]:[Date]],"&lt;="&amp;EOMONTH(M$5,0))+SUMIFS(BetTable[[AR_per_bookie]:[AR_per_bookie]],BetTable[[B2]:[B2]],$K20,BetTable[[Date]:[Date]], "&gt;="&amp;M$5,BetTable[[Date]:[Date]],"&lt;="&amp;EOMONTH(M$5,0))+SUMIFS(BetTable[[AR_per_bookie]:[AR_per_bookie]],BetTable[[B3]:[B3]],$K20,BetTable[[Date]:[Date]], "&gt;="&amp;M$5,BetTable[[Date]:[Date]],"&lt;="&amp;EOMONTH(M$5,0))</f>
        <v>0</v>
      </c>
      <c r="N20" s="186">
        <f>SUMIFS(DWbonus[[Sum]:[Sum]],DWbonus[[Dato]:[Dato]], "&gt;="&amp;N$5,DWbonus[[Dato]:[Dato]],"&lt;="&amp;EOMONTH(N$5,0),DWbonus[[Bookie]:[Bookie]],$K20)+SUMIFS(LayTable[[Faktisk res]:[Faktisk res]],LayTable[[Dato]:[Dato]],"&gt;="&amp;N$5,LayTable[[Dato]:[Dato]],"&lt;="&amp;EOMONTH(N$5,0),LayTable[[Bookmaker]:[Bookmaker]],$K20)+SUMIFS(BetTable[[AR_per_bookie]:[AR_per_bookie]],BetTable[[B1]:[B1]],$K20,BetTable[[Date]:[Date]], "&gt;="&amp;N$5,BetTable[[Date]:[Date]],"&lt;="&amp;EOMONTH(N$5,0))+SUMIFS(BetTable[[AR_per_bookie]:[AR_per_bookie]],BetTable[[B2]:[B2]],$K20,BetTable[[Date]:[Date]], "&gt;="&amp;N$5,BetTable[[Date]:[Date]],"&lt;="&amp;EOMONTH(N$5,0))+SUMIFS(BetTable[[AR_per_bookie]:[AR_per_bookie]],BetTable[[B3]:[B3]],$K20,BetTable[[Date]:[Date]], "&gt;="&amp;N$5,BetTable[[Date]:[Date]],"&lt;="&amp;EOMONTH(N$5,0))</f>
        <v>0</v>
      </c>
      <c r="O20" s="186">
        <f>SUMIFS(DWbonus[[Sum]:[Sum]],DWbonus[[Dato]:[Dato]], "&gt;="&amp;O$5,DWbonus[[Dato]:[Dato]],"&lt;="&amp;EOMONTH(O$5,0),DWbonus[[Bookie]:[Bookie]],$K20)+SUMIFS(LayTable[[Faktisk res]:[Faktisk res]],LayTable[[Dato]:[Dato]],"&gt;="&amp;O$5,LayTable[[Dato]:[Dato]],"&lt;="&amp;EOMONTH(O$5,0),LayTable[[Bookmaker]:[Bookmaker]],$K20)+SUMIFS(BetTable[[AR_per_bookie]:[AR_per_bookie]],BetTable[[B1]:[B1]],$K20,BetTable[[Date]:[Date]], "&gt;="&amp;O$5,BetTable[[Date]:[Date]],"&lt;="&amp;EOMONTH(O$5,0))+SUMIFS(BetTable[[AR_per_bookie]:[AR_per_bookie]],BetTable[[B2]:[B2]],$K20,BetTable[[Date]:[Date]], "&gt;="&amp;O$5,BetTable[[Date]:[Date]],"&lt;="&amp;EOMONTH(O$5,0))+SUMIFS(BetTable[[AR_per_bookie]:[AR_per_bookie]],BetTable[[B3]:[B3]],$K20,BetTable[[Date]:[Date]], "&gt;="&amp;O$5,BetTable[[Date]:[Date]],"&lt;="&amp;EOMONTH(O$5,0))</f>
        <v>0</v>
      </c>
      <c r="P20" s="186">
        <f>SUMIFS(DWbonus[[Sum]:[Sum]],DWbonus[[Dato]:[Dato]], "&gt;="&amp;P$5,DWbonus[[Dato]:[Dato]],"&lt;="&amp;EOMONTH(P$5,0),DWbonus[[Bookie]:[Bookie]],$K20)+SUMIFS(LayTable[[Faktisk res]:[Faktisk res]],LayTable[[Dato]:[Dato]],"&gt;="&amp;P$5,LayTable[[Dato]:[Dato]],"&lt;="&amp;EOMONTH(P$5,0),LayTable[[Bookmaker]:[Bookmaker]],$K20)+SUMIFS(BetTable[[AR_per_bookie]:[AR_per_bookie]],BetTable[[B1]:[B1]],$K20,BetTable[[Date]:[Date]], "&gt;="&amp;P$5,BetTable[[Date]:[Date]],"&lt;="&amp;EOMONTH(P$5,0))+SUMIFS(BetTable[[AR_per_bookie]:[AR_per_bookie]],BetTable[[B2]:[B2]],$K20,BetTable[[Date]:[Date]], "&gt;="&amp;P$5,BetTable[[Date]:[Date]],"&lt;="&amp;EOMONTH(P$5,0))+SUMIFS(BetTable[[AR_per_bookie]:[AR_per_bookie]],BetTable[[B3]:[B3]],$K20,BetTable[[Date]:[Date]], "&gt;="&amp;P$5,BetTable[[Date]:[Date]],"&lt;="&amp;EOMONTH(P$5,0))</f>
        <v>0</v>
      </c>
      <c r="Q20" s="186">
        <f>SUMIFS(DWbonus[[Sum]:[Sum]],DWbonus[[Dato]:[Dato]], "&gt;="&amp;Q$5,DWbonus[[Dato]:[Dato]],"&lt;="&amp;EOMONTH(Q$5,0),DWbonus[[Bookie]:[Bookie]],$K20)+SUMIFS(LayTable[[Faktisk res]:[Faktisk res]],LayTable[[Dato]:[Dato]],"&gt;="&amp;Q$5,LayTable[[Dato]:[Dato]],"&lt;="&amp;EOMONTH(Q$5,0),LayTable[[Bookmaker]:[Bookmaker]],$K20)+SUMIFS(BetTable[[AR_per_bookie]:[AR_per_bookie]],BetTable[[B1]:[B1]],$K20,BetTable[[Date]:[Date]], "&gt;="&amp;Q$5,BetTable[[Date]:[Date]],"&lt;="&amp;EOMONTH(Q$5,0))+SUMIFS(BetTable[[AR_per_bookie]:[AR_per_bookie]],BetTable[[B2]:[B2]],$K20,BetTable[[Date]:[Date]], "&gt;="&amp;Q$5,BetTable[[Date]:[Date]],"&lt;="&amp;EOMONTH(Q$5,0))+SUMIFS(BetTable[[AR_per_bookie]:[AR_per_bookie]],BetTable[[B3]:[B3]],$K20,BetTable[[Date]:[Date]], "&gt;="&amp;Q$5,BetTable[[Date]:[Date]],"&lt;="&amp;EOMONTH(Q$5,0))</f>
        <v>0</v>
      </c>
      <c r="R20" s="186">
        <f>SUMIFS(DWbonus[[Sum]:[Sum]],DWbonus[[Dato]:[Dato]], "&gt;="&amp;R$5,DWbonus[[Dato]:[Dato]],"&lt;="&amp;EOMONTH(R$5,0),DWbonus[[Bookie]:[Bookie]],$K20)+SUMIFS(LayTable[[Faktisk res]:[Faktisk res]],LayTable[[Dato]:[Dato]],"&gt;="&amp;R$5,LayTable[[Dato]:[Dato]],"&lt;="&amp;EOMONTH(R$5,0),LayTable[[Bookmaker]:[Bookmaker]],$K20)+SUMIFS(BetTable[[AR_per_bookie]:[AR_per_bookie]],BetTable[[B1]:[B1]],$K20,BetTable[[Date]:[Date]], "&gt;="&amp;R$5,BetTable[[Date]:[Date]],"&lt;="&amp;EOMONTH(R$5,0))+SUMIFS(BetTable[[AR_per_bookie]:[AR_per_bookie]],BetTable[[B2]:[B2]],$K20,BetTable[[Date]:[Date]], "&gt;="&amp;R$5,BetTable[[Date]:[Date]],"&lt;="&amp;EOMONTH(R$5,0))+SUMIFS(BetTable[[AR_per_bookie]:[AR_per_bookie]],BetTable[[B3]:[B3]],$K20,BetTable[[Date]:[Date]], "&gt;="&amp;R$5,BetTable[[Date]:[Date]],"&lt;="&amp;EOMONTH(R$5,0))</f>
        <v>0</v>
      </c>
      <c r="S20" s="186">
        <f>SUMIFS(DWbonus[[Sum]:[Sum]],DWbonus[[Dato]:[Dato]], "&gt;="&amp;S$5,DWbonus[[Dato]:[Dato]],"&lt;="&amp;EOMONTH(S$5,0),DWbonus[[Bookie]:[Bookie]],$K20)+SUMIFS(LayTable[[Faktisk res]:[Faktisk res]],LayTable[[Dato]:[Dato]],"&gt;="&amp;S$5,LayTable[[Dato]:[Dato]],"&lt;="&amp;EOMONTH(S$5,0),LayTable[[Bookmaker]:[Bookmaker]],$K20)+SUMIFS(BetTable[[AR_per_bookie]:[AR_per_bookie]],BetTable[[B1]:[B1]],$K20,BetTable[[Date]:[Date]], "&gt;="&amp;S$5,BetTable[[Date]:[Date]],"&lt;="&amp;EOMONTH(S$5,0))+SUMIFS(BetTable[[AR_per_bookie]:[AR_per_bookie]],BetTable[[B2]:[B2]],$K20,BetTable[[Date]:[Date]], "&gt;="&amp;S$5,BetTable[[Date]:[Date]],"&lt;="&amp;EOMONTH(S$5,0))+SUMIFS(BetTable[[AR_per_bookie]:[AR_per_bookie]],BetTable[[B3]:[B3]],$K20,BetTable[[Date]:[Date]], "&gt;="&amp;S$5,BetTable[[Date]:[Date]],"&lt;="&amp;EOMONTH(S$5,0))</f>
        <v>0</v>
      </c>
      <c r="T20" s="186">
        <f>SUMIFS(DWbonus[[Sum]:[Sum]],DWbonus[[Dato]:[Dato]], "&gt;="&amp;T$5,DWbonus[[Dato]:[Dato]],"&lt;="&amp;EOMONTH(T$5,0),DWbonus[[Bookie]:[Bookie]],$K20)+SUMIFS(LayTable[[Faktisk res]:[Faktisk res]],LayTable[[Dato]:[Dato]],"&gt;="&amp;T$5,LayTable[[Dato]:[Dato]],"&lt;="&amp;EOMONTH(T$5,0),LayTable[[Bookmaker]:[Bookmaker]],$K20)+SUMIFS(BetTable[[AR_per_bookie]:[AR_per_bookie]],BetTable[[B1]:[B1]],$K20,BetTable[[Date]:[Date]], "&gt;="&amp;T$5,BetTable[[Date]:[Date]],"&lt;="&amp;EOMONTH(T$5,0))+SUMIFS(BetTable[[AR_per_bookie]:[AR_per_bookie]],BetTable[[B2]:[B2]],$K20,BetTable[[Date]:[Date]], "&gt;="&amp;T$5,BetTable[[Date]:[Date]],"&lt;="&amp;EOMONTH(T$5,0))+SUMIFS(BetTable[[AR_per_bookie]:[AR_per_bookie]],BetTable[[B3]:[B3]],$K20,BetTable[[Date]:[Date]], "&gt;="&amp;T$5,BetTable[[Date]:[Date]],"&lt;="&amp;EOMONTH(T$5,0))</f>
        <v>0</v>
      </c>
      <c r="U20" s="186">
        <f>SUMIFS(DWbonus[[Sum]:[Sum]],DWbonus[[Dato]:[Dato]], "&gt;="&amp;U$5,DWbonus[[Dato]:[Dato]],"&lt;="&amp;EOMONTH(U$5,0),DWbonus[[Bookie]:[Bookie]],$K20)+SUMIFS(LayTable[[Faktisk res]:[Faktisk res]],LayTable[[Dato]:[Dato]],"&gt;="&amp;U$5,LayTable[[Dato]:[Dato]],"&lt;="&amp;EOMONTH(U$5,0),LayTable[[Bookmaker]:[Bookmaker]],$K20)+SUMIFS(BetTable[[AR_per_bookie]:[AR_per_bookie]],BetTable[[B1]:[B1]],$K20,BetTable[[Date]:[Date]], "&gt;="&amp;U$5,BetTable[[Date]:[Date]],"&lt;="&amp;EOMONTH(U$5,0))+SUMIFS(BetTable[[AR_per_bookie]:[AR_per_bookie]],BetTable[[B2]:[B2]],$K20,BetTable[[Date]:[Date]], "&gt;="&amp;U$5,BetTable[[Date]:[Date]],"&lt;="&amp;EOMONTH(U$5,0))+SUMIFS(BetTable[[AR_per_bookie]:[AR_per_bookie]],BetTable[[B3]:[B3]],$K20,BetTable[[Date]:[Date]], "&gt;="&amp;U$5,BetTable[[Date]:[Date]],"&lt;="&amp;EOMONTH(U$5,0))</f>
        <v>0</v>
      </c>
      <c r="V20" s="186">
        <f>SUMIFS(DWbonus[[Sum]:[Sum]],DWbonus[[Dato]:[Dato]], "&gt;="&amp;V$5,DWbonus[[Dato]:[Dato]],"&lt;="&amp;EOMONTH(V$5,0),DWbonus[[Bookie]:[Bookie]],$K20)+SUMIFS(LayTable[[Faktisk res]:[Faktisk res]],LayTable[[Dato]:[Dato]],"&gt;="&amp;V$5,LayTable[[Dato]:[Dato]],"&lt;="&amp;EOMONTH(V$5,0),LayTable[[Bookmaker]:[Bookmaker]],$K20)+SUMIFS(BetTable[[AR_per_bookie]:[AR_per_bookie]],BetTable[[B1]:[B1]],$K20,BetTable[[Date]:[Date]], "&gt;="&amp;V$5,BetTable[[Date]:[Date]],"&lt;="&amp;EOMONTH(V$5,0))+SUMIFS(BetTable[[AR_per_bookie]:[AR_per_bookie]],BetTable[[B2]:[B2]],$K20,BetTable[[Date]:[Date]], "&gt;="&amp;V$5,BetTable[[Date]:[Date]],"&lt;="&amp;EOMONTH(V$5,0))+SUMIFS(BetTable[[AR_per_bookie]:[AR_per_bookie]],BetTable[[B3]:[B3]],$K20,BetTable[[Date]:[Date]], "&gt;="&amp;V$5,BetTable[[Date]:[Date]],"&lt;="&amp;EOMONTH(V$5,0))</f>
        <v>0</v>
      </c>
      <c r="W20" s="186">
        <f>SUMIFS(DWbonus[[Sum]:[Sum]],DWbonus[[Dato]:[Dato]], "&gt;="&amp;W$5,DWbonus[[Dato]:[Dato]],"&lt;="&amp;EOMONTH(W$5,0),DWbonus[[Bookie]:[Bookie]],$K20)+SUMIFS(LayTable[[Faktisk res]:[Faktisk res]],LayTable[[Dato]:[Dato]],"&gt;="&amp;W$5,LayTable[[Dato]:[Dato]],"&lt;="&amp;EOMONTH(W$5,0),LayTable[[Bookmaker]:[Bookmaker]],$K20)+SUMIFS(BetTable[[AR_per_bookie]:[AR_per_bookie]],BetTable[[B1]:[B1]],$K20,BetTable[[Date]:[Date]], "&gt;="&amp;W$5,BetTable[[Date]:[Date]],"&lt;="&amp;EOMONTH(W$5,0))+SUMIFS(BetTable[[AR_per_bookie]:[AR_per_bookie]],BetTable[[B2]:[B2]],$K20,BetTable[[Date]:[Date]], "&gt;="&amp;W$5,BetTable[[Date]:[Date]],"&lt;="&amp;EOMONTH(W$5,0))+SUMIFS(BetTable[[AR_per_bookie]:[AR_per_bookie]],BetTable[[B3]:[B3]],$K20,BetTable[[Date]:[Date]], "&gt;="&amp;W$5,BetTable[[Date]:[Date]],"&lt;="&amp;EOMONTH(W$5,0))</f>
        <v>0</v>
      </c>
    </row>
    <row r="21" spans="1:23">
      <c r="K21" s="174" t="str">
        <f t="array" ref="K21">IFERROR(INDEX(BookieNavn!H$2:H$1251,SMALL(IF(EXACT(LEFT(BookieNavn!H$2:H$1251,2),M$3),ROW(BookieNavn!H$2:H$1251)-ROW(BookieNavn!H$2)+1),ROWS(BookieNavn!H$2:'BookieNavn'!H16))),"")</f>
        <v/>
      </c>
      <c r="L21" s="186">
        <f>SUMIFS(DWbonus[[Sum]:[Sum]],DWbonus[[Dato]:[Dato]], "&gt;="&amp;L$5,DWbonus[[Dato]:[Dato]],"&lt;="&amp;EOMONTH(L$5,0),DWbonus[[Bookie]:[Bookie]],$K21)+SUMIFS(LayTable[[Faktisk res]:[Faktisk res]],LayTable[[Dato]:[Dato]],"&gt;="&amp;L$5,LayTable[[Dato]:[Dato]],"&lt;="&amp;EOMONTH(L$5,0),LayTable[[Bookmaker]:[Bookmaker]],$K21)+SUMIFS(BetTable[[AR_per_bookie]:[AR_per_bookie]],BetTable[[B1]:[B1]],$K21,BetTable[[Date]:[Date]], "&gt;="&amp;L$5,BetTable[[Date]:[Date]],"&lt;="&amp;EOMONTH(L$5,0))+SUMIFS(BetTable[[AR_per_bookie]:[AR_per_bookie]],BetTable[[B2]:[B2]],$K21,BetTable[[Date]:[Date]], "&gt;="&amp;L$5,BetTable[[Date]:[Date]],"&lt;="&amp;EOMONTH(L$5,0))+SUMIFS(BetTable[[AR_per_bookie]:[AR_per_bookie]],BetTable[[B3]:[B3]],$K21,BetTable[[Date]:[Date]], "&gt;="&amp;L$5,BetTable[[Date]:[Date]],"&lt;="&amp;EOMONTH(L$5,0))</f>
        <v>0</v>
      </c>
      <c r="M21" s="186">
        <f>SUMIFS(DWbonus[[Sum]:[Sum]],DWbonus[[Dato]:[Dato]], "&gt;="&amp;M$5,DWbonus[[Dato]:[Dato]],"&lt;="&amp;EOMONTH(M$5,0),DWbonus[[Bookie]:[Bookie]],$K21)+SUMIFS(LayTable[[Faktisk res]:[Faktisk res]],LayTable[[Dato]:[Dato]],"&gt;="&amp;M$5,LayTable[[Dato]:[Dato]],"&lt;="&amp;EOMONTH(M$5,0),LayTable[[Bookmaker]:[Bookmaker]],$K21)+SUMIFS(BetTable[[AR_per_bookie]:[AR_per_bookie]],BetTable[[B1]:[B1]],$K21,BetTable[[Date]:[Date]], "&gt;="&amp;M$5,BetTable[[Date]:[Date]],"&lt;="&amp;EOMONTH(M$5,0))+SUMIFS(BetTable[[AR_per_bookie]:[AR_per_bookie]],BetTable[[B2]:[B2]],$K21,BetTable[[Date]:[Date]], "&gt;="&amp;M$5,BetTable[[Date]:[Date]],"&lt;="&amp;EOMONTH(M$5,0))+SUMIFS(BetTable[[AR_per_bookie]:[AR_per_bookie]],BetTable[[B3]:[B3]],$K21,BetTable[[Date]:[Date]], "&gt;="&amp;M$5,BetTable[[Date]:[Date]],"&lt;="&amp;EOMONTH(M$5,0))</f>
        <v>0</v>
      </c>
      <c r="N21" s="186">
        <f>SUMIFS(DWbonus[[Sum]:[Sum]],DWbonus[[Dato]:[Dato]], "&gt;="&amp;N$5,DWbonus[[Dato]:[Dato]],"&lt;="&amp;EOMONTH(N$5,0),DWbonus[[Bookie]:[Bookie]],$K21)+SUMIFS(LayTable[[Faktisk res]:[Faktisk res]],LayTable[[Dato]:[Dato]],"&gt;="&amp;N$5,LayTable[[Dato]:[Dato]],"&lt;="&amp;EOMONTH(N$5,0),LayTable[[Bookmaker]:[Bookmaker]],$K21)+SUMIFS(BetTable[[AR_per_bookie]:[AR_per_bookie]],BetTable[[B1]:[B1]],$K21,BetTable[[Date]:[Date]], "&gt;="&amp;N$5,BetTable[[Date]:[Date]],"&lt;="&amp;EOMONTH(N$5,0))+SUMIFS(BetTable[[AR_per_bookie]:[AR_per_bookie]],BetTable[[B2]:[B2]],$K21,BetTable[[Date]:[Date]], "&gt;="&amp;N$5,BetTable[[Date]:[Date]],"&lt;="&amp;EOMONTH(N$5,0))+SUMIFS(BetTable[[AR_per_bookie]:[AR_per_bookie]],BetTable[[B3]:[B3]],$K21,BetTable[[Date]:[Date]], "&gt;="&amp;N$5,BetTable[[Date]:[Date]],"&lt;="&amp;EOMONTH(N$5,0))</f>
        <v>0</v>
      </c>
      <c r="O21" s="186">
        <f>SUMIFS(DWbonus[[Sum]:[Sum]],DWbonus[[Dato]:[Dato]], "&gt;="&amp;O$5,DWbonus[[Dato]:[Dato]],"&lt;="&amp;EOMONTH(O$5,0),DWbonus[[Bookie]:[Bookie]],$K21)+SUMIFS(LayTable[[Faktisk res]:[Faktisk res]],LayTable[[Dato]:[Dato]],"&gt;="&amp;O$5,LayTable[[Dato]:[Dato]],"&lt;="&amp;EOMONTH(O$5,0),LayTable[[Bookmaker]:[Bookmaker]],$K21)+SUMIFS(BetTable[[AR_per_bookie]:[AR_per_bookie]],BetTable[[B1]:[B1]],$K21,BetTable[[Date]:[Date]], "&gt;="&amp;O$5,BetTable[[Date]:[Date]],"&lt;="&amp;EOMONTH(O$5,0))+SUMIFS(BetTable[[AR_per_bookie]:[AR_per_bookie]],BetTable[[B2]:[B2]],$K21,BetTable[[Date]:[Date]], "&gt;="&amp;O$5,BetTable[[Date]:[Date]],"&lt;="&amp;EOMONTH(O$5,0))+SUMIFS(BetTable[[AR_per_bookie]:[AR_per_bookie]],BetTable[[B3]:[B3]],$K21,BetTable[[Date]:[Date]], "&gt;="&amp;O$5,BetTable[[Date]:[Date]],"&lt;="&amp;EOMONTH(O$5,0))</f>
        <v>0</v>
      </c>
      <c r="P21" s="186">
        <f>SUMIFS(DWbonus[[Sum]:[Sum]],DWbonus[[Dato]:[Dato]], "&gt;="&amp;P$5,DWbonus[[Dato]:[Dato]],"&lt;="&amp;EOMONTH(P$5,0),DWbonus[[Bookie]:[Bookie]],$K21)+SUMIFS(LayTable[[Faktisk res]:[Faktisk res]],LayTable[[Dato]:[Dato]],"&gt;="&amp;P$5,LayTable[[Dato]:[Dato]],"&lt;="&amp;EOMONTH(P$5,0),LayTable[[Bookmaker]:[Bookmaker]],$K21)+SUMIFS(BetTable[[AR_per_bookie]:[AR_per_bookie]],BetTable[[B1]:[B1]],$K21,BetTable[[Date]:[Date]], "&gt;="&amp;P$5,BetTable[[Date]:[Date]],"&lt;="&amp;EOMONTH(P$5,0))+SUMIFS(BetTable[[AR_per_bookie]:[AR_per_bookie]],BetTable[[B2]:[B2]],$K21,BetTable[[Date]:[Date]], "&gt;="&amp;P$5,BetTable[[Date]:[Date]],"&lt;="&amp;EOMONTH(P$5,0))+SUMIFS(BetTable[[AR_per_bookie]:[AR_per_bookie]],BetTable[[B3]:[B3]],$K21,BetTable[[Date]:[Date]], "&gt;="&amp;P$5,BetTable[[Date]:[Date]],"&lt;="&amp;EOMONTH(P$5,0))</f>
        <v>0</v>
      </c>
      <c r="Q21" s="186">
        <f>SUMIFS(DWbonus[[Sum]:[Sum]],DWbonus[[Dato]:[Dato]], "&gt;="&amp;Q$5,DWbonus[[Dato]:[Dato]],"&lt;="&amp;EOMONTH(Q$5,0),DWbonus[[Bookie]:[Bookie]],$K21)+SUMIFS(LayTable[[Faktisk res]:[Faktisk res]],LayTable[[Dato]:[Dato]],"&gt;="&amp;Q$5,LayTable[[Dato]:[Dato]],"&lt;="&amp;EOMONTH(Q$5,0),LayTable[[Bookmaker]:[Bookmaker]],$K21)+SUMIFS(BetTable[[AR_per_bookie]:[AR_per_bookie]],BetTable[[B1]:[B1]],$K21,BetTable[[Date]:[Date]], "&gt;="&amp;Q$5,BetTable[[Date]:[Date]],"&lt;="&amp;EOMONTH(Q$5,0))+SUMIFS(BetTable[[AR_per_bookie]:[AR_per_bookie]],BetTable[[B2]:[B2]],$K21,BetTable[[Date]:[Date]], "&gt;="&amp;Q$5,BetTable[[Date]:[Date]],"&lt;="&amp;EOMONTH(Q$5,0))+SUMIFS(BetTable[[AR_per_bookie]:[AR_per_bookie]],BetTable[[B3]:[B3]],$K21,BetTable[[Date]:[Date]], "&gt;="&amp;Q$5,BetTable[[Date]:[Date]],"&lt;="&amp;EOMONTH(Q$5,0))</f>
        <v>0</v>
      </c>
      <c r="R21" s="186">
        <f>SUMIFS(DWbonus[[Sum]:[Sum]],DWbonus[[Dato]:[Dato]], "&gt;="&amp;R$5,DWbonus[[Dato]:[Dato]],"&lt;="&amp;EOMONTH(R$5,0),DWbonus[[Bookie]:[Bookie]],$K21)+SUMIFS(LayTable[[Faktisk res]:[Faktisk res]],LayTable[[Dato]:[Dato]],"&gt;="&amp;R$5,LayTable[[Dato]:[Dato]],"&lt;="&amp;EOMONTH(R$5,0),LayTable[[Bookmaker]:[Bookmaker]],$K21)+SUMIFS(BetTable[[AR_per_bookie]:[AR_per_bookie]],BetTable[[B1]:[B1]],$K21,BetTable[[Date]:[Date]], "&gt;="&amp;R$5,BetTable[[Date]:[Date]],"&lt;="&amp;EOMONTH(R$5,0))+SUMIFS(BetTable[[AR_per_bookie]:[AR_per_bookie]],BetTable[[B2]:[B2]],$K21,BetTable[[Date]:[Date]], "&gt;="&amp;R$5,BetTable[[Date]:[Date]],"&lt;="&amp;EOMONTH(R$5,0))+SUMIFS(BetTable[[AR_per_bookie]:[AR_per_bookie]],BetTable[[B3]:[B3]],$K21,BetTable[[Date]:[Date]], "&gt;="&amp;R$5,BetTable[[Date]:[Date]],"&lt;="&amp;EOMONTH(R$5,0))</f>
        <v>0</v>
      </c>
      <c r="S21" s="186">
        <f>SUMIFS(DWbonus[[Sum]:[Sum]],DWbonus[[Dato]:[Dato]], "&gt;="&amp;S$5,DWbonus[[Dato]:[Dato]],"&lt;="&amp;EOMONTH(S$5,0),DWbonus[[Bookie]:[Bookie]],$K21)+SUMIFS(LayTable[[Faktisk res]:[Faktisk res]],LayTable[[Dato]:[Dato]],"&gt;="&amp;S$5,LayTable[[Dato]:[Dato]],"&lt;="&amp;EOMONTH(S$5,0),LayTable[[Bookmaker]:[Bookmaker]],$K21)+SUMIFS(BetTable[[AR_per_bookie]:[AR_per_bookie]],BetTable[[B1]:[B1]],$K21,BetTable[[Date]:[Date]], "&gt;="&amp;S$5,BetTable[[Date]:[Date]],"&lt;="&amp;EOMONTH(S$5,0))+SUMIFS(BetTable[[AR_per_bookie]:[AR_per_bookie]],BetTable[[B2]:[B2]],$K21,BetTable[[Date]:[Date]], "&gt;="&amp;S$5,BetTable[[Date]:[Date]],"&lt;="&amp;EOMONTH(S$5,0))+SUMIFS(BetTable[[AR_per_bookie]:[AR_per_bookie]],BetTable[[B3]:[B3]],$K21,BetTable[[Date]:[Date]], "&gt;="&amp;S$5,BetTable[[Date]:[Date]],"&lt;="&amp;EOMONTH(S$5,0))</f>
        <v>0</v>
      </c>
      <c r="T21" s="186">
        <f>SUMIFS(DWbonus[[Sum]:[Sum]],DWbonus[[Dato]:[Dato]], "&gt;="&amp;T$5,DWbonus[[Dato]:[Dato]],"&lt;="&amp;EOMONTH(T$5,0),DWbonus[[Bookie]:[Bookie]],$K21)+SUMIFS(LayTable[[Faktisk res]:[Faktisk res]],LayTable[[Dato]:[Dato]],"&gt;="&amp;T$5,LayTable[[Dato]:[Dato]],"&lt;="&amp;EOMONTH(T$5,0),LayTable[[Bookmaker]:[Bookmaker]],$K21)+SUMIFS(BetTable[[AR_per_bookie]:[AR_per_bookie]],BetTable[[B1]:[B1]],$K21,BetTable[[Date]:[Date]], "&gt;="&amp;T$5,BetTable[[Date]:[Date]],"&lt;="&amp;EOMONTH(T$5,0))+SUMIFS(BetTable[[AR_per_bookie]:[AR_per_bookie]],BetTable[[B2]:[B2]],$K21,BetTable[[Date]:[Date]], "&gt;="&amp;T$5,BetTable[[Date]:[Date]],"&lt;="&amp;EOMONTH(T$5,0))+SUMIFS(BetTable[[AR_per_bookie]:[AR_per_bookie]],BetTable[[B3]:[B3]],$K21,BetTable[[Date]:[Date]], "&gt;="&amp;T$5,BetTable[[Date]:[Date]],"&lt;="&amp;EOMONTH(T$5,0))</f>
        <v>0</v>
      </c>
      <c r="U21" s="186">
        <f>SUMIFS(DWbonus[[Sum]:[Sum]],DWbonus[[Dato]:[Dato]], "&gt;="&amp;U$5,DWbonus[[Dato]:[Dato]],"&lt;="&amp;EOMONTH(U$5,0),DWbonus[[Bookie]:[Bookie]],$K21)+SUMIFS(LayTable[[Faktisk res]:[Faktisk res]],LayTable[[Dato]:[Dato]],"&gt;="&amp;U$5,LayTable[[Dato]:[Dato]],"&lt;="&amp;EOMONTH(U$5,0),LayTable[[Bookmaker]:[Bookmaker]],$K21)+SUMIFS(BetTable[[AR_per_bookie]:[AR_per_bookie]],BetTable[[B1]:[B1]],$K21,BetTable[[Date]:[Date]], "&gt;="&amp;U$5,BetTable[[Date]:[Date]],"&lt;="&amp;EOMONTH(U$5,0))+SUMIFS(BetTable[[AR_per_bookie]:[AR_per_bookie]],BetTable[[B2]:[B2]],$K21,BetTable[[Date]:[Date]], "&gt;="&amp;U$5,BetTable[[Date]:[Date]],"&lt;="&amp;EOMONTH(U$5,0))+SUMIFS(BetTable[[AR_per_bookie]:[AR_per_bookie]],BetTable[[B3]:[B3]],$K21,BetTable[[Date]:[Date]], "&gt;="&amp;U$5,BetTable[[Date]:[Date]],"&lt;="&amp;EOMONTH(U$5,0))</f>
        <v>0</v>
      </c>
      <c r="V21" s="186">
        <f>SUMIFS(DWbonus[[Sum]:[Sum]],DWbonus[[Dato]:[Dato]], "&gt;="&amp;V$5,DWbonus[[Dato]:[Dato]],"&lt;="&amp;EOMONTH(V$5,0),DWbonus[[Bookie]:[Bookie]],$K21)+SUMIFS(LayTable[[Faktisk res]:[Faktisk res]],LayTable[[Dato]:[Dato]],"&gt;="&amp;V$5,LayTable[[Dato]:[Dato]],"&lt;="&amp;EOMONTH(V$5,0),LayTable[[Bookmaker]:[Bookmaker]],$K21)+SUMIFS(BetTable[[AR_per_bookie]:[AR_per_bookie]],BetTable[[B1]:[B1]],$K21,BetTable[[Date]:[Date]], "&gt;="&amp;V$5,BetTable[[Date]:[Date]],"&lt;="&amp;EOMONTH(V$5,0))+SUMIFS(BetTable[[AR_per_bookie]:[AR_per_bookie]],BetTable[[B2]:[B2]],$K21,BetTable[[Date]:[Date]], "&gt;="&amp;V$5,BetTable[[Date]:[Date]],"&lt;="&amp;EOMONTH(V$5,0))+SUMIFS(BetTable[[AR_per_bookie]:[AR_per_bookie]],BetTable[[B3]:[B3]],$K21,BetTable[[Date]:[Date]], "&gt;="&amp;V$5,BetTable[[Date]:[Date]],"&lt;="&amp;EOMONTH(V$5,0))</f>
        <v>0</v>
      </c>
      <c r="W21" s="186">
        <f>SUMIFS(DWbonus[[Sum]:[Sum]],DWbonus[[Dato]:[Dato]], "&gt;="&amp;W$5,DWbonus[[Dato]:[Dato]],"&lt;="&amp;EOMONTH(W$5,0),DWbonus[[Bookie]:[Bookie]],$K21)+SUMIFS(LayTable[[Faktisk res]:[Faktisk res]],LayTable[[Dato]:[Dato]],"&gt;="&amp;W$5,LayTable[[Dato]:[Dato]],"&lt;="&amp;EOMONTH(W$5,0),LayTable[[Bookmaker]:[Bookmaker]],$K21)+SUMIFS(BetTable[[AR_per_bookie]:[AR_per_bookie]],BetTable[[B1]:[B1]],$K21,BetTable[[Date]:[Date]], "&gt;="&amp;W$5,BetTable[[Date]:[Date]],"&lt;="&amp;EOMONTH(W$5,0))+SUMIFS(BetTable[[AR_per_bookie]:[AR_per_bookie]],BetTable[[B2]:[B2]],$K21,BetTable[[Date]:[Date]], "&gt;="&amp;W$5,BetTable[[Date]:[Date]],"&lt;="&amp;EOMONTH(W$5,0))+SUMIFS(BetTable[[AR_per_bookie]:[AR_per_bookie]],BetTable[[B3]:[B3]],$K21,BetTable[[Date]:[Date]], "&gt;="&amp;W$5,BetTable[[Date]:[Date]],"&lt;="&amp;EOMONTH(W$5,0))</f>
        <v>0</v>
      </c>
    </row>
    <row r="22" spans="1:23">
      <c r="K22" s="174" t="str">
        <f t="array" ref="K22">IFERROR(INDEX(BookieNavn!H$2:H$1251,SMALL(IF(EXACT(LEFT(BookieNavn!H$2:H$1251,2),M$3),ROW(BookieNavn!H$2:H$1251)-ROW(BookieNavn!H$2)+1),ROWS(BookieNavn!H$2:'BookieNavn'!H17))),"")</f>
        <v/>
      </c>
      <c r="L22" s="186">
        <f>SUMIFS(DWbonus[[Sum]:[Sum]],DWbonus[[Dato]:[Dato]], "&gt;="&amp;L$5,DWbonus[[Dato]:[Dato]],"&lt;="&amp;EOMONTH(L$5,0),DWbonus[[Bookie]:[Bookie]],$K22)+SUMIFS(LayTable[[Faktisk res]:[Faktisk res]],LayTable[[Dato]:[Dato]],"&gt;="&amp;L$5,LayTable[[Dato]:[Dato]],"&lt;="&amp;EOMONTH(L$5,0),LayTable[[Bookmaker]:[Bookmaker]],$K22)+SUMIFS(BetTable[[AR_per_bookie]:[AR_per_bookie]],BetTable[[B1]:[B1]],$K22,BetTable[[Date]:[Date]], "&gt;="&amp;L$5,BetTable[[Date]:[Date]],"&lt;="&amp;EOMONTH(L$5,0))+SUMIFS(BetTable[[AR_per_bookie]:[AR_per_bookie]],BetTable[[B2]:[B2]],$K22,BetTable[[Date]:[Date]], "&gt;="&amp;L$5,BetTable[[Date]:[Date]],"&lt;="&amp;EOMONTH(L$5,0))+SUMIFS(BetTable[[AR_per_bookie]:[AR_per_bookie]],BetTable[[B3]:[B3]],$K22,BetTable[[Date]:[Date]], "&gt;="&amp;L$5,BetTable[[Date]:[Date]],"&lt;="&amp;EOMONTH(L$5,0))</f>
        <v>0</v>
      </c>
      <c r="M22" s="186">
        <f>SUMIFS(DWbonus[[Sum]:[Sum]],DWbonus[[Dato]:[Dato]], "&gt;="&amp;M$5,DWbonus[[Dato]:[Dato]],"&lt;="&amp;EOMONTH(M$5,0),DWbonus[[Bookie]:[Bookie]],$K22)+SUMIFS(LayTable[[Faktisk res]:[Faktisk res]],LayTable[[Dato]:[Dato]],"&gt;="&amp;M$5,LayTable[[Dato]:[Dato]],"&lt;="&amp;EOMONTH(M$5,0),LayTable[[Bookmaker]:[Bookmaker]],$K22)+SUMIFS(BetTable[[AR_per_bookie]:[AR_per_bookie]],BetTable[[B1]:[B1]],$K22,BetTable[[Date]:[Date]], "&gt;="&amp;M$5,BetTable[[Date]:[Date]],"&lt;="&amp;EOMONTH(M$5,0))+SUMIFS(BetTable[[AR_per_bookie]:[AR_per_bookie]],BetTable[[B2]:[B2]],$K22,BetTable[[Date]:[Date]], "&gt;="&amp;M$5,BetTable[[Date]:[Date]],"&lt;="&amp;EOMONTH(M$5,0))+SUMIFS(BetTable[[AR_per_bookie]:[AR_per_bookie]],BetTable[[B3]:[B3]],$K22,BetTable[[Date]:[Date]], "&gt;="&amp;M$5,BetTable[[Date]:[Date]],"&lt;="&amp;EOMONTH(M$5,0))</f>
        <v>0</v>
      </c>
      <c r="N22" s="186">
        <f>SUMIFS(DWbonus[[Sum]:[Sum]],DWbonus[[Dato]:[Dato]], "&gt;="&amp;N$5,DWbonus[[Dato]:[Dato]],"&lt;="&amp;EOMONTH(N$5,0),DWbonus[[Bookie]:[Bookie]],$K22)+SUMIFS(LayTable[[Faktisk res]:[Faktisk res]],LayTable[[Dato]:[Dato]],"&gt;="&amp;N$5,LayTable[[Dato]:[Dato]],"&lt;="&amp;EOMONTH(N$5,0),LayTable[[Bookmaker]:[Bookmaker]],$K22)+SUMIFS(BetTable[[AR_per_bookie]:[AR_per_bookie]],BetTable[[B1]:[B1]],$K22,BetTable[[Date]:[Date]], "&gt;="&amp;N$5,BetTable[[Date]:[Date]],"&lt;="&amp;EOMONTH(N$5,0))+SUMIFS(BetTable[[AR_per_bookie]:[AR_per_bookie]],BetTable[[B2]:[B2]],$K22,BetTable[[Date]:[Date]], "&gt;="&amp;N$5,BetTable[[Date]:[Date]],"&lt;="&amp;EOMONTH(N$5,0))+SUMIFS(BetTable[[AR_per_bookie]:[AR_per_bookie]],BetTable[[B3]:[B3]],$K22,BetTable[[Date]:[Date]], "&gt;="&amp;N$5,BetTable[[Date]:[Date]],"&lt;="&amp;EOMONTH(N$5,0))</f>
        <v>0</v>
      </c>
      <c r="O22" s="186">
        <f>SUMIFS(DWbonus[[Sum]:[Sum]],DWbonus[[Dato]:[Dato]], "&gt;="&amp;O$5,DWbonus[[Dato]:[Dato]],"&lt;="&amp;EOMONTH(O$5,0),DWbonus[[Bookie]:[Bookie]],$K22)+SUMIFS(LayTable[[Faktisk res]:[Faktisk res]],LayTable[[Dato]:[Dato]],"&gt;="&amp;O$5,LayTable[[Dato]:[Dato]],"&lt;="&amp;EOMONTH(O$5,0),LayTable[[Bookmaker]:[Bookmaker]],$K22)+SUMIFS(BetTable[[AR_per_bookie]:[AR_per_bookie]],BetTable[[B1]:[B1]],$K22,BetTable[[Date]:[Date]], "&gt;="&amp;O$5,BetTable[[Date]:[Date]],"&lt;="&amp;EOMONTH(O$5,0))+SUMIFS(BetTable[[AR_per_bookie]:[AR_per_bookie]],BetTable[[B2]:[B2]],$K22,BetTable[[Date]:[Date]], "&gt;="&amp;O$5,BetTable[[Date]:[Date]],"&lt;="&amp;EOMONTH(O$5,0))+SUMIFS(BetTable[[AR_per_bookie]:[AR_per_bookie]],BetTable[[B3]:[B3]],$K22,BetTable[[Date]:[Date]], "&gt;="&amp;O$5,BetTable[[Date]:[Date]],"&lt;="&amp;EOMONTH(O$5,0))</f>
        <v>0</v>
      </c>
      <c r="P22" s="186">
        <f>SUMIFS(DWbonus[[Sum]:[Sum]],DWbonus[[Dato]:[Dato]], "&gt;="&amp;P$5,DWbonus[[Dato]:[Dato]],"&lt;="&amp;EOMONTH(P$5,0),DWbonus[[Bookie]:[Bookie]],$K22)+SUMIFS(LayTable[[Faktisk res]:[Faktisk res]],LayTable[[Dato]:[Dato]],"&gt;="&amp;P$5,LayTable[[Dato]:[Dato]],"&lt;="&amp;EOMONTH(P$5,0),LayTable[[Bookmaker]:[Bookmaker]],$K22)+SUMIFS(BetTable[[AR_per_bookie]:[AR_per_bookie]],BetTable[[B1]:[B1]],$K22,BetTable[[Date]:[Date]], "&gt;="&amp;P$5,BetTable[[Date]:[Date]],"&lt;="&amp;EOMONTH(P$5,0))+SUMIFS(BetTable[[AR_per_bookie]:[AR_per_bookie]],BetTable[[B2]:[B2]],$K22,BetTable[[Date]:[Date]], "&gt;="&amp;P$5,BetTable[[Date]:[Date]],"&lt;="&amp;EOMONTH(P$5,0))+SUMIFS(BetTable[[AR_per_bookie]:[AR_per_bookie]],BetTable[[B3]:[B3]],$K22,BetTable[[Date]:[Date]], "&gt;="&amp;P$5,BetTable[[Date]:[Date]],"&lt;="&amp;EOMONTH(P$5,0))</f>
        <v>0</v>
      </c>
      <c r="Q22" s="186">
        <f>SUMIFS(DWbonus[[Sum]:[Sum]],DWbonus[[Dato]:[Dato]], "&gt;="&amp;Q$5,DWbonus[[Dato]:[Dato]],"&lt;="&amp;EOMONTH(Q$5,0),DWbonus[[Bookie]:[Bookie]],$K22)+SUMIFS(LayTable[[Faktisk res]:[Faktisk res]],LayTable[[Dato]:[Dato]],"&gt;="&amp;Q$5,LayTable[[Dato]:[Dato]],"&lt;="&amp;EOMONTH(Q$5,0),LayTable[[Bookmaker]:[Bookmaker]],$K22)+SUMIFS(BetTable[[AR_per_bookie]:[AR_per_bookie]],BetTable[[B1]:[B1]],$K22,BetTable[[Date]:[Date]], "&gt;="&amp;Q$5,BetTable[[Date]:[Date]],"&lt;="&amp;EOMONTH(Q$5,0))+SUMIFS(BetTable[[AR_per_bookie]:[AR_per_bookie]],BetTable[[B2]:[B2]],$K22,BetTable[[Date]:[Date]], "&gt;="&amp;Q$5,BetTable[[Date]:[Date]],"&lt;="&amp;EOMONTH(Q$5,0))+SUMIFS(BetTable[[AR_per_bookie]:[AR_per_bookie]],BetTable[[B3]:[B3]],$K22,BetTable[[Date]:[Date]], "&gt;="&amp;Q$5,BetTable[[Date]:[Date]],"&lt;="&amp;EOMONTH(Q$5,0))</f>
        <v>0</v>
      </c>
      <c r="R22" s="186">
        <f>SUMIFS(DWbonus[[Sum]:[Sum]],DWbonus[[Dato]:[Dato]], "&gt;="&amp;R$5,DWbonus[[Dato]:[Dato]],"&lt;="&amp;EOMONTH(R$5,0),DWbonus[[Bookie]:[Bookie]],$K22)+SUMIFS(LayTable[[Faktisk res]:[Faktisk res]],LayTable[[Dato]:[Dato]],"&gt;="&amp;R$5,LayTable[[Dato]:[Dato]],"&lt;="&amp;EOMONTH(R$5,0),LayTable[[Bookmaker]:[Bookmaker]],$K22)+SUMIFS(BetTable[[AR_per_bookie]:[AR_per_bookie]],BetTable[[B1]:[B1]],$K22,BetTable[[Date]:[Date]], "&gt;="&amp;R$5,BetTable[[Date]:[Date]],"&lt;="&amp;EOMONTH(R$5,0))+SUMIFS(BetTable[[AR_per_bookie]:[AR_per_bookie]],BetTable[[B2]:[B2]],$K22,BetTable[[Date]:[Date]], "&gt;="&amp;R$5,BetTable[[Date]:[Date]],"&lt;="&amp;EOMONTH(R$5,0))+SUMIFS(BetTable[[AR_per_bookie]:[AR_per_bookie]],BetTable[[B3]:[B3]],$K22,BetTable[[Date]:[Date]], "&gt;="&amp;R$5,BetTable[[Date]:[Date]],"&lt;="&amp;EOMONTH(R$5,0))</f>
        <v>0</v>
      </c>
      <c r="S22" s="186">
        <f>SUMIFS(DWbonus[[Sum]:[Sum]],DWbonus[[Dato]:[Dato]], "&gt;="&amp;S$5,DWbonus[[Dato]:[Dato]],"&lt;="&amp;EOMONTH(S$5,0),DWbonus[[Bookie]:[Bookie]],$K22)+SUMIFS(LayTable[[Faktisk res]:[Faktisk res]],LayTable[[Dato]:[Dato]],"&gt;="&amp;S$5,LayTable[[Dato]:[Dato]],"&lt;="&amp;EOMONTH(S$5,0),LayTable[[Bookmaker]:[Bookmaker]],$K22)+SUMIFS(BetTable[[AR_per_bookie]:[AR_per_bookie]],BetTable[[B1]:[B1]],$K22,BetTable[[Date]:[Date]], "&gt;="&amp;S$5,BetTable[[Date]:[Date]],"&lt;="&amp;EOMONTH(S$5,0))+SUMIFS(BetTable[[AR_per_bookie]:[AR_per_bookie]],BetTable[[B2]:[B2]],$K22,BetTable[[Date]:[Date]], "&gt;="&amp;S$5,BetTable[[Date]:[Date]],"&lt;="&amp;EOMONTH(S$5,0))+SUMIFS(BetTable[[AR_per_bookie]:[AR_per_bookie]],BetTable[[B3]:[B3]],$K22,BetTable[[Date]:[Date]], "&gt;="&amp;S$5,BetTable[[Date]:[Date]],"&lt;="&amp;EOMONTH(S$5,0))</f>
        <v>0</v>
      </c>
      <c r="T22" s="186">
        <f>SUMIFS(DWbonus[[Sum]:[Sum]],DWbonus[[Dato]:[Dato]], "&gt;="&amp;T$5,DWbonus[[Dato]:[Dato]],"&lt;="&amp;EOMONTH(T$5,0),DWbonus[[Bookie]:[Bookie]],$K22)+SUMIFS(LayTable[[Faktisk res]:[Faktisk res]],LayTable[[Dato]:[Dato]],"&gt;="&amp;T$5,LayTable[[Dato]:[Dato]],"&lt;="&amp;EOMONTH(T$5,0),LayTable[[Bookmaker]:[Bookmaker]],$K22)+SUMIFS(BetTable[[AR_per_bookie]:[AR_per_bookie]],BetTable[[B1]:[B1]],$K22,BetTable[[Date]:[Date]], "&gt;="&amp;T$5,BetTable[[Date]:[Date]],"&lt;="&amp;EOMONTH(T$5,0))+SUMIFS(BetTable[[AR_per_bookie]:[AR_per_bookie]],BetTable[[B2]:[B2]],$K22,BetTable[[Date]:[Date]], "&gt;="&amp;T$5,BetTable[[Date]:[Date]],"&lt;="&amp;EOMONTH(T$5,0))+SUMIFS(BetTable[[AR_per_bookie]:[AR_per_bookie]],BetTable[[B3]:[B3]],$K22,BetTable[[Date]:[Date]], "&gt;="&amp;T$5,BetTable[[Date]:[Date]],"&lt;="&amp;EOMONTH(T$5,0))</f>
        <v>0</v>
      </c>
      <c r="U22" s="186">
        <f>SUMIFS(DWbonus[[Sum]:[Sum]],DWbonus[[Dato]:[Dato]], "&gt;="&amp;U$5,DWbonus[[Dato]:[Dato]],"&lt;="&amp;EOMONTH(U$5,0),DWbonus[[Bookie]:[Bookie]],$K22)+SUMIFS(LayTable[[Faktisk res]:[Faktisk res]],LayTable[[Dato]:[Dato]],"&gt;="&amp;U$5,LayTable[[Dato]:[Dato]],"&lt;="&amp;EOMONTH(U$5,0),LayTable[[Bookmaker]:[Bookmaker]],$K22)+SUMIFS(BetTable[[AR_per_bookie]:[AR_per_bookie]],BetTable[[B1]:[B1]],$K22,BetTable[[Date]:[Date]], "&gt;="&amp;U$5,BetTable[[Date]:[Date]],"&lt;="&amp;EOMONTH(U$5,0))+SUMIFS(BetTable[[AR_per_bookie]:[AR_per_bookie]],BetTable[[B2]:[B2]],$K22,BetTable[[Date]:[Date]], "&gt;="&amp;U$5,BetTable[[Date]:[Date]],"&lt;="&amp;EOMONTH(U$5,0))+SUMIFS(BetTable[[AR_per_bookie]:[AR_per_bookie]],BetTable[[B3]:[B3]],$K22,BetTable[[Date]:[Date]], "&gt;="&amp;U$5,BetTable[[Date]:[Date]],"&lt;="&amp;EOMONTH(U$5,0))</f>
        <v>0</v>
      </c>
      <c r="V22" s="186">
        <f>SUMIFS(DWbonus[[Sum]:[Sum]],DWbonus[[Dato]:[Dato]], "&gt;="&amp;V$5,DWbonus[[Dato]:[Dato]],"&lt;="&amp;EOMONTH(V$5,0),DWbonus[[Bookie]:[Bookie]],$K22)+SUMIFS(LayTable[[Faktisk res]:[Faktisk res]],LayTable[[Dato]:[Dato]],"&gt;="&amp;V$5,LayTable[[Dato]:[Dato]],"&lt;="&amp;EOMONTH(V$5,0),LayTable[[Bookmaker]:[Bookmaker]],$K22)+SUMIFS(BetTable[[AR_per_bookie]:[AR_per_bookie]],BetTable[[B1]:[B1]],$K22,BetTable[[Date]:[Date]], "&gt;="&amp;V$5,BetTable[[Date]:[Date]],"&lt;="&amp;EOMONTH(V$5,0))+SUMIFS(BetTable[[AR_per_bookie]:[AR_per_bookie]],BetTable[[B2]:[B2]],$K22,BetTable[[Date]:[Date]], "&gt;="&amp;V$5,BetTable[[Date]:[Date]],"&lt;="&amp;EOMONTH(V$5,0))+SUMIFS(BetTable[[AR_per_bookie]:[AR_per_bookie]],BetTable[[B3]:[B3]],$K22,BetTable[[Date]:[Date]], "&gt;="&amp;V$5,BetTable[[Date]:[Date]],"&lt;="&amp;EOMONTH(V$5,0))</f>
        <v>0</v>
      </c>
      <c r="W22" s="186">
        <f>SUMIFS(DWbonus[[Sum]:[Sum]],DWbonus[[Dato]:[Dato]], "&gt;="&amp;W$5,DWbonus[[Dato]:[Dato]],"&lt;="&amp;EOMONTH(W$5,0),DWbonus[[Bookie]:[Bookie]],$K22)+SUMIFS(LayTable[[Faktisk res]:[Faktisk res]],LayTable[[Dato]:[Dato]],"&gt;="&amp;W$5,LayTable[[Dato]:[Dato]],"&lt;="&amp;EOMONTH(W$5,0),LayTable[[Bookmaker]:[Bookmaker]],$K22)+SUMIFS(BetTable[[AR_per_bookie]:[AR_per_bookie]],BetTable[[B1]:[B1]],$K22,BetTable[[Date]:[Date]], "&gt;="&amp;W$5,BetTable[[Date]:[Date]],"&lt;="&amp;EOMONTH(W$5,0))+SUMIFS(BetTable[[AR_per_bookie]:[AR_per_bookie]],BetTable[[B2]:[B2]],$K22,BetTable[[Date]:[Date]], "&gt;="&amp;W$5,BetTable[[Date]:[Date]],"&lt;="&amp;EOMONTH(W$5,0))+SUMIFS(BetTable[[AR_per_bookie]:[AR_per_bookie]],BetTable[[B3]:[B3]],$K22,BetTable[[Date]:[Date]], "&gt;="&amp;W$5,BetTable[[Date]:[Date]],"&lt;="&amp;EOMONTH(W$5,0))</f>
        <v>0</v>
      </c>
    </row>
    <row r="23" spans="1:23">
      <c r="A23" s="241" t="s">
        <v>441</v>
      </c>
      <c r="B23" s="211"/>
      <c r="C23" s="211"/>
      <c r="D23" s="211"/>
      <c r="E23" s="211"/>
      <c r="F23" s="308"/>
      <c r="G23" s="283"/>
      <c r="K23" s="174" t="str">
        <f t="array" ref="K23">IFERROR(INDEX(BookieNavn!H$2:H$1251,SMALL(IF(EXACT(LEFT(BookieNavn!H$2:H$1251,2),M$3),ROW(BookieNavn!H$2:H$1251)-ROW(BookieNavn!H$2)+1),ROWS(BookieNavn!H$2:'BookieNavn'!H18))),"")</f>
        <v/>
      </c>
      <c r="L23" s="186">
        <f>SUMIFS(DWbonus[[Sum]:[Sum]],DWbonus[[Dato]:[Dato]], "&gt;="&amp;L$5,DWbonus[[Dato]:[Dato]],"&lt;="&amp;EOMONTH(L$5,0),DWbonus[[Bookie]:[Bookie]],$K23)+SUMIFS(LayTable[[Faktisk res]:[Faktisk res]],LayTable[[Dato]:[Dato]],"&gt;="&amp;L$5,LayTable[[Dato]:[Dato]],"&lt;="&amp;EOMONTH(L$5,0),LayTable[[Bookmaker]:[Bookmaker]],$K23)+SUMIFS(BetTable[[AR_per_bookie]:[AR_per_bookie]],BetTable[[B1]:[B1]],$K23,BetTable[[Date]:[Date]], "&gt;="&amp;L$5,BetTable[[Date]:[Date]],"&lt;="&amp;EOMONTH(L$5,0))+SUMIFS(BetTable[[AR_per_bookie]:[AR_per_bookie]],BetTable[[B2]:[B2]],$K23,BetTable[[Date]:[Date]], "&gt;="&amp;L$5,BetTable[[Date]:[Date]],"&lt;="&amp;EOMONTH(L$5,0))+SUMIFS(BetTable[[AR_per_bookie]:[AR_per_bookie]],BetTable[[B3]:[B3]],$K23,BetTable[[Date]:[Date]], "&gt;="&amp;L$5,BetTable[[Date]:[Date]],"&lt;="&amp;EOMONTH(L$5,0))</f>
        <v>0</v>
      </c>
      <c r="M23" s="186">
        <f>SUMIFS(DWbonus[[Sum]:[Sum]],DWbonus[[Dato]:[Dato]], "&gt;="&amp;M$5,DWbonus[[Dato]:[Dato]],"&lt;="&amp;EOMONTH(M$5,0),DWbonus[[Bookie]:[Bookie]],$K23)+SUMIFS(LayTable[[Faktisk res]:[Faktisk res]],LayTable[[Dato]:[Dato]],"&gt;="&amp;M$5,LayTable[[Dato]:[Dato]],"&lt;="&amp;EOMONTH(M$5,0),LayTable[[Bookmaker]:[Bookmaker]],$K23)+SUMIFS(BetTable[[AR_per_bookie]:[AR_per_bookie]],BetTable[[B1]:[B1]],$K23,BetTable[[Date]:[Date]], "&gt;="&amp;M$5,BetTable[[Date]:[Date]],"&lt;="&amp;EOMONTH(M$5,0))+SUMIFS(BetTable[[AR_per_bookie]:[AR_per_bookie]],BetTable[[B2]:[B2]],$K23,BetTable[[Date]:[Date]], "&gt;="&amp;M$5,BetTable[[Date]:[Date]],"&lt;="&amp;EOMONTH(M$5,0))+SUMIFS(BetTable[[AR_per_bookie]:[AR_per_bookie]],BetTable[[B3]:[B3]],$K23,BetTable[[Date]:[Date]], "&gt;="&amp;M$5,BetTable[[Date]:[Date]],"&lt;="&amp;EOMONTH(M$5,0))</f>
        <v>0</v>
      </c>
      <c r="N23" s="186">
        <f>SUMIFS(DWbonus[[Sum]:[Sum]],DWbonus[[Dato]:[Dato]], "&gt;="&amp;N$5,DWbonus[[Dato]:[Dato]],"&lt;="&amp;EOMONTH(N$5,0),DWbonus[[Bookie]:[Bookie]],$K23)+SUMIFS(LayTable[[Faktisk res]:[Faktisk res]],LayTable[[Dato]:[Dato]],"&gt;="&amp;N$5,LayTable[[Dato]:[Dato]],"&lt;="&amp;EOMONTH(N$5,0),LayTable[[Bookmaker]:[Bookmaker]],$K23)+SUMIFS(BetTable[[AR_per_bookie]:[AR_per_bookie]],BetTable[[B1]:[B1]],$K23,BetTable[[Date]:[Date]], "&gt;="&amp;N$5,BetTable[[Date]:[Date]],"&lt;="&amp;EOMONTH(N$5,0))+SUMIFS(BetTable[[AR_per_bookie]:[AR_per_bookie]],BetTable[[B2]:[B2]],$K23,BetTable[[Date]:[Date]], "&gt;="&amp;N$5,BetTable[[Date]:[Date]],"&lt;="&amp;EOMONTH(N$5,0))+SUMIFS(BetTable[[AR_per_bookie]:[AR_per_bookie]],BetTable[[B3]:[B3]],$K23,BetTable[[Date]:[Date]], "&gt;="&amp;N$5,BetTable[[Date]:[Date]],"&lt;="&amp;EOMONTH(N$5,0))</f>
        <v>0</v>
      </c>
      <c r="O23" s="186">
        <f>SUMIFS(DWbonus[[Sum]:[Sum]],DWbonus[[Dato]:[Dato]], "&gt;="&amp;O$5,DWbonus[[Dato]:[Dato]],"&lt;="&amp;EOMONTH(O$5,0),DWbonus[[Bookie]:[Bookie]],$K23)+SUMIFS(LayTable[[Faktisk res]:[Faktisk res]],LayTable[[Dato]:[Dato]],"&gt;="&amp;O$5,LayTable[[Dato]:[Dato]],"&lt;="&amp;EOMONTH(O$5,0),LayTable[[Bookmaker]:[Bookmaker]],$K23)+SUMIFS(BetTable[[AR_per_bookie]:[AR_per_bookie]],BetTable[[B1]:[B1]],$K23,BetTable[[Date]:[Date]], "&gt;="&amp;O$5,BetTable[[Date]:[Date]],"&lt;="&amp;EOMONTH(O$5,0))+SUMIFS(BetTable[[AR_per_bookie]:[AR_per_bookie]],BetTable[[B2]:[B2]],$K23,BetTable[[Date]:[Date]], "&gt;="&amp;O$5,BetTable[[Date]:[Date]],"&lt;="&amp;EOMONTH(O$5,0))+SUMIFS(BetTable[[AR_per_bookie]:[AR_per_bookie]],BetTable[[B3]:[B3]],$K23,BetTable[[Date]:[Date]], "&gt;="&amp;O$5,BetTable[[Date]:[Date]],"&lt;="&amp;EOMONTH(O$5,0))</f>
        <v>0</v>
      </c>
      <c r="P23" s="186">
        <f>SUMIFS(DWbonus[[Sum]:[Sum]],DWbonus[[Dato]:[Dato]], "&gt;="&amp;P$5,DWbonus[[Dato]:[Dato]],"&lt;="&amp;EOMONTH(P$5,0),DWbonus[[Bookie]:[Bookie]],$K23)+SUMIFS(LayTable[[Faktisk res]:[Faktisk res]],LayTable[[Dato]:[Dato]],"&gt;="&amp;P$5,LayTable[[Dato]:[Dato]],"&lt;="&amp;EOMONTH(P$5,0),LayTable[[Bookmaker]:[Bookmaker]],$K23)+SUMIFS(BetTable[[AR_per_bookie]:[AR_per_bookie]],BetTable[[B1]:[B1]],$K23,BetTable[[Date]:[Date]], "&gt;="&amp;P$5,BetTable[[Date]:[Date]],"&lt;="&amp;EOMONTH(P$5,0))+SUMIFS(BetTable[[AR_per_bookie]:[AR_per_bookie]],BetTable[[B2]:[B2]],$K23,BetTable[[Date]:[Date]], "&gt;="&amp;P$5,BetTable[[Date]:[Date]],"&lt;="&amp;EOMONTH(P$5,0))+SUMIFS(BetTable[[AR_per_bookie]:[AR_per_bookie]],BetTable[[B3]:[B3]],$K23,BetTable[[Date]:[Date]], "&gt;="&amp;P$5,BetTable[[Date]:[Date]],"&lt;="&amp;EOMONTH(P$5,0))</f>
        <v>0</v>
      </c>
      <c r="Q23" s="186">
        <f>SUMIFS(DWbonus[[Sum]:[Sum]],DWbonus[[Dato]:[Dato]], "&gt;="&amp;Q$5,DWbonus[[Dato]:[Dato]],"&lt;="&amp;EOMONTH(Q$5,0),DWbonus[[Bookie]:[Bookie]],$K23)+SUMIFS(LayTable[[Faktisk res]:[Faktisk res]],LayTable[[Dato]:[Dato]],"&gt;="&amp;Q$5,LayTable[[Dato]:[Dato]],"&lt;="&amp;EOMONTH(Q$5,0),LayTable[[Bookmaker]:[Bookmaker]],$K23)+SUMIFS(BetTable[[AR_per_bookie]:[AR_per_bookie]],BetTable[[B1]:[B1]],$K23,BetTable[[Date]:[Date]], "&gt;="&amp;Q$5,BetTable[[Date]:[Date]],"&lt;="&amp;EOMONTH(Q$5,0))+SUMIFS(BetTable[[AR_per_bookie]:[AR_per_bookie]],BetTable[[B2]:[B2]],$K23,BetTable[[Date]:[Date]], "&gt;="&amp;Q$5,BetTable[[Date]:[Date]],"&lt;="&amp;EOMONTH(Q$5,0))+SUMIFS(BetTable[[AR_per_bookie]:[AR_per_bookie]],BetTable[[B3]:[B3]],$K23,BetTable[[Date]:[Date]], "&gt;="&amp;Q$5,BetTable[[Date]:[Date]],"&lt;="&amp;EOMONTH(Q$5,0))</f>
        <v>0</v>
      </c>
      <c r="R23" s="186">
        <f>SUMIFS(DWbonus[[Sum]:[Sum]],DWbonus[[Dato]:[Dato]], "&gt;="&amp;R$5,DWbonus[[Dato]:[Dato]],"&lt;="&amp;EOMONTH(R$5,0),DWbonus[[Bookie]:[Bookie]],$K23)+SUMIFS(LayTable[[Faktisk res]:[Faktisk res]],LayTable[[Dato]:[Dato]],"&gt;="&amp;R$5,LayTable[[Dato]:[Dato]],"&lt;="&amp;EOMONTH(R$5,0),LayTable[[Bookmaker]:[Bookmaker]],$K23)+SUMIFS(BetTable[[AR_per_bookie]:[AR_per_bookie]],BetTable[[B1]:[B1]],$K23,BetTable[[Date]:[Date]], "&gt;="&amp;R$5,BetTable[[Date]:[Date]],"&lt;="&amp;EOMONTH(R$5,0))+SUMIFS(BetTable[[AR_per_bookie]:[AR_per_bookie]],BetTable[[B2]:[B2]],$K23,BetTable[[Date]:[Date]], "&gt;="&amp;R$5,BetTable[[Date]:[Date]],"&lt;="&amp;EOMONTH(R$5,0))+SUMIFS(BetTable[[AR_per_bookie]:[AR_per_bookie]],BetTable[[B3]:[B3]],$K23,BetTable[[Date]:[Date]], "&gt;="&amp;R$5,BetTable[[Date]:[Date]],"&lt;="&amp;EOMONTH(R$5,0))</f>
        <v>0</v>
      </c>
      <c r="S23" s="186">
        <f>SUMIFS(DWbonus[[Sum]:[Sum]],DWbonus[[Dato]:[Dato]], "&gt;="&amp;S$5,DWbonus[[Dato]:[Dato]],"&lt;="&amp;EOMONTH(S$5,0),DWbonus[[Bookie]:[Bookie]],$K23)+SUMIFS(LayTable[[Faktisk res]:[Faktisk res]],LayTable[[Dato]:[Dato]],"&gt;="&amp;S$5,LayTable[[Dato]:[Dato]],"&lt;="&amp;EOMONTH(S$5,0),LayTable[[Bookmaker]:[Bookmaker]],$K23)+SUMIFS(BetTable[[AR_per_bookie]:[AR_per_bookie]],BetTable[[B1]:[B1]],$K23,BetTable[[Date]:[Date]], "&gt;="&amp;S$5,BetTable[[Date]:[Date]],"&lt;="&amp;EOMONTH(S$5,0))+SUMIFS(BetTable[[AR_per_bookie]:[AR_per_bookie]],BetTable[[B2]:[B2]],$K23,BetTable[[Date]:[Date]], "&gt;="&amp;S$5,BetTable[[Date]:[Date]],"&lt;="&amp;EOMONTH(S$5,0))+SUMIFS(BetTable[[AR_per_bookie]:[AR_per_bookie]],BetTable[[B3]:[B3]],$K23,BetTable[[Date]:[Date]], "&gt;="&amp;S$5,BetTable[[Date]:[Date]],"&lt;="&amp;EOMONTH(S$5,0))</f>
        <v>0</v>
      </c>
      <c r="T23" s="186">
        <f>SUMIFS(DWbonus[[Sum]:[Sum]],DWbonus[[Dato]:[Dato]], "&gt;="&amp;T$5,DWbonus[[Dato]:[Dato]],"&lt;="&amp;EOMONTH(T$5,0),DWbonus[[Bookie]:[Bookie]],$K23)+SUMIFS(LayTable[[Faktisk res]:[Faktisk res]],LayTable[[Dato]:[Dato]],"&gt;="&amp;T$5,LayTable[[Dato]:[Dato]],"&lt;="&amp;EOMONTH(T$5,0),LayTable[[Bookmaker]:[Bookmaker]],$K23)+SUMIFS(BetTable[[AR_per_bookie]:[AR_per_bookie]],BetTable[[B1]:[B1]],$K23,BetTable[[Date]:[Date]], "&gt;="&amp;T$5,BetTable[[Date]:[Date]],"&lt;="&amp;EOMONTH(T$5,0))+SUMIFS(BetTable[[AR_per_bookie]:[AR_per_bookie]],BetTable[[B2]:[B2]],$K23,BetTable[[Date]:[Date]], "&gt;="&amp;T$5,BetTable[[Date]:[Date]],"&lt;="&amp;EOMONTH(T$5,0))+SUMIFS(BetTable[[AR_per_bookie]:[AR_per_bookie]],BetTable[[B3]:[B3]],$K23,BetTable[[Date]:[Date]], "&gt;="&amp;T$5,BetTable[[Date]:[Date]],"&lt;="&amp;EOMONTH(T$5,0))</f>
        <v>0</v>
      </c>
      <c r="U23" s="186">
        <f>SUMIFS(DWbonus[[Sum]:[Sum]],DWbonus[[Dato]:[Dato]], "&gt;="&amp;U$5,DWbonus[[Dato]:[Dato]],"&lt;="&amp;EOMONTH(U$5,0),DWbonus[[Bookie]:[Bookie]],$K23)+SUMIFS(LayTable[[Faktisk res]:[Faktisk res]],LayTable[[Dato]:[Dato]],"&gt;="&amp;U$5,LayTable[[Dato]:[Dato]],"&lt;="&amp;EOMONTH(U$5,0),LayTable[[Bookmaker]:[Bookmaker]],$K23)+SUMIFS(BetTable[[AR_per_bookie]:[AR_per_bookie]],BetTable[[B1]:[B1]],$K23,BetTable[[Date]:[Date]], "&gt;="&amp;U$5,BetTable[[Date]:[Date]],"&lt;="&amp;EOMONTH(U$5,0))+SUMIFS(BetTable[[AR_per_bookie]:[AR_per_bookie]],BetTable[[B2]:[B2]],$K23,BetTable[[Date]:[Date]], "&gt;="&amp;U$5,BetTable[[Date]:[Date]],"&lt;="&amp;EOMONTH(U$5,0))+SUMIFS(BetTable[[AR_per_bookie]:[AR_per_bookie]],BetTable[[B3]:[B3]],$K23,BetTable[[Date]:[Date]], "&gt;="&amp;U$5,BetTable[[Date]:[Date]],"&lt;="&amp;EOMONTH(U$5,0))</f>
        <v>0</v>
      </c>
      <c r="V23" s="186">
        <f>SUMIFS(DWbonus[[Sum]:[Sum]],DWbonus[[Dato]:[Dato]], "&gt;="&amp;V$5,DWbonus[[Dato]:[Dato]],"&lt;="&amp;EOMONTH(V$5,0),DWbonus[[Bookie]:[Bookie]],$K23)+SUMIFS(LayTable[[Faktisk res]:[Faktisk res]],LayTable[[Dato]:[Dato]],"&gt;="&amp;V$5,LayTable[[Dato]:[Dato]],"&lt;="&amp;EOMONTH(V$5,0),LayTable[[Bookmaker]:[Bookmaker]],$K23)+SUMIFS(BetTable[[AR_per_bookie]:[AR_per_bookie]],BetTable[[B1]:[B1]],$K23,BetTable[[Date]:[Date]], "&gt;="&amp;V$5,BetTable[[Date]:[Date]],"&lt;="&amp;EOMONTH(V$5,0))+SUMIFS(BetTable[[AR_per_bookie]:[AR_per_bookie]],BetTable[[B2]:[B2]],$K23,BetTable[[Date]:[Date]], "&gt;="&amp;V$5,BetTable[[Date]:[Date]],"&lt;="&amp;EOMONTH(V$5,0))+SUMIFS(BetTable[[AR_per_bookie]:[AR_per_bookie]],BetTable[[B3]:[B3]],$K23,BetTable[[Date]:[Date]], "&gt;="&amp;V$5,BetTable[[Date]:[Date]],"&lt;="&amp;EOMONTH(V$5,0))</f>
        <v>0</v>
      </c>
      <c r="W23" s="186">
        <f>SUMIFS(DWbonus[[Sum]:[Sum]],DWbonus[[Dato]:[Dato]], "&gt;="&amp;W$5,DWbonus[[Dato]:[Dato]],"&lt;="&amp;EOMONTH(W$5,0),DWbonus[[Bookie]:[Bookie]],$K23)+SUMIFS(LayTable[[Faktisk res]:[Faktisk res]],LayTable[[Dato]:[Dato]],"&gt;="&amp;W$5,LayTable[[Dato]:[Dato]],"&lt;="&amp;EOMONTH(W$5,0),LayTable[[Bookmaker]:[Bookmaker]],$K23)+SUMIFS(BetTable[[AR_per_bookie]:[AR_per_bookie]],BetTable[[B1]:[B1]],$K23,BetTable[[Date]:[Date]], "&gt;="&amp;W$5,BetTable[[Date]:[Date]],"&lt;="&amp;EOMONTH(W$5,0))+SUMIFS(BetTable[[AR_per_bookie]:[AR_per_bookie]],BetTable[[B2]:[B2]],$K23,BetTable[[Date]:[Date]], "&gt;="&amp;W$5,BetTable[[Date]:[Date]],"&lt;="&amp;EOMONTH(W$5,0))+SUMIFS(BetTable[[AR_per_bookie]:[AR_per_bookie]],BetTable[[B3]:[B3]],$K23,BetTable[[Date]:[Date]], "&gt;="&amp;W$5,BetTable[[Date]:[Date]],"&lt;="&amp;EOMONTH(W$5,0))</f>
        <v>0</v>
      </c>
    </row>
    <row r="24" spans="1:23">
      <c r="A24" s="300" t="s">
        <v>442</v>
      </c>
      <c r="B24" s="211" t="s">
        <v>449</v>
      </c>
      <c r="C24" s="211" t="s">
        <v>403</v>
      </c>
      <c r="D24" s="211"/>
      <c r="E24" s="211"/>
      <c r="G24" s="300" t="s">
        <v>116</v>
      </c>
      <c r="K24" s="174" t="str">
        <f t="array" ref="K24">IFERROR(INDEX(BookieNavn!H$2:H$1251,SMALL(IF(EXACT(LEFT(BookieNavn!H$2:H$1251,2),M$3),ROW(BookieNavn!H$2:H$1251)-ROW(BookieNavn!H$2)+1),ROWS(BookieNavn!H$2:'BookieNavn'!H19))),"")</f>
        <v/>
      </c>
      <c r="L24" s="186">
        <f>SUMIFS(DWbonus[[Sum]:[Sum]],DWbonus[[Dato]:[Dato]], "&gt;="&amp;L$5,DWbonus[[Dato]:[Dato]],"&lt;="&amp;EOMONTH(L$5,0),DWbonus[[Bookie]:[Bookie]],$K24)+SUMIFS(LayTable[[Faktisk res]:[Faktisk res]],LayTable[[Dato]:[Dato]],"&gt;="&amp;L$5,LayTable[[Dato]:[Dato]],"&lt;="&amp;EOMONTH(L$5,0),LayTable[[Bookmaker]:[Bookmaker]],$K24)+SUMIFS(BetTable[[AR_per_bookie]:[AR_per_bookie]],BetTable[[B1]:[B1]],$K24,BetTable[[Date]:[Date]], "&gt;="&amp;L$5,BetTable[[Date]:[Date]],"&lt;="&amp;EOMONTH(L$5,0))+SUMIFS(BetTable[[AR_per_bookie]:[AR_per_bookie]],BetTable[[B2]:[B2]],$K24,BetTable[[Date]:[Date]], "&gt;="&amp;L$5,BetTable[[Date]:[Date]],"&lt;="&amp;EOMONTH(L$5,0))+SUMIFS(BetTable[[AR_per_bookie]:[AR_per_bookie]],BetTable[[B3]:[B3]],$K24,BetTable[[Date]:[Date]], "&gt;="&amp;L$5,BetTable[[Date]:[Date]],"&lt;="&amp;EOMONTH(L$5,0))</f>
        <v>0</v>
      </c>
      <c r="M24" s="186">
        <f>SUMIFS(DWbonus[[Sum]:[Sum]],DWbonus[[Dato]:[Dato]], "&gt;="&amp;M$5,DWbonus[[Dato]:[Dato]],"&lt;="&amp;EOMONTH(M$5,0),DWbonus[[Bookie]:[Bookie]],$K24)+SUMIFS(LayTable[[Faktisk res]:[Faktisk res]],LayTable[[Dato]:[Dato]],"&gt;="&amp;M$5,LayTable[[Dato]:[Dato]],"&lt;="&amp;EOMONTH(M$5,0),LayTable[[Bookmaker]:[Bookmaker]],$K24)+SUMIFS(BetTable[[AR_per_bookie]:[AR_per_bookie]],BetTable[[B1]:[B1]],$K24,BetTable[[Date]:[Date]], "&gt;="&amp;M$5,BetTable[[Date]:[Date]],"&lt;="&amp;EOMONTH(M$5,0))+SUMIFS(BetTable[[AR_per_bookie]:[AR_per_bookie]],BetTable[[B2]:[B2]],$K24,BetTable[[Date]:[Date]], "&gt;="&amp;M$5,BetTable[[Date]:[Date]],"&lt;="&amp;EOMONTH(M$5,0))+SUMIFS(BetTable[[AR_per_bookie]:[AR_per_bookie]],BetTable[[B3]:[B3]],$K24,BetTable[[Date]:[Date]], "&gt;="&amp;M$5,BetTable[[Date]:[Date]],"&lt;="&amp;EOMONTH(M$5,0))</f>
        <v>0</v>
      </c>
      <c r="N24" s="186">
        <f>SUMIFS(DWbonus[[Sum]:[Sum]],DWbonus[[Dato]:[Dato]], "&gt;="&amp;N$5,DWbonus[[Dato]:[Dato]],"&lt;="&amp;EOMONTH(N$5,0),DWbonus[[Bookie]:[Bookie]],$K24)+SUMIFS(LayTable[[Faktisk res]:[Faktisk res]],LayTable[[Dato]:[Dato]],"&gt;="&amp;N$5,LayTable[[Dato]:[Dato]],"&lt;="&amp;EOMONTH(N$5,0),LayTable[[Bookmaker]:[Bookmaker]],$K24)+SUMIFS(BetTable[[AR_per_bookie]:[AR_per_bookie]],BetTable[[B1]:[B1]],$K24,BetTable[[Date]:[Date]], "&gt;="&amp;N$5,BetTable[[Date]:[Date]],"&lt;="&amp;EOMONTH(N$5,0))+SUMIFS(BetTable[[AR_per_bookie]:[AR_per_bookie]],BetTable[[B2]:[B2]],$K24,BetTable[[Date]:[Date]], "&gt;="&amp;N$5,BetTable[[Date]:[Date]],"&lt;="&amp;EOMONTH(N$5,0))+SUMIFS(BetTable[[AR_per_bookie]:[AR_per_bookie]],BetTable[[B3]:[B3]],$K24,BetTable[[Date]:[Date]], "&gt;="&amp;N$5,BetTable[[Date]:[Date]],"&lt;="&amp;EOMONTH(N$5,0))</f>
        <v>0</v>
      </c>
      <c r="O24" s="186">
        <f>SUMIFS(DWbonus[[Sum]:[Sum]],DWbonus[[Dato]:[Dato]], "&gt;="&amp;O$5,DWbonus[[Dato]:[Dato]],"&lt;="&amp;EOMONTH(O$5,0),DWbonus[[Bookie]:[Bookie]],$K24)+SUMIFS(LayTable[[Faktisk res]:[Faktisk res]],LayTable[[Dato]:[Dato]],"&gt;="&amp;O$5,LayTable[[Dato]:[Dato]],"&lt;="&amp;EOMONTH(O$5,0),LayTable[[Bookmaker]:[Bookmaker]],$K24)+SUMIFS(BetTable[[AR_per_bookie]:[AR_per_bookie]],BetTable[[B1]:[B1]],$K24,BetTable[[Date]:[Date]], "&gt;="&amp;O$5,BetTable[[Date]:[Date]],"&lt;="&amp;EOMONTH(O$5,0))+SUMIFS(BetTable[[AR_per_bookie]:[AR_per_bookie]],BetTable[[B2]:[B2]],$K24,BetTable[[Date]:[Date]], "&gt;="&amp;O$5,BetTable[[Date]:[Date]],"&lt;="&amp;EOMONTH(O$5,0))+SUMIFS(BetTable[[AR_per_bookie]:[AR_per_bookie]],BetTable[[B3]:[B3]],$K24,BetTable[[Date]:[Date]], "&gt;="&amp;O$5,BetTable[[Date]:[Date]],"&lt;="&amp;EOMONTH(O$5,0))</f>
        <v>0</v>
      </c>
      <c r="P24" s="186">
        <f>SUMIFS(DWbonus[[Sum]:[Sum]],DWbonus[[Dato]:[Dato]], "&gt;="&amp;P$5,DWbonus[[Dato]:[Dato]],"&lt;="&amp;EOMONTH(P$5,0),DWbonus[[Bookie]:[Bookie]],$K24)+SUMIFS(LayTable[[Faktisk res]:[Faktisk res]],LayTable[[Dato]:[Dato]],"&gt;="&amp;P$5,LayTable[[Dato]:[Dato]],"&lt;="&amp;EOMONTH(P$5,0),LayTable[[Bookmaker]:[Bookmaker]],$K24)+SUMIFS(BetTable[[AR_per_bookie]:[AR_per_bookie]],BetTable[[B1]:[B1]],$K24,BetTable[[Date]:[Date]], "&gt;="&amp;P$5,BetTable[[Date]:[Date]],"&lt;="&amp;EOMONTH(P$5,0))+SUMIFS(BetTable[[AR_per_bookie]:[AR_per_bookie]],BetTable[[B2]:[B2]],$K24,BetTable[[Date]:[Date]], "&gt;="&amp;P$5,BetTable[[Date]:[Date]],"&lt;="&amp;EOMONTH(P$5,0))+SUMIFS(BetTable[[AR_per_bookie]:[AR_per_bookie]],BetTable[[B3]:[B3]],$K24,BetTable[[Date]:[Date]], "&gt;="&amp;P$5,BetTable[[Date]:[Date]],"&lt;="&amp;EOMONTH(P$5,0))</f>
        <v>0</v>
      </c>
      <c r="Q24" s="186">
        <f>SUMIFS(DWbonus[[Sum]:[Sum]],DWbonus[[Dato]:[Dato]], "&gt;="&amp;Q$5,DWbonus[[Dato]:[Dato]],"&lt;="&amp;EOMONTH(Q$5,0),DWbonus[[Bookie]:[Bookie]],$K24)+SUMIFS(LayTable[[Faktisk res]:[Faktisk res]],LayTable[[Dato]:[Dato]],"&gt;="&amp;Q$5,LayTable[[Dato]:[Dato]],"&lt;="&amp;EOMONTH(Q$5,0),LayTable[[Bookmaker]:[Bookmaker]],$K24)+SUMIFS(BetTable[[AR_per_bookie]:[AR_per_bookie]],BetTable[[B1]:[B1]],$K24,BetTable[[Date]:[Date]], "&gt;="&amp;Q$5,BetTable[[Date]:[Date]],"&lt;="&amp;EOMONTH(Q$5,0))+SUMIFS(BetTable[[AR_per_bookie]:[AR_per_bookie]],BetTable[[B2]:[B2]],$K24,BetTable[[Date]:[Date]], "&gt;="&amp;Q$5,BetTable[[Date]:[Date]],"&lt;="&amp;EOMONTH(Q$5,0))+SUMIFS(BetTable[[AR_per_bookie]:[AR_per_bookie]],BetTable[[B3]:[B3]],$K24,BetTable[[Date]:[Date]], "&gt;="&amp;Q$5,BetTable[[Date]:[Date]],"&lt;="&amp;EOMONTH(Q$5,0))</f>
        <v>0</v>
      </c>
      <c r="R24" s="186">
        <f>SUMIFS(DWbonus[[Sum]:[Sum]],DWbonus[[Dato]:[Dato]], "&gt;="&amp;R$5,DWbonus[[Dato]:[Dato]],"&lt;="&amp;EOMONTH(R$5,0),DWbonus[[Bookie]:[Bookie]],$K24)+SUMIFS(LayTable[[Faktisk res]:[Faktisk res]],LayTable[[Dato]:[Dato]],"&gt;="&amp;R$5,LayTable[[Dato]:[Dato]],"&lt;="&amp;EOMONTH(R$5,0),LayTable[[Bookmaker]:[Bookmaker]],$K24)+SUMIFS(BetTable[[AR_per_bookie]:[AR_per_bookie]],BetTable[[B1]:[B1]],$K24,BetTable[[Date]:[Date]], "&gt;="&amp;R$5,BetTable[[Date]:[Date]],"&lt;="&amp;EOMONTH(R$5,0))+SUMIFS(BetTable[[AR_per_bookie]:[AR_per_bookie]],BetTable[[B2]:[B2]],$K24,BetTable[[Date]:[Date]], "&gt;="&amp;R$5,BetTable[[Date]:[Date]],"&lt;="&amp;EOMONTH(R$5,0))+SUMIFS(BetTable[[AR_per_bookie]:[AR_per_bookie]],BetTable[[B3]:[B3]],$K24,BetTable[[Date]:[Date]], "&gt;="&amp;R$5,BetTable[[Date]:[Date]],"&lt;="&amp;EOMONTH(R$5,0))</f>
        <v>0</v>
      </c>
      <c r="S24" s="186">
        <f>SUMIFS(DWbonus[[Sum]:[Sum]],DWbonus[[Dato]:[Dato]], "&gt;="&amp;S$5,DWbonus[[Dato]:[Dato]],"&lt;="&amp;EOMONTH(S$5,0),DWbonus[[Bookie]:[Bookie]],$K24)+SUMIFS(LayTable[[Faktisk res]:[Faktisk res]],LayTable[[Dato]:[Dato]],"&gt;="&amp;S$5,LayTable[[Dato]:[Dato]],"&lt;="&amp;EOMONTH(S$5,0),LayTable[[Bookmaker]:[Bookmaker]],$K24)+SUMIFS(BetTable[[AR_per_bookie]:[AR_per_bookie]],BetTable[[B1]:[B1]],$K24,BetTable[[Date]:[Date]], "&gt;="&amp;S$5,BetTable[[Date]:[Date]],"&lt;="&amp;EOMONTH(S$5,0))+SUMIFS(BetTable[[AR_per_bookie]:[AR_per_bookie]],BetTable[[B2]:[B2]],$K24,BetTable[[Date]:[Date]], "&gt;="&amp;S$5,BetTable[[Date]:[Date]],"&lt;="&amp;EOMONTH(S$5,0))+SUMIFS(BetTable[[AR_per_bookie]:[AR_per_bookie]],BetTable[[B3]:[B3]],$K24,BetTable[[Date]:[Date]], "&gt;="&amp;S$5,BetTable[[Date]:[Date]],"&lt;="&amp;EOMONTH(S$5,0))</f>
        <v>0</v>
      </c>
      <c r="T24" s="186">
        <f>SUMIFS(DWbonus[[Sum]:[Sum]],DWbonus[[Dato]:[Dato]], "&gt;="&amp;T$5,DWbonus[[Dato]:[Dato]],"&lt;="&amp;EOMONTH(T$5,0),DWbonus[[Bookie]:[Bookie]],$K24)+SUMIFS(LayTable[[Faktisk res]:[Faktisk res]],LayTable[[Dato]:[Dato]],"&gt;="&amp;T$5,LayTable[[Dato]:[Dato]],"&lt;="&amp;EOMONTH(T$5,0),LayTable[[Bookmaker]:[Bookmaker]],$K24)+SUMIFS(BetTable[[AR_per_bookie]:[AR_per_bookie]],BetTable[[B1]:[B1]],$K24,BetTable[[Date]:[Date]], "&gt;="&amp;T$5,BetTable[[Date]:[Date]],"&lt;="&amp;EOMONTH(T$5,0))+SUMIFS(BetTable[[AR_per_bookie]:[AR_per_bookie]],BetTable[[B2]:[B2]],$K24,BetTable[[Date]:[Date]], "&gt;="&amp;T$5,BetTable[[Date]:[Date]],"&lt;="&amp;EOMONTH(T$5,0))+SUMIFS(BetTable[[AR_per_bookie]:[AR_per_bookie]],BetTable[[B3]:[B3]],$K24,BetTable[[Date]:[Date]], "&gt;="&amp;T$5,BetTable[[Date]:[Date]],"&lt;="&amp;EOMONTH(T$5,0))</f>
        <v>0</v>
      </c>
      <c r="U24" s="186">
        <f>SUMIFS(DWbonus[[Sum]:[Sum]],DWbonus[[Dato]:[Dato]], "&gt;="&amp;U$5,DWbonus[[Dato]:[Dato]],"&lt;="&amp;EOMONTH(U$5,0),DWbonus[[Bookie]:[Bookie]],$K24)+SUMIFS(LayTable[[Faktisk res]:[Faktisk res]],LayTable[[Dato]:[Dato]],"&gt;="&amp;U$5,LayTable[[Dato]:[Dato]],"&lt;="&amp;EOMONTH(U$5,0),LayTable[[Bookmaker]:[Bookmaker]],$K24)+SUMIFS(BetTable[[AR_per_bookie]:[AR_per_bookie]],BetTable[[B1]:[B1]],$K24,BetTable[[Date]:[Date]], "&gt;="&amp;U$5,BetTable[[Date]:[Date]],"&lt;="&amp;EOMONTH(U$5,0))+SUMIFS(BetTable[[AR_per_bookie]:[AR_per_bookie]],BetTable[[B2]:[B2]],$K24,BetTable[[Date]:[Date]], "&gt;="&amp;U$5,BetTable[[Date]:[Date]],"&lt;="&amp;EOMONTH(U$5,0))+SUMIFS(BetTable[[AR_per_bookie]:[AR_per_bookie]],BetTable[[B3]:[B3]],$K24,BetTable[[Date]:[Date]], "&gt;="&amp;U$5,BetTable[[Date]:[Date]],"&lt;="&amp;EOMONTH(U$5,0))</f>
        <v>0</v>
      </c>
      <c r="V24" s="186">
        <f>SUMIFS(DWbonus[[Sum]:[Sum]],DWbonus[[Dato]:[Dato]], "&gt;="&amp;V$5,DWbonus[[Dato]:[Dato]],"&lt;="&amp;EOMONTH(V$5,0),DWbonus[[Bookie]:[Bookie]],$K24)+SUMIFS(LayTable[[Faktisk res]:[Faktisk res]],LayTable[[Dato]:[Dato]],"&gt;="&amp;V$5,LayTable[[Dato]:[Dato]],"&lt;="&amp;EOMONTH(V$5,0),LayTable[[Bookmaker]:[Bookmaker]],$K24)+SUMIFS(BetTable[[AR_per_bookie]:[AR_per_bookie]],BetTable[[B1]:[B1]],$K24,BetTable[[Date]:[Date]], "&gt;="&amp;V$5,BetTable[[Date]:[Date]],"&lt;="&amp;EOMONTH(V$5,0))+SUMIFS(BetTable[[AR_per_bookie]:[AR_per_bookie]],BetTable[[B2]:[B2]],$K24,BetTable[[Date]:[Date]], "&gt;="&amp;V$5,BetTable[[Date]:[Date]],"&lt;="&amp;EOMONTH(V$5,0))+SUMIFS(BetTable[[AR_per_bookie]:[AR_per_bookie]],BetTable[[B3]:[B3]],$K24,BetTable[[Date]:[Date]], "&gt;="&amp;V$5,BetTable[[Date]:[Date]],"&lt;="&amp;EOMONTH(V$5,0))</f>
        <v>0</v>
      </c>
      <c r="W24" s="186">
        <f>SUMIFS(DWbonus[[Sum]:[Sum]],DWbonus[[Dato]:[Dato]], "&gt;="&amp;W$5,DWbonus[[Dato]:[Dato]],"&lt;="&amp;EOMONTH(W$5,0),DWbonus[[Bookie]:[Bookie]],$K24)+SUMIFS(LayTable[[Faktisk res]:[Faktisk res]],LayTable[[Dato]:[Dato]],"&gt;="&amp;W$5,LayTable[[Dato]:[Dato]],"&lt;="&amp;EOMONTH(W$5,0),LayTable[[Bookmaker]:[Bookmaker]],$K24)+SUMIFS(BetTable[[AR_per_bookie]:[AR_per_bookie]],BetTable[[B1]:[B1]],$K24,BetTable[[Date]:[Date]], "&gt;="&amp;W$5,BetTable[[Date]:[Date]],"&lt;="&amp;EOMONTH(W$5,0))+SUMIFS(BetTable[[AR_per_bookie]:[AR_per_bookie]],BetTable[[B2]:[B2]],$K24,BetTable[[Date]:[Date]], "&gt;="&amp;W$5,BetTable[[Date]:[Date]],"&lt;="&amp;EOMONTH(W$5,0))+SUMIFS(BetTable[[AR_per_bookie]:[AR_per_bookie]],BetTable[[B3]:[B3]],$K24,BetTable[[Date]:[Date]], "&gt;="&amp;W$5,BetTable[[Date]:[Date]],"&lt;="&amp;EOMONTH(W$5,0))</f>
        <v>0</v>
      </c>
    </row>
    <row r="25" spans="1:23">
      <c r="A25" s="301"/>
      <c r="B25" s="217">
        <v>195</v>
      </c>
      <c r="C25" s="217">
        <f>180/3</f>
        <v>60</v>
      </c>
      <c r="D25" s="217"/>
      <c r="E25" s="217"/>
      <c r="G25" s="301">
        <f>SUM(B25:E25)</f>
        <v>255</v>
      </c>
      <c r="K25" s="174" t="str">
        <f t="array" ref="K25">IFERROR(INDEX(BookieNavn!H$2:H$1251,SMALL(IF(EXACT(LEFT(BookieNavn!H$2:H$1251,2),M$3),ROW(BookieNavn!H$2:H$1251)-ROW(BookieNavn!H$2)+1),ROWS(BookieNavn!H$2:'BookieNavn'!H20))),"")</f>
        <v/>
      </c>
      <c r="L25" s="186">
        <f>SUMIFS(DWbonus[[Sum]:[Sum]],DWbonus[[Dato]:[Dato]], "&gt;="&amp;L$5,DWbonus[[Dato]:[Dato]],"&lt;="&amp;EOMONTH(L$5,0),DWbonus[[Bookie]:[Bookie]],$K25)+SUMIFS(LayTable[[Faktisk res]:[Faktisk res]],LayTable[[Dato]:[Dato]],"&gt;="&amp;L$5,LayTable[[Dato]:[Dato]],"&lt;="&amp;EOMONTH(L$5,0),LayTable[[Bookmaker]:[Bookmaker]],$K25)+SUMIFS(BetTable[[AR_per_bookie]:[AR_per_bookie]],BetTable[[B1]:[B1]],$K25,BetTable[[Date]:[Date]], "&gt;="&amp;L$5,BetTable[[Date]:[Date]],"&lt;="&amp;EOMONTH(L$5,0))+SUMIFS(BetTable[[AR_per_bookie]:[AR_per_bookie]],BetTable[[B2]:[B2]],$K25,BetTable[[Date]:[Date]], "&gt;="&amp;L$5,BetTable[[Date]:[Date]],"&lt;="&amp;EOMONTH(L$5,0))+SUMIFS(BetTable[[AR_per_bookie]:[AR_per_bookie]],BetTable[[B3]:[B3]],$K25,BetTable[[Date]:[Date]], "&gt;="&amp;L$5,BetTable[[Date]:[Date]],"&lt;="&amp;EOMONTH(L$5,0))</f>
        <v>0</v>
      </c>
      <c r="M25" s="186">
        <f>SUMIFS(DWbonus[[Sum]:[Sum]],DWbonus[[Dato]:[Dato]], "&gt;="&amp;M$5,DWbonus[[Dato]:[Dato]],"&lt;="&amp;EOMONTH(M$5,0),DWbonus[[Bookie]:[Bookie]],$K25)+SUMIFS(LayTable[[Faktisk res]:[Faktisk res]],LayTable[[Dato]:[Dato]],"&gt;="&amp;M$5,LayTable[[Dato]:[Dato]],"&lt;="&amp;EOMONTH(M$5,0),LayTable[[Bookmaker]:[Bookmaker]],$K25)+SUMIFS(BetTable[[AR_per_bookie]:[AR_per_bookie]],BetTable[[B1]:[B1]],$K25,BetTable[[Date]:[Date]], "&gt;="&amp;M$5,BetTable[[Date]:[Date]],"&lt;="&amp;EOMONTH(M$5,0))+SUMIFS(BetTable[[AR_per_bookie]:[AR_per_bookie]],BetTable[[B2]:[B2]],$K25,BetTable[[Date]:[Date]], "&gt;="&amp;M$5,BetTable[[Date]:[Date]],"&lt;="&amp;EOMONTH(M$5,0))+SUMIFS(BetTable[[AR_per_bookie]:[AR_per_bookie]],BetTable[[B3]:[B3]],$K25,BetTable[[Date]:[Date]], "&gt;="&amp;M$5,BetTable[[Date]:[Date]],"&lt;="&amp;EOMONTH(M$5,0))</f>
        <v>0</v>
      </c>
      <c r="N25" s="186">
        <f>SUMIFS(DWbonus[[Sum]:[Sum]],DWbonus[[Dato]:[Dato]], "&gt;="&amp;N$5,DWbonus[[Dato]:[Dato]],"&lt;="&amp;EOMONTH(N$5,0),DWbonus[[Bookie]:[Bookie]],$K25)+SUMIFS(LayTable[[Faktisk res]:[Faktisk res]],LayTable[[Dato]:[Dato]],"&gt;="&amp;N$5,LayTable[[Dato]:[Dato]],"&lt;="&amp;EOMONTH(N$5,0),LayTable[[Bookmaker]:[Bookmaker]],$K25)+SUMIFS(BetTable[[AR_per_bookie]:[AR_per_bookie]],BetTable[[B1]:[B1]],$K25,BetTable[[Date]:[Date]], "&gt;="&amp;N$5,BetTable[[Date]:[Date]],"&lt;="&amp;EOMONTH(N$5,0))+SUMIFS(BetTable[[AR_per_bookie]:[AR_per_bookie]],BetTable[[B2]:[B2]],$K25,BetTable[[Date]:[Date]], "&gt;="&amp;N$5,BetTable[[Date]:[Date]],"&lt;="&amp;EOMONTH(N$5,0))+SUMIFS(BetTable[[AR_per_bookie]:[AR_per_bookie]],BetTable[[B3]:[B3]],$K25,BetTable[[Date]:[Date]], "&gt;="&amp;N$5,BetTable[[Date]:[Date]],"&lt;="&amp;EOMONTH(N$5,0))</f>
        <v>0</v>
      </c>
      <c r="O25" s="186">
        <f>SUMIFS(DWbonus[[Sum]:[Sum]],DWbonus[[Dato]:[Dato]], "&gt;="&amp;O$5,DWbonus[[Dato]:[Dato]],"&lt;="&amp;EOMONTH(O$5,0),DWbonus[[Bookie]:[Bookie]],$K25)+SUMIFS(LayTable[[Faktisk res]:[Faktisk res]],LayTable[[Dato]:[Dato]],"&gt;="&amp;O$5,LayTable[[Dato]:[Dato]],"&lt;="&amp;EOMONTH(O$5,0),LayTable[[Bookmaker]:[Bookmaker]],$K25)+SUMIFS(BetTable[[AR_per_bookie]:[AR_per_bookie]],BetTable[[B1]:[B1]],$K25,BetTable[[Date]:[Date]], "&gt;="&amp;O$5,BetTable[[Date]:[Date]],"&lt;="&amp;EOMONTH(O$5,0))+SUMIFS(BetTable[[AR_per_bookie]:[AR_per_bookie]],BetTable[[B2]:[B2]],$K25,BetTable[[Date]:[Date]], "&gt;="&amp;O$5,BetTable[[Date]:[Date]],"&lt;="&amp;EOMONTH(O$5,0))+SUMIFS(BetTable[[AR_per_bookie]:[AR_per_bookie]],BetTable[[B3]:[B3]],$K25,BetTable[[Date]:[Date]], "&gt;="&amp;O$5,BetTable[[Date]:[Date]],"&lt;="&amp;EOMONTH(O$5,0))</f>
        <v>0</v>
      </c>
      <c r="P25" s="186">
        <f>SUMIFS(DWbonus[[Sum]:[Sum]],DWbonus[[Dato]:[Dato]], "&gt;="&amp;P$5,DWbonus[[Dato]:[Dato]],"&lt;="&amp;EOMONTH(P$5,0),DWbonus[[Bookie]:[Bookie]],$K25)+SUMIFS(LayTable[[Faktisk res]:[Faktisk res]],LayTable[[Dato]:[Dato]],"&gt;="&amp;P$5,LayTable[[Dato]:[Dato]],"&lt;="&amp;EOMONTH(P$5,0),LayTable[[Bookmaker]:[Bookmaker]],$K25)+SUMIFS(BetTable[[AR_per_bookie]:[AR_per_bookie]],BetTable[[B1]:[B1]],$K25,BetTable[[Date]:[Date]], "&gt;="&amp;P$5,BetTable[[Date]:[Date]],"&lt;="&amp;EOMONTH(P$5,0))+SUMIFS(BetTable[[AR_per_bookie]:[AR_per_bookie]],BetTable[[B2]:[B2]],$K25,BetTable[[Date]:[Date]], "&gt;="&amp;P$5,BetTable[[Date]:[Date]],"&lt;="&amp;EOMONTH(P$5,0))+SUMIFS(BetTable[[AR_per_bookie]:[AR_per_bookie]],BetTable[[B3]:[B3]],$K25,BetTable[[Date]:[Date]], "&gt;="&amp;P$5,BetTable[[Date]:[Date]],"&lt;="&amp;EOMONTH(P$5,0))</f>
        <v>0</v>
      </c>
      <c r="Q25" s="186">
        <f>SUMIFS(DWbonus[[Sum]:[Sum]],DWbonus[[Dato]:[Dato]], "&gt;="&amp;Q$5,DWbonus[[Dato]:[Dato]],"&lt;="&amp;EOMONTH(Q$5,0),DWbonus[[Bookie]:[Bookie]],$K25)+SUMIFS(LayTable[[Faktisk res]:[Faktisk res]],LayTable[[Dato]:[Dato]],"&gt;="&amp;Q$5,LayTable[[Dato]:[Dato]],"&lt;="&amp;EOMONTH(Q$5,0),LayTable[[Bookmaker]:[Bookmaker]],$K25)+SUMIFS(BetTable[[AR_per_bookie]:[AR_per_bookie]],BetTable[[B1]:[B1]],$K25,BetTable[[Date]:[Date]], "&gt;="&amp;Q$5,BetTable[[Date]:[Date]],"&lt;="&amp;EOMONTH(Q$5,0))+SUMIFS(BetTable[[AR_per_bookie]:[AR_per_bookie]],BetTable[[B2]:[B2]],$K25,BetTable[[Date]:[Date]], "&gt;="&amp;Q$5,BetTable[[Date]:[Date]],"&lt;="&amp;EOMONTH(Q$5,0))+SUMIFS(BetTable[[AR_per_bookie]:[AR_per_bookie]],BetTable[[B3]:[B3]],$K25,BetTable[[Date]:[Date]], "&gt;="&amp;Q$5,BetTable[[Date]:[Date]],"&lt;="&amp;EOMONTH(Q$5,0))</f>
        <v>0</v>
      </c>
      <c r="R25" s="186">
        <f>SUMIFS(DWbonus[[Sum]:[Sum]],DWbonus[[Dato]:[Dato]], "&gt;="&amp;R$5,DWbonus[[Dato]:[Dato]],"&lt;="&amp;EOMONTH(R$5,0),DWbonus[[Bookie]:[Bookie]],$K25)+SUMIFS(LayTable[[Faktisk res]:[Faktisk res]],LayTable[[Dato]:[Dato]],"&gt;="&amp;R$5,LayTable[[Dato]:[Dato]],"&lt;="&amp;EOMONTH(R$5,0),LayTable[[Bookmaker]:[Bookmaker]],$K25)+SUMIFS(BetTable[[AR_per_bookie]:[AR_per_bookie]],BetTable[[B1]:[B1]],$K25,BetTable[[Date]:[Date]], "&gt;="&amp;R$5,BetTable[[Date]:[Date]],"&lt;="&amp;EOMONTH(R$5,0))+SUMIFS(BetTable[[AR_per_bookie]:[AR_per_bookie]],BetTable[[B2]:[B2]],$K25,BetTable[[Date]:[Date]], "&gt;="&amp;R$5,BetTable[[Date]:[Date]],"&lt;="&amp;EOMONTH(R$5,0))+SUMIFS(BetTable[[AR_per_bookie]:[AR_per_bookie]],BetTable[[B3]:[B3]],$K25,BetTable[[Date]:[Date]], "&gt;="&amp;R$5,BetTable[[Date]:[Date]],"&lt;="&amp;EOMONTH(R$5,0))</f>
        <v>0</v>
      </c>
      <c r="S25" s="186">
        <f>SUMIFS(DWbonus[[Sum]:[Sum]],DWbonus[[Dato]:[Dato]], "&gt;="&amp;S$5,DWbonus[[Dato]:[Dato]],"&lt;="&amp;EOMONTH(S$5,0),DWbonus[[Bookie]:[Bookie]],$K25)+SUMIFS(LayTable[[Faktisk res]:[Faktisk res]],LayTable[[Dato]:[Dato]],"&gt;="&amp;S$5,LayTable[[Dato]:[Dato]],"&lt;="&amp;EOMONTH(S$5,0),LayTable[[Bookmaker]:[Bookmaker]],$K25)+SUMIFS(BetTable[[AR_per_bookie]:[AR_per_bookie]],BetTable[[B1]:[B1]],$K25,BetTable[[Date]:[Date]], "&gt;="&amp;S$5,BetTable[[Date]:[Date]],"&lt;="&amp;EOMONTH(S$5,0))+SUMIFS(BetTable[[AR_per_bookie]:[AR_per_bookie]],BetTable[[B2]:[B2]],$K25,BetTable[[Date]:[Date]], "&gt;="&amp;S$5,BetTable[[Date]:[Date]],"&lt;="&amp;EOMONTH(S$5,0))+SUMIFS(BetTable[[AR_per_bookie]:[AR_per_bookie]],BetTable[[B3]:[B3]],$K25,BetTable[[Date]:[Date]], "&gt;="&amp;S$5,BetTable[[Date]:[Date]],"&lt;="&amp;EOMONTH(S$5,0))</f>
        <v>0</v>
      </c>
      <c r="T25" s="186">
        <f>SUMIFS(DWbonus[[Sum]:[Sum]],DWbonus[[Dato]:[Dato]], "&gt;="&amp;T$5,DWbonus[[Dato]:[Dato]],"&lt;="&amp;EOMONTH(T$5,0),DWbonus[[Bookie]:[Bookie]],$K25)+SUMIFS(LayTable[[Faktisk res]:[Faktisk res]],LayTable[[Dato]:[Dato]],"&gt;="&amp;T$5,LayTable[[Dato]:[Dato]],"&lt;="&amp;EOMONTH(T$5,0),LayTable[[Bookmaker]:[Bookmaker]],$K25)+SUMIFS(BetTable[[AR_per_bookie]:[AR_per_bookie]],BetTable[[B1]:[B1]],$K25,BetTable[[Date]:[Date]], "&gt;="&amp;T$5,BetTable[[Date]:[Date]],"&lt;="&amp;EOMONTH(T$5,0))+SUMIFS(BetTable[[AR_per_bookie]:[AR_per_bookie]],BetTable[[B2]:[B2]],$K25,BetTable[[Date]:[Date]], "&gt;="&amp;T$5,BetTable[[Date]:[Date]],"&lt;="&amp;EOMONTH(T$5,0))+SUMIFS(BetTable[[AR_per_bookie]:[AR_per_bookie]],BetTable[[B3]:[B3]],$K25,BetTable[[Date]:[Date]], "&gt;="&amp;T$5,BetTable[[Date]:[Date]],"&lt;="&amp;EOMONTH(T$5,0))</f>
        <v>0</v>
      </c>
      <c r="U25" s="186">
        <f>SUMIFS(DWbonus[[Sum]:[Sum]],DWbonus[[Dato]:[Dato]], "&gt;="&amp;U$5,DWbonus[[Dato]:[Dato]],"&lt;="&amp;EOMONTH(U$5,0),DWbonus[[Bookie]:[Bookie]],$K25)+SUMIFS(LayTable[[Faktisk res]:[Faktisk res]],LayTable[[Dato]:[Dato]],"&gt;="&amp;U$5,LayTable[[Dato]:[Dato]],"&lt;="&amp;EOMONTH(U$5,0),LayTable[[Bookmaker]:[Bookmaker]],$K25)+SUMIFS(BetTable[[AR_per_bookie]:[AR_per_bookie]],BetTable[[B1]:[B1]],$K25,BetTable[[Date]:[Date]], "&gt;="&amp;U$5,BetTable[[Date]:[Date]],"&lt;="&amp;EOMONTH(U$5,0))+SUMIFS(BetTable[[AR_per_bookie]:[AR_per_bookie]],BetTable[[B2]:[B2]],$K25,BetTable[[Date]:[Date]], "&gt;="&amp;U$5,BetTable[[Date]:[Date]],"&lt;="&amp;EOMONTH(U$5,0))+SUMIFS(BetTable[[AR_per_bookie]:[AR_per_bookie]],BetTable[[B3]:[B3]],$K25,BetTable[[Date]:[Date]], "&gt;="&amp;U$5,BetTable[[Date]:[Date]],"&lt;="&amp;EOMONTH(U$5,0))</f>
        <v>0</v>
      </c>
      <c r="V25" s="186">
        <f>SUMIFS(DWbonus[[Sum]:[Sum]],DWbonus[[Dato]:[Dato]], "&gt;="&amp;V$5,DWbonus[[Dato]:[Dato]],"&lt;="&amp;EOMONTH(V$5,0),DWbonus[[Bookie]:[Bookie]],$K25)+SUMIFS(LayTable[[Faktisk res]:[Faktisk res]],LayTable[[Dato]:[Dato]],"&gt;="&amp;V$5,LayTable[[Dato]:[Dato]],"&lt;="&amp;EOMONTH(V$5,0),LayTable[[Bookmaker]:[Bookmaker]],$K25)+SUMIFS(BetTable[[AR_per_bookie]:[AR_per_bookie]],BetTable[[B1]:[B1]],$K25,BetTable[[Date]:[Date]], "&gt;="&amp;V$5,BetTable[[Date]:[Date]],"&lt;="&amp;EOMONTH(V$5,0))+SUMIFS(BetTable[[AR_per_bookie]:[AR_per_bookie]],BetTable[[B2]:[B2]],$K25,BetTable[[Date]:[Date]], "&gt;="&amp;V$5,BetTable[[Date]:[Date]],"&lt;="&amp;EOMONTH(V$5,0))+SUMIFS(BetTable[[AR_per_bookie]:[AR_per_bookie]],BetTable[[B3]:[B3]],$K25,BetTable[[Date]:[Date]], "&gt;="&amp;V$5,BetTable[[Date]:[Date]],"&lt;="&amp;EOMONTH(V$5,0))</f>
        <v>0</v>
      </c>
      <c r="W25" s="186">
        <f>SUMIFS(DWbonus[[Sum]:[Sum]],DWbonus[[Dato]:[Dato]], "&gt;="&amp;W$5,DWbonus[[Dato]:[Dato]],"&lt;="&amp;EOMONTH(W$5,0),DWbonus[[Bookie]:[Bookie]],$K25)+SUMIFS(LayTable[[Faktisk res]:[Faktisk res]],LayTable[[Dato]:[Dato]],"&gt;="&amp;W$5,LayTable[[Dato]:[Dato]],"&lt;="&amp;EOMONTH(W$5,0),LayTable[[Bookmaker]:[Bookmaker]],$K25)+SUMIFS(BetTable[[AR_per_bookie]:[AR_per_bookie]],BetTable[[B1]:[B1]],$K25,BetTable[[Date]:[Date]], "&gt;="&amp;W$5,BetTable[[Date]:[Date]],"&lt;="&amp;EOMONTH(W$5,0))+SUMIFS(BetTable[[AR_per_bookie]:[AR_per_bookie]],BetTable[[B2]:[B2]],$K25,BetTable[[Date]:[Date]], "&gt;="&amp;W$5,BetTable[[Date]:[Date]],"&lt;="&amp;EOMONTH(W$5,0))+SUMIFS(BetTable[[AR_per_bookie]:[AR_per_bookie]],BetTable[[B3]:[B3]],$K25,BetTable[[Date]:[Date]], "&gt;="&amp;W$5,BetTable[[Date]:[Date]],"&lt;="&amp;EOMONTH(W$5,0))</f>
        <v>0</v>
      </c>
    </row>
    <row r="26" spans="1:23">
      <c r="A26" s="300" t="s">
        <v>459</v>
      </c>
      <c r="B26" s="211" t="s">
        <v>458</v>
      </c>
      <c r="C26" s="211" t="s">
        <v>460</v>
      </c>
      <c r="D26" s="211" t="s">
        <v>462</v>
      </c>
      <c r="E26" s="211" t="s">
        <v>463</v>
      </c>
      <c r="F26" s="306" t="s">
        <v>464</v>
      </c>
      <c r="G26" s="300" t="s">
        <v>116</v>
      </c>
      <c r="K26" s="174" t="str">
        <f t="array" ref="K26">IFERROR(INDEX(BookieNavn!H$2:H$1251,SMALL(IF(EXACT(LEFT(BookieNavn!H$2:H$1251,2),M$3),ROW(BookieNavn!H$2:H$1251)-ROW(BookieNavn!H$2)+1),ROWS(BookieNavn!H$2:'BookieNavn'!H21))),"")</f>
        <v/>
      </c>
      <c r="L26" s="186">
        <f>SUMIFS(DWbonus[[Sum]:[Sum]],DWbonus[[Dato]:[Dato]], "&gt;="&amp;L$5,DWbonus[[Dato]:[Dato]],"&lt;="&amp;EOMONTH(L$5,0),DWbonus[[Bookie]:[Bookie]],$K26)+SUMIFS(LayTable[[Faktisk res]:[Faktisk res]],LayTable[[Dato]:[Dato]],"&gt;="&amp;L$5,LayTable[[Dato]:[Dato]],"&lt;="&amp;EOMONTH(L$5,0),LayTable[[Bookmaker]:[Bookmaker]],$K26)+SUMIFS(BetTable[[AR_per_bookie]:[AR_per_bookie]],BetTable[[B1]:[B1]],$K26,BetTable[[Date]:[Date]], "&gt;="&amp;L$5,BetTable[[Date]:[Date]],"&lt;="&amp;EOMONTH(L$5,0))+SUMIFS(BetTable[[AR_per_bookie]:[AR_per_bookie]],BetTable[[B2]:[B2]],$K26,BetTable[[Date]:[Date]], "&gt;="&amp;L$5,BetTable[[Date]:[Date]],"&lt;="&amp;EOMONTH(L$5,0))+SUMIFS(BetTable[[AR_per_bookie]:[AR_per_bookie]],BetTable[[B3]:[B3]],$K26,BetTable[[Date]:[Date]], "&gt;="&amp;L$5,BetTable[[Date]:[Date]],"&lt;="&amp;EOMONTH(L$5,0))</f>
        <v>0</v>
      </c>
      <c r="M26" s="186">
        <f>SUMIFS(DWbonus[[Sum]:[Sum]],DWbonus[[Dato]:[Dato]], "&gt;="&amp;M$5,DWbonus[[Dato]:[Dato]],"&lt;="&amp;EOMONTH(M$5,0),DWbonus[[Bookie]:[Bookie]],$K26)+SUMIFS(LayTable[[Faktisk res]:[Faktisk res]],LayTable[[Dato]:[Dato]],"&gt;="&amp;M$5,LayTable[[Dato]:[Dato]],"&lt;="&amp;EOMONTH(M$5,0),LayTable[[Bookmaker]:[Bookmaker]],$K26)+SUMIFS(BetTable[[AR_per_bookie]:[AR_per_bookie]],BetTable[[B1]:[B1]],$K26,BetTable[[Date]:[Date]], "&gt;="&amp;M$5,BetTable[[Date]:[Date]],"&lt;="&amp;EOMONTH(M$5,0))+SUMIFS(BetTable[[AR_per_bookie]:[AR_per_bookie]],BetTable[[B2]:[B2]],$K26,BetTable[[Date]:[Date]], "&gt;="&amp;M$5,BetTable[[Date]:[Date]],"&lt;="&amp;EOMONTH(M$5,0))+SUMIFS(BetTable[[AR_per_bookie]:[AR_per_bookie]],BetTable[[B3]:[B3]],$K26,BetTable[[Date]:[Date]], "&gt;="&amp;M$5,BetTable[[Date]:[Date]],"&lt;="&amp;EOMONTH(M$5,0))</f>
        <v>0</v>
      </c>
      <c r="N26" s="186">
        <f>SUMIFS(DWbonus[[Sum]:[Sum]],DWbonus[[Dato]:[Dato]], "&gt;="&amp;N$5,DWbonus[[Dato]:[Dato]],"&lt;="&amp;EOMONTH(N$5,0),DWbonus[[Bookie]:[Bookie]],$K26)+SUMIFS(LayTable[[Faktisk res]:[Faktisk res]],LayTable[[Dato]:[Dato]],"&gt;="&amp;N$5,LayTable[[Dato]:[Dato]],"&lt;="&amp;EOMONTH(N$5,0),LayTable[[Bookmaker]:[Bookmaker]],$K26)+SUMIFS(BetTable[[AR_per_bookie]:[AR_per_bookie]],BetTable[[B1]:[B1]],$K26,BetTable[[Date]:[Date]], "&gt;="&amp;N$5,BetTable[[Date]:[Date]],"&lt;="&amp;EOMONTH(N$5,0))+SUMIFS(BetTable[[AR_per_bookie]:[AR_per_bookie]],BetTable[[B2]:[B2]],$K26,BetTable[[Date]:[Date]], "&gt;="&amp;N$5,BetTable[[Date]:[Date]],"&lt;="&amp;EOMONTH(N$5,0))+SUMIFS(BetTable[[AR_per_bookie]:[AR_per_bookie]],BetTable[[B3]:[B3]],$K26,BetTable[[Date]:[Date]], "&gt;="&amp;N$5,BetTable[[Date]:[Date]],"&lt;="&amp;EOMONTH(N$5,0))</f>
        <v>0</v>
      </c>
      <c r="O26" s="186">
        <f>SUMIFS(DWbonus[[Sum]:[Sum]],DWbonus[[Dato]:[Dato]], "&gt;="&amp;O$5,DWbonus[[Dato]:[Dato]],"&lt;="&amp;EOMONTH(O$5,0),DWbonus[[Bookie]:[Bookie]],$K26)+SUMIFS(LayTable[[Faktisk res]:[Faktisk res]],LayTable[[Dato]:[Dato]],"&gt;="&amp;O$5,LayTable[[Dato]:[Dato]],"&lt;="&amp;EOMONTH(O$5,0),LayTable[[Bookmaker]:[Bookmaker]],$K26)+SUMIFS(BetTable[[AR_per_bookie]:[AR_per_bookie]],BetTable[[B1]:[B1]],$K26,BetTable[[Date]:[Date]], "&gt;="&amp;O$5,BetTable[[Date]:[Date]],"&lt;="&amp;EOMONTH(O$5,0))+SUMIFS(BetTable[[AR_per_bookie]:[AR_per_bookie]],BetTable[[B2]:[B2]],$K26,BetTable[[Date]:[Date]], "&gt;="&amp;O$5,BetTable[[Date]:[Date]],"&lt;="&amp;EOMONTH(O$5,0))+SUMIFS(BetTable[[AR_per_bookie]:[AR_per_bookie]],BetTable[[B3]:[B3]],$K26,BetTable[[Date]:[Date]], "&gt;="&amp;O$5,BetTable[[Date]:[Date]],"&lt;="&amp;EOMONTH(O$5,0))</f>
        <v>0</v>
      </c>
      <c r="P26" s="186">
        <f>SUMIFS(DWbonus[[Sum]:[Sum]],DWbonus[[Dato]:[Dato]], "&gt;="&amp;P$5,DWbonus[[Dato]:[Dato]],"&lt;="&amp;EOMONTH(P$5,0),DWbonus[[Bookie]:[Bookie]],$K26)+SUMIFS(LayTable[[Faktisk res]:[Faktisk res]],LayTable[[Dato]:[Dato]],"&gt;="&amp;P$5,LayTable[[Dato]:[Dato]],"&lt;="&amp;EOMONTH(P$5,0),LayTable[[Bookmaker]:[Bookmaker]],$K26)+SUMIFS(BetTable[[AR_per_bookie]:[AR_per_bookie]],BetTable[[B1]:[B1]],$K26,BetTable[[Date]:[Date]], "&gt;="&amp;P$5,BetTable[[Date]:[Date]],"&lt;="&amp;EOMONTH(P$5,0))+SUMIFS(BetTable[[AR_per_bookie]:[AR_per_bookie]],BetTable[[B2]:[B2]],$K26,BetTable[[Date]:[Date]], "&gt;="&amp;P$5,BetTable[[Date]:[Date]],"&lt;="&amp;EOMONTH(P$5,0))+SUMIFS(BetTable[[AR_per_bookie]:[AR_per_bookie]],BetTable[[B3]:[B3]],$K26,BetTable[[Date]:[Date]], "&gt;="&amp;P$5,BetTable[[Date]:[Date]],"&lt;="&amp;EOMONTH(P$5,0))</f>
        <v>0</v>
      </c>
      <c r="Q26" s="186">
        <f>SUMIFS(DWbonus[[Sum]:[Sum]],DWbonus[[Dato]:[Dato]], "&gt;="&amp;Q$5,DWbonus[[Dato]:[Dato]],"&lt;="&amp;EOMONTH(Q$5,0),DWbonus[[Bookie]:[Bookie]],$K26)+SUMIFS(LayTable[[Faktisk res]:[Faktisk res]],LayTable[[Dato]:[Dato]],"&gt;="&amp;Q$5,LayTable[[Dato]:[Dato]],"&lt;="&amp;EOMONTH(Q$5,0),LayTable[[Bookmaker]:[Bookmaker]],$K26)+SUMIFS(BetTable[[AR_per_bookie]:[AR_per_bookie]],BetTable[[B1]:[B1]],$K26,BetTable[[Date]:[Date]], "&gt;="&amp;Q$5,BetTable[[Date]:[Date]],"&lt;="&amp;EOMONTH(Q$5,0))+SUMIFS(BetTable[[AR_per_bookie]:[AR_per_bookie]],BetTable[[B2]:[B2]],$K26,BetTable[[Date]:[Date]], "&gt;="&amp;Q$5,BetTable[[Date]:[Date]],"&lt;="&amp;EOMONTH(Q$5,0))+SUMIFS(BetTable[[AR_per_bookie]:[AR_per_bookie]],BetTable[[B3]:[B3]],$K26,BetTable[[Date]:[Date]], "&gt;="&amp;Q$5,BetTable[[Date]:[Date]],"&lt;="&amp;EOMONTH(Q$5,0))</f>
        <v>0</v>
      </c>
      <c r="R26" s="186">
        <f>SUMIFS(DWbonus[[Sum]:[Sum]],DWbonus[[Dato]:[Dato]], "&gt;="&amp;R$5,DWbonus[[Dato]:[Dato]],"&lt;="&amp;EOMONTH(R$5,0),DWbonus[[Bookie]:[Bookie]],$K26)+SUMIFS(LayTable[[Faktisk res]:[Faktisk res]],LayTable[[Dato]:[Dato]],"&gt;="&amp;R$5,LayTable[[Dato]:[Dato]],"&lt;="&amp;EOMONTH(R$5,0),LayTable[[Bookmaker]:[Bookmaker]],$K26)+SUMIFS(BetTable[[AR_per_bookie]:[AR_per_bookie]],BetTable[[B1]:[B1]],$K26,BetTable[[Date]:[Date]], "&gt;="&amp;R$5,BetTable[[Date]:[Date]],"&lt;="&amp;EOMONTH(R$5,0))+SUMIFS(BetTable[[AR_per_bookie]:[AR_per_bookie]],BetTable[[B2]:[B2]],$K26,BetTable[[Date]:[Date]], "&gt;="&amp;R$5,BetTable[[Date]:[Date]],"&lt;="&amp;EOMONTH(R$5,0))+SUMIFS(BetTable[[AR_per_bookie]:[AR_per_bookie]],BetTable[[B3]:[B3]],$K26,BetTable[[Date]:[Date]], "&gt;="&amp;R$5,BetTable[[Date]:[Date]],"&lt;="&amp;EOMONTH(R$5,0))</f>
        <v>0</v>
      </c>
      <c r="S26" s="186">
        <f>SUMIFS(DWbonus[[Sum]:[Sum]],DWbonus[[Dato]:[Dato]], "&gt;="&amp;S$5,DWbonus[[Dato]:[Dato]],"&lt;="&amp;EOMONTH(S$5,0),DWbonus[[Bookie]:[Bookie]],$K26)+SUMIFS(LayTable[[Faktisk res]:[Faktisk res]],LayTable[[Dato]:[Dato]],"&gt;="&amp;S$5,LayTable[[Dato]:[Dato]],"&lt;="&amp;EOMONTH(S$5,0),LayTable[[Bookmaker]:[Bookmaker]],$K26)+SUMIFS(BetTable[[AR_per_bookie]:[AR_per_bookie]],BetTable[[B1]:[B1]],$K26,BetTable[[Date]:[Date]], "&gt;="&amp;S$5,BetTable[[Date]:[Date]],"&lt;="&amp;EOMONTH(S$5,0))+SUMIFS(BetTable[[AR_per_bookie]:[AR_per_bookie]],BetTable[[B2]:[B2]],$K26,BetTable[[Date]:[Date]], "&gt;="&amp;S$5,BetTable[[Date]:[Date]],"&lt;="&amp;EOMONTH(S$5,0))+SUMIFS(BetTable[[AR_per_bookie]:[AR_per_bookie]],BetTable[[B3]:[B3]],$K26,BetTable[[Date]:[Date]], "&gt;="&amp;S$5,BetTable[[Date]:[Date]],"&lt;="&amp;EOMONTH(S$5,0))</f>
        <v>0</v>
      </c>
      <c r="T26" s="186">
        <f>SUMIFS(DWbonus[[Sum]:[Sum]],DWbonus[[Dato]:[Dato]], "&gt;="&amp;T$5,DWbonus[[Dato]:[Dato]],"&lt;="&amp;EOMONTH(T$5,0),DWbonus[[Bookie]:[Bookie]],$K26)+SUMIFS(LayTable[[Faktisk res]:[Faktisk res]],LayTable[[Dato]:[Dato]],"&gt;="&amp;T$5,LayTable[[Dato]:[Dato]],"&lt;="&amp;EOMONTH(T$5,0),LayTable[[Bookmaker]:[Bookmaker]],$K26)+SUMIFS(BetTable[[AR_per_bookie]:[AR_per_bookie]],BetTable[[B1]:[B1]],$K26,BetTable[[Date]:[Date]], "&gt;="&amp;T$5,BetTable[[Date]:[Date]],"&lt;="&amp;EOMONTH(T$5,0))+SUMIFS(BetTable[[AR_per_bookie]:[AR_per_bookie]],BetTable[[B2]:[B2]],$K26,BetTable[[Date]:[Date]], "&gt;="&amp;T$5,BetTable[[Date]:[Date]],"&lt;="&amp;EOMONTH(T$5,0))+SUMIFS(BetTable[[AR_per_bookie]:[AR_per_bookie]],BetTable[[B3]:[B3]],$K26,BetTable[[Date]:[Date]], "&gt;="&amp;T$5,BetTable[[Date]:[Date]],"&lt;="&amp;EOMONTH(T$5,0))</f>
        <v>0</v>
      </c>
      <c r="U26" s="186">
        <f>SUMIFS(DWbonus[[Sum]:[Sum]],DWbonus[[Dato]:[Dato]], "&gt;="&amp;U$5,DWbonus[[Dato]:[Dato]],"&lt;="&amp;EOMONTH(U$5,0),DWbonus[[Bookie]:[Bookie]],$K26)+SUMIFS(LayTable[[Faktisk res]:[Faktisk res]],LayTable[[Dato]:[Dato]],"&gt;="&amp;U$5,LayTable[[Dato]:[Dato]],"&lt;="&amp;EOMONTH(U$5,0),LayTable[[Bookmaker]:[Bookmaker]],$K26)+SUMIFS(BetTable[[AR_per_bookie]:[AR_per_bookie]],BetTable[[B1]:[B1]],$K26,BetTable[[Date]:[Date]], "&gt;="&amp;U$5,BetTable[[Date]:[Date]],"&lt;="&amp;EOMONTH(U$5,0))+SUMIFS(BetTable[[AR_per_bookie]:[AR_per_bookie]],BetTable[[B2]:[B2]],$K26,BetTable[[Date]:[Date]], "&gt;="&amp;U$5,BetTable[[Date]:[Date]],"&lt;="&amp;EOMONTH(U$5,0))+SUMIFS(BetTable[[AR_per_bookie]:[AR_per_bookie]],BetTable[[B3]:[B3]],$K26,BetTable[[Date]:[Date]], "&gt;="&amp;U$5,BetTable[[Date]:[Date]],"&lt;="&amp;EOMONTH(U$5,0))</f>
        <v>0</v>
      </c>
      <c r="V26" s="186">
        <f>SUMIFS(DWbonus[[Sum]:[Sum]],DWbonus[[Dato]:[Dato]], "&gt;="&amp;V$5,DWbonus[[Dato]:[Dato]],"&lt;="&amp;EOMONTH(V$5,0),DWbonus[[Bookie]:[Bookie]],$K26)+SUMIFS(LayTable[[Faktisk res]:[Faktisk res]],LayTable[[Dato]:[Dato]],"&gt;="&amp;V$5,LayTable[[Dato]:[Dato]],"&lt;="&amp;EOMONTH(V$5,0),LayTable[[Bookmaker]:[Bookmaker]],$K26)+SUMIFS(BetTable[[AR_per_bookie]:[AR_per_bookie]],BetTable[[B1]:[B1]],$K26,BetTable[[Date]:[Date]], "&gt;="&amp;V$5,BetTable[[Date]:[Date]],"&lt;="&amp;EOMONTH(V$5,0))+SUMIFS(BetTable[[AR_per_bookie]:[AR_per_bookie]],BetTable[[B2]:[B2]],$K26,BetTable[[Date]:[Date]], "&gt;="&amp;V$5,BetTable[[Date]:[Date]],"&lt;="&amp;EOMONTH(V$5,0))+SUMIFS(BetTable[[AR_per_bookie]:[AR_per_bookie]],BetTable[[B3]:[B3]],$K26,BetTable[[Date]:[Date]], "&gt;="&amp;V$5,BetTable[[Date]:[Date]],"&lt;="&amp;EOMONTH(V$5,0))</f>
        <v>0</v>
      </c>
      <c r="W26" s="186">
        <f>SUMIFS(DWbonus[[Sum]:[Sum]],DWbonus[[Dato]:[Dato]], "&gt;="&amp;W$5,DWbonus[[Dato]:[Dato]],"&lt;="&amp;EOMONTH(W$5,0),DWbonus[[Bookie]:[Bookie]],$K26)+SUMIFS(LayTable[[Faktisk res]:[Faktisk res]],LayTable[[Dato]:[Dato]],"&gt;="&amp;W$5,LayTable[[Dato]:[Dato]],"&lt;="&amp;EOMONTH(W$5,0),LayTable[[Bookmaker]:[Bookmaker]],$K26)+SUMIFS(BetTable[[AR_per_bookie]:[AR_per_bookie]],BetTable[[B1]:[B1]],$K26,BetTable[[Date]:[Date]], "&gt;="&amp;W$5,BetTable[[Date]:[Date]],"&lt;="&amp;EOMONTH(W$5,0))+SUMIFS(BetTable[[AR_per_bookie]:[AR_per_bookie]],BetTable[[B2]:[B2]],$K26,BetTable[[Date]:[Date]], "&gt;="&amp;W$5,BetTable[[Date]:[Date]],"&lt;="&amp;EOMONTH(W$5,0))+SUMIFS(BetTable[[AR_per_bookie]:[AR_per_bookie]],BetTable[[B3]:[B3]],$K26,BetTable[[Date]:[Date]], "&gt;="&amp;W$5,BetTable[[Date]:[Date]],"&lt;="&amp;EOMONTH(W$5,0))</f>
        <v>0</v>
      </c>
    </row>
    <row r="27" spans="1:23">
      <c r="A27" s="304"/>
      <c r="B27" s="217">
        <v>1000</v>
      </c>
      <c r="C27" s="217">
        <v>500</v>
      </c>
      <c r="D27" s="217">
        <v>600</v>
      </c>
      <c r="E27" s="217">
        <v>100</v>
      </c>
      <c r="F27" s="307">
        <v>193</v>
      </c>
      <c r="G27" s="301">
        <f>SUM(B27:F27)</f>
        <v>2393</v>
      </c>
      <c r="K27" s="174" t="str">
        <f t="array" ref="K27">IFERROR(INDEX(BookieNavn!H$2:H$1251,SMALL(IF(EXACT(LEFT(BookieNavn!H$2:H$1251,2),M$3),ROW(BookieNavn!H$2:H$1251)-ROW(BookieNavn!H$2)+1),ROWS(BookieNavn!H$2:'BookieNavn'!H22))),"")</f>
        <v/>
      </c>
      <c r="L27" s="186">
        <f>SUMIFS(DWbonus[[Sum]:[Sum]],DWbonus[[Dato]:[Dato]], "&gt;="&amp;L$5,DWbonus[[Dato]:[Dato]],"&lt;="&amp;EOMONTH(L$5,0),DWbonus[[Bookie]:[Bookie]],$K27)+SUMIFS(LayTable[[Faktisk res]:[Faktisk res]],LayTable[[Dato]:[Dato]],"&gt;="&amp;L$5,LayTable[[Dato]:[Dato]],"&lt;="&amp;EOMONTH(L$5,0),LayTable[[Bookmaker]:[Bookmaker]],$K27)+SUMIFS(BetTable[[AR_per_bookie]:[AR_per_bookie]],BetTable[[B1]:[B1]],$K27,BetTable[[Date]:[Date]], "&gt;="&amp;L$5,BetTable[[Date]:[Date]],"&lt;="&amp;EOMONTH(L$5,0))+SUMIFS(BetTable[[AR_per_bookie]:[AR_per_bookie]],BetTable[[B2]:[B2]],$K27,BetTable[[Date]:[Date]], "&gt;="&amp;L$5,BetTable[[Date]:[Date]],"&lt;="&amp;EOMONTH(L$5,0))+SUMIFS(BetTable[[AR_per_bookie]:[AR_per_bookie]],BetTable[[B3]:[B3]],$K27,BetTable[[Date]:[Date]], "&gt;="&amp;L$5,BetTable[[Date]:[Date]],"&lt;="&amp;EOMONTH(L$5,0))</f>
        <v>0</v>
      </c>
      <c r="M27" s="186">
        <f>SUMIFS(DWbonus[[Sum]:[Sum]],DWbonus[[Dato]:[Dato]], "&gt;="&amp;M$5,DWbonus[[Dato]:[Dato]],"&lt;="&amp;EOMONTH(M$5,0),DWbonus[[Bookie]:[Bookie]],$K27)+SUMIFS(LayTable[[Faktisk res]:[Faktisk res]],LayTable[[Dato]:[Dato]],"&gt;="&amp;M$5,LayTable[[Dato]:[Dato]],"&lt;="&amp;EOMONTH(M$5,0),LayTable[[Bookmaker]:[Bookmaker]],$K27)+SUMIFS(BetTable[[AR_per_bookie]:[AR_per_bookie]],BetTable[[B1]:[B1]],$K27,BetTable[[Date]:[Date]], "&gt;="&amp;M$5,BetTable[[Date]:[Date]],"&lt;="&amp;EOMONTH(M$5,0))+SUMIFS(BetTable[[AR_per_bookie]:[AR_per_bookie]],BetTable[[B2]:[B2]],$K27,BetTable[[Date]:[Date]], "&gt;="&amp;M$5,BetTable[[Date]:[Date]],"&lt;="&amp;EOMONTH(M$5,0))+SUMIFS(BetTable[[AR_per_bookie]:[AR_per_bookie]],BetTable[[B3]:[B3]],$K27,BetTable[[Date]:[Date]], "&gt;="&amp;M$5,BetTable[[Date]:[Date]],"&lt;="&amp;EOMONTH(M$5,0))</f>
        <v>0</v>
      </c>
      <c r="N27" s="186">
        <f>SUMIFS(DWbonus[[Sum]:[Sum]],DWbonus[[Dato]:[Dato]], "&gt;="&amp;N$5,DWbonus[[Dato]:[Dato]],"&lt;="&amp;EOMONTH(N$5,0),DWbonus[[Bookie]:[Bookie]],$K27)+SUMIFS(LayTable[[Faktisk res]:[Faktisk res]],LayTable[[Dato]:[Dato]],"&gt;="&amp;N$5,LayTable[[Dato]:[Dato]],"&lt;="&amp;EOMONTH(N$5,0),LayTable[[Bookmaker]:[Bookmaker]],$K27)+SUMIFS(BetTable[[AR_per_bookie]:[AR_per_bookie]],BetTable[[B1]:[B1]],$K27,BetTable[[Date]:[Date]], "&gt;="&amp;N$5,BetTable[[Date]:[Date]],"&lt;="&amp;EOMONTH(N$5,0))+SUMIFS(BetTable[[AR_per_bookie]:[AR_per_bookie]],BetTable[[B2]:[B2]],$K27,BetTable[[Date]:[Date]], "&gt;="&amp;N$5,BetTable[[Date]:[Date]],"&lt;="&amp;EOMONTH(N$5,0))+SUMIFS(BetTable[[AR_per_bookie]:[AR_per_bookie]],BetTable[[B3]:[B3]],$K27,BetTable[[Date]:[Date]], "&gt;="&amp;N$5,BetTable[[Date]:[Date]],"&lt;="&amp;EOMONTH(N$5,0))</f>
        <v>0</v>
      </c>
      <c r="O27" s="186">
        <f>SUMIFS(DWbonus[[Sum]:[Sum]],DWbonus[[Dato]:[Dato]], "&gt;="&amp;O$5,DWbonus[[Dato]:[Dato]],"&lt;="&amp;EOMONTH(O$5,0),DWbonus[[Bookie]:[Bookie]],$K27)+SUMIFS(LayTable[[Faktisk res]:[Faktisk res]],LayTable[[Dato]:[Dato]],"&gt;="&amp;O$5,LayTable[[Dato]:[Dato]],"&lt;="&amp;EOMONTH(O$5,0),LayTable[[Bookmaker]:[Bookmaker]],$K27)+SUMIFS(BetTable[[AR_per_bookie]:[AR_per_bookie]],BetTable[[B1]:[B1]],$K27,BetTable[[Date]:[Date]], "&gt;="&amp;O$5,BetTable[[Date]:[Date]],"&lt;="&amp;EOMONTH(O$5,0))+SUMIFS(BetTable[[AR_per_bookie]:[AR_per_bookie]],BetTable[[B2]:[B2]],$K27,BetTable[[Date]:[Date]], "&gt;="&amp;O$5,BetTable[[Date]:[Date]],"&lt;="&amp;EOMONTH(O$5,0))+SUMIFS(BetTable[[AR_per_bookie]:[AR_per_bookie]],BetTable[[B3]:[B3]],$K27,BetTable[[Date]:[Date]], "&gt;="&amp;O$5,BetTable[[Date]:[Date]],"&lt;="&amp;EOMONTH(O$5,0))</f>
        <v>0</v>
      </c>
      <c r="P27" s="186">
        <f>SUMIFS(DWbonus[[Sum]:[Sum]],DWbonus[[Dato]:[Dato]], "&gt;="&amp;P$5,DWbonus[[Dato]:[Dato]],"&lt;="&amp;EOMONTH(P$5,0),DWbonus[[Bookie]:[Bookie]],$K27)+SUMIFS(LayTable[[Faktisk res]:[Faktisk res]],LayTable[[Dato]:[Dato]],"&gt;="&amp;P$5,LayTable[[Dato]:[Dato]],"&lt;="&amp;EOMONTH(P$5,0),LayTable[[Bookmaker]:[Bookmaker]],$K27)+SUMIFS(BetTable[[AR_per_bookie]:[AR_per_bookie]],BetTable[[B1]:[B1]],$K27,BetTable[[Date]:[Date]], "&gt;="&amp;P$5,BetTable[[Date]:[Date]],"&lt;="&amp;EOMONTH(P$5,0))+SUMIFS(BetTable[[AR_per_bookie]:[AR_per_bookie]],BetTable[[B2]:[B2]],$K27,BetTable[[Date]:[Date]], "&gt;="&amp;P$5,BetTable[[Date]:[Date]],"&lt;="&amp;EOMONTH(P$5,0))+SUMIFS(BetTable[[AR_per_bookie]:[AR_per_bookie]],BetTable[[B3]:[B3]],$K27,BetTable[[Date]:[Date]], "&gt;="&amp;P$5,BetTable[[Date]:[Date]],"&lt;="&amp;EOMONTH(P$5,0))</f>
        <v>0</v>
      </c>
      <c r="Q27" s="186">
        <f>SUMIFS(DWbonus[[Sum]:[Sum]],DWbonus[[Dato]:[Dato]], "&gt;="&amp;Q$5,DWbonus[[Dato]:[Dato]],"&lt;="&amp;EOMONTH(Q$5,0),DWbonus[[Bookie]:[Bookie]],$K27)+SUMIFS(LayTable[[Faktisk res]:[Faktisk res]],LayTable[[Dato]:[Dato]],"&gt;="&amp;Q$5,LayTable[[Dato]:[Dato]],"&lt;="&amp;EOMONTH(Q$5,0),LayTable[[Bookmaker]:[Bookmaker]],$K27)+SUMIFS(BetTable[[AR_per_bookie]:[AR_per_bookie]],BetTable[[B1]:[B1]],$K27,BetTable[[Date]:[Date]], "&gt;="&amp;Q$5,BetTable[[Date]:[Date]],"&lt;="&amp;EOMONTH(Q$5,0))+SUMIFS(BetTable[[AR_per_bookie]:[AR_per_bookie]],BetTable[[B2]:[B2]],$K27,BetTable[[Date]:[Date]], "&gt;="&amp;Q$5,BetTable[[Date]:[Date]],"&lt;="&amp;EOMONTH(Q$5,0))+SUMIFS(BetTable[[AR_per_bookie]:[AR_per_bookie]],BetTable[[B3]:[B3]],$K27,BetTable[[Date]:[Date]], "&gt;="&amp;Q$5,BetTable[[Date]:[Date]],"&lt;="&amp;EOMONTH(Q$5,0))</f>
        <v>0</v>
      </c>
      <c r="R27" s="186">
        <f>SUMIFS(DWbonus[[Sum]:[Sum]],DWbonus[[Dato]:[Dato]], "&gt;="&amp;R$5,DWbonus[[Dato]:[Dato]],"&lt;="&amp;EOMONTH(R$5,0),DWbonus[[Bookie]:[Bookie]],$K27)+SUMIFS(LayTable[[Faktisk res]:[Faktisk res]],LayTable[[Dato]:[Dato]],"&gt;="&amp;R$5,LayTable[[Dato]:[Dato]],"&lt;="&amp;EOMONTH(R$5,0),LayTable[[Bookmaker]:[Bookmaker]],$K27)+SUMIFS(BetTable[[AR_per_bookie]:[AR_per_bookie]],BetTable[[B1]:[B1]],$K27,BetTable[[Date]:[Date]], "&gt;="&amp;R$5,BetTable[[Date]:[Date]],"&lt;="&amp;EOMONTH(R$5,0))+SUMIFS(BetTable[[AR_per_bookie]:[AR_per_bookie]],BetTable[[B2]:[B2]],$K27,BetTable[[Date]:[Date]], "&gt;="&amp;R$5,BetTable[[Date]:[Date]],"&lt;="&amp;EOMONTH(R$5,0))+SUMIFS(BetTable[[AR_per_bookie]:[AR_per_bookie]],BetTable[[B3]:[B3]],$K27,BetTable[[Date]:[Date]], "&gt;="&amp;R$5,BetTable[[Date]:[Date]],"&lt;="&amp;EOMONTH(R$5,0))</f>
        <v>0</v>
      </c>
      <c r="S27" s="186">
        <f>SUMIFS(DWbonus[[Sum]:[Sum]],DWbonus[[Dato]:[Dato]], "&gt;="&amp;S$5,DWbonus[[Dato]:[Dato]],"&lt;="&amp;EOMONTH(S$5,0),DWbonus[[Bookie]:[Bookie]],$K27)+SUMIFS(LayTable[[Faktisk res]:[Faktisk res]],LayTable[[Dato]:[Dato]],"&gt;="&amp;S$5,LayTable[[Dato]:[Dato]],"&lt;="&amp;EOMONTH(S$5,0),LayTable[[Bookmaker]:[Bookmaker]],$K27)+SUMIFS(BetTable[[AR_per_bookie]:[AR_per_bookie]],BetTable[[B1]:[B1]],$K27,BetTable[[Date]:[Date]], "&gt;="&amp;S$5,BetTable[[Date]:[Date]],"&lt;="&amp;EOMONTH(S$5,0))+SUMIFS(BetTable[[AR_per_bookie]:[AR_per_bookie]],BetTable[[B2]:[B2]],$K27,BetTable[[Date]:[Date]], "&gt;="&amp;S$5,BetTable[[Date]:[Date]],"&lt;="&amp;EOMONTH(S$5,0))+SUMIFS(BetTable[[AR_per_bookie]:[AR_per_bookie]],BetTable[[B3]:[B3]],$K27,BetTable[[Date]:[Date]], "&gt;="&amp;S$5,BetTable[[Date]:[Date]],"&lt;="&amp;EOMONTH(S$5,0))</f>
        <v>0</v>
      </c>
      <c r="T27" s="186">
        <f>SUMIFS(DWbonus[[Sum]:[Sum]],DWbonus[[Dato]:[Dato]], "&gt;="&amp;T$5,DWbonus[[Dato]:[Dato]],"&lt;="&amp;EOMONTH(T$5,0),DWbonus[[Bookie]:[Bookie]],$K27)+SUMIFS(LayTable[[Faktisk res]:[Faktisk res]],LayTable[[Dato]:[Dato]],"&gt;="&amp;T$5,LayTable[[Dato]:[Dato]],"&lt;="&amp;EOMONTH(T$5,0),LayTable[[Bookmaker]:[Bookmaker]],$K27)+SUMIFS(BetTable[[AR_per_bookie]:[AR_per_bookie]],BetTable[[B1]:[B1]],$K27,BetTable[[Date]:[Date]], "&gt;="&amp;T$5,BetTable[[Date]:[Date]],"&lt;="&amp;EOMONTH(T$5,0))+SUMIFS(BetTable[[AR_per_bookie]:[AR_per_bookie]],BetTable[[B2]:[B2]],$K27,BetTable[[Date]:[Date]], "&gt;="&amp;T$5,BetTable[[Date]:[Date]],"&lt;="&amp;EOMONTH(T$5,0))+SUMIFS(BetTable[[AR_per_bookie]:[AR_per_bookie]],BetTable[[B3]:[B3]],$K27,BetTable[[Date]:[Date]], "&gt;="&amp;T$5,BetTable[[Date]:[Date]],"&lt;="&amp;EOMONTH(T$5,0))</f>
        <v>0</v>
      </c>
      <c r="U27" s="186">
        <f>SUMIFS(DWbonus[[Sum]:[Sum]],DWbonus[[Dato]:[Dato]], "&gt;="&amp;U$5,DWbonus[[Dato]:[Dato]],"&lt;="&amp;EOMONTH(U$5,0),DWbonus[[Bookie]:[Bookie]],$K27)+SUMIFS(LayTable[[Faktisk res]:[Faktisk res]],LayTable[[Dato]:[Dato]],"&gt;="&amp;U$5,LayTable[[Dato]:[Dato]],"&lt;="&amp;EOMONTH(U$5,0),LayTable[[Bookmaker]:[Bookmaker]],$K27)+SUMIFS(BetTable[[AR_per_bookie]:[AR_per_bookie]],BetTable[[B1]:[B1]],$K27,BetTable[[Date]:[Date]], "&gt;="&amp;U$5,BetTable[[Date]:[Date]],"&lt;="&amp;EOMONTH(U$5,0))+SUMIFS(BetTable[[AR_per_bookie]:[AR_per_bookie]],BetTable[[B2]:[B2]],$K27,BetTable[[Date]:[Date]], "&gt;="&amp;U$5,BetTable[[Date]:[Date]],"&lt;="&amp;EOMONTH(U$5,0))+SUMIFS(BetTable[[AR_per_bookie]:[AR_per_bookie]],BetTable[[B3]:[B3]],$K27,BetTable[[Date]:[Date]], "&gt;="&amp;U$5,BetTable[[Date]:[Date]],"&lt;="&amp;EOMONTH(U$5,0))</f>
        <v>0</v>
      </c>
      <c r="V27" s="186">
        <f>SUMIFS(DWbonus[[Sum]:[Sum]],DWbonus[[Dato]:[Dato]], "&gt;="&amp;V$5,DWbonus[[Dato]:[Dato]],"&lt;="&amp;EOMONTH(V$5,0),DWbonus[[Bookie]:[Bookie]],$K27)+SUMIFS(LayTable[[Faktisk res]:[Faktisk res]],LayTable[[Dato]:[Dato]],"&gt;="&amp;V$5,LayTable[[Dato]:[Dato]],"&lt;="&amp;EOMONTH(V$5,0),LayTable[[Bookmaker]:[Bookmaker]],$K27)+SUMIFS(BetTable[[AR_per_bookie]:[AR_per_bookie]],BetTable[[B1]:[B1]],$K27,BetTable[[Date]:[Date]], "&gt;="&amp;V$5,BetTable[[Date]:[Date]],"&lt;="&amp;EOMONTH(V$5,0))+SUMIFS(BetTable[[AR_per_bookie]:[AR_per_bookie]],BetTable[[B2]:[B2]],$K27,BetTable[[Date]:[Date]], "&gt;="&amp;V$5,BetTable[[Date]:[Date]],"&lt;="&amp;EOMONTH(V$5,0))+SUMIFS(BetTable[[AR_per_bookie]:[AR_per_bookie]],BetTable[[B3]:[B3]],$K27,BetTable[[Date]:[Date]], "&gt;="&amp;V$5,BetTable[[Date]:[Date]],"&lt;="&amp;EOMONTH(V$5,0))</f>
        <v>0</v>
      </c>
      <c r="W27" s="186">
        <f>SUMIFS(DWbonus[[Sum]:[Sum]],DWbonus[[Dato]:[Dato]], "&gt;="&amp;W$5,DWbonus[[Dato]:[Dato]],"&lt;="&amp;EOMONTH(W$5,0),DWbonus[[Bookie]:[Bookie]],$K27)+SUMIFS(LayTable[[Faktisk res]:[Faktisk res]],LayTable[[Dato]:[Dato]],"&gt;="&amp;W$5,LayTable[[Dato]:[Dato]],"&lt;="&amp;EOMONTH(W$5,0),LayTable[[Bookmaker]:[Bookmaker]],$K27)+SUMIFS(BetTable[[AR_per_bookie]:[AR_per_bookie]],BetTable[[B1]:[B1]],$K27,BetTable[[Date]:[Date]], "&gt;="&amp;W$5,BetTable[[Date]:[Date]],"&lt;="&amp;EOMONTH(W$5,0))+SUMIFS(BetTable[[AR_per_bookie]:[AR_per_bookie]],BetTable[[B2]:[B2]],$K27,BetTable[[Date]:[Date]], "&gt;="&amp;W$5,BetTable[[Date]:[Date]],"&lt;="&amp;EOMONTH(W$5,0))+SUMIFS(BetTable[[AR_per_bookie]:[AR_per_bookie]],BetTable[[B3]:[B3]],$K27,BetTable[[Date]:[Date]], "&gt;="&amp;W$5,BetTable[[Date]:[Date]],"&lt;="&amp;EOMONTH(W$5,0))</f>
        <v>0</v>
      </c>
    </row>
    <row r="28" spans="1:23">
      <c r="A28" s="212"/>
      <c r="B28" s="215"/>
      <c r="C28" s="215"/>
      <c r="D28" s="215"/>
      <c r="E28" s="215"/>
      <c r="G28" s="214"/>
      <c r="K28" s="174" t="str">
        <f t="array" ref="K28">IFERROR(INDEX(BookieNavn!H$2:H$1251,SMALL(IF(EXACT(LEFT(BookieNavn!H$2:H$1251,2),M$3),ROW(BookieNavn!H$2:H$1251)-ROW(BookieNavn!H$2)+1),ROWS(BookieNavn!H$2:'BookieNavn'!H23))),"")</f>
        <v/>
      </c>
      <c r="L28" s="186">
        <f>SUMIFS(DWbonus[[Sum]:[Sum]],DWbonus[[Dato]:[Dato]], "&gt;="&amp;L$5,DWbonus[[Dato]:[Dato]],"&lt;="&amp;EOMONTH(L$5,0),DWbonus[[Bookie]:[Bookie]],$K28)+SUMIFS(LayTable[[Faktisk res]:[Faktisk res]],LayTable[[Dato]:[Dato]],"&gt;="&amp;L$5,LayTable[[Dato]:[Dato]],"&lt;="&amp;EOMONTH(L$5,0),LayTable[[Bookmaker]:[Bookmaker]],$K28)+SUMIFS(BetTable[[AR_per_bookie]:[AR_per_bookie]],BetTable[[B1]:[B1]],$K28,BetTable[[Date]:[Date]], "&gt;="&amp;L$5,BetTable[[Date]:[Date]],"&lt;="&amp;EOMONTH(L$5,0))+SUMIFS(BetTable[[AR_per_bookie]:[AR_per_bookie]],BetTable[[B2]:[B2]],$K28,BetTable[[Date]:[Date]], "&gt;="&amp;L$5,BetTable[[Date]:[Date]],"&lt;="&amp;EOMONTH(L$5,0))+SUMIFS(BetTable[[AR_per_bookie]:[AR_per_bookie]],BetTable[[B3]:[B3]],$K28,BetTable[[Date]:[Date]], "&gt;="&amp;L$5,BetTable[[Date]:[Date]],"&lt;="&amp;EOMONTH(L$5,0))</f>
        <v>0</v>
      </c>
      <c r="M28" s="186">
        <f>SUMIFS(DWbonus[[Sum]:[Sum]],DWbonus[[Dato]:[Dato]], "&gt;="&amp;M$5,DWbonus[[Dato]:[Dato]],"&lt;="&amp;EOMONTH(M$5,0),DWbonus[[Bookie]:[Bookie]],$K28)+SUMIFS(LayTable[[Faktisk res]:[Faktisk res]],LayTable[[Dato]:[Dato]],"&gt;="&amp;M$5,LayTable[[Dato]:[Dato]],"&lt;="&amp;EOMONTH(M$5,0),LayTable[[Bookmaker]:[Bookmaker]],$K28)+SUMIFS(BetTable[[AR_per_bookie]:[AR_per_bookie]],BetTable[[B1]:[B1]],$K28,BetTable[[Date]:[Date]], "&gt;="&amp;M$5,BetTable[[Date]:[Date]],"&lt;="&amp;EOMONTH(M$5,0))+SUMIFS(BetTable[[AR_per_bookie]:[AR_per_bookie]],BetTable[[B2]:[B2]],$K28,BetTable[[Date]:[Date]], "&gt;="&amp;M$5,BetTable[[Date]:[Date]],"&lt;="&amp;EOMONTH(M$5,0))+SUMIFS(BetTable[[AR_per_bookie]:[AR_per_bookie]],BetTable[[B3]:[B3]],$K28,BetTable[[Date]:[Date]], "&gt;="&amp;M$5,BetTable[[Date]:[Date]],"&lt;="&amp;EOMONTH(M$5,0))</f>
        <v>0</v>
      </c>
      <c r="N28" s="186">
        <f>SUMIFS(DWbonus[[Sum]:[Sum]],DWbonus[[Dato]:[Dato]], "&gt;="&amp;N$5,DWbonus[[Dato]:[Dato]],"&lt;="&amp;EOMONTH(N$5,0),DWbonus[[Bookie]:[Bookie]],$K28)+SUMIFS(LayTable[[Faktisk res]:[Faktisk res]],LayTable[[Dato]:[Dato]],"&gt;="&amp;N$5,LayTable[[Dato]:[Dato]],"&lt;="&amp;EOMONTH(N$5,0),LayTable[[Bookmaker]:[Bookmaker]],$K28)+SUMIFS(BetTable[[AR_per_bookie]:[AR_per_bookie]],BetTable[[B1]:[B1]],$K28,BetTable[[Date]:[Date]], "&gt;="&amp;N$5,BetTable[[Date]:[Date]],"&lt;="&amp;EOMONTH(N$5,0))+SUMIFS(BetTable[[AR_per_bookie]:[AR_per_bookie]],BetTable[[B2]:[B2]],$K28,BetTable[[Date]:[Date]], "&gt;="&amp;N$5,BetTable[[Date]:[Date]],"&lt;="&amp;EOMONTH(N$5,0))+SUMIFS(BetTable[[AR_per_bookie]:[AR_per_bookie]],BetTable[[B3]:[B3]],$K28,BetTable[[Date]:[Date]], "&gt;="&amp;N$5,BetTable[[Date]:[Date]],"&lt;="&amp;EOMONTH(N$5,0))</f>
        <v>0</v>
      </c>
      <c r="O28" s="186">
        <f>SUMIFS(DWbonus[[Sum]:[Sum]],DWbonus[[Dato]:[Dato]], "&gt;="&amp;O$5,DWbonus[[Dato]:[Dato]],"&lt;="&amp;EOMONTH(O$5,0),DWbonus[[Bookie]:[Bookie]],$K28)+SUMIFS(LayTable[[Faktisk res]:[Faktisk res]],LayTable[[Dato]:[Dato]],"&gt;="&amp;O$5,LayTable[[Dato]:[Dato]],"&lt;="&amp;EOMONTH(O$5,0),LayTable[[Bookmaker]:[Bookmaker]],$K28)+SUMIFS(BetTable[[AR_per_bookie]:[AR_per_bookie]],BetTable[[B1]:[B1]],$K28,BetTable[[Date]:[Date]], "&gt;="&amp;O$5,BetTable[[Date]:[Date]],"&lt;="&amp;EOMONTH(O$5,0))+SUMIFS(BetTable[[AR_per_bookie]:[AR_per_bookie]],BetTable[[B2]:[B2]],$K28,BetTable[[Date]:[Date]], "&gt;="&amp;O$5,BetTable[[Date]:[Date]],"&lt;="&amp;EOMONTH(O$5,0))+SUMIFS(BetTable[[AR_per_bookie]:[AR_per_bookie]],BetTable[[B3]:[B3]],$K28,BetTable[[Date]:[Date]], "&gt;="&amp;O$5,BetTable[[Date]:[Date]],"&lt;="&amp;EOMONTH(O$5,0))</f>
        <v>0</v>
      </c>
      <c r="P28" s="186">
        <f>SUMIFS(DWbonus[[Sum]:[Sum]],DWbonus[[Dato]:[Dato]], "&gt;="&amp;P$5,DWbonus[[Dato]:[Dato]],"&lt;="&amp;EOMONTH(P$5,0),DWbonus[[Bookie]:[Bookie]],$K28)+SUMIFS(LayTable[[Faktisk res]:[Faktisk res]],LayTable[[Dato]:[Dato]],"&gt;="&amp;P$5,LayTable[[Dato]:[Dato]],"&lt;="&amp;EOMONTH(P$5,0),LayTable[[Bookmaker]:[Bookmaker]],$K28)+SUMIFS(BetTable[[AR_per_bookie]:[AR_per_bookie]],BetTable[[B1]:[B1]],$K28,BetTable[[Date]:[Date]], "&gt;="&amp;P$5,BetTable[[Date]:[Date]],"&lt;="&amp;EOMONTH(P$5,0))+SUMIFS(BetTable[[AR_per_bookie]:[AR_per_bookie]],BetTable[[B2]:[B2]],$K28,BetTable[[Date]:[Date]], "&gt;="&amp;P$5,BetTable[[Date]:[Date]],"&lt;="&amp;EOMONTH(P$5,0))+SUMIFS(BetTable[[AR_per_bookie]:[AR_per_bookie]],BetTable[[B3]:[B3]],$K28,BetTable[[Date]:[Date]], "&gt;="&amp;P$5,BetTable[[Date]:[Date]],"&lt;="&amp;EOMONTH(P$5,0))</f>
        <v>0</v>
      </c>
      <c r="Q28" s="186">
        <f>SUMIFS(DWbonus[[Sum]:[Sum]],DWbonus[[Dato]:[Dato]], "&gt;="&amp;Q$5,DWbonus[[Dato]:[Dato]],"&lt;="&amp;EOMONTH(Q$5,0),DWbonus[[Bookie]:[Bookie]],$K28)+SUMIFS(LayTable[[Faktisk res]:[Faktisk res]],LayTable[[Dato]:[Dato]],"&gt;="&amp;Q$5,LayTable[[Dato]:[Dato]],"&lt;="&amp;EOMONTH(Q$5,0),LayTable[[Bookmaker]:[Bookmaker]],$K28)+SUMIFS(BetTable[[AR_per_bookie]:[AR_per_bookie]],BetTable[[B1]:[B1]],$K28,BetTable[[Date]:[Date]], "&gt;="&amp;Q$5,BetTable[[Date]:[Date]],"&lt;="&amp;EOMONTH(Q$5,0))+SUMIFS(BetTable[[AR_per_bookie]:[AR_per_bookie]],BetTable[[B2]:[B2]],$K28,BetTable[[Date]:[Date]], "&gt;="&amp;Q$5,BetTable[[Date]:[Date]],"&lt;="&amp;EOMONTH(Q$5,0))+SUMIFS(BetTable[[AR_per_bookie]:[AR_per_bookie]],BetTable[[B3]:[B3]],$K28,BetTable[[Date]:[Date]], "&gt;="&amp;Q$5,BetTable[[Date]:[Date]],"&lt;="&amp;EOMONTH(Q$5,0))</f>
        <v>0</v>
      </c>
      <c r="R28" s="186">
        <f>SUMIFS(DWbonus[[Sum]:[Sum]],DWbonus[[Dato]:[Dato]], "&gt;="&amp;R$5,DWbonus[[Dato]:[Dato]],"&lt;="&amp;EOMONTH(R$5,0),DWbonus[[Bookie]:[Bookie]],$K28)+SUMIFS(LayTable[[Faktisk res]:[Faktisk res]],LayTable[[Dato]:[Dato]],"&gt;="&amp;R$5,LayTable[[Dato]:[Dato]],"&lt;="&amp;EOMONTH(R$5,0),LayTable[[Bookmaker]:[Bookmaker]],$K28)+SUMIFS(BetTable[[AR_per_bookie]:[AR_per_bookie]],BetTable[[B1]:[B1]],$K28,BetTable[[Date]:[Date]], "&gt;="&amp;R$5,BetTable[[Date]:[Date]],"&lt;="&amp;EOMONTH(R$5,0))+SUMIFS(BetTable[[AR_per_bookie]:[AR_per_bookie]],BetTable[[B2]:[B2]],$K28,BetTable[[Date]:[Date]], "&gt;="&amp;R$5,BetTable[[Date]:[Date]],"&lt;="&amp;EOMONTH(R$5,0))+SUMIFS(BetTable[[AR_per_bookie]:[AR_per_bookie]],BetTable[[B3]:[B3]],$K28,BetTable[[Date]:[Date]], "&gt;="&amp;R$5,BetTable[[Date]:[Date]],"&lt;="&amp;EOMONTH(R$5,0))</f>
        <v>0</v>
      </c>
      <c r="S28" s="186">
        <f>SUMIFS(DWbonus[[Sum]:[Sum]],DWbonus[[Dato]:[Dato]], "&gt;="&amp;S$5,DWbonus[[Dato]:[Dato]],"&lt;="&amp;EOMONTH(S$5,0),DWbonus[[Bookie]:[Bookie]],$K28)+SUMIFS(LayTable[[Faktisk res]:[Faktisk res]],LayTable[[Dato]:[Dato]],"&gt;="&amp;S$5,LayTable[[Dato]:[Dato]],"&lt;="&amp;EOMONTH(S$5,0),LayTable[[Bookmaker]:[Bookmaker]],$K28)+SUMIFS(BetTable[[AR_per_bookie]:[AR_per_bookie]],BetTable[[B1]:[B1]],$K28,BetTable[[Date]:[Date]], "&gt;="&amp;S$5,BetTable[[Date]:[Date]],"&lt;="&amp;EOMONTH(S$5,0))+SUMIFS(BetTable[[AR_per_bookie]:[AR_per_bookie]],BetTable[[B2]:[B2]],$K28,BetTable[[Date]:[Date]], "&gt;="&amp;S$5,BetTable[[Date]:[Date]],"&lt;="&amp;EOMONTH(S$5,0))+SUMIFS(BetTable[[AR_per_bookie]:[AR_per_bookie]],BetTable[[B3]:[B3]],$K28,BetTable[[Date]:[Date]], "&gt;="&amp;S$5,BetTable[[Date]:[Date]],"&lt;="&amp;EOMONTH(S$5,0))</f>
        <v>0</v>
      </c>
      <c r="T28" s="186">
        <f>SUMIFS(DWbonus[[Sum]:[Sum]],DWbonus[[Dato]:[Dato]], "&gt;="&amp;T$5,DWbonus[[Dato]:[Dato]],"&lt;="&amp;EOMONTH(T$5,0),DWbonus[[Bookie]:[Bookie]],$K28)+SUMIFS(LayTable[[Faktisk res]:[Faktisk res]],LayTable[[Dato]:[Dato]],"&gt;="&amp;T$5,LayTable[[Dato]:[Dato]],"&lt;="&amp;EOMONTH(T$5,0),LayTable[[Bookmaker]:[Bookmaker]],$K28)+SUMIFS(BetTable[[AR_per_bookie]:[AR_per_bookie]],BetTable[[B1]:[B1]],$K28,BetTable[[Date]:[Date]], "&gt;="&amp;T$5,BetTable[[Date]:[Date]],"&lt;="&amp;EOMONTH(T$5,0))+SUMIFS(BetTable[[AR_per_bookie]:[AR_per_bookie]],BetTable[[B2]:[B2]],$K28,BetTable[[Date]:[Date]], "&gt;="&amp;T$5,BetTable[[Date]:[Date]],"&lt;="&amp;EOMONTH(T$5,0))+SUMIFS(BetTable[[AR_per_bookie]:[AR_per_bookie]],BetTable[[B3]:[B3]],$K28,BetTable[[Date]:[Date]], "&gt;="&amp;T$5,BetTable[[Date]:[Date]],"&lt;="&amp;EOMONTH(T$5,0))</f>
        <v>0</v>
      </c>
      <c r="U28" s="186">
        <f>SUMIFS(DWbonus[[Sum]:[Sum]],DWbonus[[Dato]:[Dato]], "&gt;="&amp;U$5,DWbonus[[Dato]:[Dato]],"&lt;="&amp;EOMONTH(U$5,0),DWbonus[[Bookie]:[Bookie]],$K28)+SUMIFS(LayTable[[Faktisk res]:[Faktisk res]],LayTable[[Dato]:[Dato]],"&gt;="&amp;U$5,LayTable[[Dato]:[Dato]],"&lt;="&amp;EOMONTH(U$5,0),LayTable[[Bookmaker]:[Bookmaker]],$K28)+SUMIFS(BetTable[[AR_per_bookie]:[AR_per_bookie]],BetTable[[B1]:[B1]],$K28,BetTable[[Date]:[Date]], "&gt;="&amp;U$5,BetTable[[Date]:[Date]],"&lt;="&amp;EOMONTH(U$5,0))+SUMIFS(BetTable[[AR_per_bookie]:[AR_per_bookie]],BetTable[[B2]:[B2]],$K28,BetTable[[Date]:[Date]], "&gt;="&amp;U$5,BetTable[[Date]:[Date]],"&lt;="&amp;EOMONTH(U$5,0))+SUMIFS(BetTable[[AR_per_bookie]:[AR_per_bookie]],BetTable[[B3]:[B3]],$K28,BetTable[[Date]:[Date]], "&gt;="&amp;U$5,BetTable[[Date]:[Date]],"&lt;="&amp;EOMONTH(U$5,0))</f>
        <v>0</v>
      </c>
      <c r="V28" s="186">
        <f>SUMIFS(DWbonus[[Sum]:[Sum]],DWbonus[[Dato]:[Dato]], "&gt;="&amp;V$5,DWbonus[[Dato]:[Dato]],"&lt;="&amp;EOMONTH(V$5,0),DWbonus[[Bookie]:[Bookie]],$K28)+SUMIFS(LayTable[[Faktisk res]:[Faktisk res]],LayTable[[Dato]:[Dato]],"&gt;="&amp;V$5,LayTable[[Dato]:[Dato]],"&lt;="&amp;EOMONTH(V$5,0),LayTable[[Bookmaker]:[Bookmaker]],$K28)+SUMIFS(BetTable[[AR_per_bookie]:[AR_per_bookie]],BetTable[[B1]:[B1]],$K28,BetTable[[Date]:[Date]], "&gt;="&amp;V$5,BetTable[[Date]:[Date]],"&lt;="&amp;EOMONTH(V$5,0))+SUMIFS(BetTable[[AR_per_bookie]:[AR_per_bookie]],BetTable[[B2]:[B2]],$K28,BetTable[[Date]:[Date]], "&gt;="&amp;V$5,BetTable[[Date]:[Date]],"&lt;="&amp;EOMONTH(V$5,0))+SUMIFS(BetTable[[AR_per_bookie]:[AR_per_bookie]],BetTable[[B3]:[B3]],$K28,BetTable[[Date]:[Date]], "&gt;="&amp;V$5,BetTable[[Date]:[Date]],"&lt;="&amp;EOMONTH(V$5,0))</f>
        <v>0</v>
      </c>
      <c r="W28" s="186">
        <f>SUMIFS(DWbonus[[Sum]:[Sum]],DWbonus[[Dato]:[Dato]], "&gt;="&amp;W$5,DWbonus[[Dato]:[Dato]],"&lt;="&amp;EOMONTH(W$5,0),DWbonus[[Bookie]:[Bookie]],$K28)+SUMIFS(LayTable[[Faktisk res]:[Faktisk res]],LayTable[[Dato]:[Dato]],"&gt;="&amp;W$5,LayTable[[Dato]:[Dato]],"&lt;="&amp;EOMONTH(W$5,0),LayTable[[Bookmaker]:[Bookmaker]],$K28)+SUMIFS(BetTable[[AR_per_bookie]:[AR_per_bookie]],BetTable[[B1]:[B1]],$K28,BetTable[[Date]:[Date]], "&gt;="&amp;W$5,BetTable[[Date]:[Date]],"&lt;="&amp;EOMONTH(W$5,0))+SUMIFS(BetTable[[AR_per_bookie]:[AR_per_bookie]],BetTable[[B2]:[B2]],$K28,BetTable[[Date]:[Date]], "&gt;="&amp;W$5,BetTable[[Date]:[Date]],"&lt;="&amp;EOMONTH(W$5,0))+SUMIFS(BetTable[[AR_per_bookie]:[AR_per_bookie]],BetTable[[B3]:[B3]],$K28,BetTable[[Date]:[Date]], "&gt;="&amp;W$5,BetTable[[Date]:[Date]],"&lt;="&amp;EOMONTH(W$5,0))</f>
        <v>0</v>
      </c>
    </row>
    <row r="29" spans="1:23">
      <c r="A29" s="212"/>
      <c r="B29" s="215"/>
      <c r="C29" s="215"/>
      <c r="D29" s="215"/>
      <c r="E29" s="215"/>
      <c r="G29" s="214"/>
      <c r="K29" s="174" t="str">
        <f t="array" ref="K29">IFERROR(INDEX(BookieNavn!H$2:H$1251,SMALL(IF(EXACT(LEFT(BookieNavn!H$2:H$1251,2),M$3),ROW(BookieNavn!H$2:H$1251)-ROW(BookieNavn!H$2)+1),ROWS(BookieNavn!H$2:'BookieNavn'!H24))),"")</f>
        <v/>
      </c>
      <c r="L29" s="186">
        <f>SUMIFS(DWbonus[[Sum]:[Sum]],DWbonus[[Dato]:[Dato]], "&gt;="&amp;L$5,DWbonus[[Dato]:[Dato]],"&lt;="&amp;EOMONTH(L$5,0),DWbonus[[Bookie]:[Bookie]],$K29)+SUMIFS(LayTable[[Faktisk res]:[Faktisk res]],LayTable[[Dato]:[Dato]],"&gt;="&amp;L$5,LayTable[[Dato]:[Dato]],"&lt;="&amp;EOMONTH(L$5,0),LayTable[[Bookmaker]:[Bookmaker]],$K29)+SUMIFS(BetTable[[AR_per_bookie]:[AR_per_bookie]],BetTable[[B1]:[B1]],$K29,BetTable[[Date]:[Date]], "&gt;="&amp;L$5,BetTable[[Date]:[Date]],"&lt;="&amp;EOMONTH(L$5,0))+SUMIFS(BetTable[[AR_per_bookie]:[AR_per_bookie]],BetTable[[B2]:[B2]],$K29,BetTable[[Date]:[Date]], "&gt;="&amp;L$5,BetTable[[Date]:[Date]],"&lt;="&amp;EOMONTH(L$5,0))+SUMIFS(BetTable[[AR_per_bookie]:[AR_per_bookie]],BetTable[[B3]:[B3]],$K29,BetTable[[Date]:[Date]], "&gt;="&amp;L$5,BetTable[[Date]:[Date]],"&lt;="&amp;EOMONTH(L$5,0))</f>
        <v>0</v>
      </c>
      <c r="M29" s="186">
        <f>SUMIFS(DWbonus[[Sum]:[Sum]],DWbonus[[Dato]:[Dato]], "&gt;="&amp;M$5,DWbonus[[Dato]:[Dato]],"&lt;="&amp;EOMONTH(M$5,0),DWbonus[[Bookie]:[Bookie]],$K29)+SUMIFS(LayTable[[Faktisk res]:[Faktisk res]],LayTable[[Dato]:[Dato]],"&gt;="&amp;M$5,LayTable[[Dato]:[Dato]],"&lt;="&amp;EOMONTH(M$5,0),LayTable[[Bookmaker]:[Bookmaker]],$K29)+SUMIFS(BetTable[[AR_per_bookie]:[AR_per_bookie]],BetTable[[B1]:[B1]],$K29,BetTable[[Date]:[Date]], "&gt;="&amp;M$5,BetTable[[Date]:[Date]],"&lt;="&amp;EOMONTH(M$5,0))+SUMIFS(BetTable[[AR_per_bookie]:[AR_per_bookie]],BetTable[[B2]:[B2]],$K29,BetTable[[Date]:[Date]], "&gt;="&amp;M$5,BetTable[[Date]:[Date]],"&lt;="&amp;EOMONTH(M$5,0))+SUMIFS(BetTable[[AR_per_bookie]:[AR_per_bookie]],BetTable[[B3]:[B3]],$K29,BetTable[[Date]:[Date]], "&gt;="&amp;M$5,BetTable[[Date]:[Date]],"&lt;="&amp;EOMONTH(M$5,0))</f>
        <v>0</v>
      </c>
      <c r="N29" s="186">
        <f>SUMIFS(DWbonus[[Sum]:[Sum]],DWbonus[[Dato]:[Dato]], "&gt;="&amp;N$5,DWbonus[[Dato]:[Dato]],"&lt;="&amp;EOMONTH(N$5,0),DWbonus[[Bookie]:[Bookie]],$K29)+SUMIFS(LayTable[[Faktisk res]:[Faktisk res]],LayTable[[Dato]:[Dato]],"&gt;="&amp;N$5,LayTable[[Dato]:[Dato]],"&lt;="&amp;EOMONTH(N$5,0),LayTable[[Bookmaker]:[Bookmaker]],$K29)+SUMIFS(BetTable[[AR_per_bookie]:[AR_per_bookie]],BetTable[[B1]:[B1]],$K29,BetTable[[Date]:[Date]], "&gt;="&amp;N$5,BetTable[[Date]:[Date]],"&lt;="&amp;EOMONTH(N$5,0))+SUMIFS(BetTable[[AR_per_bookie]:[AR_per_bookie]],BetTable[[B2]:[B2]],$K29,BetTable[[Date]:[Date]], "&gt;="&amp;N$5,BetTable[[Date]:[Date]],"&lt;="&amp;EOMONTH(N$5,0))+SUMIFS(BetTable[[AR_per_bookie]:[AR_per_bookie]],BetTable[[B3]:[B3]],$K29,BetTable[[Date]:[Date]], "&gt;="&amp;N$5,BetTable[[Date]:[Date]],"&lt;="&amp;EOMONTH(N$5,0))</f>
        <v>0</v>
      </c>
      <c r="O29" s="186">
        <f>SUMIFS(DWbonus[[Sum]:[Sum]],DWbonus[[Dato]:[Dato]], "&gt;="&amp;O$5,DWbonus[[Dato]:[Dato]],"&lt;="&amp;EOMONTH(O$5,0),DWbonus[[Bookie]:[Bookie]],$K29)+SUMIFS(LayTable[[Faktisk res]:[Faktisk res]],LayTable[[Dato]:[Dato]],"&gt;="&amp;O$5,LayTable[[Dato]:[Dato]],"&lt;="&amp;EOMONTH(O$5,0),LayTable[[Bookmaker]:[Bookmaker]],$K29)+SUMIFS(BetTable[[AR_per_bookie]:[AR_per_bookie]],BetTable[[B1]:[B1]],$K29,BetTable[[Date]:[Date]], "&gt;="&amp;O$5,BetTable[[Date]:[Date]],"&lt;="&amp;EOMONTH(O$5,0))+SUMIFS(BetTable[[AR_per_bookie]:[AR_per_bookie]],BetTable[[B2]:[B2]],$K29,BetTable[[Date]:[Date]], "&gt;="&amp;O$5,BetTable[[Date]:[Date]],"&lt;="&amp;EOMONTH(O$5,0))+SUMIFS(BetTable[[AR_per_bookie]:[AR_per_bookie]],BetTable[[B3]:[B3]],$K29,BetTable[[Date]:[Date]], "&gt;="&amp;O$5,BetTable[[Date]:[Date]],"&lt;="&amp;EOMONTH(O$5,0))</f>
        <v>0</v>
      </c>
      <c r="P29" s="186">
        <f>SUMIFS(DWbonus[[Sum]:[Sum]],DWbonus[[Dato]:[Dato]], "&gt;="&amp;P$5,DWbonus[[Dato]:[Dato]],"&lt;="&amp;EOMONTH(P$5,0),DWbonus[[Bookie]:[Bookie]],$K29)+SUMIFS(LayTable[[Faktisk res]:[Faktisk res]],LayTable[[Dato]:[Dato]],"&gt;="&amp;P$5,LayTable[[Dato]:[Dato]],"&lt;="&amp;EOMONTH(P$5,0),LayTable[[Bookmaker]:[Bookmaker]],$K29)+SUMIFS(BetTable[[AR_per_bookie]:[AR_per_bookie]],BetTable[[B1]:[B1]],$K29,BetTable[[Date]:[Date]], "&gt;="&amp;P$5,BetTable[[Date]:[Date]],"&lt;="&amp;EOMONTH(P$5,0))+SUMIFS(BetTable[[AR_per_bookie]:[AR_per_bookie]],BetTable[[B2]:[B2]],$K29,BetTable[[Date]:[Date]], "&gt;="&amp;P$5,BetTable[[Date]:[Date]],"&lt;="&amp;EOMONTH(P$5,0))+SUMIFS(BetTable[[AR_per_bookie]:[AR_per_bookie]],BetTable[[B3]:[B3]],$K29,BetTable[[Date]:[Date]], "&gt;="&amp;P$5,BetTable[[Date]:[Date]],"&lt;="&amp;EOMONTH(P$5,0))</f>
        <v>0</v>
      </c>
      <c r="Q29" s="186">
        <f>SUMIFS(DWbonus[[Sum]:[Sum]],DWbonus[[Dato]:[Dato]], "&gt;="&amp;Q$5,DWbonus[[Dato]:[Dato]],"&lt;="&amp;EOMONTH(Q$5,0),DWbonus[[Bookie]:[Bookie]],$K29)+SUMIFS(LayTable[[Faktisk res]:[Faktisk res]],LayTable[[Dato]:[Dato]],"&gt;="&amp;Q$5,LayTable[[Dato]:[Dato]],"&lt;="&amp;EOMONTH(Q$5,0),LayTable[[Bookmaker]:[Bookmaker]],$K29)+SUMIFS(BetTable[[AR_per_bookie]:[AR_per_bookie]],BetTable[[B1]:[B1]],$K29,BetTable[[Date]:[Date]], "&gt;="&amp;Q$5,BetTable[[Date]:[Date]],"&lt;="&amp;EOMONTH(Q$5,0))+SUMIFS(BetTable[[AR_per_bookie]:[AR_per_bookie]],BetTable[[B2]:[B2]],$K29,BetTable[[Date]:[Date]], "&gt;="&amp;Q$5,BetTable[[Date]:[Date]],"&lt;="&amp;EOMONTH(Q$5,0))+SUMIFS(BetTable[[AR_per_bookie]:[AR_per_bookie]],BetTable[[B3]:[B3]],$K29,BetTable[[Date]:[Date]], "&gt;="&amp;Q$5,BetTable[[Date]:[Date]],"&lt;="&amp;EOMONTH(Q$5,0))</f>
        <v>0</v>
      </c>
      <c r="R29" s="186">
        <f>SUMIFS(DWbonus[[Sum]:[Sum]],DWbonus[[Dato]:[Dato]], "&gt;="&amp;R$5,DWbonus[[Dato]:[Dato]],"&lt;="&amp;EOMONTH(R$5,0),DWbonus[[Bookie]:[Bookie]],$K29)+SUMIFS(LayTable[[Faktisk res]:[Faktisk res]],LayTable[[Dato]:[Dato]],"&gt;="&amp;R$5,LayTable[[Dato]:[Dato]],"&lt;="&amp;EOMONTH(R$5,0),LayTable[[Bookmaker]:[Bookmaker]],$K29)+SUMIFS(BetTable[[AR_per_bookie]:[AR_per_bookie]],BetTable[[B1]:[B1]],$K29,BetTable[[Date]:[Date]], "&gt;="&amp;R$5,BetTable[[Date]:[Date]],"&lt;="&amp;EOMONTH(R$5,0))+SUMIFS(BetTable[[AR_per_bookie]:[AR_per_bookie]],BetTable[[B2]:[B2]],$K29,BetTable[[Date]:[Date]], "&gt;="&amp;R$5,BetTable[[Date]:[Date]],"&lt;="&amp;EOMONTH(R$5,0))+SUMIFS(BetTable[[AR_per_bookie]:[AR_per_bookie]],BetTable[[B3]:[B3]],$K29,BetTable[[Date]:[Date]], "&gt;="&amp;R$5,BetTable[[Date]:[Date]],"&lt;="&amp;EOMONTH(R$5,0))</f>
        <v>0</v>
      </c>
      <c r="S29" s="186">
        <f>SUMIFS(DWbonus[[Sum]:[Sum]],DWbonus[[Dato]:[Dato]], "&gt;="&amp;S$5,DWbonus[[Dato]:[Dato]],"&lt;="&amp;EOMONTH(S$5,0),DWbonus[[Bookie]:[Bookie]],$K29)+SUMIFS(LayTable[[Faktisk res]:[Faktisk res]],LayTable[[Dato]:[Dato]],"&gt;="&amp;S$5,LayTable[[Dato]:[Dato]],"&lt;="&amp;EOMONTH(S$5,0),LayTable[[Bookmaker]:[Bookmaker]],$K29)+SUMIFS(BetTable[[AR_per_bookie]:[AR_per_bookie]],BetTable[[B1]:[B1]],$K29,BetTable[[Date]:[Date]], "&gt;="&amp;S$5,BetTable[[Date]:[Date]],"&lt;="&amp;EOMONTH(S$5,0))+SUMIFS(BetTable[[AR_per_bookie]:[AR_per_bookie]],BetTable[[B2]:[B2]],$K29,BetTable[[Date]:[Date]], "&gt;="&amp;S$5,BetTable[[Date]:[Date]],"&lt;="&amp;EOMONTH(S$5,0))+SUMIFS(BetTable[[AR_per_bookie]:[AR_per_bookie]],BetTable[[B3]:[B3]],$K29,BetTable[[Date]:[Date]], "&gt;="&amp;S$5,BetTable[[Date]:[Date]],"&lt;="&amp;EOMONTH(S$5,0))</f>
        <v>0</v>
      </c>
      <c r="T29" s="186">
        <f>SUMIFS(DWbonus[[Sum]:[Sum]],DWbonus[[Dato]:[Dato]], "&gt;="&amp;T$5,DWbonus[[Dato]:[Dato]],"&lt;="&amp;EOMONTH(T$5,0),DWbonus[[Bookie]:[Bookie]],$K29)+SUMIFS(LayTable[[Faktisk res]:[Faktisk res]],LayTable[[Dato]:[Dato]],"&gt;="&amp;T$5,LayTable[[Dato]:[Dato]],"&lt;="&amp;EOMONTH(T$5,0),LayTable[[Bookmaker]:[Bookmaker]],$K29)+SUMIFS(BetTable[[AR_per_bookie]:[AR_per_bookie]],BetTable[[B1]:[B1]],$K29,BetTable[[Date]:[Date]], "&gt;="&amp;T$5,BetTable[[Date]:[Date]],"&lt;="&amp;EOMONTH(T$5,0))+SUMIFS(BetTable[[AR_per_bookie]:[AR_per_bookie]],BetTable[[B2]:[B2]],$K29,BetTable[[Date]:[Date]], "&gt;="&amp;T$5,BetTable[[Date]:[Date]],"&lt;="&amp;EOMONTH(T$5,0))+SUMIFS(BetTable[[AR_per_bookie]:[AR_per_bookie]],BetTable[[B3]:[B3]],$K29,BetTable[[Date]:[Date]], "&gt;="&amp;T$5,BetTable[[Date]:[Date]],"&lt;="&amp;EOMONTH(T$5,0))</f>
        <v>0</v>
      </c>
      <c r="U29" s="186">
        <f>SUMIFS(DWbonus[[Sum]:[Sum]],DWbonus[[Dato]:[Dato]], "&gt;="&amp;U$5,DWbonus[[Dato]:[Dato]],"&lt;="&amp;EOMONTH(U$5,0),DWbonus[[Bookie]:[Bookie]],$K29)+SUMIFS(LayTable[[Faktisk res]:[Faktisk res]],LayTable[[Dato]:[Dato]],"&gt;="&amp;U$5,LayTable[[Dato]:[Dato]],"&lt;="&amp;EOMONTH(U$5,0),LayTable[[Bookmaker]:[Bookmaker]],$K29)+SUMIFS(BetTable[[AR_per_bookie]:[AR_per_bookie]],BetTable[[B1]:[B1]],$K29,BetTable[[Date]:[Date]], "&gt;="&amp;U$5,BetTable[[Date]:[Date]],"&lt;="&amp;EOMONTH(U$5,0))+SUMIFS(BetTable[[AR_per_bookie]:[AR_per_bookie]],BetTable[[B2]:[B2]],$K29,BetTable[[Date]:[Date]], "&gt;="&amp;U$5,BetTable[[Date]:[Date]],"&lt;="&amp;EOMONTH(U$5,0))+SUMIFS(BetTable[[AR_per_bookie]:[AR_per_bookie]],BetTable[[B3]:[B3]],$K29,BetTable[[Date]:[Date]], "&gt;="&amp;U$5,BetTable[[Date]:[Date]],"&lt;="&amp;EOMONTH(U$5,0))</f>
        <v>0</v>
      </c>
      <c r="V29" s="186">
        <f>SUMIFS(DWbonus[[Sum]:[Sum]],DWbonus[[Dato]:[Dato]], "&gt;="&amp;V$5,DWbonus[[Dato]:[Dato]],"&lt;="&amp;EOMONTH(V$5,0),DWbonus[[Bookie]:[Bookie]],$K29)+SUMIFS(LayTable[[Faktisk res]:[Faktisk res]],LayTable[[Dato]:[Dato]],"&gt;="&amp;V$5,LayTable[[Dato]:[Dato]],"&lt;="&amp;EOMONTH(V$5,0),LayTable[[Bookmaker]:[Bookmaker]],$K29)+SUMIFS(BetTable[[AR_per_bookie]:[AR_per_bookie]],BetTable[[B1]:[B1]],$K29,BetTable[[Date]:[Date]], "&gt;="&amp;V$5,BetTable[[Date]:[Date]],"&lt;="&amp;EOMONTH(V$5,0))+SUMIFS(BetTable[[AR_per_bookie]:[AR_per_bookie]],BetTable[[B2]:[B2]],$K29,BetTable[[Date]:[Date]], "&gt;="&amp;V$5,BetTable[[Date]:[Date]],"&lt;="&amp;EOMONTH(V$5,0))+SUMIFS(BetTable[[AR_per_bookie]:[AR_per_bookie]],BetTable[[B3]:[B3]],$K29,BetTable[[Date]:[Date]], "&gt;="&amp;V$5,BetTable[[Date]:[Date]],"&lt;="&amp;EOMONTH(V$5,0))</f>
        <v>0</v>
      </c>
      <c r="W29" s="186">
        <f>SUMIFS(DWbonus[[Sum]:[Sum]],DWbonus[[Dato]:[Dato]], "&gt;="&amp;W$5,DWbonus[[Dato]:[Dato]],"&lt;="&amp;EOMONTH(W$5,0),DWbonus[[Bookie]:[Bookie]],$K29)+SUMIFS(LayTable[[Faktisk res]:[Faktisk res]],LayTable[[Dato]:[Dato]],"&gt;="&amp;W$5,LayTable[[Dato]:[Dato]],"&lt;="&amp;EOMONTH(W$5,0),LayTable[[Bookmaker]:[Bookmaker]],$K29)+SUMIFS(BetTable[[AR_per_bookie]:[AR_per_bookie]],BetTable[[B1]:[B1]],$K29,BetTable[[Date]:[Date]], "&gt;="&amp;W$5,BetTable[[Date]:[Date]],"&lt;="&amp;EOMONTH(W$5,0))+SUMIFS(BetTable[[AR_per_bookie]:[AR_per_bookie]],BetTable[[B2]:[B2]],$K29,BetTable[[Date]:[Date]], "&gt;="&amp;W$5,BetTable[[Date]:[Date]],"&lt;="&amp;EOMONTH(W$5,0))+SUMIFS(BetTable[[AR_per_bookie]:[AR_per_bookie]],BetTable[[B3]:[B3]],$K29,BetTable[[Date]:[Date]], "&gt;="&amp;W$5,BetTable[[Date]:[Date]],"&lt;="&amp;EOMONTH(W$5,0))</f>
        <v>0</v>
      </c>
    </row>
    <row r="30" spans="1:23">
      <c r="A30" s="212"/>
      <c r="B30" s="215"/>
      <c r="C30" s="215"/>
      <c r="D30" s="215"/>
      <c r="E30" s="215"/>
      <c r="G30" s="214"/>
      <c r="K30" s="174" t="str">
        <f t="array" ref="K30">IFERROR(INDEX(BookieNavn!H$2:H$1251,SMALL(IF(EXACT(LEFT(BookieNavn!H$2:H$1251,2),M$3),ROW(BookieNavn!H$2:H$1251)-ROW(BookieNavn!H$2)+1),ROWS(BookieNavn!H$2:'BookieNavn'!H25))),"")</f>
        <v/>
      </c>
      <c r="L30" s="186">
        <f>SUMIFS(DWbonus[[Sum]:[Sum]],DWbonus[[Dato]:[Dato]], "&gt;="&amp;L$5,DWbonus[[Dato]:[Dato]],"&lt;="&amp;EOMONTH(L$5,0),DWbonus[[Bookie]:[Bookie]],$K30)+SUMIFS(LayTable[[Faktisk res]:[Faktisk res]],LayTable[[Dato]:[Dato]],"&gt;="&amp;L$5,LayTable[[Dato]:[Dato]],"&lt;="&amp;EOMONTH(L$5,0),LayTable[[Bookmaker]:[Bookmaker]],$K30)+SUMIFS(BetTable[[AR_per_bookie]:[AR_per_bookie]],BetTable[[B1]:[B1]],$K30,BetTable[[Date]:[Date]], "&gt;="&amp;L$5,BetTable[[Date]:[Date]],"&lt;="&amp;EOMONTH(L$5,0))+SUMIFS(BetTable[[AR_per_bookie]:[AR_per_bookie]],BetTable[[B2]:[B2]],$K30,BetTable[[Date]:[Date]], "&gt;="&amp;L$5,BetTable[[Date]:[Date]],"&lt;="&amp;EOMONTH(L$5,0))+SUMIFS(BetTable[[AR_per_bookie]:[AR_per_bookie]],BetTable[[B3]:[B3]],$K30,BetTable[[Date]:[Date]], "&gt;="&amp;L$5,BetTable[[Date]:[Date]],"&lt;="&amp;EOMONTH(L$5,0))</f>
        <v>0</v>
      </c>
      <c r="M30" s="186">
        <f>SUMIFS(DWbonus[[Sum]:[Sum]],DWbonus[[Dato]:[Dato]], "&gt;="&amp;M$5,DWbonus[[Dato]:[Dato]],"&lt;="&amp;EOMONTH(M$5,0),DWbonus[[Bookie]:[Bookie]],$K30)+SUMIFS(LayTable[[Faktisk res]:[Faktisk res]],LayTable[[Dato]:[Dato]],"&gt;="&amp;M$5,LayTable[[Dato]:[Dato]],"&lt;="&amp;EOMONTH(M$5,0),LayTable[[Bookmaker]:[Bookmaker]],$K30)+SUMIFS(BetTable[[AR_per_bookie]:[AR_per_bookie]],BetTable[[B1]:[B1]],$K30,BetTable[[Date]:[Date]], "&gt;="&amp;M$5,BetTable[[Date]:[Date]],"&lt;="&amp;EOMONTH(M$5,0))+SUMIFS(BetTable[[AR_per_bookie]:[AR_per_bookie]],BetTable[[B2]:[B2]],$K30,BetTable[[Date]:[Date]], "&gt;="&amp;M$5,BetTable[[Date]:[Date]],"&lt;="&amp;EOMONTH(M$5,0))+SUMIFS(BetTable[[AR_per_bookie]:[AR_per_bookie]],BetTable[[B3]:[B3]],$K30,BetTable[[Date]:[Date]], "&gt;="&amp;M$5,BetTable[[Date]:[Date]],"&lt;="&amp;EOMONTH(M$5,0))</f>
        <v>0</v>
      </c>
      <c r="N30" s="186">
        <f>SUMIFS(DWbonus[[Sum]:[Sum]],DWbonus[[Dato]:[Dato]], "&gt;="&amp;N$5,DWbonus[[Dato]:[Dato]],"&lt;="&amp;EOMONTH(N$5,0),DWbonus[[Bookie]:[Bookie]],$K30)+SUMIFS(LayTable[[Faktisk res]:[Faktisk res]],LayTable[[Dato]:[Dato]],"&gt;="&amp;N$5,LayTable[[Dato]:[Dato]],"&lt;="&amp;EOMONTH(N$5,0),LayTable[[Bookmaker]:[Bookmaker]],$K30)+SUMIFS(BetTable[[AR_per_bookie]:[AR_per_bookie]],BetTable[[B1]:[B1]],$K30,BetTable[[Date]:[Date]], "&gt;="&amp;N$5,BetTable[[Date]:[Date]],"&lt;="&amp;EOMONTH(N$5,0))+SUMIFS(BetTable[[AR_per_bookie]:[AR_per_bookie]],BetTable[[B2]:[B2]],$K30,BetTable[[Date]:[Date]], "&gt;="&amp;N$5,BetTable[[Date]:[Date]],"&lt;="&amp;EOMONTH(N$5,0))+SUMIFS(BetTable[[AR_per_bookie]:[AR_per_bookie]],BetTable[[B3]:[B3]],$K30,BetTable[[Date]:[Date]], "&gt;="&amp;N$5,BetTable[[Date]:[Date]],"&lt;="&amp;EOMONTH(N$5,0))</f>
        <v>0</v>
      </c>
      <c r="O30" s="186">
        <f>SUMIFS(DWbonus[[Sum]:[Sum]],DWbonus[[Dato]:[Dato]], "&gt;="&amp;O$5,DWbonus[[Dato]:[Dato]],"&lt;="&amp;EOMONTH(O$5,0),DWbonus[[Bookie]:[Bookie]],$K30)+SUMIFS(LayTable[[Faktisk res]:[Faktisk res]],LayTable[[Dato]:[Dato]],"&gt;="&amp;O$5,LayTable[[Dato]:[Dato]],"&lt;="&amp;EOMONTH(O$5,0),LayTable[[Bookmaker]:[Bookmaker]],$K30)+SUMIFS(BetTable[[AR_per_bookie]:[AR_per_bookie]],BetTable[[B1]:[B1]],$K30,BetTable[[Date]:[Date]], "&gt;="&amp;O$5,BetTable[[Date]:[Date]],"&lt;="&amp;EOMONTH(O$5,0))+SUMIFS(BetTable[[AR_per_bookie]:[AR_per_bookie]],BetTable[[B2]:[B2]],$K30,BetTable[[Date]:[Date]], "&gt;="&amp;O$5,BetTable[[Date]:[Date]],"&lt;="&amp;EOMONTH(O$5,0))+SUMIFS(BetTable[[AR_per_bookie]:[AR_per_bookie]],BetTable[[B3]:[B3]],$K30,BetTable[[Date]:[Date]], "&gt;="&amp;O$5,BetTable[[Date]:[Date]],"&lt;="&amp;EOMONTH(O$5,0))</f>
        <v>0</v>
      </c>
      <c r="P30" s="186">
        <f>SUMIFS(DWbonus[[Sum]:[Sum]],DWbonus[[Dato]:[Dato]], "&gt;="&amp;P$5,DWbonus[[Dato]:[Dato]],"&lt;="&amp;EOMONTH(P$5,0),DWbonus[[Bookie]:[Bookie]],$K30)+SUMIFS(LayTable[[Faktisk res]:[Faktisk res]],LayTable[[Dato]:[Dato]],"&gt;="&amp;P$5,LayTable[[Dato]:[Dato]],"&lt;="&amp;EOMONTH(P$5,0),LayTable[[Bookmaker]:[Bookmaker]],$K30)+SUMIFS(BetTable[[AR_per_bookie]:[AR_per_bookie]],BetTable[[B1]:[B1]],$K30,BetTable[[Date]:[Date]], "&gt;="&amp;P$5,BetTable[[Date]:[Date]],"&lt;="&amp;EOMONTH(P$5,0))+SUMIFS(BetTable[[AR_per_bookie]:[AR_per_bookie]],BetTable[[B2]:[B2]],$K30,BetTable[[Date]:[Date]], "&gt;="&amp;P$5,BetTable[[Date]:[Date]],"&lt;="&amp;EOMONTH(P$5,0))+SUMIFS(BetTable[[AR_per_bookie]:[AR_per_bookie]],BetTable[[B3]:[B3]],$K30,BetTable[[Date]:[Date]], "&gt;="&amp;P$5,BetTable[[Date]:[Date]],"&lt;="&amp;EOMONTH(P$5,0))</f>
        <v>0</v>
      </c>
      <c r="Q30" s="186">
        <f>SUMIFS(DWbonus[[Sum]:[Sum]],DWbonus[[Dato]:[Dato]], "&gt;="&amp;Q$5,DWbonus[[Dato]:[Dato]],"&lt;="&amp;EOMONTH(Q$5,0),DWbonus[[Bookie]:[Bookie]],$K30)+SUMIFS(LayTable[[Faktisk res]:[Faktisk res]],LayTable[[Dato]:[Dato]],"&gt;="&amp;Q$5,LayTable[[Dato]:[Dato]],"&lt;="&amp;EOMONTH(Q$5,0),LayTable[[Bookmaker]:[Bookmaker]],$K30)+SUMIFS(BetTable[[AR_per_bookie]:[AR_per_bookie]],BetTable[[B1]:[B1]],$K30,BetTable[[Date]:[Date]], "&gt;="&amp;Q$5,BetTable[[Date]:[Date]],"&lt;="&amp;EOMONTH(Q$5,0))+SUMIFS(BetTable[[AR_per_bookie]:[AR_per_bookie]],BetTable[[B2]:[B2]],$K30,BetTable[[Date]:[Date]], "&gt;="&amp;Q$5,BetTable[[Date]:[Date]],"&lt;="&amp;EOMONTH(Q$5,0))+SUMIFS(BetTable[[AR_per_bookie]:[AR_per_bookie]],BetTable[[B3]:[B3]],$K30,BetTable[[Date]:[Date]], "&gt;="&amp;Q$5,BetTable[[Date]:[Date]],"&lt;="&amp;EOMONTH(Q$5,0))</f>
        <v>0</v>
      </c>
      <c r="R30" s="186">
        <f>SUMIFS(DWbonus[[Sum]:[Sum]],DWbonus[[Dato]:[Dato]], "&gt;="&amp;R$5,DWbonus[[Dato]:[Dato]],"&lt;="&amp;EOMONTH(R$5,0),DWbonus[[Bookie]:[Bookie]],$K30)+SUMIFS(LayTable[[Faktisk res]:[Faktisk res]],LayTable[[Dato]:[Dato]],"&gt;="&amp;R$5,LayTable[[Dato]:[Dato]],"&lt;="&amp;EOMONTH(R$5,0),LayTable[[Bookmaker]:[Bookmaker]],$K30)+SUMIFS(BetTable[[AR_per_bookie]:[AR_per_bookie]],BetTable[[B1]:[B1]],$K30,BetTable[[Date]:[Date]], "&gt;="&amp;R$5,BetTable[[Date]:[Date]],"&lt;="&amp;EOMONTH(R$5,0))+SUMIFS(BetTable[[AR_per_bookie]:[AR_per_bookie]],BetTable[[B2]:[B2]],$K30,BetTable[[Date]:[Date]], "&gt;="&amp;R$5,BetTable[[Date]:[Date]],"&lt;="&amp;EOMONTH(R$5,0))+SUMIFS(BetTable[[AR_per_bookie]:[AR_per_bookie]],BetTable[[B3]:[B3]],$K30,BetTable[[Date]:[Date]], "&gt;="&amp;R$5,BetTable[[Date]:[Date]],"&lt;="&amp;EOMONTH(R$5,0))</f>
        <v>0</v>
      </c>
      <c r="S30" s="186">
        <f>SUMIFS(DWbonus[[Sum]:[Sum]],DWbonus[[Dato]:[Dato]], "&gt;="&amp;S$5,DWbonus[[Dato]:[Dato]],"&lt;="&amp;EOMONTH(S$5,0),DWbonus[[Bookie]:[Bookie]],$K30)+SUMIFS(LayTable[[Faktisk res]:[Faktisk res]],LayTable[[Dato]:[Dato]],"&gt;="&amp;S$5,LayTable[[Dato]:[Dato]],"&lt;="&amp;EOMONTH(S$5,0),LayTable[[Bookmaker]:[Bookmaker]],$K30)+SUMIFS(BetTable[[AR_per_bookie]:[AR_per_bookie]],BetTable[[B1]:[B1]],$K30,BetTable[[Date]:[Date]], "&gt;="&amp;S$5,BetTable[[Date]:[Date]],"&lt;="&amp;EOMONTH(S$5,0))+SUMIFS(BetTable[[AR_per_bookie]:[AR_per_bookie]],BetTable[[B2]:[B2]],$K30,BetTable[[Date]:[Date]], "&gt;="&amp;S$5,BetTable[[Date]:[Date]],"&lt;="&amp;EOMONTH(S$5,0))+SUMIFS(BetTable[[AR_per_bookie]:[AR_per_bookie]],BetTable[[B3]:[B3]],$K30,BetTable[[Date]:[Date]], "&gt;="&amp;S$5,BetTable[[Date]:[Date]],"&lt;="&amp;EOMONTH(S$5,0))</f>
        <v>0</v>
      </c>
      <c r="T30" s="186">
        <f>SUMIFS(DWbonus[[Sum]:[Sum]],DWbonus[[Dato]:[Dato]], "&gt;="&amp;T$5,DWbonus[[Dato]:[Dato]],"&lt;="&amp;EOMONTH(T$5,0),DWbonus[[Bookie]:[Bookie]],$K30)+SUMIFS(LayTable[[Faktisk res]:[Faktisk res]],LayTable[[Dato]:[Dato]],"&gt;="&amp;T$5,LayTable[[Dato]:[Dato]],"&lt;="&amp;EOMONTH(T$5,0),LayTable[[Bookmaker]:[Bookmaker]],$K30)+SUMIFS(BetTable[[AR_per_bookie]:[AR_per_bookie]],BetTable[[B1]:[B1]],$K30,BetTable[[Date]:[Date]], "&gt;="&amp;T$5,BetTable[[Date]:[Date]],"&lt;="&amp;EOMONTH(T$5,0))+SUMIFS(BetTable[[AR_per_bookie]:[AR_per_bookie]],BetTable[[B2]:[B2]],$K30,BetTable[[Date]:[Date]], "&gt;="&amp;T$5,BetTable[[Date]:[Date]],"&lt;="&amp;EOMONTH(T$5,0))+SUMIFS(BetTable[[AR_per_bookie]:[AR_per_bookie]],BetTable[[B3]:[B3]],$K30,BetTable[[Date]:[Date]], "&gt;="&amp;T$5,BetTable[[Date]:[Date]],"&lt;="&amp;EOMONTH(T$5,0))</f>
        <v>0</v>
      </c>
      <c r="U30" s="186">
        <f>SUMIFS(DWbonus[[Sum]:[Sum]],DWbonus[[Dato]:[Dato]], "&gt;="&amp;U$5,DWbonus[[Dato]:[Dato]],"&lt;="&amp;EOMONTH(U$5,0),DWbonus[[Bookie]:[Bookie]],$K30)+SUMIFS(LayTable[[Faktisk res]:[Faktisk res]],LayTable[[Dato]:[Dato]],"&gt;="&amp;U$5,LayTable[[Dato]:[Dato]],"&lt;="&amp;EOMONTH(U$5,0),LayTable[[Bookmaker]:[Bookmaker]],$K30)+SUMIFS(BetTable[[AR_per_bookie]:[AR_per_bookie]],BetTable[[B1]:[B1]],$K30,BetTable[[Date]:[Date]], "&gt;="&amp;U$5,BetTable[[Date]:[Date]],"&lt;="&amp;EOMONTH(U$5,0))+SUMIFS(BetTable[[AR_per_bookie]:[AR_per_bookie]],BetTable[[B2]:[B2]],$K30,BetTable[[Date]:[Date]], "&gt;="&amp;U$5,BetTable[[Date]:[Date]],"&lt;="&amp;EOMONTH(U$5,0))+SUMIFS(BetTable[[AR_per_bookie]:[AR_per_bookie]],BetTable[[B3]:[B3]],$K30,BetTable[[Date]:[Date]], "&gt;="&amp;U$5,BetTable[[Date]:[Date]],"&lt;="&amp;EOMONTH(U$5,0))</f>
        <v>0</v>
      </c>
      <c r="V30" s="186">
        <f>SUMIFS(DWbonus[[Sum]:[Sum]],DWbonus[[Dato]:[Dato]], "&gt;="&amp;V$5,DWbonus[[Dato]:[Dato]],"&lt;="&amp;EOMONTH(V$5,0),DWbonus[[Bookie]:[Bookie]],$K30)+SUMIFS(LayTable[[Faktisk res]:[Faktisk res]],LayTable[[Dato]:[Dato]],"&gt;="&amp;V$5,LayTable[[Dato]:[Dato]],"&lt;="&amp;EOMONTH(V$5,0),LayTable[[Bookmaker]:[Bookmaker]],$K30)+SUMIFS(BetTable[[AR_per_bookie]:[AR_per_bookie]],BetTable[[B1]:[B1]],$K30,BetTable[[Date]:[Date]], "&gt;="&amp;V$5,BetTable[[Date]:[Date]],"&lt;="&amp;EOMONTH(V$5,0))+SUMIFS(BetTable[[AR_per_bookie]:[AR_per_bookie]],BetTable[[B2]:[B2]],$K30,BetTable[[Date]:[Date]], "&gt;="&amp;V$5,BetTable[[Date]:[Date]],"&lt;="&amp;EOMONTH(V$5,0))+SUMIFS(BetTable[[AR_per_bookie]:[AR_per_bookie]],BetTable[[B3]:[B3]],$K30,BetTable[[Date]:[Date]], "&gt;="&amp;V$5,BetTable[[Date]:[Date]],"&lt;="&amp;EOMONTH(V$5,0))</f>
        <v>0</v>
      </c>
      <c r="W30" s="186">
        <f>SUMIFS(DWbonus[[Sum]:[Sum]],DWbonus[[Dato]:[Dato]], "&gt;="&amp;W$5,DWbonus[[Dato]:[Dato]],"&lt;="&amp;EOMONTH(W$5,0),DWbonus[[Bookie]:[Bookie]],$K30)+SUMIFS(LayTable[[Faktisk res]:[Faktisk res]],LayTable[[Dato]:[Dato]],"&gt;="&amp;W$5,LayTable[[Dato]:[Dato]],"&lt;="&amp;EOMONTH(W$5,0),LayTable[[Bookmaker]:[Bookmaker]],$K30)+SUMIFS(BetTable[[AR_per_bookie]:[AR_per_bookie]],BetTable[[B1]:[B1]],$K30,BetTable[[Date]:[Date]], "&gt;="&amp;W$5,BetTable[[Date]:[Date]],"&lt;="&amp;EOMONTH(W$5,0))+SUMIFS(BetTable[[AR_per_bookie]:[AR_per_bookie]],BetTable[[B2]:[B2]],$K30,BetTable[[Date]:[Date]], "&gt;="&amp;W$5,BetTable[[Date]:[Date]],"&lt;="&amp;EOMONTH(W$5,0))+SUMIFS(BetTable[[AR_per_bookie]:[AR_per_bookie]],BetTable[[B3]:[B3]],$K30,BetTable[[Date]:[Date]], "&gt;="&amp;W$5,BetTable[[Date]:[Date]],"&lt;="&amp;EOMONTH(W$5,0))</f>
        <v>0</v>
      </c>
    </row>
    <row r="31" spans="1:23">
      <c r="A31" s="212"/>
      <c r="B31" s="215"/>
      <c r="C31" s="215"/>
      <c r="D31" s="215"/>
      <c r="E31" s="215"/>
      <c r="G31" s="214"/>
      <c r="K31" s="174" t="str">
        <f t="array" ref="K31">IFERROR(INDEX(BookieNavn!H$2:H$1251,SMALL(IF(EXACT(LEFT(BookieNavn!H$2:H$1251,2),M$3),ROW(BookieNavn!H$2:H$1251)-ROW(BookieNavn!H$2)+1),ROWS(BookieNavn!H$2:'BookieNavn'!H26))),"")</f>
        <v/>
      </c>
      <c r="L31" s="186">
        <f>SUMIFS(DWbonus[[Sum]:[Sum]],DWbonus[[Dato]:[Dato]], "&gt;="&amp;L$5,DWbonus[[Dato]:[Dato]],"&lt;="&amp;EOMONTH(L$5,0),DWbonus[[Bookie]:[Bookie]],$K31)+SUMIFS(LayTable[[Faktisk res]:[Faktisk res]],LayTable[[Dato]:[Dato]],"&gt;="&amp;L$5,LayTable[[Dato]:[Dato]],"&lt;="&amp;EOMONTH(L$5,0),LayTable[[Bookmaker]:[Bookmaker]],$K31)+SUMIFS(BetTable[[AR_per_bookie]:[AR_per_bookie]],BetTable[[B1]:[B1]],$K31,BetTable[[Date]:[Date]], "&gt;="&amp;L$5,BetTable[[Date]:[Date]],"&lt;="&amp;EOMONTH(L$5,0))+SUMIFS(BetTable[[AR_per_bookie]:[AR_per_bookie]],BetTable[[B2]:[B2]],$K31,BetTable[[Date]:[Date]], "&gt;="&amp;L$5,BetTable[[Date]:[Date]],"&lt;="&amp;EOMONTH(L$5,0))+SUMIFS(BetTable[[AR_per_bookie]:[AR_per_bookie]],BetTable[[B3]:[B3]],$K31,BetTable[[Date]:[Date]], "&gt;="&amp;L$5,BetTable[[Date]:[Date]],"&lt;="&amp;EOMONTH(L$5,0))</f>
        <v>0</v>
      </c>
      <c r="M31" s="186">
        <f>SUMIFS(DWbonus[[Sum]:[Sum]],DWbonus[[Dato]:[Dato]], "&gt;="&amp;M$5,DWbonus[[Dato]:[Dato]],"&lt;="&amp;EOMONTH(M$5,0),DWbonus[[Bookie]:[Bookie]],$K31)+SUMIFS(LayTable[[Faktisk res]:[Faktisk res]],LayTable[[Dato]:[Dato]],"&gt;="&amp;M$5,LayTable[[Dato]:[Dato]],"&lt;="&amp;EOMONTH(M$5,0),LayTable[[Bookmaker]:[Bookmaker]],$K31)+SUMIFS(BetTable[[AR_per_bookie]:[AR_per_bookie]],BetTable[[B1]:[B1]],$K31,BetTable[[Date]:[Date]], "&gt;="&amp;M$5,BetTable[[Date]:[Date]],"&lt;="&amp;EOMONTH(M$5,0))+SUMIFS(BetTable[[AR_per_bookie]:[AR_per_bookie]],BetTable[[B2]:[B2]],$K31,BetTable[[Date]:[Date]], "&gt;="&amp;M$5,BetTable[[Date]:[Date]],"&lt;="&amp;EOMONTH(M$5,0))+SUMIFS(BetTable[[AR_per_bookie]:[AR_per_bookie]],BetTable[[B3]:[B3]],$K31,BetTable[[Date]:[Date]], "&gt;="&amp;M$5,BetTable[[Date]:[Date]],"&lt;="&amp;EOMONTH(M$5,0))</f>
        <v>0</v>
      </c>
      <c r="N31" s="186">
        <f>SUMIFS(DWbonus[[Sum]:[Sum]],DWbonus[[Dato]:[Dato]], "&gt;="&amp;N$5,DWbonus[[Dato]:[Dato]],"&lt;="&amp;EOMONTH(N$5,0),DWbonus[[Bookie]:[Bookie]],$K31)+SUMIFS(LayTable[[Faktisk res]:[Faktisk res]],LayTable[[Dato]:[Dato]],"&gt;="&amp;N$5,LayTable[[Dato]:[Dato]],"&lt;="&amp;EOMONTH(N$5,0),LayTable[[Bookmaker]:[Bookmaker]],$K31)+SUMIFS(BetTable[[AR_per_bookie]:[AR_per_bookie]],BetTable[[B1]:[B1]],$K31,BetTable[[Date]:[Date]], "&gt;="&amp;N$5,BetTable[[Date]:[Date]],"&lt;="&amp;EOMONTH(N$5,0))+SUMIFS(BetTable[[AR_per_bookie]:[AR_per_bookie]],BetTable[[B2]:[B2]],$K31,BetTable[[Date]:[Date]], "&gt;="&amp;N$5,BetTable[[Date]:[Date]],"&lt;="&amp;EOMONTH(N$5,0))+SUMIFS(BetTable[[AR_per_bookie]:[AR_per_bookie]],BetTable[[B3]:[B3]],$K31,BetTable[[Date]:[Date]], "&gt;="&amp;N$5,BetTable[[Date]:[Date]],"&lt;="&amp;EOMONTH(N$5,0))</f>
        <v>0</v>
      </c>
      <c r="O31" s="186">
        <f>SUMIFS(DWbonus[[Sum]:[Sum]],DWbonus[[Dato]:[Dato]], "&gt;="&amp;O$5,DWbonus[[Dato]:[Dato]],"&lt;="&amp;EOMONTH(O$5,0),DWbonus[[Bookie]:[Bookie]],$K31)+SUMIFS(LayTable[[Faktisk res]:[Faktisk res]],LayTable[[Dato]:[Dato]],"&gt;="&amp;O$5,LayTable[[Dato]:[Dato]],"&lt;="&amp;EOMONTH(O$5,0),LayTable[[Bookmaker]:[Bookmaker]],$K31)+SUMIFS(BetTable[[AR_per_bookie]:[AR_per_bookie]],BetTable[[B1]:[B1]],$K31,BetTable[[Date]:[Date]], "&gt;="&amp;O$5,BetTable[[Date]:[Date]],"&lt;="&amp;EOMONTH(O$5,0))+SUMIFS(BetTable[[AR_per_bookie]:[AR_per_bookie]],BetTable[[B2]:[B2]],$K31,BetTable[[Date]:[Date]], "&gt;="&amp;O$5,BetTable[[Date]:[Date]],"&lt;="&amp;EOMONTH(O$5,0))+SUMIFS(BetTable[[AR_per_bookie]:[AR_per_bookie]],BetTable[[B3]:[B3]],$K31,BetTable[[Date]:[Date]], "&gt;="&amp;O$5,BetTable[[Date]:[Date]],"&lt;="&amp;EOMONTH(O$5,0))</f>
        <v>0</v>
      </c>
      <c r="P31" s="186">
        <f>SUMIFS(DWbonus[[Sum]:[Sum]],DWbonus[[Dato]:[Dato]], "&gt;="&amp;P$5,DWbonus[[Dato]:[Dato]],"&lt;="&amp;EOMONTH(P$5,0),DWbonus[[Bookie]:[Bookie]],$K31)+SUMIFS(LayTable[[Faktisk res]:[Faktisk res]],LayTable[[Dato]:[Dato]],"&gt;="&amp;P$5,LayTable[[Dato]:[Dato]],"&lt;="&amp;EOMONTH(P$5,0),LayTable[[Bookmaker]:[Bookmaker]],$K31)+SUMIFS(BetTable[[AR_per_bookie]:[AR_per_bookie]],BetTable[[B1]:[B1]],$K31,BetTable[[Date]:[Date]], "&gt;="&amp;P$5,BetTable[[Date]:[Date]],"&lt;="&amp;EOMONTH(P$5,0))+SUMIFS(BetTable[[AR_per_bookie]:[AR_per_bookie]],BetTable[[B2]:[B2]],$K31,BetTable[[Date]:[Date]], "&gt;="&amp;P$5,BetTable[[Date]:[Date]],"&lt;="&amp;EOMONTH(P$5,0))+SUMIFS(BetTable[[AR_per_bookie]:[AR_per_bookie]],BetTable[[B3]:[B3]],$K31,BetTable[[Date]:[Date]], "&gt;="&amp;P$5,BetTable[[Date]:[Date]],"&lt;="&amp;EOMONTH(P$5,0))</f>
        <v>0</v>
      </c>
      <c r="Q31" s="186">
        <f>SUMIFS(DWbonus[[Sum]:[Sum]],DWbonus[[Dato]:[Dato]], "&gt;="&amp;Q$5,DWbonus[[Dato]:[Dato]],"&lt;="&amp;EOMONTH(Q$5,0),DWbonus[[Bookie]:[Bookie]],$K31)+SUMIFS(LayTable[[Faktisk res]:[Faktisk res]],LayTable[[Dato]:[Dato]],"&gt;="&amp;Q$5,LayTable[[Dato]:[Dato]],"&lt;="&amp;EOMONTH(Q$5,0),LayTable[[Bookmaker]:[Bookmaker]],$K31)+SUMIFS(BetTable[[AR_per_bookie]:[AR_per_bookie]],BetTable[[B1]:[B1]],$K31,BetTable[[Date]:[Date]], "&gt;="&amp;Q$5,BetTable[[Date]:[Date]],"&lt;="&amp;EOMONTH(Q$5,0))+SUMIFS(BetTable[[AR_per_bookie]:[AR_per_bookie]],BetTable[[B2]:[B2]],$K31,BetTable[[Date]:[Date]], "&gt;="&amp;Q$5,BetTable[[Date]:[Date]],"&lt;="&amp;EOMONTH(Q$5,0))+SUMIFS(BetTable[[AR_per_bookie]:[AR_per_bookie]],BetTable[[B3]:[B3]],$K31,BetTable[[Date]:[Date]], "&gt;="&amp;Q$5,BetTable[[Date]:[Date]],"&lt;="&amp;EOMONTH(Q$5,0))</f>
        <v>0</v>
      </c>
      <c r="R31" s="186">
        <f>SUMIFS(DWbonus[[Sum]:[Sum]],DWbonus[[Dato]:[Dato]], "&gt;="&amp;R$5,DWbonus[[Dato]:[Dato]],"&lt;="&amp;EOMONTH(R$5,0),DWbonus[[Bookie]:[Bookie]],$K31)+SUMIFS(LayTable[[Faktisk res]:[Faktisk res]],LayTable[[Dato]:[Dato]],"&gt;="&amp;R$5,LayTable[[Dato]:[Dato]],"&lt;="&amp;EOMONTH(R$5,0),LayTable[[Bookmaker]:[Bookmaker]],$K31)+SUMIFS(BetTable[[AR_per_bookie]:[AR_per_bookie]],BetTable[[B1]:[B1]],$K31,BetTable[[Date]:[Date]], "&gt;="&amp;R$5,BetTable[[Date]:[Date]],"&lt;="&amp;EOMONTH(R$5,0))+SUMIFS(BetTable[[AR_per_bookie]:[AR_per_bookie]],BetTable[[B2]:[B2]],$K31,BetTable[[Date]:[Date]], "&gt;="&amp;R$5,BetTable[[Date]:[Date]],"&lt;="&amp;EOMONTH(R$5,0))+SUMIFS(BetTable[[AR_per_bookie]:[AR_per_bookie]],BetTable[[B3]:[B3]],$K31,BetTable[[Date]:[Date]], "&gt;="&amp;R$5,BetTable[[Date]:[Date]],"&lt;="&amp;EOMONTH(R$5,0))</f>
        <v>0</v>
      </c>
      <c r="S31" s="186">
        <f>SUMIFS(DWbonus[[Sum]:[Sum]],DWbonus[[Dato]:[Dato]], "&gt;="&amp;S$5,DWbonus[[Dato]:[Dato]],"&lt;="&amp;EOMONTH(S$5,0),DWbonus[[Bookie]:[Bookie]],$K31)+SUMIFS(LayTable[[Faktisk res]:[Faktisk res]],LayTable[[Dato]:[Dato]],"&gt;="&amp;S$5,LayTable[[Dato]:[Dato]],"&lt;="&amp;EOMONTH(S$5,0),LayTable[[Bookmaker]:[Bookmaker]],$K31)+SUMIFS(BetTable[[AR_per_bookie]:[AR_per_bookie]],BetTable[[B1]:[B1]],$K31,BetTable[[Date]:[Date]], "&gt;="&amp;S$5,BetTable[[Date]:[Date]],"&lt;="&amp;EOMONTH(S$5,0))+SUMIFS(BetTable[[AR_per_bookie]:[AR_per_bookie]],BetTable[[B2]:[B2]],$K31,BetTable[[Date]:[Date]], "&gt;="&amp;S$5,BetTable[[Date]:[Date]],"&lt;="&amp;EOMONTH(S$5,0))+SUMIFS(BetTable[[AR_per_bookie]:[AR_per_bookie]],BetTable[[B3]:[B3]],$K31,BetTable[[Date]:[Date]], "&gt;="&amp;S$5,BetTable[[Date]:[Date]],"&lt;="&amp;EOMONTH(S$5,0))</f>
        <v>0</v>
      </c>
      <c r="T31" s="186">
        <f>SUMIFS(DWbonus[[Sum]:[Sum]],DWbonus[[Dato]:[Dato]], "&gt;="&amp;T$5,DWbonus[[Dato]:[Dato]],"&lt;="&amp;EOMONTH(T$5,0),DWbonus[[Bookie]:[Bookie]],$K31)+SUMIFS(LayTable[[Faktisk res]:[Faktisk res]],LayTable[[Dato]:[Dato]],"&gt;="&amp;T$5,LayTable[[Dato]:[Dato]],"&lt;="&amp;EOMONTH(T$5,0),LayTable[[Bookmaker]:[Bookmaker]],$K31)+SUMIFS(BetTable[[AR_per_bookie]:[AR_per_bookie]],BetTable[[B1]:[B1]],$K31,BetTable[[Date]:[Date]], "&gt;="&amp;T$5,BetTable[[Date]:[Date]],"&lt;="&amp;EOMONTH(T$5,0))+SUMIFS(BetTable[[AR_per_bookie]:[AR_per_bookie]],BetTable[[B2]:[B2]],$K31,BetTable[[Date]:[Date]], "&gt;="&amp;T$5,BetTable[[Date]:[Date]],"&lt;="&amp;EOMONTH(T$5,0))+SUMIFS(BetTable[[AR_per_bookie]:[AR_per_bookie]],BetTable[[B3]:[B3]],$K31,BetTable[[Date]:[Date]], "&gt;="&amp;T$5,BetTable[[Date]:[Date]],"&lt;="&amp;EOMONTH(T$5,0))</f>
        <v>0</v>
      </c>
      <c r="U31" s="186">
        <f>SUMIFS(DWbonus[[Sum]:[Sum]],DWbonus[[Dato]:[Dato]], "&gt;="&amp;U$5,DWbonus[[Dato]:[Dato]],"&lt;="&amp;EOMONTH(U$5,0),DWbonus[[Bookie]:[Bookie]],$K31)+SUMIFS(LayTable[[Faktisk res]:[Faktisk res]],LayTable[[Dato]:[Dato]],"&gt;="&amp;U$5,LayTable[[Dato]:[Dato]],"&lt;="&amp;EOMONTH(U$5,0),LayTable[[Bookmaker]:[Bookmaker]],$K31)+SUMIFS(BetTable[[AR_per_bookie]:[AR_per_bookie]],BetTable[[B1]:[B1]],$K31,BetTable[[Date]:[Date]], "&gt;="&amp;U$5,BetTable[[Date]:[Date]],"&lt;="&amp;EOMONTH(U$5,0))+SUMIFS(BetTable[[AR_per_bookie]:[AR_per_bookie]],BetTable[[B2]:[B2]],$K31,BetTable[[Date]:[Date]], "&gt;="&amp;U$5,BetTable[[Date]:[Date]],"&lt;="&amp;EOMONTH(U$5,0))+SUMIFS(BetTable[[AR_per_bookie]:[AR_per_bookie]],BetTable[[B3]:[B3]],$K31,BetTable[[Date]:[Date]], "&gt;="&amp;U$5,BetTable[[Date]:[Date]],"&lt;="&amp;EOMONTH(U$5,0))</f>
        <v>0</v>
      </c>
      <c r="V31" s="186">
        <f>SUMIFS(DWbonus[[Sum]:[Sum]],DWbonus[[Dato]:[Dato]], "&gt;="&amp;V$5,DWbonus[[Dato]:[Dato]],"&lt;="&amp;EOMONTH(V$5,0),DWbonus[[Bookie]:[Bookie]],$K31)+SUMIFS(LayTable[[Faktisk res]:[Faktisk res]],LayTable[[Dato]:[Dato]],"&gt;="&amp;V$5,LayTable[[Dato]:[Dato]],"&lt;="&amp;EOMONTH(V$5,0),LayTable[[Bookmaker]:[Bookmaker]],$K31)+SUMIFS(BetTable[[AR_per_bookie]:[AR_per_bookie]],BetTable[[B1]:[B1]],$K31,BetTable[[Date]:[Date]], "&gt;="&amp;V$5,BetTable[[Date]:[Date]],"&lt;="&amp;EOMONTH(V$5,0))+SUMIFS(BetTable[[AR_per_bookie]:[AR_per_bookie]],BetTable[[B2]:[B2]],$K31,BetTable[[Date]:[Date]], "&gt;="&amp;V$5,BetTable[[Date]:[Date]],"&lt;="&amp;EOMONTH(V$5,0))+SUMIFS(BetTable[[AR_per_bookie]:[AR_per_bookie]],BetTable[[B3]:[B3]],$K31,BetTable[[Date]:[Date]], "&gt;="&amp;V$5,BetTable[[Date]:[Date]],"&lt;="&amp;EOMONTH(V$5,0))</f>
        <v>0</v>
      </c>
      <c r="W31" s="186">
        <f>SUMIFS(DWbonus[[Sum]:[Sum]],DWbonus[[Dato]:[Dato]], "&gt;="&amp;W$5,DWbonus[[Dato]:[Dato]],"&lt;="&amp;EOMONTH(W$5,0),DWbonus[[Bookie]:[Bookie]],$K31)+SUMIFS(LayTable[[Faktisk res]:[Faktisk res]],LayTable[[Dato]:[Dato]],"&gt;="&amp;W$5,LayTable[[Dato]:[Dato]],"&lt;="&amp;EOMONTH(W$5,0),LayTable[[Bookmaker]:[Bookmaker]],$K31)+SUMIFS(BetTable[[AR_per_bookie]:[AR_per_bookie]],BetTable[[B1]:[B1]],$K31,BetTable[[Date]:[Date]], "&gt;="&amp;W$5,BetTable[[Date]:[Date]],"&lt;="&amp;EOMONTH(W$5,0))+SUMIFS(BetTable[[AR_per_bookie]:[AR_per_bookie]],BetTable[[B2]:[B2]],$K31,BetTable[[Date]:[Date]], "&gt;="&amp;W$5,BetTable[[Date]:[Date]],"&lt;="&amp;EOMONTH(W$5,0))+SUMIFS(BetTable[[AR_per_bookie]:[AR_per_bookie]],BetTable[[B3]:[B3]],$K31,BetTable[[Date]:[Date]], "&gt;="&amp;W$5,BetTable[[Date]:[Date]],"&lt;="&amp;EOMONTH(W$5,0))</f>
        <v>0</v>
      </c>
    </row>
    <row r="32" spans="1:23">
      <c r="A32" s="212"/>
      <c r="B32" s="215"/>
      <c r="C32" s="215"/>
      <c r="D32" s="215"/>
      <c r="E32" s="215"/>
      <c r="G32" s="214"/>
      <c r="K32" s="174" t="str">
        <f t="array" ref="K32">IFERROR(INDEX(BookieNavn!H$2:H$1251,SMALL(IF(EXACT(LEFT(BookieNavn!H$2:H$1251,2),M$3),ROW(BookieNavn!H$2:H$1251)-ROW(BookieNavn!H$2)+1),ROWS(BookieNavn!H$2:'BookieNavn'!H27))),"")</f>
        <v/>
      </c>
      <c r="L32" s="186">
        <f>SUMIFS(DWbonus[[Sum]:[Sum]],DWbonus[[Dato]:[Dato]], "&gt;="&amp;L$5,DWbonus[[Dato]:[Dato]],"&lt;="&amp;EOMONTH(L$5,0),DWbonus[[Bookie]:[Bookie]],$K32)+SUMIFS(LayTable[[Faktisk res]:[Faktisk res]],LayTable[[Dato]:[Dato]],"&gt;="&amp;L$5,LayTable[[Dato]:[Dato]],"&lt;="&amp;EOMONTH(L$5,0),LayTable[[Bookmaker]:[Bookmaker]],$K32)+SUMIFS(BetTable[[AR_per_bookie]:[AR_per_bookie]],BetTable[[B1]:[B1]],$K32,BetTable[[Date]:[Date]], "&gt;="&amp;L$5,BetTable[[Date]:[Date]],"&lt;="&amp;EOMONTH(L$5,0))+SUMIFS(BetTable[[AR_per_bookie]:[AR_per_bookie]],BetTable[[B2]:[B2]],$K32,BetTable[[Date]:[Date]], "&gt;="&amp;L$5,BetTable[[Date]:[Date]],"&lt;="&amp;EOMONTH(L$5,0))+SUMIFS(BetTable[[AR_per_bookie]:[AR_per_bookie]],BetTable[[B3]:[B3]],$K32,BetTable[[Date]:[Date]], "&gt;="&amp;L$5,BetTable[[Date]:[Date]],"&lt;="&amp;EOMONTH(L$5,0))</f>
        <v>0</v>
      </c>
      <c r="M32" s="186">
        <f>SUMIFS(DWbonus[[Sum]:[Sum]],DWbonus[[Dato]:[Dato]], "&gt;="&amp;M$5,DWbonus[[Dato]:[Dato]],"&lt;="&amp;EOMONTH(M$5,0),DWbonus[[Bookie]:[Bookie]],$K32)+SUMIFS(LayTable[[Faktisk res]:[Faktisk res]],LayTable[[Dato]:[Dato]],"&gt;="&amp;M$5,LayTable[[Dato]:[Dato]],"&lt;="&amp;EOMONTH(M$5,0),LayTable[[Bookmaker]:[Bookmaker]],$K32)+SUMIFS(BetTable[[AR_per_bookie]:[AR_per_bookie]],BetTable[[B1]:[B1]],$K32,BetTable[[Date]:[Date]], "&gt;="&amp;M$5,BetTable[[Date]:[Date]],"&lt;="&amp;EOMONTH(M$5,0))+SUMIFS(BetTable[[AR_per_bookie]:[AR_per_bookie]],BetTable[[B2]:[B2]],$K32,BetTable[[Date]:[Date]], "&gt;="&amp;M$5,BetTable[[Date]:[Date]],"&lt;="&amp;EOMONTH(M$5,0))+SUMIFS(BetTable[[AR_per_bookie]:[AR_per_bookie]],BetTable[[B3]:[B3]],$K32,BetTable[[Date]:[Date]], "&gt;="&amp;M$5,BetTable[[Date]:[Date]],"&lt;="&amp;EOMONTH(M$5,0))</f>
        <v>0</v>
      </c>
      <c r="N32" s="186">
        <f>SUMIFS(DWbonus[[Sum]:[Sum]],DWbonus[[Dato]:[Dato]], "&gt;="&amp;N$5,DWbonus[[Dato]:[Dato]],"&lt;="&amp;EOMONTH(N$5,0),DWbonus[[Bookie]:[Bookie]],$K32)+SUMIFS(LayTable[[Faktisk res]:[Faktisk res]],LayTable[[Dato]:[Dato]],"&gt;="&amp;N$5,LayTable[[Dato]:[Dato]],"&lt;="&amp;EOMONTH(N$5,0),LayTable[[Bookmaker]:[Bookmaker]],$K32)+SUMIFS(BetTable[[AR_per_bookie]:[AR_per_bookie]],BetTable[[B1]:[B1]],$K32,BetTable[[Date]:[Date]], "&gt;="&amp;N$5,BetTable[[Date]:[Date]],"&lt;="&amp;EOMONTH(N$5,0))+SUMIFS(BetTable[[AR_per_bookie]:[AR_per_bookie]],BetTable[[B2]:[B2]],$K32,BetTable[[Date]:[Date]], "&gt;="&amp;N$5,BetTable[[Date]:[Date]],"&lt;="&amp;EOMONTH(N$5,0))+SUMIFS(BetTable[[AR_per_bookie]:[AR_per_bookie]],BetTable[[B3]:[B3]],$K32,BetTable[[Date]:[Date]], "&gt;="&amp;N$5,BetTable[[Date]:[Date]],"&lt;="&amp;EOMONTH(N$5,0))</f>
        <v>0</v>
      </c>
      <c r="O32" s="186">
        <f>SUMIFS(DWbonus[[Sum]:[Sum]],DWbonus[[Dato]:[Dato]], "&gt;="&amp;O$5,DWbonus[[Dato]:[Dato]],"&lt;="&amp;EOMONTH(O$5,0),DWbonus[[Bookie]:[Bookie]],$K32)+SUMIFS(LayTable[[Faktisk res]:[Faktisk res]],LayTable[[Dato]:[Dato]],"&gt;="&amp;O$5,LayTable[[Dato]:[Dato]],"&lt;="&amp;EOMONTH(O$5,0),LayTable[[Bookmaker]:[Bookmaker]],$K32)+SUMIFS(BetTable[[AR_per_bookie]:[AR_per_bookie]],BetTable[[B1]:[B1]],$K32,BetTable[[Date]:[Date]], "&gt;="&amp;O$5,BetTable[[Date]:[Date]],"&lt;="&amp;EOMONTH(O$5,0))+SUMIFS(BetTable[[AR_per_bookie]:[AR_per_bookie]],BetTable[[B2]:[B2]],$K32,BetTable[[Date]:[Date]], "&gt;="&amp;O$5,BetTable[[Date]:[Date]],"&lt;="&amp;EOMONTH(O$5,0))+SUMIFS(BetTable[[AR_per_bookie]:[AR_per_bookie]],BetTable[[B3]:[B3]],$K32,BetTable[[Date]:[Date]], "&gt;="&amp;O$5,BetTable[[Date]:[Date]],"&lt;="&amp;EOMONTH(O$5,0))</f>
        <v>0</v>
      </c>
      <c r="P32" s="186">
        <f>SUMIFS(DWbonus[[Sum]:[Sum]],DWbonus[[Dato]:[Dato]], "&gt;="&amp;P$5,DWbonus[[Dato]:[Dato]],"&lt;="&amp;EOMONTH(P$5,0),DWbonus[[Bookie]:[Bookie]],$K32)+SUMIFS(LayTable[[Faktisk res]:[Faktisk res]],LayTable[[Dato]:[Dato]],"&gt;="&amp;P$5,LayTable[[Dato]:[Dato]],"&lt;="&amp;EOMONTH(P$5,0),LayTable[[Bookmaker]:[Bookmaker]],$K32)+SUMIFS(BetTable[[AR_per_bookie]:[AR_per_bookie]],BetTable[[B1]:[B1]],$K32,BetTable[[Date]:[Date]], "&gt;="&amp;P$5,BetTable[[Date]:[Date]],"&lt;="&amp;EOMONTH(P$5,0))+SUMIFS(BetTable[[AR_per_bookie]:[AR_per_bookie]],BetTable[[B2]:[B2]],$K32,BetTable[[Date]:[Date]], "&gt;="&amp;P$5,BetTable[[Date]:[Date]],"&lt;="&amp;EOMONTH(P$5,0))+SUMIFS(BetTable[[AR_per_bookie]:[AR_per_bookie]],BetTable[[B3]:[B3]],$K32,BetTable[[Date]:[Date]], "&gt;="&amp;P$5,BetTable[[Date]:[Date]],"&lt;="&amp;EOMONTH(P$5,0))</f>
        <v>0</v>
      </c>
      <c r="Q32" s="186">
        <f>SUMIFS(DWbonus[[Sum]:[Sum]],DWbonus[[Dato]:[Dato]], "&gt;="&amp;Q$5,DWbonus[[Dato]:[Dato]],"&lt;="&amp;EOMONTH(Q$5,0),DWbonus[[Bookie]:[Bookie]],$K32)+SUMIFS(LayTable[[Faktisk res]:[Faktisk res]],LayTable[[Dato]:[Dato]],"&gt;="&amp;Q$5,LayTable[[Dato]:[Dato]],"&lt;="&amp;EOMONTH(Q$5,0),LayTable[[Bookmaker]:[Bookmaker]],$K32)+SUMIFS(BetTable[[AR_per_bookie]:[AR_per_bookie]],BetTable[[B1]:[B1]],$K32,BetTable[[Date]:[Date]], "&gt;="&amp;Q$5,BetTable[[Date]:[Date]],"&lt;="&amp;EOMONTH(Q$5,0))+SUMIFS(BetTable[[AR_per_bookie]:[AR_per_bookie]],BetTable[[B2]:[B2]],$K32,BetTable[[Date]:[Date]], "&gt;="&amp;Q$5,BetTable[[Date]:[Date]],"&lt;="&amp;EOMONTH(Q$5,0))+SUMIFS(BetTable[[AR_per_bookie]:[AR_per_bookie]],BetTable[[B3]:[B3]],$K32,BetTable[[Date]:[Date]], "&gt;="&amp;Q$5,BetTable[[Date]:[Date]],"&lt;="&amp;EOMONTH(Q$5,0))</f>
        <v>0</v>
      </c>
      <c r="R32" s="186">
        <f>SUMIFS(DWbonus[[Sum]:[Sum]],DWbonus[[Dato]:[Dato]], "&gt;="&amp;R$5,DWbonus[[Dato]:[Dato]],"&lt;="&amp;EOMONTH(R$5,0),DWbonus[[Bookie]:[Bookie]],$K32)+SUMIFS(LayTable[[Faktisk res]:[Faktisk res]],LayTable[[Dato]:[Dato]],"&gt;="&amp;R$5,LayTable[[Dato]:[Dato]],"&lt;="&amp;EOMONTH(R$5,0),LayTable[[Bookmaker]:[Bookmaker]],$K32)+SUMIFS(BetTable[[AR_per_bookie]:[AR_per_bookie]],BetTable[[B1]:[B1]],$K32,BetTable[[Date]:[Date]], "&gt;="&amp;R$5,BetTable[[Date]:[Date]],"&lt;="&amp;EOMONTH(R$5,0))+SUMIFS(BetTable[[AR_per_bookie]:[AR_per_bookie]],BetTable[[B2]:[B2]],$K32,BetTable[[Date]:[Date]], "&gt;="&amp;R$5,BetTable[[Date]:[Date]],"&lt;="&amp;EOMONTH(R$5,0))+SUMIFS(BetTable[[AR_per_bookie]:[AR_per_bookie]],BetTable[[B3]:[B3]],$K32,BetTable[[Date]:[Date]], "&gt;="&amp;R$5,BetTable[[Date]:[Date]],"&lt;="&amp;EOMONTH(R$5,0))</f>
        <v>0</v>
      </c>
      <c r="S32" s="186">
        <f>SUMIFS(DWbonus[[Sum]:[Sum]],DWbonus[[Dato]:[Dato]], "&gt;="&amp;S$5,DWbonus[[Dato]:[Dato]],"&lt;="&amp;EOMONTH(S$5,0),DWbonus[[Bookie]:[Bookie]],$K32)+SUMIFS(LayTable[[Faktisk res]:[Faktisk res]],LayTable[[Dato]:[Dato]],"&gt;="&amp;S$5,LayTable[[Dato]:[Dato]],"&lt;="&amp;EOMONTH(S$5,0),LayTable[[Bookmaker]:[Bookmaker]],$K32)+SUMIFS(BetTable[[AR_per_bookie]:[AR_per_bookie]],BetTable[[B1]:[B1]],$K32,BetTable[[Date]:[Date]], "&gt;="&amp;S$5,BetTable[[Date]:[Date]],"&lt;="&amp;EOMONTH(S$5,0))+SUMIFS(BetTable[[AR_per_bookie]:[AR_per_bookie]],BetTable[[B2]:[B2]],$K32,BetTable[[Date]:[Date]], "&gt;="&amp;S$5,BetTable[[Date]:[Date]],"&lt;="&amp;EOMONTH(S$5,0))+SUMIFS(BetTable[[AR_per_bookie]:[AR_per_bookie]],BetTable[[B3]:[B3]],$K32,BetTable[[Date]:[Date]], "&gt;="&amp;S$5,BetTable[[Date]:[Date]],"&lt;="&amp;EOMONTH(S$5,0))</f>
        <v>0</v>
      </c>
      <c r="T32" s="186">
        <f>SUMIFS(DWbonus[[Sum]:[Sum]],DWbonus[[Dato]:[Dato]], "&gt;="&amp;T$5,DWbonus[[Dato]:[Dato]],"&lt;="&amp;EOMONTH(T$5,0),DWbonus[[Bookie]:[Bookie]],$K32)+SUMIFS(LayTable[[Faktisk res]:[Faktisk res]],LayTable[[Dato]:[Dato]],"&gt;="&amp;T$5,LayTable[[Dato]:[Dato]],"&lt;="&amp;EOMONTH(T$5,0),LayTable[[Bookmaker]:[Bookmaker]],$K32)+SUMIFS(BetTable[[AR_per_bookie]:[AR_per_bookie]],BetTable[[B1]:[B1]],$K32,BetTable[[Date]:[Date]], "&gt;="&amp;T$5,BetTable[[Date]:[Date]],"&lt;="&amp;EOMONTH(T$5,0))+SUMIFS(BetTable[[AR_per_bookie]:[AR_per_bookie]],BetTable[[B2]:[B2]],$K32,BetTable[[Date]:[Date]], "&gt;="&amp;T$5,BetTable[[Date]:[Date]],"&lt;="&amp;EOMONTH(T$5,0))+SUMIFS(BetTable[[AR_per_bookie]:[AR_per_bookie]],BetTable[[B3]:[B3]],$K32,BetTable[[Date]:[Date]], "&gt;="&amp;T$5,BetTable[[Date]:[Date]],"&lt;="&amp;EOMONTH(T$5,0))</f>
        <v>0</v>
      </c>
      <c r="U32" s="186">
        <f>SUMIFS(DWbonus[[Sum]:[Sum]],DWbonus[[Dato]:[Dato]], "&gt;="&amp;U$5,DWbonus[[Dato]:[Dato]],"&lt;="&amp;EOMONTH(U$5,0),DWbonus[[Bookie]:[Bookie]],$K32)+SUMIFS(LayTable[[Faktisk res]:[Faktisk res]],LayTable[[Dato]:[Dato]],"&gt;="&amp;U$5,LayTable[[Dato]:[Dato]],"&lt;="&amp;EOMONTH(U$5,0),LayTable[[Bookmaker]:[Bookmaker]],$K32)+SUMIFS(BetTable[[AR_per_bookie]:[AR_per_bookie]],BetTable[[B1]:[B1]],$K32,BetTable[[Date]:[Date]], "&gt;="&amp;U$5,BetTable[[Date]:[Date]],"&lt;="&amp;EOMONTH(U$5,0))+SUMIFS(BetTable[[AR_per_bookie]:[AR_per_bookie]],BetTable[[B2]:[B2]],$K32,BetTable[[Date]:[Date]], "&gt;="&amp;U$5,BetTable[[Date]:[Date]],"&lt;="&amp;EOMONTH(U$5,0))+SUMIFS(BetTable[[AR_per_bookie]:[AR_per_bookie]],BetTable[[B3]:[B3]],$K32,BetTable[[Date]:[Date]], "&gt;="&amp;U$5,BetTable[[Date]:[Date]],"&lt;="&amp;EOMONTH(U$5,0))</f>
        <v>0</v>
      </c>
      <c r="V32" s="186">
        <f>SUMIFS(DWbonus[[Sum]:[Sum]],DWbonus[[Dato]:[Dato]], "&gt;="&amp;V$5,DWbonus[[Dato]:[Dato]],"&lt;="&amp;EOMONTH(V$5,0),DWbonus[[Bookie]:[Bookie]],$K32)+SUMIFS(LayTable[[Faktisk res]:[Faktisk res]],LayTable[[Dato]:[Dato]],"&gt;="&amp;V$5,LayTable[[Dato]:[Dato]],"&lt;="&amp;EOMONTH(V$5,0),LayTable[[Bookmaker]:[Bookmaker]],$K32)+SUMIFS(BetTable[[AR_per_bookie]:[AR_per_bookie]],BetTable[[B1]:[B1]],$K32,BetTable[[Date]:[Date]], "&gt;="&amp;V$5,BetTable[[Date]:[Date]],"&lt;="&amp;EOMONTH(V$5,0))+SUMIFS(BetTable[[AR_per_bookie]:[AR_per_bookie]],BetTable[[B2]:[B2]],$K32,BetTable[[Date]:[Date]], "&gt;="&amp;V$5,BetTable[[Date]:[Date]],"&lt;="&amp;EOMONTH(V$5,0))+SUMIFS(BetTable[[AR_per_bookie]:[AR_per_bookie]],BetTable[[B3]:[B3]],$K32,BetTable[[Date]:[Date]], "&gt;="&amp;V$5,BetTable[[Date]:[Date]],"&lt;="&amp;EOMONTH(V$5,0))</f>
        <v>0</v>
      </c>
      <c r="W32" s="186">
        <f>SUMIFS(DWbonus[[Sum]:[Sum]],DWbonus[[Dato]:[Dato]], "&gt;="&amp;W$5,DWbonus[[Dato]:[Dato]],"&lt;="&amp;EOMONTH(W$5,0),DWbonus[[Bookie]:[Bookie]],$K32)+SUMIFS(LayTable[[Faktisk res]:[Faktisk res]],LayTable[[Dato]:[Dato]],"&gt;="&amp;W$5,LayTable[[Dato]:[Dato]],"&lt;="&amp;EOMONTH(W$5,0),LayTable[[Bookmaker]:[Bookmaker]],$K32)+SUMIFS(BetTable[[AR_per_bookie]:[AR_per_bookie]],BetTable[[B1]:[B1]],$K32,BetTable[[Date]:[Date]], "&gt;="&amp;W$5,BetTable[[Date]:[Date]],"&lt;="&amp;EOMONTH(W$5,0))+SUMIFS(BetTable[[AR_per_bookie]:[AR_per_bookie]],BetTable[[B2]:[B2]],$K32,BetTable[[Date]:[Date]], "&gt;="&amp;W$5,BetTable[[Date]:[Date]],"&lt;="&amp;EOMONTH(W$5,0))+SUMIFS(BetTable[[AR_per_bookie]:[AR_per_bookie]],BetTable[[B3]:[B3]],$K32,BetTable[[Date]:[Date]], "&gt;="&amp;W$5,BetTable[[Date]:[Date]],"&lt;="&amp;EOMONTH(W$5,0))</f>
        <v>0</v>
      </c>
    </row>
    <row r="33" spans="1:23">
      <c r="A33" s="216"/>
      <c r="B33" s="217"/>
      <c r="C33" s="217"/>
      <c r="D33" s="217"/>
      <c r="E33" s="217"/>
      <c r="F33" s="217"/>
      <c r="G33" s="218"/>
      <c r="K33" s="174" t="str">
        <f t="array" ref="K33">IFERROR(INDEX(BookieNavn!H$2:H$1251,SMALL(IF(EXACT(LEFT(BookieNavn!H$2:H$1251,2),M$3),ROW(BookieNavn!H$2:H$1251)-ROW(BookieNavn!H$2)+1),ROWS(BookieNavn!H$2:'BookieNavn'!H28))),"")</f>
        <v/>
      </c>
      <c r="L33" s="186">
        <f>SUMIFS(DWbonus[[Sum]:[Sum]],DWbonus[[Dato]:[Dato]], "&gt;="&amp;L$5,DWbonus[[Dato]:[Dato]],"&lt;="&amp;EOMONTH(L$5,0),DWbonus[[Bookie]:[Bookie]],$K33)+SUMIFS(LayTable[[Faktisk res]:[Faktisk res]],LayTable[[Dato]:[Dato]],"&gt;="&amp;L$5,LayTable[[Dato]:[Dato]],"&lt;="&amp;EOMONTH(L$5,0),LayTable[[Bookmaker]:[Bookmaker]],$K33)+SUMIFS(BetTable[[AR_per_bookie]:[AR_per_bookie]],BetTable[[B1]:[B1]],$K33,BetTable[[Date]:[Date]], "&gt;="&amp;L$5,BetTable[[Date]:[Date]],"&lt;="&amp;EOMONTH(L$5,0))+SUMIFS(BetTable[[AR_per_bookie]:[AR_per_bookie]],BetTable[[B2]:[B2]],$K33,BetTable[[Date]:[Date]], "&gt;="&amp;L$5,BetTable[[Date]:[Date]],"&lt;="&amp;EOMONTH(L$5,0))+SUMIFS(BetTable[[AR_per_bookie]:[AR_per_bookie]],BetTable[[B3]:[B3]],$K33,BetTable[[Date]:[Date]], "&gt;="&amp;L$5,BetTable[[Date]:[Date]],"&lt;="&amp;EOMONTH(L$5,0))</f>
        <v>0</v>
      </c>
      <c r="M33" s="186">
        <f>SUMIFS(DWbonus[[Sum]:[Sum]],DWbonus[[Dato]:[Dato]], "&gt;="&amp;M$5,DWbonus[[Dato]:[Dato]],"&lt;="&amp;EOMONTH(M$5,0),DWbonus[[Bookie]:[Bookie]],$K33)+SUMIFS(LayTable[[Faktisk res]:[Faktisk res]],LayTable[[Dato]:[Dato]],"&gt;="&amp;M$5,LayTable[[Dato]:[Dato]],"&lt;="&amp;EOMONTH(M$5,0),LayTable[[Bookmaker]:[Bookmaker]],$K33)+SUMIFS(BetTable[[AR_per_bookie]:[AR_per_bookie]],BetTable[[B1]:[B1]],$K33,BetTable[[Date]:[Date]], "&gt;="&amp;M$5,BetTable[[Date]:[Date]],"&lt;="&amp;EOMONTH(M$5,0))+SUMIFS(BetTable[[AR_per_bookie]:[AR_per_bookie]],BetTable[[B2]:[B2]],$K33,BetTable[[Date]:[Date]], "&gt;="&amp;M$5,BetTable[[Date]:[Date]],"&lt;="&amp;EOMONTH(M$5,0))+SUMIFS(BetTable[[AR_per_bookie]:[AR_per_bookie]],BetTable[[B3]:[B3]],$K33,BetTable[[Date]:[Date]], "&gt;="&amp;M$5,BetTable[[Date]:[Date]],"&lt;="&amp;EOMONTH(M$5,0))</f>
        <v>0</v>
      </c>
      <c r="N33" s="186">
        <f>SUMIFS(DWbonus[[Sum]:[Sum]],DWbonus[[Dato]:[Dato]], "&gt;="&amp;N$5,DWbonus[[Dato]:[Dato]],"&lt;="&amp;EOMONTH(N$5,0),DWbonus[[Bookie]:[Bookie]],$K33)+SUMIFS(LayTable[[Faktisk res]:[Faktisk res]],LayTable[[Dato]:[Dato]],"&gt;="&amp;N$5,LayTable[[Dato]:[Dato]],"&lt;="&amp;EOMONTH(N$5,0),LayTable[[Bookmaker]:[Bookmaker]],$K33)+SUMIFS(BetTable[[AR_per_bookie]:[AR_per_bookie]],BetTable[[B1]:[B1]],$K33,BetTable[[Date]:[Date]], "&gt;="&amp;N$5,BetTable[[Date]:[Date]],"&lt;="&amp;EOMONTH(N$5,0))+SUMIFS(BetTable[[AR_per_bookie]:[AR_per_bookie]],BetTable[[B2]:[B2]],$K33,BetTable[[Date]:[Date]], "&gt;="&amp;N$5,BetTable[[Date]:[Date]],"&lt;="&amp;EOMONTH(N$5,0))+SUMIFS(BetTable[[AR_per_bookie]:[AR_per_bookie]],BetTable[[B3]:[B3]],$K33,BetTable[[Date]:[Date]], "&gt;="&amp;N$5,BetTable[[Date]:[Date]],"&lt;="&amp;EOMONTH(N$5,0))</f>
        <v>0</v>
      </c>
      <c r="O33" s="186">
        <f>SUMIFS(DWbonus[[Sum]:[Sum]],DWbonus[[Dato]:[Dato]], "&gt;="&amp;O$5,DWbonus[[Dato]:[Dato]],"&lt;="&amp;EOMONTH(O$5,0),DWbonus[[Bookie]:[Bookie]],$K33)+SUMIFS(LayTable[[Faktisk res]:[Faktisk res]],LayTable[[Dato]:[Dato]],"&gt;="&amp;O$5,LayTable[[Dato]:[Dato]],"&lt;="&amp;EOMONTH(O$5,0),LayTable[[Bookmaker]:[Bookmaker]],$K33)+SUMIFS(BetTable[[AR_per_bookie]:[AR_per_bookie]],BetTable[[B1]:[B1]],$K33,BetTable[[Date]:[Date]], "&gt;="&amp;O$5,BetTable[[Date]:[Date]],"&lt;="&amp;EOMONTH(O$5,0))+SUMIFS(BetTable[[AR_per_bookie]:[AR_per_bookie]],BetTable[[B2]:[B2]],$K33,BetTable[[Date]:[Date]], "&gt;="&amp;O$5,BetTable[[Date]:[Date]],"&lt;="&amp;EOMONTH(O$5,0))+SUMIFS(BetTable[[AR_per_bookie]:[AR_per_bookie]],BetTable[[B3]:[B3]],$K33,BetTable[[Date]:[Date]], "&gt;="&amp;O$5,BetTable[[Date]:[Date]],"&lt;="&amp;EOMONTH(O$5,0))</f>
        <v>0</v>
      </c>
      <c r="P33" s="186">
        <f>SUMIFS(DWbonus[[Sum]:[Sum]],DWbonus[[Dato]:[Dato]], "&gt;="&amp;P$5,DWbonus[[Dato]:[Dato]],"&lt;="&amp;EOMONTH(P$5,0),DWbonus[[Bookie]:[Bookie]],$K33)+SUMIFS(LayTable[[Faktisk res]:[Faktisk res]],LayTable[[Dato]:[Dato]],"&gt;="&amp;P$5,LayTable[[Dato]:[Dato]],"&lt;="&amp;EOMONTH(P$5,0),LayTable[[Bookmaker]:[Bookmaker]],$K33)+SUMIFS(BetTable[[AR_per_bookie]:[AR_per_bookie]],BetTable[[B1]:[B1]],$K33,BetTable[[Date]:[Date]], "&gt;="&amp;P$5,BetTable[[Date]:[Date]],"&lt;="&amp;EOMONTH(P$5,0))+SUMIFS(BetTable[[AR_per_bookie]:[AR_per_bookie]],BetTable[[B2]:[B2]],$K33,BetTable[[Date]:[Date]], "&gt;="&amp;P$5,BetTable[[Date]:[Date]],"&lt;="&amp;EOMONTH(P$5,0))+SUMIFS(BetTable[[AR_per_bookie]:[AR_per_bookie]],BetTable[[B3]:[B3]],$K33,BetTable[[Date]:[Date]], "&gt;="&amp;P$5,BetTable[[Date]:[Date]],"&lt;="&amp;EOMONTH(P$5,0))</f>
        <v>0</v>
      </c>
      <c r="Q33" s="186">
        <f>SUMIFS(DWbonus[[Sum]:[Sum]],DWbonus[[Dato]:[Dato]], "&gt;="&amp;Q$5,DWbonus[[Dato]:[Dato]],"&lt;="&amp;EOMONTH(Q$5,0),DWbonus[[Bookie]:[Bookie]],$K33)+SUMIFS(LayTable[[Faktisk res]:[Faktisk res]],LayTable[[Dato]:[Dato]],"&gt;="&amp;Q$5,LayTable[[Dato]:[Dato]],"&lt;="&amp;EOMONTH(Q$5,0),LayTable[[Bookmaker]:[Bookmaker]],$K33)+SUMIFS(BetTable[[AR_per_bookie]:[AR_per_bookie]],BetTable[[B1]:[B1]],$K33,BetTable[[Date]:[Date]], "&gt;="&amp;Q$5,BetTable[[Date]:[Date]],"&lt;="&amp;EOMONTH(Q$5,0))+SUMIFS(BetTable[[AR_per_bookie]:[AR_per_bookie]],BetTable[[B2]:[B2]],$K33,BetTable[[Date]:[Date]], "&gt;="&amp;Q$5,BetTable[[Date]:[Date]],"&lt;="&amp;EOMONTH(Q$5,0))+SUMIFS(BetTable[[AR_per_bookie]:[AR_per_bookie]],BetTable[[B3]:[B3]],$K33,BetTable[[Date]:[Date]], "&gt;="&amp;Q$5,BetTable[[Date]:[Date]],"&lt;="&amp;EOMONTH(Q$5,0))</f>
        <v>0</v>
      </c>
      <c r="R33" s="186">
        <f>SUMIFS(DWbonus[[Sum]:[Sum]],DWbonus[[Dato]:[Dato]], "&gt;="&amp;R$5,DWbonus[[Dato]:[Dato]],"&lt;="&amp;EOMONTH(R$5,0),DWbonus[[Bookie]:[Bookie]],$K33)+SUMIFS(LayTable[[Faktisk res]:[Faktisk res]],LayTable[[Dato]:[Dato]],"&gt;="&amp;R$5,LayTable[[Dato]:[Dato]],"&lt;="&amp;EOMONTH(R$5,0),LayTable[[Bookmaker]:[Bookmaker]],$K33)+SUMIFS(BetTable[[AR_per_bookie]:[AR_per_bookie]],BetTable[[B1]:[B1]],$K33,BetTable[[Date]:[Date]], "&gt;="&amp;R$5,BetTable[[Date]:[Date]],"&lt;="&amp;EOMONTH(R$5,0))+SUMIFS(BetTable[[AR_per_bookie]:[AR_per_bookie]],BetTable[[B2]:[B2]],$K33,BetTable[[Date]:[Date]], "&gt;="&amp;R$5,BetTable[[Date]:[Date]],"&lt;="&amp;EOMONTH(R$5,0))+SUMIFS(BetTable[[AR_per_bookie]:[AR_per_bookie]],BetTable[[B3]:[B3]],$K33,BetTable[[Date]:[Date]], "&gt;="&amp;R$5,BetTable[[Date]:[Date]],"&lt;="&amp;EOMONTH(R$5,0))</f>
        <v>0</v>
      </c>
      <c r="S33" s="186">
        <f>SUMIFS(DWbonus[[Sum]:[Sum]],DWbonus[[Dato]:[Dato]], "&gt;="&amp;S$5,DWbonus[[Dato]:[Dato]],"&lt;="&amp;EOMONTH(S$5,0),DWbonus[[Bookie]:[Bookie]],$K33)+SUMIFS(LayTable[[Faktisk res]:[Faktisk res]],LayTable[[Dato]:[Dato]],"&gt;="&amp;S$5,LayTable[[Dato]:[Dato]],"&lt;="&amp;EOMONTH(S$5,0),LayTable[[Bookmaker]:[Bookmaker]],$K33)+SUMIFS(BetTable[[AR_per_bookie]:[AR_per_bookie]],BetTable[[B1]:[B1]],$K33,BetTable[[Date]:[Date]], "&gt;="&amp;S$5,BetTable[[Date]:[Date]],"&lt;="&amp;EOMONTH(S$5,0))+SUMIFS(BetTable[[AR_per_bookie]:[AR_per_bookie]],BetTable[[B2]:[B2]],$K33,BetTable[[Date]:[Date]], "&gt;="&amp;S$5,BetTable[[Date]:[Date]],"&lt;="&amp;EOMONTH(S$5,0))+SUMIFS(BetTable[[AR_per_bookie]:[AR_per_bookie]],BetTable[[B3]:[B3]],$K33,BetTable[[Date]:[Date]], "&gt;="&amp;S$5,BetTable[[Date]:[Date]],"&lt;="&amp;EOMONTH(S$5,0))</f>
        <v>0</v>
      </c>
      <c r="T33" s="186">
        <f>SUMIFS(DWbonus[[Sum]:[Sum]],DWbonus[[Dato]:[Dato]], "&gt;="&amp;T$5,DWbonus[[Dato]:[Dato]],"&lt;="&amp;EOMONTH(T$5,0),DWbonus[[Bookie]:[Bookie]],$K33)+SUMIFS(LayTable[[Faktisk res]:[Faktisk res]],LayTable[[Dato]:[Dato]],"&gt;="&amp;T$5,LayTable[[Dato]:[Dato]],"&lt;="&amp;EOMONTH(T$5,0),LayTable[[Bookmaker]:[Bookmaker]],$K33)+SUMIFS(BetTable[[AR_per_bookie]:[AR_per_bookie]],BetTable[[B1]:[B1]],$K33,BetTable[[Date]:[Date]], "&gt;="&amp;T$5,BetTable[[Date]:[Date]],"&lt;="&amp;EOMONTH(T$5,0))+SUMIFS(BetTable[[AR_per_bookie]:[AR_per_bookie]],BetTable[[B2]:[B2]],$K33,BetTable[[Date]:[Date]], "&gt;="&amp;T$5,BetTable[[Date]:[Date]],"&lt;="&amp;EOMONTH(T$5,0))+SUMIFS(BetTable[[AR_per_bookie]:[AR_per_bookie]],BetTable[[B3]:[B3]],$K33,BetTable[[Date]:[Date]], "&gt;="&amp;T$5,BetTable[[Date]:[Date]],"&lt;="&amp;EOMONTH(T$5,0))</f>
        <v>0</v>
      </c>
      <c r="U33" s="186">
        <f>SUMIFS(DWbonus[[Sum]:[Sum]],DWbonus[[Dato]:[Dato]], "&gt;="&amp;U$5,DWbonus[[Dato]:[Dato]],"&lt;="&amp;EOMONTH(U$5,0),DWbonus[[Bookie]:[Bookie]],$K33)+SUMIFS(LayTable[[Faktisk res]:[Faktisk res]],LayTable[[Dato]:[Dato]],"&gt;="&amp;U$5,LayTable[[Dato]:[Dato]],"&lt;="&amp;EOMONTH(U$5,0),LayTable[[Bookmaker]:[Bookmaker]],$K33)+SUMIFS(BetTable[[AR_per_bookie]:[AR_per_bookie]],BetTable[[B1]:[B1]],$K33,BetTable[[Date]:[Date]], "&gt;="&amp;U$5,BetTable[[Date]:[Date]],"&lt;="&amp;EOMONTH(U$5,0))+SUMIFS(BetTable[[AR_per_bookie]:[AR_per_bookie]],BetTable[[B2]:[B2]],$K33,BetTable[[Date]:[Date]], "&gt;="&amp;U$5,BetTable[[Date]:[Date]],"&lt;="&amp;EOMONTH(U$5,0))+SUMIFS(BetTable[[AR_per_bookie]:[AR_per_bookie]],BetTable[[B3]:[B3]],$K33,BetTable[[Date]:[Date]], "&gt;="&amp;U$5,BetTable[[Date]:[Date]],"&lt;="&amp;EOMONTH(U$5,0))</f>
        <v>0</v>
      </c>
      <c r="V33" s="186">
        <f>SUMIFS(DWbonus[[Sum]:[Sum]],DWbonus[[Dato]:[Dato]], "&gt;="&amp;V$5,DWbonus[[Dato]:[Dato]],"&lt;="&amp;EOMONTH(V$5,0),DWbonus[[Bookie]:[Bookie]],$K33)+SUMIFS(LayTable[[Faktisk res]:[Faktisk res]],LayTable[[Dato]:[Dato]],"&gt;="&amp;V$5,LayTable[[Dato]:[Dato]],"&lt;="&amp;EOMONTH(V$5,0),LayTable[[Bookmaker]:[Bookmaker]],$K33)+SUMIFS(BetTable[[AR_per_bookie]:[AR_per_bookie]],BetTable[[B1]:[B1]],$K33,BetTable[[Date]:[Date]], "&gt;="&amp;V$5,BetTable[[Date]:[Date]],"&lt;="&amp;EOMONTH(V$5,0))+SUMIFS(BetTable[[AR_per_bookie]:[AR_per_bookie]],BetTable[[B2]:[B2]],$K33,BetTable[[Date]:[Date]], "&gt;="&amp;V$5,BetTable[[Date]:[Date]],"&lt;="&amp;EOMONTH(V$5,0))+SUMIFS(BetTable[[AR_per_bookie]:[AR_per_bookie]],BetTable[[B3]:[B3]],$K33,BetTable[[Date]:[Date]], "&gt;="&amp;V$5,BetTable[[Date]:[Date]],"&lt;="&amp;EOMONTH(V$5,0))</f>
        <v>0</v>
      </c>
      <c r="W33" s="186">
        <f>SUMIFS(DWbonus[[Sum]:[Sum]],DWbonus[[Dato]:[Dato]], "&gt;="&amp;W$5,DWbonus[[Dato]:[Dato]],"&lt;="&amp;EOMONTH(W$5,0),DWbonus[[Bookie]:[Bookie]],$K33)+SUMIFS(LayTable[[Faktisk res]:[Faktisk res]],LayTable[[Dato]:[Dato]],"&gt;="&amp;W$5,LayTable[[Dato]:[Dato]],"&lt;="&amp;EOMONTH(W$5,0),LayTable[[Bookmaker]:[Bookmaker]],$K33)+SUMIFS(BetTable[[AR_per_bookie]:[AR_per_bookie]],BetTable[[B1]:[B1]],$K33,BetTable[[Date]:[Date]], "&gt;="&amp;W$5,BetTable[[Date]:[Date]],"&lt;="&amp;EOMONTH(W$5,0))+SUMIFS(BetTable[[AR_per_bookie]:[AR_per_bookie]],BetTable[[B2]:[B2]],$K33,BetTable[[Date]:[Date]], "&gt;="&amp;W$5,BetTable[[Date]:[Date]],"&lt;="&amp;EOMONTH(W$5,0))+SUMIFS(BetTable[[AR_per_bookie]:[AR_per_bookie]],BetTable[[B3]:[B3]],$K33,BetTable[[Date]:[Date]], "&gt;="&amp;W$5,BetTable[[Date]:[Date]],"&lt;="&amp;EOMONTH(W$5,0))</f>
        <v>0</v>
      </c>
    </row>
    <row r="34" spans="1:23">
      <c r="K34" s="174" t="str">
        <f t="array" ref="K34">IFERROR(INDEX(BookieNavn!H$2:H$1251,SMALL(IF(EXACT(LEFT(BookieNavn!H$2:H$1251,2),M$3),ROW(BookieNavn!H$2:H$1251)-ROW(BookieNavn!H$2)+1),ROWS(BookieNavn!H$2:'BookieNavn'!H29))),"")</f>
        <v/>
      </c>
      <c r="L34" s="186">
        <f>SUMIFS(DWbonus[[Sum]:[Sum]],DWbonus[[Dato]:[Dato]], "&gt;="&amp;L$5,DWbonus[[Dato]:[Dato]],"&lt;="&amp;EOMONTH(L$5,0),DWbonus[[Bookie]:[Bookie]],$K34)+SUMIFS(LayTable[[Faktisk res]:[Faktisk res]],LayTable[[Dato]:[Dato]],"&gt;="&amp;L$5,LayTable[[Dato]:[Dato]],"&lt;="&amp;EOMONTH(L$5,0),LayTable[[Bookmaker]:[Bookmaker]],$K34)+SUMIFS(BetTable[[AR_per_bookie]:[AR_per_bookie]],BetTable[[B1]:[B1]],$K34,BetTable[[Date]:[Date]], "&gt;="&amp;L$5,BetTable[[Date]:[Date]],"&lt;="&amp;EOMONTH(L$5,0))+SUMIFS(BetTable[[AR_per_bookie]:[AR_per_bookie]],BetTable[[B2]:[B2]],$K34,BetTable[[Date]:[Date]], "&gt;="&amp;L$5,BetTable[[Date]:[Date]],"&lt;="&amp;EOMONTH(L$5,0))+SUMIFS(BetTable[[AR_per_bookie]:[AR_per_bookie]],BetTable[[B3]:[B3]],$K34,BetTable[[Date]:[Date]], "&gt;="&amp;L$5,BetTable[[Date]:[Date]],"&lt;="&amp;EOMONTH(L$5,0))</f>
        <v>0</v>
      </c>
      <c r="M34" s="186">
        <f>SUMIFS(DWbonus[[Sum]:[Sum]],DWbonus[[Dato]:[Dato]], "&gt;="&amp;M$5,DWbonus[[Dato]:[Dato]],"&lt;="&amp;EOMONTH(M$5,0),DWbonus[[Bookie]:[Bookie]],$K34)+SUMIFS(LayTable[[Faktisk res]:[Faktisk res]],LayTable[[Dato]:[Dato]],"&gt;="&amp;M$5,LayTable[[Dato]:[Dato]],"&lt;="&amp;EOMONTH(M$5,0),LayTable[[Bookmaker]:[Bookmaker]],$K34)+SUMIFS(BetTable[[AR_per_bookie]:[AR_per_bookie]],BetTable[[B1]:[B1]],$K34,BetTable[[Date]:[Date]], "&gt;="&amp;M$5,BetTable[[Date]:[Date]],"&lt;="&amp;EOMONTH(M$5,0))+SUMIFS(BetTable[[AR_per_bookie]:[AR_per_bookie]],BetTable[[B2]:[B2]],$K34,BetTable[[Date]:[Date]], "&gt;="&amp;M$5,BetTable[[Date]:[Date]],"&lt;="&amp;EOMONTH(M$5,0))+SUMIFS(BetTable[[AR_per_bookie]:[AR_per_bookie]],BetTable[[B3]:[B3]],$K34,BetTable[[Date]:[Date]], "&gt;="&amp;M$5,BetTable[[Date]:[Date]],"&lt;="&amp;EOMONTH(M$5,0))</f>
        <v>0</v>
      </c>
      <c r="N34" s="186">
        <f>SUMIFS(DWbonus[[Sum]:[Sum]],DWbonus[[Dato]:[Dato]], "&gt;="&amp;N$5,DWbonus[[Dato]:[Dato]],"&lt;="&amp;EOMONTH(N$5,0),DWbonus[[Bookie]:[Bookie]],$K34)+SUMIFS(LayTable[[Faktisk res]:[Faktisk res]],LayTable[[Dato]:[Dato]],"&gt;="&amp;N$5,LayTable[[Dato]:[Dato]],"&lt;="&amp;EOMONTH(N$5,0),LayTable[[Bookmaker]:[Bookmaker]],$K34)+SUMIFS(BetTable[[AR_per_bookie]:[AR_per_bookie]],BetTable[[B1]:[B1]],$K34,BetTable[[Date]:[Date]], "&gt;="&amp;N$5,BetTable[[Date]:[Date]],"&lt;="&amp;EOMONTH(N$5,0))+SUMIFS(BetTable[[AR_per_bookie]:[AR_per_bookie]],BetTable[[B2]:[B2]],$K34,BetTable[[Date]:[Date]], "&gt;="&amp;N$5,BetTable[[Date]:[Date]],"&lt;="&amp;EOMONTH(N$5,0))+SUMIFS(BetTable[[AR_per_bookie]:[AR_per_bookie]],BetTable[[B3]:[B3]],$K34,BetTable[[Date]:[Date]], "&gt;="&amp;N$5,BetTable[[Date]:[Date]],"&lt;="&amp;EOMONTH(N$5,0))</f>
        <v>0</v>
      </c>
      <c r="O34" s="186">
        <f>SUMIFS(DWbonus[[Sum]:[Sum]],DWbonus[[Dato]:[Dato]], "&gt;="&amp;O$5,DWbonus[[Dato]:[Dato]],"&lt;="&amp;EOMONTH(O$5,0),DWbonus[[Bookie]:[Bookie]],$K34)+SUMIFS(LayTable[[Faktisk res]:[Faktisk res]],LayTable[[Dato]:[Dato]],"&gt;="&amp;O$5,LayTable[[Dato]:[Dato]],"&lt;="&amp;EOMONTH(O$5,0),LayTable[[Bookmaker]:[Bookmaker]],$K34)+SUMIFS(BetTable[[AR_per_bookie]:[AR_per_bookie]],BetTable[[B1]:[B1]],$K34,BetTable[[Date]:[Date]], "&gt;="&amp;O$5,BetTable[[Date]:[Date]],"&lt;="&amp;EOMONTH(O$5,0))+SUMIFS(BetTable[[AR_per_bookie]:[AR_per_bookie]],BetTable[[B2]:[B2]],$K34,BetTable[[Date]:[Date]], "&gt;="&amp;O$5,BetTable[[Date]:[Date]],"&lt;="&amp;EOMONTH(O$5,0))+SUMIFS(BetTable[[AR_per_bookie]:[AR_per_bookie]],BetTable[[B3]:[B3]],$K34,BetTable[[Date]:[Date]], "&gt;="&amp;O$5,BetTable[[Date]:[Date]],"&lt;="&amp;EOMONTH(O$5,0))</f>
        <v>0</v>
      </c>
      <c r="P34" s="186">
        <f>SUMIFS(DWbonus[[Sum]:[Sum]],DWbonus[[Dato]:[Dato]], "&gt;="&amp;P$5,DWbonus[[Dato]:[Dato]],"&lt;="&amp;EOMONTH(P$5,0),DWbonus[[Bookie]:[Bookie]],$K34)+SUMIFS(LayTable[[Faktisk res]:[Faktisk res]],LayTable[[Dato]:[Dato]],"&gt;="&amp;P$5,LayTable[[Dato]:[Dato]],"&lt;="&amp;EOMONTH(P$5,0),LayTable[[Bookmaker]:[Bookmaker]],$K34)+SUMIFS(BetTable[[AR_per_bookie]:[AR_per_bookie]],BetTable[[B1]:[B1]],$K34,BetTable[[Date]:[Date]], "&gt;="&amp;P$5,BetTable[[Date]:[Date]],"&lt;="&amp;EOMONTH(P$5,0))+SUMIFS(BetTable[[AR_per_bookie]:[AR_per_bookie]],BetTable[[B2]:[B2]],$K34,BetTable[[Date]:[Date]], "&gt;="&amp;P$5,BetTable[[Date]:[Date]],"&lt;="&amp;EOMONTH(P$5,0))+SUMIFS(BetTable[[AR_per_bookie]:[AR_per_bookie]],BetTable[[B3]:[B3]],$K34,BetTable[[Date]:[Date]], "&gt;="&amp;P$5,BetTable[[Date]:[Date]],"&lt;="&amp;EOMONTH(P$5,0))</f>
        <v>0</v>
      </c>
      <c r="Q34" s="186">
        <f>SUMIFS(DWbonus[[Sum]:[Sum]],DWbonus[[Dato]:[Dato]], "&gt;="&amp;Q$5,DWbonus[[Dato]:[Dato]],"&lt;="&amp;EOMONTH(Q$5,0),DWbonus[[Bookie]:[Bookie]],$K34)+SUMIFS(LayTable[[Faktisk res]:[Faktisk res]],LayTable[[Dato]:[Dato]],"&gt;="&amp;Q$5,LayTable[[Dato]:[Dato]],"&lt;="&amp;EOMONTH(Q$5,0),LayTable[[Bookmaker]:[Bookmaker]],$K34)+SUMIFS(BetTable[[AR_per_bookie]:[AR_per_bookie]],BetTable[[B1]:[B1]],$K34,BetTable[[Date]:[Date]], "&gt;="&amp;Q$5,BetTable[[Date]:[Date]],"&lt;="&amp;EOMONTH(Q$5,0))+SUMIFS(BetTable[[AR_per_bookie]:[AR_per_bookie]],BetTable[[B2]:[B2]],$K34,BetTable[[Date]:[Date]], "&gt;="&amp;Q$5,BetTable[[Date]:[Date]],"&lt;="&amp;EOMONTH(Q$5,0))+SUMIFS(BetTable[[AR_per_bookie]:[AR_per_bookie]],BetTable[[B3]:[B3]],$K34,BetTable[[Date]:[Date]], "&gt;="&amp;Q$5,BetTable[[Date]:[Date]],"&lt;="&amp;EOMONTH(Q$5,0))</f>
        <v>0</v>
      </c>
      <c r="R34" s="186">
        <f>SUMIFS(DWbonus[[Sum]:[Sum]],DWbonus[[Dato]:[Dato]], "&gt;="&amp;R$5,DWbonus[[Dato]:[Dato]],"&lt;="&amp;EOMONTH(R$5,0),DWbonus[[Bookie]:[Bookie]],$K34)+SUMIFS(LayTable[[Faktisk res]:[Faktisk res]],LayTable[[Dato]:[Dato]],"&gt;="&amp;R$5,LayTable[[Dato]:[Dato]],"&lt;="&amp;EOMONTH(R$5,0),LayTable[[Bookmaker]:[Bookmaker]],$K34)+SUMIFS(BetTable[[AR_per_bookie]:[AR_per_bookie]],BetTable[[B1]:[B1]],$K34,BetTable[[Date]:[Date]], "&gt;="&amp;R$5,BetTable[[Date]:[Date]],"&lt;="&amp;EOMONTH(R$5,0))+SUMIFS(BetTable[[AR_per_bookie]:[AR_per_bookie]],BetTable[[B2]:[B2]],$K34,BetTable[[Date]:[Date]], "&gt;="&amp;R$5,BetTable[[Date]:[Date]],"&lt;="&amp;EOMONTH(R$5,0))+SUMIFS(BetTable[[AR_per_bookie]:[AR_per_bookie]],BetTable[[B3]:[B3]],$K34,BetTable[[Date]:[Date]], "&gt;="&amp;R$5,BetTable[[Date]:[Date]],"&lt;="&amp;EOMONTH(R$5,0))</f>
        <v>0</v>
      </c>
      <c r="S34" s="186">
        <f>SUMIFS(DWbonus[[Sum]:[Sum]],DWbonus[[Dato]:[Dato]], "&gt;="&amp;S$5,DWbonus[[Dato]:[Dato]],"&lt;="&amp;EOMONTH(S$5,0),DWbonus[[Bookie]:[Bookie]],$K34)+SUMIFS(LayTable[[Faktisk res]:[Faktisk res]],LayTable[[Dato]:[Dato]],"&gt;="&amp;S$5,LayTable[[Dato]:[Dato]],"&lt;="&amp;EOMONTH(S$5,0),LayTable[[Bookmaker]:[Bookmaker]],$K34)+SUMIFS(BetTable[[AR_per_bookie]:[AR_per_bookie]],BetTable[[B1]:[B1]],$K34,BetTable[[Date]:[Date]], "&gt;="&amp;S$5,BetTable[[Date]:[Date]],"&lt;="&amp;EOMONTH(S$5,0))+SUMIFS(BetTable[[AR_per_bookie]:[AR_per_bookie]],BetTable[[B2]:[B2]],$K34,BetTable[[Date]:[Date]], "&gt;="&amp;S$5,BetTable[[Date]:[Date]],"&lt;="&amp;EOMONTH(S$5,0))+SUMIFS(BetTable[[AR_per_bookie]:[AR_per_bookie]],BetTable[[B3]:[B3]],$K34,BetTable[[Date]:[Date]], "&gt;="&amp;S$5,BetTable[[Date]:[Date]],"&lt;="&amp;EOMONTH(S$5,0))</f>
        <v>0</v>
      </c>
      <c r="T34" s="186">
        <f>SUMIFS(DWbonus[[Sum]:[Sum]],DWbonus[[Dato]:[Dato]], "&gt;="&amp;T$5,DWbonus[[Dato]:[Dato]],"&lt;="&amp;EOMONTH(T$5,0),DWbonus[[Bookie]:[Bookie]],$K34)+SUMIFS(LayTable[[Faktisk res]:[Faktisk res]],LayTable[[Dato]:[Dato]],"&gt;="&amp;T$5,LayTable[[Dato]:[Dato]],"&lt;="&amp;EOMONTH(T$5,0),LayTable[[Bookmaker]:[Bookmaker]],$K34)+SUMIFS(BetTable[[AR_per_bookie]:[AR_per_bookie]],BetTable[[B1]:[B1]],$K34,BetTable[[Date]:[Date]], "&gt;="&amp;T$5,BetTable[[Date]:[Date]],"&lt;="&amp;EOMONTH(T$5,0))+SUMIFS(BetTable[[AR_per_bookie]:[AR_per_bookie]],BetTable[[B2]:[B2]],$K34,BetTable[[Date]:[Date]], "&gt;="&amp;T$5,BetTable[[Date]:[Date]],"&lt;="&amp;EOMONTH(T$5,0))+SUMIFS(BetTable[[AR_per_bookie]:[AR_per_bookie]],BetTable[[B3]:[B3]],$K34,BetTable[[Date]:[Date]], "&gt;="&amp;T$5,BetTable[[Date]:[Date]],"&lt;="&amp;EOMONTH(T$5,0))</f>
        <v>0</v>
      </c>
      <c r="U34" s="186">
        <f>SUMIFS(DWbonus[[Sum]:[Sum]],DWbonus[[Dato]:[Dato]], "&gt;="&amp;U$5,DWbonus[[Dato]:[Dato]],"&lt;="&amp;EOMONTH(U$5,0),DWbonus[[Bookie]:[Bookie]],$K34)+SUMIFS(LayTable[[Faktisk res]:[Faktisk res]],LayTable[[Dato]:[Dato]],"&gt;="&amp;U$5,LayTable[[Dato]:[Dato]],"&lt;="&amp;EOMONTH(U$5,0),LayTable[[Bookmaker]:[Bookmaker]],$K34)+SUMIFS(BetTable[[AR_per_bookie]:[AR_per_bookie]],BetTable[[B1]:[B1]],$K34,BetTable[[Date]:[Date]], "&gt;="&amp;U$5,BetTable[[Date]:[Date]],"&lt;="&amp;EOMONTH(U$5,0))+SUMIFS(BetTable[[AR_per_bookie]:[AR_per_bookie]],BetTable[[B2]:[B2]],$K34,BetTable[[Date]:[Date]], "&gt;="&amp;U$5,BetTable[[Date]:[Date]],"&lt;="&amp;EOMONTH(U$5,0))+SUMIFS(BetTable[[AR_per_bookie]:[AR_per_bookie]],BetTable[[B3]:[B3]],$K34,BetTable[[Date]:[Date]], "&gt;="&amp;U$5,BetTable[[Date]:[Date]],"&lt;="&amp;EOMONTH(U$5,0))</f>
        <v>0</v>
      </c>
      <c r="V34" s="186">
        <f>SUMIFS(DWbonus[[Sum]:[Sum]],DWbonus[[Dato]:[Dato]], "&gt;="&amp;V$5,DWbonus[[Dato]:[Dato]],"&lt;="&amp;EOMONTH(V$5,0),DWbonus[[Bookie]:[Bookie]],$K34)+SUMIFS(LayTable[[Faktisk res]:[Faktisk res]],LayTable[[Dato]:[Dato]],"&gt;="&amp;V$5,LayTable[[Dato]:[Dato]],"&lt;="&amp;EOMONTH(V$5,0),LayTable[[Bookmaker]:[Bookmaker]],$K34)+SUMIFS(BetTable[[AR_per_bookie]:[AR_per_bookie]],BetTable[[B1]:[B1]],$K34,BetTable[[Date]:[Date]], "&gt;="&amp;V$5,BetTable[[Date]:[Date]],"&lt;="&amp;EOMONTH(V$5,0))+SUMIFS(BetTable[[AR_per_bookie]:[AR_per_bookie]],BetTable[[B2]:[B2]],$K34,BetTable[[Date]:[Date]], "&gt;="&amp;V$5,BetTable[[Date]:[Date]],"&lt;="&amp;EOMONTH(V$5,0))+SUMIFS(BetTable[[AR_per_bookie]:[AR_per_bookie]],BetTable[[B3]:[B3]],$K34,BetTable[[Date]:[Date]], "&gt;="&amp;V$5,BetTable[[Date]:[Date]],"&lt;="&amp;EOMONTH(V$5,0))</f>
        <v>0</v>
      </c>
      <c r="W34" s="186">
        <f>SUMIFS(DWbonus[[Sum]:[Sum]],DWbonus[[Dato]:[Dato]], "&gt;="&amp;W$5,DWbonus[[Dato]:[Dato]],"&lt;="&amp;EOMONTH(W$5,0),DWbonus[[Bookie]:[Bookie]],$K34)+SUMIFS(LayTable[[Faktisk res]:[Faktisk res]],LayTable[[Dato]:[Dato]],"&gt;="&amp;W$5,LayTable[[Dato]:[Dato]],"&lt;="&amp;EOMONTH(W$5,0),LayTable[[Bookmaker]:[Bookmaker]],$K34)+SUMIFS(BetTable[[AR_per_bookie]:[AR_per_bookie]],BetTable[[B1]:[B1]],$K34,BetTable[[Date]:[Date]], "&gt;="&amp;W$5,BetTable[[Date]:[Date]],"&lt;="&amp;EOMONTH(W$5,0))+SUMIFS(BetTable[[AR_per_bookie]:[AR_per_bookie]],BetTable[[B2]:[B2]],$K34,BetTable[[Date]:[Date]], "&gt;="&amp;W$5,BetTable[[Date]:[Date]],"&lt;="&amp;EOMONTH(W$5,0))+SUMIFS(BetTable[[AR_per_bookie]:[AR_per_bookie]],BetTable[[B3]:[B3]],$K34,BetTable[[Date]:[Date]], "&gt;="&amp;W$5,BetTable[[Date]:[Date]],"&lt;="&amp;EOMONTH(W$5,0))</f>
        <v>0</v>
      </c>
    </row>
    <row r="35" spans="1:23">
      <c r="A35" s="70" t="s">
        <v>394</v>
      </c>
      <c r="K35" s="174" t="str">
        <f t="array" ref="K35">IFERROR(INDEX(BookieNavn!H$2:H$1251,SMALL(IF(EXACT(LEFT(BookieNavn!H$2:H$1251,2),M$3),ROW(BookieNavn!H$2:H$1251)-ROW(BookieNavn!H$2)+1),ROWS(BookieNavn!H$2:'BookieNavn'!H30))),"")</f>
        <v/>
      </c>
      <c r="L35" s="186">
        <f>SUMIFS(DWbonus[[Sum]:[Sum]],DWbonus[[Dato]:[Dato]], "&gt;="&amp;L$5,DWbonus[[Dato]:[Dato]],"&lt;="&amp;EOMONTH(L$5,0),DWbonus[[Bookie]:[Bookie]],$K35)+SUMIFS(LayTable[[Faktisk res]:[Faktisk res]],LayTable[[Dato]:[Dato]],"&gt;="&amp;L$5,LayTable[[Dato]:[Dato]],"&lt;="&amp;EOMONTH(L$5,0),LayTable[[Bookmaker]:[Bookmaker]],$K35)+SUMIFS(BetTable[[AR_per_bookie]:[AR_per_bookie]],BetTable[[B1]:[B1]],$K35,BetTable[[Date]:[Date]], "&gt;="&amp;L$5,BetTable[[Date]:[Date]],"&lt;="&amp;EOMONTH(L$5,0))+SUMIFS(BetTable[[AR_per_bookie]:[AR_per_bookie]],BetTable[[B2]:[B2]],$K35,BetTable[[Date]:[Date]], "&gt;="&amp;L$5,BetTable[[Date]:[Date]],"&lt;="&amp;EOMONTH(L$5,0))+SUMIFS(BetTable[[AR_per_bookie]:[AR_per_bookie]],BetTable[[B3]:[B3]],$K35,BetTable[[Date]:[Date]], "&gt;="&amp;L$5,BetTable[[Date]:[Date]],"&lt;="&amp;EOMONTH(L$5,0))</f>
        <v>0</v>
      </c>
      <c r="M35" s="186">
        <f>SUMIFS(DWbonus[[Sum]:[Sum]],DWbonus[[Dato]:[Dato]], "&gt;="&amp;M$5,DWbonus[[Dato]:[Dato]],"&lt;="&amp;EOMONTH(M$5,0),DWbonus[[Bookie]:[Bookie]],$K35)+SUMIFS(LayTable[[Faktisk res]:[Faktisk res]],LayTable[[Dato]:[Dato]],"&gt;="&amp;M$5,LayTable[[Dato]:[Dato]],"&lt;="&amp;EOMONTH(M$5,0),LayTable[[Bookmaker]:[Bookmaker]],$K35)+SUMIFS(BetTable[[AR_per_bookie]:[AR_per_bookie]],BetTable[[B1]:[B1]],$K35,BetTable[[Date]:[Date]], "&gt;="&amp;M$5,BetTable[[Date]:[Date]],"&lt;="&amp;EOMONTH(M$5,0))+SUMIFS(BetTable[[AR_per_bookie]:[AR_per_bookie]],BetTable[[B2]:[B2]],$K35,BetTable[[Date]:[Date]], "&gt;="&amp;M$5,BetTable[[Date]:[Date]],"&lt;="&amp;EOMONTH(M$5,0))+SUMIFS(BetTable[[AR_per_bookie]:[AR_per_bookie]],BetTable[[B3]:[B3]],$K35,BetTable[[Date]:[Date]], "&gt;="&amp;M$5,BetTable[[Date]:[Date]],"&lt;="&amp;EOMONTH(M$5,0))</f>
        <v>0</v>
      </c>
      <c r="N35" s="186">
        <f>SUMIFS(DWbonus[[Sum]:[Sum]],DWbonus[[Dato]:[Dato]], "&gt;="&amp;N$5,DWbonus[[Dato]:[Dato]],"&lt;="&amp;EOMONTH(N$5,0),DWbonus[[Bookie]:[Bookie]],$K35)+SUMIFS(LayTable[[Faktisk res]:[Faktisk res]],LayTable[[Dato]:[Dato]],"&gt;="&amp;N$5,LayTable[[Dato]:[Dato]],"&lt;="&amp;EOMONTH(N$5,0),LayTable[[Bookmaker]:[Bookmaker]],$K35)+SUMIFS(BetTable[[AR_per_bookie]:[AR_per_bookie]],BetTable[[B1]:[B1]],$K35,BetTable[[Date]:[Date]], "&gt;="&amp;N$5,BetTable[[Date]:[Date]],"&lt;="&amp;EOMONTH(N$5,0))+SUMIFS(BetTable[[AR_per_bookie]:[AR_per_bookie]],BetTable[[B2]:[B2]],$K35,BetTable[[Date]:[Date]], "&gt;="&amp;N$5,BetTable[[Date]:[Date]],"&lt;="&amp;EOMONTH(N$5,0))+SUMIFS(BetTable[[AR_per_bookie]:[AR_per_bookie]],BetTable[[B3]:[B3]],$K35,BetTable[[Date]:[Date]], "&gt;="&amp;N$5,BetTable[[Date]:[Date]],"&lt;="&amp;EOMONTH(N$5,0))</f>
        <v>0</v>
      </c>
      <c r="O35" s="186">
        <f>SUMIFS(DWbonus[[Sum]:[Sum]],DWbonus[[Dato]:[Dato]], "&gt;="&amp;O$5,DWbonus[[Dato]:[Dato]],"&lt;="&amp;EOMONTH(O$5,0),DWbonus[[Bookie]:[Bookie]],$K35)+SUMIFS(LayTable[[Faktisk res]:[Faktisk res]],LayTable[[Dato]:[Dato]],"&gt;="&amp;O$5,LayTable[[Dato]:[Dato]],"&lt;="&amp;EOMONTH(O$5,0),LayTable[[Bookmaker]:[Bookmaker]],$K35)+SUMIFS(BetTable[[AR_per_bookie]:[AR_per_bookie]],BetTable[[B1]:[B1]],$K35,BetTable[[Date]:[Date]], "&gt;="&amp;O$5,BetTable[[Date]:[Date]],"&lt;="&amp;EOMONTH(O$5,0))+SUMIFS(BetTable[[AR_per_bookie]:[AR_per_bookie]],BetTable[[B2]:[B2]],$K35,BetTable[[Date]:[Date]], "&gt;="&amp;O$5,BetTable[[Date]:[Date]],"&lt;="&amp;EOMONTH(O$5,0))+SUMIFS(BetTable[[AR_per_bookie]:[AR_per_bookie]],BetTable[[B3]:[B3]],$K35,BetTable[[Date]:[Date]], "&gt;="&amp;O$5,BetTable[[Date]:[Date]],"&lt;="&amp;EOMONTH(O$5,0))</f>
        <v>0</v>
      </c>
      <c r="P35" s="186">
        <f>SUMIFS(DWbonus[[Sum]:[Sum]],DWbonus[[Dato]:[Dato]], "&gt;="&amp;P$5,DWbonus[[Dato]:[Dato]],"&lt;="&amp;EOMONTH(P$5,0),DWbonus[[Bookie]:[Bookie]],$K35)+SUMIFS(LayTable[[Faktisk res]:[Faktisk res]],LayTable[[Dato]:[Dato]],"&gt;="&amp;P$5,LayTable[[Dato]:[Dato]],"&lt;="&amp;EOMONTH(P$5,0),LayTable[[Bookmaker]:[Bookmaker]],$K35)+SUMIFS(BetTable[[AR_per_bookie]:[AR_per_bookie]],BetTable[[B1]:[B1]],$K35,BetTable[[Date]:[Date]], "&gt;="&amp;P$5,BetTable[[Date]:[Date]],"&lt;="&amp;EOMONTH(P$5,0))+SUMIFS(BetTable[[AR_per_bookie]:[AR_per_bookie]],BetTable[[B2]:[B2]],$K35,BetTable[[Date]:[Date]], "&gt;="&amp;P$5,BetTable[[Date]:[Date]],"&lt;="&amp;EOMONTH(P$5,0))+SUMIFS(BetTable[[AR_per_bookie]:[AR_per_bookie]],BetTable[[B3]:[B3]],$K35,BetTable[[Date]:[Date]], "&gt;="&amp;P$5,BetTable[[Date]:[Date]],"&lt;="&amp;EOMONTH(P$5,0))</f>
        <v>0</v>
      </c>
      <c r="Q35" s="186">
        <f>SUMIFS(DWbonus[[Sum]:[Sum]],DWbonus[[Dato]:[Dato]], "&gt;="&amp;Q$5,DWbonus[[Dato]:[Dato]],"&lt;="&amp;EOMONTH(Q$5,0),DWbonus[[Bookie]:[Bookie]],$K35)+SUMIFS(LayTable[[Faktisk res]:[Faktisk res]],LayTable[[Dato]:[Dato]],"&gt;="&amp;Q$5,LayTable[[Dato]:[Dato]],"&lt;="&amp;EOMONTH(Q$5,0),LayTable[[Bookmaker]:[Bookmaker]],$K35)+SUMIFS(BetTable[[AR_per_bookie]:[AR_per_bookie]],BetTable[[B1]:[B1]],$K35,BetTable[[Date]:[Date]], "&gt;="&amp;Q$5,BetTable[[Date]:[Date]],"&lt;="&amp;EOMONTH(Q$5,0))+SUMIFS(BetTable[[AR_per_bookie]:[AR_per_bookie]],BetTable[[B2]:[B2]],$K35,BetTable[[Date]:[Date]], "&gt;="&amp;Q$5,BetTable[[Date]:[Date]],"&lt;="&amp;EOMONTH(Q$5,0))+SUMIFS(BetTable[[AR_per_bookie]:[AR_per_bookie]],BetTable[[B3]:[B3]],$K35,BetTable[[Date]:[Date]], "&gt;="&amp;Q$5,BetTable[[Date]:[Date]],"&lt;="&amp;EOMONTH(Q$5,0))</f>
        <v>0</v>
      </c>
      <c r="R35" s="186">
        <f>SUMIFS(DWbonus[[Sum]:[Sum]],DWbonus[[Dato]:[Dato]], "&gt;="&amp;R$5,DWbonus[[Dato]:[Dato]],"&lt;="&amp;EOMONTH(R$5,0),DWbonus[[Bookie]:[Bookie]],$K35)+SUMIFS(LayTable[[Faktisk res]:[Faktisk res]],LayTable[[Dato]:[Dato]],"&gt;="&amp;R$5,LayTable[[Dato]:[Dato]],"&lt;="&amp;EOMONTH(R$5,0),LayTable[[Bookmaker]:[Bookmaker]],$K35)+SUMIFS(BetTable[[AR_per_bookie]:[AR_per_bookie]],BetTable[[B1]:[B1]],$K35,BetTable[[Date]:[Date]], "&gt;="&amp;R$5,BetTable[[Date]:[Date]],"&lt;="&amp;EOMONTH(R$5,0))+SUMIFS(BetTable[[AR_per_bookie]:[AR_per_bookie]],BetTable[[B2]:[B2]],$K35,BetTable[[Date]:[Date]], "&gt;="&amp;R$5,BetTable[[Date]:[Date]],"&lt;="&amp;EOMONTH(R$5,0))+SUMIFS(BetTable[[AR_per_bookie]:[AR_per_bookie]],BetTable[[B3]:[B3]],$K35,BetTable[[Date]:[Date]], "&gt;="&amp;R$5,BetTable[[Date]:[Date]],"&lt;="&amp;EOMONTH(R$5,0))</f>
        <v>0</v>
      </c>
      <c r="S35" s="186">
        <f>SUMIFS(DWbonus[[Sum]:[Sum]],DWbonus[[Dato]:[Dato]], "&gt;="&amp;S$5,DWbonus[[Dato]:[Dato]],"&lt;="&amp;EOMONTH(S$5,0),DWbonus[[Bookie]:[Bookie]],$K35)+SUMIFS(LayTable[[Faktisk res]:[Faktisk res]],LayTable[[Dato]:[Dato]],"&gt;="&amp;S$5,LayTable[[Dato]:[Dato]],"&lt;="&amp;EOMONTH(S$5,0),LayTable[[Bookmaker]:[Bookmaker]],$K35)+SUMIFS(BetTable[[AR_per_bookie]:[AR_per_bookie]],BetTable[[B1]:[B1]],$K35,BetTable[[Date]:[Date]], "&gt;="&amp;S$5,BetTable[[Date]:[Date]],"&lt;="&amp;EOMONTH(S$5,0))+SUMIFS(BetTable[[AR_per_bookie]:[AR_per_bookie]],BetTable[[B2]:[B2]],$K35,BetTable[[Date]:[Date]], "&gt;="&amp;S$5,BetTable[[Date]:[Date]],"&lt;="&amp;EOMONTH(S$5,0))+SUMIFS(BetTable[[AR_per_bookie]:[AR_per_bookie]],BetTable[[B3]:[B3]],$K35,BetTable[[Date]:[Date]], "&gt;="&amp;S$5,BetTable[[Date]:[Date]],"&lt;="&amp;EOMONTH(S$5,0))</f>
        <v>0</v>
      </c>
      <c r="T35" s="186">
        <f>SUMIFS(DWbonus[[Sum]:[Sum]],DWbonus[[Dato]:[Dato]], "&gt;="&amp;T$5,DWbonus[[Dato]:[Dato]],"&lt;="&amp;EOMONTH(T$5,0),DWbonus[[Bookie]:[Bookie]],$K35)+SUMIFS(LayTable[[Faktisk res]:[Faktisk res]],LayTable[[Dato]:[Dato]],"&gt;="&amp;T$5,LayTable[[Dato]:[Dato]],"&lt;="&amp;EOMONTH(T$5,0),LayTable[[Bookmaker]:[Bookmaker]],$K35)+SUMIFS(BetTable[[AR_per_bookie]:[AR_per_bookie]],BetTable[[B1]:[B1]],$K35,BetTable[[Date]:[Date]], "&gt;="&amp;T$5,BetTable[[Date]:[Date]],"&lt;="&amp;EOMONTH(T$5,0))+SUMIFS(BetTable[[AR_per_bookie]:[AR_per_bookie]],BetTable[[B2]:[B2]],$K35,BetTable[[Date]:[Date]], "&gt;="&amp;T$5,BetTable[[Date]:[Date]],"&lt;="&amp;EOMONTH(T$5,0))+SUMIFS(BetTable[[AR_per_bookie]:[AR_per_bookie]],BetTable[[B3]:[B3]],$K35,BetTable[[Date]:[Date]], "&gt;="&amp;T$5,BetTable[[Date]:[Date]],"&lt;="&amp;EOMONTH(T$5,0))</f>
        <v>0</v>
      </c>
      <c r="U35" s="186">
        <f>SUMIFS(DWbonus[[Sum]:[Sum]],DWbonus[[Dato]:[Dato]], "&gt;="&amp;U$5,DWbonus[[Dato]:[Dato]],"&lt;="&amp;EOMONTH(U$5,0),DWbonus[[Bookie]:[Bookie]],$K35)+SUMIFS(LayTable[[Faktisk res]:[Faktisk res]],LayTable[[Dato]:[Dato]],"&gt;="&amp;U$5,LayTable[[Dato]:[Dato]],"&lt;="&amp;EOMONTH(U$5,0),LayTable[[Bookmaker]:[Bookmaker]],$K35)+SUMIFS(BetTable[[AR_per_bookie]:[AR_per_bookie]],BetTable[[B1]:[B1]],$K35,BetTable[[Date]:[Date]], "&gt;="&amp;U$5,BetTable[[Date]:[Date]],"&lt;="&amp;EOMONTH(U$5,0))+SUMIFS(BetTable[[AR_per_bookie]:[AR_per_bookie]],BetTable[[B2]:[B2]],$K35,BetTable[[Date]:[Date]], "&gt;="&amp;U$5,BetTable[[Date]:[Date]],"&lt;="&amp;EOMONTH(U$5,0))+SUMIFS(BetTable[[AR_per_bookie]:[AR_per_bookie]],BetTable[[B3]:[B3]],$K35,BetTable[[Date]:[Date]], "&gt;="&amp;U$5,BetTable[[Date]:[Date]],"&lt;="&amp;EOMONTH(U$5,0))</f>
        <v>0</v>
      </c>
      <c r="V35" s="186">
        <f>SUMIFS(DWbonus[[Sum]:[Sum]],DWbonus[[Dato]:[Dato]], "&gt;="&amp;V$5,DWbonus[[Dato]:[Dato]],"&lt;="&amp;EOMONTH(V$5,0),DWbonus[[Bookie]:[Bookie]],$K35)+SUMIFS(LayTable[[Faktisk res]:[Faktisk res]],LayTable[[Dato]:[Dato]],"&gt;="&amp;V$5,LayTable[[Dato]:[Dato]],"&lt;="&amp;EOMONTH(V$5,0),LayTable[[Bookmaker]:[Bookmaker]],$K35)+SUMIFS(BetTable[[AR_per_bookie]:[AR_per_bookie]],BetTable[[B1]:[B1]],$K35,BetTable[[Date]:[Date]], "&gt;="&amp;V$5,BetTable[[Date]:[Date]],"&lt;="&amp;EOMONTH(V$5,0))+SUMIFS(BetTable[[AR_per_bookie]:[AR_per_bookie]],BetTable[[B2]:[B2]],$K35,BetTable[[Date]:[Date]], "&gt;="&amp;V$5,BetTable[[Date]:[Date]],"&lt;="&amp;EOMONTH(V$5,0))+SUMIFS(BetTable[[AR_per_bookie]:[AR_per_bookie]],BetTable[[B3]:[B3]],$K35,BetTable[[Date]:[Date]], "&gt;="&amp;V$5,BetTable[[Date]:[Date]],"&lt;="&amp;EOMONTH(V$5,0))</f>
        <v>0</v>
      </c>
      <c r="W35" s="186">
        <f>SUMIFS(DWbonus[[Sum]:[Sum]],DWbonus[[Dato]:[Dato]], "&gt;="&amp;W$5,DWbonus[[Dato]:[Dato]],"&lt;="&amp;EOMONTH(W$5,0),DWbonus[[Bookie]:[Bookie]],$K35)+SUMIFS(LayTable[[Faktisk res]:[Faktisk res]],LayTable[[Dato]:[Dato]],"&gt;="&amp;W$5,LayTable[[Dato]:[Dato]],"&lt;="&amp;EOMONTH(W$5,0),LayTable[[Bookmaker]:[Bookmaker]],$K35)+SUMIFS(BetTable[[AR_per_bookie]:[AR_per_bookie]],BetTable[[B1]:[B1]],$K35,BetTable[[Date]:[Date]], "&gt;="&amp;W$5,BetTable[[Date]:[Date]],"&lt;="&amp;EOMONTH(W$5,0))+SUMIFS(BetTable[[AR_per_bookie]:[AR_per_bookie]],BetTable[[B2]:[B2]],$K35,BetTable[[Date]:[Date]], "&gt;="&amp;W$5,BetTable[[Date]:[Date]],"&lt;="&amp;EOMONTH(W$5,0))+SUMIFS(BetTable[[AR_per_bookie]:[AR_per_bookie]],BetTable[[B3]:[B3]],$K35,BetTable[[Date]:[Date]], "&gt;="&amp;W$5,BetTable[[Date]:[Date]],"&lt;="&amp;EOMONTH(W$5,0))</f>
        <v>0</v>
      </c>
    </row>
    <row r="36" spans="1:23">
      <c r="E36" s="174" t="s">
        <v>450</v>
      </c>
      <c r="K36" s="174" t="str">
        <f t="array" ref="K36">IFERROR(INDEX(BookieNavn!H$2:H$1251,SMALL(IF(EXACT(LEFT(BookieNavn!H$2:H$1251,2),M$3),ROW(BookieNavn!H$2:H$1251)-ROW(BookieNavn!H$2)+1),ROWS(BookieNavn!H$2:'BookieNavn'!H31))),"")</f>
        <v/>
      </c>
      <c r="L36" s="186">
        <f>SUMIFS(DWbonus[[Sum]:[Sum]],DWbonus[[Dato]:[Dato]], "&gt;="&amp;L$5,DWbonus[[Dato]:[Dato]],"&lt;="&amp;EOMONTH(L$5,0),DWbonus[[Bookie]:[Bookie]],$K36)+SUMIFS(LayTable[[Faktisk res]:[Faktisk res]],LayTable[[Dato]:[Dato]],"&gt;="&amp;L$5,LayTable[[Dato]:[Dato]],"&lt;="&amp;EOMONTH(L$5,0),LayTable[[Bookmaker]:[Bookmaker]],$K36)+SUMIFS(BetTable[[AR_per_bookie]:[AR_per_bookie]],BetTable[[B1]:[B1]],$K36,BetTable[[Date]:[Date]], "&gt;="&amp;L$5,BetTable[[Date]:[Date]],"&lt;="&amp;EOMONTH(L$5,0))+SUMIFS(BetTable[[AR_per_bookie]:[AR_per_bookie]],BetTable[[B2]:[B2]],$K36,BetTable[[Date]:[Date]], "&gt;="&amp;L$5,BetTable[[Date]:[Date]],"&lt;="&amp;EOMONTH(L$5,0))+SUMIFS(BetTable[[AR_per_bookie]:[AR_per_bookie]],BetTable[[B3]:[B3]],$K36,BetTable[[Date]:[Date]], "&gt;="&amp;L$5,BetTable[[Date]:[Date]],"&lt;="&amp;EOMONTH(L$5,0))</f>
        <v>0</v>
      </c>
      <c r="M36" s="186">
        <f>SUMIFS(DWbonus[[Sum]:[Sum]],DWbonus[[Dato]:[Dato]], "&gt;="&amp;M$5,DWbonus[[Dato]:[Dato]],"&lt;="&amp;EOMONTH(M$5,0),DWbonus[[Bookie]:[Bookie]],$K36)+SUMIFS(LayTable[[Faktisk res]:[Faktisk res]],LayTable[[Dato]:[Dato]],"&gt;="&amp;M$5,LayTable[[Dato]:[Dato]],"&lt;="&amp;EOMONTH(M$5,0),LayTable[[Bookmaker]:[Bookmaker]],$K36)+SUMIFS(BetTable[[AR_per_bookie]:[AR_per_bookie]],BetTable[[B1]:[B1]],$K36,BetTable[[Date]:[Date]], "&gt;="&amp;M$5,BetTable[[Date]:[Date]],"&lt;="&amp;EOMONTH(M$5,0))+SUMIFS(BetTable[[AR_per_bookie]:[AR_per_bookie]],BetTable[[B2]:[B2]],$K36,BetTable[[Date]:[Date]], "&gt;="&amp;M$5,BetTable[[Date]:[Date]],"&lt;="&amp;EOMONTH(M$5,0))+SUMIFS(BetTable[[AR_per_bookie]:[AR_per_bookie]],BetTable[[B3]:[B3]],$K36,BetTable[[Date]:[Date]], "&gt;="&amp;M$5,BetTable[[Date]:[Date]],"&lt;="&amp;EOMONTH(M$5,0))</f>
        <v>0</v>
      </c>
      <c r="N36" s="186">
        <f>SUMIFS(DWbonus[[Sum]:[Sum]],DWbonus[[Dato]:[Dato]], "&gt;="&amp;N$5,DWbonus[[Dato]:[Dato]],"&lt;="&amp;EOMONTH(N$5,0),DWbonus[[Bookie]:[Bookie]],$K36)+SUMIFS(LayTable[[Faktisk res]:[Faktisk res]],LayTable[[Dato]:[Dato]],"&gt;="&amp;N$5,LayTable[[Dato]:[Dato]],"&lt;="&amp;EOMONTH(N$5,0),LayTable[[Bookmaker]:[Bookmaker]],$K36)+SUMIFS(BetTable[[AR_per_bookie]:[AR_per_bookie]],BetTable[[B1]:[B1]],$K36,BetTable[[Date]:[Date]], "&gt;="&amp;N$5,BetTable[[Date]:[Date]],"&lt;="&amp;EOMONTH(N$5,0))+SUMIFS(BetTable[[AR_per_bookie]:[AR_per_bookie]],BetTable[[B2]:[B2]],$K36,BetTable[[Date]:[Date]], "&gt;="&amp;N$5,BetTable[[Date]:[Date]],"&lt;="&amp;EOMONTH(N$5,0))+SUMIFS(BetTable[[AR_per_bookie]:[AR_per_bookie]],BetTable[[B3]:[B3]],$K36,BetTable[[Date]:[Date]], "&gt;="&amp;N$5,BetTable[[Date]:[Date]],"&lt;="&amp;EOMONTH(N$5,0))</f>
        <v>0</v>
      </c>
      <c r="O36" s="186">
        <f>SUMIFS(DWbonus[[Sum]:[Sum]],DWbonus[[Dato]:[Dato]], "&gt;="&amp;O$5,DWbonus[[Dato]:[Dato]],"&lt;="&amp;EOMONTH(O$5,0),DWbonus[[Bookie]:[Bookie]],$K36)+SUMIFS(LayTable[[Faktisk res]:[Faktisk res]],LayTable[[Dato]:[Dato]],"&gt;="&amp;O$5,LayTable[[Dato]:[Dato]],"&lt;="&amp;EOMONTH(O$5,0),LayTable[[Bookmaker]:[Bookmaker]],$K36)+SUMIFS(BetTable[[AR_per_bookie]:[AR_per_bookie]],BetTable[[B1]:[B1]],$K36,BetTable[[Date]:[Date]], "&gt;="&amp;O$5,BetTable[[Date]:[Date]],"&lt;="&amp;EOMONTH(O$5,0))+SUMIFS(BetTable[[AR_per_bookie]:[AR_per_bookie]],BetTable[[B2]:[B2]],$K36,BetTable[[Date]:[Date]], "&gt;="&amp;O$5,BetTable[[Date]:[Date]],"&lt;="&amp;EOMONTH(O$5,0))+SUMIFS(BetTable[[AR_per_bookie]:[AR_per_bookie]],BetTable[[B3]:[B3]],$K36,BetTable[[Date]:[Date]], "&gt;="&amp;O$5,BetTable[[Date]:[Date]],"&lt;="&amp;EOMONTH(O$5,0))</f>
        <v>0</v>
      </c>
      <c r="P36" s="186">
        <f>SUMIFS(DWbonus[[Sum]:[Sum]],DWbonus[[Dato]:[Dato]], "&gt;="&amp;P$5,DWbonus[[Dato]:[Dato]],"&lt;="&amp;EOMONTH(P$5,0),DWbonus[[Bookie]:[Bookie]],$K36)+SUMIFS(LayTable[[Faktisk res]:[Faktisk res]],LayTable[[Dato]:[Dato]],"&gt;="&amp;P$5,LayTable[[Dato]:[Dato]],"&lt;="&amp;EOMONTH(P$5,0),LayTable[[Bookmaker]:[Bookmaker]],$K36)+SUMIFS(BetTable[[AR_per_bookie]:[AR_per_bookie]],BetTable[[B1]:[B1]],$K36,BetTable[[Date]:[Date]], "&gt;="&amp;P$5,BetTable[[Date]:[Date]],"&lt;="&amp;EOMONTH(P$5,0))+SUMIFS(BetTable[[AR_per_bookie]:[AR_per_bookie]],BetTable[[B2]:[B2]],$K36,BetTable[[Date]:[Date]], "&gt;="&amp;P$5,BetTable[[Date]:[Date]],"&lt;="&amp;EOMONTH(P$5,0))+SUMIFS(BetTable[[AR_per_bookie]:[AR_per_bookie]],BetTable[[B3]:[B3]],$K36,BetTable[[Date]:[Date]], "&gt;="&amp;P$5,BetTable[[Date]:[Date]],"&lt;="&amp;EOMONTH(P$5,0))</f>
        <v>0</v>
      </c>
      <c r="Q36" s="186">
        <f>SUMIFS(DWbonus[[Sum]:[Sum]],DWbonus[[Dato]:[Dato]], "&gt;="&amp;Q$5,DWbonus[[Dato]:[Dato]],"&lt;="&amp;EOMONTH(Q$5,0),DWbonus[[Bookie]:[Bookie]],$K36)+SUMIFS(LayTable[[Faktisk res]:[Faktisk res]],LayTable[[Dato]:[Dato]],"&gt;="&amp;Q$5,LayTable[[Dato]:[Dato]],"&lt;="&amp;EOMONTH(Q$5,0),LayTable[[Bookmaker]:[Bookmaker]],$K36)+SUMIFS(BetTable[[AR_per_bookie]:[AR_per_bookie]],BetTable[[B1]:[B1]],$K36,BetTable[[Date]:[Date]], "&gt;="&amp;Q$5,BetTable[[Date]:[Date]],"&lt;="&amp;EOMONTH(Q$5,0))+SUMIFS(BetTable[[AR_per_bookie]:[AR_per_bookie]],BetTable[[B2]:[B2]],$K36,BetTable[[Date]:[Date]], "&gt;="&amp;Q$5,BetTable[[Date]:[Date]],"&lt;="&amp;EOMONTH(Q$5,0))+SUMIFS(BetTable[[AR_per_bookie]:[AR_per_bookie]],BetTable[[B3]:[B3]],$K36,BetTable[[Date]:[Date]], "&gt;="&amp;Q$5,BetTable[[Date]:[Date]],"&lt;="&amp;EOMONTH(Q$5,0))</f>
        <v>0</v>
      </c>
      <c r="R36" s="186">
        <f>SUMIFS(DWbonus[[Sum]:[Sum]],DWbonus[[Dato]:[Dato]], "&gt;="&amp;R$5,DWbonus[[Dato]:[Dato]],"&lt;="&amp;EOMONTH(R$5,0),DWbonus[[Bookie]:[Bookie]],$K36)+SUMIFS(LayTable[[Faktisk res]:[Faktisk res]],LayTable[[Dato]:[Dato]],"&gt;="&amp;R$5,LayTable[[Dato]:[Dato]],"&lt;="&amp;EOMONTH(R$5,0),LayTable[[Bookmaker]:[Bookmaker]],$K36)+SUMIFS(BetTable[[AR_per_bookie]:[AR_per_bookie]],BetTable[[B1]:[B1]],$K36,BetTable[[Date]:[Date]], "&gt;="&amp;R$5,BetTable[[Date]:[Date]],"&lt;="&amp;EOMONTH(R$5,0))+SUMIFS(BetTable[[AR_per_bookie]:[AR_per_bookie]],BetTable[[B2]:[B2]],$K36,BetTable[[Date]:[Date]], "&gt;="&amp;R$5,BetTable[[Date]:[Date]],"&lt;="&amp;EOMONTH(R$5,0))+SUMIFS(BetTable[[AR_per_bookie]:[AR_per_bookie]],BetTable[[B3]:[B3]],$K36,BetTable[[Date]:[Date]], "&gt;="&amp;R$5,BetTable[[Date]:[Date]],"&lt;="&amp;EOMONTH(R$5,0))</f>
        <v>0</v>
      </c>
      <c r="S36" s="186">
        <f>SUMIFS(DWbonus[[Sum]:[Sum]],DWbonus[[Dato]:[Dato]], "&gt;="&amp;S$5,DWbonus[[Dato]:[Dato]],"&lt;="&amp;EOMONTH(S$5,0),DWbonus[[Bookie]:[Bookie]],$K36)+SUMIFS(LayTable[[Faktisk res]:[Faktisk res]],LayTable[[Dato]:[Dato]],"&gt;="&amp;S$5,LayTable[[Dato]:[Dato]],"&lt;="&amp;EOMONTH(S$5,0),LayTable[[Bookmaker]:[Bookmaker]],$K36)+SUMIFS(BetTable[[AR_per_bookie]:[AR_per_bookie]],BetTable[[B1]:[B1]],$K36,BetTable[[Date]:[Date]], "&gt;="&amp;S$5,BetTable[[Date]:[Date]],"&lt;="&amp;EOMONTH(S$5,0))+SUMIFS(BetTable[[AR_per_bookie]:[AR_per_bookie]],BetTable[[B2]:[B2]],$K36,BetTable[[Date]:[Date]], "&gt;="&amp;S$5,BetTable[[Date]:[Date]],"&lt;="&amp;EOMONTH(S$5,0))+SUMIFS(BetTable[[AR_per_bookie]:[AR_per_bookie]],BetTable[[B3]:[B3]],$K36,BetTable[[Date]:[Date]], "&gt;="&amp;S$5,BetTable[[Date]:[Date]],"&lt;="&amp;EOMONTH(S$5,0))</f>
        <v>0</v>
      </c>
      <c r="T36" s="186">
        <f>SUMIFS(DWbonus[[Sum]:[Sum]],DWbonus[[Dato]:[Dato]], "&gt;="&amp;T$5,DWbonus[[Dato]:[Dato]],"&lt;="&amp;EOMONTH(T$5,0),DWbonus[[Bookie]:[Bookie]],$K36)+SUMIFS(LayTable[[Faktisk res]:[Faktisk res]],LayTable[[Dato]:[Dato]],"&gt;="&amp;T$5,LayTable[[Dato]:[Dato]],"&lt;="&amp;EOMONTH(T$5,0),LayTable[[Bookmaker]:[Bookmaker]],$K36)+SUMIFS(BetTable[[AR_per_bookie]:[AR_per_bookie]],BetTable[[B1]:[B1]],$K36,BetTable[[Date]:[Date]], "&gt;="&amp;T$5,BetTable[[Date]:[Date]],"&lt;="&amp;EOMONTH(T$5,0))+SUMIFS(BetTable[[AR_per_bookie]:[AR_per_bookie]],BetTable[[B2]:[B2]],$K36,BetTable[[Date]:[Date]], "&gt;="&amp;T$5,BetTable[[Date]:[Date]],"&lt;="&amp;EOMONTH(T$5,0))+SUMIFS(BetTable[[AR_per_bookie]:[AR_per_bookie]],BetTable[[B3]:[B3]],$K36,BetTable[[Date]:[Date]], "&gt;="&amp;T$5,BetTable[[Date]:[Date]],"&lt;="&amp;EOMONTH(T$5,0))</f>
        <v>0</v>
      </c>
      <c r="U36" s="186">
        <f>SUMIFS(DWbonus[[Sum]:[Sum]],DWbonus[[Dato]:[Dato]], "&gt;="&amp;U$5,DWbonus[[Dato]:[Dato]],"&lt;="&amp;EOMONTH(U$5,0),DWbonus[[Bookie]:[Bookie]],$K36)+SUMIFS(LayTable[[Faktisk res]:[Faktisk res]],LayTable[[Dato]:[Dato]],"&gt;="&amp;U$5,LayTable[[Dato]:[Dato]],"&lt;="&amp;EOMONTH(U$5,0),LayTable[[Bookmaker]:[Bookmaker]],$K36)+SUMIFS(BetTable[[AR_per_bookie]:[AR_per_bookie]],BetTable[[B1]:[B1]],$K36,BetTable[[Date]:[Date]], "&gt;="&amp;U$5,BetTable[[Date]:[Date]],"&lt;="&amp;EOMONTH(U$5,0))+SUMIFS(BetTable[[AR_per_bookie]:[AR_per_bookie]],BetTable[[B2]:[B2]],$K36,BetTable[[Date]:[Date]], "&gt;="&amp;U$5,BetTable[[Date]:[Date]],"&lt;="&amp;EOMONTH(U$5,0))+SUMIFS(BetTable[[AR_per_bookie]:[AR_per_bookie]],BetTable[[B3]:[B3]],$K36,BetTable[[Date]:[Date]], "&gt;="&amp;U$5,BetTable[[Date]:[Date]],"&lt;="&amp;EOMONTH(U$5,0))</f>
        <v>0</v>
      </c>
      <c r="V36" s="186">
        <f>SUMIFS(DWbonus[[Sum]:[Sum]],DWbonus[[Dato]:[Dato]], "&gt;="&amp;V$5,DWbonus[[Dato]:[Dato]],"&lt;="&amp;EOMONTH(V$5,0),DWbonus[[Bookie]:[Bookie]],$K36)+SUMIFS(LayTable[[Faktisk res]:[Faktisk res]],LayTable[[Dato]:[Dato]],"&gt;="&amp;V$5,LayTable[[Dato]:[Dato]],"&lt;="&amp;EOMONTH(V$5,0),LayTable[[Bookmaker]:[Bookmaker]],$K36)+SUMIFS(BetTable[[AR_per_bookie]:[AR_per_bookie]],BetTable[[B1]:[B1]],$K36,BetTable[[Date]:[Date]], "&gt;="&amp;V$5,BetTable[[Date]:[Date]],"&lt;="&amp;EOMONTH(V$5,0))+SUMIFS(BetTable[[AR_per_bookie]:[AR_per_bookie]],BetTable[[B2]:[B2]],$K36,BetTable[[Date]:[Date]], "&gt;="&amp;V$5,BetTable[[Date]:[Date]],"&lt;="&amp;EOMONTH(V$5,0))+SUMIFS(BetTable[[AR_per_bookie]:[AR_per_bookie]],BetTable[[B3]:[B3]],$K36,BetTable[[Date]:[Date]], "&gt;="&amp;V$5,BetTable[[Date]:[Date]],"&lt;="&amp;EOMONTH(V$5,0))</f>
        <v>0</v>
      </c>
      <c r="W36" s="186">
        <f>SUMIFS(DWbonus[[Sum]:[Sum]],DWbonus[[Dato]:[Dato]], "&gt;="&amp;W$5,DWbonus[[Dato]:[Dato]],"&lt;="&amp;EOMONTH(W$5,0),DWbonus[[Bookie]:[Bookie]],$K36)+SUMIFS(LayTable[[Faktisk res]:[Faktisk res]],LayTable[[Dato]:[Dato]],"&gt;="&amp;W$5,LayTable[[Dato]:[Dato]],"&lt;="&amp;EOMONTH(W$5,0),LayTable[[Bookmaker]:[Bookmaker]],$K36)+SUMIFS(BetTable[[AR_per_bookie]:[AR_per_bookie]],BetTable[[B1]:[B1]],$K36,BetTable[[Date]:[Date]], "&gt;="&amp;W$5,BetTable[[Date]:[Date]],"&lt;="&amp;EOMONTH(W$5,0))+SUMIFS(BetTable[[AR_per_bookie]:[AR_per_bookie]],BetTable[[B2]:[B2]],$K36,BetTable[[Date]:[Date]], "&gt;="&amp;W$5,BetTable[[Date]:[Date]],"&lt;="&amp;EOMONTH(W$5,0))+SUMIFS(BetTable[[AR_per_bookie]:[AR_per_bookie]],BetTable[[B3]:[B3]],$K36,BetTable[[Date]:[Date]], "&gt;="&amp;W$5,BetTable[[Date]:[Date]],"&lt;="&amp;EOMONTH(W$5,0))</f>
        <v>0</v>
      </c>
    </row>
    <row r="37" spans="1:23">
      <c r="A37" s="174" t="s">
        <v>209</v>
      </c>
      <c r="B37" s="174" t="s">
        <v>352</v>
      </c>
      <c r="C37" s="174">
        <v>1000</v>
      </c>
      <c r="K37" s="174" t="str">
        <f t="array" ref="K37">IFERROR(INDEX(BookieNavn!H$2:H$1251,SMALL(IF(EXACT(LEFT(BookieNavn!H$2:H$1251,2),M$3),ROW(BookieNavn!H$2:H$1251)-ROW(BookieNavn!H$2)+1),ROWS(BookieNavn!H$2:'BookieNavn'!H32))),"")</f>
        <v/>
      </c>
      <c r="L37" s="186">
        <f>SUMIFS(DWbonus[[Sum]:[Sum]],DWbonus[[Dato]:[Dato]], "&gt;="&amp;L$5,DWbonus[[Dato]:[Dato]],"&lt;="&amp;EOMONTH(L$5,0),DWbonus[[Bookie]:[Bookie]],$K37)+SUMIFS(LayTable[[Faktisk res]:[Faktisk res]],LayTable[[Dato]:[Dato]],"&gt;="&amp;L$5,LayTable[[Dato]:[Dato]],"&lt;="&amp;EOMONTH(L$5,0),LayTable[[Bookmaker]:[Bookmaker]],$K37)+SUMIFS(BetTable[[AR_per_bookie]:[AR_per_bookie]],BetTable[[B1]:[B1]],$K37,BetTable[[Date]:[Date]], "&gt;="&amp;L$5,BetTable[[Date]:[Date]],"&lt;="&amp;EOMONTH(L$5,0))+SUMIFS(BetTable[[AR_per_bookie]:[AR_per_bookie]],BetTable[[B2]:[B2]],$K37,BetTable[[Date]:[Date]], "&gt;="&amp;L$5,BetTable[[Date]:[Date]],"&lt;="&amp;EOMONTH(L$5,0))+SUMIFS(BetTable[[AR_per_bookie]:[AR_per_bookie]],BetTable[[B3]:[B3]],$K37,BetTable[[Date]:[Date]], "&gt;="&amp;L$5,BetTable[[Date]:[Date]],"&lt;="&amp;EOMONTH(L$5,0))</f>
        <v>0</v>
      </c>
      <c r="M37" s="186">
        <f>SUMIFS(DWbonus[[Sum]:[Sum]],DWbonus[[Dato]:[Dato]], "&gt;="&amp;M$5,DWbonus[[Dato]:[Dato]],"&lt;="&amp;EOMONTH(M$5,0),DWbonus[[Bookie]:[Bookie]],$K37)+SUMIFS(LayTable[[Faktisk res]:[Faktisk res]],LayTable[[Dato]:[Dato]],"&gt;="&amp;M$5,LayTable[[Dato]:[Dato]],"&lt;="&amp;EOMONTH(M$5,0),LayTable[[Bookmaker]:[Bookmaker]],$K37)+SUMIFS(BetTable[[AR_per_bookie]:[AR_per_bookie]],BetTable[[B1]:[B1]],$K37,BetTable[[Date]:[Date]], "&gt;="&amp;M$5,BetTable[[Date]:[Date]],"&lt;="&amp;EOMONTH(M$5,0))+SUMIFS(BetTable[[AR_per_bookie]:[AR_per_bookie]],BetTable[[B2]:[B2]],$K37,BetTable[[Date]:[Date]], "&gt;="&amp;M$5,BetTable[[Date]:[Date]],"&lt;="&amp;EOMONTH(M$5,0))+SUMIFS(BetTable[[AR_per_bookie]:[AR_per_bookie]],BetTable[[B3]:[B3]],$K37,BetTable[[Date]:[Date]], "&gt;="&amp;M$5,BetTable[[Date]:[Date]],"&lt;="&amp;EOMONTH(M$5,0))</f>
        <v>0</v>
      </c>
      <c r="N37" s="186">
        <f>SUMIFS(DWbonus[[Sum]:[Sum]],DWbonus[[Dato]:[Dato]], "&gt;="&amp;N$5,DWbonus[[Dato]:[Dato]],"&lt;="&amp;EOMONTH(N$5,0),DWbonus[[Bookie]:[Bookie]],$K37)+SUMIFS(LayTable[[Faktisk res]:[Faktisk res]],LayTable[[Dato]:[Dato]],"&gt;="&amp;N$5,LayTable[[Dato]:[Dato]],"&lt;="&amp;EOMONTH(N$5,0),LayTable[[Bookmaker]:[Bookmaker]],$K37)+SUMIFS(BetTable[[AR_per_bookie]:[AR_per_bookie]],BetTable[[B1]:[B1]],$K37,BetTable[[Date]:[Date]], "&gt;="&amp;N$5,BetTable[[Date]:[Date]],"&lt;="&amp;EOMONTH(N$5,0))+SUMIFS(BetTable[[AR_per_bookie]:[AR_per_bookie]],BetTable[[B2]:[B2]],$K37,BetTable[[Date]:[Date]], "&gt;="&amp;N$5,BetTable[[Date]:[Date]],"&lt;="&amp;EOMONTH(N$5,0))+SUMIFS(BetTable[[AR_per_bookie]:[AR_per_bookie]],BetTable[[B3]:[B3]],$K37,BetTable[[Date]:[Date]], "&gt;="&amp;N$5,BetTable[[Date]:[Date]],"&lt;="&amp;EOMONTH(N$5,0))</f>
        <v>0</v>
      </c>
      <c r="O37" s="186">
        <f>SUMIFS(DWbonus[[Sum]:[Sum]],DWbonus[[Dato]:[Dato]], "&gt;="&amp;O$5,DWbonus[[Dato]:[Dato]],"&lt;="&amp;EOMONTH(O$5,0),DWbonus[[Bookie]:[Bookie]],$K37)+SUMIFS(LayTable[[Faktisk res]:[Faktisk res]],LayTable[[Dato]:[Dato]],"&gt;="&amp;O$5,LayTable[[Dato]:[Dato]],"&lt;="&amp;EOMONTH(O$5,0),LayTable[[Bookmaker]:[Bookmaker]],$K37)+SUMIFS(BetTable[[AR_per_bookie]:[AR_per_bookie]],BetTable[[B1]:[B1]],$K37,BetTable[[Date]:[Date]], "&gt;="&amp;O$5,BetTable[[Date]:[Date]],"&lt;="&amp;EOMONTH(O$5,0))+SUMIFS(BetTable[[AR_per_bookie]:[AR_per_bookie]],BetTable[[B2]:[B2]],$K37,BetTable[[Date]:[Date]], "&gt;="&amp;O$5,BetTable[[Date]:[Date]],"&lt;="&amp;EOMONTH(O$5,0))+SUMIFS(BetTable[[AR_per_bookie]:[AR_per_bookie]],BetTable[[B3]:[B3]],$K37,BetTable[[Date]:[Date]], "&gt;="&amp;O$5,BetTable[[Date]:[Date]],"&lt;="&amp;EOMONTH(O$5,0))</f>
        <v>0</v>
      </c>
      <c r="P37" s="186">
        <f>SUMIFS(DWbonus[[Sum]:[Sum]],DWbonus[[Dato]:[Dato]], "&gt;="&amp;P$5,DWbonus[[Dato]:[Dato]],"&lt;="&amp;EOMONTH(P$5,0),DWbonus[[Bookie]:[Bookie]],$K37)+SUMIFS(LayTable[[Faktisk res]:[Faktisk res]],LayTable[[Dato]:[Dato]],"&gt;="&amp;P$5,LayTable[[Dato]:[Dato]],"&lt;="&amp;EOMONTH(P$5,0),LayTable[[Bookmaker]:[Bookmaker]],$K37)+SUMIFS(BetTable[[AR_per_bookie]:[AR_per_bookie]],BetTable[[B1]:[B1]],$K37,BetTable[[Date]:[Date]], "&gt;="&amp;P$5,BetTable[[Date]:[Date]],"&lt;="&amp;EOMONTH(P$5,0))+SUMIFS(BetTable[[AR_per_bookie]:[AR_per_bookie]],BetTable[[B2]:[B2]],$K37,BetTable[[Date]:[Date]], "&gt;="&amp;P$5,BetTable[[Date]:[Date]],"&lt;="&amp;EOMONTH(P$5,0))+SUMIFS(BetTable[[AR_per_bookie]:[AR_per_bookie]],BetTable[[B3]:[B3]],$K37,BetTable[[Date]:[Date]], "&gt;="&amp;P$5,BetTable[[Date]:[Date]],"&lt;="&amp;EOMONTH(P$5,0))</f>
        <v>0</v>
      </c>
      <c r="Q37" s="186">
        <f>SUMIFS(DWbonus[[Sum]:[Sum]],DWbonus[[Dato]:[Dato]], "&gt;="&amp;Q$5,DWbonus[[Dato]:[Dato]],"&lt;="&amp;EOMONTH(Q$5,0),DWbonus[[Bookie]:[Bookie]],$K37)+SUMIFS(LayTable[[Faktisk res]:[Faktisk res]],LayTable[[Dato]:[Dato]],"&gt;="&amp;Q$5,LayTable[[Dato]:[Dato]],"&lt;="&amp;EOMONTH(Q$5,0),LayTable[[Bookmaker]:[Bookmaker]],$K37)+SUMIFS(BetTable[[AR_per_bookie]:[AR_per_bookie]],BetTable[[B1]:[B1]],$K37,BetTable[[Date]:[Date]], "&gt;="&amp;Q$5,BetTable[[Date]:[Date]],"&lt;="&amp;EOMONTH(Q$5,0))+SUMIFS(BetTable[[AR_per_bookie]:[AR_per_bookie]],BetTable[[B2]:[B2]],$K37,BetTable[[Date]:[Date]], "&gt;="&amp;Q$5,BetTable[[Date]:[Date]],"&lt;="&amp;EOMONTH(Q$5,0))+SUMIFS(BetTable[[AR_per_bookie]:[AR_per_bookie]],BetTable[[B3]:[B3]],$K37,BetTable[[Date]:[Date]], "&gt;="&amp;Q$5,BetTable[[Date]:[Date]],"&lt;="&amp;EOMONTH(Q$5,0))</f>
        <v>0</v>
      </c>
      <c r="R37" s="186">
        <f>SUMIFS(DWbonus[[Sum]:[Sum]],DWbonus[[Dato]:[Dato]], "&gt;="&amp;R$5,DWbonus[[Dato]:[Dato]],"&lt;="&amp;EOMONTH(R$5,0),DWbonus[[Bookie]:[Bookie]],$K37)+SUMIFS(LayTable[[Faktisk res]:[Faktisk res]],LayTable[[Dato]:[Dato]],"&gt;="&amp;R$5,LayTable[[Dato]:[Dato]],"&lt;="&amp;EOMONTH(R$5,0),LayTable[[Bookmaker]:[Bookmaker]],$K37)+SUMIFS(BetTable[[AR_per_bookie]:[AR_per_bookie]],BetTable[[B1]:[B1]],$K37,BetTable[[Date]:[Date]], "&gt;="&amp;R$5,BetTable[[Date]:[Date]],"&lt;="&amp;EOMONTH(R$5,0))+SUMIFS(BetTable[[AR_per_bookie]:[AR_per_bookie]],BetTable[[B2]:[B2]],$K37,BetTable[[Date]:[Date]], "&gt;="&amp;R$5,BetTable[[Date]:[Date]],"&lt;="&amp;EOMONTH(R$5,0))+SUMIFS(BetTable[[AR_per_bookie]:[AR_per_bookie]],BetTable[[B3]:[B3]],$K37,BetTable[[Date]:[Date]], "&gt;="&amp;R$5,BetTable[[Date]:[Date]],"&lt;="&amp;EOMONTH(R$5,0))</f>
        <v>0</v>
      </c>
      <c r="S37" s="186">
        <f>SUMIFS(DWbonus[[Sum]:[Sum]],DWbonus[[Dato]:[Dato]], "&gt;="&amp;S$5,DWbonus[[Dato]:[Dato]],"&lt;="&amp;EOMONTH(S$5,0),DWbonus[[Bookie]:[Bookie]],$K37)+SUMIFS(LayTable[[Faktisk res]:[Faktisk res]],LayTable[[Dato]:[Dato]],"&gt;="&amp;S$5,LayTable[[Dato]:[Dato]],"&lt;="&amp;EOMONTH(S$5,0),LayTable[[Bookmaker]:[Bookmaker]],$K37)+SUMIFS(BetTable[[AR_per_bookie]:[AR_per_bookie]],BetTable[[B1]:[B1]],$K37,BetTable[[Date]:[Date]], "&gt;="&amp;S$5,BetTable[[Date]:[Date]],"&lt;="&amp;EOMONTH(S$5,0))+SUMIFS(BetTable[[AR_per_bookie]:[AR_per_bookie]],BetTable[[B2]:[B2]],$K37,BetTable[[Date]:[Date]], "&gt;="&amp;S$5,BetTable[[Date]:[Date]],"&lt;="&amp;EOMONTH(S$5,0))+SUMIFS(BetTable[[AR_per_bookie]:[AR_per_bookie]],BetTable[[B3]:[B3]],$K37,BetTable[[Date]:[Date]], "&gt;="&amp;S$5,BetTable[[Date]:[Date]],"&lt;="&amp;EOMONTH(S$5,0))</f>
        <v>0</v>
      </c>
      <c r="T37" s="186">
        <f>SUMIFS(DWbonus[[Sum]:[Sum]],DWbonus[[Dato]:[Dato]], "&gt;="&amp;T$5,DWbonus[[Dato]:[Dato]],"&lt;="&amp;EOMONTH(T$5,0),DWbonus[[Bookie]:[Bookie]],$K37)+SUMIFS(LayTable[[Faktisk res]:[Faktisk res]],LayTable[[Dato]:[Dato]],"&gt;="&amp;T$5,LayTable[[Dato]:[Dato]],"&lt;="&amp;EOMONTH(T$5,0),LayTable[[Bookmaker]:[Bookmaker]],$K37)+SUMIFS(BetTable[[AR_per_bookie]:[AR_per_bookie]],BetTable[[B1]:[B1]],$K37,BetTable[[Date]:[Date]], "&gt;="&amp;T$5,BetTable[[Date]:[Date]],"&lt;="&amp;EOMONTH(T$5,0))+SUMIFS(BetTable[[AR_per_bookie]:[AR_per_bookie]],BetTable[[B2]:[B2]],$K37,BetTable[[Date]:[Date]], "&gt;="&amp;T$5,BetTable[[Date]:[Date]],"&lt;="&amp;EOMONTH(T$5,0))+SUMIFS(BetTable[[AR_per_bookie]:[AR_per_bookie]],BetTable[[B3]:[B3]],$K37,BetTable[[Date]:[Date]], "&gt;="&amp;T$5,BetTable[[Date]:[Date]],"&lt;="&amp;EOMONTH(T$5,0))</f>
        <v>0</v>
      </c>
      <c r="U37" s="186">
        <f>SUMIFS(DWbonus[[Sum]:[Sum]],DWbonus[[Dato]:[Dato]], "&gt;="&amp;U$5,DWbonus[[Dato]:[Dato]],"&lt;="&amp;EOMONTH(U$5,0),DWbonus[[Bookie]:[Bookie]],$K37)+SUMIFS(LayTable[[Faktisk res]:[Faktisk res]],LayTable[[Dato]:[Dato]],"&gt;="&amp;U$5,LayTable[[Dato]:[Dato]],"&lt;="&amp;EOMONTH(U$5,0),LayTable[[Bookmaker]:[Bookmaker]],$K37)+SUMIFS(BetTable[[AR_per_bookie]:[AR_per_bookie]],BetTable[[B1]:[B1]],$K37,BetTable[[Date]:[Date]], "&gt;="&amp;U$5,BetTable[[Date]:[Date]],"&lt;="&amp;EOMONTH(U$5,0))+SUMIFS(BetTable[[AR_per_bookie]:[AR_per_bookie]],BetTable[[B2]:[B2]],$K37,BetTable[[Date]:[Date]], "&gt;="&amp;U$5,BetTable[[Date]:[Date]],"&lt;="&amp;EOMONTH(U$5,0))+SUMIFS(BetTable[[AR_per_bookie]:[AR_per_bookie]],BetTable[[B3]:[B3]],$K37,BetTable[[Date]:[Date]], "&gt;="&amp;U$5,BetTable[[Date]:[Date]],"&lt;="&amp;EOMONTH(U$5,0))</f>
        <v>0</v>
      </c>
      <c r="V37" s="186">
        <f>SUMIFS(DWbonus[[Sum]:[Sum]],DWbonus[[Dato]:[Dato]], "&gt;="&amp;V$5,DWbonus[[Dato]:[Dato]],"&lt;="&amp;EOMONTH(V$5,0),DWbonus[[Bookie]:[Bookie]],$K37)+SUMIFS(LayTable[[Faktisk res]:[Faktisk res]],LayTable[[Dato]:[Dato]],"&gt;="&amp;V$5,LayTable[[Dato]:[Dato]],"&lt;="&amp;EOMONTH(V$5,0),LayTable[[Bookmaker]:[Bookmaker]],$K37)+SUMIFS(BetTable[[AR_per_bookie]:[AR_per_bookie]],BetTable[[B1]:[B1]],$K37,BetTable[[Date]:[Date]], "&gt;="&amp;V$5,BetTable[[Date]:[Date]],"&lt;="&amp;EOMONTH(V$5,0))+SUMIFS(BetTable[[AR_per_bookie]:[AR_per_bookie]],BetTable[[B2]:[B2]],$K37,BetTable[[Date]:[Date]], "&gt;="&amp;V$5,BetTable[[Date]:[Date]],"&lt;="&amp;EOMONTH(V$5,0))+SUMIFS(BetTable[[AR_per_bookie]:[AR_per_bookie]],BetTable[[B3]:[B3]],$K37,BetTable[[Date]:[Date]], "&gt;="&amp;V$5,BetTable[[Date]:[Date]],"&lt;="&amp;EOMONTH(V$5,0))</f>
        <v>0</v>
      </c>
      <c r="W37" s="186">
        <f>SUMIFS(DWbonus[[Sum]:[Sum]],DWbonus[[Dato]:[Dato]], "&gt;="&amp;W$5,DWbonus[[Dato]:[Dato]],"&lt;="&amp;EOMONTH(W$5,0),DWbonus[[Bookie]:[Bookie]],$K37)+SUMIFS(LayTable[[Faktisk res]:[Faktisk res]],LayTable[[Dato]:[Dato]],"&gt;="&amp;W$5,LayTable[[Dato]:[Dato]],"&lt;="&amp;EOMONTH(W$5,0),LayTable[[Bookmaker]:[Bookmaker]],$K37)+SUMIFS(BetTable[[AR_per_bookie]:[AR_per_bookie]],BetTable[[B1]:[B1]],$K37,BetTable[[Date]:[Date]], "&gt;="&amp;W$5,BetTable[[Date]:[Date]],"&lt;="&amp;EOMONTH(W$5,0))+SUMIFS(BetTable[[AR_per_bookie]:[AR_per_bookie]],BetTable[[B2]:[B2]],$K37,BetTable[[Date]:[Date]], "&gt;="&amp;W$5,BetTable[[Date]:[Date]],"&lt;="&amp;EOMONTH(W$5,0))+SUMIFS(BetTable[[AR_per_bookie]:[AR_per_bookie]],BetTable[[B3]:[B3]],$K37,BetTable[[Date]:[Date]], "&gt;="&amp;W$5,BetTable[[Date]:[Date]],"&lt;="&amp;EOMONTH(W$5,0))</f>
        <v>0</v>
      </c>
    </row>
    <row r="38" spans="1:23">
      <c r="A38" s="174" t="s">
        <v>212</v>
      </c>
      <c r="B38" s="209">
        <v>1</v>
      </c>
      <c r="C38" s="174">
        <v>1000</v>
      </c>
      <c r="E38" s="174" t="s">
        <v>357</v>
      </c>
      <c r="K38" s="174" t="str">
        <f t="array" ref="K38">IFERROR(INDEX(BookieNavn!H$2:H$1251,SMALL(IF(EXACT(LEFT(BookieNavn!H$2:H$1251,2),M$3),ROW(BookieNavn!H$2:H$1251)-ROW(BookieNavn!H$2)+1),ROWS(BookieNavn!H$2:'BookieNavn'!H33))),"")</f>
        <v/>
      </c>
      <c r="L38" s="186">
        <f>SUMIFS(DWbonus[[Sum]:[Sum]],DWbonus[[Dato]:[Dato]], "&gt;="&amp;L$5,DWbonus[[Dato]:[Dato]],"&lt;="&amp;EOMONTH(L$5,0),DWbonus[[Bookie]:[Bookie]],$K38)+SUMIFS(LayTable[[Faktisk res]:[Faktisk res]],LayTable[[Dato]:[Dato]],"&gt;="&amp;L$5,LayTable[[Dato]:[Dato]],"&lt;="&amp;EOMONTH(L$5,0),LayTable[[Bookmaker]:[Bookmaker]],$K38)+SUMIFS(BetTable[[AR_per_bookie]:[AR_per_bookie]],BetTable[[B1]:[B1]],$K38,BetTable[[Date]:[Date]], "&gt;="&amp;L$5,BetTable[[Date]:[Date]],"&lt;="&amp;EOMONTH(L$5,0))+SUMIFS(BetTable[[AR_per_bookie]:[AR_per_bookie]],BetTable[[B2]:[B2]],$K38,BetTable[[Date]:[Date]], "&gt;="&amp;L$5,BetTable[[Date]:[Date]],"&lt;="&amp;EOMONTH(L$5,0))+SUMIFS(BetTable[[AR_per_bookie]:[AR_per_bookie]],BetTable[[B3]:[B3]],$K38,BetTable[[Date]:[Date]], "&gt;="&amp;L$5,BetTable[[Date]:[Date]],"&lt;="&amp;EOMONTH(L$5,0))</f>
        <v>0</v>
      </c>
      <c r="M38" s="186">
        <f>SUMIFS(DWbonus[[Sum]:[Sum]],DWbonus[[Dato]:[Dato]], "&gt;="&amp;M$5,DWbonus[[Dato]:[Dato]],"&lt;="&amp;EOMONTH(M$5,0),DWbonus[[Bookie]:[Bookie]],$K38)+SUMIFS(LayTable[[Faktisk res]:[Faktisk res]],LayTable[[Dato]:[Dato]],"&gt;="&amp;M$5,LayTable[[Dato]:[Dato]],"&lt;="&amp;EOMONTH(M$5,0),LayTable[[Bookmaker]:[Bookmaker]],$K38)+SUMIFS(BetTable[[AR_per_bookie]:[AR_per_bookie]],BetTable[[B1]:[B1]],$K38,BetTable[[Date]:[Date]], "&gt;="&amp;M$5,BetTable[[Date]:[Date]],"&lt;="&amp;EOMONTH(M$5,0))+SUMIFS(BetTable[[AR_per_bookie]:[AR_per_bookie]],BetTable[[B2]:[B2]],$K38,BetTable[[Date]:[Date]], "&gt;="&amp;M$5,BetTable[[Date]:[Date]],"&lt;="&amp;EOMONTH(M$5,0))+SUMIFS(BetTable[[AR_per_bookie]:[AR_per_bookie]],BetTable[[B3]:[B3]],$K38,BetTable[[Date]:[Date]], "&gt;="&amp;M$5,BetTable[[Date]:[Date]],"&lt;="&amp;EOMONTH(M$5,0))</f>
        <v>0</v>
      </c>
      <c r="N38" s="186">
        <f>SUMIFS(DWbonus[[Sum]:[Sum]],DWbonus[[Dato]:[Dato]], "&gt;="&amp;N$5,DWbonus[[Dato]:[Dato]],"&lt;="&amp;EOMONTH(N$5,0),DWbonus[[Bookie]:[Bookie]],$K38)+SUMIFS(LayTable[[Faktisk res]:[Faktisk res]],LayTable[[Dato]:[Dato]],"&gt;="&amp;N$5,LayTable[[Dato]:[Dato]],"&lt;="&amp;EOMONTH(N$5,0),LayTable[[Bookmaker]:[Bookmaker]],$K38)+SUMIFS(BetTable[[AR_per_bookie]:[AR_per_bookie]],BetTable[[B1]:[B1]],$K38,BetTable[[Date]:[Date]], "&gt;="&amp;N$5,BetTable[[Date]:[Date]],"&lt;="&amp;EOMONTH(N$5,0))+SUMIFS(BetTable[[AR_per_bookie]:[AR_per_bookie]],BetTable[[B2]:[B2]],$K38,BetTable[[Date]:[Date]], "&gt;="&amp;N$5,BetTable[[Date]:[Date]],"&lt;="&amp;EOMONTH(N$5,0))+SUMIFS(BetTable[[AR_per_bookie]:[AR_per_bookie]],BetTable[[B3]:[B3]],$K38,BetTable[[Date]:[Date]], "&gt;="&amp;N$5,BetTable[[Date]:[Date]],"&lt;="&amp;EOMONTH(N$5,0))</f>
        <v>0</v>
      </c>
      <c r="O38" s="186">
        <f>SUMIFS(DWbonus[[Sum]:[Sum]],DWbonus[[Dato]:[Dato]], "&gt;="&amp;O$5,DWbonus[[Dato]:[Dato]],"&lt;="&amp;EOMONTH(O$5,0),DWbonus[[Bookie]:[Bookie]],$K38)+SUMIFS(LayTable[[Faktisk res]:[Faktisk res]],LayTable[[Dato]:[Dato]],"&gt;="&amp;O$5,LayTable[[Dato]:[Dato]],"&lt;="&amp;EOMONTH(O$5,0),LayTable[[Bookmaker]:[Bookmaker]],$K38)+SUMIFS(BetTable[[AR_per_bookie]:[AR_per_bookie]],BetTable[[B1]:[B1]],$K38,BetTable[[Date]:[Date]], "&gt;="&amp;O$5,BetTable[[Date]:[Date]],"&lt;="&amp;EOMONTH(O$5,0))+SUMIFS(BetTable[[AR_per_bookie]:[AR_per_bookie]],BetTable[[B2]:[B2]],$K38,BetTable[[Date]:[Date]], "&gt;="&amp;O$5,BetTable[[Date]:[Date]],"&lt;="&amp;EOMONTH(O$5,0))+SUMIFS(BetTable[[AR_per_bookie]:[AR_per_bookie]],BetTable[[B3]:[B3]],$K38,BetTable[[Date]:[Date]], "&gt;="&amp;O$5,BetTable[[Date]:[Date]],"&lt;="&amp;EOMONTH(O$5,0))</f>
        <v>0</v>
      </c>
      <c r="P38" s="186">
        <f>SUMIFS(DWbonus[[Sum]:[Sum]],DWbonus[[Dato]:[Dato]], "&gt;="&amp;P$5,DWbonus[[Dato]:[Dato]],"&lt;="&amp;EOMONTH(P$5,0),DWbonus[[Bookie]:[Bookie]],$K38)+SUMIFS(LayTable[[Faktisk res]:[Faktisk res]],LayTable[[Dato]:[Dato]],"&gt;="&amp;P$5,LayTable[[Dato]:[Dato]],"&lt;="&amp;EOMONTH(P$5,0),LayTable[[Bookmaker]:[Bookmaker]],$K38)+SUMIFS(BetTable[[AR_per_bookie]:[AR_per_bookie]],BetTable[[B1]:[B1]],$K38,BetTable[[Date]:[Date]], "&gt;="&amp;P$5,BetTable[[Date]:[Date]],"&lt;="&amp;EOMONTH(P$5,0))+SUMIFS(BetTable[[AR_per_bookie]:[AR_per_bookie]],BetTable[[B2]:[B2]],$K38,BetTable[[Date]:[Date]], "&gt;="&amp;P$5,BetTable[[Date]:[Date]],"&lt;="&amp;EOMONTH(P$5,0))+SUMIFS(BetTable[[AR_per_bookie]:[AR_per_bookie]],BetTable[[B3]:[B3]],$K38,BetTable[[Date]:[Date]], "&gt;="&amp;P$5,BetTable[[Date]:[Date]],"&lt;="&amp;EOMONTH(P$5,0))</f>
        <v>0</v>
      </c>
      <c r="Q38" s="186">
        <f>SUMIFS(DWbonus[[Sum]:[Sum]],DWbonus[[Dato]:[Dato]], "&gt;="&amp;Q$5,DWbonus[[Dato]:[Dato]],"&lt;="&amp;EOMONTH(Q$5,0),DWbonus[[Bookie]:[Bookie]],$K38)+SUMIFS(LayTable[[Faktisk res]:[Faktisk res]],LayTable[[Dato]:[Dato]],"&gt;="&amp;Q$5,LayTable[[Dato]:[Dato]],"&lt;="&amp;EOMONTH(Q$5,0),LayTable[[Bookmaker]:[Bookmaker]],$K38)+SUMIFS(BetTable[[AR_per_bookie]:[AR_per_bookie]],BetTable[[B1]:[B1]],$K38,BetTable[[Date]:[Date]], "&gt;="&amp;Q$5,BetTable[[Date]:[Date]],"&lt;="&amp;EOMONTH(Q$5,0))+SUMIFS(BetTable[[AR_per_bookie]:[AR_per_bookie]],BetTable[[B2]:[B2]],$K38,BetTable[[Date]:[Date]], "&gt;="&amp;Q$5,BetTable[[Date]:[Date]],"&lt;="&amp;EOMONTH(Q$5,0))+SUMIFS(BetTable[[AR_per_bookie]:[AR_per_bookie]],BetTable[[B3]:[B3]],$K38,BetTable[[Date]:[Date]], "&gt;="&amp;Q$5,BetTable[[Date]:[Date]],"&lt;="&amp;EOMONTH(Q$5,0))</f>
        <v>0</v>
      </c>
      <c r="R38" s="186">
        <f>SUMIFS(DWbonus[[Sum]:[Sum]],DWbonus[[Dato]:[Dato]], "&gt;="&amp;R$5,DWbonus[[Dato]:[Dato]],"&lt;="&amp;EOMONTH(R$5,0),DWbonus[[Bookie]:[Bookie]],$K38)+SUMIFS(LayTable[[Faktisk res]:[Faktisk res]],LayTable[[Dato]:[Dato]],"&gt;="&amp;R$5,LayTable[[Dato]:[Dato]],"&lt;="&amp;EOMONTH(R$5,0),LayTable[[Bookmaker]:[Bookmaker]],$K38)+SUMIFS(BetTable[[AR_per_bookie]:[AR_per_bookie]],BetTable[[B1]:[B1]],$K38,BetTable[[Date]:[Date]], "&gt;="&amp;R$5,BetTable[[Date]:[Date]],"&lt;="&amp;EOMONTH(R$5,0))+SUMIFS(BetTable[[AR_per_bookie]:[AR_per_bookie]],BetTable[[B2]:[B2]],$K38,BetTable[[Date]:[Date]], "&gt;="&amp;R$5,BetTable[[Date]:[Date]],"&lt;="&amp;EOMONTH(R$5,0))+SUMIFS(BetTable[[AR_per_bookie]:[AR_per_bookie]],BetTable[[B3]:[B3]],$K38,BetTable[[Date]:[Date]], "&gt;="&amp;R$5,BetTable[[Date]:[Date]],"&lt;="&amp;EOMONTH(R$5,0))</f>
        <v>0</v>
      </c>
      <c r="S38" s="186">
        <f>SUMIFS(DWbonus[[Sum]:[Sum]],DWbonus[[Dato]:[Dato]], "&gt;="&amp;S$5,DWbonus[[Dato]:[Dato]],"&lt;="&amp;EOMONTH(S$5,0),DWbonus[[Bookie]:[Bookie]],$K38)+SUMIFS(LayTable[[Faktisk res]:[Faktisk res]],LayTable[[Dato]:[Dato]],"&gt;="&amp;S$5,LayTable[[Dato]:[Dato]],"&lt;="&amp;EOMONTH(S$5,0),LayTable[[Bookmaker]:[Bookmaker]],$K38)+SUMIFS(BetTable[[AR_per_bookie]:[AR_per_bookie]],BetTable[[B1]:[B1]],$K38,BetTable[[Date]:[Date]], "&gt;="&amp;S$5,BetTable[[Date]:[Date]],"&lt;="&amp;EOMONTH(S$5,0))+SUMIFS(BetTable[[AR_per_bookie]:[AR_per_bookie]],BetTable[[B2]:[B2]],$K38,BetTable[[Date]:[Date]], "&gt;="&amp;S$5,BetTable[[Date]:[Date]],"&lt;="&amp;EOMONTH(S$5,0))+SUMIFS(BetTable[[AR_per_bookie]:[AR_per_bookie]],BetTable[[B3]:[B3]],$K38,BetTable[[Date]:[Date]], "&gt;="&amp;S$5,BetTable[[Date]:[Date]],"&lt;="&amp;EOMONTH(S$5,0))</f>
        <v>0</v>
      </c>
      <c r="T38" s="186">
        <f>SUMIFS(DWbonus[[Sum]:[Sum]],DWbonus[[Dato]:[Dato]], "&gt;="&amp;T$5,DWbonus[[Dato]:[Dato]],"&lt;="&amp;EOMONTH(T$5,0),DWbonus[[Bookie]:[Bookie]],$K38)+SUMIFS(LayTable[[Faktisk res]:[Faktisk res]],LayTable[[Dato]:[Dato]],"&gt;="&amp;T$5,LayTable[[Dato]:[Dato]],"&lt;="&amp;EOMONTH(T$5,0),LayTable[[Bookmaker]:[Bookmaker]],$K38)+SUMIFS(BetTable[[AR_per_bookie]:[AR_per_bookie]],BetTable[[B1]:[B1]],$K38,BetTable[[Date]:[Date]], "&gt;="&amp;T$5,BetTable[[Date]:[Date]],"&lt;="&amp;EOMONTH(T$5,0))+SUMIFS(BetTable[[AR_per_bookie]:[AR_per_bookie]],BetTable[[B2]:[B2]],$K38,BetTable[[Date]:[Date]], "&gt;="&amp;T$5,BetTable[[Date]:[Date]],"&lt;="&amp;EOMONTH(T$5,0))+SUMIFS(BetTable[[AR_per_bookie]:[AR_per_bookie]],BetTable[[B3]:[B3]],$K38,BetTable[[Date]:[Date]], "&gt;="&amp;T$5,BetTable[[Date]:[Date]],"&lt;="&amp;EOMONTH(T$5,0))</f>
        <v>0</v>
      </c>
      <c r="U38" s="186">
        <f>SUMIFS(DWbonus[[Sum]:[Sum]],DWbonus[[Dato]:[Dato]], "&gt;="&amp;U$5,DWbonus[[Dato]:[Dato]],"&lt;="&amp;EOMONTH(U$5,0),DWbonus[[Bookie]:[Bookie]],$K38)+SUMIFS(LayTable[[Faktisk res]:[Faktisk res]],LayTable[[Dato]:[Dato]],"&gt;="&amp;U$5,LayTable[[Dato]:[Dato]],"&lt;="&amp;EOMONTH(U$5,0),LayTable[[Bookmaker]:[Bookmaker]],$K38)+SUMIFS(BetTable[[AR_per_bookie]:[AR_per_bookie]],BetTable[[B1]:[B1]],$K38,BetTable[[Date]:[Date]], "&gt;="&amp;U$5,BetTable[[Date]:[Date]],"&lt;="&amp;EOMONTH(U$5,0))+SUMIFS(BetTable[[AR_per_bookie]:[AR_per_bookie]],BetTable[[B2]:[B2]],$K38,BetTable[[Date]:[Date]], "&gt;="&amp;U$5,BetTable[[Date]:[Date]],"&lt;="&amp;EOMONTH(U$5,0))+SUMIFS(BetTable[[AR_per_bookie]:[AR_per_bookie]],BetTable[[B3]:[B3]],$K38,BetTable[[Date]:[Date]], "&gt;="&amp;U$5,BetTable[[Date]:[Date]],"&lt;="&amp;EOMONTH(U$5,0))</f>
        <v>0</v>
      </c>
      <c r="V38" s="186">
        <f>SUMIFS(DWbonus[[Sum]:[Sum]],DWbonus[[Dato]:[Dato]], "&gt;="&amp;V$5,DWbonus[[Dato]:[Dato]],"&lt;="&amp;EOMONTH(V$5,0),DWbonus[[Bookie]:[Bookie]],$K38)+SUMIFS(LayTable[[Faktisk res]:[Faktisk res]],LayTable[[Dato]:[Dato]],"&gt;="&amp;V$5,LayTable[[Dato]:[Dato]],"&lt;="&amp;EOMONTH(V$5,0),LayTable[[Bookmaker]:[Bookmaker]],$K38)+SUMIFS(BetTable[[AR_per_bookie]:[AR_per_bookie]],BetTable[[B1]:[B1]],$K38,BetTable[[Date]:[Date]], "&gt;="&amp;V$5,BetTable[[Date]:[Date]],"&lt;="&amp;EOMONTH(V$5,0))+SUMIFS(BetTable[[AR_per_bookie]:[AR_per_bookie]],BetTable[[B2]:[B2]],$K38,BetTable[[Date]:[Date]], "&gt;="&amp;V$5,BetTable[[Date]:[Date]],"&lt;="&amp;EOMONTH(V$5,0))+SUMIFS(BetTable[[AR_per_bookie]:[AR_per_bookie]],BetTable[[B3]:[B3]],$K38,BetTable[[Date]:[Date]], "&gt;="&amp;V$5,BetTable[[Date]:[Date]],"&lt;="&amp;EOMONTH(V$5,0))</f>
        <v>0</v>
      </c>
      <c r="W38" s="186">
        <f>SUMIFS(DWbonus[[Sum]:[Sum]],DWbonus[[Dato]:[Dato]], "&gt;="&amp;W$5,DWbonus[[Dato]:[Dato]],"&lt;="&amp;EOMONTH(W$5,0),DWbonus[[Bookie]:[Bookie]],$K38)+SUMIFS(LayTable[[Faktisk res]:[Faktisk res]],LayTable[[Dato]:[Dato]],"&gt;="&amp;W$5,LayTable[[Dato]:[Dato]],"&lt;="&amp;EOMONTH(W$5,0),LayTable[[Bookmaker]:[Bookmaker]],$K38)+SUMIFS(BetTable[[AR_per_bookie]:[AR_per_bookie]],BetTable[[B1]:[B1]],$K38,BetTable[[Date]:[Date]], "&gt;="&amp;W$5,BetTable[[Date]:[Date]],"&lt;="&amp;EOMONTH(W$5,0))+SUMIFS(BetTable[[AR_per_bookie]:[AR_per_bookie]],BetTable[[B2]:[B2]],$K38,BetTable[[Date]:[Date]], "&gt;="&amp;W$5,BetTable[[Date]:[Date]],"&lt;="&amp;EOMONTH(W$5,0))+SUMIFS(BetTable[[AR_per_bookie]:[AR_per_bookie]],BetTable[[B3]:[B3]],$K38,BetTable[[Date]:[Date]], "&gt;="&amp;W$5,BetTable[[Date]:[Date]],"&lt;="&amp;EOMONTH(W$5,0))</f>
        <v>0</v>
      </c>
    </row>
    <row r="39" spans="1:23">
      <c r="A39" s="174" t="s">
        <v>214</v>
      </c>
      <c r="B39" s="209">
        <v>1</v>
      </c>
      <c r="C39" s="174">
        <v>1000</v>
      </c>
      <c r="E39" s="174" t="s">
        <v>357</v>
      </c>
      <c r="K39" s="174" t="str">
        <f t="array" ref="K39">IFERROR(INDEX(BookieNavn!H$2:H$1251,SMALL(IF(EXACT(LEFT(BookieNavn!H$2:H$1251,2),M$3),ROW(BookieNavn!H$2:H$1251)-ROW(BookieNavn!H$2)+1),ROWS(BookieNavn!H$2:'BookieNavn'!H34))),"")</f>
        <v/>
      </c>
      <c r="L39" s="186">
        <f>SUMIFS(DWbonus[[Sum]:[Sum]],DWbonus[[Dato]:[Dato]], "&gt;="&amp;L$5,DWbonus[[Dato]:[Dato]],"&lt;="&amp;EOMONTH(L$5,0),DWbonus[[Bookie]:[Bookie]],$K39)+SUMIFS(LayTable[[Faktisk res]:[Faktisk res]],LayTable[[Dato]:[Dato]],"&gt;="&amp;L$5,LayTable[[Dato]:[Dato]],"&lt;="&amp;EOMONTH(L$5,0),LayTable[[Bookmaker]:[Bookmaker]],$K39)+SUMIFS(BetTable[[AR_per_bookie]:[AR_per_bookie]],BetTable[[B1]:[B1]],$K39,BetTable[[Date]:[Date]], "&gt;="&amp;L$5,BetTable[[Date]:[Date]],"&lt;="&amp;EOMONTH(L$5,0))+SUMIFS(BetTable[[AR_per_bookie]:[AR_per_bookie]],BetTable[[B2]:[B2]],$K39,BetTable[[Date]:[Date]], "&gt;="&amp;L$5,BetTable[[Date]:[Date]],"&lt;="&amp;EOMONTH(L$5,0))+SUMIFS(BetTable[[AR_per_bookie]:[AR_per_bookie]],BetTable[[B3]:[B3]],$K39,BetTable[[Date]:[Date]], "&gt;="&amp;L$5,BetTable[[Date]:[Date]],"&lt;="&amp;EOMONTH(L$5,0))</f>
        <v>0</v>
      </c>
      <c r="M39" s="186">
        <f>SUMIFS(DWbonus[[Sum]:[Sum]],DWbonus[[Dato]:[Dato]], "&gt;="&amp;M$5,DWbonus[[Dato]:[Dato]],"&lt;="&amp;EOMONTH(M$5,0),DWbonus[[Bookie]:[Bookie]],$K39)+SUMIFS(LayTable[[Faktisk res]:[Faktisk res]],LayTable[[Dato]:[Dato]],"&gt;="&amp;M$5,LayTable[[Dato]:[Dato]],"&lt;="&amp;EOMONTH(M$5,0),LayTable[[Bookmaker]:[Bookmaker]],$K39)+SUMIFS(BetTable[[AR_per_bookie]:[AR_per_bookie]],BetTable[[B1]:[B1]],$K39,BetTable[[Date]:[Date]], "&gt;="&amp;M$5,BetTable[[Date]:[Date]],"&lt;="&amp;EOMONTH(M$5,0))+SUMIFS(BetTable[[AR_per_bookie]:[AR_per_bookie]],BetTable[[B2]:[B2]],$K39,BetTable[[Date]:[Date]], "&gt;="&amp;M$5,BetTable[[Date]:[Date]],"&lt;="&amp;EOMONTH(M$5,0))+SUMIFS(BetTable[[AR_per_bookie]:[AR_per_bookie]],BetTable[[B3]:[B3]],$K39,BetTable[[Date]:[Date]], "&gt;="&amp;M$5,BetTable[[Date]:[Date]],"&lt;="&amp;EOMONTH(M$5,0))</f>
        <v>0</v>
      </c>
      <c r="N39" s="186">
        <f>SUMIFS(DWbonus[[Sum]:[Sum]],DWbonus[[Dato]:[Dato]], "&gt;="&amp;N$5,DWbonus[[Dato]:[Dato]],"&lt;="&amp;EOMONTH(N$5,0),DWbonus[[Bookie]:[Bookie]],$K39)+SUMIFS(LayTable[[Faktisk res]:[Faktisk res]],LayTable[[Dato]:[Dato]],"&gt;="&amp;N$5,LayTable[[Dato]:[Dato]],"&lt;="&amp;EOMONTH(N$5,0),LayTable[[Bookmaker]:[Bookmaker]],$K39)+SUMIFS(BetTable[[AR_per_bookie]:[AR_per_bookie]],BetTable[[B1]:[B1]],$K39,BetTable[[Date]:[Date]], "&gt;="&amp;N$5,BetTable[[Date]:[Date]],"&lt;="&amp;EOMONTH(N$5,0))+SUMIFS(BetTable[[AR_per_bookie]:[AR_per_bookie]],BetTable[[B2]:[B2]],$K39,BetTable[[Date]:[Date]], "&gt;="&amp;N$5,BetTable[[Date]:[Date]],"&lt;="&amp;EOMONTH(N$5,0))+SUMIFS(BetTable[[AR_per_bookie]:[AR_per_bookie]],BetTable[[B3]:[B3]],$K39,BetTable[[Date]:[Date]], "&gt;="&amp;N$5,BetTable[[Date]:[Date]],"&lt;="&amp;EOMONTH(N$5,0))</f>
        <v>0</v>
      </c>
      <c r="O39" s="186">
        <f>SUMIFS(DWbonus[[Sum]:[Sum]],DWbonus[[Dato]:[Dato]], "&gt;="&amp;O$5,DWbonus[[Dato]:[Dato]],"&lt;="&amp;EOMONTH(O$5,0),DWbonus[[Bookie]:[Bookie]],$K39)+SUMIFS(LayTable[[Faktisk res]:[Faktisk res]],LayTable[[Dato]:[Dato]],"&gt;="&amp;O$5,LayTable[[Dato]:[Dato]],"&lt;="&amp;EOMONTH(O$5,0),LayTable[[Bookmaker]:[Bookmaker]],$K39)+SUMIFS(BetTable[[AR_per_bookie]:[AR_per_bookie]],BetTable[[B1]:[B1]],$K39,BetTable[[Date]:[Date]], "&gt;="&amp;O$5,BetTable[[Date]:[Date]],"&lt;="&amp;EOMONTH(O$5,0))+SUMIFS(BetTable[[AR_per_bookie]:[AR_per_bookie]],BetTable[[B2]:[B2]],$K39,BetTable[[Date]:[Date]], "&gt;="&amp;O$5,BetTable[[Date]:[Date]],"&lt;="&amp;EOMONTH(O$5,0))+SUMIFS(BetTable[[AR_per_bookie]:[AR_per_bookie]],BetTable[[B3]:[B3]],$K39,BetTable[[Date]:[Date]], "&gt;="&amp;O$5,BetTable[[Date]:[Date]],"&lt;="&amp;EOMONTH(O$5,0))</f>
        <v>0</v>
      </c>
      <c r="P39" s="186">
        <f>SUMIFS(DWbonus[[Sum]:[Sum]],DWbonus[[Dato]:[Dato]], "&gt;="&amp;P$5,DWbonus[[Dato]:[Dato]],"&lt;="&amp;EOMONTH(P$5,0),DWbonus[[Bookie]:[Bookie]],$K39)+SUMIFS(LayTable[[Faktisk res]:[Faktisk res]],LayTable[[Dato]:[Dato]],"&gt;="&amp;P$5,LayTable[[Dato]:[Dato]],"&lt;="&amp;EOMONTH(P$5,0),LayTable[[Bookmaker]:[Bookmaker]],$K39)+SUMIFS(BetTable[[AR_per_bookie]:[AR_per_bookie]],BetTable[[B1]:[B1]],$K39,BetTable[[Date]:[Date]], "&gt;="&amp;P$5,BetTable[[Date]:[Date]],"&lt;="&amp;EOMONTH(P$5,0))+SUMIFS(BetTable[[AR_per_bookie]:[AR_per_bookie]],BetTable[[B2]:[B2]],$K39,BetTable[[Date]:[Date]], "&gt;="&amp;P$5,BetTable[[Date]:[Date]],"&lt;="&amp;EOMONTH(P$5,0))+SUMIFS(BetTable[[AR_per_bookie]:[AR_per_bookie]],BetTable[[B3]:[B3]],$K39,BetTable[[Date]:[Date]], "&gt;="&amp;P$5,BetTable[[Date]:[Date]],"&lt;="&amp;EOMONTH(P$5,0))</f>
        <v>0</v>
      </c>
      <c r="Q39" s="186">
        <f>SUMIFS(DWbonus[[Sum]:[Sum]],DWbonus[[Dato]:[Dato]], "&gt;="&amp;Q$5,DWbonus[[Dato]:[Dato]],"&lt;="&amp;EOMONTH(Q$5,0),DWbonus[[Bookie]:[Bookie]],$K39)+SUMIFS(LayTable[[Faktisk res]:[Faktisk res]],LayTable[[Dato]:[Dato]],"&gt;="&amp;Q$5,LayTable[[Dato]:[Dato]],"&lt;="&amp;EOMONTH(Q$5,0),LayTable[[Bookmaker]:[Bookmaker]],$K39)+SUMIFS(BetTable[[AR_per_bookie]:[AR_per_bookie]],BetTable[[B1]:[B1]],$K39,BetTable[[Date]:[Date]], "&gt;="&amp;Q$5,BetTable[[Date]:[Date]],"&lt;="&amp;EOMONTH(Q$5,0))+SUMIFS(BetTable[[AR_per_bookie]:[AR_per_bookie]],BetTable[[B2]:[B2]],$K39,BetTable[[Date]:[Date]], "&gt;="&amp;Q$5,BetTable[[Date]:[Date]],"&lt;="&amp;EOMONTH(Q$5,0))+SUMIFS(BetTable[[AR_per_bookie]:[AR_per_bookie]],BetTable[[B3]:[B3]],$K39,BetTable[[Date]:[Date]], "&gt;="&amp;Q$5,BetTable[[Date]:[Date]],"&lt;="&amp;EOMONTH(Q$5,0))</f>
        <v>0</v>
      </c>
      <c r="R39" s="186">
        <f>SUMIFS(DWbonus[[Sum]:[Sum]],DWbonus[[Dato]:[Dato]], "&gt;="&amp;R$5,DWbonus[[Dato]:[Dato]],"&lt;="&amp;EOMONTH(R$5,0),DWbonus[[Bookie]:[Bookie]],$K39)+SUMIFS(LayTable[[Faktisk res]:[Faktisk res]],LayTable[[Dato]:[Dato]],"&gt;="&amp;R$5,LayTable[[Dato]:[Dato]],"&lt;="&amp;EOMONTH(R$5,0),LayTable[[Bookmaker]:[Bookmaker]],$K39)+SUMIFS(BetTable[[AR_per_bookie]:[AR_per_bookie]],BetTable[[B1]:[B1]],$K39,BetTable[[Date]:[Date]], "&gt;="&amp;R$5,BetTable[[Date]:[Date]],"&lt;="&amp;EOMONTH(R$5,0))+SUMIFS(BetTable[[AR_per_bookie]:[AR_per_bookie]],BetTable[[B2]:[B2]],$K39,BetTable[[Date]:[Date]], "&gt;="&amp;R$5,BetTable[[Date]:[Date]],"&lt;="&amp;EOMONTH(R$5,0))+SUMIFS(BetTable[[AR_per_bookie]:[AR_per_bookie]],BetTable[[B3]:[B3]],$K39,BetTable[[Date]:[Date]], "&gt;="&amp;R$5,BetTable[[Date]:[Date]],"&lt;="&amp;EOMONTH(R$5,0))</f>
        <v>0</v>
      </c>
      <c r="S39" s="186">
        <f>SUMIFS(DWbonus[[Sum]:[Sum]],DWbonus[[Dato]:[Dato]], "&gt;="&amp;S$5,DWbonus[[Dato]:[Dato]],"&lt;="&amp;EOMONTH(S$5,0),DWbonus[[Bookie]:[Bookie]],$K39)+SUMIFS(LayTable[[Faktisk res]:[Faktisk res]],LayTable[[Dato]:[Dato]],"&gt;="&amp;S$5,LayTable[[Dato]:[Dato]],"&lt;="&amp;EOMONTH(S$5,0),LayTable[[Bookmaker]:[Bookmaker]],$K39)+SUMIFS(BetTable[[AR_per_bookie]:[AR_per_bookie]],BetTable[[B1]:[B1]],$K39,BetTable[[Date]:[Date]], "&gt;="&amp;S$5,BetTable[[Date]:[Date]],"&lt;="&amp;EOMONTH(S$5,0))+SUMIFS(BetTable[[AR_per_bookie]:[AR_per_bookie]],BetTable[[B2]:[B2]],$K39,BetTable[[Date]:[Date]], "&gt;="&amp;S$5,BetTable[[Date]:[Date]],"&lt;="&amp;EOMONTH(S$5,0))+SUMIFS(BetTable[[AR_per_bookie]:[AR_per_bookie]],BetTable[[B3]:[B3]],$K39,BetTable[[Date]:[Date]], "&gt;="&amp;S$5,BetTable[[Date]:[Date]],"&lt;="&amp;EOMONTH(S$5,0))</f>
        <v>0</v>
      </c>
      <c r="T39" s="186">
        <f>SUMIFS(DWbonus[[Sum]:[Sum]],DWbonus[[Dato]:[Dato]], "&gt;="&amp;T$5,DWbonus[[Dato]:[Dato]],"&lt;="&amp;EOMONTH(T$5,0),DWbonus[[Bookie]:[Bookie]],$K39)+SUMIFS(LayTable[[Faktisk res]:[Faktisk res]],LayTable[[Dato]:[Dato]],"&gt;="&amp;T$5,LayTable[[Dato]:[Dato]],"&lt;="&amp;EOMONTH(T$5,0),LayTable[[Bookmaker]:[Bookmaker]],$K39)+SUMIFS(BetTable[[AR_per_bookie]:[AR_per_bookie]],BetTable[[B1]:[B1]],$K39,BetTable[[Date]:[Date]], "&gt;="&amp;T$5,BetTable[[Date]:[Date]],"&lt;="&amp;EOMONTH(T$5,0))+SUMIFS(BetTable[[AR_per_bookie]:[AR_per_bookie]],BetTable[[B2]:[B2]],$K39,BetTable[[Date]:[Date]], "&gt;="&amp;T$5,BetTable[[Date]:[Date]],"&lt;="&amp;EOMONTH(T$5,0))+SUMIFS(BetTable[[AR_per_bookie]:[AR_per_bookie]],BetTable[[B3]:[B3]],$K39,BetTable[[Date]:[Date]], "&gt;="&amp;T$5,BetTable[[Date]:[Date]],"&lt;="&amp;EOMONTH(T$5,0))</f>
        <v>0</v>
      </c>
      <c r="U39" s="186">
        <f>SUMIFS(DWbonus[[Sum]:[Sum]],DWbonus[[Dato]:[Dato]], "&gt;="&amp;U$5,DWbonus[[Dato]:[Dato]],"&lt;="&amp;EOMONTH(U$5,0),DWbonus[[Bookie]:[Bookie]],$K39)+SUMIFS(LayTable[[Faktisk res]:[Faktisk res]],LayTable[[Dato]:[Dato]],"&gt;="&amp;U$5,LayTable[[Dato]:[Dato]],"&lt;="&amp;EOMONTH(U$5,0),LayTable[[Bookmaker]:[Bookmaker]],$K39)+SUMIFS(BetTable[[AR_per_bookie]:[AR_per_bookie]],BetTable[[B1]:[B1]],$K39,BetTable[[Date]:[Date]], "&gt;="&amp;U$5,BetTable[[Date]:[Date]],"&lt;="&amp;EOMONTH(U$5,0))+SUMIFS(BetTable[[AR_per_bookie]:[AR_per_bookie]],BetTable[[B2]:[B2]],$K39,BetTable[[Date]:[Date]], "&gt;="&amp;U$5,BetTable[[Date]:[Date]],"&lt;="&amp;EOMONTH(U$5,0))+SUMIFS(BetTable[[AR_per_bookie]:[AR_per_bookie]],BetTable[[B3]:[B3]],$K39,BetTable[[Date]:[Date]], "&gt;="&amp;U$5,BetTable[[Date]:[Date]],"&lt;="&amp;EOMONTH(U$5,0))</f>
        <v>0</v>
      </c>
      <c r="V39" s="186">
        <f>SUMIFS(DWbonus[[Sum]:[Sum]],DWbonus[[Dato]:[Dato]], "&gt;="&amp;V$5,DWbonus[[Dato]:[Dato]],"&lt;="&amp;EOMONTH(V$5,0),DWbonus[[Bookie]:[Bookie]],$K39)+SUMIFS(LayTable[[Faktisk res]:[Faktisk res]],LayTable[[Dato]:[Dato]],"&gt;="&amp;V$5,LayTable[[Dato]:[Dato]],"&lt;="&amp;EOMONTH(V$5,0),LayTable[[Bookmaker]:[Bookmaker]],$K39)+SUMIFS(BetTable[[AR_per_bookie]:[AR_per_bookie]],BetTable[[B1]:[B1]],$K39,BetTable[[Date]:[Date]], "&gt;="&amp;V$5,BetTable[[Date]:[Date]],"&lt;="&amp;EOMONTH(V$5,0))+SUMIFS(BetTable[[AR_per_bookie]:[AR_per_bookie]],BetTable[[B2]:[B2]],$K39,BetTable[[Date]:[Date]], "&gt;="&amp;V$5,BetTable[[Date]:[Date]],"&lt;="&amp;EOMONTH(V$5,0))+SUMIFS(BetTable[[AR_per_bookie]:[AR_per_bookie]],BetTable[[B3]:[B3]],$K39,BetTable[[Date]:[Date]], "&gt;="&amp;V$5,BetTable[[Date]:[Date]],"&lt;="&amp;EOMONTH(V$5,0))</f>
        <v>0</v>
      </c>
      <c r="W39" s="186">
        <f>SUMIFS(DWbonus[[Sum]:[Sum]],DWbonus[[Dato]:[Dato]], "&gt;="&amp;W$5,DWbonus[[Dato]:[Dato]],"&lt;="&amp;EOMONTH(W$5,0),DWbonus[[Bookie]:[Bookie]],$K39)+SUMIFS(LayTable[[Faktisk res]:[Faktisk res]],LayTable[[Dato]:[Dato]],"&gt;="&amp;W$5,LayTable[[Dato]:[Dato]],"&lt;="&amp;EOMONTH(W$5,0),LayTable[[Bookmaker]:[Bookmaker]],$K39)+SUMIFS(BetTable[[AR_per_bookie]:[AR_per_bookie]],BetTable[[B1]:[B1]],$K39,BetTable[[Date]:[Date]], "&gt;="&amp;W$5,BetTable[[Date]:[Date]],"&lt;="&amp;EOMONTH(W$5,0))+SUMIFS(BetTable[[AR_per_bookie]:[AR_per_bookie]],BetTable[[B2]:[B2]],$K39,BetTable[[Date]:[Date]], "&gt;="&amp;W$5,BetTable[[Date]:[Date]],"&lt;="&amp;EOMONTH(W$5,0))+SUMIFS(BetTable[[AR_per_bookie]:[AR_per_bookie]],BetTable[[B3]:[B3]],$K39,BetTable[[Date]:[Date]], "&gt;="&amp;W$5,BetTable[[Date]:[Date]],"&lt;="&amp;EOMONTH(W$5,0))</f>
        <v>0</v>
      </c>
    </row>
    <row r="40" spans="1:23">
      <c r="A40" s="174" t="s">
        <v>216</v>
      </c>
      <c r="B40" s="209">
        <v>1</v>
      </c>
      <c r="C40" s="174">
        <v>1000</v>
      </c>
      <c r="E40" s="174" t="s">
        <v>357</v>
      </c>
      <c r="K40" s="174" t="str">
        <f t="array" ref="K40">IFERROR(INDEX(BookieNavn!H$2:H$1251,SMALL(IF(EXACT(LEFT(BookieNavn!H$2:H$1251,2),M$3),ROW(BookieNavn!H$2:H$1251)-ROW(BookieNavn!H$2)+1),ROWS(BookieNavn!H$2:'BookieNavn'!H35))),"")</f>
        <v/>
      </c>
      <c r="L40" s="186">
        <f>SUMIFS(DWbonus[[Sum]:[Sum]],DWbonus[[Dato]:[Dato]], "&gt;="&amp;L$5,DWbonus[[Dato]:[Dato]],"&lt;="&amp;EOMONTH(L$5,0),DWbonus[[Bookie]:[Bookie]],$K40)+SUMIFS(LayTable[[Faktisk res]:[Faktisk res]],LayTable[[Dato]:[Dato]],"&gt;="&amp;L$5,LayTable[[Dato]:[Dato]],"&lt;="&amp;EOMONTH(L$5,0),LayTable[[Bookmaker]:[Bookmaker]],$K40)+SUMIFS(BetTable[[AR_per_bookie]:[AR_per_bookie]],BetTable[[B1]:[B1]],$K40,BetTable[[Date]:[Date]], "&gt;="&amp;L$5,BetTable[[Date]:[Date]],"&lt;="&amp;EOMONTH(L$5,0))+SUMIFS(BetTable[[AR_per_bookie]:[AR_per_bookie]],BetTable[[B2]:[B2]],$K40,BetTable[[Date]:[Date]], "&gt;="&amp;L$5,BetTable[[Date]:[Date]],"&lt;="&amp;EOMONTH(L$5,0))+SUMIFS(BetTable[[AR_per_bookie]:[AR_per_bookie]],BetTable[[B3]:[B3]],$K40,BetTable[[Date]:[Date]], "&gt;="&amp;L$5,BetTable[[Date]:[Date]],"&lt;="&amp;EOMONTH(L$5,0))</f>
        <v>0</v>
      </c>
      <c r="M40" s="186">
        <f>SUMIFS(DWbonus[[Sum]:[Sum]],DWbonus[[Dato]:[Dato]], "&gt;="&amp;M$5,DWbonus[[Dato]:[Dato]],"&lt;="&amp;EOMONTH(M$5,0),DWbonus[[Bookie]:[Bookie]],$K40)+SUMIFS(LayTable[[Faktisk res]:[Faktisk res]],LayTable[[Dato]:[Dato]],"&gt;="&amp;M$5,LayTable[[Dato]:[Dato]],"&lt;="&amp;EOMONTH(M$5,0),LayTable[[Bookmaker]:[Bookmaker]],$K40)+SUMIFS(BetTable[[AR_per_bookie]:[AR_per_bookie]],BetTable[[B1]:[B1]],$K40,BetTable[[Date]:[Date]], "&gt;="&amp;M$5,BetTable[[Date]:[Date]],"&lt;="&amp;EOMONTH(M$5,0))+SUMIFS(BetTable[[AR_per_bookie]:[AR_per_bookie]],BetTable[[B2]:[B2]],$K40,BetTable[[Date]:[Date]], "&gt;="&amp;M$5,BetTable[[Date]:[Date]],"&lt;="&amp;EOMONTH(M$5,0))+SUMIFS(BetTable[[AR_per_bookie]:[AR_per_bookie]],BetTable[[B3]:[B3]],$K40,BetTable[[Date]:[Date]], "&gt;="&amp;M$5,BetTable[[Date]:[Date]],"&lt;="&amp;EOMONTH(M$5,0))</f>
        <v>0</v>
      </c>
      <c r="N40" s="186">
        <f>SUMIFS(DWbonus[[Sum]:[Sum]],DWbonus[[Dato]:[Dato]], "&gt;="&amp;N$5,DWbonus[[Dato]:[Dato]],"&lt;="&amp;EOMONTH(N$5,0),DWbonus[[Bookie]:[Bookie]],$K40)+SUMIFS(LayTable[[Faktisk res]:[Faktisk res]],LayTable[[Dato]:[Dato]],"&gt;="&amp;N$5,LayTable[[Dato]:[Dato]],"&lt;="&amp;EOMONTH(N$5,0),LayTable[[Bookmaker]:[Bookmaker]],$K40)+SUMIFS(BetTable[[AR_per_bookie]:[AR_per_bookie]],BetTable[[B1]:[B1]],$K40,BetTable[[Date]:[Date]], "&gt;="&amp;N$5,BetTable[[Date]:[Date]],"&lt;="&amp;EOMONTH(N$5,0))+SUMIFS(BetTable[[AR_per_bookie]:[AR_per_bookie]],BetTable[[B2]:[B2]],$K40,BetTable[[Date]:[Date]], "&gt;="&amp;N$5,BetTable[[Date]:[Date]],"&lt;="&amp;EOMONTH(N$5,0))+SUMIFS(BetTable[[AR_per_bookie]:[AR_per_bookie]],BetTable[[B3]:[B3]],$K40,BetTable[[Date]:[Date]], "&gt;="&amp;N$5,BetTable[[Date]:[Date]],"&lt;="&amp;EOMONTH(N$5,0))</f>
        <v>0</v>
      </c>
      <c r="O40" s="186">
        <f>SUMIFS(DWbonus[[Sum]:[Sum]],DWbonus[[Dato]:[Dato]], "&gt;="&amp;O$5,DWbonus[[Dato]:[Dato]],"&lt;="&amp;EOMONTH(O$5,0),DWbonus[[Bookie]:[Bookie]],$K40)+SUMIFS(LayTable[[Faktisk res]:[Faktisk res]],LayTable[[Dato]:[Dato]],"&gt;="&amp;O$5,LayTable[[Dato]:[Dato]],"&lt;="&amp;EOMONTH(O$5,0),LayTable[[Bookmaker]:[Bookmaker]],$K40)+SUMIFS(BetTable[[AR_per_bookie]:[AR_per_bookie]],BetTable[[B1]:[B1]],$K40,BetTable[[Date]:[Date]], "&gt;="&amp;O$5,BetTable[[Date]:[Date]],"&lt;="&amp;EOMONTH(O$5,0))+SUMIFS(BetTable[[AR_per_bookie]:[AR_per_bookie]],BetTable[[B2]:[B2]],$K40,BetTable[[Date]:[Date]], "&gt;="&amp;O$5,BetTable[[Date]:[Date]],"&lt;="&amp;EOMONTH(O$5,0))+SUMIFS(BetTable[[AR_per_bookie]:[AR_per_bookie]],BetTable[[B3]:[B3]],$K40,BetTable[[Date]:[Date]], "&gt;="&amp;O$5,BetTable[[Date]:[Date]],"&lt;="&amp;EOMONTH(O$5,0))</f>
        <v>0</v>
      </c>
      <c r="P40" s="186">
        <f>SUMIFS(DWbonus[[Sum]:[Sum]],DWbonus[[Dato]:[Dato]], "&gt;="&amp;P$5,DWbonus[[Dato]:[Dato]],"&lt;="&amp;EOMONTH(P$5,0),DWbonus[[Bookie]:[Bookie]],$K40)+SUMIFS(LayTable[[Faktisk res]:[Faktisk res]],LayTable[[Dato]:[Dato]],"&gt;="&amp;P$5,LayTable[[Dato]:[Dato]],"&lt;="&amp;EOMONTH(P$5,0),LayTable[[Bookmaker]:[Bookmaker]],$K40)+SUMIFS(BetTable[[AR_per_bookie]:[AR_per_bookie]],BetTable[[B1]:[B1]],$K40,BetTable[[Date]:[Date]], "&gt;="&amp;P$5,BetTable[[Date]:[Date]],"&lt;="&amp;EOMONTH(P$5,0))+SUMIFS(BetTable[[AR_per_bookie]:[AR_per_bookie]],BetTable[[B2]:[B2]],$K40,BetTable[[Date]:[Date]], "&gt;="&amp;P$5,BetTable[[Date]:[Date]],"&lt;="&amp;EOMONTH(P$5,0))+SUMIFS(BetTable[[AR_per_bookie]:[AR_per_bookie]],BetTable[[B3]:[B3]],$K40,BetTable[[Date]:[Date]], "&gt;="&amp;P$5,BetTable[[Date]:[Date]],"&lt;="&amp;EOMONTH(P$5,0))</f>
        <v>0</v>
      </c>
      <c r="Q40" s="186">
        <f>SUMIFS(DWbonus[[Sum]:[Sum]],DWbonus[[Dato]:[Dato]], "&gt;="&amp;Q$5,DWbonus[[Dato]:[Dato]],"&lt;="&amp;EOMONTH(Q$5,0),DWbonus[[Bookie]:[Bookie]],$K40)+SUMIFS(LayTable[[Faktisk res]:[Faktisk res]],LayTable[[Dato]:[Dato]],"&gt;="&amp;Q$5,LayTable[[Dato]:[Dato]],"&lt;="&amp;EOMONTH(Q$5,0),LayTable[[Bookmaker]:[Bookmaker]],$K40)+SUMIFS(BetTable[[AR_per_bookie]:[AR_per_bookie]],BetTable[[B1]:[B1]],$K40,BetTable[[Date]:[Date]], "&gt;="&amp;Q$5,BetTable[[Date]:[Date]],"&lt;="&amp;EOMONTH(Q$5,0))+SUMIFS(BetTable[[AR_per_bookie]:[AR_per_bookie]],BetTable[[B2]:[B2]],$K40,BetTable[[Date]:[Date]], "&gt;="&amp;Q$5,BetTable[[Date]:[Date]],"&lt;="&amp;EOMONTH(Q$5,0))+SUMIFS(BetTable[[AR_per_bookie]:[AR_per_bookie]],BetTable[[B3]:[B3]],$K40,BetTable[[Date]:[Date]], "&gt;="&amp;Q$5,BetTable[[Date]:[Date]],"&lt;="&amp;EOMONTH(Q$5,0))</f>
        <v>0</v>
      </c>
      <c r="R40" s="186">
        <f>SUMIFS(DWbonus[[Sum]:[Sum]],DWbonus[[Dato]:[Dato]], "&gt;="&amp;R$5,DWbonus[[Dato]:[Dato]],"&lt;="&amp;EOMONTH(R$5,0),DWbonus[[Bookie]:[Bookie]],$K40)+SUMIFS(LayTable[[Faktisk res]:[Faktisk res]],LayTable[[Dato]:[Dato]],"&gt;="&amp;R$5,LayTable[[Dato]:[Dato]],"&lt;="&amp;EOMONTH(R$5,0),LayTable[[Bookmaker]:[Bookmaker]],$K40)+SUMIFS(BetTable[[AR_per_bookie]:[AR_per_bookie]],BetTable[[B1]:[B1]],$K40,BetTable[[Date]:[Date]], "&gt;="&amp;R$5,BetTable[[Date]:[Date]],"&lt;="&amp;EOMONTH(R$5,0))+SUMIFS(BetTable[[AR_per_bookie]:[AR_per_bookie]],BetTable[[B2]:[B2]],$K40,BetTable[[Date]:[Date]], "&gt;="&amp;R$5,BetTable[[Date]:[Date]],"&lt;="&amp;EOMONTH(R$5,0))+SUMIFS(BetTable[[AR_per_bookie]:[AR_per_bookie]],BetTable[[B3]:[B3]],$K40,BetTable[[Date]:[Date]], "&gt;="&amp;R$5,BetTable[[Date]:[Date]],"&lt;="&amp;EOMONTH(R$5,0))</f>
        <v>0</v>
      </c>
      <c r="S40" s="186">
        <f>SUMIFS(DWbonus[[Sum]:[Sum]],DWbonus[[Dato]:[Dato]], "&gt;="&amp;S$5,DWbonus[[Dato]:[Dato]],"&lt;="&amp;EOMONTH(S$5,0),DWbonus[[Bookie]:[Bookie]],$K40)+SUMIFS(LayTable[[Faktisk res]:[Faktisk res]],LayTable[[Dato]:[Dato]],"&gt;="&amp;S$5,LayTable[[Dato]:[Dato]],"&lt;="&amp;EOMONTH(S$5,0),LayTable[[Bookmaker]:[Bookmaker]],$K40)+SUMIFS(BetTable[[AR_per_bookie]:[AR_per_bookie]],BetTable[[B1]:[B1]],$K40,BetTable[[Date]:[Date]], "&gt;="&amp;S$5,BetTable[[Date]:[Date]],"&lt;="&amp;EOMONTH(S$5,0))+SUMIFS(BetTable[[AR_per_bookie]:[AR_per_bookie]],BetTable[[B2]:[B2]],$K40,BetTable[[Date]:[Date]], "&gt;="&amp;S$5,BetTable[[Date]:[Date]],"&lt;="&amp;EOMONTH(S$5,0))+SUMIFS(BetTable[[AR_per_bookie]:[AR_per_bookie]],BetTable[[B3]:[B3]],$K40,BetTable[[Date]:[Date]], "&gt;="&amp;S$5,BetTable[[Date]:[Date]],"&lt;="&amp;EOMONTH(S$5,0))</f>
        <v>0</v>
      </c>
      <c r="T40" s="186">
        <f>SUMIFS(DWbonus[[Sum]:[Sum]],DWbonus[[Dato]:[Dato]], "&gt;="&amp;T$5,DWbonus[[Dato]:[Dato]],"&lt;="&amp;EOMONTH(T$5,0),DWbonus[[Bookie]:[Bookie]],$K40)+SUMIFS(LayTable[[Faktisk res]:[Faktisk res]],LayTable[[Dato]:[Dato]],"&gt;="&amp;T$5,LayTable[[Dato]:[Dato]],"&lt;="&amp;EOMONTH(T$5,0),LayTable[[Bookmaker]:[Bookmaker]],$K40)+SUMIFS(BetTable[[AR_per_bookie]:[AR_per_bookie]],BetTable[[B1]:[B1]],$K40,BetTable[[Date]:[Date]], "&gt;="&amp;T$5,BetTable[[Date]:[Date]],"&lt;="&amp;EOMONTH(T$5,0))+SUMIFS(BetTable[[AR_per_bookie]:[AR_per_bookie]],BetTable[[B2]:[B2]],$K40,BetTable[[Date]:[Date]], "&gt;="&amp;T$5,BetTable[[Date]:[Date]],"&lt;="&amp;EOMONTH(T$5,0))+SUMIFS(BetTable[[AR_per_bookie]:[AR_per_bookie]],BetTable[[B3]:[B3]],$K40,BetTable[[Date]:[Date]], "&gt;="&amp;T$5,BetTable[[Date]:[Date]],"&lt;="&amp;EOMONTH(T$5,0))</f>
        <v>0</v>
      </c>
      <c r="U40" s="186">
        <f>SUMIFS(DWbonus[[Sum]:[Sum]],DWbonus[[Dato]:[Dato]], "&gt;="&amp;U$5,DWbonus[[Dato]:[Dato]],"&lt;="&amp;EOMONTH(U$5,0),DWbonus[[Bookie]:[Bookie]],$K40)+SUMIFS(LayTable[[Faktisk res]:[Faktisk res]],LayTable[[Dato]:[Dato]],"&gt;="&amp;U$5,LayTable[[Dato]:[Dato]],"&lt;="&amp;EOMONTH(U$5,0),LayTable[[Bookmaker]:[Bookmaker]],$K40)+SUMIFS(BetTable[[AR_per_bookie]:[AR_per_bookie]],BetTable[[B1]:[B1]],$K40,BetTable[[Date]:[Date]], "&gt;="&amp;U$5,BetTable[[Date]:[Date]],"&lt;="&amp;EOMONTH(U$5,0))+SUMIFS(BetTable[[AR_per_bookie]:[AR_per_bookie]],BetTable[[B2]:[B2]],$K40,BetTable[[Date]:[Date]], "&gt;="&amp;U$5,BetTable[[Date]:[Date]],"&lt;="&amp;EOMONTH(U$5,0))+SUMIFS(BetTable[[AR_per_bookie]:[AR_per_bookie]],BetTable[[B3]:[B3]],$K40,BetTable[[Date]:[Date]], "&gt;="&amp;U$5,BetTable[[Date]:[Date]],"&lt;="&amp;EOMONTH(U$5,0))</f>
        <v>0</v>
      </c>
      <c r="V40" s="186">
        <f>SUMIFS(DWbonus[[Sum]:[Sum]],DWbonus[[Dato]:[Dato]], "&gt;="&amp;V$5,DWbonus[[Dato]:[Dato]],"&lt;="&amp;EOMONTH(V$5,0),DWbonus[[Bookie]:[Bookie]],$K40)+SUMIFS(LayTable[[Faktisk res]:[Faktisk res]],LayTable[[Dato]:[Dato]],"&gt;="&amp;V$5,LayTable[[Dato]:[Dato]],"&lt;="&amp;EOMONTH(V$5,0),LayTable[[Bookmaker]:[Bookmaker]],$K40)+SUMIFS(BetTable[[AR_per_bookie]:[AR_per_bookie]],BetTable[[B1]:[B1]],$K40,BetTable[[Date]:[Date]], "&gt;="&amp;V$5,BetTable[[Date]:[Date]],"&lt;="&amp;EOMONTH(V$5,0))+SUMIFS(BetTable[[AR_per_bookie]:[AR_per_bookie]],BetTable[[B2]:[B2]],$K40,BetTable[[Date]:[Date]], "&gt;="&amp;V$5,BetTable[[Date]:[Date]],"&lt;="&amp;EOMONTH(V$5,0))+SUMIFS(BetTable[[AR_per_bookie]:[AR_per_bookie]],BetTable[[B3]:[B3]],$K40,BetTable[[Date]:[Date]], "&gt;="&amp;V$5,BetTable[[Date]:[Date]],"&lt;="&amp;EOMONTH(V$5,0))</f>
        <v>0</v>
      </c>
      <c r="W40" s="186">
        <f>SUMIFS(DWbonus[[Sum]:[Sum]],DWbonus[[Dato]:[Dato]], "&gt;="&amp;W$5,DWbonus[[Dato]:[Dato]],"&lt;="&amp;EOMONTH(W$5,0),DWbonus[[Bookie]:[Bookie]],$K40)+SUMIFS(LayTable[[Faktisk res]:[Faktisk res]],LayTable[[Dato]:[Dato]],"&gt;="&amp;W$5,LayTable[[Dato]:[Dato]],"&lt;="&amp;EOMONTH(W$5,0),LayTable[[Bookmaker]:[Bookmaker]],$K40)+SUMIFS(BetTable[[AR_per_bookie]:[AR_per_bookie]],BetTable[[B1]:[B1]],$K40,BetTable[[Date]:[Date]], "&gt;="&amp;W$5,BetTable[[Date]:[Date]],"&lt;="&amp;EOMONTH(W$5,0))+SUMIFS(BetTable[[AR_per_bookie]:[AR_per_bookie]],BetTable[[B2]:[B2]],$K40,BetTable[[Date]:[Date]], "&gt;="&amp;W$5,BetTable[[Date]:[Date]],"&lt;="&amp;EOMONTH(W$5,0))+SUMIFS(BetTable[[AR_per_bookie]:[AR_per_bookie]],BetTable[[B3]:[B3]],$K40,BetTable[[Date]:[Date]], "&gt;="&amp;W$5,BetTable[[Date]:[Date]],"&lt;="&amp;EOMONTH(W$5,0))</f>
        <v>0</v>
      </c>
    </row>
    <row r="41" spans="1:23">
      <c r="A41" s="174" t="s">
        <v>91</v>
      </c>
      <c r="B41" s="209">
        <v>1</v>
      </c>
      <c r="C41" s="174">
        <v>5000</v>
      </c>
      <c r="D41" s="174" t="s">
        <v>395</v>
      </c>
      <c r="E41" s="174" t="s">
        <v>357</v>
      </c>
      <c r="K41" s="174" t="str">
        <f t="array" ref="K41">IFERROR(INDEX(BookieNavn!H$2:H$1251,SMALL(IF(EXACT(LEFT(BookieNavn!H$2:H$1251,2),M$3),ROW(BookieNavn!H$2:H$1251)-ROW(BookieNavn!H$2)+1),ROWS(BookieNavn!H$2:'BookieNavn'!H36))),"")</f>
        <v/>
      </c>
      <c r="L41" s="186">
        <f>SUMIFS(DWbonus[[Sum]:[Sum]],DWbonus[[Dato]:[Dato]], "&gt;="&amp;L$5,DWbonus[[Dato]:[Dato]],"&lt;="&amp;EOMONTH(L$5,0),DWbonus[[Bookie]:[Bookie]],$K41)+SUMIFS(LayTable[[Faktisk res]:[Faktisk res]],LayTable[[Dato]:[Dato]],"&gt;="&amp;L$5,LayTable[[Dato]:[Dato]],"&lt;="&amp;EOMONTH(L$5,0),LayTable[[Bookmaker]:[Bookmaker]],$K41)+SUMIFS(BetTable[[AR_per_bookie]:[AR_per_bookie]],BetTable[[B1]:[B1]],$K41,BetTable[[Date]:[Date]], "&gt;="&amp;L$5,BetTable[[Date]:[Date]],"&lt;="&amp;EOMONTH(L$5,0))+SUMIFS(BetTable[[AR_per_bookie]:[AR_per_bookie]],BetTable[[B2]:[B2]],$K41,BetTable[[Date]:[Date]], "&gt;="&amp;L$5,BetTable[[Date]:[Date]],"&lt;="&amp;EOMONTH(L$5,0))+SUMIFS(BetTable[[AR_per_bookie]:[AR_per_bookie]],BetTable[[B3]:[B3]],$K41,BetTable[[Date]:[Date]], "&gt;="&amp;L$5,BetTable[[Date]:[Date]],"&lt;="&amp;EOMONTH(L$5,0))</f>
        <v>0</v>
      </c>
      <c r="M41" s="186">
        <f>SUMIFS(DWbonus[[Sum]:[Sum]],DWbonus[[Dato]:[Dato]], "&gt;="&amp;M$5,DWbonus[[Dato]:[Dato]],"&lt;="&amp;EOMONTH(M$5,0),DWbonus[[Bookie]:[Bookie]],$K41)+SUMIFS(LayTable[[Faktisk res]:[Faktisk res]],LayTable[[Dato]:[Dato]],"&gt;="&amp;M$5,LayTable[[Dato]:[Dato]],"&lt;="&amp;EOMONTH(M$5,0),LayTable[[Bookmaker]:[Bookmaker]],$K41)+SUMIFS(BetTable[[AR_per_bookie]:[AR_per_bookie]],BetTable[[B1]:[B1]],$K41,BetTable[[Date]:[Date]], "&gt;="&amp;M$5,BetTable[[Date]:[Date]],"&lt;="&amp;EOMONTH(M$5,0))+SUMIFS(BetTable[[AR_per_bookie]:[AR_per_bookie]],BetTable[[B2]:[B2]],$K41,BetTable[[Date]:[Date]], "&gt;="&amp;M$5,BetTable[[Date]:[Date]],"&lt;="&amp;EOMONTH(M$5,0))+SUMIFS(BetTable[[AR_per_bookie]:[AR_per_bookie]],BetTable[[B3]:[B3]],$K41,BetTable[[Date]:[Date]], "&gt;="&amp;M$5,BetTable[[Date]:[Date]],"&lt;="&amp;EOMONTH(M$5,0))</f>
        <v>0</v>
      </c>
      <c r="N41" s="186">
        <f>SUMIFS(DWbonus[[Sum]:[Sum]],DWbonus[[Dato]:[Dato]], "&gt;="&amp;N$5,DWbonus[[Dato]:[Dato]],"&lt;="&amp;EOMONTH(N$5,0),DWbonus[[Bookie]:[Bookie]],$K41)+SUMIFS(LayTable[[Faktisk res]:[Faktisk res]],LayTable[[Dato]:[Dato]],"&gt;="&amp;N$5,LayTable[[Dato]:[Dato]],"&lt;="&amp;EOMONTH(N$5,0),LayTable[[Bookmaker]:[Bookmaker]],$K41)+SUMIFS(BetTable[[AR_per_bookie]:[AR_per_bookie]],BetTable[[B1]:[B1]],$K41,BetTable[[Date]:[Date]], "&gt;="&amp;N$5,BetTable[[Date]:[Date]],"&lt;="&amp;EOMONTH(N$5,0))+SUMIFS(BetTable[[AR_per_bookie]:[AR_per_bookie]],BetTable[[B2]:[B2]],$K41,BetTable[[Date]:[Date]], "&gt;="&amp;N$5,BetTable[[Date]:[Date]],"&lt;="&amp;EOMONTH(N$5,0))+SUMIFS(BetTable[[AR_per_bookie]:[AR_per_bookie]],BetTable[[B3]:[B3]],$K41,BetTable[[Date]:[Date]], "&gt;="&amp;N$5,BetTable[[Date]:[Date]],"&lt;="&amp;EOMONTH(N$5,0))</f>
        <v>0</v>
      </c>
      <c r="O41" s="186">
        <f>SUMIFS(DWbonus[[Sum]:[Sum]],DWbonus[[Dato]:[Dato]], "&gt;="&amp;O$5,DWbonus[[Dato]:[Dato]],"&lt;="&amp;EOMONTH(O$5,0),DWbonus[[Bookie]:[Bookie]],$K41)+SUMIFS(LayTable[[Faktisk res]:[Faktisk res]],LayTable[[Dato]:[Dato]],"&gt;="&amp;O$5,LayTable[[Dato]:[Dato]],"&lt;="&amp;EOMONTH(O$5,0),LayTable[[Bookmaker]:[Bookmaker]],$K41)+SUMIFS(BetTable[[AR_per_bookie]:[AR_per_bookie]],BetTable[[B1]:[B1]],$K41,BetTable[[Date]:[Date]], "&gt;="&amp;O$5,BetTable[[Date]:[Date]],"&lt;="&amp;EOMONTH(O$5,0))+SUMIFS(BetTable[[AR_per_bookie]:[AR_per_bookie]],BetTable[[B2]:[B2]],$K41,BetTable[[Date]:[Date]], "&gt;="&amp;O$5,BetTable[[Date]:[Date]],"&lt;="&amp;EOMONTH(O$5,0))+SUMIFS(BetTable[[AR_per_bookie]:[AR_per_bookie]],BetTable[[B3]:[B3]],$K41,BetTable[[Date]:[Date]], "&gt;="&amp;O$5,BetTable[[Date]:[Date]],"&lt;="&amp;EOMONTH(O$5,0))</f>
        <v>0</v>
      </c>
      <c r="P41" s="186">
        <f>SUMIFS(DWbonus[[Sum]:[Sum]],DWbonus[[Dato]:[Dato]], "&gt;="&amp;P$5,DWbonus[[Dato]:[Dato]],"&lt;="&amp;EOMONTH(P$5,0),DWbonus[[Bookie]:[Bookie]],$K41)+SUMIFS(LayTable[[Faktisk res]:[Faktisk res]],LayTable[[Dato]:[Dato]],"&gt;="&amp;P$5,LayTable[[Dato]:[Dato]],"&lt;="&amp;EOMONTH(P$5,0),LayTable[[Bookmaker]:[Bookmaker]],$K41)+SUMIFS(BetTable[[AR_per_bookie]:[AR_per_bookie]],BetTable[[B1]:[B1]],$K41,BetTable[[Date]:[Date]], "&gt;="&amp;P$5,BetTable[[Date]:[Date]],"&lt;="&amp;EOMONTH(P$5,0))+SUMIFS(BetTable[[AR_per_bookie]:[AR_per_bookie]],BetTable[[B2]:[B2]],$K41,BetTable[[Date]:[Date]], "&gt;="&amp;P$5,BetTable[[Date]:[Date]],"&lt;="&amp;EOMONTH(P$5,0))+SUMIFS(BetTable[[AR_per_bookie]:[AR_per_bookie]],BetTable[[B3]:[B3]],$K41,BetTable[[Date]:[Date]], "&gt;="&amp;P$5,BetTable[[Date]:[Date]],"&lt;="&amp;EOMONTH(P$5,0))</f>
        <v>0</v>
      </c>
      <c r="Q41" s="186">
        <f>SUMIFS(DWbonus[[Sum]:[Sum]],DWbonus[[Dato]:[Dato]], "&gt;="&amp;Q$5,DWbonus[[Dato]:[Dato]],"&lt;="&amp;EOMONTH(Q$5,0),DWbonus[[Bookie]:[Bookie]],$K41)+SUMIFS(LayTable[[Faktisk res]:[Faktisk res]],LayTable[[Dato]:[Dato]],"&gt;="&amp;Q$5,LayTable[[Dato]:[Dato]],"&lt;="&amp;EOMONTH(Q$5,0),LayTable[[Bookmaker]:[Bookmaker]],$K41)+SUMIFS(BetTable[[AR_per_bookie]:[AR_per_bookie]],BetTable[[B1]:[B1]],$K41,BetTable[[Date]:[Date]], "&gt;="&amp;Q$5,BetTable[[Date]:[Date]],"&lt;="&amp;EOMONTH(Q$5,0))+SUMIFS(BetTable[[AR_per_bookie]:[AR_per_bookie]],BetTable[[B2]:[B2]],$K41,BetTable[[Date]:[Date]], "&gt;="&amp;Q$5,BetTable[[Date]:[Date]],"&lt;="&amp;EOMONTH(Q$5,0))+SUMIFS(BetTable[[AR_per_bookie]:[AR_per_bookie]],BetTable[[B3]:[B3]],$K41,BetTable[[Date]:[Date]], "&gt;="&amp;Q$5,BetTable[[Date]:[Date]],"&lt;="&amp;EOMONTH(Q$5,0))</f>
        <v>0</v>
      </c>
      <c r="R41" s="186">
        <f>SUMIFS(DWbonus[[Sum]:[Sum]],DWbonus[[Dato]:[Dato]], "&gt;="&amp;R$5,DWbonus[[Dato]:[Dato]],"&lt;="&amp;EOMONTH(R$5,0),DWbonus[[Bookie]:[Bookie]],$K41)+SUMIFS(LayTable[[Faktisk res]:[Faktisk res]],LayTable[[Dato]:[Dato]],"&gt;="&amp;R$5,LayTable[[Dato]:[Dato]],"&lt;="&amp;EOMONTH(R$5,0),LayTable[[Bookmaker]:[Bookmaker]],$K41)+SUMIFS(BetTable[[AR_per_bookie]:[AR_per_bookie]],BetTable[[B1]:[B1]],$K41,BetTable[[Date]:[Date]], "&gt;="&amp;R$5,BetTable[[Date]:[Date]],"&lt;="&amp;EOMONTH(R$5,0))+SUMIFS(BetTable[[AR_per_bookie]:[AR_per_bookie]],BetTable[[B2]:[B2]],$K41,BetTable[[Date]:[Date]], "&gt;="&amp;R$5,BetTable[[Date]:[Date]],"&lt;="&amp;EOMONTH(R$5,0))+SUMIFS(BetTable[[AR_per_bookie]:[AR_per_bookie]],BetTable[[B3]:[B3]],$K41,BetTable[[Date]:[Date]], "&gt;="&amp;R$5,BetTable[[Date]:[Date]],"&lt;="&amp;EOMONTH(R$5,0))</f>
        <v>0</v>
      </c>
      <c r="S41" s="186">
        <f>SUMIFS(DWbonus[[Sum]:[Sum]],DWbonus[[Dato]:[Dato]], "&gt;="&amp;S$5,DWbonus[[Dato]:[Dato]],"&lt;="&amp;EOMONTH(S$5,0),DWbonus[[Bookie]:[Bookie]],$K41)+SUMIFS(LayTable[[Faktisk res]:[Faktisk res]],LayTable[[Dato]:[Dato]],"&gt;="&amp;S$5,LayTable[[Dato]:[Dato]],"&lt;="&amp;EOMONTH(S$5,0),LayTable[[Bookmaker]:[Bookmaker]],$K41)+SUMIFS(BetTable[[AR_per_bookie]:[AR_per_bookie]],BetTable[[B1]:[B1]],$K41,BetTable[[Date]:[Date]], "&gt;="&amp;S$5,BetTable[[Date]:[Date]],"&lt;="&amp;EOMONTH(S$5,0))+SUMIFS(BetTable[[AR_per_bookie]:[AR_per_bookie]],BetTable[[B2]:[B2]],$K41,BetTable[[Date]:[Date]], "&gt;="&amp;S$5,BetTable[[Date]:[Date]],"&lt;="&amp;EOMONTH(S$5,0))+SUMIFS(BetTable[[AR_per_bookie]:[AR_per_bookie]],BetTable[[B3]:[B3]],$K41,BetTable[[Date]:[Date]], "&gt;="&amp;S$5,BetTable[[Date]:[Date]],"&lt;="&amp;EOMONTH(S$5,0))</f>
        <v>0</v>
      </c>
      <c r="T41" s="186">
        <f>SUMIFS(DWbonus[[Sum]:[Sum]],DWbonus[[Dato]:[Dato]], "&gt;="&amp;T$5,DWbonus[[Dato]:[Dato]],"&lt;="&amp;EOMONTH(T$5,0),DWbonus[[Bookie]:[Bookie]],$K41)+SUMIFS(LayTable[[Faktisk res]:[Faktisk res]],LayTable[[Dato]:[Dato]],"&gt;="&amp;T$5,LayTable[[Dato]:[Dato]],"&lt;="&amp;EOMONTH(T$5,0),LayTable[[Bookmaker]:[Bookmaker]],$K41)+SUMIFS(BetTable[[AR_per_bookie]:[AR_per_bookie]],BetTable[[B1]:[B1]],$K41,BetTable[[Date]:[Date]], "&gt;="&amp;T$5,BetTable[[Date]:[Date]],"&lt;="&amp;EOMONTH(T$5,0))+SUMIFS(BetTable[[AR_per_bookie]:[AR_per_bookie]],BetTable[[B2]:[B2]],$K41,BetTable[[Date]:[Date]], "&gt;="&amp;T$5,BetTable[[Date]:[Date]],"&lt;="&amp;EOMONTH(T$5,0))+SUMIFS(BetTable[[AR_per_bookie]:[AR_per_bookie]],BetTable[[B3]:[B3]],$K41,BetTable[[Date]:[Date]], "&gt;="&amp;T$5,BetTable[[Date]:[Date]],"&lt;="&amp;EOMONTH(T$5,0))</f>
        <v>0</v>
      </c>
      <c r="U41" s="186">
        <f>SUMIFS(DWbonus[[Sum]:[Sum]],DWbonus[[Dato]:[Dato]], "&gt;="&amp;U$5,DWbonus[[Dato]:[Dato]],"&lt;="&amp;EOMONTH(U$5,0),DWbonus[[Bookie]:[Bookie]],$K41)+SUMIFS(LayTable[[Faktisk res]:[Faktisk res]],LayTable[[Dato]:[Dato]],"&gt;="&amp;U$5,LayTable[[Dato]:[Dato]],"&lt;="&amp;EOMONTH(U$5,0),LayTable[[Bookmaker]:[Bookmaker]],$K41)+SUMIFS(BetTable[[AR_per_bookie]:[AR_per_bookie]],BetTable[[B1]:[B1]],$K41,BetTable[[Date]:[Date]], "&gt;="&amp;U$5,BetTable[[Date]:[Date]],"&lt;="&amp;EOMONTH(U$5,0))+SUMIFS(BetTable[[AR_per_bookie]:[AR_per_bookie]],BetTable[[B2]:[B2]],$K41,BetTable[[Date]:[Date]], "&gt;="&amp;U$5,BetTable[[Date]:[Date]],"&lt;="&amp;EOMONTH(U$5,0))+SUMIFS(BetTable[[AR_per_bookie]:[AR_per_bookie]],BetTable[[B3]:[B3]],$K41,BetTable[[Date]:[Date]], "&gt;="&amp;U$5,BetTable[[Date]:[Date]],"&lt;="&amp;EOMONTH(U$5,0))</f>
        <v>0</v>
      </c>
      <c r="V41" s="186">
        <f>SUMIFS(DWbonus[[Sum]:[Sum]],DWbonus[[Dato]:[Dato]], "&gt;="&amp;V$5,DWbonus[[Dato]:[Dato]],"&lt;="&amp;EOMONTH(V$5,0),DWbonus[[Bookie]:[Bookie]],$K41)+SUMIFS(LayTable[[Faktisk res]:[Faktisk res]],LayTable[[Dato]:[Dato]],"&gt;="&amp;V$5,LayTable[[Dato]:[Dato]],"&lt;="&amp;EOMONTH(V$5,0),LayTable[[Bookmaker]:[Bookmaker]],$K41)+SUMIFS(BetTable[[AR_per_bookie]:[AR_per_bookie]],BetTable[[B1]:[B1]],$K41,BetTable[[Date]:[Date]], "&gt;="&amp;V$5,BetTable[[Date]:[Date]],"&lt;="&amp;EOMONTH(V$5,0))+SUMIFS(BetTable[[AR_per_bookie]:[AR_per_bookie]],BetTable[[B2]:[B2]],$K41,BetTable[[Date]:[Date]], "&gt;="&amp;V$5,BetTable[[Date]:[Date]],"&lt;="&amp;EOMONTH(V$5,0))+SUMIFS(BetTable[[AR_per_bookie]:[AR_per_bookie]],BetTable[[B3]:[B3]],$K41,BetTable[[Date]:[Date]], "&gt;="&amp;V$5,BetTable[[Date]:[Date]],"&lt;="&amp;EOMONTH(V$5,0))</f>
        <v>0</v>
      </c>
      <c r="W41" s="186">
        <f>SUMIFS(DWbonus[[Sum]:[Sum]],DWbonus[[Dato]:[Dato]], "&gt;="&amp;W$5,DWbonus[[Dato]:[Dato]],"&lt;="&amp;EOMONTH(W$5,0),DWbonus[[Bookie]:[Bookie]],$K41)+SUMIFS(LayTable[[Faktisk res]:[Faktisk res]],LayTable[[Dato]:[Dato]],"&gt;="&amp;W$5,LayTable[[Dato]:[Dato]],"&lt;="&amp;EOMONTH(W$5,0),LayTable[[Bookmaker]:[Bookmaker]],$K41)+SUMIFS(BetTable[[AR_per_bookie]:[AR_per_bookie]],BetTable[[B1]:[B1]],$K41,BetTable[[Date]:[Date]], "&gt;="&amp;W$5,BetTable[[Date]:[Date]],"&lt;="&amp;EOMONTH(W$5,0))+SUMIFS(BetTable[[AR_per_bookie]:[AR_per_bookie]],BetTable[[B2]:[B2]],$K41,BetTable[[Date]:[Date]], "&gt;="&amp;W$5,BetTable[[Date]:[Date]],"&lt;="&amp;EOMONTH(W$5,0))+SUMIFS(BetTable[[AR_per_bookie]:[AR_per_bookie]],BetTable[[B3]:[B3]],$K41,BetTable[[Date]:[Date]], "&gt;="&amp;W$5,BetTable[[Date]:[Date]],"&lt;="&amp;EOMONTH(W$5,0))</f>
        <v>0</v>
      </c>
    </row>
    <row r="42" spans="1:23">
      <c r="A42" s="174" t="s">
        <v>96</v>
      </c>
      <c r="B42" s="209">
        <v>1</v>
      </c>
      <c r="C42" s="174">
        <v>2000</v>
      </c>
      <c r="E42" s="174" t="s">
        <v>468</v>
      </c>
      <c r="K42" s="174" t="str">
        <f t="array" ref="K42">IFERROR(INDEX(BookieNavn!H$2:H$1251,SMALL(IF(EXACT(LEFT(BookieNavn!H$2:H$1251,2),M$3),ROW(BookieNavn!H$2:H$1251)-ROW(BookieNavn!H$2)+1),ROWS(BookieNavn!H$2:'BookieNavn'!H37))),"")</f>
        <v/>
      </c>
      <c r="L42" s="186">
        <f>SUMIFS(DWbonus[[Sum]:[Sum]],DWbonus[[Dato]:[Dato]], "&gt;="&amp;L$5,DWbonus[[Dato]:[Dato]],"&lt;="&amp;EOMONTH(L$5,0),DWbonus[[Bookie]:[Bookie]],$K42)+SUMIFS(LayTable[[Faktisk res]:[Faktisk res]],LayTable[[Dato]:[Dato]],"&gt;="&amp;L$5,LayTable[[Dato]:[Dato]],"&lt;="&amp;EOMONTH(L$5,0),LayTable[[Bookmaker]:[Bookmaker]],$K42)+SUMIFS(BetTable[[AR_per_bookie]:[AR_per_bookie]],BetTable[[B1]:[B1]],$K42,BetTable[[Date]:[Date]], "&gt;="&amp;L$5,BetTable[[Date]:[Date]],"&lt;="&amp;EOMONTH(L$5,0))+SUMIFS(BetTable[[AR_per_bookie]:[AR_per_bookie]],BetTable[[B2]:[B2]],$K42,BetTable[[Date]:[Date]], "&gt;="&amp;L$5,BetTable[[Date]:[Date]],"&lt;="&amp;EOMONTH(L$5,0))+SUMIFS(BetTable[[AR_per_bookie]:[AR_per_bookie]],BetTable[[B3]:[B3]],$K42,BetTable[[Date]:[Date]], "&gt;="&amp;L$5,BetTable[[Date]:[Date]],"&lt;="&amp;EOMONTH(L$5,0))</f>
        <v>0</v>
      </c>
      <c r="M42" s="186">
        <f>SUMIFS(DWbonus[[Sum]:[Sum]],DWbonus[[Dato]:[Dato]], "&gt;="&amp;M$5,DWbonus[[Dato]:[Dato]],"&lt;="&amp;EOMONTH(M$5,0),DWbonus[[Bookie]:[Bookie]],$K42)+SUMIFS(LayTable[[Faktisk res]:[Faktisk res]],LayTable[[Dato]:[Dato]],"&gt;="&amp;M$5,LayTable[[Dato]:[Dato]],"&lt;="&amp;EOMONTH(M$5,0),LayTable[[Bookmaker]:[Bookmaker]],$K42)+SUMIFS(BetTable[[AR_per_bookie]:[AR_per_bookie]],BetTable[[B1]:[B1]],$K42,BetTable[[Date]:[Date]], "&gt;="&amp;M$5,BetTable[[Date]:[Date]],"&lt;="&amp;EOMONTH(M$5,0))+SUMIFS(BetTable[[AR_per_bookie]:[AR_per_bookie]],BetTable[[B2]:[B2]],$K42,BetTable[[Date]:[Date]], "&gt;="&amp;M$5,BetTable[[Date]:[Date]],"&lt;="&amp;EOMONTH(M$5,0))+SUMIFS(BetTable[[AR_per_bookie]:[AR_per_bookie]],BetTable[[B3]:[B3]],$K42,BetTable[[Date]:[Date]], "&gt;="&amp;M$5,BetTable[[Date]:[Date]],"&lt;="&amp;EOMONTH(M$5,0))</f>
        <v>0</v>
      </c>
      <c r="N42" s="186">
        <f>SUMIFS(DWbonus[[Sum]:[Sum]],DWbonus[[Dato]:[Dato]], "&gt;="&amp;N$5,DWbonus[[Dato]:[Dato]],"&lt;="&amp;EOMONTH(N$5,0),DWbonus[[Bookie]:[Bookie]],$K42)+SUMIFS(LayTable[[Faktisk res]:[Faktisk res]],LayTable[[Dato]:[Dato]],"&gt;="&amp;N$5,LayTable[[Dato]:[Dato]],"&lt;="&amp;EOMONTH(N$5,0),LayTable[[Bookmaker]:[Bookmaker]],$K42)+SUMIFS(BetTable[[AR_per_bookie]:[AR_per_bookie]],BetTable[[B1]:[B1]],$K42,BetTable[[Date]:[Date]], "&gt;="&amp;N$5,BetTable[[Date]:[Date]],"&lt;="&amp;EOMONTH(N$5,0))+SUMIFS(BetTable[[AR_per_bookie]:[AR_per_bookie]],BetTable[[B2]:[B2]],$K42,BetTable[[Date]:[Date]], "&gt;="&amp;N$5,BetTable[[Date]:[Date]],"&lt;="&amp;EOMONTH(N$5,0))+SUMIFS(BetTable[[AR_per_bookie]:[AR_per_bookie]],BetTable[[B3]:[B3]],$K42,BetTable[[Date]:[Date]], "&gt;="&amp;N$5,BetTable[[Date]:[Date]],"&lt;="&amp;EOMONTH(N$5,0))</f>
        <v>0</v>
      </c>
      <c r="O42" s="186">
        <f>SUMIFS(DWbonus[[Sum]:[Sum]],DWbonus[[Dato]:[Dato]], "&gt;="&amp;O$5,DWbonus[[Dato]:[Dato]],"&lt;="&amp;EOMONTH(O$5,0),DWbonus[[Bookie]:[Bookie]],$K42)+SUMIFS(LayTable[[Faktisk res]:[Faktisk res]],LayTable[[Dato]:[Dato]],"&gt;="&amp;O$5,LayTable[[Dato]:[Dato]],"&lt;="&amp;EOMONTH(O$5,0),LayTable[[Bookmaker]:[Bookmaker]],$K42)+SUMIFS(BetTable[[AR_per_bookie]:[AR_per_bookie]],BetTable[[B1]:[B1]],$K42,BetTable[[Date]:[Date]], "&gt;="&amp;O$5,BetTable[[Date]:[Date]],"&lt;="&amp;EOMONTH(O$5,0))+SUMIFS(BetTable[[AR_per_bookie]:[AR_per_bookie]],BetTable[[B2]:[B2]],$K42,BetTable[[Date]:[Date]], "&gt;="&amp;O$5,BetTable[[Date]:[Date]],"&lt;="&amp;EOMONTH(O$5,0))+SUMIFS(BetTable[[AR_per_bookie]:[AR_per_bookie]],BetTable[[B3]:[B3]],$K42,BetTable[[Date]:[Date]], "&gt;="&amp;O$5,BetTable[[Date]:[Date]],"&lt;="&amp;EOMONTH(O$5,0))</f>
        <v>0</v>
      </c>
      <c r="P42" s="186">
        <f>SUMIFS(DWbonus[[Sum]:[Sum]],DWbonus[[Dato]:[Dato]], "&gt;="&amp;P$5,DWbonus[[Dato]:[Dato]],"&lt;="&amp;EOMONTH(P$5,0),DWbonus[[Bookie]:[Bookie]],$K42)+SUMIFS(LayTable[[Faktisk res]:[Faktisk res]],LayTable[[Dato]:[Dato]],"&gt;="&amp;P$5,LayTable[[Dato]:[Dato]],"&lt;="&amp;EOMONTH(P$5,0),LayTable[[Bookmaker]:[Bookmaker]],$K42)+SUMIFS(BetTable[[AR_per_bookie]:[AR_per_bookie]],BetTable[[B1]:[B1]],$K42,BetTable[[Date]:[Date]], "&gt;="&amp;P$5,BetTable[[Date]:[Date]],"&lt;="&amp;EOMONTH(P$5,0))+SUMIFS(BetTable[[AR_per_bookie]:[AR_per_bookie]],BetTable[[B2]:[B2]],$K42,BetTable[[Date]:[Date]], "&gt;="&amp;P$5,BetTable[[Date]:[Date]],"&lt;="&amp;EOMONTH(P$5,0))+SUMIFS(BetTable[[AR_per_bookie]:[AR_per_bookie]],BetTable[[B3]:[B3]],$K42,BetTable[[Date]:[Date]], "&gt;="&amp;P$5,BetTable[[Date]:[Date]],"&lt;="&amp;EOMONTH(P$5,0))</f>
        <v>0</v>
      </c>
      <c r="Q42" s="186">
        <f>SUMIFS(DWbonus[[Sum]:[Sum]],DWbonus[[Dato]:[Dato]], "&gt;="&amp;Q$5,DWbonus[[Dato]:[Dato]],"&lt;="&amp;EOMONTH(Q$5,0),DWbonus[[Bookie]:[Bookie]],$K42)+SUMIFS(LayTable[[Faktisk res]:[Faktisk res]],LayTable[[Dato]:[Dato]],"&gt;="&amp;Q$5,LayTable[[Dato]:[Dato]],"&lt;="&amp;EOMONTH(Q$5,0),LayTable[[Bookmaker]:[Bookmaker]],$K42)+SUMIFS(BetTable[[AR_per_bookie]:[AR_per_bookie]],BetTable[[B1]:[B1]],$K42,BetTable[[Date]:[Date]], "&gt;="&amp;Q$5,BetTable[[Date]:[Date]],"&lt;="&amp;EOMONTH(Q$5,0))+SUMIFS(BetTable[[AR_per_bookie]:[AR_per_bookie]],BetTable[[B2]:[B2]],$K42,BetTable[[Date]:[Date]], "&gt;="&amp;Q$5,BetTable[[Date]:[Date]],"&lt;="&amp;EOMONTH(Q$5,0))+SUMIFS(BetTable[[AR_per_bookie]:[AR_per_bookie]],BetTable[[B3]:[B3]],$K42,BetTable[[Date]:[Date]], "&gt;="&amp;Q$5,BetTable[[Date]:[Date]],"&lt;="&amp;EOMONTH(Q$5,0))</f>
        <v>0</v>
      </c>
      <c r="R42" s="186">
        <f>SUMIFS(DWbonus[[Sum]:[Sum]],DWbonus[[Dato]:[Dato]], "&gt;="&amp;R$5,DWbonus[[Dato]:[Dato]],"&lt;="&amp;EOMONTH(R$5,0),DWbonus[[Bookie]:[Bookie]],$K42)+SUMIFS(LayTable[[Faktisk res]:[Faktisk res]],LayTable[[Dato]:[Dato]],"&gt;="&amp;R$5,LayTable[[Dato]:[Dato]],"&lt;="&amp;EOMONTH(R$5,0),LayTable[[Bookmaker]:[Bookmaker]],$K42)+SUMIFS(BetTable[[AR_per_bookie]:[AR_per_bookie]],BetTable[[B1]:[B1]],$K42,BetTable[[Date]:[Date]], "&gt;="&amp;R$5,BetTable[[Date]:[Date]],"&lt;="&amp;EOMONTH(R$5,0))+SUMIFS(BetTable[[AR_per_bookie]:[AR_per_bookie]],BetTable[[B2]:[B2]],$K42,BetTable[[Date]:[Date]], "&gt;="&amp;R$5,BetTable[[Date]:[Date]],"&lt;="&amp;EOMONTH(R$5,0))+SUMIFS(BetTable[[AR_per_bookie]:[AR_per_bookie]],BetTable[[B3]:[B3]],$K42,BetTable[[Date]:[Date]], "&gt;="&amp;R$5,BetTable[[Date]:[Date]],"&lt;="&amp;EOMONTH(R$5,0))</f>
        <v>0</v>
      </c>
      <c r="S42" s="186">
        <f>SUMIFS(DWbonus[[Sum]:[Sum]],DWbonus[[Dato]:[Dato]], "&gt;="&amp;S$5,DWbonus[[Dato]:[Dato]],"&lt;="&amp;EOMONTH(S$5,0),DWbonus[[Bookie]:[Bookie]],$K42)+SUMIFS(LayTable[[Faktisk res]:[Faktisk res]],LayTable[[Dato]:[Dato]],"&gt;="&amp;S$5,LayTable[[Dato]:[Dato]],"&lt;="&amp;EOMONTH(S$5,0),LayTable[[Bookmaker]:[Bookmaker]],$K42)+SUMIFS(BetTable[[AR_per_bookie]:[AR_per_bookie]],BetTable[[B1]:[B1]],$K42,BetTable[[Date]:[Date]], "&gt;="&amp;S$5,BetTable[[Date]:[Date]],"&lt;="&amp;EOMONTH(S$5,0))+SUMIFS(BetTable[[AR_per_bookie]:[AR_per_bookie]],BetTable[[B2]:[B2]],$K42,BetTable[[Date]:[Date]], "&gt;="&amp;S$5,BetTable[[Date]:[Date]],"&lt;="&amp;EOMONTH(S$5,0))+SUMIFS(BetTable[[AR_per_bookie]:[AR_per_bookie]],BetTable[[B3]:[B3]],$K42,BetTable[[Date]:[Date]], "&gt;="&amp;S$5,BetTable[[Date]:[Date]],"&lt;="&amp;EOMONTH(S$5,0))</f>
        <v>0</v>
      </c>
      <c r="T42" s="186">
        <f>SUMIFS(DWbonus[[Sum]:[Sum]],DWbonus[[Dato]:[Dato]], "&gt;="&amp;T$5,DWbonus[[Dato]:[Dato]],"&lt;="&amp;EOMONTH(T$5,0),DWbonus[[Bookie]:[Bookie]],$K42)+SUMIFS(LayTable[[Faktisk res]:[Faktisk res]],LayTable[[Dato]:[Dato]],"&gt;="&amp;T$5,LayTable[[Dato]:[Dato]],"&lt;="&amp;EOMONTH(T$5,0),LayTable[[Bookmaker]:[Bookmaker]],$K42)+SUMIFS(BetTable[[AR_per_bookie]:[AR_per_bookie]],BetTable[[B1]:[B1]],$K42,BetTable[[Date]:[Date]], "&gt;="&amp;T$5,BetTable[[Date]:[Date]],"&lt;="&amp;EOMONTH(T$5,0))+SUMIFS(BetTable[[AR_per_bookie]:[AR_per_bookie]],BetTable[[B2]:[B2]],$K42,BetTable[[Date]:[Date]], "&gt;="&amp;T$5,BetTable[[Date]:[Date]],"&lt;="&amp;EOMONTH(T$5,0))+SUMIFS(BetTable[[AR_per_bookie]:[AR_per_bookie]],BetTable[[B3]:[B3]],$K42,BetTable[[Date]:[Date]], "&gt;="&amp;T$5,BetTable[[Date]:[Date]],"&lt;="&amp;EOMONTH(T$5,0))</f>
        <v>0</v>
      </c>
      <c r="U42" s="186">
        <f>SUMIFS(DWbonus[[Sum]:[Sum]],DWbonus[[Dato]:[Dato]], "&gt;="&amp;U$5,DWbonus[[Dato]:[Dato]],"&lt;="&amp;EOMONTH(U$5,0),DWbonus[[Bookie]:[Bookie]],$K42)+SUMIFS(LayTable[[Faktisk res]:[Faktisk res]],LayTable[[Dato]:[Dato]],"&gt;="&amp;U$5,LayTable[[Dato]:[Dato]],"&lt;="&amp;EOMONTH(U$5,0),LayTable[[Bookmaker]:[Bookmaker]],$K42)+SUMIFS(BetTable[[AR_per_bookie]:[AR_per_bookie]],BetTable[[B1]:[B1]],$K42,BetTable[[Date]:[Date]], "&gt;="&amp;U$5,BetTable[[Date]:[Date]],"&lt;="&amp;EOMONTH(U$5,0))+SUMIFS(BetTable[[AR_per_bookie]:[AR_per_bookie]],BetTable[[B2]:[B2]],$K42,BetTable[[Date]:[Date]], "&gt;="&amp;U$5,BetTable[[Date]:[Date]],"&lt;="&amp;EOMONTH(U$5,0))+SUMIFS(BetTable[[AR_per_bookie]:[AR_per_bookie]],BetTable[[B3]:[B3]],$K42,BetTable[[Date]:[Date]], "&gt;="&amp;U$5,BetTable[[Date]:[Date]],"&lt;="&amp;EOMONTH(U$5,0))</f>
        <v>0</v>
      </c>
      <c r="V42" s="186">
        <f>SUMIFS(DWbonus[[Sum]:[Sum]],DWbonus[[Dato]:[Dato]], "&gt;="&amp;V$5,DWbonus[[Dato]:[Dato]],"&lt;="&amp;EOMONTH(V$5,0),DWbonus[[Bookie]:[Bookie]],$K42)+SUMIFS(LayTable[[Faktisk res]:[Faktisk res]],LayTable[[Dato]:[Dato]],"&gt;="&amp;V$5,LayTable[[Dato]:[Dato]],"&lt;="&amp;EOMONTH(V$5,0),LayTable[[Bookmaker]:[Bookmaker]],$K42)+SUMIFS(BetTable[[AR_per_bookie]:[AR_per_bookie]],BetTable[[B1]:[B1]],$K42,BetTable[[Date]:[Date]], "&gt;="&amp;V$5,BetTable[[Date]:[Date]],"&lt;="&amp;EOMONTH(V$5,0))+SUMIFS(BetTable[[AR_per_bookie]:[AR_per_bookie]],BetTable[[B2]:[B2]],$K42,BetTable[[Date]:[Date]], "&gt;="&amp;V$5,BetTable[[Date]:[Date]],"&lt;="&amp;EOMONTH(V$5,0))+SUMIFS(BetTable[[AR_per_bookie]:[AR_per_bookie]],BetTable[[B3]:[B3]],$K42,BetTable[[Date]:[Date]], "&gt;="&amp;V$5,BetTable[[Date]:[Date]],"&lt;="&amp;EOMONTH(V$5,0))</f>
        <v>0</v>
      </c>
      <c r="W42" s="186">
        <f>SUMIFS(DWbonus[[Sum]:[Sum]],DWbonus[[Dato]:[Dato]], "&gt;="&amp;W$5,DWbonus[[Dato]:[Dato]],"&lt;="&amp;EOMONTH(W$5,0),DWbonus[[Bookie]:[Bookie]],$K42)+SUMIFS(LayTable[[Faktisk res]:[Faktisk res]],LayTable[[Dato]:[Dato]],"&gt;="&amp;W$5,LayTable[[Dato]:[Dato]],"&lt;="&amp;EOMONTH(W$5,0),LayTable[[Bookmaker]:[Bookmaker]],$K42)+SUMIFS(BetTable[[AR_per_bookie]:[AR_per_bookie]],BetTable[[B1]:[B1]],$K42,BetTable[[Date]:[Date]], "&gt;="&amp;W$5,BetTable[[Date]:[Date]],"&lt;="&amp;EOMONTH(W$5,0))+SUMIFS(BetTable[[AR_per_bookie]:[AR_per_bookie]],BetTable[[B2]:[B2]],$K42,BetTable[[Date]:[Date]], "&gt;="&amp;W$5,BetTable[[Date]:[Date]],"&lt;="&amp;EOMONTH(W$5,0))+SUMIFS(BetTable[[AR_per_bookie]:[AR_per_bookie]],BetTable[[B3]:[B3]],$K42,BetTable[[Date]:[Date]], "&gt;="&amp;W$5,BetTable[[Date]:[Date]],"&lt;="&amp;EOMONTH(W$5,0))</f>
        <v>0</v>
      </c>
    </row>
    <row r="43" spans="1:23">
      <c r="A43" s="174" t="s">
        <v>222</v>
      </c>
      <c r="B43" s="209">
        <v>1</v>
      </c>
      <c r="C43" s="174">
        <v>500</v>
      </c>
      <c r="K43" s="174" t="str">
        <f t="array" ref="K43">IFERROR(INDEX(BookieNavn!H$2:H$1251,SMALL(IF(EXACT(LEFT(BookieNavn!H$2:H$1251,2),M$3),ROW(BookieNavn!H$2:H$1251)-ROW(BookieNavn!H$2)+1),ROWS(BookieNavn!H$2:'BookieNavn'!H38))),"")</f>
        <v/>
      </c>
      <c r="L43" s="186">
        <f>SUMIFS(DWbonus[[Sum]:[Sum]],DWbonus[[Dato]:[Dato]], "&gt;="&amp;L$5,DWbonus[[Dato]:[Dato]],"&lt;="&amp;EOMONTH(L$5,0),DWbonus[[Bookie]:[Bookie]],$K43)+SUMIFS(LayTable[[Faktisk res]:[Faktisk res]],LayTable[[Dato]:[Dato]],"&gt;="&amp;L$5,LayTable[[Dato]:[Dato]],"&lt;="&amp;EOMONTH(L$5,0),LayTable[[Bookmaker]:[Bookmaker]],$K43)+SUMIFS(BetTable[[AR_per_bookie]:[AR_per_bookie]],BetTable[[B1]:[B1]],$K43,BetTable[[Date]:[Date]], "&gt;="&amp;L$5,BetTable[[Date]:[Date]],"&lt;="&amp;EOMONTH(L$5,0))+SUMIFS(BetTable[[AR_per_bookie]:[AR_per_bookie]],BetTable[[B2]:[B2]],$K43,BetTable[[Date]:[Date]], "&gt;="&amp;L$5,BetTable[[Date]:[Date]],"&lt;="&amp;EOMONTH(L$5,0))+SUMIFS(BetTable[[AR_per_bookie]:[AR_per_bookie]],BetTable[[B3]:[B3]],$K43,BetTable[[Date]:[Date]], "&gt;="&amp;L$5,BetTable[[Date]:[Date]],"&lt;="&amp;EOMONTH(L$5,0))</f>
        <v>0</v>
      </c>
      <c r="M43" s="186">
        <f>SUMIFS(DWbonus[[Sum]:[Sum]],DWbonus[[Dato]:[Dato]], "&gt;="&amp;M$5,DWbonus[[Dato]:[Dato]],"&lt;="&amp;EOMONTH(M$5,0),DWbonus[[Bookie]:[Bookie]],$K43)+SUMIFS(LayTable[[Faktisk res]:[Faktisk res]],LayTable[[Dato]:[Dato]],"&gt;="&amp;M$5,LayTable[[Dato]:[Dato]],"&lt;="&amp;EOMONTH(M$5,0),LayTable[[Bookmaker]:[Bookmaker]],$K43)+SUMIFS(BetTable[[AR_per_bookie]:[AR_per_bookie]],BetTable[[B1]:[B1]],$K43,BetTable[[Date]:[Date]], "&gt;="&amp;M$5,BetTable[[Date]:[Date]],"&lt;="&amp;EOMONTH(M$5,0))+SUMIFS(BetTable[[AR_per_bookie]:[AR_per_bookie]],BetTable[[B2]:[B2]],$K43,BetTable[[Date]:[Date]], "&gt;="&amp;M$5,BetTable[[Date]:[Date]],"&lt;="&amp;EOMONTH(M$5,0))+SUMIFS(BetTable[[AR_per_bookie]:[AR_per_bookie]],BetTable[[B3]:[B3]],$K43,BetTable[[Date]:[Date]], "&gt;="&amp;M$5,BetTable[[Date]:[Date]],"&lt;="&amp;EOMONTH(M$5,0))</f>
        <v>0</v>
      </c>
      <c r="N43" s="186">
        <f>SUMIFS(DWbonus[[Sum]:[Sum]],DWbonus[[Dato]:[Dato]], "&gt;="&amp;N$5,DWbonus[[Dato]:[Dato]],"&lt;="&amp;EOMONTH(N$5,0),DWbonus[[Bookie]:[Bookie]],$K43)+SUMIFS(LayTable[[Faktisk res]:[Faktisk res]],LayTable[[Dato]:[Dato]],"&gt;="&amp;N$5,LayTable[[Dato]:[Dato]],"&lt;="&amp;EOMONTH(N$5,0),LayTable[[Bookmaker]:[Bookmaker]],$K43)+SUMIFS(BetTable[[AR_per_bookie]:[AR_per_bookie]],BetTable[[B1]:[B1]],$K43,BetTable[[Date]:[Date]], "&gt;="&amp;N$5,BetTable[[Date]:[Date]],"&lt;="&amp;EOMONTH(N$5,0))+SUMIFS(BetTable[[AR_per_bookie]:[AR_per_bookie]],BetTable[[B2]:[B2]],$K43,BetTable[[Date]:[Date]], "&gt;="&amp;N$5,BetTable[[Date]:[Date]],"&lt;="&amp;EOMONTH(N$5,0))+SUMIFS(BetTable[[AR_per_bookie]:[AR_per_bookie]],BetTable[[B3]:[B3]],$K43,BetTable[[Date]:[Date]], "&gt;="&amp;N$5,BetTable[[Date]:[Date]],"&lt;="&amp;EOMONTH(N$5,0))</f>
        <v>0</v>
      </c>
      <c r="O43" s="186">
        <f>SUMIFS(DWbonus[[Sum]:[Sum]],DWbonus[[Dato]:[Dato]], "&gt;="&amp;O$5,DWbonus[[Dato]:[Dato]],"&lt;="&amp;EOMONTH(O$5,0),DWbonus[[Bookie]:[Bookie]],$K43)+SUMIFS(LayTable[[Faktisk res]:[Faktisk res]],LayTable[[Dato]:[Dato]],"&gt;="&amp;O$5,LayTable[[Dato]:[Dato]],"&lt;="&amp;EOMONTH(O$5,0),LayTable[[Bookmaker]:[Bookmaker]],$K43)+SUMIFS(BetTable[[AR_per_bookie]:[AR_per_bookie]],BetTable[[B1]:[B1]],$K43,BetTable[[Date]:[Date]], "&gt;="&amp;O$5,BetTable[[Date]:[Date]],"&lt;="&amp;EOMONTH(O$5,0))+SUMIFS(BetTable[[AR_per_bookie]:[AR_per_bookie]],BetTable[[B2]:[B2]],$K43,BetTable[[Date]:[Date]], "&gt;="&amp;O$5,BetTable[[Date]:[Date]],"&lt;="&amp;EOMONTH(O$5,0))+SUMIFS(BetTable[[AR_per_bookie]:[AR_per_bookie]],BetTable[[B3]:[B3]],$K43,BetTable[[Date]:[Date]], "&gt;="&amp;O$5,BetTable[[Date]:[Date]],"&lt;="&amp;EOMONTH(O$5,0))</f>
        <v>0</v>
      </c>
      <c r="P43" s="186">
        <f>SUMIFS(DWbonus[[Sum]:[Sum]],DWbonus[[Dato]:[Dato]], "&gt;="&amp;P$5,DWbonus[[Dato]:[Dato]],"&lt;="&amp;EOMONTH(P$5,0),DWbonus[[Bookie]:[Bookie]],$K43)+SUMIFS(LayTable[[Faktisk res]:[Faktisk res]],LayTable[[Dato]:[Dato]],"&gt;="&amp;P$5,LayTable[[Dato]:[Dato]],"&lt;="&amp;EOMONTH(P$5,0),LayTable[[Bookmaker]:[Bookmaker]],$K43)+SUMIFS(BetTable[[AR_per_bookie]:[AR_per_bookie]],BetTable[[B1]:[B1]],$K43,BetTable[[Date]:[Date]], "&gt;="&amp;P$5,BetTable[[Date]:[Date]],"&lt;="&amp;EOMONTH(P$5,0))+SUMIFS(BetTable[[AR_per_bookie]:[AR_per_bookie]],BetTable[[B2]:[B2]],$K43,BetTable[[Date]:[Date]], "&gt;="&amp;P$5,BetTable[[Date]:[Date]],"&lt;="&amp;EOMONTH(P$5,0))+SUMIFS(BetTable[[AR_per_bookie]:[AR_per_bookie]],BetTable[[B3]:[B3]],$K43,BetTable[[Date]:[Date]], "&gt;="&amp;P$5,BetTable[[Date]:[Date]],"&lt;="&amp;EOMONTH(P$5,0))</f>
        <v>0</v>
      </c>
      <c r="Q43" s="186">
        <f>SUMIFS(DWbonus[[Sum]:[Sum]],DWbonus[[Dato]:[Dato]], "&gt;="&amp;Q$5,DWbonus[[Dato]:[Dato]],"&lt;="&amp;EOMONTH(Q$5,0),DWbonus[[Bookie]:[Bookie]],$K43)+SUMIFS(LayTable[[Faktisk res]:[Faktisk res]],LayTable[[Dato]:[Dato]],"&gt;="&amp;Q$5,LayTable[[Dato]:[Dato]],"&lt;="&amp;EOMONTH(Q$5,0),LayTable[[Bookmaker]:[Bookmaker]],$K43)+SUMIFS(BetTable[[AR_per_bookie]:[AR_per_bookie]],BetTable[[B1]:[B1]],$K43,BetTable[[Date]:[Date]], "&gt;="&amp;Q$5,BetTable[[Date]:[Date]],"&lt;="&amp;EOMONTH(Q$5,0))+SUMIFS(BetTable[[AR_per_bookie]:[AR_per_bookie]],BetTable[[B2]:[B2]],$K43,BetTable[[Date]:[Date]], "&gt;="&amp;Q$5,BetTable[[Date]:[Date]],"&lt;="&amp;EOMONTH(Q$5,0))+SUMIFS(BetTable[[AR_per_bookie]:[AR_per_bookie]],BetTable[[B3]:[B3]],$K43,BetTable[[Date]:[Date]], "&gt;="&amp;Q$5,BetTable[[Date]:[Date]],"&lt;="&amp;EOMONTH(Q$5,0))</f>
        <v>0</v>
      </c>
      <c r="R43" s="186">
        <f>SUMIFS(DWbonus[[Sum]:[Sum]],DWbonus[[Dato]:[Dato]], "&gt;="&amp;R$5,DWbonus[[Dato]:[Dato]],"&lt;="&amp;EOMONTH(R$5,0),DWbonus[[Bookie]:[Bookie]],$K43)+SUMIFS(LayTable[[Faktisk res]:[Faktisk res]],LayTable[[Dato]:[Dato]],"&gt;="&amp;R$5,LayTable[[Dato]:[Dato]],"&lt;="&amp;EOMONTH(R$5,0),LayTable[[Bookmaker]:[Bookmaker]],$K43)+SUMIFS(BetTable[[AR_per_bookie]:[AR_per_bookie]],BetTable[[B1]:[B1]],$K43,BetTable[[Date]:[Date]], "&gt;="&amp;R$5,BetTable[[Date]:[Date]],"&lt;="&amp;EOMONTH(R$5,0))+SUMIFS(BetTable[[AR_per_bookie]:[AR_per_bookie]],BetTable[[B2]:[B2]],$K43,BetTable[[Date]:[Date]], "&gt;="&amp;R$5,BetTable[[Date]:[Date]],"&lt;="&amp;EOMONTH(R$5,0))+SUMIFS(BetTable[[AR_per_bookie]:[AR_per_bookie]],BetTable[[B3]:[B3]],$K43,BetTable[[Date]:[Date]], "&gt;="&amp;R$5,BetTable[[Date]:[Date]],"&lt;="&amp;EOMONTH(R$5,0))</f>
        <v>0</v>
      </c>
      <c r="S43" s="186">
        <f>SUMIFS(DWbonus[[Sum]:[Sum]],DWbonus[[Dato]:[Dato]], "&gt;="&amp;S$5,DWbonus[[Dato]:[Dato]],"&lt;="&amp;EOMONTH(S$5,0),DWbonus[[Bookie]:[Bookie]],$K43)+SUMIFS(LayTable[[Faktisk res]:[Faktisk res]],LayTable[[Dato]:[Dato]],"&gt;="&amp;S$5,LayTable[[Dato]:[Dato]],"&lt;="&amp;EOMONTH(S$5,0),LayTable[[Bookmaker]:[Bookmaker]],$K43)+SUMIFS(BetTable[[AR_per_bookie]:[AR_per_bookie]],BetTable[[B1]:[B1]],$K43,BetTable[[Date]:[Date]], "&gt;="&amp;S$5,BetTable[[Date]:[Date]],"&lt;="&amp;EOMONTH(S$5,0))+SUMIFS(BetTable[[AR_per_bookie]:[AR_per_bookie]],BetTable[[B2]:[B2]],$K43,BetTable[[Date]:[Date]], "&gt;="&amp;S$5,BetTable[[Date]:[Date]],"&lt;="&amp;EOMONTH(S$5,0))+SUMIFS(BetTable[[AR_per_bookie]:[AR_per_bookie]],BetTable[[B3]:[B3]],$K43,BetTable[[Date]:[Date]], "&gt;="&amp;S$5,BetTable[[Date]:[Date]],"&lt;="&amp;EOMONTH(S$5,0))</f>
        <v>0</v>
      </c>
      <c r="T43" s="186">
        <f>SUMIFS(DWbonus[[Sum]:[Sum]],DWbonus[[Dato]:[Dato]], "&gt;="&amp;T$5,DWbonus[[Dato]:[Dato]],"&lt;="&amp;EOMONTH(T$5,0),DWbonus[[Bookie]:[Bookie]],$K43)+SUMIFS(LayTable[[Faktisk res]:[Faktisk res]],LayTable[[Dato]:[Dato]],"&gt;="&amp;T$5,LayTable[[Dato]:[Dato]],"&lt;="&amp;EOMONTH(T$5,0),LayTable[[Bookmaker]:[Bookmaker]],$K43)+SUMIFS(BetTable[[AR_per_bookie]:[AR_per_bookie]],BetTable[[B1]:[B1]],$K43,BetTable[[Date]:[Date]], "&gt;="&amp;T$5,BetTable[[Date]:[Date]],"&lt;="&amp;EOMONTH(T$5,0))+SUMIFS(BetTable[[AR_per_bookie]:[AR_per_bookie]],BetTable[[B2]:[B2]],$K43,BetTable[[Date]:[Date]], "&gt;="&amp;T$5,BetTable[[Date]:[Date]],"&lt;="&amp;EOMONTH(T$5,0))+SUMIFS(BetTable[[AR_per_bookie]:[AR_per_bookie]],BetTable[[B3]:[B3]],$K43,BetTable[[Date]:[Date]], "&gt;="&amp;T$5,BetTable[[Date]:[Date]],"&lt;="&amp;EOMONTH(T$5,0))</f>
        <v>0</v>
      </c>
      <c r="U43" s="186">
        <f>SUMIFS(DWbonus[[Sum]:[Sum]],DWbonus[[Dato]:[Dato]], "&gt;="&amp;U$5,DWbonus[[Dato]:[Dato]],"&lt;="&amp;EOMONTH(U$5,0),DWbonus[[Bookie]:[Bookie]],$K43)+SUMIFS(LayTable[[Faktisk res]:[Faktisk res]],LayTable[[Dato]:[Dato]],"&gt;="&amp;U$5,LayTable[[Dato]:[Dato]],"&lt;="&amp;EOMONTH(U$5,0),LayTable[[Bookmaker]:[Bookmaker]],$K43)+SUMIFS(BetTable[[AR_per_bookie]:[AR_per_bookie]],BetTable[[B1]:[B1]],$K43,BetTable[[Date]:[Date]], "&gt;="&amp;U$5,BetTable[[Date]:[Date]],"&lt;="&amp;EOMONTH(U$5,0))+SUMIFS(BetTable[[AR_per_bookie]:[AR_per_bookie]],BetTable[[B2]:[B2]],$K43,BetTable[[Date]:[Date]], "&gt;="&amp;U$5,BetTable[[Date]:[Date]],"&lt;="&amp;EOMONTH(U$5,0))+SUMIFS(BetTable[[AR_per_bookie]:[AR_per_bookie]],BetTable[[B3]:[B3]],$K43,BetTable[[Date]:[Date]], "&gt;="&amp;U$5,BetTable[[Date]:[Date]],"&lt;="&amp;EOMONTH(U$5,0))</f>
        <v>0</v>
      </c>
      <c r="V43" s="186">
        <f>SUMIFS(DWbonus[[Sum]:[Sum]],DWbonus[[Dato]:[Dato]], "&gt;="&amp;V$5,DWbonus[[Dato]:[Dato]],"&lt;="&amp;EOMONTH(V$5,0),DWbonus[[Bookie]:[Bookie]],$K43)+SUMIFS(LayTable[[Faktisk res]:[Faktisk res]],LayTable[[Dato]:[Dato]],"&gt;="&amp;V$5,LayTable[[Dato]:[Dato]],"&lt;="&amp;EOMONTH(V$5,0),LayTable[[Bookmaker]:[Bookmaker]],$K43)+SUMIFS(BetTable[[AR_per_bookie]:[AR_per_bookie]],BetTable[[B1]:[B1]],$K43,BetTable[[Date]:[Date]], "&gt;="&amp;V$5,BetTable[[Date]:[Date]],"&lt;="&amp;EOMONTH(V$5,0))+SUMIFS(BetTable[[AR_per_bookie]:[AR_per_bookie]],BetTable[[B2]:[B2]],$K43,BetTable[[Date]:[Date]], "&gt;="&amp;V$5,BetTable[[Date]:[Date]],"&lt;="&amp;EOMONTH(V$5,0))+SUMIFS(BetTable[[AR_per_bookie]:[AR_per_bookie]],BetTable[[B3]:[B3]],$K43,BetTable[[Date]:[Date]], "&gt;="&amp;V$5,BetTable[[Date]:[Date]],"&lt;="&amp;EOMONTH(V$5,0))</f>
        <v>0</v>
      </c>
      <c r="W43" s="186">
        <f>SUMIFS(DWbonus[[Sum]:[Sum]],DWbonus[[Dato]:[Dato]], "&gt;="&amp;W$5,DWbonus[[Dato]:[Dato]],"&lt;="&amp;EOMONTH(W$5,0),DWbonus[[Bookie]:[Bookie]],$K43)+SUMIFS(LayTable[[Faktisk res]:[Faktisk res]],LayTable[[Dato]:[Dato]],"&gt;="&amp;W$5,LayTable[[Dato]:[Dato]],"&lt;="&amp;EOMONTH(W$5,0),LayTable[[Bookmaker]:[Bookmaker]],$K43)+SUMIFS(BetTable[[AR_per_bookie]:[AR_per_bookie]],BetTable[[B1]:[B1]],$K43,BetTable[[Date]:[Date]], "&gt;="&amp;W$5,BetTable[[Date]:[Date]],"&lt;="&amp;EOMONTH(W$5,0))+SUMIFS(BetTable[[AR_per_bookie]:[AR_per_bookie]],BetTable[[B2]:[B2]],$K43,BetTable[[Date]:[Date]], "&gt;="&amp;W$5,BetTable[[Date]:[Date]],"&lt;="&amp;EOMONTH(W$5,0))+SUMIFS(BetTable[[AR_per_bookie]:[AR_per_bookie]],BetTable[[B3]:[B3]],$K43,BetTable[[Date]:[Date]], "&gt;="&amp;W$5,BetTable[[Date]:[Date]],"&lt;="&amp;EOMONTH(W$5,0))</f>
        <v>0</v>
      </c>
    </row>
    <row r="44" spans="1:23">
      <c r="A44" s="174" t="s">
        <v>226</v>
      </c>
      <c r="B44" s="209">
        <v>1</v>
      </c>
      <c r="C44" s="174">
        <v>3000</v>
      </c>
      <c r="E44" s="174" t="s">
        <v>357</v>
      </c>
      <c r="K44" s="174" t="str">
        <f t="array" ref="K44">IFERROR(INDEX(BookieNavn!H$2:H$1251,SMALL(IF(EXACT(LEFT(BookieNavn!H$2:H$1251,2),M$3),ROW(BookieNavn!H$2:H$1251)-ROW(BookieNavn!H$2)+1),ROWS(BookieNavn!H$2:'BookieNavn'!H39))),"")</f>
        <v/>
      </c>
      <c r="L44" s="186">
        <f>SUMIFS(DWbonus[[Sum]:[Sum]],DWbonus[[Dato]:[Dato]], "&gt;="&amp;L$5,DWbonus[[Dato]:[Dato]],"&lt;="&amp;EOMONTH(L$5,0),DWbonus[[Bookie]:[Bookie]],$K44)+SUMIFS(LayTable[[Faktisk res]:[Faktisk res]],LayTable[[Dato]:[Dato]],"&gt;="&amp;L$5,LayTable[[Dato]:[Dato]],"&lt;="&amp;EOMONTH(L$5,0),LayTable[[Bookmaker]:[Bookmaker]],$K44)+SUMIFS(BetTable[[AR_per_bookie]:[AR_per_bookie]],BetTable[[B1]:[B1]],$K44,BetTable[[Date]:[Date]], "&gt;="&amp;L$5,BetTable[[Date]:[Date]],"&lt;="&amp;EOMONTH(L$5,0))+SUMIFS(BetTable[[AR_per_bookie]:[AR_per_bookie]],BetTable[[B2]:[B2]],$K44,BetTable[[Date]:[Date]], "&gt;="&amp;L$5,BetTable[[Date]:[Date]],"&lt;="&amp;EOMONTH(L$5,0))+SUMIFS(BetTable[[AR_per_bookie]:[AR_per_bookie]],BetTable[[B3]:[B3]],$K44,BetTable[[Date]:[Date]], "&gt;="&amp;L$5,BetTable[[Date]:[Date]],"&lt;="&amp;EOMONTH(L$5,0))</f>
        <v>0</v>
      </c>
      <c r="M44" s="186">
        <f>SUMIFS(DWbonus[[Sum]:[Sum]],DWbonus[[Dato]:[Dato]], "&gt;="&amp;M$5,DWbonus[[Dato]:[Dato]],"&lt;="&amp;EOMONTH(M$5,0),DWbonus[[Bookie]:[Bookie]],$K44)+SUMIFS(LayTable[[Faktisk res]:[Faktisk res]],LayTable[[Dato]:[Dato]],"&gt;="&amp;M$5,LayTable[[Dato]:[Dato]],"&lt;="&amp;EOMONTH(M$5,0),LayTable[[Bookmaker]:[Bookmaker]],$K44)+SUMIFS(BetTable[[AR_per_bookie]:[AR_per_bookie]],BetTable[[B1]:[B1]],$K44,BetTable[[Date]:[Date]], "&gt;="&amp;M$5,BetTable[[Date]:[Date]],"&lt;="&amp;EOMONTH(M$5,0))+SUMIFS(BetTable[[AR_per_bookie]:[AR_per_bookie]],BetTable[[B2]:[B2]],$K44,BetTable[[Date]:[Date]], "&gt;="&amp;M$5,BetTable[[Date]:[Date]],"&lt;="&amp;EOMONTH(M$5,0))+SUMIFS(BetTable[[AR_per_bookie]:[AR_per_bookie]],BetTable[[B3]:[B3]],$K44,BetTable[[Date]:[Date]], "&gt;="&amp;M$5,BetTable[[Date]:[Date]],"&lt;="&amp;EOMONTH(M$5,0))</f>
        <v>0</v>
      </c>
      <c r="N44" s="186">
        <f>SUMIFS(DWbonus[[Sum]:[Sum]],DWbonus[[Dato]:[Dato]], "&gt;="&amp;N$5,DWbonus[[Dato]:[Dato]],"&lt;="&amp;EOMONTH(N$5,0),DWbonus[[Bookie]:[Bookie]],$K44)+SUMIFS(LayTable[[Faktisk res]:[Faktisk res]],LayTable[[Dato]:[Dato]],"&gt;="&amp;N$5,LayTable[[Dato]:[Dato]],"&lt;="&amp;EOMONTH(N$5,0),LayTable[[Bookmaker]:[Bookmaker]],$K44)+SUMIFS(BetTable[[AR_per_bookie]:[AR_per_bookie]],BetTable[[B1]:[B1]],$K44,BetTable[[Date]:[Date]], "&gt;="&amp;N$5,BetTable[[Date]:[Date]],"&lt;="&amp;EOMONTH(N$5,0))+SUMIFS(BetTable[[AR_per_bookie]:[AR_per_bookie]],BetTable[[B2]:[B2]],$K44,BetTable[[Date]:[Date]], "&gt;="&amp;N$5,BetTable[[Date]:[Date]],"&lt;="&amp;EOMONTH(N$5,0))+SUMIFS(BetTable[[AR_per_bookie]:[AR_per_bookie]],BetTable[[B3]:[B3]],$K44,BetTable[[Date]:[Date]], "&gt;="&amp;N$5,BetTable[[Date]:[Date]],"&lt;="&amp;EOMONTH(N$5,0))</f>
        <v>0</v>
      </c>
      <c r="O44" s="186">
        <f>SUMIFS(DWbonus[[Sum]:[Sum]],DWbonus[[Dato]:[Dato]], "&gt;="&amp;O$5,DWbonus[[Dato]:[Dato]],"&lt;="&amp;EOMONTH(O$5,0),DWbonus[[Bookie]:[Bookie]],$K44)+SUMIFS(LayTable[[Faktisk res]:[Faktisk res]],LayTable[[Dato]:[Dato]],"&gt;="&amp;O$5,LayTable[[Dato]:[Dato]],"&lt;="&amp;EOMONTH(O$5,0),LayTable[[Bookmaker]:[Bookmaker]],$K44)+SUMIFS(BetTable[[AR_per_bookie]:[AR_per_bookie]],BetTable[[B1]:[B1]],$K44,BetTable[[Date]:[Date]], "&gt;="&amp;O$5,BetTable[[Date]:[Date]],"&lt;="&amp;EOMONTH(O$5,0))+SUMIFS(BetTable[[AR_per_bookie]:[AR_per_bookie]],BetTable[[B2]:[B2]],$K44,BetTable[[Date]:[Date]], "&gt;="&amp;O$5,BetTable[[Date]:[Date]],"&lt;="&amp;EOMONTH(O$5,0))+SUMIFS(BetTable[[AR_per_bookie]:[AR_per_bookie]],BetTable[[B3]:[B3]],$K44,BetTable[[Date]:[Date]], "&gt;="&amp;O$5,BetTable[[Date]:[Date]],"&lt;="&amp;EOMONTH(O$5,0))</f>
        <v>0</v>
      </c>
      <c r="P44" s="186">
        <f>SUMIFS(DWbonus[[Sum]:[Sum]],DWbonus[[Dato]:[Dato]], "&gt;="&amp;P$5,DWbonus[[Dato]:[Dato]],"&lt;="&amp;EOMONTH(P$5,0),DWbonus[[Bookie]:[Bookie]],$K44)+SUMIFS(LayTable[[Faktisk res]:[Faktisk res]],LayTable[[Dato]:[Dato]],"&gt;="&amp;P$5,LayTable[[Dato]:[Dato]],"&lt;="&amp;EOMONTH(P$5,0),LayTable[[Bookmaker]:[Bookmaker]],$K44)+SUMIFS(BetTable[[AR_per_bookie]:[AR_per_bookie]],BetTable[[B1]:[B1]],$K44,BetTable[[Date]:[Date]], "&gt;="&amp;P$5,BetTable[[Date]:[Date]],"&lt;="&amp;EOMONTH(P$5,0))+SUMIFS(BetTable[[AR_per_bookie]:[AR_per_bookie]],BetTable[[B2]:[B2]],$K44,BetTable[[Date]:[Date]], "&gt;="&amp;P$5,BetTable[[Date]:[Date]],"&lt;="&amp;EOMONTH(P$5,0))+SUMIFS(BetTable[[AR_per_bookie]:[AR_per_bookie]],BetTable[[B3]:[B3]],$K44,BetTable[[Date]:[Date]], "&gt;="&amp;P$5,BetTable[[Date]:[Date]],"&lt;="&amp;EOMONTH(P$5,0))</f>
        <v>0</v>
      </c>
      <c r="Q44" s="186">
        <f>SUMIFS(DWbonus[[Sum]:[Sum]],DWbonus[[Dato]:[Dato]], "&gt;="&amp;Q$5,DWbonus[[Dato]:[Dato]],"&lt;="&amp;EOMONTH(Q$5,0),DWbonus[[Bookie]:[Bookie]],$K44)+SUMIFS(LayTable[[Faktisk res]:[Faktisk res]],LayTable[[Dato]:[Dato]],"&gt;="&amp;Q$5,LayTable[[Dato]:[Dato]],"&lt;="&amp;EOMONTH(Q$5,0),LayTable[[Bookmaker]:[Bookmaker]],$K44)+SUMIFS(BetTable[[AR_per_bookie]:[AR_per_bookie]],BetTable[[B1]:[B1]],$K44,BetTable[[Date]:[Date]], "&gt;="&amp;Q$5,BetTable[[Date]:[Date]],"&lt;="&amp;EOMONTH(Q$5,0))+SUMIFS(BetTable[[AR_per_bookie]:[AR_per_bookie]],BetTable[[B2]:[B2]],$K44,BetTable[[Date]:[Date]], "&gt;="&amp;Q$5,BetTable[[Date]:[Date]],"&lt;="&amp;EOMONTH(Q$5,0))+SUMIFS(BetTable[[AR_per_bookie]:[AR_per_bookie]],BetTable[[B3]:[B3]],$K44,BetTable[[Date]:[Date]], "&gt;="&amp;Q$5,BetTable[[Date]:[Date]],"&lt;="&amp;EOMONTH(Q$5,0))</f>
        <v>0</v>
      </c>
      <c r="R44" s="186">
        <f>SUMIFS(DWbonus[[Sum]:[Sum]],DWbonus[[Dato]:[Dato]], "&gt;="&amp;R$5,DWbonus[[Dato]:[Dato]],"&lt;="&amp;EOMONTH(R$5,0),DWbonus[[Bookie]:[Bookie]],$K44)+SUMIFS(LayTable[[Faktisk res]:[Faktisk res]],LayTable[[Dato]:[Dato]],"&gt;="&amp;R$5,LayTable[[Dato]:[Dato]],"&lt;="&amp;EOMONTH(R$5,0),LayTable[[Bookmaker]:[Bookmaker]],$K44)+SUMIFS(BetTable[[AR_per_bookie]:[AR_per_bookie]],BetTable[[B1]:[B1]],$K44,BetTable[[Date]:[Date]], "&gt;="&amp;R$5,BetTable[[Date]:[Date]],"&lt;="&amp;EOMONTH(R$5,0))+SUMIFS(BetTable[[AR_per_bookie]:[AR_per_bookie]],BetTable[[B2]:[B2]],$K44,BetTable[[Date]:[Date]], "&gt;="&amp;R$5,BetTable[[Date]:[Date]],"&lt;="&amp;EOMONTH(R$5,0))+SUMIFS(BetTable[[AR_per_bookie]:[AR_per_bookie]],BetTable[[B3]:[B3]],$K44,BetTable[[Date]:[Date]], "&gt;="&amp;R$5,BetTable[[Date]:[Date]],"&lt;="&amp;EOMONTH(R$5,0))</f>
        <v>0</v>
      </c>
      <c r="S44" s="186">
        <f>SUMIFS(DWbonus[[Sum]:[Sum]],DWbonus[[Dato]:[Dato]], "&gt;="&amp;S$5,DWbonus[[Dato]:[Dato]],"&lt;="&amp;EOMONTH(S$5,0),DWbonus[[Bookie]:[Bookie]],$K44)+SUMIFS(LayTable[[Faktisk res]:[Faktisk res]],LayTable[[Dato]:[Dato]],"&gt;="&amp;S$5,LayTable[[Dato]:[Dato]],"&lt;="&amp;EOMONTH(S$5,0),LayTable[[Bookmaker]:[Bookmaker]],$K44)+SUMIFS(BetTable[[AR_per_bookie]:[AR_per_bookie]],BetTable[[B1]:[B1]],$K44,BetTable[[Date]:[Date]], "&gt;="&amp;S$5,BetTable[[Date]:[Date]],"&lt;="&amp;EOMONTH(S$5,0))+SUMIFS(BetTable[[AR_per_bookie]:[AR_per_bookie]],BetTable[[B2]:[B2]],$K44,BetTable[[Date]:[Date]], "&gt;="&amp;S$5,BetTable[[Date]:[Date]],"&lt;="&amp;EOMONTH(S$5,0))+SUMIFS(BetTable[[AR_per_bookie]:[AR_per_bookie]],BetTable[[B3]:[B3]],$K44,BetTable[[Date]:[Date]], "&gt;="&amp;S$5,BetTable[[Date]:[Date]],"&lt;="&amp;EOMONTH(S$5,0))</f>
        <v>0</v>
      </c>
      <c r="T44" s="186">
        <f>SUMIFS(DWbonus[[Sum]:[Sum]],DWbonus[[Dato]:[Dato]], "&gt;="&amp;T$5,DWbonus[[Dato]:[Dato]],"&lt;="&amp;EOMONTH(T$5,0),DWbonus[[Bookie]:[Bookie]],$K44)+SUMIFS(LayTable[[Faktisk res]:[Faktisk res]],LayTable[[Dato]:[Dato]],"&gt;="&amp;T$5,LayTable[[Dato]:[Dato]],"&lt;="&amp;EOMONTH(T$5,0),LayTable[[Bookmaker]:[Bookmaker]],$K44)+SUMIFS(BetTable[[AR_per_bookie]:[AR_per_bookie]],BetTable[[B1]:[B1]],$K44,BetTable[[Date]:[Date]], "&gt;="&amp;T$5,BetTable[[Date]:[Date]],"&lt;="&amp;EOMONTH(T$5,0))+SUMIFS(BetTable[[AR_per_bookie]:[AR_per_bookie]],BetTable[[B2]:[B2]],$K44,BetTable[[Date]:[Date]], "&gt;="&amp;T$5,BetTable[[Date]:[Date]],"&lt;="&amp;EOMONTH(T$5,0))+SUMIFS(BetTable[[AR_per_bookie]:[AR_per_bookie]],BetTable[[B3]:[B3]],$K44,BetTable[[Date]:[Date]], "&gt;="&amp;T$5,BetTable[[Date]:[Date]],"&lt;="&amp;EOMONTH(T$5,0))</f>
        <v>0</v>
      </c>
      <c r="U44" s="186">
        <f>SUMIFS(DWbonus[[Sum]:[Sum]],DWbonus[[Dato]:[Dato]], "&gt;="&amp;U$5,DWbonus[[Dato]:[Dato]],"&lt;="&amp;EOMONTH(U$5,0),DWbonus[[Bookie]:[Bookie]],$K44)+SUMIFS(LayTable[[Faktisk res]:[Faktisk res]],LayTable[[Dato]:[Dato]],"&gt;="&amp;U$5,LayTable[[Dato]:[Dato]],"&lt;="&amp;EOMONTH(U$5,0),LayTable[[Bookmaker]:[Bookmaker]],$K44)+SUMIFS(BetTable[[AR_per_bookie]:[AR_per_bookie]],BetTable[[B1]:[B1]],$K44,BetTable[[Date]:[Date]], "&gt;="&amp;U$5,BetTable[[Date]:[Date]],"&lt;="&amp;EOMONTH(U$5,0))+SUMIFS(BetTable[[AR_per_bookie]:[AR_per_bookie]],BetTable[[B2]:[B2]],$K44,BetTable[[Date]:[Date]], "&gt;="&amp;U$5,BetTable[[Date]:[Date]],"&lt;="&amp;EOMONTH(U$5,0))+SUMIFS(BetTable[[AR_per_bookie]:[AR_per_bookie]],BetTable[[B3]:[B3]],$K44,BetTable[[Date]:[Date]], "&gt;="&amp;U$5,BetTable[[Date]:[Date]],"&lt;="&amp;EOMONTH(U$5,0))</f>
        <v>0</v>
      </c>
      <c r="V44" s="186">
        <f>SUMIFS(DWbonus[[Sum]:[Sum]],DWbonus[[Dato]:[Dato]], "&gt;="&amp;V$5,DWbonus[[Dato]:[Dato]],"&lt;="&amp;EOMONTH(V$5,0),DWbonus[[Bookie]:[Bookie]],$K44)+SUMIFS(LayTable[[Faktisk res]:[Faktisk res]],LayTable[[Dato]:[Dato]],"&gt;="&amp;V$5,LayTable[[Dato]:[Dato]],"&lt;="&amp;EOMONTH(V$5,0),LayTable[[Bookmaker]:[Bookmaker]],$K44)+SUMIFS(BetTable[[AR_per_bookie]:[AR_per_bookie]],BetTable[[B1]:[B1]],$K44,BetTable[[Date]:[Date]], "&gt;="&amp;V$5,BetTable[[Date]:[Date]],"&lt;="&amp;EOMONTH(V$5,0))+SUMIFS(BetTable[[AR_per_bookie]:[AR_per_bookie]],BetTable[[B2]:[B2]],$K44,BetTable[[Date]:[Date]], "&gt;="&amp;V$5,BetTable[[Date]:[Date]],"&lt;="&amp;EOMONTH(V$5,0))+SUMIFS(BetTable[[AR_per_bookie]:[AR_per_bookie]],BetTable[[B3]:[B3]],$K44,BetTable[[Date]:[Date]], "&gt;="&amp;V$5,BetTable[[Date]:[Date]],"&lt;="&amp;EOMONTH(V$5,0))</f>
        <v>0</v>
      </c>
      <c r="W44" s="186">
        <f>SUMIFS(DWbonus[[Sum]:[Sum]],DWbonus[[Dato]:[Dato]], "&gt;="&amp;W$5,DWbonus[[Dato]:[Dato]],"&lt;="&amp;EOMONTH(W$5,0),DWbonus[[Bookie]:[Bookie]],$K44)+SUMIFS(LayTable[[Faktisk res]:[Faktisk res]],LayTable[[Dato]:[Dato]],"&gt;="&amp;W$5,LayTable[[Dato]:[Dato]],"&lt;="&amp;EOMONTH(W$5,0),LayTable[[Bookmaker]:[Bookmaker]],$K44)+SUMIFS(BetTable[[AR_per_bookie]:[AR_per_bookie]],BetTable[[B1]:[B1]],$K44,BetTable[[Date]:[Date]], "&gt;="&amp;W$5,BetTable[[Date]:[Date]],"&lt;="&amp;EOMONTH(W$5,0))+SUMIFS(BetTable[[AR_per_bookie]:[AR_per_bookie]],BetTable[[B2]:[B2]],$K44,BetTable[[Date]:[Date]], "&gt;="&amp;W$5,BetTable[[Date]:[Date]],"&lt;="&amp;EOMONTH(W$5,0))+SUMIFS(BetTable[[AR_per_bookie]:[AR_per_bookie]],BetTable[[B3]:[B3]],$K44,BetTable[[Date]:[Date]], "&gt;="&amp;W$5,BetTable[[Date]:[Date]],"&lt;="&amp;EOMONTH(W$5,0))</f>
        <v>0</v>
      </c>
    </row>
    <row r="45" spans="1:23">
      <c r="A45" s="174" t="s">
        <v>228</v>
      </c>
      <c r="B45" s="209">
        <v>1</v>
      </c>
      <c r="C45" s="174">
        <v>2000</v>
      </c>
      <c r="K45" s="174" t="str">
        <f t="array" ref="K45">IFERROR(INDEX(BookieNavn!H$2:H$1251,SMALL(IF(EXACT(LEFT(BookieNavn!H$2:H$1251,2),M$3),ROW(BookieNavn!H$2:H$1251)-ROW(BookieNavn!H$2)+1),ROWS(BookieNavn!H$2:'BookieNavn'!H40))),"")</f>
        <v/>
      </c>
      <c r="L45" s="186">
        <f>SUMIFS(DWbonus[[Sum]:[Sum]],DWbonus[[Dato]:[Dato]], "&gt;="&amp;L$5,DWbonus[[Dato]:[Dato]],"&lt;="&amp;EOMONTH(L$5,0),DWbonus[[Bookie]:[Bookie]],$K45)+SUMIFS(LayTable[[Faktisk res]:[Faktisk res]],LayTable[[Dato]:[Dato]],"&gt;="&amp;L$5,LayTable[[Dato]:[Dato]],"&lt;="&amp;EOMONTH(L$5,0),LayTable[[Bookmaker]:[Bookmaker]],$K45)+SUMIFS(BetTable[[AR_per_bookie]:[AR_per_bookie]],BetTable[[B1]:[B1]],$K45,BetTable[[Date]:[Date]], "&gt;="&amp;L$5,BetTable[[Date]:[Date]],"&lt;="&amp;EOMONTH(L$5,0))+SUMIFS(BetTable[[AR_per_bookie]:[AR_per_bookie]],BetTable[[B2]:[B2]],$K45,BetTable[[Date]:[Date]], "&gt;="&amp;L$5,BetTable[[Date]:[Date]],"&lt;="&amp;EOMONTH(L$5,0))+SUMIFS(BetTable[[AR_per_bookie]:[AR_per_bookie]],BetTable[[B3]:[B3]],$K45,BetTable[[Date]:[Date]], "&gt;="&amp;L$5,BetTable[[Date]:[Date]],"&lt;="&amp;EOMONTH(L$5,0))</f>
        <v>0</v>
      </c>
      <c r="M45" s="186">
        <f>SUMIFS(DWbonus[[Sum]:[Sum]],DWbonus[[Dato]:[Dato]], "&gt;="&amp;M$5,DWbonus[[Dato]:[Dato]],"&lt;="&amp;EOMONTH(M$5,0),DWbonus[[Bookie]:[Bookie]],$K45)+SUMIFS(LayTable[[Faktisk res]:[Faktisk res]],LayTable[[Dato]:[Dato]],"&gt;="&amp;M$5,LayTable[[Dato]:[Dato]],"&lt;="&amp;EOMONTH(M$5,0),LayTable[[Bookmaker]:[Bookmaker]],$K45)+SUMIFS(BetTable[[AR_per_bookie]:[AR_per_bookie]],BetTable[[B1]:[B1]],$K45,BetTable[[Date]:[Date]], "&gt;="&amp;M$5,BetTable[[Date]:[Date]],"&lt;="&amp;EOMONTH(M$5,0))+SUMIFS(BetTable[[AR_per_bookie]:[AR_per_bookie]],BetTable[[B2]:[B2]],$K45,BetTable[[Date]:[Date]], "&gt;="&amp;M$5,BetTable[[Date]:[Date]],"&lt;="&amp;EOMONTH(M$5,0))+SUMIFS(BetTable[[AR_per_bookie]:[AR_per_bookie]],BetTable[[B3]:[B3]],$K45,BetTable[[Date]:[Date]], "&gt;="&amp;M$5,BetTable[[Date]:[Date]],"&lt;="&amp;EOMONTH(M$5,0))</f>
        <v>0</v>
      </c>
      <c r="N45" s="186">
        <f>SUMIFS(DWbonus[[Sum]:[Sum]],DWbonus[[Dato]:[Dato]], "&gt;="&amp;N$5,DWbonus[[Dato]:[Dato]],"&lt;="&amp;EOMONTH(N$5,0),DWbonus[[Bookie]:[Bookie]],$K45)+SUMIFS(LayTable[[Faktisk res]:[Faktisk res]],LayTable[[Dato]:[Dato]],"&gt;="&amp;N$5,LayTable[[Dato]:[Dato]],"&lt;="&amp;EOMONTH(N$5,0),LayTable[[Bookmaker]:[Bookmaker]],$K45)+SUMIFS(BetTable[[AR_per_bookie]:[AR_per_bookie]],BetTable[[B1]:[B1]],$K45,BetTable[[Date]:[Date]], "&gt;="&amp;N$5,BetTable[[Date]:[Date]],"&lt;="&amp;EOMONTH(N$5,0))+SUMIFS(BetTable[[AR_per_bookie]:[AR_per_bookie]],BetTable[[B2]:[B2]],$K45,BetTable[[Date]:[Date]], "&gt;="&amp;N$5,BetTable[[Date]:[Date]],"&lt;="&amp;EOMONTH(N$5,0))+SUMIFS(BetTable[[AR_per_bookie]:[AR_per_bookie]],BetTable[[B3]:[B3]],$K45,BetTable[[Date]:[Date]], "&gt;="&amp;N$5,BetTable[[Date]:[Date]],"&lt;="&amp;EOMONTH(N$5,0))</f>
        <v>0</v>
      </c>
      <c r="O45" s="186">
        <f>SUMIFS(DWbonus[[Sum]:[Sum]],DWbonus[[Dato]:[Dato]], "&gt;="&amp;O$5,DWbonus[[Dato]:[Dato]],"&lt;="&amp;EOMONTH(O$5,0),DWbonus[[Bookie]:[Bookie]],$K45)+SUMIFS(LayTable[[Faktisk res]:[Faktisk res]],LayTable[[Dato]:[Dato]],"&gt;="&amp;O$5,LayTable[[Dato]:[Dato]],"&lt;="&amp;EOMONTH(O$5,0),LayTable[[Bookmaker]:[Bookmaker]],$K45)+SUMIFS(BetTable[[AR_per_bookie]:[AR_per_bookie]],BetTable[[B1]:[B1]],$K45,BetTable[[Date]:[Date]], "&gt;="&amp;O$5,BetTable[[Date]:[Date]],"&lt;="&amp;EOMONTH(O$5,0))+SUMIFS(BetTable[[AR_per_bookie]:[AR_per_bookie]],BetTable[[B2]:[B2]],$K45,BetTable[[Date]:[Date]], "&gt;="&amp;O$5,BetTable[[Date]:[Date]],"&lt;="&amp;EOMONTH(O$5,0))+SUMIFS(BetTable[[AR_per_bookie]:[AR_per_bookie]],BetTable[[B3]:[B3]],$K45,BetTable[[Date]:[Date]], "&gt;="&amp;O$5,BetTable[[Date]:[Date]],"&lt;="&amp;EOMONTH(O$5,0))</f>
        <v>0</v>
      </c>
      <c r="P45" s="186">
        <f>SUMIFS(DWbonus[[Sum]:[Sum]],DWbonus[[Dato]:[Dato]], "&gt;="&amp;P$5,DWbonus[[Dato]:[Dato]],"&lt;="&amp;EOMONTH(P$5,0),DWbonus[[Bookie]:[Bookie]],$K45)+SUMIFS(LayTable[[Faktisk res]:[Faktisk res]],LayTable[[Dato]:[Dato]],"&gt;="&amp;P$5,LayTable[[Dato]:[Dato]],"&lt;="&amp;EOMONTH(P$5,0),LayTable[[Bookmaker]:[Bookmaker]],$K45)+SUMIFS(BetTable[[AR_per_bookie]:[AR_per_bookie]],BetTable[[B1]:[B1]],$K45,BetTable[[Date]:[Date]], "&gt;="&amp;P$5,BetTable[[Date]:[Date]],"&lt;="&amp;EOMONTH(P$5,0))+SUMIFS(BetTable[[AR_per_bookie]:[AR_per_bookie]],BetTable[[B2]:[B2]],$K45,BetTable[[Date]:[Date]], "&gt;="&amp;P$5,BetTable[[Date]:[Date]],"&lt;="&amp;EOMONTH(P$5,0))+SUMIFS(BetTable[[AR_per_bookie]:[AR_per_bookie]],BetTable[[B3]:[B3]],$K45,BetTable[[Date]:[Date]], "&gt;="&amp;P$5,BetTable[[Date]:[Date]],"&lt;="&amp;EOMONTH(P$5,0))</f>
        <v>0</v>
      </c>
      <c r="Q45" s="186">
        <f>SUMIFS(DWbonus[[Sum]:[Sum]],DWbonus[[Dato]:[Dato]], "&gt;="&amp;Q$5,DWbonus[[Dato]:[Dato]],"&lt;="&amp;EOMONTH(Q$5,0),DWbonus[[Bookie]:[Bookie]],$K45)+SUMIFS(LayTable[[Faktisk res]:[Faktisk res]],LayTable[[Dato]:[Dato]],"&gt;="&amp;Q$5,LayTable[[Dato]:[Dato]],"&lt;="&amp;EOMONTH(Q$5,0),LayTable[[Bookmaker]:[Bookmaker]],$K45)+SUMIFS(BetTable[[AR_per_bookie]:[AR_per_bookie]],BetTable[[B1]:[B1]],$K45,BetTable[[Date]:[Date]], "&gt;="&amp;Q$5,BetTable[[Date]:[Date]],"&lt;="&amp;EOMONTH(Q$5,0))+SUMIFS(BetTable[[AR_per_bookie]:[AR_per_bookie]],BetTable[[B2]:[B2]],$K45,BetTable[[Date]:[Date]], "&gt;="&amp;Q$5,BetTable[[Date]:[Date]],"&lt;="&amp;EOMONTH(Q$5,0))+SUMIFS(BetTable[[AR_per_bookie]:[AR_per_bookie]],BetTable[[B3]:[B3]],$K45,BetTable[[Date]:[Date]], "&gt;="&amp;Q$5,BetTable[[Date]:[Date]],"&lt;="&amp;EOMONTH(Q$5,0))</f>
        <v>0</v>
      </c>
      <c r="R45" s="186">
        <f>SUMIFS(DWbonus[[Sum]:[Sum]],DWbonus[[Dato]:[Dato]], "&gt;="&amp;R$5,DWbonus[[Dato]:[Dato]],"&lt;="&amp;EOMONTH(R$5,0),DWbonus[[Bookie]:[Bookie]],$K45)+SUMIFS(LayTable[[Faktisk res]:[Faktisk res]],LayTable[[Dato]:[Dato]],"&gt;="&amp;R$5,LayTable[[Dato]:[Dato]],"&lt;="&amp;EOMONTH(R$5,0),LayTable[[Bookmaker]:[Bookmaker]],$K45)+SUMIFS(BetTable[[AR_per_bookie]:[AR_per_bookie]],BetTable[[B1]:[B1]],$K45,BetTable[[Date]:[Date]], "&gt;="&amp;R$5,BetTable[[Date]:[Date]],"&lt;="&amp;EOMONTH(R$5,0))+SUMIFS(BetTable[[AR_per_bookie]:[AR_per_bookie]],BetTable[[B2]:[B2]],$K45,BetTable[[Date]:[Date]], "&gt;="&amp;R$5,BetTable[[Date]:[Date]],"&lt;="&amp;EOMONTH(R$5,0))+SUMIFS(BetTable[[AR_per_bookie]:[AR_per_bookie]],BetTable[[B3]:[B3]],$K45,BetTable[[Date]:[Date]], "&gt;="&amp;R$5,BetTable[[Date]:[Date]],"&lt;="&amp;EOMONTH(R$5,0))</f>
        <v>0</v>
      </c>
      <c r="S45" s="186">
        <f>SUMIFS(DWbonus[[Sum]:[Sum]],DWbonus[[Dato]:[Dato]], "&gt;="&amp;S$5,DWbonus[[Dato]:[Dato]],"&lt;="&amp;EOMONTH(S$5,0),DWbonus[[Bookie]:[Bookie]],$K45)+SUMIFS(LayTable[[Faktisk res]:[Faktisk res]],LayTable[[Dato]:[Dato]],"&gt;="&amp;S$5,LayTable[[Dato]:[Dato]],"&lt;="&amp;EOMONTH(S$5,0),LayTable[[Bookmaker]:[Bookmaker]],$K45)+SUMIFS(BetTable[[AR_per_bookie]:[AR_per_bookie]],BetTable[[B1]:[B1]],$K45,BetTable[[Date]:[Date]], "&gt;="&amp;S$5,BetTable[[Date]:[Date]],"&lt;="&amp;EOMONTH(S$5,0))+SUMIFS(BetTable[[AR_per_bookie]:[AR_per_bookie]],BetTable[[B2]:[B2]],$K45,BetTable[[Date]:[Date]], "&gt;="&amp;S$5,BetTable[[Date]:[Date]],"&lt;="&amp;EOMONTH(S$5,0))+SUMIFS(BetTable[[AR_per_bookie]:[AR_per_bookie]],BetTable[[B3]:[B3]],$K45,BetTable[[Date]:[Date]], "&gt;="&amp;S$5,BetTable[[Date]:[Date]],"&lt;="&amp;EOMONTH(S$5,0))</f>
        <v>0</v>
      </c>
      <c r="T45" s="186">
        <f>SUMIFS(DWbonus[[Sum]:[Sum]],DWbonus[[Dato]:[Dato]], "&gt;="&amp;T$5,DWbonus[[Dato]:[Dato]],"&lt;="&amp;EOMONTH(T$5,0),DWbonus[[Bookie]:[Bookie]],$K45)+SUMIFS(LayTable[[Faktisk res]:[Faktisk res]],LayTable[[Dato]:[Dato]],"&gt;="&amp;T$5,LayTable[[Dato]:[Dato]],"&lt;="&amp;EOMONTH(T$5,0),LayTable[[Bookmaker]:[Bookmaker]],$K45)+SUMIFS(BetTable[[AR_per_bookie]:[AR_per_bookie]],BetTable[[B1]:[B1]],$K45,BetTable[[Date]:[Date]], "&gt;="&amp;T$5,BetTable[[Date]:[Date]],"&lt;="&amp;EOMONTH(T$5,0))+SUMIFS(BetTable[[AR_per_bookie]:[AR_per_bookie]],BetTable[[B2]:[B2]],$K45,BetTable[[Date]:[Date]], "&gt;="&amp;T$5,BetTable[[Date]:[Date]],"&lt;="&amp;EOMONTH(T$5,0))+SUMIFS(BetTable[[AR_per_bookie]:[AR_per_bookie]],BetTable[[B3]:[B3]],$K45,BetTable[[Date]:[Date]], "&gt;="&amp;T$5,BetTable[[Date]:[Date]],"&lt;="&amp;EOMONTH(T$5,0))</f>
        <v>0</v>
      </c>
      <c r="U45" s="186">
        <f>SUMIFS(DWbonus[[Sum]:[Sum]],DWbonus[[Dato]:[Dato]], "&gt;="&amp;U$5,DWbonus[[Dato]:[Dato]],"&lt;="&amp;EOMONTH(U$5,0),DWbonus[[Bookie]:[Bookie]],$K45)+SUMIFS(LayTable[[Faktisk res]:[Faktisk res]],LayTable[[Dato]:[Dato]],"&gt;="&amp;U$5,LayTable[[Dato]:[Dato]],"&lt;="&amp;EOMONTH(U$5,0),LayTable[[Bookmaker]:[Bookmaker]],$K45)+SUMIFS(BetTable[[AR_per_bookie]:[AR_per_bookie]],BetTable[[B1]:[B1]],$K45,BetTable[[Date]:[Date]], "&gt;="&amp;U$5,BetTable[[Date]:[Date]],"&lt;="&amp;EOMONTH(U$5,0))+SUMIFS(BetTable[[AR_per_bookie]:[AR_per_bookie]],BetTable[[B2]:[B2]],$K45,BetTable[[Date]:[Date]], "&gt;="&amp;U$5,BetTable[[Date]:[Date]],"&lt;="&amp;EOMONTH(U$5,0))+SUMIFS(BetTable[[AR_per_bookie]:[AR_per_bookie]],BetTable[[B3]:[B3]],$K45,BetTable[[Date]:[Date]], "&gt;="&amp;U$5,BetTable[[Date]:[Date]],"&lt;="&amp;EOMONTH(U$5,0))</f>
        <v>0</v>
      </c>
      <c r="V45" s="186">
        <f>SUMIFS(DWbonus[[Sum]:[Sum]],DWbonus[[Dato]:[Dato]], "&gt;="&amp;V$5,DWbonus[[Dato]:[Dato]],"&lt;="&amp;EOMONTH(V$5,0),DWbonus[[Bookie]:[Bookie]],$K45)+SUMIFS(LayTable[[Faktisk res]:[Faktisk res]],LayTable[[Dato]:[Dato]],"&gt;="&amp;V$5,LayTable[[Dato]:[Dato]],"&lt;="&amp;EOMONTH(V$5,0),LayTable[[Bookmaker]:[Bookmaker]],$K45)+SUMIFS(BetTable[[AR_per_bookie]:[AR_per_bookie]],BetTable[[B1]:[B1]],$K45,BetTable[[Date]:[Date]], "&gt;="&amp;V$5,BetTable[[Date]:[Date]],"&lt;="&amp;EOMONTH(V$5,0))+SUMIFS(BetTable[[AR_per_bookie]:[AR_per_bookie]],BetTable[[B2]:[B2]],$K45,BetTable[[Date]:[Date]], "&gt;="&amp;V$5,BetTable[[Date]:[Date]],"&lt;="&amp;EOMONTH(V$5,0))+SUMIFS(BetTable[[AR_per_bookie]:[AR_per_bookie]],BetTable[[B3]:[B3]],$K45,BetTable[[Date]:[Date]], "&gt;="&amp;V$5,BetTable[[Date]:[Date]],"&lt;="&amp;EOMONTH(V$5,0))</f>
        <v>0</v>
      </c>
      <c r="W45" s="186">
        <f>SUMIFS(DWbonus[[Sum]:[Sum]],DWbonus[[Dato]:[Dato]], "&gt;="&amp;W$5,DWbonus[[Dato]:[Dato]],"&lt;="&amp;EOMONTH(W$5,0),DWbonus[[Bookie]:[Bookie]],$K45)+SUMIFS(LayTable[[Faktisk res]:[Faktisk res]],LayTable[[Dato]:[Dato]],"&gt;="&amp;W$5,LayTable[[Dato]:[Dato]],"&lt;="&amp;EOMONTH(W$5,0),LayTable[[Bookmaker]:[Bookmaker]],$K45)+SUMIFS(BetTable[[AR_per_bookie]:[AR_per_bookie]],BetTable[[B1]:[B1]],$K45,BetTable[[Date]:[Date]], "&gt;="&amp;W$5,BetTable[[Date]:[Date]],"&lt;="&amp;EOMONTH(W$5,0))+SUMIFS(BetTable[[AR_per_bookie]:[AR_per_bookie]],BetTable[[B2]:[B2]],$K45,BetTable[[Date]:[Date]], "&gt;="&amp;W$5,BetTable[[Date]:[Date]],"&lt;="&amp;EOMONTH(W$5,0))+SUMIFS(BetTable[[AR_per_bookie]:[AR_per_bookie]],BetTable[[B3]:[B3]],$K45,BetTable[[Date]:[Date]], "&gt;="&amp;W$5,BetTable[[Date]:[Date]],"&lt;="&amp;EOMONTH(W$5,0))</f>
        <v>0</v>
      </c>
    </row>
    <row r="46" spans="1:23">
      <c r="A46" s="174" t="s">
        <v>233</v>
      </c>
      <c r="B46" s="209">
        <v>1</v>
      </c>
      <c r="C46" s="174">
        <v>2500</v>
      </c>
      <c r="E46" s="174" t="s">
        <v>357</v>
      </c>
      <c r="K46" s="174" t="str">
        <f t="array" ref="K46">IFERROR(INDEX(BookieNavn!H$2:H$1251,SMALL(IF(EXACT(LEFT(BookieNavn!H$2:H$1251,2),M$3),ROW(BookieNavn!H$2:H$1251)-ROW(BookieNavn!H$2)+1),ROWS(BookieNavn!H$2:'BookieNavn'!H41))),"")</f>
        <v/>
      </c>
      <c r="L46" s="186">
        <f>SUMIFS(DWbonus[[Sum]:[Sum]],DWbonus[[Dato]:[Dato]], "&gt;="&amp;L$5,DWbonus[[Dato]:[Dato]],"&lt;="&amp;EOMONTH(L$5,0),DWbonus[[Bookie]:[Bookie]],$K46)+SUMIFS(LayTable[[Faktisk res]:[Faktisk res]],LayTable[[Dato]:[Dato]],"&gt;="&amp;L$5,LayTable[[Dato]:[Dato]],"&lt;="&amp;EOMONTH(L$5,0),LayTable[[Bookmaker]:[Bookmaker]],$K46)+SUMIFS(BetTable[[AR_per_bookie]:[AR_per_bookie]],BetTable[[B1]:[B1]],$K46,BetTable[[Date]:[Date]], "&gt;="&amp;L$5,BetTable[[Date]:[Date]],"&lt;="&amp;EOMONTH(L$5,0))+SUMIFS(BetTable[[AR_per_bookie]:[AR_per_bookie]],BetTable[[B2]:[B2]],$K46,BetTable[[Date]:[Date]], "&gt;="&amp;L$5,BetTable[[Date]:[Date]],"&lt;="&amp;EOMONTH(L$5,0))+SUMIFS(BetTable[[AR_per_bookie]:[AR_per_bookie]],BetTable[[B3]:[B3]],$K46,BetTable[[Date]:[Date]], "&gt;="&amp;L$5,BetTable[[Date]:[Date]],"&lt;="&amp;EOMONTH(L$5,0))</f>
        <v>0</v>
      </c>
      <c r="M46" s="186">
        <f>SUMIFS(DWbonus[[Sum]:[Sum]],DWbonus[[Dato]:[Dato]], "&gt;="&amp;M$5,DWbonus[[Dato]:[Dato]],"&lt;="&amp;EOMONTH(M$5,0),DWbonus[[Bookie]:[Bookie]],$K46)+SUMIFS(LayTable[[Faktisk res]:[Faktisk res]],LayTable[[Dato]:[Dato]],"&gt;="&amp;M$5,LayTable[[Dato]:[Dato]],"&lt;="&amp;EOMONTH(M$5,0),LayTable[[Bookmaker]:[Bookmaker]],$K46)+SUMIFS(BetTable[[AR_per_bookie]:[AR_per_bookie]],BetTable[[B1]:[B1]],$K46,BetTable[[Date]:[Date]], "&gt;="&amp;M$5,BetTable[[Date]:[Date]],"&lt;="&amp;EOMONTH(M$5,0))+SUMIFS(BetTable[[AR_per_bookie]:[AR_per_bookie]],BetTable[[B2]:[B2]],$K46,BetTable[[Date]:[Date]], "&gt;="&amp;M$5,BetTable[[Date]:[Date]],"&lt;="&amp;EOMONTH(M$5,0))+SUMIFS(BetTable[[AR_per_bookie]:[AR_per_bookie]],BetTable[[B3]:[B3]],$K46,BetTable[[Date]:[Date]], "&gt;="&amp;M$5,BetTable[[Date]:[Date]],"&lt;="&amp;EOMONTH(M$5,0))</f>
        <v>0</v>
      </c>
      <c r="N46" s="186">
        <f>SUMIFS(DWbonus[[Sum]:[Sum]],DWbonus[[Dato]:[Dato]], "&gt;="&amp;N$5,DWbonus[[Dato]:[Dato]],"&lt;="&amp;EOMONTH(N$5,0),DWbonus[[Bookie]:[Bookie]],$K46)+SUMIFS(LayTable[[Faktisk res]:[Faktisk res]],LayTable[[Dato]:[Dato]],"&gt;="&amp;N$5,LayTable[[Dato]:[Dato]],"&lt;="&amp;EOMONTH(N$5,0),LayTable[[Bookmaker]:[Bookmaker]],$K46)+SUMIFS(BetTable[[AR_per_bookie]:[AR_per_bookie]],BetTable[[B1]:[B1]],$K46,BetTable[[Date]:[Date]], "&gt;="&amp;N$5,BetTable[[Date]:[Date]],"&lt;="&amp;EOMONTH(N$5,0))+SUMIFS(BetTable[[AR_per_bookie]:[AR_per_bookie]],BetTable[[B2]:[B2]],$K46,BetTable[[Date]:[Date]], "&gt;="&amp;N$5,BetTable[[Date]:[Date]],"&lt;="&amp;EOMONTH(N$5,0))+SUMIFS(BetTable[[AR_per_bookie]:[AR_per_bookie]],BetTable[[B3]:[B3]],$K46,BetTable[[Date]:[Date]], "&gt;="&amp;N$5,BetTable[[Date]:[Date]],"&lt;="&amp;EOMONTH(N$5,0))</f>
        <v>0</v>
      </c>
      <c r="O46" s="186">
        <f>SUMIFS(DWbonus[[Sum]:[Sum]],DWbonus[[Dato]:[Dato]], "&gt;="&amp;O$5,DWbonus[[Dato]:[Dato]],"&lt;="&amp;EOMONTH(O$5,0),DWbonus[[Bookie]:[Bookie]],$K46)+SUMIFS(LayTable[[Faktisk res]:[Faktisk res]],LayTable[[Dato]:[Dato]],"&gt;="&amp;O$5,LayTable[[Dato]:[Dato]],"&lt;="&amp;EOMONTH(O$5,0),LayTable[[Bookmaker]:[Bookmaker]],$K46)+SUMIFS(BetTable[[AR_per_bookie]:[AR_per_bookie]],BetTable[[B1]:[B1]],$K46,BetTable[[Date]:[Date]], "&gt;="&amp;O$5,BetTable[[Date]:[Date]],"&lt;="&amp;EOMONTH(O$5,0))+SUMIFS(BetTable[[AR_per_bookie]:[AR_per_bookie]],BetTable[[B2]:[B2]],$K46,BetTable[[Date]:[Date]], "&gt;="&amp;O$5,BetTable[[Date]:[Date]],"&lt;="&amp;EOMONTH(O$5,0))+SUMIFS(BetTable[[AR_per_bookie]:[AR_per_bookie]],BetTable[[B3]:[B3]],$K46,BetTable[[Date]:[Date]], "&gt;="&amp;O$5,BetTable[[Date]:[Date]],"&lt;="&amp;EOMONTH(O$5,0))</f>
        <v>0</v>
      </c>
      <c r="P46" s="186">
        <f>SUMIFS(DWbonus[[Sum]:[Sum]],DWbonus[[Dato]:[Dato]], "&gt;="&amp;P$5,DWbonus[[Dato]:[Dato]],"&lt;="&amp;EOMONTH(P$5,0),DWbonus[[Bookie]:[Bookie]],$K46)+SUMIFS(LayTable[[Faktisk res]:[Faktisk res]],LayTable[[Dato]:[Dato]],"&gt;="&amp;P$5,LayTable[[Dato]:[Dato]],"&lt;="&amp;EOMONTH(P$5,0),LayTable[[Bookmaker]:[Bookmaker]],$K46)+SUMIFS(BetTable[[AR_per_bookie]:[AR_per_bookie]],BetTable[[B1]:[B1]],$K46,BetTable[[Date]:[Date]], "&gt;="&amp;P$5,BetTable[[Date]:[Date]],"&lt;="&amp;EOMONTH(P$5,0))+SUMIFS(BetTable[[AR_per_bookie]:[AR_per_bookie]],BetTable[[B2]:[B2]],$K46,BetTable[[Date]:[Date]], "&gt;="&amp;P$5,BetTable[[Date]:[Date]],"&lt;="&amp;EOMONTH(P$5,0))+SUMIFS(BetTable[[AR_per_bookie]:[AR_per_bookie]],BetTable[[B3]:[B3]],$K46,BetTable[[Date]:[Date]], "&gt;="&amp;P$5,BetTable[[Date]:[Date]],"&lt;="&amp;EOMONTH(P$5,0))</f>
        <v>0</v>
      </c>
      <c r="Q46" s="186">
        <f>SUMIFS(DWbonus[[Sum]:[Sum]],DWbonus[[Dato]:[Dato]], "&gt;="&amp;Q$5,DWbonus[[Dato]:[Dato]],"&lt;="&amp;EOMONTH(Q$5,0),DWbonus[[Bookie]:[Bookie]],$K46)+SUMIFS(LayTable[[Faktisk res]:[Faktisk res]],LayTable[[Dato]:[Dato]],"&gt;="&amp;Q$5,LayTable[[Dato]:[Dato]],"&lt;="&amp;EOMONTH(Q$5,0),LayTable[[Bookmaker]:[Bookmaker]],$K46)+SUMIFS(BetTable[[AR_per_bookie]:[AR_per_bookie]],BetTable[[B1]:[B1]],$K46,BetTable[[Date]:[Date]], "&gt;="&amp;Q$5,BetTable[[Date]:[Date]],"&lt;="&amp;EOMONTH(Q$5,0))+SUMIFS(BetTable[[AR_per_bookie]:[AR_per_bookie]],BetTable[[B2]:[B2]],$K46,BetTable[[Date]:[Date]], "&gt;="&amp;Q$5,BetTable[[Date]:[Date]],"&lt;="&amp;EOMONTH(Q$5,0))+SUMIFS(BetTable[[AR_per_bookie]:[AR_per_bookie]],BetTable[[B3]:[B3]],$K46,BetTable[[Date]:[Date]], "&gt;="&amp;Q$5,BetTable[[Date]:[Date]],"&lt;="&amp;EOMONTH(Q$5,0))</f>
        <v>0</v>
      </c>
      <c r="R46" s="186">
        <f>SUMIFS(DWbonus[[Sum]:[Sum]],DWbonus[[Dato]:[Dato]], "&gt;="&amp;R$5,DWbonus[[Dato]:[Dato]],"&lt;="&amp;EOMONTH(R$5,0),DWbonus[[Bookie]:[Bookie]],$K46)+SUMIFS(LayTable[[Faktisk res]:[Faktisk res]],LayTable[[Dato]:[Dato]],"&gt;="&amp;R$5,LayTable[[Dato]:[Dato]],"&lt;="&amp;EOMONTH(R$5,0),LayTable[[Bookmaker]:[Bookmaker]],$K46)+SUMIFS(BetTable[[AR_per_bookie]:[AR_per_bookie]],BetTable[[B1]:[B1]],$K46,BetTable[[Date]:[Date]], "&gt;="&amp;R$5,BetTable[[Date]:[Date]],"&lt;="&amp;EOMONTH(R$5,0))+SUMIFS(BetTable[[AR_per_bookie]:[AR_per_bookie]],BetTable[[B2]:[B2]],$K46,BetTable[[Date]:[Date]], "&gt;="&amp;R$5,BetTable[[Date]:[Date]],"&lt;="&amp;EOMONTH(R$5,0))+SUMIFS(BetTable[[AR_per_bookie]:[AR_per_bookie]],BetTable[[B3]:[B3]],$K46,BetTable[[Date]:[Date]], "&gt;="&amp;R$5,BetTable[[Date]:[Date]],"&lt;="&amp;EOMONTH(R$5,0))</f>
        <v>0</v>
      </c>
      <c r="S46" s="186">
        <f>SUMIFS(DWbonus[[Sum]:[Sum]],DWbonus[[Dato]:[Dato]], "&gt;="&amp;S$5,DWbonus[[Dato]:[Dato]],"&lt;="&amp;EOMONTH(S$5,0),DWbonus[[Bookie]:[Bookie]],$K46)+SUMIFS(LayTable[[Faktisk res]:[Faktisk res]],LayTable[[Dato]:[Dato]],"&gt;="&amp;S$5,LayTable[[Dato]:[Dato]],"&lt;="&amp;EOMONTH(S$5,0),LayTable[[Bookmaker]:[Bookmaker]],$K46)+SUMIFS(BetTable[[AR_per_bookie]:[AR_per_bookie]],BetTable[[B1]:[B1]],$K46,BetTable[[Date]:[Date]], "&gt;="&amp;S$5,BetTable[[Date]:[Date]],"&lt;="&amp;EOMONTH(S$5,0))+SUMIFS(BetTable[[AR_per_bookie]:[AR_per_bookie]],BetTable[[B2]:[B2]],$K46,BetTable[[Date]:[Date]], "&gt;="&amp;S$5,BetTable[[Date]:[Date]],"&lt;="&amp;EOMONTH(S$5,0))+SUMIFS(BetTable[[AR_per_bookie]:[AR_per_bookie]],BetTable[[B3]:[B3]],$K46,BetTable[[Date]:[Date]], "&gt;="&amp;S$5,BetTable[[Date]:[Date]],"&lt;="&amp;EOMONTH(S$5,0))</f>
        <v>0</v>
      </c>
      <c r="T46" s="186">
        <f>SUMIFS(DWbonus[[Sum]:[Sum]],DWbonus[[Dato]:[Dato]], "&gt;="&amp;T$5,DWbonus[[Dato]:[Dato]],"&lt;="&amp;EOMONTH(T$5,0),DWbonus[[Bookie]:[Bookie]],$K46)+SUMIFS(LayTable[[Faktisk res]:[Faktisk res]],LayTable[[Dato]:[Dato]],"&gt;="&amp;T$5,LayTable[[Dato]:[Dato]],"&lt;="&amp;EOMONTH(T$5,0),LayTable[[Bookmaker]:[Bookmaker]],$K46)+SUMIFS(BetTable[[AR_per_bookie]:[AR_per_bookie]],BetTable[[B1]:[B1]],$K46,BetTable[[Date]:[Date]], "&gt;="&amp;T$5,BetTable[[Date]:[Date]],"&lt;="&amp;EOMONTH(T$5,0))+SUMIFS(BetTable[[AR_per_bookie]:[AR_per_bookie]],BetTable[[B2]:[B2]],$K46,BetTable[[Date]:[Date]], "&gt;="&amp;T$5,BetTable[[Date]:[Date]],"&lt;="&amp;EOMONTH(T$5,0))+SUMIFS(BetTable[[AR_per_bookie]:[AR_per_bookie]],BetTable[[B3]:[B3]],$K46,BetTable[[Date]:[Date]], "&gt;="&amp;T$5,BetTable[[Date]:[Date]],"&lt;="&amp;EOMONTH(T$5,0))</f>
        <v>0</v>
      </c>
      <c r="U46" s="186">
        <f>SUMIFS(DWbonus[[Sum]:[Sum]],DWbonus[[Dato]:[Dato]], "&gt;="&amp;U$5,DWbonus[[Dato]:[Dato]],"&lt;="&amp;EOMONTH(U$5,0),DWbonus[[Bookie]:[Bookie]],$K46)+SUMIFS(LayTable[[Faktisk res]:[Faktisk res]],LayTable[[Dato]:[Dato]],"&gt;="&amp;U$5,LayTable[[Dato]:[Dato]],"&lt;="&amp;EOMONTH(U$5,0),LayTable[[Bookmaker]:[Bookmaker]],$K46)+SUMIFS(BetTable[[AR_per_bookie]:[AR_per_bookie]],BetTable[[B1]:[B1]],$K46,BetTable[[Date]:[Date]], "&gt;="&amp;U$5,BetTable[[Date]:[Date]],"&lt;="&amp;EOMONTH(U$5,0))+SUMIFS(BetTable[[AR_per_bookie]:[AR_per_bookie]],BetTable[[B2]:[B2]],$K46,BetTable[[Date]:[Date]], "&gt;="&amp;U$5,BetTable[[Date]:[Date]],"&lt;="&amp;EOMONTH(U$5,0))+SUMIFS(BetTable[[AR_per_bookie]:[AR_per_bookie]],BetTable[[B3]:[B3]],$K46,BetTable[[Date]:[Date]], "&gt;="&amp;U$5,BetTable[[Date]:[Date]],"&lt;="&amp;EOMONTH(U$5,0))</f>
        <v>0</v>
      </c>
      <c r="V46" s="186">
        <f>SUMIFS(DWbonus[[Sum]:[Sum]],DWbonus[[Dato]:[Dato]], "&gt;="&amp;V$5,DWbonus[[Dato]:[Dato]],"&lt;="&amp;EOMONTH(V$5,0),DWbonus[[Bookie]:[Bookie]],$K46)+SUMIFS(LayTable[[Faktisk res]:[Faktisk res]],LayTable[[Dato]:[Dato]],"&gt;="&amp;V$5,LayTable[[Dato]:[Dato]],"&lt;="&amp;EOMONTH(V$5,0),LayTable[[Bookmaker]:[Bookmaker]],$K46)+SUMIFS(BetTable[[AR_per_bookie]:[AR_per_bookie]],BetTable[[B1]:[B1]],$K46,BetTable[[Date]:[Date]], "&gt;="&amp;V$5,BetTable[[Date]:[Date]],"&lt;="&amp;EOMONTH(V$5,0))+SUMIFS(BetTable[[AR_per_bookie]:[AR_per_bookie]],BetTable[[B2]:[B2]],$K46,BetTable[[Date]:[Date]], "&gt;="&amp;V$5,BetTable[[Date]:[Date]],"&lt;="&amp;EOMONTH(V$5,0))+SUMIFS(BetTable[[AR_per_bookie]:[AR_per_bookie]],BetTable[[B3]:[B3]],$K46,BetTable[[Date]:[Date]], "&gt;="&amp;V$5,BetTable[[Date]:[Date]],"&lt;="&amp;EOMONTH(V$5,0))</f>
        <v>0</v>
      </c>
      <c r="W46" s="186">
        <f>SUMIFS(DWbonus[[Sum]:[Sum]],DWbonus[[Dato]:[Dato]], "&gt;="&amp;W$5,DWbonus[[Dato]:[Dato]],"&lt;="&amp;EOMONTH(W$5,0),DWbonus[[Bookie]:[Bookie]],$K46)+SUMIFS(LayTable[[Faktisk res]:[Faktisk res]],LayTable[[Dato]:[Dato]],"&gt;="&amp;W$5,LayTable[[Dato]:[Dato]],"&lt;="&amp;EOMONTH(W$5,0),LayTable[[Bookmaker]:[Bookmaker]],$K46)+SUMIFS(BetTable[[AR_per_bookie]:[AR_per_bookie]],BetTable[[B1]:[B1]],$K46,BetTable[[Date]:[Date]], "&gt;="&amp;W$5,BetTable[[Date]:[Date]],"&lt;="&amp;EOMONTH(W$5,0))+SUMIFS(BetTable[[AR_per_bookie]:[AR_per_bookie]],BetTable[[B2]:[B2]],$K46,BetTable[[Date]:[Date]], "&gt;="&amp;W$5,BetTable[[Date]:[Date]],"&lt;="&amp;EOMONTH(W$5,0))+SUMIFS(BetTable[[AR_per_bookie]:[AR_per_bookie]],BetTable[[B3]:[B3]],$K46,BetTable[[Date]:[Date]], "&gt;="&amp;W$5,BetTable[[Date]:[Date]],"&lt;="&amp;EOMONTH(W$5,0))</f>
        <v>0</v>
      </c>
    </row>
    <row r="47" spans="1:23">
      <c r="A47" s="174" t="s">
        <v>93</v>
      </c>
      <c r="B47" s="209">
        <v>1</v>
      </c>
      <c r="C47" s="174">
        <v>1000</v>
      </c>
      <c r="E47" s="174" t="s">
        <v>357</v>
      </c>
      <c r="K47" s="174" t="str">
        <f t="array" ref="K47">IFERROR(INDEX(BookieNavn!H$2:H$1251,SMALL(IF(EXACT(LEFT(BookieNavn!H$2:H$1251,2),M$3),ROW(BookieNavn!H$2:H$1251)-ROW(BookieNavn!H$2)+1),ROWS(BookieNavn!H$2:'BookieNavn'!H42))),"")</f>
        <v/>
      </c>
      <c r="L47" s="186">
        <f>SUMIFS(DWbonus[[Sum]:[Sum]],DWbonus[[Dato]:[Dato]], "&gt;="&amp;L$5,DWbonus[[Dato]:[Dato]],"&lt;="&amp;EOMONTH(L$5,0),DWbonus[[Bookie]:[Bookie]],$K47)+SUMIFS(LayTable[[Faktisk res]:[Faktisk res]],LayTable[[Dato]:[Dato]],"&gt;="&amp;L$5,LayTable[[Dato]:[Dato]],"&lt;="&amp;EOMONTH(L$5,0),LayTable[[Bookmaker]:[Bookmaker]],$K47)+SUMIFS(BetTable[[AR_per_bookie]:[AR_per_bookie]],BetTable[[B1]:[B1]],$K47,BetTable[[Date]:[Date]], "&gt;="&amp;L$5,BetTable[[Date]:[Date]],"&lt;="&amp;EOMONTH(L$5,0))+SUMIFS(BetTable[[AR_per_bookie]:[AR_per_bookie]],BetTable[[B2]:[B2]],$K47,BetTable[[Date]:[Date]], "&gt;="&amp;L$5,BetTable[[Date]:[Date]],"&lt;="&amp;EOMONTH(L$5,0))+SUMIFS(BetTable[[AR_per_bookie]:[AR_per_bookie]],BetTable[[B3]:[B3]],$K47,BetTable[[Date]:[Date]], "&gt;="&amp;L$5,BetTable[[Date]:[Date]],"&lt;="&amp;EOMONTH(L$5,0))</f>
        <v>0</v>
      </c>
      <c r="M47" s="186">
        <f>SUMIFS(DWbonus[[Sum]:[Sum]],DWbonus[[Dato]:[Dato]], "&gt;="&amp;M$5,DWbonus[[Dato]:[Dato]],"&lt;="&amp;EOMONTH(M$5,0),DWbonus[[Bookie]:[Bookie]],$K47)+SUMIFS(LayTable[[Faktisk res]:[Faktisk res]],LayTable[[Dato]:[Dato]],"&gt;="&amp;M$5,LayTable[[Dato]:[Dato]],"&lt;="&amp;EOMONTH(M$5,0),LayTable[[Bookmaker]:[Bookmaker]],$K47)+SUMIFS(BetTable[[AR_per_bookie]:[AR_per_bookie]],BetTable[[B1]:[B1]],$K47,BetTable[[Date]:[Date]], "&gt;="&amp;M$5,BetTable[[Date]:[Date]],"&lt;="&amp;EOMONTH(M$5,0))+SUMIFS(BetTable[[AR_per_bookie]:[AR_per_bookie]],BetTable[[B2]:[B2]],$K47,BetTable[[Date]:[Date]], "&gt;="&amp;M$5,BetTable[[Date]:[Date]],"&lt;="&amp;EOMONTH(M$5,0))+SUMIFS(BetTable[[AR_per_bookie]:[AR_per_bookie]],BetTable[[B3]:[B3]],$K47,BetTable[[Date]:[Date]], "&gt;="&amp;M$5,BetTable[[Date]:[Date]],"&lt;="&amp;EOMONTH(M$5,0))</f>
        <v>0</v>
      </c>
      <c r="N47" s="186">
        <f>SUMIFS(DWbonus[[Sum]:[Sum]],DWbonus[[Dato]:[Dato]], "&gt;="&amp;N$5,DWbonus[[Dato]:[Dato]],"&lt;="&amp;EOMONTH(N$5,0),DWbonus[[Bookie]:[Bookie]],$K47)+SUMIFS(LayTable[[Faktisk res]:[Faktisk res]],LayTable[[Dato]:[Dato]],"&gt;="&amp;N$5,LayTable[[Dato]:[Dato]],"&lt;="&amp;EOMONTH(N$5,0),LayTable[[Bookmaker]:[Bookmaker]],$K47)+SUMIFS(BetTable[[AR_per_bookie]:[AR_per_bookie]],BetTable[[B1]:[B1]],$K47,BetTable[[Date]:[Date]], "&gt;="&amp;N$5,BetTable[[Date]:[Date]],"&lt;="&amp;EOMONTH(N$5,0))+SUMIFS(BetTable[[AR_per_bookie]:[AR_per_bookie]],BetTable[[B2]:[B2]],$K47,BetTable[[Date]:[Date]], "&gt;="&amp;N$5,BetTable[[Date]:[Date]],"&lt;="&amp;EOMONTH(N$5,0))+SUMIFS(BetTable[[AR_per_bookie]:[AR_per_bookie]],BetTable[[B3]:[B3]],$K47,BetTable[[Date]:[Date]], "&gt;="&amp;N$5,BetTable[[Date]:[Date]],"&lt;="&amp;EOMONTH(N$5,0))</f>
        <v>0</v>
      </c>
      <c r="O47" s="186">
        <f>SUMIFS(DWbonus[[Sum]:[Sum]],DWbonus[[Dato]:[Dato]], "&gt;="&amp;O$5,DWbonus[[Dato]:[Dato]],"&lt;="&amp;EOMONTH(O$5,0),DWbonus[[Bookie]:[Bookie]],$K47)+SUMIFS(LayTable[[Faktisk res]:[Faktisk res]],LayTable[[Dato]:[Dato]],"&gt;="&amp;O$5,LayTable[[Dato]:[Dato]],"&lt;="&amp;EOMONTH(O$5,0),LayTable[[Bookmaker]:[Bookmaker]],$K47)+SUMIFS(BetTable[[AR_per_bookie]:[AR_per_bookie]],BetTable[[B1]:[B1]],$K47,BetTable[[Date]:[Date]], "&gt;="&amp;O$5,BetTable[[Date]:[Date]],"&lt;="&amp;EOMONTH(O$5,0))+SUMIFS(BetTable[[AR_per_bookie]:[AR_per_bookie]],BetTable[[B2]:[B2]],$K47,BetTable[[Date]:[Date]], "&gt;="&amp;O$5,BetTable[[Date]:[Date]],"&lt;="&amp;EOMONTH(O$5,0))+SUMIFS(BetTable[[AR_per_bookie]:[AR_per_bookie]],BetTable[[B3]:[B3]],$K47,BetTable[[Date]:[Date]], "&gt;="&amp;O$5,BetTable[[Date]:[Date]],"&lt;="&amp;EOMONTH(O$5,0))</f>
        <v>0</v>
      </c>
      <c r="P47" s="186">
        <f>SUMIFS(DWbonus[[Sum]:[Sum]],DWbonus[[Dato]:[Dato]], "&gt;="&amp;P$5,DWbonus[[Dato]:[Dato]],"&lt;="&amp;EOMONTH(P$5,0),DWbonus[[Bookie]:[Bookie]],$K47)+SUMIFS(LayTable[[Faktisk res]:[Faktisk res]],LayTable[[Dato]:[Dato]],"&gt;="&amp;P$5,LayTable[[Dato]:[Dato]],"&lt;="&amp;EOMONTH(P$5,0),LayTable[[Bookmaker]:[Bookmaker]],$K47)+SUMIFS(BetTable[[AR_per_bookie]:[AR_per_bookie]],BetTable[[B1]:[B1]],$K47,BetTable[[Date]:[Date]], "&gt;="&amp;P$5,BetTable[[Date]:[Date]],"&lt;="&amp;EOMONTH(P$5,0))+SUMIFS(BetTable[[AR_per_bookie]:[AR_per_bookie]],BetTable[[B2]:[B2]],$K47,BetTable[[Date]:[Date]], "&gt;="&amp;P$5,BetTable[[Date]:[Date]],"&lt;="&amp;EOMONTH(P$5,0))+SUMIFS(BetTable[[AR_per_bookie]:[AR_per_bookie]],BetTable[[B3]:[B3]],$K47,BetTable[[Date]:[Date]], "&gt;="&amp;P$5,BetTable[[Date]:[Date]],"&lt;="&amp;EOMONTH(P$5,0))</f>
        <v>0</v>
      </c>
      <c r="Q47" s="186">
        <f>SUMIFS(DWbonus[[Sum]:[Sum]],DWbonus[[Dato]:[Dato]], "&gt;="&amp;Q$5,DWbonus[[Dato]:[Dato]],"&lt;="&amp;EOMONTH(Q$5,0),DWbonus[[Bookie]:[Bookie]],$K47)+SUMIFS(LayTable[[Faktisk res]:[Faktisk res]],LayTable[[Dato]:[Dato]],"&gt;="&amp;Q$5,LayTable[[Dato]:[Dato]],"&lt;="&amp;EOMONTH(Q$5,0),LayTable[[Bookmaker]:[Bookmaker]],$K47)+SUMIFS(BetTable[[AR_per_bookie]:[AR_per_bookie]],BetTable[[B1]:[B1]],$K47,BetTable[[Date]:[Date]], "&gt;="&amp;Q$5,BetTable[[Date]:[Date]],"&lt;="&amp;EOMONTH(Q$5,0))+SUMIFS(BetTable[[AR_per_bookie]:[AR_per_bookie]],BetTable[[B2]:[B2]],$K47,BetTable[[Date]:[Date]], "&gt;="&amp;Q$5,BetTable[[Date]:[Date]],"&lt;="&amp;EOMONTH(Q$5,0))+SUMIFS(BetTable[[AR_per_bookie]:[AR_per_bookie]],BetTable[[B3]:[B3]],$K47,BetTable[[Date]:[Date]], "&gt;="&amp;Q$5,BetTable[[Date]:[Date]],"&lt;="&amp;EOMONTH(Q$5,0))</f>
        <v>0</v>
      </c>
      <c r="R47" s="186">
        <f>SUMIFS(DWbonus[[Sum]:[Sum]],DWbonus[[Dato]:[Dato]], "&gt;="&amp;R$5,DWbonus[[Dato]:[Dato]],"&lt;="&amp;EOMONTH(R$5,0),DWbonus[[Bookie]:[Bookie]],$K47)+SUMIFS(LayTable[[Faktisk res]:[Faktisk res]],LayTable[[Dato]:[Dato]],"&gt;="&amp;R$5,LayTable[[Dato]:[Dato]],"&lt;="&amp;EOMONTH(R$5,0),LayTable[[Bookmaker]:[Bookmaker]],$K47)+SUMIFS(BetTable[[AR_per_bookie]:[AR_per_bookie]],BetTable[[B1]:[B1]],$K47,BetTable[[Date]:[Date]], "&gt;="&amp;R$5,BetTable[[Date]:[Date]],"&lt;="&amp;EOMONTH(R$5,0))+SUMIFS(BetTable[[AR_per_bookie]:[AR_per_bookie]],BetTable[[B2]:[B2]],$K47,BetTable[[Date]:[Date]], "&gt;="&amp;R$5,BetTable[[Date]:[Date]],"&lt;="&amp;EOMONTH(R$5,0))+SUMIFS(BetTable[[AR_per_bookie]:[AR_per_bookie]],BetTable[[B3]:[B3]],$K47,BetTable[[Date]:[Date]], "&gt;="&amp;R$5,BetTable[[Date]:[Date]],"&lt;="&amp;EOMONTH(R$5,0))</f>
        <v>0</v>
      </c>
      <c r="S47" s="186">
        <f>SUMIFS(DWbonus[[Sum]:[Sum]],DWbonus[[Dato]:[Dato]], "&gt;="&amp;S$5,DWbonus[[Dato]:[Dato]],"&lt;="&amp;EOMONTH(S$5,0),DWbonus[[Bookie]:[Bookie]],$K47)+SUMIFS(LayTable[[Faktisk res]:[Faktisk res]],LayTable[[Dato]:[Dato]],"&gt;="&amp;S$5,LayTable[[Dato]:[Dato]],"&lt;="&amp;EOMONTH(S$5,0),LayTable[[Bookmaker]:[Bookmaker]],$K47)+SUMIFS(BetTable[[AR_per_bookie]:[AR_per_bookie]],BetTable[[B1]:[B1]],$K47,BetTable[[Date]:[Date]], "&gt;="&amp;S$5,BetTable[[Date]:[Date]],"&lt;="&amp;EOMONTH(S$5,0))+SUMIFS(BetTable[[AR_per_bookie]:[AR_per_bookie]],BetTable[[B2]:[B2]],$K47,BetTable[[Date]:[Date]], "&gt;="&amp;S$5,BetTable[[Date]:[Date]],"&lt;="&amp;EOMONTH(S$5,0))+SUMIFS(BetTable[[AR_per_bookie]:[AR_per_bookie]],BetTable[[B3]:[B3]],$K47,BetTable[[Date]:[Date]], "&gt;="&amp;S$5,BetTable[[Date]:[Date]],"&lt;="&amp;EOMONTH(S$5,0))</f>
        <v>0</v>
      </c>
      <c r="T47" s="186">
        <f>SUMIFS(DWbonus[[Sum]:[Sum]],DWbonus[[Dato]:[Dato]], "&gt;="&amp;T$5,DWbonus[[Dato]:[Dato]],"&lt;="&amp;EOMONTH(T$5,0),DWbonus[[Bookie]:[Bookie]],$K47)+SUMIFS(LayTable[[Faktisk res]:[Faktisk res]],LayTable[[Dato]:[Dato]],"&gt;="&amp;T$5,LayTable[[Dato]:[Dato]],"&lt;="&amp;EOMONTH(T$5,0),LayTable[[Bookmaker]:[Bookmaker]],$K47)+SUMIFS(BetTable[[AR_per_bookie]:[AR_per_bookie]],BetTable[[B1]:[B1]],$K47,BetTable[[Date]:[Date]], "&gt;="&amp;T$5,BetTable[[Date]:[Date]],"&lt;="&amp;EOMONTH(T$5,0))+SUMIFS(BetTable[[AR_per_bookie]:[AR_per_bookie]],BetTable[[B2]:[B2]],$K47,BetTable[[Date]:[Date]], "&gt;="&amp;T$5,BetTable[[Date]:[Date]],"&lt;="&amp;EOMONTH(T$5,0))+SUMIFS(BetTable[[AR_per_bookie]:[AR_per_bookie]],BetTable[[B3]:[B3]],$K47,BetTable[[Date]:[Date]], "&gt;="&amp;T$5,BetTable[[Date]:[Date]],"&lt;="&amp;EOMONTH(T$5,0))</f>
        <v>0</v>
      </c>
      <c r="U47" s="186">
        <f>SUMIFS(DWbonus[[Sum]:[Sum]],DWbonus[[Dato]:[Dato]], "&gt;="&amp;U$5,DWbonus[[Dato]:[Dato]],"&lt;="&amp;EOMONTH(U$5,0),DWbonus[[Bookie]:[Bookie]],$K47)+SUMIFS(LayTable[[Faktisk res]:[Faktisk res]],LayTable[[Dato]:[Dato]],"&gt;="&amp;U$5,LayTable[[Dato]:[Dato]],"&lt;="&amp;EOMONTH(U$5,0),LayTable[[Bookmaker]:[Bookmaker]],$K47)+SUMIFS(BetTable[[AR_per_bookie]:[AR_per_bookie]],BetTable[[B1]:[B1]],$K47,BetTable[[Date]:[Date]], "&gt;="&amp;U$5,BetTable[[Date]:[Date]],"&lt;="&amp;EOMONTH(U$5,0))+SUMIFS(BetTable[[AR_per_bookie]:[AR_per_bookie]],BetTable[[B2]:[B2]],$K47,BetTable[[Date]:[Date]], "&gt;="&amp;U$5,BetTable[[Date]:[Date]],"&lt;="&amp;EOMONTH(U$5,0))+SUMIFS(BetTable[[AR_per_bookie]:[AR_per_bookie]],BetTable[[B3]:[B3]],$K47,BetTable[[Date]:[Date]], "&gt;="&amp;U$5,BetTable[[Date]:[Date]],"&lt;="&amp;EOMONTH(U$5,0))</f>
        <v>0</v>
      </c>
      <c r="V47" s="186">
        <f>SUMIFS(DWbonus[[Sum]:[Sum]],DWbonus[[Dato]:[Dato]], "&gt;="&amp;V$5,DWbonus[[Dato]:[Dato]],"&lt;="&amp;EOMONTH(V$5,0),DWbonus[[Bookie]:[Bookie]],$K47)+SUMIFS(LayTable[[Faktisk res]:[Faktisk res]],LayTable[[Dato]:[Dato]],"&gt;="&amp;V$5,LayTable[[Dato]:[Dato]],"&lt;="&amp;EOMONTH(V$5,0),LayTable[[Bookmaker]:[Bookmaker]],$K47)+SUMIFS(BetTable[[AR_per_bookie]:[AR_per_bookie]],BetTable[[B1]:[B1]],$K47,BetTable[[Date]:[Date]], "&gt;="&amp;V$5,BetTable[[Date]:[Date]],"&lt;="&amp;EOMONTH(V$5,0))+SUMIFS(BetTable[[AR_per_bookie]:[AR_per_bookie]],BetTable[[B2]:[B2]],$K47,BetTable[[Date]:[Date]], "&gt;="&amp;V$5,BetTable[[Date]:[Date]],"&lt;="&amp;EOMONTH(V$5,0))+SUMIFS(BetTable[[AR_per_bookie]:[AR_per_bookie]],BetTable[[B3]:[B3]],$K47,BetTable[[Date]:[Date]], "&gt;="&amp;V$5,BetTable[[Date]:[Date]],"&lt;="&amp;EOMONTH(V$5,0))</f>
        <v>0</v>
      </c>
      <c r="W47" s="186">
        <f>SUMIFS(DWbonus[[Sum]:[Sum]],DWbonus[[Dato]:[Dato]], "&gt;="&amp;W$5,DWbonus[[Dato]:[Dato]],"&lt;="&amp;EOMONTH(W$5,0),DWbonus[[Bookie]:[Bookie]],$K47)+SUMIFS(LayTable[[Faktisk res]:[Faktisk res]],LayTable[[Dato]:[Dato]],"&gt;="&amp;W$5,LayTable[[Dato]:[Dato]],"&lt;="&amp;EOMONTH(W$5,0),LayTable[[Bookmaker]:[Bookmaker]],$K47)+SUMIFS(BetTable[[AR_per_bookie]:[AR_per_bookie]],BetTable[[B1]:[B1]],$K47,BetTable[[Date]:[Date]], "&gt;="&amp;W$5,BetTable[[Date]:[Date]],"&lt;="&amp;EOMONTH(W$5,0))+SUMIFS(BetTable[[AR_per_bookie]:[AR_per_bookie]],BetTable[[B2]:[B2]],$K47,BetTable[[Date]:[Date]], "&gt;="&amp;W$5,BetTable[[Date]:[Date]],"&lt;="&amp;EOMONTH(W$5,0))+SUMIFS(BetTable[[AR_per_bookie]:[AR_per_bookie]],BetTable[[B3]:[B3]],$K47,BetTable[[Date]:[Date]], "&gt;="&amp;W$5,BetTable[[Date]:[Date]],"&lt;="&amp;EOMONTH(W$5,0))</f>
        <v>0</v>
      </c>
    </row>
    <row r="48" spans="1:23">
      <c r="A48" s="174" t="s">
        <v>306</v>
      </c>
      <c r="B48" s="209">
        <v>1</v>
      </c>
      <c r="C48" s="174">
        <v>3000</v>
      </c>
      <c r="K48" s="174" t="str">
        <f t="array" ref="K48">IFERROR(INDEX(BookieNavn!H$2:H$1251,SMALL(IF(EXACT(LEFT(BookieNavn!H$2:H$1251,2),M$3),ROW(BookieNavn!H$2:H$1251)-ROW(BookieNavn!H$2)+1),ROWS(BookieNavn!H$2:'BookieNavn'!H43))),"")</f>
        <v/>
      </c>
      <c r="L48" s="186">
        <f>SUMIFS(DWbonus[[Sum]:[Sum]],DWbonus[[Dato]:[Dato]], "&gt;="&amp;L$5,DWbonus[[Dato]:[Dato]],"&lt;="&amp;EOMONTH(L$5,0),DWbonus[[Bookie]:[Bookie]],$K48)+SUMIFS(LayTable[[Faktisk res]:[Faktisk res]],LayTable[[Dato]:[Dato]],"&gt;="&amp;L$5,LayTable[[Dato]:[Dato]],"&lt;="&amp;EOMONTH(L$5,0),LayTable[[Bookmaker]:[Bookmaker]],$K48)+SUMIFS(BetTable[[AR_per_bookie]:[AR_per_bookie]],BetTable[[B1]:[B1]],$K48,BetTable[[Date]:[Date]], "&gt;="&amp;L$5,BetTable[[Date]:[Date]],"&lt;="&amp;EOMONTH(L$5,0))+SUMIFS(BetTable[[AR_per_bookie]:[AR_per_bookie]],BetTable[[B2]:[B2]],$K48,BetTable[[Date]:[Date]], "&gt;="&amp;L$5,BetTable[[Date]:[Date]],"&lt;="&amp;EOMONTH(L$5,0))+SUMIFS(BetTable[[AR_per_bookie]:[AR_per_bookie]],BetTable[[B3]:[B3]],$K48,BetTable[[Date]:[Date]], "&gt;="&amp;L$5,BetTable[[Date]:[Date]],"&lt;="&amp;EOMONTH(L$5,0))</f>
        <v>0</v>
      </c>
      <c r="M48" s="186">
        <f>SUMIFS(DWbonus[[Sum]:[Sum]],DWbonus[[Dato]:[Dato]], "&gt;="&amp;M$5,DWbonus[[Dato]:[Dato]],"&lt;="&amp;EOMONTH(M$5,0),DWbonus[[Bookie]:[Bookie]],$K48)+SUMIFS(LayTable[[Faktisk res]:[Faktisk res]],LayTable[[Dato]:[Dato]],"&gt;="&amp;M$5,LayTable[[Dato]:[Dato]],"&lt;="&amp;EOMONTH(M$5,0),LayTable[[Bookmaker]:[Bookmaker]],$K48)+SUMIFS(BetTable[[AR_per_bookie]:[AR_per_bookie]],BetTable[[B1]:[B1]],$K48,BetTable[[Date]:[Date]], "&gt;="&amp;M$5,BetTable[[Date]:[Date]],"&lt;="&amp;EOMONTH(M$5,0))+SUMIFS(BetTable[[AR_per_bookie]:[AR_per_bookie]],BetTable[[B2]:[B2]],$K48,BetTable[[Date]:[Date]], "&gt;="&amp;M$5,BetTable[[Date]:[Date]],"&lt;="&amp;EOMONTH(M$5,0))+SUMIFS(BetTable[[AR_per_bookie]:[AR_per_bookie]],BetTable[[B3]:[B3]],$K48,BetTable[[Date]:[Date]], "&gt;="&amp;M$5,BetTable[[Date]:[Date]],"&lt;="&amp;EOMONTH(M$5,0))</f>
        <v>0</v>
      </c>
      <c r="N48" s="186">
        <f>SUMIFS(DWbonus[[Sum]:[Sum]],DWbonus[[Dato]:[Dato]], "&gt;="&amp;N$5,DWbonus[[Dato]:[Dato]],"&lt;="&amp;EOMONTH(N$5,0),DWbonus[[Bookie]:[Bookie]],$K48)+SUMIFS(LayTable[[Faktisk res]:[Faktisk res]],LayTable[[Dato]:[Dato]],"&gt;="&amp;N$5,LayTable[[Dato]:[Dato]],"&lt;="&amp;EOMONTH(N$5,0),LayTable[[Bookmaker]:[Bookmaker]],$K48)+SUMIFS(BetTable[[AR_per_bookie]:[AR_per_bookie]],BetTable[[B1]:[B1]],$K48,BetTable[[Date]:[Date]], "&gt;="&amp;N$5,BetTable[[Date]:[Date]],"&lt;="&amp;EOMONTH(N$5,0))+SUMIFS(BetTable[[AR_per_bookie]:[AR_per_bookie]],BetTable[[B2]:[B2]],$K48,BetTable[[Date]:[Date]], "&gt;="&amp;N$5,BetTable[[Date]:[Date]],"&lt;="&amp;EOMONTH(N$5,0))+SUMIFS(BetTable[[AR_per_bookie]:[AR_per_bookie]],BetTable[[B3]:[B3]],$K48,BetTable[[Date]:[Date]], "&gt;="&amp;N$5,BetTable[[Date]:[Date]],"&lt;="&amp;EOMONTH(N$5,0))</f>
        <v>0</v>
      </c>
      <c r="O48" s="186">
        <f>SUMIFS(DWbonus[[Sum]:[Sum]],DWbonus[[Dato]:[Dato]], "&gt;="&amp;O$5,DWbonus[[Dato]:[Dato]],"&lt;="&amp;EOMONTH(O$5,0),DWbonus[[Bookie]:[Bookie]],$K48)+SUMIFS(LayTable[[Faktisk res]:[Faktisk res]],LayTable[[Dato]:[Dato]],"&gt;="&amp;O$5,LayTable[[Dato]:[Dato]],"&lt;="&amp;EOMONTH(O$5,0),LayTable[[Bookmaker]:[Bookmaker]],$K48)+SUMIFS(BetTable[[AR_per_bookie]:[AR_per_bookie]],BetTable[[B1]:[B1]],$K48,BetTable[[Date]:[Date]], "&gt;="&amp;O$5,BetTable[[Date]:[Date]],"&lt;="&amp;EOMONTH(O$5,0))+SUMIFS(BetTable[[AR_per_bookie]:[AR_per_bookie]],BetTable[[B2]:[B2]],$K48,BetTable[[Date]:[Date]], "&gt;="&amp;O$5,BetTable[[Date]:[Date]],"&lt;="&amp;EOMONTH(O$5,0))+SUMIFS(BetTable[[AR_per_bookie]:[AR_per_bookie]],BetTable[[B3]:[B3]],$K48,BetTable[[Date]:[Date]], "&gt;="&amp;O$5,BetTable[[Date]:[Date]],"&lt;="&amp;EOMONTH(O$5,0))</f>
        <v>0</v>
      </c>
      <c r="P48" s="186">
        <f>SUMIFS(DWbonus[[Sum]:[Sum]],DWbonus[[Dato]:[Dato]], "&gt;="&amp;P$5,DWbonus[[Dato]:[Dato]],"&lt;="&amp;EOMONTH(P$5,0),DWbonus[[Bookie]:[Bookie]],$K48)+SUMIFS(LayTable[[Faktisk res]:[Faktisk res]],LayTable[[Dato]:[Dato]],"&gt;="&amp;P$5,LayTable[[Dato]:[Dato]],"&lt;="&amp;EOMONTH(P$5,0),LayTable[[Bookmaker]:[Bookmaker]],$K48)+SUMIFS(BetTable[[AR_per_bookie]:[AR_per_bookie]],BetTable[[B1]:[B1]],$K48,BetTable[[Date]:[Date]], "&gt;="&amp;P$5,BetTable[[Date]:[Date]],"&lt;="&amp;EOMONTH(P$5,0))+SUMIFS(BetTable[[AR_per_bookie]:[AR_per_bookie]],BetTable[[B2]:[B2]],$K48,BetTable[[Date]:[Date]], "&gt;="&amp;P$5,BetTable[[Date]:[Date]],"&lt;="&amp;EOMONTH(P$5,0))+SUMIFS(BetTable[[AR_per_bookie]:[AR_per_bookie]],BetTable[[B3]:[B3]],$K48,BetTable[[Date]:[Date]], "&gt;="&amp;P$5,BetTable[[Date]:[Date]],"&lt;="&amp;EOMONTH(P$5,0))</f>
        <v>0</v>
      </c>
      <c r="Q48" s="186">
        <f>SUMIFS(DWbonus[[Sum]:[Sum]],DWbonus[[Dato]:[Dato]], "&gt;="&amp;Q$5,DWbonus[[Dato]:[Dato]],"&lt;="&amp;EOMONTH(Q$5,0),DWbonus[[Bookie]:[Bookie]],$K48)+SUMIFS(LayTable[[Faktisk res]:[Faktisk res]],LayTable[[Dato]:[Dato]],"&gt;="&amp;Q$5,LayTable[[Dato]:[Dato]],"&lt;="&amp;EOMONTH(Q$5,0),LayTable[[Bookmaker]:[Bookmaker]],$K48)+SUMIFS(BetTable[[AR_per_bookie]:[AR_per_bookie]],BetTable[[B1]:[B1]],$K48,BetTable[[Date]:[Date]], "&gt;="&amp;Q$5,BetTable[[Date]:[Date]],"&lt;="&amp;EOMONTH(Q$5,0))+SUMIFS(BetTable[[AR_per_bookie]:[AR_per_bookie]],BetTable[[B2]:[B2]],$K48,BetTable[[Date]:[Date]], "&gt;="&amp;Q$5,BetTable[[Date]:[Date]],"&lt;="&amp;EOMONTH(Q$5,0))+SUMIFS(BetTable[[AR_per_bookie]:[AR_per_bookie]],BetTable[[B3]:[B3]],$K48,BetTable[[Date]:[Date]], "&gt;="&amp;Q$5,BetTable[[Date]:[Date]],"&lt;="&amp;EOMONTH(Q$5,0))</f>
        <v>0</v>
      </c>
      <c r="R48" s="186">
        <f>SUMIFS(DWbonus[[Sum]:[Sum]],DWbonus[[Dato]:[Dato]], "&gt;="&amp;R$5,DWbonus[[Dato]:[Dato]],"&lt;="&amp;EOMONTH(R$5,0),DWbonus[[Bookie]:[Bookie]],$K48)+SUMIFS(LayTable[[Faktisk res]:[Faktisk res]],LayTable[[Dato]:[Dato]],"&gt;="&amp;R$5,LayTable[[Dato]:[Dato]],"&lt;="&amp;EOMONTH(R$5,0),LayTable[[Bookmaker]:[Bookmaker]],$K48)+SUMIFS(BetTable[[AR_per_bookie]:[AR_per_bookie]],BetTable[[B1]:[B1]],$K48,BetTable[[Date]:[Date]], "&gt;="&amp;R$5,BetTable[[Date]:[Date]],"&lt;="&amp;EOMONTH(R$5,0))+SUMIFS(BetTable[[AR_per_bookie]:[AR_per_bookie]],BetTable[[B2]:[B2]],$K48,BetTable[[Date]:[Date]], "&gt;="&amp;R$5,BetTable[[Date]:[Date]],"&lt;="&amp;EOMONTH(R$5,0))+SUMIFS(BetTable[[AR_per_bookie]:[AR_per_bookie]],BetTable[[B3]:[B3]],$K48,BetTable[[Date]:[Date]], "&gt;="&amp;R$5,BetTable[[Date]:[Date]],"&lt;="&amp;EOMONTH(R$5,0))</f>
        <v>0</v>
      </c>
      <c r="S48" s="186">
        <f>SUMIFS(DWbonus[[Sum]:[Sum]],DWbonus[[Dato]:[Dato]], "&gt;="&amp;S$5,DWbonus[[Dato]:[Dato]],"&lt;="&amp;EOMONTH(S$5,0),DWbonus[[Bookie]:[Bookie]],$K48)+SUMIFS(LayTable[[Faktisk res]:[Faktisk res]],LayTable[[Dato]:[Dato]],"&gt;="&amp;S$5,LayTable[[Dato]:[Dato]],"&lt;="&amp;EOMONTH(S$5,0),LayTable[[Bookmaker]:[Bookmaker]],$K48)+SUMIFS(BetTable[[AR_per_bookie]:[AR_per_bookie]],BetTable[[B1]:[B1]],$K48,BetTable[[Date]:[Date]], "&gt;="&amp;S$5,BetTable[[Date]:[Date]],"&lt;="&amp;EOMONTH(S$5,0))+SUMIFS(BetTable[[AR_per_bookie]:[AR_per_bookie]],BetTable[[B2]:[B2]],$K48,BetTable[[Date]:[Date]], "&gt;="&amp;S$5,BetTable[[Date]:[Date]],"&lt;="&amp;EOMONTH(S$5,0))+SUMIFS(BetTable[[AR_per_bookie]:[AR_per_bookie]],BetTable[[B3]:[B3]],$K48,BetTable[[Date]:[Date]], "&gt;="&amp;S$5,BetTable[[Date]:[Date]],"&lt;="&amp;EOMONTH(S$5,0))</f>
        <v>0</v>
      </c>
      <c r="T48" s="186">
        <f>SUMIFS(DWbonus[[Sum]:[Sum]],DWbonus[[Dato]:[Dato]], "&gt;="&amp;T$5,DWbonus[[Dato]:[Dato]],"&lt;="&amp;EOMONTH(T$5,0),DWbonus[[Bookie]:[Bookie]],$K48)+SUMIFS(LayTable[[Faktisk res]:[Faktisk res]],LayTable[[Dato]:[Dato]],"&gt;="&amp;T$5,LayTable[[Dato]:[Dato]],"&lt;="&amp;EOMONTH(T$5,0),LayTable[[Bookmaker]:[Bookmaker]],$K48)+SUMIFS(BetTable[[AR_per_bookie]:[AR_per_bookie]],BetTable[[B1]:[B1]],$K48,BetTable[[Date]:[Date]], "&gt;="&amp;T$5,BetTable[[Date]:[Date]],"&lt;="&amp;EOMONTH(T$5,0))+SUMIFS(BetTable[[AR_per_bookie]:[AR_per_bookie]],BetTable[[B2]:[B2]],$K48,BetTable[[Date]:[Date]], "&gt;="&amp;T$5,BetTable[[Date]:[Date]],"&lt;="&amp;EOMONTH(T$5,0))+SUMIFS(BetTable[[AR_per_bookie]:[AR_per_bookie]],BetTable[[B3]:[B3]],$K48,BetTable[[Date]:[Date]], "&gt;="&amp;T$5,BetTable[[Date]:[Date]],"&lt;="&amp;EOMONTH(T$5,0))</f>
        <v>0</v>
      </c>
      <c r="U48" s="186">
        <f>SUMIFS(DWbonus[[Sum]:[Sum]],DWbonus[[Dato]:[Dato]], "&gt;="&amp;U$5,DWbonus[[Dato]:[Dato]],"&lt;="&amp;EOMONTH(U$5,0),DWbonus[[Bookie]:[Bookie]],$K48)+SUMIFS(LayTable[[Faktisk res]:[Faktisk res]],LayTable[[Dato]:[Dato]],"&gt;="&amp;U$5,LayTable[[Dato]:[Dato]],"&lt;="&amp;EOMONTH(U$5,0),LayTable[[Bookmaker]:[Bookmaker]],$K48)+SUMIFS(BetTable[[AR_per_bookie]:[AR_per_bookie]],BetTable[[B1]:[B1]],$K48,BetTable[[Date]:[Date]], "&gt;="&amp;U$5,BetTable[[Date]:[Date]],"&lt;="&amp;EOMONTH(U$5,0))+SUMIFS(BetTable[[AR_per_bookie]:[AR_per_bookie]],BetTable[[B2]:[B2]],$K48,BetTable[[Date]:[Date]], "&gt;="&amp;U$5,BetTable[[Date]:[Date]],"&lt;="&amp;EOMONTH(U$5,0))+SUMIFS(BetTable[[AR_per_bookie]:[AR_per_bookie]],BetTable[[B3]:[B3]],$K48,BetTable[[Date]:[Date]], "&gt;="&amp;U$5,BetTable[[Date]:[Date]],"&lt;="&amp;EOMONTH(U$5,0))</f>
        <v>0</v>
      </c>
      <c r="V48" s="186">
        <f>SUMIFS(DWbonus[[Sum]:[Sum]],DWbonus[[Dato]:[Dato]], "&gt;="&amp;V$5,DWbonus[[Dato]:[Dato]],"&lt;="&amp;EOMONTH(V$5,0),DWbonus[[Bookie]:[Bookie]],$K48)+SUMIFS(LayTable[[Faktisk res]:[Faktisk res]],LayTable[[Dato]:[Dato]],"&gt;="&amp;V$5,LayTable[[Dato]:[Dato]],"&lt;="&amp;EOMONTH(V$5,0),LayTable[[Bookmaker]:[Bookmaker]],$K48)+SUMIFS(BetTable[[AR_per_bookie]:[AR_per_bookie]],BetTable[[B1]:[B1]],$K48,BetTable[[Date]:[Date]], "&gt;="&amp;V$5,BetTable[[Date]:[Date]],"&lt;="&amp;EOMONTH(V$5,0))+SUMIFS(BetTable[[AR_per_bookie]:[AR_per_bookie]],BetTable[[B2]:[B2]],$K48,BetTable[[Date]:[Date]], "&gt;="&amp;V$5,BetTable[[Date]:[Date]],"&lt;="&amp;EOMONTH(V$5,0))+SUMIFS(BetTable[[AR_per_bookie]:[AR_per_bookie]],BetTable[[B3]:[B3]],$K48,BetTable[[Date]:[Date]], "&gt;="&amp;V$5,BetTable[[Date]:[Date]],"&lt;="&amp;EOMONTH(V$5,0))</f>
        <v>0</v>
      </c>
      <c r="W48" s="186">
        <f>SUMIFS(DWbonus[[Sum]:[Sum]],DWbonus[[Dato]:[Dato]], "&gt;="&amp;W$5,DWbonus[[Dato]:[Dato]],"&lt;="&amp;EOMONTH(W$5,0),DWbonus[[Bookie]:[Bookie]],$K48)+SUMIFS(LayTable[[Faktisk res]:[Faktisk res]],LayTable[[Dato]:[Dato]],"&gt;="&amp;W$5,LayTable[[Dato]:[Dato]],"&lt;="&amp;EOMONTH(W$5,0),LayTable[[Bookmaker]:[Bookmaker]],$K48)+SUMIFS(BetTable[[AR_per_bookie]:[AR_per_bookie]],BetTable[[B1]:[B1]],$K48,BetTable[[Date]:[Date]], "&gt;="&amp;W$5,BetTable[[Date]:[Date]],"&lt;="&amp;EOMONTH(W$5,0))+SUMIFS(BetTable[[AR_per_bookie]:[AR_per_bookie]],BetTable[[B2]:[B2]],$K48,BetTable[[Date]:[Date]], "&gt;="&amp;W$5,BetTable[[Date]:[Date]],"&lt;="&amp;EOMONTH(W$5,0))+SUMIFS(BetTable[[AR_per_bookie]:[AR_per_bookie]],BetTable[[B3]:[B3]],$K48,BetTable[[Date]:[Date]], "&gt;="&amp;W$5,BetTable[[Date]:[Date]],"&lt;="&amp;EOMONTH(W$5,0))</f>
        <v>0</v>
      </c>
    </row>
    <row r="49" spans="1:23">
      <c r="A49" s="174" t="s">
        <v>100</v>
      </c>
      <c r="B49" s="209">
        <v>1</v>
      </c>
      <c r="C49" s="174">
        <v>3000</v>
      </c>
      <c r="E49" s="174" t="s">
        <v>357</v>
      </c>
      <c r="K49" s="174" t="str">
        <f t="array" ref="K49">IFERROR(INDEX(BookieNavn!H$2:H$1251,SMALL(IF(EXACT(LEFT(BookieNavn!H$2:H$1251,2),M$3),ROW(BookieNavn!H$2:H$1251)-ROW(BookieNavn!H$2)+1),ROWS(BookieNavn!H$2:'BookieNavn'!H44))),"")</f>
        <v/>
      </c>
      <c r="L49" s="186">
        <f>SUMIFS(DWbonus[[Sum]:[Sum]],DWbonus[[Dato]:[Dato]], "&gt;="&amp;L$5,DWbonus[[Dato]:[Dato]],"&lt;="&amp;EOMONTH(L$5,0),DWbonus[[Bookie]:[Bookie]],$K49)+SUMIFS(LayTable[[Faktisk res]:[Faktisk res]],LayTable[[Dato]:[Dato]],"&gt;="&amp;L$5,LayTable[[Dato]:[Dato]],"&lt;="&amp;EOMONTH(L$5,0),LayTable[[Bookmaker]:[Bookmaker]],$K49)+SUMIFS(BetTable[[AR_per_bookie]:[AR_per_bookie]],BetTable[[B1]:[B1]],$K49,BetTable[[Date]:[Date]], "&gt;="&amp;L$5,BetTable[[Date]:[Date]],"&lt;="&amp;EOMONTH(L$5,0))+SUMIFS(BetTable[[AR_per_bookie]:[AR_per_bookie]],BetTable[[B2]:[B2]],$K49,BetTable[[Date]:[Date]], "&gt;="&amp;L$5,BetTable[[Date]:[Date]],"&lt;="&amp;EOMONTH(L$5,0))+SUMIFS(BetTable[[AR_per_bookie]:[AR_per_bookie]],BetTable[[B3]:[B3]],$K49,BetTable[[Date]:[Date]], "&gt;="&amp;L$5,BetTable[[Date]:[Date]],"&lt;="&amp;EOMONTH(L$5,0))</f>
        <v>0</v>
      </c>
      <c r="M49" s="186">
        <f>SUMIFS(DWbonus[[Sum]:[Sum]],DWbonus[[Dato]:[Dato]], "&gt;="&amp;M$5,DWbonus[[Dato]:[Dato]],"&lt;="&amp;EOMONTH(M$5,0),DWbonus[[Bookie]:[Bookie]],$K49)+SUMIFS(LayTable[[Faktisk res]:[Faktisk res]],LayTable[[Dato]:[Dato]],"&gt;="&amp;M$5,LayTable[[Dato]:[Dato]],"&lt;="&amp;EOMONTH(M$5,0),LayTable[[Bookmaker]:[Bookmaker]],$K49)+SUMIFS(BetTable[[AR_per_bookie]:[AR_per_bookie]],BetTable[[B1]:[B1]],$K49,BetTable[[Date]:[Date]], "&gt;="&amp;M$5,BetTable[[Date]:[Date]],"&lt;="&amp;EOMONTH(M$5,0))+SUMIFS(BetTable[[AR_per_bookie]:[AR_per_bookie]],BetTable[[B2]:[B2]],$K49,BetTable[[Date]:[Date]], "&gt;="&amp;M$5,BetTable[[Date]:[Date]],"&lt;="&amp;EOMONTH(M$5,0))+SUMIFS(BetTable[[AR_per_bookie]:[AR_per_bookie]],BetTable[[B3]:[B3]],$K49,BetTable[[Date]:[Date]], "&gt;="&amp;M$5,BetTable[[Date]:[Date]],"&lt;="&amp;EOMONTH(M$5,0))</f>
        <v>0</v>
      </c>
      <c r="N49" s="186">
        <f>SUMIFS(DWbonus[[Sum]:[Sum]],DWbonus[[Dato]:[Dato]], "&gt;="&amp;N$5,DWbonus[[Dato]:[Dato]],"&lt;="&amp;EOMONTH(N$5,0),DWbonus[[Bookie]:[Bookie]],$K49)+SUMIFS(LayTable[[Faktisk res]:[Faktisk res]],LayTable[[Dato]:[Dato]],"&gt;="&amp;N$5,LayTable[[Dato]:[Dato]],"&lt;="&amp;EOMONTH(N$5,0),LayTable[[Bookmaker]:[Bookmaker]],$K49)+SUMIFS(BetTable[[AR_per_bookie]:[AR_per_bookie]],BetTable[[B1]:[B1]],$K49,BetTable[[Date]:[Date]], "&gt;="&amp;N$5,BetTable[[Date]:[Date]],"&lt;="&amp;EOMONTH(N$5,0))+SUMIFS(BetTable[[AR_per_bookie]:[AR_per_bookie]],BetTable[[B2]:[B2]],$K49,BetTable[[Date]:[Date]], "&gt;="&amp;N$5,BetTable[[Date]:[Date]],"&lt;="&amp;EOMONTH(N$5,0))+SUMIFS(BetTable[[AR_per_bookie]:[AR_per_bookie]],BetTable[[B3]:[B3]],$K49,BetTable[[Date]:[Date]], "&gt;="&amp;N$5,BetTable[[Date]:[Date]],"&lt;="&amp;EOMONTH(N$5,0))</f>
        <v>0</v>
      </c>
      <c r="O49" s="186">
        <f>SUMIFS(DWbonus[[Sum]:[Sum]],DWbonus[[Dato]:[Dato]], "&gt;="&amp;O$5,DWbonus[[Dato]:[Dato]],"&lt;="&amp;EOMONTH(O$5,0),DWbonus[[Bookie]:[Bookie]],$K49)+SUMIFS(LayTable[[Faktisk res]:[Faktisk res]],LayTable[[Dato]:[Dato]],"&gt;="&amp;O$5,LayTable[[Dato]:[Dato]],"&lt;="&amp;EOMONTH(O$5,0),LayTable[[Bookmaker]:[Bookmaker]],$K49)+SUMIFS(BetTable[[AR_per_bookie]:[AR_per_bookie]],BetTable[[B1]:[B1]],$K49,BetTable[[Date]:[Date]], "&gt;="&amp;O$5,BetTable[[Date]:[Date]],"&lt;="&amp;EOMONTH(O$5,0))+SUMIFS(BetTable[[AR_per_bookie]:[AR_per_bookie]],BetTable[[B2]:[B2]],$K49,BetTable[[Date]:[Date]], "&gt;="&amp;O$5,BetTable[[Date]:[Date]],"&lt;="&amp;EOMONTH(O$5,0))+SUMIFS(BetTable[[AR_per_bookie]:[AR_per_bookie]],BetTable[[B3]:[B3]],$K49,BetTable[[Date]:[Date]], "&gt;="&amp;O$5,BetTable[[Date]:[Date]],"&lt;="&amp;EOMONTH(O$5,0))</f>
        <v>0</v>
      </c>
      <c r="P49" s="186">
        <f>SUMIFS(DWbonus[[Sum]:[Sum]],DWbonus[[Dato]:[Dato]], "&gt;="&amp;P$5,DWbonus[[Dato]:[Dato]],"&lt;="&amp;EOMONTH(P$5,0),DWbonus[[Bookie]:[Bookie]],$K49)+SUMIFS(LayTable[[Faktisk res]:[Faktisk res]],LayTable[[Dato]:[Dato]],"&gt;="&amp;P$5,LayTable[[Dato]:[Dato]],"&lt;="&amp;EOMONTH(P$5,0),LayTable[[Bookmaker]:[Bookmaker]],$K49)+SUMIFS(BetTable[[AR_per_bookie]:[AR_per_bookie]],BetTable[[B1]:[B1]],$K49,BetTable[[Date]:[Date]], "&gt;="&amp;P$5,BetTable[[Date]:[Date]],"&lt;="&amp;EOMONTH(P$5,0))+SUMIFS(BetTable[[AR_per_bookie]:[AR_per_bookie]],BetTable[[B2]:[B2]],$K49,BetTable[[Date]:[Date]], "&gt;="&amp;P$5,BetTable[[Date]:[Date]],"&lt;="&amp;EOMONTH(P$5,0))+SUMIFS(BetTable[[AR_per_bookie]:[AR_per_bookie]],BetTable[[B3]:[B3]],$K49,BetTable[[Date]:[Date]], "&gt;="&amp;P$5,BetTable[[Date]:[Date]],"&lt;="&amp;EOMONTH(P$5,0))</f>
        <v>0</v>
      </c>
      <c r="Q49" s="186">
        <f>SUMIFS(DWbonus[[Sum]:[Sum]],DWbonus[[Dato]:[Dato]], "&gt;="&amp;Q$5,DWbonus[[Dato]:[Dato]],"&lt;="&amp;EOMONTH(Q$5,0),DWbonus[[Bookie]:[Bookie]],$K49)+SUMIFS(LayTable[[Faktisk res]:[Faktisk res]],LayTable[[Dato]:[Dato]],"&gt;="&amp;Q$5,LayTable[[Dato]:[Dato]],"&lt;="&amp;EOMONTH(Q$5,0),LayTable[[Bookmaker]:[Bookmaker]],$K49)+SUMIFS(BetTable[[AR_per_bookie]:[AR_per_bookie]],BetTable[[B1]:[B1]],$K49,BetTable[[Date]:[Date]], "&gt;="&amp;Q$5,BetTable[[Date]:[Date]],"&lt;="&amp;EOMONTH(Q$5,0))+SUMIFS(BetTable[[AR_per_bookie]:[AR_per_bookie]],BetTable[[B2]:[B2]],$K49,BetTable[[Date]:[Date]], "&gt;="&amp;Q$5,BetTable[[Date]:[Date]],"&lt;="&amp;EOMONTH(Q$5,0))+SUMIFS(BetTable[[AR_per_bookie]:[AR_per_bookie]],BetTable[[B3]:[B3]],$K49,BetTable[[Date]:[Date]], "&gt;="&amp;Q$5,BetTable[[Date]:[Date]],"&lt;="&amp;EOMONTH(Q$5,0))</f>
        <v>0</v>
      </c>
      <c r="R49" s="186">
        <f>SUMIFS(DWbonus[[Sum]:[Sum]],DWbonus[[Dato]:[Dato]], "&gt;="&amp;R$5,DWbonus[[Dato]:[Dato]],"&lt;="&amp;EOMONTH(R$5,0),DWbonus[[Bookie]:[Bookie]],$K49)+SUMIFS(LayTable[[Faktisk res]:[Faktisk res]],LayTable[[Dato]:[Dato]],"&gt;="&amp;R$5,LayTable[[Dato]:[Dato]],"&lt;="&amp;EOMONTH(R$5,0),LayTable[[Bookmaker]:[Bookmaker]],$K49)+SUMIFS(BetTable[[AR_per_bookie]:[AR_per_bookie]],BetTable[[B1]:[B1]],$K49,BetTable[[Date]:[Date]], "&gt;="&amp;R$5,BetTable[[Date]:[Date]],"&lt;="&amp;EOMONTH(R$5,0))+SUMIFS(BetTable[[AR_per_bookie]:[AR_per_bookie]],BetTable[[B2]:[B2]],$K49,BetTable[[Date]:[Date]], "&gt;="&amp;R$5,BetTable[[Date]:[Date]],"&lt;="&amp;EOMONTH(R$5,0))+SUMIFS(BetTable[[AR_per_bookie]:[AR_per_bookie]],BetTable[[B3]:[B3]],$K49,BetTable[[Date]:[Date]], "&gt;="&amp;R$5,BetTable[[Date]:[Date]],"&lt;="&amp;EOMONTH(R$5,0))</f>
        <v>0</v>
      </c>
      <c r="S49" s="186">
        <f>SUMIFS(DWbonus[[Sum]:[Sum]],DWbonus[[Dato]:[Dato]], "&gt;="&amp;S$5,DWbonus[[Dato]:[Dato]],"&lt;="&amp;EOMONTH(S$5,0),DWbonus[[Bookie]:[Bookie]],$K49)+SUMIFS(LayTable[[Faktisk res]:[Faktisk res]],LayTable[[Dato]:[Dato]],"&gt;="&amp;S$5,LayTable[[Dato]:[Dato]],"&lt;="&amp;EOMONTH(S$5,0),LayTable[[Bookmaker]:[Bookmaker]],$K49)+SUMIFS(BetTable[[AR_per_bookie]:[AR_per_bookie]],BetTable[[B1]:[B1]],$K49,BetTable[[Date]:[Date]], "&gt;="&amp;S$5,BetTable[[Date]:[Date]],"&lt;="&amp;EOMONTH(S$5,0))+SUMIFS(BetTable[[AR_per_bookie]:[AR_per_bookie]],BetTable[[B2]:[B2]],$K49,BetTable[[Date]:[Date]], "&gt;="&amp;S$5,BetTable[[Date]:[Date]],"&lt;="&amp;EOMONTH(S$5,0))+SUMIFS(BetTable[[AR_per_bookie]:[AR_per_bookie]],BetTable[[B3]:[B3]],$K49,BetTable[[Date]:[Date]], "&gt;="&amp;S$5,BetTable[[Date]:[Date]],"&lt;="&amp;EOMONTH(S$5,0))</f>
        <v>0</v>
      </c>
      <c r="T49" s="186">
        <f>SUMIFS(DWbonus[[Sum]:[Sum]],DWbonus[[Dato]:[Dato]], "&gt;="&amp;T$5,DWbonus[[Dato]:[Dato]],"&lt;="&amp;EOMONTH(T$5,0),DWbonus[[Bookie]:[Bookie]],$K49)+SUMIFS(LayTable[[Faktisk res]:[Faktisk res]],LayTable[[Dato]:[Dato]],"&gt;="&amp;T$5,LayTable[[Dato]:[Dato]],"&lt;="&amp;EOMONTH(T$5,0),LayTable[[Bookmaker]:[Bookmaker]],$K49)+SUMIFS(BetTable[[AR_per_bookie]:[AR_per_bookie]],BetTable[[B1]:[B1]],$K49,BetTable[[Date]:[Date]], "&gt;="&amp;T$5,BetTable[[Date]:[Date]],"&lt;="&amp;EOMONTH(T$5,0))+SUMIFS(BetTable[[AR_per_bookie]:[AR_per_bookie]],BetTable[[B2]:[B2]],$K49,BetTable[[Date]:[Date]], "&gt;="&amp;T$5,BetTable[[Date]:[Date]],"&lt;="&amp;EOMONTH(T$5,0))+SUMIFS(BetTable[[AR_per_bookie]:[AR_per_bookie]],BetTable[[B3]:[B3]],$K49,BetTable[[Date]:[Date]], "&gt;="&amp;T$5,BetTable[[Date]:[Date]],"&lt;="&amp;EOMONTH(T$5,0))</f>
        <v>0</v>
      </c>
      <c r="U49" s="186">
        <f>SUMIFS(DWbonus[[Sum]:[Sum]],DWbonus[[Dato]:[Dato]], "&gt;="&amp;U$5,DWbonus[[Dato]:[Dato]],"&lt;="&amp;EOMONTH(U$5,0),DWbonus[[Bookie]:[Bookie]],$K49)+SUMIFS(LayTable[[Faktisk res]:[Faktisk res]],LayTable[[Dato]:[Dato]],"&gt;="&amp;U$5,LayTable[[Dato]:[Dato]],"&lt;="&amp;EOMONTH(U$5,0),LayTable[[Bookmaker]:[Bookmaker]],$K49)+SUMIFS(BetTable[[AR_per_bookie]:[AR_per_bookie]],BetTable[[B1]:[B1]],$K49,BetTable[[Date]:[Date]], "&gt;="&amp;U$5,BetTable[[Date]:[Date]],"&lt;="&amp;EOMONTH(U$5,0))+SUMIFS(BetTable[[AR_per_bookie]:[AR_per_bookie]],BetTable[[B2]:[B2]],$K49,BetTable[[Date]:[Date]], "&gt;="&amp;U$5,BetTable[[Date]:[Date]],"&lt;="&amp;EOMONTH(U$5,0))+SUMIFS(BetTable[[AR_per_bookie]:[AR_per_bookie]],BetTable[[B3]:[B3]],$K49,BetTable[[Date]:[Date]], "&gt;="&amp;U$5,BetTable[[Date]:[Date]],"&lt;="&amp;EOMONTH(U$5,0))</f>
        <v>0</v>
      </c>
      <c r="V49" s="186">
        <f>SUMIFS(DWbonus[[Sum]:[Sum]],DWbonus[[Dato]:[Dato]], "&gt;="&amp;V$5,DWbonus[[Dato]:[Dato]],"&lt;="&amp;EOMONTH(V$5,0),DWbonus[[Bookie]:[Bookie]],$K49)+SUMIFS(LayTable[[Faktisk res]:[Faktisk res]],LayTable[[Dato]:[Dato]],"&gt;="&amp;V$5,LayTable[[Dato]:[Dato]],"&lt;="&amp;EOMONTH(V$5,0),LayTable[[Bookmaker]:[Bookmaker]],$K49)+SUMIFS(BetTable[[AR_per_bookie]:[AR_per_bookie]],BetTable[[B1]:[B1]],$K49,BetTable[[Date]:[Date]], "&gt;="&amp;V$5,BetTable[[Date]:[Date]],"&lt;="&amp;EOMONTH(V$5,0))+SUMIFS(BetTable[[AR_per_bookie]:[AR_per_bookie]],BetTable[[B2]:[B2]],$K49,BetTable[[Date]:[Date]], "&gt;="&amp;V$5,BetTable[[Date]:[Date]],"&lt;="&amp;EOMONTH(V$5,0))+SUMIFS(BetTable[[AR_per_bookie]:[AR_per_bookie]],BetTable[[B3]:[B3]],$K49,BetTable[[Date]:[Date]], "&gt;="&amp;V$5,BetTable[[Date]:[Date]],"&lt;="&amp;EOMONTH(V$5,0))</f>
        <v>0</v>
      </c>
      <c r="W49" s="186">
        <f>SUMIFS(DWbonus[[Sum]:[Sum]],DWbonus[[Dato]:[Dato]], "&gt;="&amp;W$5,DWbonus[[Dato]:[Dato]],"&lt;="&amp;EOMONTH(W$5,0),DWbonus[[Bookie]:[Bookie]],$K49)+SUMIFS(LayTable[[Faktisk res]:[Faktisk res]],LayTable[[Dato]:[Dato]],"&gt;="&amp;W$5,LayTable[[Dato]:[Dato]],"&lt;="&amp;EOMONTH(W$5,0),LayTable[[Bookmaker]:[Bookmaker]],$K49)+SUMIFS(BetTable[[AR_per_bookie]:[AR_per_bookie]],BetTable[[B1]:[B1]],$K49,BetTable[[Date]:[Date]], "&gt;="&amp;W$5,BetTable[[Date]:[Date]],"&lt;="&amp;EOMONTH(W$5,0))+SUMIFS(BetTable[[AR_per_bookie]:[AR_per_bookie]],BetTable[[B2]:[B2]],$K49,BetTable[[Date]:[Date]], "&gt;="&amp;W$5,BetTable[[Date]:[Date]],"&lt;="&amp;EOMONTH(W$5,0))+SUMIFS(BetTable[[AR_per_bookie]:[AR_per_bookie]],BetTable[[B3]:[B3]],$K49,BetTable[[Date]:[Date]], "&gt;="&amp;W$5,BetTable[[Date]:[Date]],"&lt;="&amp;EOMONTH(W$5,0))</f>
        <v>0</v>
      </c>
    </row>
    <row r="50" spans="1:23">
      <c r="A50" s="174" t="s">
        <v>225</v>
      </c>
      <c r="B50" s="209">
        <v>1</v>
      </c>
      <c r="C50" s="174">
        <v>1000</v>
      </c>
      <c r="E50" s="174" t="s">
        <v>357</v>
      </c>
      <c r="K50" s="174" t="str">
        <f t="array" ref="K50">IFERROR(INDEX(BookieNavn!H$2:H$1251,SMALL(IF(EXACT(LEFT(BookieNavn!H$2:H$1251,2),M$3),ROW(BookieNavn!H$2:H$1251)-ROW(BookieNavn!H$2)+1),ROWS(BookieNavn!H$2:'BookieNavn'!H45))),"")</f>
        <v/>
      </c>
      <c r="L50" s="186">
        <f>SUMIFS(DWbonus[[Sum]:[Sum]],DWbonus[[Dato]:[Dato]], "&gt;="&amp;L$5,DWbonus[[Dato]:[Dato]],"&lt;="&amp;EOMONTH(L$5,0),DWbonus[[Bookie]:[Bookie]],$K50)+SUMIFS(LayTable[[Faktisk res]:[Faktisk res]],LayTable[[Dato]:[Dato]],"&gt;="&amp;L$5,LayTable[[Dato]:[Dato]],"&lt;="&amp;EOMONTH(L$5,0),LayTable[[Bookmaker]:[Bookmaker]],$K50)+SUMIFS(BetTable[[AR_per_bookie]:[AR_per_bookie]],BetTable[[B1]:[B1]],$K50,BetTable[[Date]:[Date]], "&gt;="&amp;L$5,BetTable[[Date]:[Date]],"&lt;="&amp;EOMONTH(L$5,0))+SUMIFS(BetTable[[AR_per_bookie]:[AR_per_bookie]],BetTable[[B2]:[B2]],$K50,BetTable[[Date]:[Date]], "&gt;="&amp;L$5,BetTable[[Date]:[Date]],"&lt;="&amp;EOMONTH(L$5,0))+SUMIFS(BetTable[[AR_per_bookie]:[AR_per_bookie]],BetTable[[B3]:[B3]],$K50,BetTable[[Date]:[Date]], "&gt;="&amp;L$5,BetTable[[Date]:[Date]],"&lt;="&amp;EOMONTH(L$5,0))</f>
        <v>0</v>
      </c>
      <c r="M50" s="186">
        <f>SUMIFS(DWbonus[[Sum]:[Sum]],DWbonus[[Dato]:[Dato]], "&gt;="&amp;M$5,DWbonus[[Dato]:[Dato]],"&lt;="&amp;EOMONTH(M$5,0),DWbonus[[Bookie]:[Bookie]],$K50)+SUMIFS(LayTable[[Faktisk res]:[Faktisk res]],LayTable[[Dato]:[Dato]],"&gt;="&amp;M$5,LayTable[[Dato]:[Dato]],"&lt;="&amp;EOMONTH(M$5,0),LayTable[[Bookmaker]:[Bookmaker]],$K50)+SUMIFS(BetTable[[AR_per_bookie]:[AR_per_bookie]],BetTable[[B1]:[B1]],$K50,BetTable[[Date]:[Date]], "&gt;="&amp;M$5,BetTable[[Date]:[Date]],"&lt;="&amp;EOMONTH(M$5,0))+SUMIFS(BetTable[[AR_per_bookie]:[AR_per_bookie]],BetTable[[B2]:[B2]],$K50,BetTable[[Date]:[Date]], "&gt;="&amp;M$5,BetTable[[Date]:[Date]],"&lt;="&amp;EOMONTH(M$5,0))+SUMIFS(BetTable[[AR_per_bookie]:[AR_per_bookie]],BetTable[[B3]:[B3]],$K50,BetTable[[Date]:[Date]], "&gt;="&amp;M$5,BetTable[[Date]:[Date]],"&lt;="&amp;EOMONTH(M$5,0))</f>
        <v>0</v>
      </c>
      <c r="N50" s="186">
        <f>SUMIFS(DWbonus[[Sum]:[Sum]],DWbonus[[Dato]:[Dato]], "&gt;="&amp;N$5,DWbonus[[Dato]:[Dato]],"&lt;="&amp;EOMONTH(N$5,0),DWbonus[[Bookie]:[Bookie]],$K50)+SUMIFS(LayTable[[Faktisk res]:[Faktisk res]],LayTable[[Dato]:[Dato]],"&gt;="&amp;N$5,LayTable[[Dato]:[Dato]],"&lt;="&amp;EOMONTH(N$5,0),LayTable[[Bookmaker]:[Bookmaker]],$K50)+SUMIFS(BetTable[[AR_per_bookie]:[AR_per_bookie]],BetTable[[B1]:[B1]],$K50,BetTable[[Date]:[Date]], "&gt;="&amp;N$5,BetTable[[Date]:[Date]],"&lt;="&amp;EOMONTH(N$5,0))+SUMIFS(BetTable[[AR_per_bookie]:[AR_per_bookie]],BetTable[[B2]:[B2]],$K50,BetTable[[Date]:[Date]], "&gt;="&amp;N$5,BetTable[[Date]:[Date]],"&lt;="&amp;EOMONTH(N$5,0))+SUMIFS(BetTable[[AR_per_bookie]:[AR_per_bookie]],BetTable[[B3]:[B3]],$K50,BetTable[[Date]:[Date]], "&gt;="&amp;N$5,BetTable[[Date]:[Date]],"&lt;="&amp;EOMONTH(N$5,0))</f>
        <v>0</v>
      </c>
      <c r="O50" s="186">
        <f>SUMIFS(DWbonus[[Sum]:[Sum]],DWbonus[[Dato]:[Dato]], "&gt;="&amp;O$5,DWbonus[[Dato]:[Dato]],"&lt;="&amp;EOMONTH(O$5,0),DWbonus[[Bookie]:[Bookie]],$K50)+SUMIFS(LayTable[[Faktisk res]:[Faktisk res]],LayTable[[Dato]:[Dato]],"&gt;="&amp;O$5,LayTable[[Dato]:[Dato]],"&lt;="&amp;EOMONTH(O$5,0),LayTable[[Bookmaker]:[Bookmaker]],$K50)+SUMIFS(BetTable[[AR_per_bookie]:[AR_per_bookie]],BetTable[[B1]:[B1]],$K50,BetTable[[Date]:[Date]], "&gt;="&amp;O$5,BetTable[[Date]:[Date]],"&lt;="&amp;EOMONTH(O$5,0))+SUMIFS(BetTable[[AR_per_bookie]:[AR_per_bookie]],BetTable[[B2]:[B2]],$K50,BetTable[[Date]:[Date]], "&gt;="&amp;O$5,BetTable[[Date]:[Date]],"&lt;="&amp;EOMONTH(O$5,0))+SUMIFS(BetTable[[AR_per_bookie]:[AR_per_bookie]],BetTable[[B3]:[B3]],$K50,BetTable[[Date]:[Date]], "&gt;="&amp;O$5,BetTable[[Date]:[Date]],"&lt;="&amp;EOMONTH(O$5,0))</f>
        <v>0</v>
      </c>
      <c r="P50" s="186">
        <f>SUMIFS(DWbonus[[Sum]:[Sum]],DWbonus[[Dato]:[Dato]], "&gt;="&amp;P$5,DWbonus[[Dato]:[Dato]],"&lt;="&amp;EOMONTH(P$5,0),DWbonus[[Bookie]:[Bookie]],$K50)+SUMIFS(LayTable[[Faktisk res]:[Faktisk res]],LayTable[[Dato]:[Dato]],"&gt;="&amp;P$5,LayTable[[Dato]:[Dato]],"&lt;="&amp;EOMONTH(P$5,0),LayTable[[Bookmaker]:[Bookmaker]],$K50)+SUMIFS(BetTable[[AR_per_bookie]:[AR_per_bookie]],BetTable[[B1]:[B1]],$K50,BetTable[[Date]:[Date]], "&gt;="&amp;P$5,BetTable[[Date]:[Date]],"&lt;="&amp;EOMONTH(P$5,0))+SUMIFS(BetTable[[AR_per_bookie]:[AR_per_bookie]],BetTable[[B2]:[B2]],$K50,BetTable[[Date]:[Date]], "&gt;="&amp;P$5,BetTable[[Date]:[Date]],"&lt;="&amp;EOMONTH(P$5,0))+SUMIFS(BetTable[[AR_per_bookie]:[AR_per_bookie]],BetTable[[B3]:[B3]],$K50,BetTable[[Date]:[Date]], "&gt;="&amp;P$5,BetTable[[Date]:[Date]],"&lt;="&amp;EOMONTH(P$5,0))</f>
        <v>0</v>
      </c>
      <c r="Q50" s="186">
        <f>SUMIFS(DWbonus[[Sum]:[Sum]],DWbonus[[Dato]:[Dato]], "&gt;="&amp;Q$5,DWbonus[[Dato]:[Dato]],"&lt;="&amp;EOMONTH(Q$5,0),DWbonus[[Bookie]:[Bookie]],$K50)+SUMIFS(LayTable[[Faktisk res]:[Faktisk res]],LayTable[[Dato]:[Dato]],"&gt;="&amp;Q$5,LayTable[[Dato]:[Dato]],"&lt;="&amp;EOMONTH(Q$5,0),LayTable[[Bookmaker]:[Bookmaker]],$K50)+SUMIFS(BetTable[[AR_per_bookie]:[AR_per_bookie]],BetTable[[B1]:[B1]],$K50,BetTable[[Date]:[Date]], "&gt;="&amp;Q$5,BetTable[[Date]:[Date]],"&lt;="&amp;EOMONTH(Q$5,0))+SUMIFS(BetTable[[AR_per_bookie]:[AR_per_bookie]],BetTable[[B2]:[B2]],$K50,BetTable[[Date]:[Date]], "&gt;="&amp;Q$5,BetTable[[Date]:[Date]],"&lt;="&amp;EOMONTH(Q$5,0))+SUMIFS(BetTable[[AR_per_bookie]:[AR_per_bookie]],BetTable[[B3]:[B3]],$K50,BetTable[[Date]:[Date]], "&gt;="&amp;Q$5,BetTable[[Date]:[Date]],"&lt;="&amp;EOMONTH(Q$5,0))</f>
        <v>0</v>
      </c>
      <c r="R50" s="186">
        <f>SUMIFS(DWbonus[[Sum]:[Sum]],DWbonus[[Dato]:[Dato]], "&gt;="&amp;R$5,DWbonus[[Dato]:[Dato]],"&lt;="&amp;EOMONTH(R$5,0),DWbonus[[Bookie]:[Bookie]],$K50)+SUMIFS(LayTable[[Faktisk res]:[Faktisk res]],LayTable[[Dato]:[Dato]],"&gt;="&amp;R$5,LayTable[[Dato]:[Dato]],"&lt;="&amp;EOMONTH(R$5,0),LayTable[[Bookmaker]:[Bookmaker]],$K50)+SUMIFS(BetTable[[AR_per_bookie]:[AR_per_bookie]],BetTable[[B1]:[B1]],$K50,BetTable[[Date]:[Date]], "&gt;="&amp;R$5,BetTable[[Date]:[Date]],"&lt;="&amp;EOMONTH(R$5,0))+SUMIFS(BetTable[[AR_per_bookie]:[AR_per_bookie]],BetTable[[B2]:[B2]],$K50,BetTable[[Date]:[Date]], "&gt;="&amp;R$5,BetTable[[Date]:[Date]],"&lt;="&amp;EOMONTH(R$5,0))+SUMIFS(BetTable[[AR_per_bookie]:[AR_per_bookie]],BetTable[[B3]:[B3]],$K50,BetTable[[Date]:[Date]], "&gt;="&amp;R$5,BetTable[[Date]:[Date]],"&lt;="&amp;EOMONTH(R$5,0))</f>
        <v>0</v>
      </c>
      <c r="S50" s="186">
        <f>SUMIFS(DWbonus[[Sum]:[Sum]],DWbonus[[Dato]:[Dato]], "&gt;="&amp;S$5,DWbonus[[Dato]:[Dato]],"&lt;="&amp;EOMONTH(S$5,0),DWbonus[[Bookie]:[Bookie]],$K50)+SUMIFS(LayTable[[Faktisk res]:[Faktisk res]],LayTable[[Dato]:[Dato]],"&gt;="&amp;S$5,LayTable[[Dato]:[Dato]],"&lt;="&amp;EOMONTH(S$5,0),LayTable[[Bookmaker]:[Bookmaker]],$K50)+SUMIFS(BetTable[[AR_per_bookie]:[AR_per_bookie]],BetTable[[B1]:[B1]],$K50,BetTable[[Date]:[Date]], "&gt;="&amp;S$5,BetTable[[Date]:[Date]],"&lt;="&amp;EOMONTH(S$5,0))+SUMIFS(BetTable[[AR_per_bookie]:[AR_per_bookie]],BetTable[[B2]:[B2]],$K50,BetTable[[Date]:[Date]], "&gt;="&amp;S$5,BetTable[[Date]:[Date]],"&lt;="&amp;EOMONTH(S$5,0))+SUMIFS(BetTable[[AR_per_bookie]:[AR_per_bookie]],BetTable[[B3]:[B3]],$K50,BetTable[[Date]:[Date]], "&gt;="&amp;S$5,BetTable[[Date]:[Date]],"&lt;="&amp;EOMONTH(S$5,0))</f>
        <v>0</v>
      </c>
      <c r="T50" s="186">
        <f>SUMIFS(DWbonus[[Sum]:[Sum]],DWbonus[[Dato]:[Dato]], "&gt;="&amp;T$5,DWbonus[[Dato]:[Dato]],"&lt;="&amp;EOMONTH(T$5,0),DWbonus[[Bookie]:[Bookie]],$K50)+SUMIFS(LayTable[[Faktisk res]:[Faktisk res]],LayTable[[Dato]:[Dato]],"&gt;="&amp;T$5,LayTable[[Dato]:[Dato]],"&lt;="&amp;EOMONTH(T$5,0),LayTable[[Bookmaker]:[Bookmaker]],$K50)+SUMIFS(BetTable[[AR_per_bookie]:[AR_per_bookie]],BetTable[[B1]:[B1]],$K50,BetTable[[Date]:[Date]], "&gt;="&amp;T$5,BetTable[[Date]:[Date]],"&lt;="&amp;EOMONTH(T$5,0))+SUMIFS(BetTable[[AR_per_bookie]:[AR_per_bookie]],BetTable[[B2]:[B2]],$K50,BetTable[[Date]:[Date]], "&gt;="&amp;T$5,BetTable[[Date]:[Date]],"&lt;="&amp;EOMONTH(T$5,0))+SUMIFS(BetTable[[AR_per_bookie]:[AR_per_bookie]],BetTable[[B3]:[B3]],$K50,BetTable[[Date]:[Date]], "&gt;="&amp;T$5,BetTable[[Date]:[Date]],"&lt;="&amp;EOMONTH(T$5,0))</f>
        <v>0</v>
      </c>
      <c r="U50" s="186">
        <f>SUMIFS(DWbonus[[Sum]:[Sum]],DWbonus[[Dato]:[Dato]], "&gt;="&amp;U$5,DWbonus[[Dato]:[Dato]],"&lt;="&amp;EOMONTH(U$5,0),DWbonus[[Bookie]:[Bookie]],$K50)+SUMIFS(LayTable[[Faktisk res]:[Faktisk res]],LayTable[[Dato]:[Dato]],"&gt;="&amp;U$5,LayTable[[Dato]:[Dato]],"&lt;="&amp;EOMONTH(U$5,0),LayTable[[Bookmaker]:[Bookmaker]],$K50)+SUMIFS(BetTable[[AR_per_bookie]:[AR_per_bookie]],BetTable[[B1]:[B1]],$K50,BetTable[[Date]:[Date]], "&gt;="&amp;U$5,BetTable[[Date]:[Date]],"&lt;="&amp;EOMONTH(U$5,0))+SUMIFS(BetTable[[AR_per_bookie]:[AR_per_bookie]],BetTable[[B2]:[B2]],$K50,BetTable[[Date]:[Date]], "&gt;="&amp;U$5,BetTable[[Date]:[Date]],"&lt;="&amp;EOMONTH(U$5,0))+SUMIFS(BetTable[[AR_per_bookie]:[AR_per_bookie]],BetTable[[B3]:[B3]],$K50,BetTable[[Date]:[Date]], "&gt;="&amp;U$5,BetTable[[Date]:[Date]],"&lt;="&amp;EOMONTH(U$5,0))</f>
        <v>0</v>
      </c>
      <c r="V50" s="186">
        <f>SUMIFS(DWbonus[[Sum]:[Sum]],DWbonus[[Dato]:[Dato]], "&gt;="&amp;V$5,DWbonus[[Dato]:[Dato]],"&lt;="&amp;EOMONTH(V$5,0),DWbonus[[Bookie]:[Bookie]],$K50)+SUMIFS(LayTable[[Faktisk res]:[Faktisk res]],LayTable[[Dato]:[Dato]],"&gt;="&amp;V$5,LayTable[[Dato]:[Dato]],"&lt;="&amp;EOMONTH(V$5,0),LayTable[[Bookmaker]:[Bookmaker]],$K50)+SUMIFS(BetTable[[AR_per_bookie]:[AR_per_bookie]],BetTable[[B1]:[B1]],$K50,BetTable[[Date]:[Date]], "&gt;="&amp;V$5,BetTable[[Date]:[Date]],"&lt;="&amp;EOMONTH(V$5,0))+SUMIFS(BetTable[[AR_per_bookie]:[AR_per_bookie]],BetTable[[B2]:[B2]],$K50,BetTable[[Date]:[Date]], "&gt;="&amp;V$5,BetTable[[Date]:[Date]],"&lt;="&amp;EOMONTH(V$5,0))+SUMIFS(BetTable[[AR_per_bookie]:[AR_per_bookie]],BetTable[[B3]:[B3]],$K50,BetTable[[Date]:[Date]], "&gt;="&amp;V$5,BetTable[[Date]:[Date]],"&lt;="&amp;EOMONTH(V$5,0))</f>
        <v>0</v>
      </c>
      <c r="W50" s="186">
        <f>SUMIFS(DWbonus[[Sum]:[Sum]],DWbonus[[Dato]:[Dato]], "&gt;="&amp;W$5,DWbonus[[Dato]:[Dato]],"&lt;="&amp;EOMONTH(W$5,0),DWbonus[[Bookie]:[Bookie]],$K50)+SUMIFS(LayTable[[Faktisk res]:[Faktisk res]],LayTable[[Dato]:[Dato]],"&gt;="&amp;W$5,LayTable[[Dato]:[Dato]],"&lt;="&amp;EOMONTH(W$5,0),LayTable[[Bookmaker]:[Bookmaker]],$K50)+SUMIFS(BetTable[[AR_per_bookie]:[AR_per_bookie]],BetTable[[B1]:[B1]],$K50,BetTable[[Date]:[Date]], "&gt;="&amp;W$5,BetTable[[Date]:[Date]],"&lt;="&amp;EOMONTH(W$5,0))+SUMIFS(BetTable[[AR_per_bookie]:[AR_per_bookie]],BetTable[[B2]:[B2]],$K50,BetTable[[Date]:[Date]], "&gt;="&amp;W$5,BetTable[[Date]:[Date]],"&lt;="&amp;EOMONTH(W$5,0))+SUMIFS(BetTable[[AR_per_bookie]:[AR_per_bookie]],BetTable[[B3]:[B3]],$K50,BetTable[[Date]:[Date]], "&gt;="&amp;W$5,BetTable[[Date]:[Date]],"&lt;="&amp;EOMONTH(W$5,0))</f>
        <v>0</v>
      </c>
    </row>
    <row r="51" spans="1:23">
      <c r="F51" s="174" t="s">
        <v>406</v>
      </c>
      <c r="K51" s="174" t="str">
        <f t="array" ref="K51">IFERROR(INDEX(BookieNavn!H$2:H$1251,SMALL(IF(EXACT(LEFT(BookieNavn!H$2:H$1251,2),M$3),ROW(BookieNavn!H$2:H$1251)-ROW(BookieNavn!H$2)+1),ROWS(BookieNavn!H$2:'BookieNavn'!H46))),"")</f>
        <v/>
      </c>
      <c r="L51" s="186">
        <f>SUMIFS(DWbonus[[Sum]:[Sum]],DWbonus[[Dato]:[Dato]], "&gt;="&amp;L$5,DWbonus[[Dato]:[Dato]],"&lt;="&amp;EOMONTH(L$5,0),DWbonus[[Bookie]:[Bookie]],$K51)+SUMIFS(LayTable[[Faktisk res]:[Faktisk res]],LayTable[[Dato]:[Dato]],"&gt;="&amp;L$5,LayTable[[Dato]:[Dato]],"&lt;="&amp;EOMONTH(L$5,0),LayTable[[Bookmaker]:[Bookmaker]],$K51)+SUMIFS(BetTable[[AR_per_bookie]:[AR_per_bookie]],BetTable[[B1]:[B1]],$K51,BetTable[[Date]:[Date]], "&gt;="&amp;L$5,BetTable[[Date]:[Date]],"&lt;="&amp;EOMONTH(L$5,0))+SUMIFS(BetTable[[AR_per_bookie]:[AR_per_bookie]],BetTable[[B2]:[B2]],$K51,BetTable[[Date]:[Date]], "&gt;="&amp;L$5,BetTable[[Date]:[Date]],"&lt;="&amp;EOMONTH(L$5,0))+SUMIFS(BetTable[[AR_per_bookie]:[AR_per_bookie]],BetTable[[B3]:[B3]],$K51,BetTable[[Date]:[Date]], "&gt;="&amp;L$5,BetTable[[Date]:[Date]],"&lt;="&amp;EOMONTH(L$5,0))</f>
        <v>0</v>
      </c>
      <c r="M51" s="186">
        <f>SUMIFS(DWbonus[[Sum]:[Sum]],DWbonus[[Dato]:[Dato]], "&gt;="&amp;M$5,DWbonus[[Dato]:[Dato]],"&lt;="&amp;EOMONTH(M$5,0),DWbonus[[Bookie]:[Bookie]],$K51)+SUMIFS(LayTable[[Faktisk res]:[Faktisk res]],LayTable[[Dato]:[Dato]],"&gt;="&amp;M$5,LayTable[[Dato]:[Dato]],"&lt;="&amp;EOMONTH(M$5,0),LayTable[[Bookmaker]:[Bookmaker]],$K51)+SUMIFS(BetTable[[AR_per_bookie]:[AR_per_bookie]],BetTable[[B1]:[B1]],$K51,BetTable[[Date]:[Date]], "&gt;="&amp;M$5,BetTable[[Date]:[Date]],"&lt;="&amp;EOMONTH(M$5,0))+SUMIFS(BetTable[[AR_per_bookie]:[AR_per_bookie]],BetTable[[B2]:[B2]],$K51,BetTable[[Date]:[Date]], "&gt;="&amp;M$5,BetTable[[Date]:[Date]],"&lt;="&amp;EOMONTH(M$5,0))+SUMIFS(BetTable[[AR_per_bookie]:[AR_per_bookie]],BetTable[[B3]:[B3]],$K51,BetTable[[Date]:[Date]], "&gt;="&amp;M$5,BetTable[[Date]:[Date]],"&lt;="&amp;EOMONTH(M$5,0))</f>
        <v>0</v>
      </c>
      <c r="N51" s="186">
        <f>SUMIFS(DWbonus[[Sum]:[Sum]],DWbonus[[Dato]:[Dato]], "&gt;="&amp;N$5,DWbonus[[Dato]:[Dato]],"&lt;="&amp;EOMONTH(N$5,0),DWbonus[[Bookie]:[Bookie]],$K51)+SUMIFS(LayTable[[Faktisk res]:[Faktisk res]],LayTable[[Dato]:[Dato]],"&gt;="&amp;N$5,LayTable[[Dato]:[Dato]],"&lt;="&amp;EOMONTH(N$5,0),LayTable[[Bookmaker]:[Bookmaker]],$K51)+SUMIFS(BetTable[[AR_per_bookie]:[AR_per_bookie]],BetTable[[B1]:[B1]],$K51,BetTable[[Date]:[Date]], "&gt;="&amp;N$5,BetTable[[Date]:[Date]],"&lt;="&amp;EOMONTH(N$5,0))+SUMIFS(BetTable[[AR_per_bookie]:[AR_per_bookie]],BetTable[[B2]:[B2]],$K51,BetTable[[Date]:[Date]], "&gt;="&amp;N$5,BetTable[[Date]:[Date]],"&lt;="&amp;EOMONTH(N$5,0))+SUMIFS(BetTable[[AR_per_bookie]:[AR_per_bookie]],BetTable[[B3]:[B3]],$K51,BetTable[[Date]:[Date]], "&gt;="&amp;N$5,BetTable[[Date]:[Date]],"&lt;="&amp;EOMONTH(N$5,0))</f>
        <v>0</v>
      </c>
      <c r="O51" s="186">
        <f>SUMIFS(DWbonus[[Sum]:[Sum]],DWbonus[[Dato]:[Dato]], "&gt;="&amp;O$5,DWbonus[[Dato]:[Dato]],"&lt;="&amp;EOMONTH(O$5,0),DWbonus[[Bookie]:[Bookie]],$K51)+SUMIFS(LayTable[[Faktisk res]:[Faktisk res]],LayTable[[Dato]:[Dato]],"&gt;="&amp;O$5,LayTable[[Dato]:[Dato]],"&lt;="&amp;EOMONTH(O$5,0),LayTable[[Bookmaker]:[Bookmaker]],$K51)+SUMIFS(BetTable[[AR_per_bookie]:[AR_per_bookie]],BetTable[[B1]:[B1]],$K51,BetTable[[Date]:[Date]], "&gt;="&amp;O$5,BetTable[[Date]:[Date]],"&lt;="&amp;EOMONTH(O$5,0))+SUMIFS(BetTable[[AR_per_bookie]:[AR_per_bookie]],BetTable[[B2]:[B2]],$K51,BetTable[[Date]:[Date]], "&gt;="&amp;O$5,BetTable[[Date]:[Date]],"&lt;="&amp;EOMONTH(O$5,0))+SUMIFS(BetTable[[AR_per_bookie]:[AR_per_bookie]],BetTable[[B3]:[B3]],$K51,BetTable[[Date]:[Date]], "&gt;="&amp;O$5,BetTable[[Date]:[Date]],"&lt;="&amp;EOMONTH(O$5,0))</f>
        <v>0</v>
      </c>
      <c r="P51" s="186">
        <f>SUMIFS(DWbonus[[Sum]:[Sum]],DWbonus[[Dato]:[Dato]], "&gt;="&amp;P$5,DWbonus[[Dato]:[Dato]],"&lt;="&amp;EOMONTH(P$5,0),DWbonus[[Bookie]:[Bookie]],$K51)+SUMIFS(LayTable[[Faktisk res]:[Faktisk res]],LayTable[[Dato]:[Dato]],"&gt;="&amp;P$5,LayTable[[Dato]:[Dato]],"&lt;="&amp;EOMONTH(P$5,0),LayTable[[Bookmaker]:[Bookmaker]],$K51)+SUMIFS(BetTable[[AR_per_bookie]:[AR_per_bookie]],BetTable[[B1]:[B1]],$K51,BetTable[[Date]:[Date]], "&gt;="&amp;P$5,BetTable[[Date]:[Date]],"&lt;="&amp;EOMONTH(P$5,0))+SUMIFS(BetTable[[AR_per_bookie]:[AR_per_bookie]],BetTable[[B2]:[B2]],$K51,BetTable[[Date]:[Date]], "&gt;="&amp;P$5,BetTable[[Date]:[Date]],"&lt;="&amp;EOMONTH(P$5,0))+SUMIFS(BetTable[[AR_per_bookie]:[AR_per_bookie]],BetTable[[B3]:[B3]],$K51,BetTable[[Date]:[Date]], "&gt;="&amp;P$5,BetTable[[Date]:[Date]],"&lt;="&amp;EOMONTH(P$5,0))</f>
        <v>0</v>
      </c>
      <c r="Q51" s="186">
        <f>SUMIFS(DWbonus[[Sum]:[Sum]],DWbonus[[Dato]:[Dato]], "&gt;="&amp;Q$5,DWbonus[[Dato]:[Dato]],"&lt;="&amp;EOMONTH(Q$5,0),DWbonus[[Bookie]:[Bookie]],$K51)+SUMIFS(LayTable[[Faktisk res]:[Faktisk res]],LayTable[[Dato]:[Dato]],"&gt;="&amp;Q$5,LayTable[[Dato]:[Dato]],"&lt;="&amp;EOMONTH(Q$5,0),LayTable[[Bookmaker]:[Bookmaker]],$K51)+SUMIFS(BetTable[[AR_per_bookie]:[AR_per_bookie]],BetTable[[B1]:[B1]],$K51,BetTable[[Date]:[Date]], "&gt;="&amp;Q$5,BetTable[[Date]:[Date]],"&lt;="&amp;EOMONTH(Q$5,0))+SUMIFS(BetTable[[AR_per_bookie]:[AR_per_bookie]],BetTable[[B2]:[B2]],$K51,BetTable[[Date]:[Date]], "&gt;="&amp;Q$5,BetTable[[Date]:[Date]],"&lt;="&amp;EOMONTH(Q$5,0))+SUMIFS(BetTable[[AR_per_bookie]:[AR_per_bookie]],BetTable[[B3]:[B3]],$K51,BetTable[[Date]:[Date]], "&gt;="&amp;Q$5,BetTable[[Date]:[Date]],"&lt;="&amp;EOMONTH(Q$5,0))</f>
        <v>0</v>
      </c>
      <c r="R51" s="186">
        <f>SUMIFS(DWbonus[[Sum]:[Sum]],DWbonus[[Dato]:[Dato]], "&gt;="&amp;R$5,DWbonus[[Dato]:[Dato]],"&lt;="&amp;EOMONTH(R$5,0),DWbonus[[Bookie]:[Bookie]],$K51)+SUMIFS(LayTable[[Faktisk res]:[Faktisk res]],LayTable[[Dato]:[Dato]],"&gt;="&amp;R$5,LayTable[[Dato]:[Dato]],"&lt;="&amp;EOMONTH(R$5,0),LayTable[[Bookmaker]:[Bookmaker]],$K51)+SUMIFS(BetTable[[AR_per_bookie]:[AR_per_bookie]],BetTable[[B1]:[B1]],$K51,BetTable[[Date]:[Date]], "&gt;="&amp;R$5,BetTable[[Date]:[Date]],"&lt;="&amp;EOMONTH(R$5,0))+SUMIFS(BetTable[[AR_per_bookie]:[AR_per_bookie]],BetTable[[B2]:[B2]],$K51,BetTable[[Date]:[Date]], "&gt;="&amp;R$5,BetTable[[Date]:[Date]],"&lt;="&amp;EOMONTH(R$5,0))+SUMIFS(BetTable[[AR_per_bookie]:[AR_per_bookie]],BetTable[[B3]:[B3]],$K51,BetTable[[Date]:[Date]], "&gt;="&amp;R$5,BetTable[[Date]:[Date]],"&lt;="&amp;EOMONTH(R$5,0))</f>
        <v>0</v>
      </c>
      <c r="S51" s="186">
        <f>SUMIFS(DWbonus[[Sum]:[Sum]],DWbonus[[Dato]:[Dato]], "&gt;="&amp;S$5,DWbonus[[Dato]:[Dato]],"&lt;="&amp;EOMONTH(S$5,0),DWbonus[[Bookie]:[Bookie]],$K51)+SUMIFS(LayTable[[Faktisk res]:[Faktisk res]],LayTable[[Dato]:[Dato]],"&gt;="&amp;S$5,LayTable[[Dato]:[Dato]],"&lt;="&amp;EOMONTH(S$5,0),LayTable[[Bookmaker]:[Bookmaker]],$K51)+SUMIFS(BetTable[[AR_per_bookie]:[AR_per_bookie]],BetTable[[B1]:[B1]],$K51,BetTable[[Date]:[Date]], "&gt;="&amp;S$5,BetTable[[Date]:[Date]],"&lt;="&amp;EOMONTH(S$5,0))+SUMIFS(BetTable[[AR_per_bookie]:[AR_per_bookie]],BetTable[[B2]:[B2]],$K51,BetTable[[Date]:[Date]], "&gt;="&amp;S$5,BetTable[[Date]:[Date]],"&lt;="&amp;EOMONTH(S$5,0))+SUMIFS(BetTable[[AR_per_bookie]:[AR_per_bookie]],BetTable[[B3]:[B3]],$K51,BetTable[[Date]:[Date]], "&gt;="&amp;S$5,BetTable[[Date]:[Date]],"&lt;="&amp;EOMONTH(S$5,0))</f>
        <v>0</v>
      </c>
      <c r="T51" s="186">
        <f>SUMIFS(DWbonus[[Sum]:[Sum]],DWbonus[[Dato]:[Dato]], "&gt;="&amp;T$5,DWbonus[[Dato]:[Dato]],"&lt;="&amp;EOMONTH(T$5,0),DWbonus[[Bookie]:[Bookie]],$K51)+SUMIFS(LayTable[[Faktisk res]:[Faktisk res]],LayTable[[Dato]:[Dato]],"&gt;="&amp;T$5,LayTable[[Dato]:[Dato]],"&lt;="&amp;EOMONTH(T$5,0),LayTable[[Bookmaker]:[Bookmaker]],$K51)+SUMIFS(BetTable[[AR_per_bookie]:[AR_per_bookie]],BetTable[[B1]:[B1]],$K51,BetTable[[Date]:[Date]], "&gt;="&amp;T$5,BetTable[[Date]:[Date]],"&lt;="&amp;EOMONTH(T$5,0))+SUMIFS(BetTable[[AR_per_bookie]:[AR_per_bookie]],BetTable[[B2]:[B2]],$K51,BetTable[[Date]:[Date]], "&gt;="&amp;T$5,BetTable[[Date]:[Date]],"&lt;="&amp;EOMONTH(T$5,0))+SUMIFS(BetTable[[AR_per_bookie]:[AR_per_bookie]],BetTable[[B3]:[B3]],$K51,BetTable[[Date]:[Date]], "&gt;="&amp;T$5,BetTable[[Date]:[Date]],"&lt;="&amp;EOMONTH(T$5,0))</f>
        <v>0</v>
      </c>
      <c r="U51" s="186">
        <f>SUMIFS(DWbonus[[Sum]:[Sum]],DWbonus[[Dato]:[Dato]], "&gt;="&amp;U$5,DWbonus[[Dato]:[Dato]],"&lt;="&amp;EOMONTH(U$5,0),DWbonus[[Bookie]:[Bookie]],$K51)+SUMIFS(LayTable[[Faktisk res]:[Faktisk res]],LayTable[[Dato]:[Dato]],"&gt;="&amp;U$5,LayTable[[Dato]:[Dato]],"&lt;="&amp;EOMONTH(U$5,0),LayTable[[Bookmaker]:[Bookmaker]],$K51)+SUMIFS(BetTable[[AR_per_bookie]:[AR_per_bookie]],BetTable[[B1]:[B1]],$K51,BetTable[[Date]:[Date]], "&gt;="&amp;U$5,BetTable[[Date]:[Date]],"&lt;="&amp;EOMONTH(U$5,0))+SUMIFS(BetTable[[AR_per_bookie]:[AR_per_bookie]],BetTable[[B2]:[B2]],$K51,BetTable[[Date]:[Date]], "&gt;="&amp;U$5,BetTable[[Date]:[Date]],"&lt;="&amp;EOMONTH(U$5,0))+SUMIFS(BetTable[[AR_per_bookie]:[AR_per_bookie]],BetTable[[B3]:[B3]],$K51,BetTable[[Date]:[Date]], "&gt;="&amp;U$5,BetTable[[Date]:[Date]],"&lt;="&amp;EOMONTH(U$5,0))</f>
        <v>0</v>
      </c>
      <c r="V51" s="186">
        <f>SUMIFS(DWbonus[[Sum]:[Sum]],DWbonus[[Dato]:[Dato]], "&gt;="&amp;V$5,DWbonus[[Dato]:[Dato]],"&lt;="&amp;EOMONTH(V$5,0),DWbonus[[Bookie]:[Bookie]],$K51)+SUMIFS(LayTable[[Faktisk res]:[Faktisk res]],LayTable[[Dato]:[Dato]],"&gt;="&amp;V$5,LayTable[[Dato]:[Dato]],"&lt;="&amp;EOMONTH(V$5,0),LayTable[[Bookmaker]:[Bookmaker]],$K51)+SUMIFS(BetTable[[AR_per_bookie]:[AR_per_bookie]],BetTable[[B1]:[B1]],$K51,BetTable[[Date]:[Date]], "&gt;="&amp;V$5,BetTable[[Date]:[Date]],"&lt;="&amp;EOMONTH(V$5,0))+SUMIFS(BetTable[[AR_per_bookie]:[AR_per_bookie]],BetTable[[B2]:[B2]],$K51,BetTable[[Date]:[Date]], "&gt;="&amp;V$5,BetTable[[Date]:[Date]],"&lt;="&amp;EOMONTH(V$5,0))+SUMIFS(BetTable[[AR_per_bookie]:[AR_per_bookie]],BetTable[[B3]:[B3]],$K51,BetTable[[Date]:[Date]], "&gt;="&amp;V$5,BetTable[[Date]:[Date]],"&lt;="&amp;EOMONTH(V$5,0))</f>
        <v>0</v>
      </c>
      <c r="W51" s="186">
        <f>SUMIFS(DWbonus[[Sum]:[Sum]],DWbonus[[Dato]:[Dato]], "&gt;="&amp;W$5,DWbonus[[Dato]:[Dato]],"&lt;="&amp;EOMONTH(W$5,0),DWbonus[[Bookie]:[Bookie]],$K51)+SUMIFS(LayTable[[Faktisk res]:[Faktisk res]],LayTable[[Dato]:[Dato]],"&gt;="&amp;W$5,LayTable[[Dato]:[Dato]],"&lt;="&amp;EOMONTH(W$5,0),LayTable[[Bookmaker]:[Bookmaker]],$K51)+SUMIFS(BetTable[[AR_per_bookie]:[AR_per_bookie]],BetTable[[B1]:[B1]],$K51,BetTable[[Date]:[Date]], "&gt;="&amp;W$5,BetTable[[Date]:[Date]],"&lt;="&amp;EOMONTH(W$5,0))+SUMIFS(BetTable[[AR_per_bookie]:[AR_per_bookie]],BetTable[[B2]:[B2]],$K51,BetTable[[Date]:[Date]], "&gt;="&amp;W$5,BetTable[[Date]:[Date]],"&lt;="&amp;EOMONTH(W$5,0))+SUMIFS(BetTable[[AR_per_bookie]:[AR_per_bookie]],BetTable[[B3]:[B3]],$K51,BetTable[[Date]:[Date]], "&gt;="&amp;W$5,BetTable[[Date]:[Date]],"&lt;="&amp;EOMONTH(W$5,0))</f>
        <v>0</v>
      </c>
    </row>
    <row r="52" spans="1:23">
      <c r="F52" s="174" t="s">
        <v>407</v>
      </c>
      <c r="K52" s="174" t="str">
        <f t="array" ref="K52">IFERROR(INDEX(BookieNavn!H$2:H$1251,SMALL(IF(EXACT(LEFT(BookieNavn!H$2:H$1251,2),M$3),ROW(BookieNavn!H$2:H$1251)-ROW(BookieNavn!H$2)+1),ROWS(BookieNavn!H$2:'BookieNavn'!H47))),"")</f>
        <v/>
      </c>
      <c r="L52" s="186">
        <f>SUMIFS(DWbonus[[Sum]:[Sum]],DWbonus[[Dato]:[Dato]], "&gt;="&amp;L$5,DWbonus[[Dato]:[Dato]],"&lt;="&amp;EOMONTH(L$5,0),DWbonus[[Bookie]:[Bookie]],$K52)+SUMIFS(LayTable[[Faktisk res]:[Faktisk res]],LayTable[[Dato]:[Dato]],"&gt;="&amp;L$5,LayTable[[Dato]:[Dato]],"&lt;="&amp;EOMONTH(L$5,0),LayTable[[Bookmaker]:[Bookmaker]],$K52)+SUMIFS(BetTable[[AR_per_bookie]:[AR_per_bookie]],BetTable[[B1]:[B1]],$K52,BetTable[[Date]:[Date]], "&gt;="&amp;L$5,BetTable[[Date]:[Date]],"&lt;="&amp;EOMONTH(L$5,0))+SUMIFS(BetTable[[AR_per_bookie]:[AR_per_bookie]],BetTable[[B2]:[B2]],$K52,BetTable[[Date]:[Date]], "&gt;="&amp;L$5,BetTable[[Date]:[Date]],"&lt;="&amp;EOMONTH(L$5,0))+SUMIFS(BetTable[[AR_per_bookie]:[AR_per_bookie]],BetTable[[B3]:[B3]],$K52,BetTable[[Date]:[Date]], "&gt;="&amp;L$5,BetTable[[Date]:[Date]],"&lt;="&amp;EOMONTH(L$5,0))</f>
        <v>0</v>
      </c>
      <c r="M52" s="186">
        <f>SUMIFS(DWbonus[[Sum]:[Sum]],DWbonus[[Dato]:[Dato]], "&gt;="&amp;M$5,DWbonus[[Dato]:[Dato]],"&lt;="&amp;EOMONTH(M$5,0),DWbonus[[Bookie]:[Bookie]],$K52)+SUMIFS(LayTable[[Faktisk res]:[Faktisk res]],LayTable[[Dato]:[Dato]],"&gt;="&amp;M$5,LayTable[[Dato]:[Dato]],"&lt;="&amp;EOMONTH(M$5,0),LayTable[[Bookmaker]:[Bookmaker]],$K52)+SUMIFS(BetTable[[AR_per_bookie]:[AR_per_bookie]],BetTable[[B1]:[B1]],$K52,BetTable[[Date]:[Date]], "&gt;="&amp;M$5,BetTable[[Date]:[Date]],"&lt;="&amp;EOMONTH(M$5,0))+SUMIFS(BetTable[[AR_per_bookie]:[AR_per_bookie]],BetTable[[B2]:[B2]],$K52,BetTable[[Date]:[Date]], "&gt;="&amp;M$5,BetTable[[Date]:[Date]],"&lt;="&amp;EOMONTH(M$5,0))+SUMIFS(BetTable[[AR_per_bookie]:[AR_per_bookie]],BetTable[[B3]:[B3]],$K52,BetTable[[Date]:[Date]], "&gt;="&amp;M$5,BetTable[[Date]:[Date]],"&lt;="&amp;EOMONTH(M$5,0))</f>
        <v>0</v>
      </c>
      <c r="N52" s="186">
        <f>SUMIFS(DWbonus[[Sum]:[Sum]],DWbonus[[Dato]:[Dato]], "&gt;="&amp;N$5,DWbonus[[Dato]:[Dato]],"&lt;="&amp;EOMONTH(N$5,0),DWbonus[[Bookie]:[Bookie]],$K52)+SUMIFS(LayTable[[Faktisk res]:[Faktisk res]],LayTable[[Dato]:[Dato]],"&gt;="&amp;N$5,LayTable[[Dato]:[Dato]],"&lt;="&amp;EOMONTH(N$5,0),LayTable[[Bookmaker]:[Bookmaker]],$K52)+SUMIFS(BetTable[[AR_per_bookie]:[AR_per_bookie]],BetTable[[B1]:[B1]],$K52,BetTable[[Date]:[Date]], "&gt;="&amp;N$5,BetTable[[Date]:[Date]],"&lt;="&amp;EOMONTH(N$5,0))+SUMIFS(BetTable[[AR_per_bookie]:[AR_per_bookie]],BetTable[[B2]:[B2]],$K52,BetTable[[Date]:[Date]], "&gt;="&amp;N$5,BetTable[[Date]:[Date]],"&lt;="&amp;EOMONTH(N$5,0))+SUMIFS(BetTable[[AR_per_bookie]:[AR_per_bookie]],BetTable[[B3]:[B3]],$K52,BetTable[[Date]:[Date]], "&gt;="&amp;N$5,BetTable[[Date]:[Date]],"&lt;="&amp;EOMONTH(N$5,0))</f>
        <v>0</v>
      </c>
      <c r="O52" s="186">
        <f>SUMIFS(DWbonus[[Sum]:[Sum]],DWbonus[[Dato]:[Dato]], "&gt;="&amp;O$5,DWbonus[[Dato]:[Dato]],"&lt;="&amp;EOMONTH(O$5,0),DWbonus[[Bookie]:[Bookie]],$K52)+SUMIFS(LayTable[[Faktisk res]:[Faktisk res]],LayTable[[Dato]:[Dato]],"&gt;="&amp;O$5,LayTable[[Dato]:[Dato]],"&lt;="&amp;EOMONTH(O$5,0),LayTable[[Bookmaker]:[Bookmaker]],$K52)+SUMIFS(BetTable[[AR_per_bookie]:[AR_per_bookie]],BetTable[[B1]:[B1]],$K52,BetTable[[Date]:[Date]], "&gt;="&amp;O$5,BetTable[[Date]:[Date]],"&lt;="&amp;EOMONTH(O$5,0))+SUMIFS(BetTable[[AR_per_bookie]:[AR_per_bookie]],BetTable[[B2]:[B2]],$K52,BetTable[[Date]:[Date]], "&gt;="&amp;O$5,BetTable[[Date]:[Date]],"&lt;="&amp;EOMONTH(O$5,0))+SUMIFS(BetTable[[AR_per_bookie]:[AR_per_bookie]],BetTable[[B3]:[B3]],$K52,BetTable[[Date]:[Date]], "&gt;="&amp;O$5,BetTable[[Date]:[Date]],"&lt;="&amp;EOMONTH(O$5,0))</f>
        <v>0</v>
      </c>
      <c r="P52" s="186">
        <f>SUMIFS(DWbonus[[Sum]:[Sum]],DWbonus[[Dato]:[Dato]], "&gt;="&amp;P$5,DWbonus[[Dato]:[Dato]],"&lt;="&amp;EOMONTH(P$5,0),DWbonus[[Bookie]:[Bookie]],$K52)+SUMIFS(LayTable[[Faktisk res]:[Faktisk res]],LayTable[[Dato]:[Dato]],"&gt;="&amp;P$5,LayTable[[Dato]:[Dato]],"&lt;="&amp;EOMONTH(P$5,0),LayTable[[Bookmaker]:[Bookmaker]],$K52)+SUMIFS(BetTable[[AR_per_bookie]:[AR_per_bookie]],BetTable[[B1]:[B1]],$K52,BetTable[[Date]:[Date]], "&gt;="&amp;P$5,BetTable[[Date]:[Date]],"&lt;="&amp;EOMONTH(P$5,0))+SUMIFS(BetTable[[AR_per_bookie]:[AR_per_bookie]],BetTable[[B2]:[B2]],$K52,BetTable[[Date]:[Date]], "&gt;="&amp;P$5,BetTable[[Date]:[Date]],"&lt;="&amp;EOMONTH(P$5,0))+SUMIFS(BetTable[[AR_per_bookie]:[AR_per_bookie]],BetTable[[B3]:[B3]],$K52,BetTable[[Date]:[Date]], "&gt;="&amp;P$5,BetTable[[Date]:[Date]],"&lt;="&amp;EOMONTH(P$5,0))</f>
        <v>0</v>
      </c>
      <c r="Q52" s="186">
        <f>SUMIFS(DWbonus[[Sum]:[Sum]],DWbonus[[Dato]:[Dato]], "&gt;="&amp;Q$5,DWbonus[[Dato]:[Dato]],"&lt;="&amp;EOMONTH(Q$5,0),DWbonus[[Bookie]:[Bookie]],$K52)+SUMIFS(LayTable[[Faktisk res]:[Faktisk res]],LayTable[[Dato]:[Dato]],"&gt;="&amp;Q$5,LayTable[[Dato]:[Dato]],"&lt;="&amp;EOMONTH(Q$5,0),LayTable[[Bookmaker]:[Bookmaker]],$K52)+SUMIFS(BetTable[[AR_per_bookie]:[AR_per_bookie]],BetTable[[B1]:[B1]],$K52,BetTable[[Date]:[Date]], "&gt;="&amp;Q$5,BetTable[[Date]:[Date]],"&lt;="&amp;EOMONTH(Q$5,0))+SUMIFS(BetTable[[AR_per_bookie]:[AR_per_bookie]],BetTable[[B2]:[B2]],$K52,BetTable[[Date]:[Date]], "&gt;="&amp;Q$5,BetTable[[Date]:[Date]],"&lt;="&amp;EOMONTH(Q$5,0))+SUMIFS(BetTable[[AR_per_bookie]:[AR_per_bookie]],BetTable[[B3]:[B3]],$K52,BetTable[[Date]:[Date]], "&gt;="&amp;Q$5,BetTable[[Date]:[Date]],"&lt;="&amp;EOMONTH(Q$5,0))</f>
        <v>0</v>
      </c>
      <c r="R52" s="186">
        <f>SUMIFS(DWbonus[[Sum]:[Sum]],DWbonus[[Dato]:[Dato]], "&gt;="&amp;R$5,DWbonus[[Dato]:[Dato]],"&lt;="&amp;EOMONTH(R$5,0),DWbonus[[Bookie]:[Bookie]],$K52)+SUMIFS(LayTable[[Faktisk res]:[Faktisk res]],LayTable[[Dato]:[Dato]],"&gt;="&amp;R$5,LayTable[[Dato]:[Dato]],"&lt;="&amp;EOMONTH(R$5,0),LayTable[[Bookmaker]:[Bookmaker]],$K52)+SUMIFS(BetTable[[AR_per_bookie]:[AR_per_bookie]],BetTable[[B1]:[B1]],$K52,BetTable[[Date]:[Date]], "&gt;="&amp;R$5,BetTable[[Date]:[Date]],"&lt;="&amp;EOMONTH(R$5,0))+SUMIFS(BetTable[[AR_per_bookie]:[AR_per_bookie]],BetTable[[B2]:[B2]],$K52,BetTable[[Date]:[Date]], "&gt;="&amp;R$5,BetTable[[Date]:[Date]],"&lt;="&amp;EOMONTH(R$5,0))+SUMIFS(BetTable[[AR_per_bookie]:[AR_per_bookie]],BetTable[[B3]:[B3]],$K52,BetTable[[Date]:[Date]], "&gt;="&amp;R$5,BetTable[[Date]:[Date]],"&lt;="&amp;EOMONTH(R$5,0))</f>
        <v>0</v>
      </c>
      <c r="S52" s="186">
        <f>SUMIFS(DWbonus[[Sum]:[Sum]],DWbonus[[Dato]:[Dato]], "&gt;="&amp;S$5,DWbonus[[Dato]:[Dato]],"&lt;="&amp;EOMONTH(S$5,0),DWbonus[[Bookie]:[Bookie]],$K52)+SUMIFS(LayTable[[Faktisk res]:[Faktisk res]],LayTable[[Dato]:[Dato]],"&gt;="&amp;S$5,LayTable[[Dato]:[Dato]],"&lt;="&amp;EOMONTH(S$5,0),LayTable[[Bookmaker]:[Bookmaker]],$K52)+SUMIFS(BetTable[[AR_per_bookie]:[AR_per_bookie]],BetTable[[B1]:[B1]],$K52,BetTable[[Date]:[Date]], "&gt;="&amp;S$5,BetTable[[Date]:[Date]],"&lt;="&amp;EOMONTH(S$5,0))+SUMIFS(BetTable[[AR_per_bookie]:[AR_per_bookie]],BetTable[[B2]:[B2]],$K52,BetTable[[Date]:[Date]], "&gt;="&amp;S$5,BetTable[[Date]:[Date]],"&lt;="&amp;EOMONTH(S$5,0))+SUMIFS(BetTable[[AR_per_bookie]:[AR_per_bookie]],BetTable[[B3]:[B3]],$K52,BetTable[[Date]:[Date]], "&gt;="&amp;S$5,BetTable[[Date]:[Date]],"&lt;="&amp;EOMONTH(S$5,0))</f>
        <v>0</v>
      </c>
      <c r="T52" s="186">
        <f>SUMIFS(DWbonus[[Sum]:[Sum]],DWbonus[[Dato]:[Dato]], "&gt;="&amp;T$5,DWbonus[[Dato]:[Dato]],"&lt;="&amp;EOMONTH(T$5,0),DWbonus[[Bookie]:[Bookie]],$K52)+SUMIFS(LayTable[[Faktisk res]:[Faktisk res]],LayTable[[Dato]:[Dato]],"&gt;="&amp;T$5,LayTable[[Dato]:[Dato]],"&lt;="&amp;EOMONTH(T$5,0),LayTable[[Bookmaker]:[Bookmaker]],$K52)+SUMIFS(BetTable[[AR_per_bookie]:[AR_per_bookie]],BetTable[[B1]:[B1]],$K52,BetTable[[Date]:[Date]], "&gt;="&amp;T$5,BetTable[[Date]:[Date]],"&lt;="&amp;EOMONTH(T$5,0))+SUMIFS(BetTable[[AR_per_bookie]:[AR_per_bookie]],BetTable[[B2]:[B2]],$K52,BetTable[[Date]:[Date]], "&gt;="&amp;T$5,BetTable[[Date]:[Date]],"&lt;="&amp;EOMONTH(T$5,0))+SUMIFS(BetTable[[AR_per_bookie]:[AR_per_bookie]],BetTable[[B3]:[B3]],$K52,BetTable[[Date]:[Date]], "&gt;="&amp;T$5,BetTable[[Date]:[Date]],"&lt;="&amp;EOMONTH(T$5,0))</f>
        <v>0</v>
      </c>
      <c r="U52" s="186">
        <f>SUMIFS(DWbonus[[Sum]:[Sum]],DWbonus[[Dato]:[Dato]], "&gt;="&amp;U$5,DWbonus[[Dato]:[Dato]],"&lt;="&amp;EOMONTH(U$5,0),DWbonus[[Bookie]:[Bookie]],$K52)+SUMIFS(LayTable[[Faktisk res]:[Faktisk res]],LayTable[[Dato]:[Dato]],"&gt;="&amp;U$5,LayTable[[Dato]:[Dato]],"&lt;="&amp;EOMONTH(U$5,0),LayTable[[Bookmaker]:[Bookmaker]],$K52)+SUMIFS(BetTable[[AR_per_bookie]:[AR_per_bookie]],BetTable[[B1]:[B1]],$K52,BetTable[[Date]:[Date]], "&gt;="&amp;U$5,BetTable[[Date]:[Date]],"&lt;="&amp;EOMONTH(U$5,0))+SUMIFS(BetTable[[AR_per_bookie]:[AR_per_bookie]],BetTable[[B2]:[B2]],$K52,BetTable[[Date]:[Date]], "&gt;="&amp;U$5,BetTable[[Date]:[Date]],"&lt;="&amp;EOMONTH(U$5,0))+SUMIFS(BetTable[[AR_per_bookie]:[AR_per_bookie]],BetTable[[B3]:[B3]],$K52,BetTable[[Date]:[Date]], "&gt;="&amp;U$5,BetTable[[Date]:[Date]],"&lt;="&amp;EOMONTH(U$5,0))</f>
        <v>0</v>
      </c>
      <c r="V52" s="186">
        <f>SUMIFS(DWbonus[[Sum]:[Sum]],DWbonus[[Dato]:[Dato]], "&gt;="&amp;V$5,DWbonus[[Dato]:[Dato]],"&lt;="&amp;EOMONTH(V$5,0),DWbonus[[Bookie]:[Bookie]],$K52)+SUMIFS(LayTable[[Faktisk res]:[Faktisk res]],LayTable[[Dato]:[Dato]],"&gt;="&amp;V$5,LayTable[[Dato]:[Dato]],"&lt;="&amp;EOMONTH(V$5,0),LayTable[[Bookmaker]:[Bookmaker]],$K52)+SUMIFS(BetTable[[AR_per_bookie]:[AR_per_bookie]],BetTable[[B1]:[B1]],$K52,BetTable[[Date]:[Date]], "&gt;="&amp;V$5,BetTable[[Date]:[Date]],"&lt;="&amp;EOMONTH(V$5,0))+SUMIFS(BetTable[[AR_per_bookie]:[AR_per_bookie]],BetTable[[B2]:[B2]],$K52,BetTable[[Date]:[Date]], "&gt;="&amp;V$5,BetTable[[Date]:[Date]],"&lt;="&amp;EOMONTH(V$5,0))+SUMIFS(BetTable[[AR_per_bookie]:[AR_per_bookie]],BetTable[[B3]:[B3]],$K52,BetTable[[Date]:[Date]], "&gt;="&amp;V$5,BetTable[[Date]:[Date]],"&lt;="&amp;EOMONTH(V$5,0))</f>
        <v>0</v>
      </c>
      <c r="W52" s="186">
        <f>SUMIFS(DWbonus[[Sum]:[Sum]],DWbonus[[Dato]:[Dato]], "&gt;="&amp;W$5,DWbonus[[Dato]:[Dato]],"&lt;="&amp;EOMONTH(W$5,0),DWbonus[[Bookie]:[Bookie]],$K52)+SUMIFS(LayTable[[Faktisk res]:[Faktisk res]],LayTable[[Dato]:[Dato]],"&gt;="&amp;W$5,LayTable[[Dato]:[Dato]],"&lt;="&amp;EOMONTH(W$5,0),LayTable[[Bookmaker]:[Bookmaker]],$K52)+SUMIFS(BetTable[[AR_per_bookie]:[AR_per_bookie]],BetTable[[B1]:[B1]],$K52,BetTable[[Date]:[Date]], "&gt;="&amp;W$5,BetTable[[Date]:[Date]],"&lt;="&amp;EOMONTH(W$5,0))+SUMIFS(BetTable[[AR_per_bookie]:[AR_per_bookie]],BetTable[[B2]:[B2]],$K52,BetTable[[Date]:[Date]], "&gt;="&amp;W$5,BetTable[[Date]:[Date]],"&lt;="&amp;EOMONTH(W$5,0))+SUMIFS(BetTable[[AR_per_bookie]:[AR_per_bookie]],BetTable[[B3]:[B3]],$K52,BetTable[[Date]:[Date]], "&gt;="&amp;W$5,BetTable[[Date]:[Date]],"&lt;="&amp;EOMONTH(W$5,0))</f>
        <v>0</v>
      </c>
    </row>
    <row r="53" spans="1:23">
      <c r="F53" s="174" t="s">
        <v>408</v>
      </c>
      <c r="K53" s="174" t="str">
        <f t="array" ref="K53">IFERROR(INDEX(BookieNavn!H$2:H$1251,SMALL(IF(EXACT(LEFT(BookieNavn!H$2:H$1251,2),M$3),ROW(BookieNavn!H$2:H$1251)-ROW(BookieNavn!H$2)+1),ROWS(BookieNavn!H$2:'BookieNavn'!H48))),"")</f>
        <v/>
      </c>
      <c r="L53" s="186">
        <f>SUMIFS(DWbonus[[Sum]:[Sum]],DWbonus[[Dato]:[Dato]], "&gt;="&amp;L$5,DWbonus[[Dato]:[Dato]],"&lt;="&amp;EOMONTH(L$5,0),DWbonus[[Bookie]:[Bookie]],$K53)+SUMIFS(LayTable[[Faktisk res]:[Faktisk res]],LayTable[[Dato]:[Dato]],"&gt;="&amp;L$5,LayTable[[Dato]:[Dato]],"&lt;="&amp;EOMONTH(L$5,0),LayTable[[Bookmaker]:[Bookmaker]],$K53)+SUMIFS(BetTable[[AR_per_bookie]:[AR_per_bookie]],BetTable[[B1]:[B1]],$K53,BetTable[[Date]:[Date]], "&gt;="&amp;L$5,BetTable[[Date]:[Date]],"&lt;="&amp;EOMONTH(L$5,0))+SUMIFS(BetTable[[AR_per_bookie]:[AR_per_bookie]],BetTable[[B2]:[B2]],$K53,BetTable[[Date]:[Date]], "&gt;="&amp;L$5,BetTable[[Date]:[Date]],"&lt;="&amp;EOMONTH(L$5,0))+SUMIFS(BetTable[[AR_per_bookie]:[AR_per_bookie]],BetTable[[B3]:[B3]],$K53,BetTable[[Date]:[Date]], "&gt;="&amp;L$5,BetTable[[Date]:[Date]],"&lt;="&amp;EOMONTH(L$5,0))</f>
        <v>0</v>
      </c>
      <c r="M53" s="186">
        <f>SUMIFS(DWbonus[[Sum]:[Sum]],DWbonus[[Dato]:[Dato]], "&gt;="&amp;M$5,DWbonus[[Dato]:[Dato]],"&lt;="&amp;EOMONTH(M$5,0),DWbonus[[Bookie]:[Bookie]],$K53)+SUMIFS(LayTable[[Faktisk res]:[Faktisk res]],LayTable[[Dato]:[Dato]],"&gt;="&amp;M$5,LayTable[[Dato]:[Dato]],"&lt;="&amp;EOMONTH(M$5,0),LayTable[[Bookmaker]:[Bookmaker]],$K53)+SUMIFS(BetTable[[AR_per_bookie]:[AR_per_bookie]],BetTable[[B1]:[B1]],$K53,BetTable[[Date]:[Date]], "&gt;="&amp;M$5,BetTable[[Date]:[Date]],"&lt;="&amp;EOMONTH(M$5,0))+SUMIFS(BetTable[[AR_per_bookie]:[AR_per_bookie]],BetTable[[B2]:[B2]],$K53,BetTable[[Date]:[Date]], "&gt;="&amp;M$5,BetTable[[Date]:[Date]],"&lt;="&amp;EOMONTH(M$5,0))+SUMIFS(BetTable[[AR_per_bookie]:[AR_per_bookie]],BetTable[[B3]:[B3]],$K53,BetTable[[Date]:[Date]], "&gt;="&amp;M$5,BetTable[[Date]:[Date]],"&lt;="&amp;EOMONTH(M$5,0))</f>
        <v>0</v>
      </c>
      <c r="N53" s="186">
        <f>SUMIFS(DWbonus[[Sum]:[Sum]],DWbonus[[Dato]:[Dato]], "&gt;="&amp;N$5,DWbonus[[Dato]:[Dato]],"&lt;="&amp;EOMONTH(N$5,0),DWbonus[[Bookie]:[Bookie]],$K53)+SUMIFS(LayTable[[Faktisk res]:[Faktisk res]],LayTable[[Dato]:[Dato]],"&gt;="&amp;N$5,LayTable[[Dato]:[Dato]],"&lt;="&amp;EOMONTH(N$5,0),LayTable[[Bookmaker]:[Bookmaker]],$K53)+SUMIFS(BetTable[[AR_per_bookie]:[AR_per_bookie]],BetTable[[B1]:[B1]],$K53,BetTable[[Date]:[Date]], "&gt;="&amp;N$5,BetTable[[Date]:[Date]],"&lt;="&amp;EOMONTH(N$5,0))+SUMIFS(BetTable[[AR_per_bookie]:[AR_per_bookie]],BetTable[[B2]:[B2]],$K53,BetTable[[Date]:[Date]], "&gt;="&amp;N$5,BetTable[[Date]:[Date]],"&lt;="&amp;EOMONTH(N$5,0))+SUMIFS(BetTable[[AR_per_bookie]:[AR_per_bookie]],BetTable[[B3]:[B3]],$K53,BetTable[[Date]:[Date]], "&gt;="&amp;N$5,BetTable[[Date]:[Date]],"&lt;="&amp;EOMONTH(N$5,0))</f>
        <v>0</v>
      </c>
      <c r="O53" s="186">
        <f>SUMIFS(DWbonus[[Sum]:[Sum]],DWbonus[[Dato]:[Dato]], "&gt;="&amp;O$5,DWbonus[[Dato]:[Dato]],"&lt;="&amp;EOMONTH(O$5,0),DWbonus[[Bookie]:[Bookie]],$K53)+SUMIFS(LayTable[[Faktisk res]:[Faktisk res]],LayTable[[Dato]:[Dato]],"&gt;="&amp;O$5,LayTable[[Dato]:[Dato]],"&lt;="&amp;EOMONTH(O$5,0),LayTable[[Bookmaker]:[Bookmaker]],$K53)+SUMIFS(BetTable[[AR_per_bookie]:[AR_per_bookie]],BetTable[[B1]:[B1]],$K53,BetTable[[Date]:[Date]], "&gt;="&amp;O$5,BetTable[[Date]:[Date]],"&lt;="&amp;EOMONTH(O$5,0))+SUMIFS(BetTable[[AR_per_bookie]:[AR_per_bookie]],BetTable[[B2]:[B2]],$K53,BetTable[[Date]:[Date]], "&gt;="&amp;O$5,BetTable[[Date]:[Date]],"&lt;="&amp;EOMONTH(O$5,0))+SUMIFS(BetTable[[AR_per_bookie]:[AR_per_bookie]],BetTable[[B3]:[B3]],$K53,BetTable[[Date]:[Date]], "&gt;="&amp;O$5,BetTable[[Date]:[Date]],"&lt;="&amp;EOMONTH(O$5,0))</f>
        <v>0</v>
      </c>
      <c r="P53" s="186">
        <f>SUMIFS(DWbonus[[Sum]:[Sum]],DWbonus[[Dato]:[Dato]], "&gt;="&amp;P$5,DWbonus[[Dato]:[Dato]],"&lt;="&amp;EOMONTH(P$5,0),DWbonus[[Bookie]:[Bookie]],$K53)+SUMIFS(LayTable[[Faktisk res]:[Faktisk res]],LayTable[[Dato]:[Dato]],"&gt;="&amp;P$5,LayTable[[Dato]:[Dato]],"&lt;="&amp;EOMONTH(P$5,0),LayTable[[Bookmaker]:[Bookmaker]],$K53)+SUMIFS(BetTable[[AR_per_bookie]:[AR_per_bookie]],BetTable[[B1]:[B1]],$K53,BetTable[[Date]:[Date]], "&gt;="&amp;P$5,BetTable[[Date]:[Date]],"&lt;="&amp;EOMONTH(P$5,0))+SUMIFS(BetTable[[AR_per_bookie]:[AR_per_bookie]],BetTable[[B2]:[B2]],$K53,BetTable[[Date]:[Date]], "&gt;="&amp;P$5,BetTable[[Date]:[Date]],"&lt;="&amp;EOMONTH(P$5,0))+SUMIFS(BetTable[[AR_per_bookie]:[AR_per_bookie]],BetTable[[B3]:[B3]],$K53,BetTable[[Date]:[Date]], "&gt;="&amp;P$5,BetTable[[Date]:[Date]],"&lt;="&amp;EOMONTH(P$5,0))</f>
        <v>0</v>
      </c>
      <c r="Q53" s="186">
        <f>SUMIFS(DWbonus[[Sum]:[Sum]],DWbonus[[Dato]:[Dato]], "&gt;="&amp;Q$5,DWbonus[[Dato]:[Dato]],"&lt;="&amp;EOMONTH(Q$5,0),DWbonus[[Bookie]:[Bookie]],$K53)+SUMIFS(LayTable[[Faktisk res]:[Faktisk res]],LayTable[[Dato]:[Dato]],"&gt;="&amp;Q$5,LayTable[[Dato]:[Dato]],"&lt;="&amp;EOMONTH(Q$5,0),LayTable[[Bookmaker]:[Bookmaker]],$K53)+SUMIFS(BetTable[[AR_per_bookie]:[AR_per_bookie]],BetTable[[B1]:[B1]],$K53,BetTable[[Date]:[Date]], "&gt;="&amp;Q$5,BetTable[[Date]:[Date]],"&lt;="&amp;EOMONTH(Q$5,0))+SUMIFS(BetTable[[AR_per_bookie]:[AR_per_bookie]],BetTable[[B2]:[B2]],$K53,BetTable[[Date]:[Date]], "&gt;="&amp;Q$5,BetTable[[Date]:[Date]],"&lt;="&amp;EOMONTH(Q$5,0))+SUMIFS(BetTable[[AR_per_bookie]:[AR_per_bookie]],BetTable[[B3]:[B3]],$K53,BetTable[[Date]:[Date]], "&gt;="&amp;Q$5,BetTable[[Date]:[Date]],"&lt;="&amp;EOMONTH(Q$5,0))</f>
        <v>0</v>
      </c>
      <c r="R53" s="186">
        <f>SUMIFS(DWbonus[[Sum]:[Sum]],DWbonus[[Dato]:[Dato]], "&gt;="&amp;R$5,DWbonus[[Dato]:[Dato]],"&lt;="&amp;EOMONTH(R$5,0),DWbonus[[Bookie]:[Bookie]],$K53)+SUMIFS(LayTable[[Faktisk res]:[Faktisk res]],LayTable[[Dato]:[Dato]],"&gt;="&amp;R$5,LayTable[[Dato]:[Dato]],"&lt;="&amp;EOMONTH(R$5,0),LayTable[[Bookmaker]:[Bookmaker]],$K53)+SUMIFS(BetTable[[AR_per_bookie]:[AR_per_bookie]],BetTable[[B1]:[B1]],$K53,BetTable[[Date]:[Date]], "&gt;="&amp;R$5,BetTable[[Date]:[Date]],"&lt;="&amp;EOMONTH(R$5,0))+SUMIFS(BetTable[[AR_per_bookie]:[AR_per_bookie]],BetTable[[B2]:[B2]],$K53,BetTable[[Date]:[Date]], "&gt;="&amp;R$5,BetTable[[Date]:[Date]],"&lt;="&amp;EOMONTH(R$5,0))+SUMIFS(BetTable[[AR_per_bookie]:[AR_per_bookie]],BetTable[[B3]:[B3]],$K53,BetTable[[Date]:[Date]], "&gt;="&amp;R$5,BetTable[[Date]:[Date]],"&lt;="&amp;EOMONTH(R$5,0))</f>
        <v>0</v>
      </c>
      <c r="S53" s="186">
        <f>SUMIFS(DWbonus[[Sum]:[Sum]],DWbonus[[Dato]:[Dato]], "&gt;="&amp;S$5,DWbonus[[Dato]:[Dato]],"&lt;="&amp;EOMONTH(S$5,0),DWbonus[[Bookie]:[Bookie]],$K53)+SUMIFS(LayTable[[Faktisk res]:[Faktisk res]],LayTable[[Dato]:[Dato]],"&gt;="&amp;S$5,LayTable[[Dato]:[Dato]],"&lt;="&amp;EOMONTH(S$5,0),LayTable[[Bookmaker]:[Bookmaker]],$K53)+SUMIFS(BetTable[[AR_per_bookie]:[AR_per_bookie]],BetTable[[B1]:[B1]],$K53,BetTable[[Date]:[Date]], "&gt;="&amp;S$5,BetTable[[Date]:[Date]],"&lt;="&amp;EOMONTH(S$5,0))+SUMIFS(BetTable[[AR_per_bookie]:[AR_per_bookie]],BetTable[[B2]:[B2]],$K53,BetTable[[Date]:[Date]], "&gt;="&amp;S$5,BetTable[[Date]:[Date]],"&lt;="&amp;EOMONTH(S$5,0))+SUMIFS(BetTable[[AR_per_bookie]:[AR_per_bookie]],BetTable[[B3]:[B3]],$K53,BetTable[[Date]:[Date]], "&gt;="&amp;S$5,BetTable[[Date]:[Date]],"&lt;="&amp;EOMONTH(S$5,0))</f>
        <v>0</v>
      </c>
      <c r="T53" s="186">
        <f>SUMIFS(DWbonus[[Sum]:[Sum]],DWbonus[[Dato]:[Dato]], "&gt;="&amp;T$5,DWbonus[[Dato]:[Dato]],"&lt;="&amp;EOMONTH(T$5,0),DWbonus[[Bookie]:[Bookie]],$K53)+SUMIFS(LayTable[[Faktisk res]:[Faktisk res]],LayTable[[Dato]:[Dato]],"&gt;="&amp;T$5,LayTable[[Dato]:[Dato]],"&lt;="&amp;EOMONTH(T$5,0),LayTable[[Bookmaker]:[Bookmaker]],$K53)+SUMIFS(BetTable[[AR_per_bookie]:[AR_per_bookie]],BetTable[[B1]:[B1]],$K53,BetTable[[Date]:[Date]], "&gt;="&amp;T$5,BetTable[[Date]:[Date]],"&lt;="&amp;EOMONTH(T$5,0))+SUMIFS(BetTable[[AR_per_bookie]:[AR_per_bookie]],BetTable[[B2]:[B2]],$K53,BetTable[[Date]:[Date]], "&gt;="&amp;T$5,BetTable[[Date]:[Date]],"&lt;="&amp;EOMONTH(T$5,0))+SUMIFS(BetTable[[AR_per_bookie]:[AR_per_bookie]],BetTable[[B3]:[B3]],$K53,BetTable[[Date]:[Date]], "&gt;="&amp;T$5,BetTable[[Date]:[Date]],"&lt;="&amp;EOMONTH(T$5,0))</f>
        <v>0</v>
      </c>
      <c r="U53" s="186">
        <f>SUMIFS(DWbonus[[Sum]:[Sum]],DWbonus[[Dato]:[Dato]], "&gt;="&amp;U$5,DWbonus[[Dato]:[Dato]],"&lt;="&amp;EOMONTH(U$5,0),DWbonus[[Bookie]:[Bookie]],$K53)+SUMIFS(LayTable[[Faktisk res]:[Faktisk res]],LayTable[[Dato]:[Dato]],"&gt;="&amp;U$5,LayTable[[Dato]:[Dato]],"&lt;="&amp;EOMONTH(U$5,0),LayTable[[Bookmaker]:[Bookmaker]],$K53)+SUMIFS(BetTable[[AR_per_bookie]:[AR_per_bookie]],BetTable[[B1]:[B1]],$K53,BetTable[[Date]:[Date]], "&gt;="&amp;U$5,BetTable[[Date]:[Date]],"&lt;="&amp;EOMONTH(U$5,0))+SUMIFS(BetTable[[AR_per_bookie]:[AR_per_bookie]],BetTable[[B2]:[B2]],$K53,BetTable[[Date]:[Date]], "&gt;="&amp;U$5,BetTable[[Date]:[Date]],"&lt;="&amp;EOMONTH(U$5,0))+SUMIFS(BetTable[[AR_per_bookie]:[AR_per_bookie]],BetTable[[B3]:[B3]],$K53,BetTable[[Date]:[Date]], "&gt;="&amp;U$5,BetTable[[Date]:[Date]],"&lt;="&amp;EOMONTH(U$5,0))</f>
        <v>0</v>
      </c>
      <c r="V53" s="186">
        <f>SUMIFS(DWbonus[[Sum]:[Sum]],DWbonus[[Dato]:[Dato]], "&gt;="&amp;V$5,DWbonus[[Dato]:[Dato]],"&lt;="&amp;EOMONTH(V$5,0),DWbonus[[Bookie]:[Bookie]],$K53)+SUMIFS(LayTable[[Faktisk res]:[Faktisk res]],LayTable[[Dato]:[Dato]],"&gt;="&amp;V$5,LayTable[[Dato]:[Dato]],"&lt;="&amp;EOMONTH(V$5,0),LayTable[[Bookmaker]:[Bookmaker]],$K53)+SUMIFS(BetTable[[AR_per_bookie]:[AR_per_bookie]],BetTable[[B1]:[B1]],$K53,BetTable[[Date]:[Date]], "&gt;="&amp;V$5,BetTable[[Date]:[Date]],"&lt;="&amp;EOMONTH(V$5,0))+SUMIFS(BetTable[[AR_per_bookie]:[AR_per_bookie]],BetTable[[B2]:[B2]],$K53,BetTable[[Date]:[Date]], "&gt;="&amp;V$5,BetTable[[Date]:[Date]],"&lt;="&amp;EOMONTH(V$5,0))+SUMIFS(BetTable[[AR_per_bookie]:[AR_per_bookie]],BetTable[[B3]:[B3]],$K53,BetTable[[Date]:[Date]], "&gt;="&amp;V$5,BetTable[[Date]:[Date]],"&lt;="&amp;EOMONTH(V$5,0))</f>
        <v>0</v>
      </c>
      <c r="W53" s="186">
        <f>SUMIFS(DWbonus[[Sum]:[Sum]],DWbonus[[Dato]:[Dato]], "&gt;="&amp;W$5,DWbonus[[Dato]:[Dato]],"&lt;="&amp;EOMONTH(W$5,0),DWbonus[[Bookie]:[Bookie]],$K53)+SUMIFS(LayTable[[Faktisk res]:[Faktisk res]],LayTable[[Dato]:[Dato]],"&gt;="&amp;W$5,LayTable[[Dato]:[Dato]],"&lt;="&amp;EOMONTH(W$5,0),LayTable[[Bookmaker]:[Bookmaker]],$K53)+SUMIFS(BetTable[[AR_per_bookie]:[AR_per_bookie]],BetTable[[B1]:[B1]],$K53,BetTable[[Date]:[Date]], "&gt;="&amp;W$5,BetTable[[Date]:[Date]],"&lt;="&amp;EOMONTH(W$5,0))+SUMIFS(BetTable[[AR_per_bookie]:[AR_per_bookie]],BetTable[[B2]:[B2]],$K53,BetTable[[Date]:[Date]], "&gt;="&amp;W$5,BetTable[[Date]:[Date]],"&lt;="&amp;EOMONTH(W$5,0))+SUMIFS(BetTable[[AR_per_bookie]:[AR_per_bookie]],BetTable[[B3]:[B3]],$K53,BetTable[[Date]:[Date]], "&gt;="&amp;W$5,BetTable[[Date]:[Date]],"&lt;="&amp;EOMONTH(W$5,0))</f>
        <v>0</v>
      </c>
    </row>
    <row r="54" spans="1:23">
      <c r="A54" s="174" t="s">
        <v>396</v>
      </c>
      <c r="C54" s="174">
        <f>SUM(C38:C53)</f>
        <v>26000</v>
      </c>
      <c r="F54" s="174" t="s">
        <v>409</v>
      </c>
      <c r="K54" s="174" t="str">
        <f t="array" ref="K54">IFERROR(INDEX(BookieNavn!H$2:H$1251,SMALL(IF(EXACT(LEFT(BookieNavn!H$2:H$1251,2),M$3),ROW(BookieNavn!H$2:H$1251)-ROW(BookieNavn!H$2)+1),ROWS(BookieNavn!H$2:'BookieNavn'!H49))),"")</f>
        <v/>
      </c>
      <c r="L54" s="186">
        <f>SUMIFS(DWbonus[[Sum]:[Sum]],DWbonus[[Dato]:[Dato]], "&gt;="&amp;L$5,DWbonus[[Dato]:[Dato]],"&lt;="&amp;EOMONTH(L$5,0),DWbonus[[Bookie]:[Bookie]],$K54)+SUMIFS(LayTable[[Faktisk res]:[Faktisk res]],LayTable[[Dato]:[Dato]],"&gt;="&amp;L$5,LayTable[[Dato]:[Dato]],"&lt;="&amp;EOMONTH(L$5,0),LayTable[[Bookmaker]:[Bookmaker]],$K54)+SUMIFS(BetTable[[AR_per_bookie]:[AR_per_bookie]],BetTable[[B1]:[B1]],$K54,BetTable[[Date]:[Date]], "&gt;="&amp;L$5,BetTable[[Date]:[Date]],"&lt;="&amp;EOMONTH(L$5,0))+SUMIFS(BetTable[[AR_per_bookie]:[AR_per_bookie]],BetTable[[B2]:[B2]],$K54,BetTable[[Date]:[Date]], "&gt;="&amp;L$5,BetTable[[Date]:[Date]],"&lt;="&amp;EOMONTH(L$5,0))+SUMIFS(BetTable[[AR_per_bookie]:[AR_per_bookie]],BetTable[[B3]:[B3]],$K54,BetTable[[Date]:[Date]], "&gt;="&amp;L$5,BetTable[[Date]:[Date]],"&lt;="&amp;EOMONTH(L$5,0))</f>
        <v>0</v>
      </c>
      <c r="M54" s="186">
        <f>SUMIFS(DWbonus[[Sum]:[Sum]],DWbonus[[Dato]:[Dato]], "&gt;="&amp;M$5,DWbonus[[Dato]:[Dato]],"&lt;="&amp;EOMONTH(M$5,0),DWbonus[[Bookie]:[Bookie]],$K54)+SUMIFS(LayTable[[Faktisk res]:[Faktisk res]],LayTable[[Dato]:[Dato]],"&gt;="&amp;M$5,LayTable[[Dato]:[Dato]],"&lt;="&amp;EOMONTH(M$5,0),LayTable[[Bookmaker]:[Bookmaker]],$K54)+SUMIFS(BetTable[[AR_per_bookie]:[AR_per_bookie]],BetTable[[B1]:[B1]],$K54,BetTable[[Date]:[Date]], "&gt;="&amp;M$5,BetTable[[Date]:[Date]],"&lt;="&amp;EOMONTH(M$5,0))+SUMIFS(BetTable[[AR_per_bookie]:[AR_per_bookie]],BetTable[[B2]:[B2]],$K54,BetTable[[Date]:[Date]], "&gt;="&amp;M$5,BetTable[[Date]:[Date]],"&lt;="&amp;EOMONTH(M$5,0))+SUMIFS(BetTable[[AR_per_bookie]:[AR_per_bookie]],BetTable[[B3]:[B3]],$K54,BetTable[[Date]:[Date]], "&gt;="&amp;M$5,BetTable[[Date]:[Date]],"&lt;="&amp;EOMONTH(M$5,0))</f>
        <v>0</v>
      </c>
      <c r="N54" s="186">
        <f>SUMIFS(DWbonus[[Sum]:[Sum]],DWbonus[[Dato]:[Dato]], "&gt;="&amp;N$5,DWbonus[[Dato]:[Dato]],"&lt;="&amp;EOMONTH(N$5,0),DWbonus[[Bookie]:[Bookie]],$K54)+SUMIFS(LayTable[[Faktisk res]:[Faktisk res]],LayTable[[Dato]:[Dato]],"&gt;="&amp;N$5,LayTable[[Dato]:[Dato]],"&lt;="&amp;EOMONTH(N$5,0),LayTable[[Bookmaker]:[Bookmaker]],$K54)+SUMIFS(BetTable[[AR_per_bookie]:[AR_per_bookie]],BetTable[[B1]:[B1]],$K54,BetTable[[Date]:[Date]], "&gt;="&amp;N$5,BetTable[[Date]:[Date]],"&lt;="&amp;EOMONTH(N$5,0))+SUMIFS(BetTable[[AR_per_bookie]:[AR_per_bookie]],BetTable[[B2]:[B2]],$K54,BetTable[[Date]:[Date]], "&gt;="&amp;N$5,BetTable[[Date]:[Date]],"&lt;="&amp;EOMONTH(N$5,0))+SUMIFS(BetTable[[AR_per_bookie]:[AR_per_bookie]],BetTable[[B3]:[B3]],$K54,BetTable[[Date]:[Date]], "&gt;="&amp;N$5,BetTable[[Date]:[Date]],"&lt;="&amp;EOMONTH(N$5,0))</f>
        <v>0</v>
      </c>
      <c r="O54" s="186">
        <f>SUMIFS(DWbonus[[Sum]:[Sum]],DWbonus[[Dato]:[Dato]], "&gt;="&amp;O$5,DWbonus[[Dato]:[Dato]],"&lt;="&amp;EOMONTH(O$5,0),DWbonus[[Bookie]:[Bookie]],$K54)+SUMIFS(LayTable[[Faktisk res]:[Faktisk res]],LayTable[[Dato]:[Dato]],"&gt;="&amp;O$5,LayTable[[Dato]:[Dato]],"&lt;="&amp;EOMONTH(O$5,0),LayTable[[Bookmaker]:[Bookmaker]],$K54)+SUMIFS(BetTable[[AR_per_bookie]:[AR_per_bookie]],BetTable[[B1]:[B1]],$K54,BetTable[[Date]:[Date]], "&gt;="&amp;O$5,BetTable[[Date]:[Date]],"&lt;="&amp;EOMONTH(O$5,0))+SUMIFS(BetTable[[AR_per_bookie]:[AR_per_bookie]],BetTable[[B2]:[B2]],$K54,BetTable[[Date]:[Date]], "&gt;="&amp;O$5,BetTable[[Date]:[Date]],"&lt;="&amp;EOMONTH(O$5,0))+SUMIFS(BetTable[[AR_per_bookie]:[AR_per_bookie]],BetTable[[B3]:[B3]],$K54,BetTable[[Date]:[Date]], "&gt;="&amp;O$5,BetTable[[Date]:[Date]],"&lt;="&amp;EOMONTH(O$5,0))</f>
        <v>0</v>
      </c>
      <c r="P54" s="186">
        <f>SUMIFS(DWbonus[[Sum]:[Sum]],DWbonus[[Dato]:[Dato]], "&gt;="&amp;P$5,DWbonus[[Dato]:[Dato]],"&lt;="&amp;EOMONTH(P$5,0),DWbonus[[Bookie]:[Bookie]],$K54)+SUMIFS(LayTable[[Faktisk res]:[Faktisk res]],LayTable[[Dato]:[Dato]],"&gt;="&amp;P$5,LayTable[[Dato]:[Dato]],"&lt;="&amp;EOMONTH(P$5,0),LayTable[[Bookmaker]:[Bookmaker]],$K54)+SUMIFS(BetTable[[AR_per_bookie]:[AR_per_bookie]],BetTable[[B1]:[B1]],$K54,BetTable[[Date]:[Date]], "&gt;="&amp;P$5,BetTable[[Date]:[Date]],"&lt;="&amp;EOMONTH(P$5,0))+SUMIFS(BetTable[[AR_per_bookie]:[AR_per_bookie]],BetTable[[B2]:[B2]],$K54,BetTable[[Date]:[Date]], "&gt;="&amp;P$5,BetTable[[Date]:[Date]],"&lt;="&amp;EOMONTH(P$5,0))+SUMIFS(BetTable[[AR_per_bookie]:[AR_per_bookie]],BetTable[[B3]:[B3]],$K54,BetTable[[Date]:[Date]], "&gt;="&amp;P$5,BetTable[[Date]:[Date]],"&lt;="&amp;EOMONTH(P$5,0))</f>
        <v>0</v>
      </c>
      <c r="Q54" s="186">
        <f>SUMIFS(DWbonus[[Sum]:[Sum]],DWbonus[[Dato]:[Dato]], "&gt;="&amp;Q$5,DWbonus[[Dato]:[Dato]],"&lt;="&amp;EOMONTH(Q$5,0),DWbonus[[Bookie]:[Bookie]],$K54)+SUMIFS(LayTable[[Faktisk res]:[Faktisk res]],LayTable[[Dato]:[Dato]],"&gt;="&amp;Q$5,LayTable[[Dato]:[Dato]],"&lt;="&amp;EOMONTH(Q$5,0),LayTable[[Bookmaker]:[Bookmaker]],$K54)+SUMIFS(BetTable[[AR_per_bookie]:[AR_per_bookie]],BetTable[[B1]:[B1]],$K54,BetTable[[Date]:[Date]], "&gt;="&amp;Q$5,BetTable[[Date]:[Date]],"&lt;="&amp;EOMONTH(Q$5,0))+SUMIFS(BetTable[[AR_per_bookie]:[AR_per_bookie]],BetTable[[B2]:[B2]],$K54,BetTable[[Date]:[Date]], "&gt;="&amp;Q$5,BetTable[[Date]:[Date]],"&lt;="&amp;EOMONTH(Q$5,0))+SUMIFS(BetTable[[AR_per_bookie]:[AR_per_bookie]],BetTable[[B3]:[B3]],$K54,BetTable[[Date]:[Date]], "&gt;="&amp;Q$5,BetTable[[Date]:[Date]],"&lt;="&amp;EOMONTH(Q$5,0))</f>
        <v>0</v>
      </c>
      <c r="R54" s="186">
        <f>SUMIFS(DWbonus[[Sum]:[Sum]],DWbonus[[Dato]:[Dato]], "&gt;="&amp;R$5,DWbonus[[Dato]:[Dato]],"&lt;="&amp;EOMONTH(R$5,0),DWbonus[[Bookie]:[Bookie]],$K54)+SUMIFS(LayTable[[Faktisk res]:[Faktisk res]],LayTable[[Dato]:[Dato]],"&gt;="&amp;R$5,LayTable[[Dato]:[Dato]],"&lt;="&amp;EOMONTH(R$5,0),LayTable[[Bookmaker]:[Bookmaker]],$K54)+SUMIFS(BetTable[[AR_per_bookie]:[AR_per_bookie]],BetTable[[B1]:[B1]],$K54,BetTable[[Date]:[Date]], "&gt;="&amp;R$5,BetTable[[Date]:[Date]],"&lt;="&amp;EOMONTH(R$5,0))+SUMIFS(BetTable[[AR_per_bookie]:[AR_per_bookie]],BetTable[[B2]:[B2]],$K54,BetTable[[Date]:[Date]], "&gt;="&amp;R$5,BetTable[[Date]:[Date]],"&lt;="&amp;EOMONTH(R$5,0))+SUMIFS(BetTable[[AR_per_bookie]:[AR_per_bookie]],BetTable[[B3]:[B3]],$K54,BetTable[[Date]:[Date]], "&gt;="&amp;R$5,BetTable[[Date]:[Date]],"&lt;="&amp;EOMONTH(R$5,0))</f>
        <v>0</v>
      </c>
      <c r="S54" s="186">
        <f>SUMIFS(DWbonus[[Sum]:[Sum]],DWbonus[[Dato]:[Dato]], "&gt;="&amp;S$5,DWbonus[[Dato]:[Dato]],"&lt;="&amp;EOMONTH(S$5,0),DWbonus[[Bookie]:[Bookie]],$K54)+SUMIFS(LayTable[[Faktisk res]:[Faktisk res]],LayTable[[Dato]:[Dato]],"&gt;="&amp;S$5,LayTable[[Dato]:[Dato]],"&lt;="&amp;EOMONTH(S$5,0),LayTable[[Bookmaker]:[Bookmaker]],$K54)+SUMIFS(BetTable[[AR_per_bookie]:[AR_per_bookie]],BetTable[[B1]:[B1]],$K54,BetTable[[Date]:[Date]], "&gt;="&amp;S$5,BetTable[[Date]:[Date]],"&lt;="&amp;EOMONTH(S$5,0))+SUMIFS(BetTable[[AR_per_bookie]:[AR_per_bookie]],BetTable[[B2]:[B2]],$K54,BetTable[[Date]:[Date]], "&gt;="&amp;S$5,BetTable[[Date]:[Date]],"&lt;="&amp;EOMONTH(S$5,0))+SUMIFS(BetTable[[AR_per_bookie]:[AR_per_bookie]],BetTable[[B3]:[B3]],$K54,BetTable[[Date]:[Date]], "&gt;="&amp;S$5,BetTable[[Date]:[Date]],"&lt;="&amp;EOMONTH(S$5,0))</f>
        <v>0</v>
      </c>
      <c r="T54" s="186">
        <f>SUMIFS(DWbonus[[Sum]:[Sum]],DWbonus[[Dato]:[Dato]], "&gt;="&amp;T$5,DWbonus[[Dato]:[Dato]],"&lt;="&amp;EOMONTH(T$5,0),DWbonus[[Bookie]:[Bookie]],$K54)+SUMIFS(LayTable[[Faktisk res]:[Faktisk res]],LayTable[[Dato]:[Dato]],"&gt;="&amp;T$5,LayTable[[Dato]:[Dato]],"&lt;="&amp;EOMONTH(T$5,0),LayTable[[Bookmaker]:[Bookmaker]],$K54)+SUMIFS(BetTable[[AR_per_bookie]:[AR_per_bookie]],BetTable[[B1]:[B1]],$K54,BetTable[[Date]:[Date]], "&gt;="&amp;T$5,BetTable[[Date]:[Date]],"&lt;="&amp;EOMONTH(T$5,0))+SUMIFS(BetTable[[AR_per_bookie]:[AR_per_bookie]],BetTable[[B2]:[B2]],$K54,BetTable[[Date]:[Date]], "&gt;="&amp;T$5,BetTable[[Date]:[Date]],"&lt;="&amp;EOMONTH(T$5,0))+SUMIFS(BetTable[[AR_per_bookie]:[AR_per_bookie]],BetTable[[B3]:[B3]],$K54,BetTable[[Date]:[Date]], "&gt;="&amp;T$5,BetTable[[Date]:[Date]],"&lt;="&amp;EOMONTH(T$5,0))</f>
        <v>0</v>
      </c>
      <c r="U54" s="186">
        <f>SUMIFS(DWbonus[[Sum]:[Sum]],DWbonus[[Dato]:[Dato]], "&gt;="&amp;U$5,DWbonus[[Dato]:[Dato]],"&lt;="&amp;EOMONTH(U$5,0),DWbonus[[Bookie]:[Bookie]],$K54)+SUMIFS(LayTable[[Faktisk res]:[Faktisk res]],LayTable[[Dato]:[Dato]],"&gt;="&amp;U$5,LayTable[[Dato]:[Dato]],"&lt;="&amp;EOMONTH(U$5,0),LayTable[[Bookmaker]:[Bookmaker]],$K54)+SUMIFS(BetTable[[AR_per_bookie]:[AR_per_bookie]],BetTable[[B1]:[B1]],$K54,BetTable[[Date]:[Date]], "&gt;="&amp;U$5,BetTable[[Date]:[Date]],"&lt;="&amp;EOMONTH(U$5,0))+SUMIFS(BetTable[[AR_per_bookie]:[AR_per_bookie]],BetTable[[B2]:[B2]],$K54,BetTable[[Date]:[Date]], "&gt;="&amp;U$5,BetTable[[Date]:[Date]],"&lt;="&amp;EOMONTH(U$5,0))+SUMIFS(BetTable[[AR_per_bookie]:[AR_per_bookie]],BetTable[[B3]:[B3]],$K54,BetTable[[Date]:[Date]], "&gt;="&amp;U$5,BetTable[[Date]:[Date]],"&lt;="&amp;EOMONTH(U$5,0))</f>
        <v>0</v>
      </c>
      <c r="V54" s="186">
        <f>SUMIFS(DWbonus[[Sum]:[Sum]],DWbonus[[Dato]:[Dato]], "&gt;="&amp;V$5,DWbonus[[Dato]:[Dato]],"&lt;="&amp;EOMONTH(V$5,0),DWbonus[[Bookie]:[Bookie]],$K54)+SUMIFS(LayTable[[Faktisk res]:[Faktisk res]],LayTable[[Dato]:[Dato]],"&gt;="&amp;V$5,LayTable[[Dato]:[Dato]],"&lt;="&amp;EOMONTH(V$5,0),LayTable[[Bookmaker]:[Bookmaker]],$K54)+SUMIFS(BetTable[[AR_per_bookie]:[AR_per_bookie]],BetTable[[B1]:[B1]],$K54,BetTable[[Date]:[Date]], "&gt;="&amp;V$5,BetTable[[Date]:[Date]],"&lt;="&amp;EOMONTH(V$5,0))+SUMIFS(BetTable[[AR_per_bookie]:[AR_per_bookie]],BetTable[[B2]:[B2]],$K54,BetTable[[Date]:[Date]], "&gt;="&amp;V$5,BetTable[[Date]:[Date]],"&lt;="&amp;EOMONTH(V$5,0))+SUMIFS(BetTable[[AR_per_bookie]:[AR_per_bookie]],BetTable[[B3]:[B3]],$K54,BetTable[[Date]:[Date]], "&gt;="&amp;V$5,BetTable[[Date]:[Date]],"&lt;="&amp;EOMONTH(V$5,0))</f>
        <v>0</v>
      </c>
      <c r="W54" s="186">
        <f>SUMIFS(DWbonus[[Sum]:[Sum]],DWbonus[[Dato]:[Dato]], "&gt;="&amp;W$5,DWbonus[[Dato]:[Dato]],"&lt;="&amp;EOMONTH(W$5,0),DWbonus[[Bookie]:[Bookie]],$K54)+SUMIFS(LayTable[[Faktisk res]:[Faktisk res]],LayTable[[Dato]:[Dato]],"&gt;="&amp;W$5,LayTable[[Dato]:[Dato]],"&lt;="&amp;EOMONTH(W$5,0),LayTable[[Bookmaker]:[Bookmaker]],$K54)+SUMIFS(BetTable[[AR_per_bookie]:[AR_per_bookie]],BetTable[[B1]:[B1]],$K54,BetTable[[Date]:[Date]], "&gt;="&amp;W$5,BetTable[[Date]:[Date]],"&lt;="&amp;EOMONTH(W$5,0))+SUMIFS(BetTable[[AR_per_bookie]:[AR_per_bookie]],BetTable[[B2]:[B2]],$K54,BetTable[[Date]:[Date]], "&gt;="&amp;W$5,BetTable[[Date]:[Date]],"&lt;="&amp;EOMONTH(W$5,0))+SUMIFS(BetTable[[AR_per_bookie]:[AR_per_bookie]],BetTable[[B3]:[B3]],$K54,BetTable[[Date]:[Date]], "&gt;="&amp;W$5,BetTable[[Date]:[Date]],"&lt;="&amp;EOMONTH(W$5,0))</f>
        <v>0</v>
      </c>
    </row>
    <row r="55" spans="1:23">
      <c r="A55" s="174" t="s">
        <v>397</v>
      </c>
      <c r="C55" s="174">
        <f>C54*0.7</f>
        <v>18200</v>
      </c>
      <c r="F55" s="174" t="s">
        <v>410</v>
      </c>
      <c r="K55" s="174" t="str">
        <f t="array" ref="K55">IFERROR(INDEX(BookieNavn!H$2:H$1251,SMALL(IF(EXACT(LEFT(BookieNavn!H$2:H$1251,2),M$3),ROW(BookieNavn!H$2:H$1251)-ROW(BookieNavn!H$2)+1),ROWS(BookieNavn!H$2:'BookieNavn'!H50))),"")</f>
        <v/>
      </c>
      <c r="L55" s="186">
        <f>SUMIFS(DWbonus[[Sum]:[Sum]],DWbonus[[Dato]:[Dato]], "&gt;="&amp;L$5,DWbonus[[Dato]:[Dato]],"&lt;="&amp;EOMONTH(L$5,0),DWbonus[[Bookie]:[Bookie]],$K55)+SUMIFS(LayTable[[Faktisk res]:[Faktisk res]],LayTable[[Dato]:[Dato]],"&gt;="&amp;L$5,LayTable[[Dato]:[Dato]],"&lt;="&amp;EOMONTH(L$5,0),LayTable[[Bookmaker]:[Bookmaker]],$K55)+SUMIFS(BetTable[[AR_per_bookie]:[AR_per_bookie]],BetTable[[B1]:[B1]],$K55,BetTable[[Date]:[Date]], "&gt;="&amp;L$5,BetTable[[Date]:[Date]],"&lt;="&amp;EOMONTH(L$5,0))+SUMIFS(BetTable[[AR_per_bookie]:[AR_per_bookie]],BetTable[[B2]:[B2]],$K55,BetTable[[Date]:[Date]], "&gt;="&amp;L$5,BetTable[[Date]:[Date]],"&lt;="&amp;EOMONTH(L$5,0))+SUMIFS(BetTable[[AR_per_bookie]:[AR_per_bookie]],BetTable[[B3]:[B3]],$K55,BetTable[[Date]:[Date]], "&gt;="&amp;L$5,BetTable[[Date]:[Date]],"&lt;="&amp;EOMONTH(L$5,0))</f>
        <v>0</v>
      </c>
      <c r="M55" s="186">
        <f>SUMIFS(DWbonus[[Sum]:[Sum]],DWbonus[[Dato]:[Dato]], "&gt;="&amp;M$5,DWbonus[[Dato]:[Dato]],"&lt;="&amp;EOMONTH(M$5,0),DWbonus[[Bookie]:[Bookie]],$K55)+SUMIFS(LayTable[[Faktisk res]:[Faktisk res]],LayTable[[Dato]:[Dato]],"&gt;="&amp;M$5,LayTable[[Dato]:[Dato]],"&lt;="&amp;EOMONTH(M$5,0),LayTable[[Bookmaker]:[Bookmaker]],$K55)+SUMIFS(BetTable[[AR_per_bookie]:[AR_per_bookie]],BetTable[[B1]:[B1]],$K55,BetTable[[Date]:[Date]], "&gt;="&amp;M$5,BetTable[[Date]:[Date]],"&lt;="&amp;EOMONTH(M$5,0))+SUMIFS(BetTable[[AR_per_bookie]:[AR_per_bookie]],BetTable[[B2]:[B2]],$K55,BetTable[[Date]:[Date]], "&gt;="&amp;M$5,BetTable[[Date]:[Date]],"&lt;="&amp;EOMONTH(M$5,0))+SUMIFS(BetTable[[AR_per_bookie]:[AR_per_bookie]],BetTable[[B3]:[B3]],$K55,BetTable[[Date]:[Date]], "&gt;="&amp;M$5,BetTable[[Date]:[Date]],"&lt;="&amp;EOMONTH(M$5,0))</f>
        <v>0</v>
      </c>
      <c r="N55" s="186">
        <f>SUMIFS(DWbonus[[Sum]:[Sum]],DWbonus[[Dato]:[Dato]], "&gt;="&amp;N$5,DWbonus[[Dato]:[Dato]],"&lt;="&amp;EOMONTH(N$5,0),DWbonus[[Bookie]:[Bookie]],$K55)+SUMIFS(LayTable[[Faktisk res]:[Faktisk res]],LayTable[[Dato]:[Dato]],"&gt;="&amp;N$5,LayTable[[Dato]:[Dato]],"&lt;="&amp;EOMONTH(N$5,0),LayTable[[Bookmaker]:[Bookmaker]],$K55)+SUMIFS(BetTable[[AR_per_bookie]:[AR_per_bookie]],BetTable[[B1]:[B1]],$K55,BetTable[[Date]:[Date]], "&gt;="&amp;N$5,BetTable[[Date]:[Date]],"&lt;="&amp;EOMONTH(N$5,0))+SUMIFS(BetTable[[AR_per_bookie]:[AR_per_bookie]],BetTable[[B2]:[B2]],$K55,BetTable[[Date]:[Date]], "&gt;="&amp;N$5,BetTable[[Date]:[Date]],"&lt;="&amp;EOMONTH(N$5,0))+SUMIFS(BetTable[[AR_per_bookie]:[AR_per_bookie]],BetTable[[B3]:[B3]],$K55,BetTable[[Date]:[Date]], "&gt;="&amp;N$5,BetTable[[Date]:[Date]],"&lt;="&amp;EOMONTH(N$5,0))</f>
        <v>0</v>
      </c>
      <c r="O55" s="186">
        <f>SUMIFS(DWbonus[[Sum]:[Sum]],DWbonus[[Dato]:[Dato]], "&gt;="&amp;O$5,DWbonus[[Dato]:[Dato]],"&lt;="&amp;EOMONTH(O$5,0),DWbonus[[Bookie]:[Bookie]],$K55)+SUMIFS(LayTable[[Faktisk res]:[Faktisk res]],LayTable[[Dato]:[Dato]],"&gt;="&amp;O$5,LayTable[[Dato]:[Dato]],"&lt;="&amp;EOMONTH(O$5,0),LayTable[[Bookmaker]:[Bookmaker]],$K55)+SUMIFS(BetTable[[AR_per_bookie]:[AR_per_bookie]],BetTable[[B1]:[B1]],$K55,BetTable[[Date]:[Date]], "&gt;="&amp;O$5,BetTable[[Date]:[Date]],"&lt;="&amp;EOMONTH(O$5,0))+SUMIFS(BetTable[[AR_per_bookie]:[AR_per_bookie]],BetTable[[B2]:[B2]],$K55,BetTable[[Date]:[Date]], "&gt;="&amp;O$5,BetTable[[Date]:[Date]],"&lt;="&amp;EOMONTH(O$5,0))+SUMIFS(BetTable[[AR_per_bookie]:[AR_per_bookie]],BetTable[[B3]:[B3]],$K55,BetTable[[Date]:[Date]], "&gt;="&amp;O$5,BetTable[[Date]:[Date]],"&lt;="&amp;EOMONTH(O$5,0))</f>
        <v>0</v>
      </c>
      <c r="P55" s="186">
        <f>SUMIFS(DWbonus[[Sum]:[Sum]],DWbonus[[Dato]:[Dato]], "&gt;="&amp;P$5,DWbonus[[Dato]:[Dato]],"&lt;="&amp;EOMONTH(P$5,0),DWbonus[[Bookie]:[Bookie]],$K55)+SUMIFS(LayTable[[Faktisk res]:[Faktisk res]],LayTable[[Dato]:[Dato]],"&gt;="&amp;P$5,LayTable[[Dato]:[Dato]],"&lt;="&amp;EOMONTH(P$5,0),LayTable[[Bookmaker]:[Bookmaker]],$K55)+SUMIFS(BetTable[[AR_per_bookie]:[AR_per_bookie]],BetTable[[B1]:[B1]],$K55,BetTable[[Date]:[Date]], "&gt;="&amp;P$5,BetTable[[Date]:[Date]],"&lt;="&amp;EOMONTH(P$5,0))+SUMIFS(BetTable[[AR_per_bookie]:[AR_per_bookie]],BetTable[[B2]:[B2]],$K55,BetTable[[Date]:[Date]], "&gt;="&amp;P$5,BetTable[[Date]:[Date]],"&lt;="&amp;EOMONTH(P$5,0))+SUMIFS(BetTable[[AR_per_bookie]:[AR_per_bookie]],BetTable[[B3]:[B3]],$K55,BetTable[[Date]:[Date]], "&gt;="&amp;P$5,BetTable[[Date]:[Date]],"&lt;="&amp;EOMONTH(P$5,0))</f>
        <v>0</v>
      </c>
      <c r="Q55" s="186">
        <f>SUMIFS(DWbonus[[Sum]:[Sum]],DWbonus[[Dato]:[Dato]], "&gt;="&amp;Q$5,DWbonus[[Dato]:[Dato]],"&lt;="&amp;EOMONTH(Q$5,0),DWbonus[[Bookie]:[Bookie]],$K55)+SUMIFS(LayTable[[Faktisk res]:[Faktisk res]],LayTable[[Dato]:[Dato]],"&gt;="&amp;Q$5,LayTable[[Dato]:[Dato]],"&lt;="&amp;EOMONTH(Q$5,0),LayTable[[Bookmaker]:[Bookmaker]],$K55)+SUMIFS(BetTable[[AR_per_bookie]:[AR_per_bookie]],BetTable[[B1]:[B1]],$K55,BetTable[[Date]:[Date]], "&gt;="&amp;Q$5,BetTable[[Date]:[Date]],"&lt;="&amp;EOMONTH(Q$5,0))+SUMIFS(BetTable[[AR_per_bookie]:[AR_per_bookie]],BetTable[[B2]:[B2]],$K55,BetTable[[Date]:[Date]], "&gt;="&amp;Q$5,BetTable[[Date]:[Date]],"&lt;="&amp;EOMONTH(Q$5,0))+SUMIFS(BetTable[[AR_per_bookie]:[AR_per_bookie]],BetTable[[B3]:[B3]],$K55,BetTable[[Date]:[Date]], "&gt;="&amp;Q$5,BetTable[[Date]:[Date]],"&lt;="&amp;EOMONTH(Q$5,0))</f>
        <v>0</v>
      </c>
      <c r="R55" s="186">
        <f>SUMIFS(DWbonus[[Sum]:[Sum]],DWbonus[[Dato]:[Dato]], "&gt;="&amp;R$5,DWbonus[[Dato]:[Dato]],"&lt;="&amp;EOMONTH(R$5,0),DWbonus[[Bookie]:[Bookie]],$K55)+SUMIFS(LayTable[[Faktisk res]:[Faktisk res]],LayTable[[Dato]:[Dato]],"&gt;="&amp;R$5,LayTable[[Dato]:[Dato]],"&lt;="&amp;EOMONTH(R$5,0),LayTable[[Bookmaker]:[Bookmaker]],$K55)+SUMIFS(BetTable[[AR_per_bookie]:[AR_per_bookie]],BetTable[[B1]:[B1]],$K55,BetTable[[Date]:[Date]], "&gt;="&amp;R$5,BetTable[[Date]:[Date]],"&lt;="&amp;EOMONTH(R$5,0))+SUMIFS(BetTable[[AR_per_bookie]:[AR_per_bookie]],BetTable[[B2]:[B2]],$K55,BetTable[[Date]:[Date]], "&gt;="&amp;R$5,BetTable[[Date]:[Date]],"&lt;="&amp;EOMONTH(R$5,0))+SUMIFS(BetTable[[AR_per_bookie]:[AR_per_bookie]],BetTable[[B3]:[B3]],$K55,BetTable[[Date]:[Date]], "&gt;="&amp;R$5,BetTable[[Date]:[Date]],"&lt;="&amp;EOMONTH(R$5,0))</f>
        <v>0</v>
      </c>
      <c r="S55" s="186">
        <f>SUMIFS(DWbonus[[Sum]:[Sum]],DWbonus[[Dato]:[Dato]], "&gt;="&amp;S$5,DWbonus[[Dato]:[Dato]],"&lt;="&amp;EOMONTH(S$5,0),DWbonus[[Bookie]:[Bookie]],$K55)+SUMIFS(LayTable[[Faktisk res]:[Faktisk res]],LayTable[[Dato]:[Dato]],"&gt;="&amp;S$5,LayTable[[Dato]:[Dato]],"&lt;="&amp;EOMONTH(S$5,0),LayTable[[Bookmaker]:[Bookmaker]],$K55)+SUMIFS(BetTable[[AR_per_bookie]:[AR_per_bookie]],BetTable[[B1]:[B1]],$K55,BetTable[[Date]:[Date]], "&gt;="&amp;S$5,BetTable[[Date]:[Date]],"&lt;="&amp;EOMONTH(S$5,0))+SUMIFS(BetTable[[AR_per_bookie]:[AR_per_bookie]],BetTable[[B2]:[B2]],$K55,BetTable[[Date]:[Date]], "&gt;="&amp;S$5,BetTable[[Date]:[Date]],"&lt;="&amp;EOMONTH(S$5,0))+SUMIFS(BetTable[[AR_per_bookie]:[AR_per_bookie]],BetTable[[B3]:[B3]],$K55,BetTable[[Date]:[Date]], "&gt;="&amp;S$5,BetTable[[Date]:[Date]],"&lt;="&amp;EOMONTH(S$5,0))</f>
        <v>0</v>
      </c>
      <c r="T55" s="186">
        <f>SUMIFS(DWbonus[[Sum]:[Sum]],DWbonus[[Dato]:[Dato]], "&gt;="&amp;T$5,DWbonus[[Dato]:[Dato]],"&lt;="&amp;EOMONTH(T$5,0),DWbonus[[Bookie]:[Bookie]],$K55)+SUMIFS(LayTable[[Faktisk res]:[Faktisk res]],LayTable[[Dato]:[Dato]],"&gt;="&amp;T$5,LayTable[[Dato]:[Dato]],"&lt;="&amp;EOMONTH(T$5,0),LayTable[[Bookmaker]:[Bookmaker]],$K55)+SUMIFS(BetTable[[AR_per_bookie]:[AR_per_bookie]],BetTable[[B1]:[B1]],$K55,BetTable[[Date]:[Date]], "&gt;="&amp;T$5,BetTable[[Date]:[Date]],"&lt;="&amp;EOMONTH(T$5,0))+SUMIFS(BetTable[[AR_per_bookie]:[AR_per_bookie]],BetTable[[B2]:[B2]],$K55,BetTable[[Date]:[Date]], "&gt;="&amp;T$5,BetTable[[Date]:[Date]],"&lt;="&amp;EOMONTH(T$5,0))+SUMIFS(BetTable[[AR_per_bookie]:[AR_per_bookie]],BetTable[[B3]:[B3]],$K55,BetTable[[Date]:[Date]], "&gt;="&amp;T$5,BetTable[[Date]:[Date]],"&lt;="&amp;EOMONTH(T$5,0))</f>
        <v>0</v>
      </c>
      <c r="U55" s="186">
        <f>SUMIFS(DWbonus[[Sum]:[Sum]],DWbonus[[Dato]:[Dato]], "&gt;="&amp;U$5,DWbonus[[Dato]:[Dato]],"&lt;="&amp;EOMONTH(U$5,0),DWbonus[[Bookie]:[Bookie]],$K55)+SUMIFS(LayTable[[Faktisk res]:[Faktisk res]],LayTable[[Dato]:[Dato]],"&gt;="&amp;U$5,LayTable[[Dato]:[Dato]],"&lt;="&amp;EOMONTH(U$5,0),LayTable[[Bookmaker]:[Bookmaker]],$K55)+SUMIFS(BetTable[[AR_per_bookie]:[AR_per_bookie]],BetTable[[B1]:[B1]],$K55,BetTable[[Date]:[Date]], "&gt;="&amp;U$5,BetTable[[Date]:[Date]],"&lt;="&amp;EOMONTH(U$5,0))+SUMIFS(BetTable[[AR_per_bookie]:[AR_per_bookie]],BetTable[[B2]:[B2]],$K55,BetTable[[Date]:[Date]], "&gt;="&amp;U$5,BetTable[[Date]:[Date]],"&lt;="&amp;EOMONTH(U$5,0))+SUMIFS(BetTable[[AR_per_bookie]:[AR_per_bookie]],BetTable[[B3]:[B3]],$K55,BetTable[[Date]:[Date]], "&gt;="&amp;U$5,BetTable[[Date]:[Date]],"&lt;="&amp;EOMONTH(U$5,0))</f>
        <v>0</v>
      </c>
      <c r="V55" s="186">
        <f>SUMIFS(DWbonus[[Sum]:[Sum]],DWbonus[[Dato]:[Dato]], "&gt;="&amp;V$5,DWbonus[[Dato]:[Dato]],"&lt;="&amp;EOMONTH(V$5,0),DWbonus[[Bookie]:[Bookie]],$K55)+SUMIFS(LayTable[[Faktisk res]:[Faktisk res]],LayTable[[Dato]:[Dato]],"&gt;="&amp;V$5,LayTable[[Dato]:[Dato]],"&lt;="&amp;EOMONTH(V$5,0),LayTable[[Bookmaker]:[Bookmaker]],$K55)+SUMIFS(BetTable[[AR_per_bookie]:[AR_per_bookie]],BetTable[[B1]:[B1]],$K55,BetTable[[Date]:[Date]], "&gt;="&amp;V$5,BetTable[[Date]:[Date]],"&lt;="&amp;EOMONTH(V$5,0))+SUMIFS(BetTable[[AR_per_bookie]:[AR_per_bookie]],BetTable[[B2]:[B2]],$K55,BetTable[[Date]:[Date]], "&gt;="&amp;V$5,BetTable[[Date]:[Date]],"&lt;="&amp;EOMONTH(V$5,0))+SUMIFS(BetTable[[AR_per_bookie]:[AR_per_bookie]],BetTable[[B3]:[B3]],$K55,BetTable[[Date]:[Date]], "&gt;="&amp;V$5,BetTable[[Date]:[Date]],"&lt;="&amp;EOMONTH(V$5,0))</f>
        <v>0</v>
      </c>
      <c r="W55" s="186">
        <f>SUMIFS(DWbonus[[Sum]:[Sum]],DWbonus[[Dato]:[Dato]], "&gt;="&amp;W$5,DWbonus[[Dato]:[Dato]],"&lt;="&amp;EOMONTH(W$5,0),DWbonus[[Bookie]:[Bookie]],$K55)+SUMIFS(LayTable[[Faktisk res]:[Faktisk res]],LayTable[[Dato]:[Dato]],"&gt;="&amp;W$5,LayTable[[Dato]:[Dato]],"&lt;="&amp;EOMONTH(W$5,0),LayTable[[Bookmaker]:[Bookmaker]],$K55)+SUMIFS(BetTable[[AR_per_bookie]:[AR_per_bookie]],BetTable[[B1]:[B1]],$K55,BetTable[[Date]:[Date]], "&gt;="&amp;W$5,BetTable[[Date]:[Date]],"&lt;="&amp;EOMONTH(W$5,0))+SUMIFS(BetTable[[AR_per_bookie]:[AR_per_bookie]],BetTable[[B2]:[B2]],$K55,BetTable[[Date]:[Date]], "&gt;="&amp;W$5,BetTable[[Date]:[Date]],"&lt;="&amp;EOMONTH(W$5,0))+SUMIFS(BetTable[[AR_per_bookie]:[AR_per_bookie]],BetTable[[B3]:[B3]],$K55,BetTable[[Date]:[Date]], "&gt;="&amp;W$5,BetTable[[Date]:[Date]],"&lt;="&amp;EOMONTH(W$5,0))</f>
        <v>0</v>
      </c>
    </row>
    <row r="56" spans="1:23">
      <c r="A56" s="174" t="s">
        <v>398</v>
      </c>
      <c r="C56" s="174">
        <f>C54*0.3</f>
        <v>7800</v>
      </c>
      <c r="F56" s="174" t="s">
        <v>411</v>
      </c>
      <c r="K56" s="174" t="str">
        <f t="array" ref="K56">IFERROR(INDEX(BookieNavn!H$2:H$1251,SMALL(IF(EXACT(LEFT(BookieNavn!H$2:H$1251,2),M$3),ROW(BookieNavn!H$2:H$1251)-ROW(BookieNavn!H$2)+1),ROWS(BookieNavn!H$2:'BookieNavn'!H51))),"")</f>
        <v/>
      </c>
      <c r="L56" s="186">
        <f>SUMIFS(DWbonus[[Sum]:[Sum]],DWbonus[[Dato]:[Dato]], "&gt;="&amp;L$5,DWbonus[[Dato]:[Dato]],"&lt;="&amp;EOMONTH(L$5,0),DWbonus[[Bookie]:[Bookie]],$K56)+SUMIFS(LayTable[[Faktisk res]:[Faktisk res]],LayTable[[Dato]:[Dato]],"&gt;="&amp;L$5,LayTable[[Dato]:[Dato]],"&lt;="&amp;EOMONTH(L$5,0),LayTable[[Bookmaker]:[Bookmaker]],$K56)+SUMIFS(BetTable[[AR_per_bookie]:[AR_per_bookie]],BetTable[[B1]:[B1]],$K56,BetTable[[Date]:[Date]], "&gt;="&amp;L$5,BetTable[[Date]:[Date]],"&lt;="&amp;EOMONTH(L$5,0))+SUMIFS(BetTable[[AR_per_bookie]:[AR_per_bookie]],BetTable[[B2]:[B2]],$K56,BetTable[[Date]:[Date]], "&gt;="&amp;L$5,BetTable[[Date]:[Date]],"&lt;="&amp;EOMONTH(L$5,0))+SUMIFS(BetTable[[AR_per_bookie]:[AR_per_bookie]],BetTable[[B3]:[B3]],$K56,BetTable[[Date]:[Date]], "&gt;="&amp;L$5,BetTable[[Date]:[Date]],"&lt;="&amp;EOMONTH(L$5,0))</f>
        <v>0</v>
      </c>
      <c r="M56" s="186">
        <f>SUMIFS(DWbonus[[Sum]:[Sum]],DWbonus[[Dato]:[Dato]], "&gt;="&amp;M$5,DWbonus[[Dato]:[Dato]],"&lt;="&amp;EOMONTH(M$5,0),DWbonus[[Bookie]:[Bookie]],$K56)+SUMIFS(LayTable[[Faktisk res]:[Faktisk res]],LayTable[[Dato]:[Dato]],"&gt;="&amp;M$5,LayTable[[Dato]:[Dato]],"&lt;="&amp;EOMONTH(M$5,0),LayTable[[Bookmaker]:[Bookmaker]],$K56)+SUMIFS(BetTable[[AR_per_bookie]:[AR_per_bookie]],BetTable[[B1]:[B1]],$K56,BetTable[[Date]:[Date]], "&gt;="&amp;M$5,BetTable[[Date]:[Date]],"&lt;="&amp;EOMONTH(M$5,0))+SUMIFS(BetTable[[AR_per_bookie]:[AR_per_bookie]],BetTable[[B2]:[B2]],$K56,BetTable[[Date]:[Date]], "&gt;="&amp;M$5,BetTable[[Date]:[Date]],"&lt;="&amp;EOMONTH(M$5,0))+SUMIFS(BetTable[[AR_per_bookie]:[AR_per_bookie]],BetTable[[B3]:[B3]],$K56,BetTable[[Date]:[Date]], "&gt;="&amp;M$5,BetTable[[Date]:[Date]],"&lt;="&amp;EOMONTH(M$5,0))</f>
        <v>0</v>
      </c>
      <c r="N56" s="186">
        <f>SUMIFS(DWbonus[[Sum]:[Sum]],DWbonus[[Dato]:[Dato]], "&gt;="&amp;N$5,DWbonus[[Dato]:[Dato]],"&lt;="&amp;EOMONTH(N$5,0),DWbonus[[Bookie]:[Bookie]],$K56)+SUMIFS(LayTable[[Faktisk res]:[Faktisk res]],LayTable[[Dato]:[Dato]],"&gt;="&amp;N$5,LayTable[[Dato]:[Dato]],"&lt;="&amp;EOMONTH(N$5,0),LayTable[[Bookmaker]:[Bookmaker]],$K56)+SUMIFS(BetTable[[AR_per_bookie]:[AR_per_bookie]],BetTable[[B1]:[B1]],$K56,BetTable[[Date]:[Date]], "&gt;="&amp;N$5,BetTable[[Date]:[Date]],"&lt;="&amp;EOMONTH(N$5,0))+SUMIFS(BetTable[[AR_per_bookie]:[AR_per_bookie]],BetTable[[B2]:[B2]],$K56,BetTable[[Date]:[Date]], "&gt;="&amp;N$5,BetTable[[Date]:[Date]],"&lt;="&amp;EOMONTH(N$5,0))+SUMIFS(BetTable[[AR_per_bookie]:[AR_per_bookie]],BetTable[[B3]:[B3]],$K56,BetTable[[Date]:[Date]], "&gt;="&amp;N$5,BetTable[[Date]:[Date]],"&lt;="&amp;EOMONTH(N$5,0))</f>
        <v>0</v>
      </c>
      <c r="O56" s="186">
        <f>SUMIFS(DWbonus[[Sum]:[Sum]],DWbonus[[Dato]:[Dato]], "&gt;="&amp;O$5,DWbonus[[Dato]:[Dato]],"&lt;="&amp;EOMONTH(O$5,0),DWbonus[[Bookie]:[Bookie]],$K56)+SUMIFS(LayTable[[Faktisk res]:[Faktisk res]],LayTable[[Dato]:[Dato]],"&gt;="&amp;O$5,LayTable[[Dato]:[Dato]],"&lt;="&amp;EOMONTH(O$5,0),LayTable[[Bookmaker]:[Bookmaker]],$K56)+SUMIFS(BetTable[[AR_per_bookie]:[AR_per_bookie]],BetTable[[B1]:[B1]],$K56,BetTable[[Date]:[Date]], "&gt;="&amp;O$5,BetTable[[Date]:[Date]],"&lt;="&amp;EOMONTH(O$5,0))+SUMIFS(BetTable[[AR_per_bookie]:[AR_per_bookie]],BetTable[[B2]:[B2]],$K56,BetTable[[Date]:[Date]], "&gt;="&amp;O$5,BetTable[[Date]:[Date]],"&lt;="&amp;EOMONTH(O$5,0))+SUMIFS(BetTable[[AR_per_bookie]:[AR_per_bookie]],BetTable[[B3]:[B3]],$K56,BetTable[[Date]:[Date]], "&gt;="&amp;O$5,BetTable[[Date]:[Date]],"&lt;="&amp;EOMONTH(O$5,0))</f>
        <v>0</v>
      </c>
      <c r="P56" s="186">
        <f>SUMIFS(DWbonus[[Sum]:[Sum]],DWbonus[[Dato]:[Dato]], "&gt;="&amp;P$5,DWbonus[[Dato]:[Dato]],"&lt;="&amp;EOMONTH(P$5,0),DWbonus[[Bookie]:[Bookie]],$K56)+SUMIFS(LayTable[[Faktisk res]:[Faktisk res]],LayTable[[Dato]:[Dato]],"&gt;="&amp;P$5,LayTable[[Dato]:[Dato]],"&lt;="&amp;EOMONTH(P$5,0),LayTable[[Bookmaker]:[Bookmaker]],$K56)+SUMIFS(BetTable[[AR_per_bookie]:[AR_per_bookie]],BetTable[[B1]:[B1]],$K56,BetTable[[Date]:[Date]], "&gt;="&amp;P$5,BetTable[[Date]:[Date]],"&lt;="&amp;EOMONTH(P$5,0))+SUMIFS(BetTable[[AR_per_bookie]:[AR_per_bookie]],BetTable[[B2]:[B2]],$K56,BetTable[[Date]:[Date]], "&gt;="&amp;P$5,BetTable[[Date]:[Date]],"&lt;="&amp;EOMONTH(P$5,0))+SUMIFS(BetTable[[AR_per_bookie]:[AR_per_bookie]],BetTable[[B3]:[B3]],$K56,BetTable[[Date]:[Date]], "&gt;="&amp;P$5,BetTable[[Date]:[Date]],"&lt;="&amp;EOMONTH(P$5,0))</f>
        <v>0</v>
      </c>
      <c r="Q56" s="186">
        <f>SUMIFS(DWbonus[[Sum]:[Sum]],DWbonus[[Dato]:[Dato]], "&gt;="&amp;Q$5,DWbonus[[Dato]:[Dato]],"&lt;="&amp;EOMONTH(Q$5,0),DWbonus[[Bookie]:[Bookie]],$K56)+SUMIFS(LayTable[[Faktisk res]:[Faktisk res]],LayTable[[Dato]:[Dato]],"&gt;="&amp;Q$5,LayTable[[Dato]:[Dato]],"&lt;="&amp;EOMONTH(Q$5,0),LayTable[[Bookmaker]:[Bookmaker]],$K56)+SUMIFS(BetTable[[AR_per_bookie]:[AR_per_bookie]],BetTable[[B1]:[B1]],$K56,BetTable[[Date]:[Date]], "&gt;="&amp;Q$5,BetTable[[Date]:[Date]],"&lt;="&amp;EOMONTH(Q$5,0))+SUMIFS(BetTable[[AR_per_bookie]:[AR_per_bookie]],BetTable[[B2]:[B2]],$K56,BetTable[[Date]:[Date]], "&gt;="&amp;Q$5,BetTable[[Date]:[Date]],"&lt;="&amp;EOMONTH(Q$5,0))+SUMIFS(BetTable[[AR_per_bookie]:[AR_per_bookie]],BetTable[[B3]:[B3]],$K56,BetTable[[Date]:[Date]], "&gt;="&amp;Q$5,BetTable[[Date]:[Date]],"&lt;="&amp;EOMONTH(Q$5,0))</f>
        <v>0</v>
      </c>
      <c r="R56" s="186">
        <f>SUMIFS(DWbonus[[Sum]:[Sum]],DWbonus[[Dato]:[Dato]], "&gt;="&amp;R$5,DWbonus[[Dato]:[Dato]],"&lt;="&amp;EOMONTH(R$5,0),DWbonus[[Bookie]:[Bookie]],$K56)+SUMIFS(LayTable[[Faktisk res]:[Faktisk res]],LayTable[[Dato]:[Dato]],"&gt;="&amp;R$5,LayTable[[Dato]:[Dato]],"&lt;="&amp;EOMONTH(R$5,0),LayTable[[Bookmaker]:[Bookmaker]],$K56)+SUMIFS(BetTable[[AR_per_bookie]:[AR_per_bookie]],BetTable[[B1]:[B1]],$K56,BetTable[[Date]:[Date]], "&gt;="&amp;R$5,BetTable[[Date]:[Date]],"&lt;="&amp;EOMONTH(R$5,0))+SUMIFS(BetTable[[AR_per_bookie]:[AR_per_bookie]],BetTable[[B2]:[B2]],$K56,BetTable[[Date]:[Date]], "&gt;="&amp;R$5,BetTable[[Date]:[Date]],"&lt;="&amp;EOMONTH(R$5,0))+SUMIFS(BetTable[[AR_per_bookie]:[AR_per_bookie]],BetTable[[B3]:[B3]],$K56,BetTable[[Date]:[Date]], "&gt;="&amp;R$5,BetTable[[Date]:[Date]],"&lt;="&amp;EOMONTH(R$5,0))</f>
        <v>0</v>
      </c>
      <c r="S56" s="186">
        <f>SUMIFS(DWbonus[[Sum]:[Sum]],DWbonus[[Dato]:[Dato]], "&gt;="&amp;S$5,DWbonus[[Dato]:[Dato]],"&lt;="&amp;EOMONTH(S$5,0),DWbonus[[Bookie]:[Bookie]],$K56)+SUMIFS(LayTable[[Faktisk res]:[Faktisk res]],LayTable[[Dato]:[Dato]],"&gt;="&amp;S$5,LayTable[[Dato]:[Dato]],"&lt;="&amp;EOMONTH(S$5,0),LayTable[[Bookmaker]:[Bookmaker]],$K56)+SUMIFS(BetTable[[AR_per_bookie]:[AR_per_bookie]],BetTable[[B1]:[B1]],$K56,BetTable[[Date]:[Date]], "&gt;="&amp;S$5,BetTable[[Date]:[Date]],"&lt;="&amp;EOMONTH(S$5,0))+SUMIFS(BetTable[[AR_per_bookie]:[AR_per_bookie]],BetTable[[B2]:[B2]],$K56,BetTable[[Date]:[Date]], "&gt;="&amp;S$5,BetTable[[Date]:[Date]],"&lt;="&amp;EOMONTH(S$5,0))+SUMIFS(BetTable[[AR_per_bookie]:[AR_per_bookie]],BetTable[[B3]:[B3]],$K56,BetTable[[Date]:[Date]], "&gt;="&amp;S$5,BetTable[[Date]:[Date]],"&lt;="&amp;EOMONTH(S$5,0))</f>
        <v>0</v>
      </c>
      <c r="T56" s="186">
        <f>SUMIFS(DWbonus[[Sum]:[Sum]],DWbonus[[Dato]:[Dato]], "&gt;="&amp;T$5,DWbonus[[Dato]:[Dato]],"&lt;="&amp;EOMONTH(T$5,0),DWbonus[[Bookie]:[Bookie]],$K56)+SUMIFS(LayTable[[Faktisk res]:[Faktisk res]],LayTable[[Dato]:[Dato]],"&gt;="&amp;T$5,LayTable[[Dato]:[Dato]],"&lt;="&amp;EOMONTH(T$5,0),LayTable[[Bookmaker]:[Bookmaker]],$K56)+SUMIFS(BetTable[[AR_per_bookie]:[AR_per_bookie]],BetTable[[B1]:[B1]],$K56,BetTable[[Date]:[Date]], "&gt;="&amp;T$5,BetTable[[Date]:[Date]],"&lt;="&amp;EOMONTH(T$5,0))+SUMIFS(BetTable[[AR_per_bookie]:[AR_per_bookie]],BetTable[[B2]:[B2]],$K56,BetTable[[Date]:[Date]], "&gt;="&amp;T$5,BetTable[[Date]:[Date]],"&lt;="&amp;EOMONTH(T$5,0))+SUMIFS(BetTable[[AR_per_bookie]:[AR_per_bookie]],BetTable[[B3]:[B3]],$K56,BetTable[[Date]:[Date]], "&gt;="&amp;T$5,BetTable[[Date]:[Date]],"&lt;="&amp;EOMONTH(T$5,0))</f>
        <v>0</v>
      </c>
      <c r="U56" s="186">
        <f>SUMIFS(DWbonus[[Sum]:[Sum]],DWbonus[[Dato]:[Dato]], "&gt;="&amp;U$5,DWbonus[[Dato]:[Dato]],"&lt;="&amp;EOMONTH(U$5,0),DWbonus[[Bookie]:[Bookie]],$K56)+SUMIFS(LayTable[[Faktisk res]:[Faktisk res]],LayTable[[Dato]:[Dato]],"&gt;="&amp;U$5,LayTable[[Dato]:[Dato]],"&lt;="&amp;EOMONTH(U$5,0),LayTable[[Bookmaker]:[Bookmaker]],$K56)+SUMIFS(BetTable[[AR_per_bookie]:[AR_per_bookie]],BetTable[[B1]:[B1]],$K56,BetTable[[Date]:[Date]], "&gt;="&amp;U$5,BetTable[[Date]:[Date]],"&lt;="&amp;EOMONTH(U$5,0))+SUMIFS(BetTable[[AR_per_bookie]:[AR_per_bookie]],BetTable[[B2]:[B2]],$K56,BetTable[[Date]:[Date]], "&gt;="&amp;U$5,BetTable[[Date]:[Date]],"&lt;="&amp;EOMONTH(U$5,0))+SUMIFS(BetTable[[AR_per_bookie]:[AR_per_bookie]],BetTable[[B3]:[B3]],$K56,BetTable[[Date]:[Date]], "&gt;="&amp;U$5,BetTable[[Date]:[Date]],"&lt;="&amp;EOMONTH(U$5,0))</f>
        <v>0</v>
      </c>
      <c r="V56" s="186">
        <f>SUMIFS(DWbonus[[Sum]:[Sum]],DWbonus[[Dato]:[Dato]], "&gt;="&amp;V$5,DWbonus[[Dato]:[Dato]],"&lt;="&amp;EOMONTH(V$5,0),DWbonus[[Bookie]:[Bookie]],$K56)+SUMIFS(LayTable[[Faktisk res]:[Faktisk res]],LayTable[[Dato]:[Dato]],"&gt;="&amp;V$5,LayTable[[Dato]:[Dato]],"&lt;="&amp;EOMONTH(V$5,0),LayTable[[Bookmaker]:[Bookmaker]],$K56)+SUMIFS(BetTable[[AR_per_bookie]:[AR_per_bookie]],BetTable[[B1]:[B1]],$K56,BetTable[[Date]:[Date]], "&gt;="&amp;V$5,BetTable[[Date]:[Date]],"&lt;="&amp;EOMONTH(V$5,0))+SUMIFS(BetTable[[AR_per_bookie]:[AR_per_bookie]],BetTable[[B2]:[B2]],$K56,BetTable[[Date]:[Date]], "&gt;="&amp;V$5,BetTable[[Date]:[Date]],"&lt;="&amp;EOMONTH(V$5,0))+SUMIFS(BetTable[[AR_per_bookie]:[AR_per_bookie]],BetTable[[B3]:[B3]],$K56,BetTable[[Date]:[Date]], "&gt;="&amp;V$5,BetTable[[Date]:[Date]],"&lt;="&amp;EOMONTH(V$5,0))</f>
        <v>0</v>
      </c>
      <c r="W56" s="186">
        <f>SUMIFS(DWbonus[[Sum]:[Sum]],DWbonus[[Dato]:[Dato]], "&gt;="&amp;W$5,DWbonus[[Dato]:[Dato]],"&lt;="&amp;EOMONTH(W$5,0),DWbonus[[Bookie]:[Bookie]],$K56)+SUMIFS(LayTable[[Faktisk res]:[Faktisk res]],LayTable[[Dato]:[Dato]],"&gt;="&amp;W$5,LayTable[[Dato]:[Dato]],"&lt;="&amp;EOMONTH(W$5,0),LayTable[[Bookmaker]:[Bookmaker]],$K56)+SUMIFS(BetTable[[AR_per_bookie]:[AR_per_bookie]],BetTable[[B1]:[B1]],$K56,BetTable[[Date]:[Date]], "&gt;="&amp;W$5,BetTable[[Date]:[Date]],"&lt;="&amp;EOMONTH(W$5,0))+SUMIFS(BetTable[[AR_per_bookie]:[AR_per_bookie]],BetTable[[B2]:[B2]],$K56,BetTable[[Date]:[Date]], "&gt;="&amp;W$5,BetTable[[Date]:[Date]],"&lt;="&amp;EOMONTH(W$5,0))+SUMIFS(BetTable[[AR_per_bookie]:[AR_per_bookie]],BetTable[[B3]:[B3]],$K56,BetTable[[Date]:[Date]], "&gt;="&amp;W$5,BetTable[[Date]:[Date]],"&lt;="&amp;EOMONTH(W$5,0))</f>
        <v>0</v>
      </c>
    </row>
    <row r="57" spans="1:23">
      <c r="F57" s="174" t="s">
        <v>412</v>
      </c>
      <c r="K57" s="174" t="str">
        <f t="array" ref="K57">IFERROR(INDEX(BookieNavn!H$2:H$1251,SMALL(IF(EXACT(LEFT(BookieNavn!H$2:H$1251,2),M$3),ROW(BookieNavn!H$2:H$1251)-ROW(BookieNavn!H$2)+1),ROWS(BookieNavn!H$2:'BookieNavn'!H52))),"")</f>
        <v/>
      </c>
      <c r="L57" s="186">
        <f>SUMIFS(DWbonus[[Sum]:[Sum]],DWbonus[[Dato]:[Dato]], "&gt;="&amp;L$5,DWbonus[[Dato]:[Dato]],"&lt;="&amp;EOMONTH(L$5,0),DWbonus[[Bookie]:[Bookie]],$K57)+SUMIFS(LayTable[[Faktisk res]:[Faktisk res]],LayTable[[Dato]:[Dato]],"&gt;="&amp;L$5,LayTable[[Dato]:[Dato]],"&lt;="&amp;EOMONTH(L$5,0),LayTable[[Bookmaker]:[Bookmaker]],$K57)+SUMIFS(BetTable[[AR_per_bookie]:[AR_per_bookie]],BetTable[[B1]:[B1]],$K57,BetTable[[Date]:[Date]], "&gt;="&amp;L$5,BetTable[[Date]:[Date]],"&lt;="&amp;EOMONTH(L$5,0))+SUMIFS(BetTable[[AR_per_bookie]:[AR_per_bookie]],BetTable[[B2]:[B2]],$K57,BetTable[[Date]:[Date]], "&gt;="&amp;L$5,BetTable[[Date]:[Date]],"&lt;="&amp;EOMONTH(L$5,0))+SUMIFS(BetTable[[AR_per_bookie]:[AR_per_bookie]],BetTable[[B3]:[B3]],$K57,BetTable[[Date]:[Date]], "&gt;="&amp;L$5,BetTable[[Date]:[Date]],"&lt;="&amp;EOMONTH(L$5,0))</f>
        <v>0</v>
      </c>
      <c r="M57" s="186">
        <f>SUMIFS(DWbonus[[Sum]:[Sum]],DWbonus[[Dato]:[Dato]], "&gt;="&amp;M$5,DWbonus[[Dato]:[Dato]],"&lt;="&amp;EOMONTH(M$5,0),DWbonus[[Bookie]:[Bookie]],$K57)+SUMIFS(LayTable[[Faktisk res]:[Faktisk res]],LayTable[[Dato]:[Dato]],"&gt;="&amp;M$5,LayTable[[Dato]:[Dato]],"&lt;="&amp;EOMONTH(M$5,0),LayTable[[Bookmaker]:[Bookmaker]],$K57)+SUMIFS(BetTable[[AR_per_bookie]:[AR_per_bookie]],BetTable[[B1]:[B1]],$K57,BetTable[[Date]:[Date]], "&gt;="&amp;M$5,BetTable[[Date]:[Date]],"&lt;="&amp;EOMONTH(M$5,0))+SUMIFS(BetTable[[AR_per_bookie]:[AR_per_bookie]],BetTable[[B2]:[B2]],$K57,BetTable[[Date]:[Date]], "&gt;="&amp;M$5,BetTable[[Date]:[Date]],"&lt;="&amp;EOMONTH(M$5,0))+SUMIFS(BetTable[[AR_per_bookie]:[AR_per_bookie]],BetTable[[B3]:[B3]],$K57,BetTable[[Date]:[Date]], "&gt;="&amp;M$5,BetTable[[Date]:[Date]],"&lt;="&amp;EOMONTH(M$5,0))</f>
        <v>0</v>
      </c>
      <c r="N57" s="186">
        <f>SUMIFS(DWbonus[[Sum]:[Sum]],DWbonus[[Dato]:[Dato]], "&gt;="&amp;N$5,DWbonus[[Dato]:[Dato]],"&lt;="&amp;EOMONTH(N$5,0),DWbonus[[Bookie]:[Bookie]],$K57)+SUMIFS(LayTable[[Faktisk res]:[Faktisk res]],LayTable[[Dato]:[Dato]],"&gt;="&amp;N$5,LayTable[[Dato]:[Dato]],"&lt;="&amp;EOMONTH(N$5,0),LayTable[[Bookmaker]:[Bookmaker]],$K57)+SUMIFS(BetTable[[AR_per_bookie]:[AR_per_bookie]],BetTable[[B1]:[B1]],$K57,BetTable[[Date]:[Date]], "&gt;="&amp;N$5,BetTable[[Date]:[Date]],"&lt;="&amp;EOMONTH(N$5,0))+SUMIFS(BetTable[[AR_per_bookie]:[AR_per_bookie]],BetTable[[B2]:[B2]],$K57,BetTable[[Date]:[Date]], "&gt;="&amp;N$5,BetTable[[Date]:[Date]],"&lt;="&amp;EOMONTH(N$5,0))+SUMIFS(BetTable[[AR_per_bookie]:[AR_per_bookie]],BetTable[[B3]:[B3]],$K57,BetTable[[Date]:[Date]], "&gt;="&amp;N$5,BetTable[[Date]:[Date]],"&lt;="&amp;EOMONTH(N$5,0))</f>
        <v>0</v>
      </c>
      <c r="O57" s="186">
        <f>SUMIFS(DWbonus[[Sum]:[Sum]],DWbonus[[Dato]:[Dato]], "&gt;="&amp;O$5,DWbonus[[Dato]:[Dato]],"&lt;="&amp;EOMONTH(O$5,0),DWbonus[[Bookie]:[Bookie]],$K57)+SUMIFS(LayTable[[Faktisk res]:[Faktisk res]],LayTable[[Dato]:[Dato]],"&gt;="&amp;O$5,LayTable[[Dato]:[Dato]],"&lt;="&amp;EOMONTH(O$5,0),LayTable[[Bookmaker]:[Bookmaker]],$K57)+SUMIFS(BetTable[[AR_per_bookie]:[AR_per_bookie]],BetTable[[B1]:[B1]],$K57,BetTable[[Date]:[Date]], "&gt;="&amp;O$5,BetTable[[Date]:[Date]],"&lt;="&amp;EOMONTH(O$5,0))+SUMIFS(BetTable[[AR_per_bookie]:[AR_per_bookie]],BetTable[[B2]:[B2]],$K57,BetTable[[Date]:[Date]], "&gt;="&amp;O$5,BetTable[[Date]:[Date]],"&lt;="&amp;EOMONTH(O$5,0))+SUMIFS(BetTable[[AR_per_bookie]:[AR_per_bookie]],BetTable[[B3]:[B3]],$K57,BetTable[[Date]:[Date]], "&gt;="&amp;O$5,BetTable[[Date]:[Date]],"&lt;="&amp;EOMONTH(O$5,0))</f>
        <v>0</v>
      </c>
      <c r="P57" s="186">
        <f>SUMIFS(DWbonus[[Sum]:[Sum]],DWbonus[[Dato]:[Dato]], "&gt;="&amp;P$5,DWbonus[[Dato]:[Dato]],"&lt;="&amp;EOMONTH(P$5,0),DWbonus[[Bookie]:[Bookie]],$K57)+SUMIFS(LayTable[[Faktisk res]:[Faktisk res]],LayTable[[Dato]:[Dato]],"&gt;="&amp;P$5,LayTable[[Dato]:[Dato]],"&lt;="&amp;EOMONTH(P$5,0),LayTable[[Bookmaker]:[Bookmaker]],$K57)+SUMIFS(BetTable[[AR_per_bookie]:[AR_per_bookie]],BetTable[[B1]:[B1]],$K57,BetTable[[Date]:[Date]], "&gt;="&amp;P$5,BetTable[[Date]:[Date]],"&lt;="&amp;EOMONTH(P$5,0))+SUMIFS(BetTable[[AR_per_bookie]:[AR_per_bookie]],BetTable[[B2]:[B2]],$K57,BetTable[[Date]:[Date]], "&gt;="&amp;P$5,BetTable[[Date]:[Date]],"&lt;="&amp;EOMONTH(P$5,0))+SUMIFS(BetTable[[AR_per_bookie]:[AR_per_bookie]],BetTable[[B3]:[B3]],$K57,BetTable[[Date]:[Date]], "&gt;="&amp;P$5,BetTable[[Date]:[Date]],"&lt;="&amp;EOMONTH(P$5,0))</f>
        <v>0</v>
      </c>
      <c r="Q57" s="186">
        <f>SUMIFS(DWbonus[[Sum]:[Sum]],DWbonus[[Dato]:[Dato]], "&gt;="&amp;Q$5,DWbonus[[Dato]:[Dato]],"&lt;="&amp;EOMONTH(Q$5,0),DWbonus[[Bookie]:[Bookie]],$K57)+SUMIFS(LayTable[[Faktisk res]:[Faktisk res]],LayTable[[Dato]:[Dato]],"&gt;="&amp;Q$5,LayTable[[Dato]:[Dato]],"&lt;="&amp;EOMONTH(Q$5,0),LayTable[[Bookmaker]:[Bookmaker]],$K57)+SUMIFS(BetTable[[AR_per_bookie]:[AR_per_bookie]],BetTable[[B1]:[B1]],$K57,BetTable[[Date]:[Date]], "&gt;="&amp;Q$5,BetTable[[Date]:[Date]],"&lt;="&amp;EOMONTH(Q$5,0))+SUMIFS(BetTable[[AR_per_bookie]:[AR_per_bookie]],BetTable[[B2]:[B2]],$K57,BetTable[[Date]:[Date]], "&gt;="&amp;Q$5,BetTable[[Date]:[Date]],"&lt;="&amp;EOMONTH(Q$5,0))+SUMIFS(BetTable[[AR_per_bookie]:[AR_per_bookie]],BetTable[[B3]:[B3]],$K57,BetTable[[Date]:[Date]], "&gt;="&amp;Q$5,BetTable[[Date]:[Date]],"&lt;="&amp;EOMONTH(Q$5,0))</f>
        <v>0</v>
      </c>
      <c r="R57" s="186">
        <f>SUMIFS(DWbonus[[Sum]:[Sum]],DWbonus[[Dato]:[Dato]], "&gt;="&amp;R$5,DWbonus[[Dato]:[Dato]],"&lt;="&amp;EOMONTH(R$5,0),DWbonus[[Bookie]:[Bookie]],$K57)+SUMIFS(LayTable[[Faktisk res]:[Faktisk res]],LayTable[[Dato]:[Dato]],"&gt;="&amp;R$5,LayTable[[Dato]:[Dato]],"&lt;="&amp;EOMONTH(R$5,0),LayTable[[Bookmaker]:[Bookmaker]],$K57)+SUMIFS(BetTable[[AR_per_bookie]:[AR_per_bookie]],BetTable[[B1]:[B1]],$K57,BetTable[[Date]:[Date]], "&gt;="&amp;R$5,BetTable[[Date]:[Date]],"&lt;="&amp;EOMONTH(R$5,0))+SUMIFS(BetTable[[AR_per_bookie]:[AR_per_bookie]],BetTable[[B2]:[B2]],$K57,BetTable[[Date]:[Date]], "&gt;="&amp;R$5,BetTable[[Date]:[Date]],"&lt;="&amp;EOMONTH(R$5,0))+SUMIFS(BetTable[[AR_per_bookie]:[AR_per_bookie]],BetTable[[B3]:[B3]],$K57,BetTable[[Date]:[Date]], "&gt;="&amp;R$5,BetTable[[Date]:[Date]],"&lt;="&amp;EOMONTH(R$5,0))</f>
        <v>0</v>
      </c>
      <c r="S57" s="186">
        <f>SUMIFS(DWbonus[[Sum]:[Sum]],DWbonus[[Dato]:[Dato]], "&gt;="&amp;S$5,DWbonus[[Dato]:[Dato]],"&lt;="&amp;EOMONTH(S$5,0),DWbonus[[Bookie]:[Bookie]],$K57)+SUMIFS(LayTable[[Faktisk res]:[Faktisk res]],LayTable[[Dato]:[Dato]],"&gt;="&amp;S$5,LayTable[[Dato]:[Dato]],"&lt;="&amp;EOMONTH(S$5,0),LayTable[[Bookmaker]:[Bookmaker]],$K57)+SUMIFS(BetTable[[AR_per_bookie]:[AR_per_bookie]],BetTable[[B1]:[B1]],$K57,BetTable[[Date]:[Date]], "&gt;="&amp;S$5,BetTable[[Date]:[Date]],"&lt;="&amp;EOMONTH(S$5,0))+SUMIFS(BetTable[[AR_per_bookie]:[AR_per_bookie]],BetTable[[B2]:[B2]],$K57,BetTable[[Date]:[Date]], "&gt;="&amp;S$5,BetTable[[Date]:[Date]],"&lt;="&amp;EOMONTH(S$5,0))+SUMIFS(BetTable[[AR_per_bookie]:[AR_per_bookie]],BetTable[[B3]:[B3]],$K57,BetTable[[Date]:[Date]], "&gt;="&amp;S$5,BetTable[[Date]:[Date]],"&lt;="&amp;EOMONTH(S$5,0))</f>
        <v>0</v>
      </c>
      <c r="T57" s="186">
        <f>SUMIFS(DWbonus[[Sum]:[Sum]],DWbonus[[Dato]:[Dato]], "&gt;="&amp;T$5,DWbonus[[Dato]:[Dato]],"&lt;="&amp;EOMONTH(T$5,0),DWbonus[[Bookie]:[Bookie]],$K57)+SUMIFS(LayTable[[Faktisk res]:[Faktisk res]],LayTable[[Dato]:[Dato]],"&gt;="&amp;T$5,LayTable[[Dato]:[Dato]],"&lt;="&amp;EOMONTH(T$5,0),LayTable[[Bookmaker]:[Bookmaker]],$K57)+SUMIFS(BetTable[[AR_per_bookie]:[AR_per_bookie]],BetTable[[B1]:[B1]],$K57,BetTable[[Date]:[Date]], "&gt;="&amp;T$5,BetTable[[Date]:[Date]],"&lt;="&amp;EOMONTH(T$5,0))+SUMIFS(BetTable[[AR_per_bookie]:[AR_per_bookie]],BetTable[[B2]:[B2]],$K57,BetTable[[Date]:[Date]], "&gt;="&amp;T$5,BetTable[[Date]:[Date]],"&lt;="&amp;EOMONTH(T$5,0))+SUMIFS(BetTable[[AR_per_bookie]:[AR_per_bookie]],BetTable[[B3]:[B3]],$K57,BetTable[[Date]:[Date]], "&gt;="&amp;T$5,BetTable[[Date]:[Date]],"&lt;="&amp;EOMONTH(T$5,0))</f>
        <v>0</v>
      </c>
      <c r="U57" s="186">
        <f>SUMIFS(DWbonus[[Sum]:[Sum]],DWbonus[[Dato]:[Dato]], "&gt;="&amp;U$5,DWbonus[[Dato]:[Dato]],"&lt;="&amp;EOMONTH(U$5,0),DWbonus[[Bookie]:[Bookie]],$K57)+SUMIFS(LayTable[[Faktisk res]:[Faktisk res]],LayTable[[Dato]:[Dato]],"&gt;="&amp;U$5,LayTable[[Dato]:[Dato]],"&lt;="&amp;EOMONTH(U$5,0),LayTable[[Bookmaker]:[Bookmaker]],$K57)+SUMIFS(BetTable[[AR_per_bookie]:[AR_per_bookie]],BetTable[[B1]:[B1]],$K57,BetTable[[Date]:[Date]], "&gt;="&amp;U$5,BetTable[[Date]:[Date]],"&lt;="&amp;EOMONTH(U$5,0))+SUMIFS(BetTable[[AR_per_bookie]:[AR_per_bookie]],BetTable[[B2]:[B2]],$K57,BetTable[[Date]:[Date]], "&gt;="&amp;U$5,BetTable[[Date]:[Date]],"&lt;="&amp;EOMONTH(U$5,0))+SUMIFS(BetTable[[AR_per_bookie]:[AR_per_bookie]],BetTable[[B3]:[B3]],$K57,BetTable[[Date]:[Date]], "&gt;="&amp;U$5,BetTable[[Date]:[Date]],"&lt;="&amp;EOMONTH(U$5,0))</f>
        <v>0</v>
      </c>
      <c r="V57" s="186">
        <f>SUMIFS(DWbonus[[Sum]:[Sum]],DWbonus[[Dato]:[Dato]], "&gt;="&amp;V$5,DWbonus[[Dato]:[Dato]],"&lt;="&amp;EOMONTH(V$5,0),DWbonus[[Bookie]:[Bookie]],$K57)+SUMIFS(LayTable[[Faktisk res]:[Faktisk res]],LayTable[[Dato]:[Dato]],"&gt;="&amp;V$5,LayTable[[Dato]:[Dato]],"&lt;="&amp;EOMONTH(V$5,0),LayTable[[Bookmaker]:[Bookmaker]],$K57)+SUMIFS(BetTable[[AR_per_bookie]:[AR_per_bookie]],BetTable[[B1]:[B1]],$K57,BetTable[[Date]:[Date]], "&gt;="&amp;V$5,BetTable[[Date]:[Date]],"&lt;="&amp;EOMONTH(V$5,0))+SUMIFS(BetTable[[AR_per_bookie]:[AR_per_bookie]],BetTable[[B2]:[B2]],$K57,BetTable[[Date]:[Date]], "&gt;="&amp;V$5,BetTable[[Date]:[Date]],"&lt;="&amp;EOMONTH(V$5,0))+SUMIFS(BetTable[[AR_per_bookie]:[AR_per_bookie]],BetTable[[B3]:[B3]],$K57,BetTable[[Date]:[Date]], "&gt;="&amp;V$5,BetTable[[Date]:[Date]],"&lt;="&amp;EOMONTH(V$5,0))</f>
        <v>0</v>
      </c>
      <c r="W57" s="186">
        <f>SUMIFS(DWbonus[[Sum]:[Sum]],DWbonus[[Dato]:[Dato]], "&gt;="&amp;W$5,DWbonus[[Dato]:[Dato]],"&lt;="&amp;EOMONTH(W$5,0),DWbonus[[Bookie]:[Bookie]],$K57)+SUMIFS(LayTable[[Faktisk res]:[Faktisk res]],LayTable[[Dato]:[Dato]],"&gt;="&amp;W$5,LayTable[[Dato]:[Dato]],"&lt;="&amp;EOMONTH(W$5,0),LayTable[[Bookmaker]:[Bookmaker]],$K57)+SUMIFS(BetTable[[AR_per_bookie]:[AR_per_bookie]],BetTable[[B1]:[B1]],$K57,BetTable[[Date]:[Date]], "&gt;="&amp;W$5,BetTable[[Date]:[Date]],"&lt;="&amp;EOMONTH(W$5,0))+SUMIFS(BetTable[[AR_per_bookie]:[AR_per_bookie]],BetTable[[B2]:[B2]],$K57,BetTable[[Date]:[Date]], "&gt;="&amp;W$5,BetTable[[Date]:[Date]],"&lt;="&amp;EOMONTH(W$5,0))+SUMIFS(BetTable[[AR_per_bookie]:[AR_per_bookie]],BetTable[[B3]:[B3]],$K57,BetTable[[Date]:[Date]], "&gt;="&amp;W$5,BetTable[[Date]:[Date]],"&lt;="&amp;EOMONTH(W$5,0))</f>
        <v>0</v>
      </c>
    </row>
    <row r="58" spans="1:23">
      <c r="K58" s="174" t="str">
        <f t="array" ref="K58">IFERROR(INDEX(BookieNavn!H$2:H$1251,SMALL(IF(EXACT(LEFT(BookieNavn!H$2:H$1251,2),M$3),ROW(BookieNavn!H$2:H$1251)-ROW(BookieNavn!H$2)+1),ROWS(BookieNavn!H$2:'BookieNavn'!H53))),"")</f>
        <v/>
      </c>
      <c r="L58" s="186">
        <f>SUMIFS(DWbonus[[Sum]:[Sum]],DWbonus[[Dato]:[Dato]], "&gt;="&amp;L$5,DWbonus[[Dato]:[Dato]],"&lt;="&amp;EOMONTH(L$5,0),DWbonus[[Bookie]:[Bookie]],$K58)+SUMIFS(LayTable[[Faktisk res]:[Faktisk res]],LayTable[[Dato]:[Dato]],"&gt;="&amp;L$5,LayTable[[Dato]:[Dato]],"&lt;="&amp;EOMONTH(L$5,0),LayTable[[Bookmaker]:[Bookmaker]],$K58)+SUMIFS(BetTable[[AR_per_bookie]:[AR_per_bookie]],BetTable[[B1]:[B1]],$K58,BetTable[[Date]:[Date]], "&gt;="&amp;L$5,BetTable[[Date]:[Date]],"&lt;="&amp;EOMONTH(L$5,0))+SUMIFS(BetTable[[AR_per_bookie]:[AR_per_bookie]],BetTable[[B2]:[B2]],$K58,BetTable[[Date]:[Date]], "&gt;="&amp;L$5,BetTable[[Date]:[Date]],"&lt;="&amp;EOMONTH(L$5,0))+SUMIFS(BetTable[[AR_per_bookie]:[AR_per_bookie]],BetTable[[B3]:[B3]],$K58,BetTable[[Date]:[Date]], "&gt;="&amp;L$5,BetTable[[Date]:[Date]],"&lt;="&amp;EOMONTH(L$5,0))</f>
        <v>0</v>
      </c>
      <c r="M58" s="186">
        <f>SUMIFS(DWbonus[[Sum]:[Sum]],DWbonus[[Dato]:[Dato]], "&gt;="&amp;M$5,DWbonus[[Dato]:[Dato]],"&lt;="&amp;EOMONTH(M$5,0),DWbonus[[Bookie]:[Bookie]],$K58)+SUMIFS(LayTable[[Faktisk res]:[Faktisk res]],LayTable[[Dato]:[Dato]],"&gt;="&amp;M$5,LayTable[[Dato]:[Dato]],"&lt;="&amp;EOMONTH(M$5,0),LayTable[[Bookmaker]:[Bookmaker]],$K58)+SUMIFS(BetTable[[AR_per_bookie]:[AR_per_bookie]],BetTable[[B1]:[B1]],$K58,BetTable[[Date]:[Date]], "&gt;="&amp;M$5,BetTable[[Date]:[Date]],"&lt;="&amp;EOMONTH(M$5,0))+SUMIFS(BetTable[[AR_per_bookie]:[AR_per_bookie]],BetTable[[B2]:[B2]],$K58,BetTable[[Date]:[Date]], "&gt;="&amp;M$5,BetTable[[Date]:[Date]],"&lt;="&amp;EOMONTH(M$5,0))+SUMIFS(BetTable[[AR_per_bookie]:[AR_per_bookie]],BetTable[[B3]:[B3]],$K58,BetTable[[Date]:[Date]], "&gt;="&amp;M$5,BetTable[[Date]:[Date]],"&lt;="&amp;EOMONTH(M$5,0))</f>
        <v>0</v>
      </c>
      <c r="N58" s="186">
        <f>SUMIFS(DWbonus[[Sum]:[Sum]],DWbonus[[Dato]:[Dato]], "&gt;="&amp;N$5,DWbonus[[Dato]:[Dato]],"&lt;="&amp;EOMONTH(N$5,0),DWbonus[[Bookie]:[Bookie]],$K58)+SUMIFS(LayTable[[Faktisk res]:[Faktisk res]],LayTable[[Dato]:[Dato]],"&gt;="&amp;N$5,LayTable[[Dato]:[Dato]],"&lt;="&amp;EOMONTH(N$5,0),LayTable[[Bookmaker]:[Bookmaker]],$K58)+SUMIFS(BetTable[[AR_per_bookie]:[AR_per_bookie]],BetTable[[B1]:[B1]],$K58,BetTable[[Date]:[Date]], "&gt;="&amp;N$5,BetTable[[Date]:[Date]],"&lt;="&amp;EOMONTH(N$5,0))+SUMIFS(BetTable[[AR_per_bookie]:[AR_per_bookie]],BetTable[[B2]:[B2]],$K58,BetTable[[Date]:[Date]], "&gt;="&amp;N$5,BetTable[[Date]:[Date]],"&lt;="&amp;EOMONTH(N$5,0))+SUMIFS(BetTable[[AR_per_bookie]:[AR_per_bookie]],BetTable[[B3]:[B3]],$K58,BetTable[[Date]:[Date]], "&gt;="&amp;N$5,BetTable[[Date]:[Date]],"&lt;="&amp;EOMONTH(N$5,0))</f>
        <v>0</v>
      </c>
      <c r="O58" s="186">
        <f>SUMIFS(DWbonus[[Sum]:[Sum]],DWbonus[[Dato]:[Dato]], "&gt;="&amp;O$5,DWbonus[[Dato]:[Dato]],"&lt;="&amp;EOMONTH(O$5,0),DWbonus[[Bookie]:[Bookie]],$K58)+SUMIFS(LayTable[[Faktisk res]:[Faktisk res]],LayTable[[Dato]:[Dato]],"&gt;="&amp;O$5,LayTable[[Dato]:[Dato]],"&lt;="&amp;EOMONTH(O$5,0),LayTable[[Bookmaker]:[Bookmaker]],$K58)+SUMIFS(BetTable[[AR_per_bookie]:[AR_per_bookie]],BetTable[[B1]:[B1]],$K58,BetTable[[Date]:[Date]], "&gt;="&amp;O$5,BetTable[[Date]:[Date]],"&lt;="&amp;EOMONTH(O$5,0))+SUMIFS(BetTable[[AR_per_bookie]:[AR_per_bookie]],BetTable[[B2]:[B2]],$K58,BetTable[[Date]:[Date]], "&gt;="&amp;O$5,BetTable[[Date]:[Date]],"&lt;="&amp;EOMONTH(O$5,0))+SUMIFS(BetTable[[AR_per_bookie]:[AR_per_bookie]],BetTable[[B3]:[B3]],$K58,BetTable[[Date]:[Date]], "&gt;="&amp;O$5,BetTable[[Date]:[Date]],"&lt;="&amp;EOMONTH(O$5,0))</f>
        <v>0</v>
      </c>
      <c r="P58" s="186">
        <f>SUMIFS(DWbonus[[Sum]:[Sum]],DWbonus[[Dato]:[Dato]], "&gt;="&amp;P$5,DWbonus[[Dato]:[Dato]],"&lt;="&amp;EOMONTH(P$5,0),DWbonus[[Bookie]:[Bookie]],$K58)+SUMIFS(LayTable[[Faktisk res]:[Faktisk res]],LayTable[[Dato]:[Dato]],"&gt;="&amp;P$5,LayTable[[Dato]:[Dato]],"&lt;="&amp;EOMONTH(P$5,0),LayTable[[Bookmaker]:[Bookmaker]],$K58)+SUMIFS(BetTable[[AR_per_bookie]:[AR_per_bookie]],BetTable[[B1]:[B1]],$K58,BetTable[[Date]:[Date]], "&gt;="&amp;P$5,BetTable[[Date]:[Date]],"&lt;="&amp;EOMONTH(P$5,0))+SUMIFS(BetTable[[AR_per_bookie]:[AR_per_bookie]],BetTable[[B2]:[B2]],$K58,BetTable[[Date]:[Date]], "&gt;="&amp;P$5,BetTable[[Date]:[Date]],"&lt;="&amp;EOMONTH(P$5,0))+SUMIFS(BetTable[[AR_per_bookie]:[AR_per_bookie]],BetTable[[B3]:[B3]],$K58,BetTable[[Date]:[Date]], "&gt;="&amp;P$5,BetTable[[Date]:[Date]],"&lt;="&amp;EOMONTH(P$5,0))</f>
        <v>0</v>
      </c>
      <c r="Q58" s="186">
        <f>SUMIFS(DWbonus[[Sum]:[Sum]],DWbonus[[Dato]:[Dato]], "&gt;="&amp;Q$5,DWbonus[[Dato]:[Dato]],"&lt;="&amp;EOMONTH(Q$5,0),DWbonus[[Bookie]:[Bookie]],$K58)+SUMIFS(LayTable[[Faktisk res]:[Faktisk res]],LayTable[[Dato]:[Dato]],"&gt;="&amp;Q$5,LayTable[[Dato]:[Dato]],"&lt;="&amp;EOMONTH(Q$5,0),LayTable[[Bookmaker]:[Bookmaker]],$K58)+SUMIFS(BetTable[[AR_per_bookie]:[AR_per_bookie]],BetTable[[B1]:[B1]],$K58,BetTable[[Date]:[Date]], "&gt;="&amp;Q$5,BetTable[[Date]:[Date]],"&lt;="&amp;EOMONTH(Q$5,0))+SUMIFS(BetTable[[AR_per_bookie]:[AR_per_bookie]],BetTable[[B2]:[B2]],$K58,BetTable[[Date]:[Date]], "&gt;="&amp;Q$5,BetTable[[Date]:[Date]],"&lt;="&amp;EOMONTH(Q$5,0))+SUMIFS(BetTable[[AR_per_bookie]:[AR_per_bookie]],BetTable[[B3]:[B3]],$K58,BetTable[[Date]:[Date]], "&gt;="&amp;Q$5,BetTable[[Date]:[Date]],"&lt;="&amp;EOMONTH(Q$5,0))</f>
        <v>0</v>
      </c>
      <c r="R58" s="186">
        <f>SUMIFS(DWbonus[[Sum]:[Sum]],DWbonus[[Dato]:[Dato]], "&gt;="&amp;R$5,DWbonus[[Dato]:[Dato]],"&lt;="&amp;EOMONTH(R$5,0),DWbonus[[Bookie]:[Bookie]],$K58)+SUMIFS(LayTable[[Faktisk res]:[Faktisk res]],LayTable[[Dato]:[Dato]],"&gt;="&amp;R$5,LayTable[[Dato]:[Dato]],"&lt;="&amp;EOMONTH(R$5,0),LayTable[[Bookmaker]:[Bookmaker]],$K58)+SUMIFS(BetTable[[AR_per_bookie]:[AR_per_bookie]],BetTable[[B1]:[B1]],$K58,BetTable[[Date]:[Date]], "&gt;="&amp;R$5,BetTable[[Date]:[Date]],"&lt;="&amp;EOMONTH(R$5,0))+SUMIFS(BetTable[[AR_per_bookie]:[AR_per_bookie]],BetTable[[B2]:[B2]],$K58,BetTable[[Date]:[Date]], "&gt;="&amp;R$5,BetTable[[Date]:[Date]],"&lt;="&amp;EOMONTH(R$5,0))+SUMIFS(BetTable[[AR_per_bookie]:[AR_per_bookie]],BetTable[[B3]:[B3]],$K58,BetTable[[Date]:[Date]], "&gt;="&amp;R$5,BetTable[[Date]:[Date]],"&lt;="&amp;EOMONTH(R$5,0))</f>
        <v>0</v>
      </c>
      <c r="S58" s="186">
        <f>SUMIFS(DWbonus[[Sum]:[Sum]],DWbonus[[Dato]:[Dato]], "&gt;="&amp;S$5,DWbonus[[Dato]:[Dato]],"&lt;="&amp;EOMONTH(S$5,0),DWbonus[[Bookie]:[Bookie]],$K58)+SUMIFS(LayTable[[Faktisk res]:[Faktisk res]],LayTable[[Dato]:[Dato]],"&gt;="&amp;S$5,LayTable[[Dato]:[Dato]],"&lt;="&amp;EOMONTH(S$5,0),LayTable[[Bookmaker]:[Bookmaker]],$K58)+SUMIFS(BetTable[[AR_per_bookie]:[AR_per_bookie]],BetTable[[B1]:[B1]],$K58,BetTable[[Date]:[Date]], "&gt;="&amp;S$5,BetTable[[Date]:[Date]],"&lt;="&amp;EOMONTH(S$5,0))+SUMIFS(BetTable[[AR_per_bookie]:[AR_per_bookie]],BetTable[[B2]:[B2]],$K58,BetTable[[Date]:[Date]], "&gt;="&amp;S$5,BetTable[[Date]:[Date]],"&lt;="&amp;EOMONTH(S$5,0))+SUMIFS(BetTable[[AR_per_bookie]:[AR_per_bookie]],BetTable[[B3]:[B3]],$K58,BetTable[[Date]:[Date]], "&gt;="&amp;S$5,BetTable[[Date]:[Date]],"&lt;="&amp;EOMONTH(S$5,0))</f>
        <v>0</v>
      </c>
      <c r="T58" s="186">
        <f>SUMIFS(DWbonus[[Sum]:[Sum]],DWbonus[[Dato]:[Dato]], "&gt;="&amp;T$5,DWbonus[[Dato]:[Dato]],"&lt;="&amp;EOMONTH(T$5,0),DWbonus[[Bookie]:[Bookie]],$K58)+SUMIFS(LayTable[[Faktisk res]:[Faktisk res]],LayTable[[Dato]:[Dato]],"&gt;="&amp;T$5,LayTable[[Dato]:[Dato]],"&lt;="&amp;EOMONTH(T$5,0),LayTable[[Bookmaker]:[Bookmaker]],$K58)+SUMIFS(BetTable[[AR_per_bookie]:[AR_per_bookie]],BetTable[[B1]:[B1]],$K58,BetTable[[Date]:[Date]], "&gt;="&amp;T$5,BetTable[[Date]:[Date]],"&lt;="&amp;EOMONTH(T$5,0))+SUMIFS(BetTable[[AR_per_bookie]:[AR_per_bookie]],BetTable[[B2]:[B2]],$K58,BetTable[[Date]:[Date]], "&gt;="&amp;T$5,BetTable[[Date]:[Date]],"&lt;="&amp;EOMONTH(T$5,0))+SUMIFS(BetTable[[AR_per_bookie]:[AR_per_bookie]],BetTable[[B3]:[B3]],$K58,BetTable[[Date]:[Date]], "&gt;="&amp;T$5,BetTable[[Date]:[Date]],"&lt;="&amp;EOMONTH(T$5,0))</f>
        <v>0</v>
      </c>
      <c r="U58" s="186">
        <f>SUMIFS(DWbonus[[Sum]:[Sum]],DWbonus[[Dato]:[Dato]], "&gt;="&amp;U$5,DWbonus[[Dato]:[Dato]],"&lt;="&amp;EOMONTH(U$5,0),DWbonus[[Bookie]:[Bookie]],$K58)+SUMIFS(LayTable[[Faktisk res]:[Faktisk res]],LayTable[[Dato]:[Dato]],"&gt;="&amp;U$5,LayTable[[Dato]:[Dato]],"&lt;="&amp;EOMONTH(U$5,0),LayTable[[Bookmaker]:[Bookmaker]],$K58)+SUMIFS(BetTable[[AR_per_bookie]:[AR_per_bookie]],BetTable[[B1]:[B1]],$K58,BetTable[[Date]:[Date]], "&gt;="&amp;U$5,BetTable[[Date]:[Date]],"&lt;="&amp;EOMONTH(U$5,0))+SUMIFS(BetTable[[AR_per_bookie]:[AR_per_bookie]],BetTable[[B2]:[B2]],$K58,BetTable[[Date]:[Date]], "&gt;="&amp;U$5,BetTable[[Date]:[Date]],"&lt;="&amp;EOMONTH(U$5,0))+SUMIFS(BetTable[[AR_per_bookie]:[AR_per_bookie]],BetTable[[B3]:[B3]],$K58,BetTable[[Date]:[Date]], "&gt;="&amp;U$5,BetTable[[Date]:[Date]],"&lt;="&amp;EOMONTH(U$5,0))</f>
        <v>0</v>
      </c>
      <c r="V58" s="186">
        <f>SUMIFS(DWbonus[[Sum]:[Sum]],DWbonus[[Dato]:[Dato]], "&gt;="&amp;V$5,DWbonus[[Dato]:[Dato]],"&lt;="&amp;EOMONTH(V$5,0),DWbonus[[Bookie]:[Bookie]],$K58)+SUMIFS(LayTable[[Faktisk res]:[Faktisk res]],LayTable[[Dato]:[Dato]],"&gt;="&amp;V$5,LayTable[[Dato]:[Dato]],"&lt;="&amp;EOMONTH(V$5,0),LayTable[[Bookmaker]:[Bookmaker]],$K58)+SUMIFS(BetTable[[AR_per_bookie]:[AR_per_bookie]],BetTable[[B1]:[B1]],$K58,BetTable[[Date]:[Date]], "&gt;="&amp;V$5,BetTable[[Date]:[Date]],"&lt;="&amp;EOMONTH(V$5,0))+SUMIFS(BetTable[[AR_per_bookie]:[AR_per_bookie]],BetTable[[B2]:[B2]],$K58,BetTable[[Date]:[Date]], "&gt;="&amp;V$5,BetTable[[Date]:[Date]],"&lt;="&amp;EOMONTH(V$5,0))+SUMIFS(BetTable[[AR_per_bookie]:[AR_per_bookie]],BetTable[[B3]:[B3]],$K58,BetTable[[Date]:[Date]], "&gt;="&amp;V$5,BetTable[[Date]:[Date]],"&lt;="&amp;EOMONTH(V$5,0))</f>
        <v>0</v>
      </c>
      <c r="W58" s="186">
        <f>SUMIFS(DWbonus[[Sum]:[Sum]],DWbonus[[Dato]:[Dato]], "&gt;="&amp;W$5,DWbonus[[Dato]:[Dato]],"&lt;="&amp;EOMONTH(W$5,0),DWbonus[[Bookie]:[Bookie]],$K58)+SUMIFS(LayTable[[Faktisk res]:[Faktisk res]],LayTable[[Dato]:[Dato]],"&gt;="&amp;W$5,LayTable[[Dato]:[Dato]],"&lt;="&amp;EOMONTH(W$5,0),LayTable[[Bookmaker]:[Bookmaker]],$K58)+SUMIFS(BetTable[[AR_per_bookie]:[AR_per_bookie]],BetTable[[B1]:[B1]],$K58,BetTable[[Date]:[Date]], "&gt;="&amp;W$5,BetTable[[Date]:[Date]],"&lt;="&amp;EOMONTH(W$5,0))+SUMIFS(BetTable[[AR_per_bookie]:[AR_per_bookie]],BetTable[[B2]:[B2]],$K58,BetTable[[Date]:[Date]], "&gt;="&amp;W$5,BetTable[[Date]:[Date]],"&lt;="&amp;EOMONTH(W$5,0))+SUMIFS(BetTable[[AR_per_bookie]:[AR_per_bookie]],BetTable[[B3]:[B3]],$K58,BetTable[[Date]:[Date]], "&gt;="&amp;W$5,BetTable[[Date]:[Date]],"&lt;="&amp;EOMONTH(W$5,0))</f>
        <v>0</v>
      </c>
    </row>
    <row r="59" spans="1:23">
      <c r="K59" s="174" t="str">
        <f t="array" ref="K59">IFERROR(INDEX(BookieNavn!H$2:H$1251,SMALL(IF(EXACT(LEFT(BookieNavn!H$2:H$1251,2),M$3),ROW(BookieNavn!H$2:H$1251)-ROW(BookieNavn!H$2)+1),ROWS(BookieNavn!H$2:'BookieNavn'!H54))),"")</f>
        <v/>
      </c>
      <c r="L59" s="186">
        <f>SUMIFS(DWbonus[[Sum]:[Sum]],DWbonus[[Dato]:[Dato]], "&gt;="&amp;L$5,DWbonus[[Dato]:[Dato]],"&lt;="&amp;EOMONTH(L$5,0),DWbonus[[Bookie]:[Bookie]],$K59)+SUMIFS(LayTable[[Faktisk res]:[Faktisk res]],LayTable[[Dato]:[Dato]],"&gt;="&amp;L$5,LayTable[[Dato]:[Dato]],"&lt;="&amp;EOMONTH(L$5,0),LayTable[[Bookmaker]:[Bookmaker]],$K59)+SUMIFS(BetTable[[AR_per_bookie]:[AR_per_bookie]],BetTable[[B1]:[B1]],$K59,BetTable[[Date]:[Date]], "&gt;="&amp;L$5,BetTable[[Date]:[Date]],"&lt;="&amp;EOMONTH(L$5,0))+SUMIFS(BetTable[[AR_per_bookie]:[AR_per_bookie]],BetTable[[B2]:[B2]],$K59,BetTable[[Date]:[Date]], "&gt;="&amp;L$5,BetTable[[Date]:[Date]],"&lt;="&amp;EOMONTH(L$5,0))+SUMIFS(BetTable[[AR_per_bookie]:[AR_per_bookie]],BetTable[[B3]:[B3]],$K59,BetTable[[Date]:[Date]], "&gt;="&amp;L$5,BetTable[[Date]:[Date]],"&lt;="&amp;EOMONTH(L$5,0))</f>
        <v>0</v>
      </c>
      <c r="M59" s="186">
        <f>SUMIFS(DWbonus[[Sum]:[Sum]],DWbonus[[Dato]:[Dato]], "&gt;="&amp;M$5,DWbonus[[Dato]:[Dato]],"&lt;="&amp;EOMONTH(M$5,0),DWbonus[[Bookie]:[Bookie]],$K59)+SUMIFS(LayTable[[Faktisk res]:[Faktisk res]],LayTable[[Dato]:[Dato]],"&gt;="&amp;M$5,LayTable[[Dato]:[Dato]],"&lt;="&amp;EOMONTH(M$5,0),LayTable[[Bookmaker]:[Bookmaker]],$K59)+SUMIFS(BetTable[[AR_per_bookie]:[AR_per_bookie]],BetTable[[B1]:[B1]],$K59,BetTable[[Date]:[Date]], "&gt;="&amp;M$5,BetTable[[Date]:[Date]],"&lt;="&amp;EOMONTH(M$5,0))+SUMIFS(BetTable[[AR_per_bookie]:[AR_per_bookie]],BetTable[[B2]:[B2]],$K59,BetTable[[Date]:[Date]], "&gt;="&amp;M$5,BetTable[[Date]:[Date]],"&lt;="&amp;EOMONTH(M$5,0))+SUMIFS(BetTable[[AR_per_bookie]:[AR_per_bookie]],BetTable[[B3]:[B3]],$K59,BetTable[[Date]:[Date]], "&gt;="&amp;M$5,BetTable[[Date]:[Date]],"&lt;="&amp;EOMONTH(M$5,0))</f>
        <v>0</v>
      </c>
      <c r="N59" s="186">
        <f>SUMIFS(DWbonus[[Sum]:[Sum]],DWbonus[[Dato]:[Dato]], "&gt;="&amp;N$5,DWbonus[[Dato]:[Dato]],"&lt;="&amp;EOMONTH(N$5,0),DWbonus[[Bookie]:[Bookie]],$K59)+SUMIFS(LayTable[[Faktisk res]:[Faktisk res]],LayTable[[Dato]:[Dato]],"&gt;="&amp;N$5,LayTable[[Dato]:[Dato]],"&lt;="&amp;EOMONTH(N$5,0),LayTable[[Bookmaker]:[Bookmaker]],$K59)+SUMIFS(BetTable[[AR_per_bookie]:[AR_per_bookie]],BetTable[[B1]:[B1]],$K59,BetTable[[Date]:[Date]], "&gt;="&amp;N$5,BetTable[[Date]:[Date]],"&lt;="&amp;EOMONTH(N$5,0))+SUMIFS(BetTable[[AR_per_bookie]:[AR_per_bookie]],BetTable[[B2]:[B2]],$K59,BetTable[[Date]:[Date]], "&gt;="&amp;N$5,BetTable[[Date]:[Date]],"&lt;="&amp;EOMONTH(N$5,0))+SUMIFS(BetTable[[AR_per_bookie]:[AR_per_bookie]],BetTable[[B3]:[B3]],$K59,BetTable[[Date]:[Date]], "&gt;="&amp;N$5,BetTable[[Date]:[Date]],"&lt;="&amp;EOMONTH(N$5,0))</f>
        <v>0</v>
      </c>
      <c r="O59" s="186">
        <f>SUMIFS(DWbonus[[Sum]:[Sum]],DWbonus[[Dato]:[Dato]], "&gt;="&amp;O$5,DWbonus[[Dato]:[Dato]],"&lt;="&amp;EOMONTH(O$5,0),DWbonus[[Bookie]:[Bookie]],$K59)+SUMIFS(LayTable[[Faktisk res]:[Faktisk res]],LayTable[[Dato]:[Dato]],"&gt;="&amp;O$5,LayTable[[Dato]:[Dato]],"&lt;="&amp;EOMONTH(O$5,0),LayTable[[Bookmaker]:[Bookmaker]],$K59)+SUMIFS(BetTable[[AR_per_bookie]:[AR_per_bookie]],BetTable[[B1]:[B1]],$K59,BetTable[[Date]:[Date]], "&gt;="&amp;O$5,BetTable[[Date]:[Date]],"&lt;="&amp;EOMONTH(O$5,0))+SUMIFS(BetTable[[AR_per_bookie]:[AR_per_bookie]],BetTable[[B2]:[B2]],$K59,BetTable[[Date]:[Date]], "&gt;="&amp;O$5,BetTable[[Date]:[Date]],"&lt;="&amp;EOMONTH(O$5,0))+SUMIFS(BetTable[[AR_per_bookie]:[AR_per_bookie]],BetTable[[B3]:[B3]],$K59,BetTable[[Date]:[Date]], "&gt;="&amp;O$5,BetTable[[Date]:[Date]],"&lt;="&amp;EOMONTH(O$5,0))</f>
        <v>0</v>
      </c>
      <c r="P59" s="186">
        <f>SUMIFS(DWbonus[[Sum]:[Sum]],DWbonus[[Dato]:[Dato]], "&gt;="&amp;P$5,DWbonus[[Dato]:[Dato]],"&lt;="&amp;EOMONTH(P$5,0),DWbonus[[Bookie]:[Bookie]],$K59)+SUMIFS(LayTable[[Faktisk res]:[Faktisk res]],LayTable[[Dato]:[Dato]],"&gt;="&amp;P$5,LayTable[[Dato]:[Dato]],"&lt;="&amp;EOMONTH(P$5,0),LayTable[[Bookmaker]:[Bookmaker]],$K59)+SUMIFS(BetTable[[AR_per_bookie]:[AR_per_bookie]],BetTable[[B1]:[B1]],$K59,BetTable[[Date]:[Date]], "&gt;="&amp;P$5,BetTable[[Date]:[Date]],"&lt;="&amp;EOMONTH(P$5,0))+SUMIFS(BetTable[[AR_per_bookie]:[AR_per_bookie]],BetTable[[B2]:[B2]],$K59,BetTable[[Date]:[Date]], "&gt;="&amp;P$5,BetTable[[Date]:[Date]],"&lt;="&amp;EOMONTH(P$5,0))+SUMIFS(BetTable[[AR_per_bookie]:[AR_per_bookie]],BetTable[[B3]:[B3]],$K59,BetTable[[Date]:[Date]], "&gt;="&amp;P$5,BetTable[[Date]:[Date]],"&lt;="&amp;EOMONTH(P$5,0))</f>
        <v>0</v>
      </c>
      <c r="Q59" s="186">
        <f>SUMIFS(DWbonus[[Sum]:[Sum]],DWbonus[[Dato]:[Dato]], "&gt;="&amp;Q$5,DWbonus[[Dato]:[Dato]],"&lt;="&amp;EOMONTH(Q$5,0),DWbonus[[Bookie]:[Bookie]],$K59)+SUMIFS(LayTable[[Faktisk res]:[Faktisk res]],LayTable[[Dato]:[Dato]],"&gt;="&amp;Q$5,LayTable[[Dato]:[Dato]],"&lt;="&amp;EOMONTH(Q$5,0),LayTable[[Bookmaker]:[Bookmaker]],$K59)+SUMIFS(BetTable[[AR_per_bookie]:[AR_per_bookie]],BetTable[[B1]:[B1]],$K59,BetTable[[Date]:[Date]], "&gt;="&amp;Q$5,BetTable[[Date]:[Date]],"&lt;="&amp;EOMONTH(Q$5,0))+SUMIFS(BetTable[[AR_per_bookie]:[AR_per_bookie]],BetTable[[B2]:[B2]],$K59,BetTable[[Date]:[Date]], "&gt;="&amp;Q$5,BetTable[[Date]:[Date]],"&lt;="&amp;EOMONTH(Q$5,0))+SUMIFS(BetTable[[AR_per_bookie]:[AR_per_bookie]],BetTable[[B3]:[B3]],$K59,BetTable[[Date]:[Date]], "&gt;="&amp;Q$5,BetTable[[Date]:[Date]],"&lt;="&amp;EOMONTH(Q$5,0))</f>
        <v>0</v>
      </c>
      <c r="R59" s="186">
        <f>SUMIFS(DWbonus[[Sum]:[Sum]],DWbonus[[Dato]:[Dato]], "&gt;="&amp;R$5,DWbonus[[Dato]:[Dato]],"&lt;="&amp;EOMONTH(R$5,0),DWbonus[[Bookie]:[Bookie]],$K59)+SUMIFS(LayTable[[Faktisk res]:[Faktisk res]],LayTable[[Dato]:[Dato]],"&gt;="&amp;R$5,LayTable[[Dato]:[Dato]],"&lt;="&amp;EOMONTH(R$5,0),LayTable[[Bookmaker]:[Bookmaker]],$K59)+SUMIFS(BetTable[[AR_per_bookie]:[AR_per_bookie]],BetTable[[B1]:[B1]],$K59,BetTable[[Date]:[Date]], "&gt;="&amp;R$5,BetTable[[Date]:[Date]],"&lt;="&amp;EOMONTH(R$5,0))+SUMIFS(BetTable[[AR_per_bookie]:[AR_per_bookie]],BetTable[[B2]:[B2]],$K59,BetTable[[Date]:[Date]], "&gt;="&amp;R$5,BetTable[[Date]:[Date]],"&lt;="&amp;EOMONTH(R$5,0))+SUMIFS(BetTable[[AR_per_bookie]:[AR_per_bookie]],BetTable[[B3]:[B3]],$K59,BetTable[[Date]:[Date]], "&gt;="&amp;R$5,BetTable[[Date]:[Date]],"&lt;="&amp;EOMONTH(R$5,0))</f>
        <v>0</v>
      </c>
      <c r="S59" s="186">
        <f>SUMIFS(DWbonus[[Sum]:[Sum]],DWbonus[[Dato]:[Dato]], "&gt;="&amp;S$5,DWbonus[[Dato]:[Dato]],"&lt;="&amp;EOMONTH(S$5,0),DWbonus[[Bookie]:[Bookie]],$K59)+SUMIFS(LayTable[[Faktisk res]:[Faktisk res]],LayTable[[Dato]:[Dato]],"&gt;="&amp;S$5,LayTable[[Dato]:[Dato]],"&lt;="&amp;EOMONTH(S$5,0),LayTable[[Bookmaker]:[Bookmaker]],$K59)+SUMIFS(BetTable[[AR_per_bookie]:[AR_per_bookie]],BetTable[[B1]:[B1]],$K59,BetTable[[Date]:[Date]], "&gt;="&amp;S$5,BetTable[[Date]:[Date]],"&lt;="&amp;EOMONTH(S$5,0))+SUMIFS(BetTable[[AR_per_bookie]:[AR_per_bookie]],BetTable[[B2]:[B2]],$K59,BetTable[[Date]:[Date]], "&gt;="&amp;S$5,BetTable[[Date]:[Date]],"&lt;="&amp;EOMONTH(S$5,0))+SUMIFS(BetTable[[AR_per_bookie]:[AR_per_bookie]],BetTable[[B3]:[B3]],$K59,BetTable[[Date]:[Date]], "&gt;="&amp;S$5,BetTable[[Date]:[Date]],"&lt;="&amp;EOMONTH(S$5,0))</f>
        <v>0</v>
      </c>
      <c r="T59" s="186">
        <f>SUMIFS(DWbonus[[Sum]:[Sum]],DWbonus[[Dato]:[Dato]], "&gt;="&amp;T$5,DWbonus[[Dato]:[Dato]],"&lt;="&amp;EOMONTH(T$5,0),DWbonus[[Bookie]:[Bookie]],$K59)+SUMIFS(LayTable[[Faktisk res]:[Faktisk res]],LayTable[[Dato]:[Dato]],"&gt;="&amp;T$5,LayTable[[Dato]:[Dato]],"&lt;="&amp;EOMONTH(T$5,0),LayTable[[Bookmaker]:[Bookmaker]],$K59)+SUMIFS(BetTable[[AR_per_bookie]:[AR_per_bookie]],BetTable[[B1]:[B1]],$K59,BetTable[[Date]:[Date]], "&gt;="&amp;T$5,BetTable[[Date]:[Date]],"&lt;="&amp;EOMONTH(T$5,0))+SUMIFS(BetTable[[AR_per_bookie]:[AR_per_bookie]],BetTable[[B2]:[B2]],$K59,BetTable[[Date]:[Date]], "&gt;="&amp;T$5,BetTable[[Date]:[Date]],"&lt;="&amp;EOMONTH(T$5,0))+SUMIFS(BetTable[[AR_per_bookie]:[AR_per_bookie]],BetTable[[B3]:[B3]],$K59,BetTable[[Date]:[Date]], "&gt;="&amp;T$5,BetTable[[Date]:[Date]],"&lt;="&amp;EOMONTH(T$5,0))</f>
        <v>0</v>
      </c>
      <c r="U59" s="186">
        <f>SUMIFS(DWbonus[[Sum]:[Sum]],DWbonus[[Dato]:[Dato]], "&gt;="&amp;U$5,DWbonus[[Dato]:[Dato]],"&lt;="&amp;EOMONTH(U$5,0),DWbonus[[Bookie]:[Bookie]],$K59)+SUMIFS(LayTable[[Faktisk res]:[Faktisk res]],LayTable[[Dato]:[Dato]],"&gt;="&amp;U$5,LayTable[[Dato]:[Dato]],"&lt;="&amp;EOMONTH(U$5,0),LayTable[[Bookmaker]:[Bookmaker]],$K59)+SUMIFS(BetTable[[AR_per_bookie]:[AR_per_bookie]],BetTable[[B1]:[B1]],$K59,BetTable[[Date]:[Date]], "&gt;="&amp;U$5,BetTable[[Date]:[Date]],"&lt;="&amp;EOMONTH(U$5,0))+SUMIFS(BetTable[[AR_per_bookie]:[AR_per_bookie]],BetTable[[B2]:[B2]],$K59,BetTable[[Date]:[Date]], "&gt;="&amp;U$5,BetTable[[Date]:[Date]],"&lt;="&amp;EOMONTH(U$5,0))+SUMIFS(BetTable[[AR_per_bookie]:[AR_per_bookie]],BetTable[[B3]:[B3]],$K59,BetTable[[Date]:[Date]], "&gt;="&amp;U$5,BetTable[[Date]:[Date]],"&lt;="&amp;EOMONTH(U$5,0))</f>
        <v>0</v>
      </c>
      <c r="V59" s="186">
        <f>SUMIFS(DWbonus[[Sum]:[Sum]],DWbonus[[Dato]:[Dato]], "&gt;="&amp;V$5,DWbonus[[Dato]:[Dato]],"&lt;="&amp;EOMONTH(V$5,0),DWbonus[[Bookie]:[Bookie]],$K59)+SUMIFS(LayTable[[Faktisk res]:[Faktisk res]],LayTable[[Dato]:[Dato]],"&gt;="&amp;V$5,LayTable[[Dato]:[Dato]],"&lt;="&amp;EOMONTH(V$5,0),LayTable[[Bookmaker]:[Bookmaker]],$K59)+SUMIFS(BetTable[[AR_per_bookie]:[AR_per_bookie]],BetTable[[B1]:[B1]],$K59,BetTable[[Date]:[Date]], "&gt;="&amp;V$5,BetTable[[Date]:[Date]],"&lt;="&amp;EOMONTH(V$5,0))+SUMIFS(BetTable[[AR_per_bookie]:[AR_per_bookie]],BetTable[[B2]:[B2]],$K59,BetTable[[Date]:[Date]], "&gt;="&amp;V$5,BetTable[[Date]:[Date]],"&lt;="&amp;EOMONTH(V$5,0))+SUMIFS(BetTable[[AR_per_bookie]:[AR_per_bookie]],BetTable[[B3]:[B3]],$K59,BetTable[[Date]:[Date]], "&gt;="&amp;V$5,BetTable[[Date]:[Date]],"&lt;="&amp;EOMONTH(V$5,0))</f>
        <v>0</v>
      </c>
      <c r="W59" s="186">
        <f>SUMIFS(DWbonus[[Sum]:[Sum]],DWbonus[[Dato]:[Dato]], "&gt;="&amp;W$5,DWbonus[[Dato]:[Dato]],"&lt;="&amp;EOMONTH(W$5,0),DWbonus[[Bookie]:[Bookie]],$K59)+SUMIFS(LayTable[[Faktisk res]:[Faktisk res]],LayTable[[Dato]:[Dato]],"&gt;="&amp;W$5,LayTable[[Dato]:[Dato]],"&lt;="&amp;EOMONTH(W$5,0),LayTable[[Bookmaker]:[Bookmaker]],$K59)+SUMIFS(BetTable[[AR_per_bookie]:[AR_per_bookie]],BetTable[[B1]:[B1]],$K59,BetTable[[Date]:[Date]], "&gt;="&amp;W$5,BetTable[[Date]:[Date]],"&lt;="&amp;EOMONTH(W$5,0))+SUMIFS(BetTable[[AR_per_bookie]:[AR_per_bookie]],BetTable[[B2]:[B2]],$K59,BetTable[[Date]:[Date]], "&gt;="&amp;W$5,BetTable[[Date]:[Date]],"&lt;="&amp;EOMONTH(W$5,0))+SUMIFS(BetTable[[AR_per_bookie]:[AR_per_bookie]],BetTable[[B3]:[B3]],$K59,BetTable[[Date]:[Date]], "&gt;="&amp;W$5,BetTable[[Date]:[Date]],"&lt;="&amp;EOMONTH(W$5,0))</f>
        <v>0</v>
      </c>
    </row>
    <row r="60" spans="1:23">
      <c r="K60" s="174" t="str">
        <f t="array" ref="K60">IFERROR(INDEX(BookieNavn!H$2:H$1251,SMALL(IF(EXACT(LEFT(BookieNavn!H$2:H$1251,2),M$3),ROW(BookieNavn!H$2:H$1251)-ROW(BookieNavn!H$2)+1),ROWS(BookieNavn!H$2:'BookieNavn'!H55))),"")</f>
        <v/>
      </c>
      <c r="L60" s="186">
        <f>SUMIFS(DWbonus[[Sum]:[Sum]],DWbonus[[Dato]:[Dato]], "&gt;="&amp;L$5,DWbonus[[Dato]:[Dato]],"&lt;="&amp;EOMONTH(L$5,0),DWbonus[[Bookie]:[Bookie]],$K60)+SUMIFS(LayTable[[Faktisk res]:[Faktisk res]],LayTable[[Dato]:[Dato]],"&gt;="&amp;L$5,LayTable[[Dato]:[Dato]],"&lt;="&amp;EOMONTH(L$5,0),LayTable[[Bookmaker]:[Bookmaker]],$K60)+SUMIFS(BetTable[[AR_per_bookie]:[AR_per_bookie]],BetTable[[B1]:[B1]],$K60,BetTable[[Date]:[Date]], "&gt;="&amp;L$5,BetTable[[Date]:[Date]],"&lt;="&amp;EOMONTH(L$5,0))+SUMIFS(BetTable[[AR_per_bookie]:[AR_per_bookie]],BetTable[[B2]:[B2]],$K60,BetTable[[Date]:[Date]], "&gt;="&amp;L$5,BetTable[[Date]:[Date]],"&lt;="&amp;EOMONTH(L$5,0))+SUMIFS(BetTable[[AR_per_bookie]:[AR_per_bookie]],BetTable[[B3]:[B3]],$K60,BetTable[[Date]:[Date]], "&gt;="&amp;L$5,BetTable[[Date]:[Date]],"&lt;="&amp;EOMONTH(L$5,0))</f>
        <v>0</v>
      </c>
      <c r="M60" s="186">
        <f>SUMIFS(DWbonus[[Sum]:[Sum]],DWbonus[[Dato]:[Dato]], "&gt;="&amp;M$5,DWbonus[[Dato]:[Dato]],"&lt;="&amp;EOMONTH(M$5,0),DWbonus[[Bookie]:[Bookie]],$K60)+SUMIFS(LayTable[[Faktisk res]:[Faktisk res]],LayTable[[Dato]:[Dato]],"&gt;="&amp;M$5,LayTable[[Dato]:[Dato]],"&lt;="&amp;EOMONTH(M$5,0),LayTable[[Bookmaker]:[Bookmaker]],$K60)+SUMIFS(BetTable[[AR_per_bookie]:[AR_per_bookie]],BetTable[[B1]:[B1]],$K60,BetTable[[Date]:[Date]], "&gt;="&amp;M$5,BetTable[[Date]:[Date]],"&lt;="&amp;EOMONTH(M$5,0))+SUMIFS(BetTable[[AR_per_bookie]:[AR_per_bookie]],BetTable[[B2]:[B2]],$K60,BetTable[[Date]:[Date]], "&gt;="&amp;M$5,BetTable[[Date]:[Date]],"&lt;="&amp;EOMONTH(M$5,0))+SUMIFS(BetTable[[AR_per_bookie]:[AR_per_bookie]],BetTable[[B3]:[B3]],$K60,BetTable[[Date]:[Date]], "&gt;="&amp;M$5,BetTable[[Date]:[Date]],"&lt;="&amp;EOMONTH(M$5,0))</f>
        <v>0</v>
      </c>
      <c r="N60" s="186">
        <f>SUMIFS(DWbonus[[Sum]:[Sum]],DWbonus[[Dato]:[Dato]], "&gt;="&amp;N$5,DWbonus[[Dato]:[Dato]],"&lt;="&amp;EOMONTH(N$5,0),DWbonus[[Bookie]:[Bookie]],$K60)+SUMIFS(LayTable[[Faktisk res]:[Faktisk res]],LayTable[[Dato]:[Dato]],"&gt;="&amp;N$5,LayTable[[Dato]:[Dato]],"&lt;="&amp;EOMONTH(N$5,0),LayTable[[Bookmaker]:[Bookmaker]],$K60)+SUMIFS(BetTable[[AR_per_bookie]:[AR_per_bookie]],BetTable[[B1]:[B1]],$K60,BetTable[[Date]:[Date]], "&gt;="&amp;N$5,BetTable[[Date]:[Date]],"&lt;="&amp;EOMONTH(N$5,0))+SUMIFS(BetTable[[AR_per_bookie]:[AR_per_bookie]],BetTable[[B2]:[B2]],$K60,BetTable[[Date]:[Date]], "&gt;="&amp;N$5,BetTable[[Date]:[Date]],"&lt;="&amp;EOMONTH(N$5,0))+SUMIFS(BetTable[[AR_per_bookie]:[AR_per_bookie]],BetTable[[B3]:[B3]],$K60,BetTable[[Date]:[Date]], "&gt;="&amp;N$5,BetTable[[Date]:[Date]],"&lt;="&amp;EOMONTH(N$5,0))</f>
        <v>0</v>
      </c>
      <c r="O60" s="186">
        <f>SUMIFS(DWbonus[[Sum]:[Sum]],DWbonus[[Dato]:[Dato]], "&gt;="&amp;O$5,DWbonus[[Dato]:[Dato]],"&lt;="&amp;EOMONTH(O$5,0),DWbonus[[Bookie]:[Bookie]],$K60)+SUMIFS(LayTable[[Faktisk res]:[Faktisk res]],LayTable[[Dato]:[Dato]],"&gt;="&amp;O$5,LayTable[[Dato]:[Dato]],"&lt;="&amp;EOMONTH(O$5,0),LayTable[[Bookmaker]:[Bookmaker]],$K60)+SUMIFS(BetTable[[AR_per_bookie]:[AR_per_bookie]],BetTable[[B1]:[B1]],$K60,BetTable[[Date]:[Date]], "&gt;="&amp;O$5,BetTable[[Date]:[Date]],"&lt;="&amp;EOMONTH(O$5,0))+SUMIFS(BetTable[[AR_per_bookie]:[AR_per_bookie]],BetTable[[B2]:[B2]],$K60,BetTable[[Date]:[Date]], "&gt;="&amp;O$5,BetTable[[Date]:[Date]],"&lt;="&amp;EOMONTH(O$5,0))+SUMIFS(BetTable[[AR_per_bookie]:[AR_per_bookie]],BetTable[[B3]:[B3]],$K60,BetTable[[Date]:[Date]], "&gt;="&amp;O$5,BetTable[[Date]:[Date]],"&lt;="&amp;EOMONTH(O$5,0))</f>
        <v>0</v>
      </c>
      <c r="P60" s="186">
        <f>SUMIFS(DWbonus[[Sum]:[Sum]],DWbonus[[Dato]:[Dato]], "&gt;="&amp;P$5,DWbonus[[Dato]:[Dato]],"&lt;="&amp;EOMONTH(P$5,0),DWbonus[[Bookie]:[Bookie]],$K60)+SUMIFS(LayTable[[Faktisk res]:[Faktisk res]],LayTable[[Dato]:[Dato]],"&gt;="&amp;P$5,LayTable[[Dato]:[Dato]],"&lt;="&amp;EOMONTH(P$5,0),LayTable[[Bookmaker]:[Bookmaker]],$K60)+SUMIFS(BetTable[[AR_per_bookie]:[AR_per_bookie]],BetTable[[B1]:[B1]],$K60,BetTable[[Date]:[Date]], "&gt;="&amp;P$5,BetTable[[Date]:[Date]],"&lt;="&amp;EOMONTH(P$5,0))+SUMIFS(BetTable[[AR_per_bookie]:[AR_per_bookie]],BetTable[[B2]:[B2]],$K60,BetTable[[Date]:[Date]], "&gt;="&amp;P$5,BetTable[[Date]:[Date]],"&lt;="&amp;EOMONTH(P$5,0))+SUMIFS(BetTable[[AR_per_bookie]:[AR_per_bookie]],BetTable[[B3]:[B3]],$K60,BetTable[[Date]:[Date]], "&gt;="&amp;P$5,BetTable[[Date]:[Date]],"&lt;="&amp;EOMONTH(P$5,0))</f>
        <v>0</v>
      </c>
      <c r="Q60" s="186">
        <f>SUMIFS(DWbonus[[Sum]:[Sum]],DWbonus[[Dato]:[Dato]], "&gt;="&amp;Q$5,DWbonus[[Dato]:[Dato]],"&lt;="&amp;EOMONTH(Q$5,0),DWbonus[[Bookie]:[Bookie]],$K60)+SUMIFS(LayTable[[Faktisk res]:[Faktisk res]],LayTable[[Dato]:[Dato]],"&gt;="&amp;Q$5,LayTable[[Dato]:[Dato]],"&lt;="&amp;EOMONTH(Q$5,0),LayTable[[Bookmaker]:[Bookmaker]],$K60)+SUMIFS(BetTable[[AR_per_bookie]:[AR_per_bookie]],BetTable[[B1]:[B1]],$K60,BetTable[[Date]:[Date]], "&gt;="&amp;Q$5,BetTable[[Date]:[Date]],"&lt;="&amp;EOMONTH(Q$5,0))+SUMIFS(BetTable[[AR_per_bookie]:[AR_per_bookie]],BetTable[[B2]:[B2]],$K60,BetTable[[Date]:[Date]], "&gt;="&amp;Q$5,BetTable[[Date]:[Date]],"&lt;="&amp;EOMONTH(Q$5,0))+SUMIFS(BetTable[[AR_per_bookie]:[AR_per_bookie]],BetTable[[B3]:[B3]],$K60,BetTable[[Date]:[Date]], "&gt;="&amp;Q$5,BetTable[[Date]:[Date]],"&lt;="&amp;EOMONTH(Q$5,0))</f>
        <v>0</v>
      </c>
      <c r="R60" s="186">
        <f>SUMIFS(DWbonus[[Sum]:[Sum]],DWbonus[[Dato]:[Dato]], "&gt;="&amp;R$5,DWbonus[[Dato]:[Dato]],"&lt;="&amp;EOMONTH(R$5,0),DWbonus[[Bookie]:[Bookie]],$K60)+SUMIFS(LayTable[[Faktisk res]:[Faktisk res]],LayTable[[Dato]:[Dato]],"&gt;="&amp;R$5,LayTable[[Dato]:[Dato]],"&lt;="&amp;EOMONTH(R$5,0),LayTable[[Bookmaker]:[Bookmaker]],$K60)+SUMIFS(BetTable[[AR_per_bookie]:[AR_per_bookie]],BetTable[[B1]:[B1]],$K60,BetTable[[Date]:[Date]], "&gt;="&amp;R$5,BetTable[[Date]:[Date]],"&lt;="&amp;EOMONTH(R$5,0))+SUMIFS(BetTable[[AR_per_bookie]:[AR_per_bookie]],BetTable[[B2]:[B2]],$K60,BetTable[[Date]:[Date]], "&gt;="&amp;R$5,BetTable[[Date]:[Date]],"&lt;="&amp;EOMONTH(R$5,0))+SUMIFS(BetTable[[AR_per_bookie]:[AR_per_bookie]],BetTable[[B3]:[B3]],$K60,BetTable[[Date]:[Date]], "&gt;="&amp;R$5,BetTable[[Date]:[Date]],"&lt;="&amp;EOMONTH(R$5,0))</f>
        <v>0</v>
      </c>
      <c r="S60" s="186">
        <f>SUMIFS(DWbonus[[Sum]:[Sum]],DWbonus[[Dato]:[Dato]], "&gt;="&amp;S$5,DWbonus[[Dato]:[Dato]],"&lt;="&amp;EOMONTH(S$5,0),DWbonus[[Bookie]:[Bookie]],$K60)+SUMIFS(LayTable[[Faktisk res]:[Faktisk res]],LayTable[[Dato]:[Dato]],"&gt;="&amp;S$5,LayTable[[Dato]:[Dato]],"&lt;="&amp;EOMONTH(S$5,0),LayTable[[Bookmaker]:[Bookmaker]],$K60)+SUMIFS(BetTable[[AR_per_bookie]:[AR_per_bookie]],BetTable[[B1]:[B1]],$K60,BetTable[[Date]:[Date]], "&gt;="&amp;S$5,BetTable[[Date]:[Date]],"&lt;="&amp;EOMONTH(S$5,0))+SUMIFS(BetTable[[AR_per_bookie]:[AR_per_bookie]],BetTable[[B2]:[B2]],$K60,BetTable[[Date]:[Date]], "&gt;="&amp;S$5,BetTable[[Date]:[Date]],"&lt;="&amp;EOMONTH(S$5,0))+SUMIFS(BetTable[[AR_per_bookie]:[AR_per_bookie]],BetTable[[B3]:[B3]],$K60,BetTable[[Date]:[Date]], "&gt;="&amp;S$5,BetTable[[Date]:[Date]],"&lt;="&amp;EOMONTH(S$5,0))</f>
        <v>0</v>
      </c>
      <c r="T60" s="186">
        <f>SUMIFS(DWbonus[[Sum]:[Sum]],DWbonus[[Dato]:[Dato]], "&gt;="&amp;T$5,DWbonus[[Dato]:[Dato]],"&lt;="&amp;EOMONTH(T$5,0),DWbonus[[Bookie]:[Bookie]],$K60)+SUMIFS(LayTable[[Faktisk res]:[Faktisk res]],LayTable[[Dato]:[Dato]],"&gt;="&amp;T$5,LayTable[[Dato]:[Dato]],"&lt;="&amp;EOMONTH(T$5,0),LayTable[[Bookmaker]:[Bookmaker]],$K60)+SUMIFS(BetTable[[AR_per_bookie]:[AR_per_bookie]],BetTable[[B1]:[B1]],$K60,BetTable[[Date]:[Date]], "&gt;="&amp;T$5,BetTable[[Date]:[Date]],"&lt;="&amp;EOMONTH(T$5,0))+SUMIFS(BetTable[[AR_per_bookie]:[AR_per_bookie]],BetTable[[B2]:[B2]],$K60,BetTable[[Date]:[Date]], "&gt;="&amp;T$5,BetTable[[Date]:[Date]],"&lt;="&amp;EOMONTH(T$5,0))+SUMIFS(BetTable[[AR_per_bookie]:[AR_per_bookie]],BetTable[[B3]:[B3]],$K60,BetTable[[Date]:[Date]], "&gt;="&amp;T$5,BetTable[[Date]:[Date]],"&lt;="&amp;EOMONTH(T$5,0))</f>
        <v>0</v>
      </c>
      <c r="U60" s="186">
        <f>SUMIFS(DWbonus[[Sum]:[Sum]],DWbonus[[Dato]:[Dato]], "&gt;="&amp;U$5,DWbonus[[Dato]:[Dato]],"&lt;="&amp;EOMONTH(U$5,0),DWbonus[[Bookie]:[Bookie]],$K60)+SUMIFS(LayTable[[Faktisk res]:[Faktisk res]],LayTable[[Dato]:[Dato]],"&gt;="&amp;U$5,LayTable[[Dato]:[Dato]],"&lt;="&amp;EOMONTH(U$5,0),LayTable[[Bookmaker]:[Bookmaker]],$K60)+SUMIFS(BetTable[[AR_per_bookie]:[AR_per_bookie]],BetTable[[B1]:[B1]],$K60,BetTable[[Date]:[Date]], "&gt;="&amp;U$5,BetTable[[Date]:[Date]],"&lt;="&amp;EOMONTH(U$5,0))+SUMIFS(BetTable[[AR_per_bookie]:[AR_per_bookie]],BetTable[[B2]:[B2]],$K60,BetTable[[Date]:[Date]], "&gt;="&amp;U$5,BetTable[[Date]:[Date]],"&lt;="&amp;EOMONTH(U$5,0))+SUMIFS(BetTable[[AR_per_bookie]:[AR_per_bookie]],BetTable[[B3]:[B3]],$K60,BetTable[[Date]:[Date]], "&gt;="&amp;U$5,BetTable[[Date]:[Date]],"&lt;="&amp;EOMONTH(U$5,0))</f>
        <v>0</v>
      </c>
      <c r="V60" s="186">
        <f>SUMIFS(DWbonus[[Sum]:[Sum]],DWbonus[[Dato]:[Dato]], "&gt;="&amp;V$5,DWbonus[[Dato]:[Dato]],"&lt;="&amp;EOMONTH(V$5,0),DWbonus[[Bookie]:[Bookie]],$K60)+SUMIFS(LayTable[[Faktisk res]:[Faktisk res]],LayTable[[Dato]:[Dato]],"&gt;="&amp;V$5,LayTable[[Dato]:[Dato]],"&lt;="&amp;EOMONTH(V$5,0),LayTable[[Bookmaker]:[Bookmaker]],$K60)+SUMIFS(BetTable[[AR_per_bookie]:[AR_per_bookie]],BetTable[[B1]:[B1]],$K60,BetTable[[Date]:[Date]], "&gt;="&amp;V$5,BetTable[[Date]:[Date]],"&lt;="&amp;EOMONTH(V$5,0))+SUMIFS(BetTable[[AR_per_bookie]:[AR_per_bookie]],BetTable[[B2]:[B2]],$K60,BetTable[[Date]:[Date]], "&gt;="&amp;V$5,BetTable[[Date]:[Date]],"&lt;="&amp;EOMONTH(V$5,0))+SUMIFS(BetTable[[AR_per_bookie]:[AR_per_bookie]],BetTable[[B3]:[B3]],$K60,BetTable[[Date]:[Date]], "&gt;="&amp;V$5,BetTable[[Date]:[Date]],"&lt;="&amp;EOMONTH(V$5,0))</f>
        <v>0</v>
      </c>
      <c r="W60" s="186">
        <f>SUMIFS(DWbonus[[Sum]:[Sum]],DWbonus[[Dato]:[Dato]], "&gt;="&amp;W$5,DWbonus[[Dato]:[Dato]],"&lt;="&amp;EOMONTH(W$5,0),DWbonus[[Bookie]:[Bookie]],$K60)+SUMIFS(LayTable[[Faktisk res]:[Faktisk res]],LayTable[[Dato]:[Dato]],"&gt;="&amp;W$5,LayTable[[Dato]:[Dato]],"&lt;="&amp;EOMONTH(W$5,0),LayTable[[Bookmaker]:[Bookmaker]],$K60)+SUMIFS(BetTable[[AR_per_bookie]:[AR_per_bookie]],BetTable[[B1]:[B1]],$K60,BetTable[[Date]:[Date]], "&gt;="&amp;W$5,BetTable[[Date]:[Date]],"&lt;="&amp;EOMONTH(W$5,0))+SUMIFS(BetTable[[AR_per_bookie]:[AR_per_bookie]],BetTable[[B2]:[B2]],$K60,BetTable[[Date]:[Date]], "&gt;="&amp;W$5,BetTable[[Date]:[Date]],"&lt;="&amp;EOMONTH(W$5,0))+SUMIFS(BetTable[[AR_per_bookie]:[AR_per_bookie]],BetTable[[B3]:[B3]],$K60,BetTable[[Date]:[Date]], "&gt;="&amp;W$5,BetTable[[Date]:[Date]],"&lt;="&amp;EOMONTH(W$5,0))</f>
        <v>0</v>
      </c>
    </row>
    <row r="61" spans="1:23">
      <c r="K61" s="174" t="str">
        <f t="array" ref="K61">IFERROR(INDEX(BookieNavn!H$2:H$1251,SMALL(IF(EXACT(LEFT(BookieNavn!H$2:H$1251,2),M$3),ROW(BookieNavn!H$2:H$1251)-ROW(BookieNavn!H$2)+1),ROWS(BookieNavn!H$2:'BookieNavn'!H56))),"")</f>
        <v/>
      </c>
      <c r="L61" s="186">
        <f>SUMIFS(DWbonus[[Sum]:[Sum]],DWbonus[[Dato]:[Dato]], "&gt;="&amp;L$5,DWbonus[[Dato]:[Dato]],"&lt;="&amp;EOMONTH(L$5,0),DWbonus[[Bookie]:[Bookie]],$K61)+SUMIFS(LayTable[[Faktisk res]:[Faktisk res]],LayTable[[Dato]:[Dato]],"&gt;="&amp;L$5,LayTable[[Dato]:[Dato]],"&lt;="&amp;EOMONTH(L$5,0),LayTable[[Bookmaker]:[Bookmaker]],$K61)+SUMIFS(BetTable[[AR_per_bookie]:[AR_per_bookie]],BetTable[[B1]:[B1]],$K61,BetTable[[Date]:[Date]], "&gt;="&amp;L$5,BetTable[[Date]:[Date]],"&lt;="&amp;EOMONTH(L$5,0))+SUMIFS(BetTable[[AR_per_bookie]:[AR_per_bookie]],BetTable[[B2]:[B2]],$K61,BetTable[[Date]:[Date]], "&gt;="&amp;L$5,BetTable[[Date]:[Date]],"&lt;="&amp;EOMONTH(L$5,0))+SUMIFS(BetTable[[AR_per_bookie]:[AR_per_bookie]],BetTable[[B3]:[B3]],$K61,BetTable[[Date]:[Date]], "&gt;="&amp;L$5,BetTable[[Date]:[Date]],"&lt;="&amp;EOMONTH(L$5,0))</f>
        <v>0</v>
      </c>
      <c r="M61" s="186">
        <f>SUMIFS(DWbonus[[Sum]:[Sum]],DWbonus[[Dato]:[Dato]], "&gt;="&amp;M$5,DWbonus[[Dato]:[Dato]],"&lt;="&amp;EOMONTH(M$5,0),DWbonus[[Bookie]:[Bookie]],$K61)+SUMIFS(LayTable[[Faktisk res]:[Faktisk res]],LayTable[[Dato]:[Dato]],"&gt;="&amp;M$5,LayTable[[Dato]:[Dato]],"&lt;="&amp;EOMONTH(M$5,0),LayTable[[Bookmaker]:[Bookmaker]],$K61)+SUMIFS(BetTable[[AR_per_bookie]:[AR_per_bookie]],BetTable[[B1]:[B1]],$K61,BetTable[[Date]:[Date]], "&gt;="&amp;M$5,BetTable[[Date]:[Date]],"&lt;="&amp;EOMONTH(M$5,0))+SUMIFS(BetTable[[AR_per_bookie]:[AR_per_bookie]],BetTable[[B2]:[B2]],$K61,BetTable[[Date]:[Date]], "&gt;="&amp;M$5,BetTable[[Date]:[Date]],"&lt;="&amp;EOMONTH(M$5,0))+SUMIFS(BetTable[[AR_per_bookie]:[AR_per_bookie]],BetTable[[B3]:[B3]],$K61,BetTable[[Date]:[Date]], "&gt;="&amp;M$5,BetTable[[Date]:[Date]],"&lt;="&amp;EOMONTH(M$5,0))</f>
        <v>0</v>
      </c>
      <c r="N61" s="186">
        <f>SUMIFS(DWbonus[[Sum]:[Sum]],DWbonus[[Dato]:[Dato]], "&gt;="&amp;N$5,DWbonus[[Dato]:[Dato]],"&lt;="&amp;EOMONTH(N$5,0),DWbonus[[Bookie]:[Bookie]],$K61)+SUMIFS(LayTable[[Faktisk res]:[Faktisk res]],LayTable[[Dato]:[Dato]],"&gt;="&amp;N$5,LayTable[[Dato]:[Dato]],"&lt;="&amp;EOMONTH(N$5,0),LayTable[[Bookmaker]:[Bookmaker]],$K61)+SUMIFS(BetTable[[AR_per_bookie]:[AR_per_bookie]],BetTable[[B1]:[B1]],$K61,BetTable[[Date]:[Date]], "&gt;="&amp;N$5,BetTable[[Date]:[Date]],"&lt;="&amp;EOMONTH(N$5,0))+SUMIFS(BetTable[[AR_per_bookie]:[AR_per_bookie]],BetTable[[B2]:[B2]],$K61,BetTable[[Date]:[Date]], "&gt;="&amp;N$5,BetTable[[Date]:[Date]],"&lt;="&amp;EOMONTH(N$5,0))+SUMIFS(BetTable[[AR_per_bookie]:[AR_per_bookie]],BetTable[[B3]:[B3]],$K61,BetTable[[Date]:[Date]], "&gt;="&amp;N$5,BetTable[[Date]:[Date]],"&lt;="&amp;EOMONTH(N$5,0))</f>
        <v>0</v>
      </c>
      <c r="O61" s="186">
        <f>SUMIFS(DWbonus[[Sum]:[Sum]],DWbonus[[Dato]:[Dato]], "&gt;="&amp;O$5,DWbonus[[Dato]:[Dato]],"&lt;="&amp;EOMONTH(O$5,0),DWbonus[[Bookie]:[Bookie]],$K61)+SUMIFS(LayTable[[Faktisk res]:[Faktisk res]],LayTable[[Dato]:[Dato]],"&gt;="&amp;O$5,LayTable[[Dato]:[Dato]],"&lt;="&amp;EOMONTH(O$5,0),LayTable[[Bookmaker]:[Bookmaker]],$K61)+SUMIFS(BetTable[[AR_per_bookie]:[AR_per_bookie]],BetTable[[B1]:[B1]],$K61,BetTable[[Date]:[Date]], "&gt;="&amp;O$5,BetTable[[Date]:[Date]],"&lt;="&amp;EOMONTH(O$5,0))+SUMIFS(BetTable[[AR_per_bookie]:[AR_per_bookie]],BetTable[[B2]:[B2]],$K61,BetTable[[Date]:[Date]], "&gt;="&amp;O$5,BetTable[[Date]:[Date]],"&lt;="&amp;EOMONTH(O$5,0))+SUMIFS(BetTable[[AR_per_bookie]:[AR_per_bookie]],BetTable[[B3]:[B3]],$K61,BetTable[[Date]:[Date]], "&gt;="&amp;O$5,BetTable[[Date]:[Date]],"&lt;="&amp;EOMONTH(O$5,0))</f>
        <v>0</v>
      </c>
      <c r="P61" s="186">
        <f>SUMIFS(DWbonus[[Sum]:[Sum]],DWbonus[[Dato]:[Dato]], "&gt;="&amp;P$5,DWbonus[[Dato]:[Dato]],"&lt;="&amp;EOMONTH(P$5,0),DWbonus[[Bookie]:[Bookie]],$K61)+SUMIFS(LayTable[[Faktisk res]:[Faktisk res]],LayTable[[Dato]:[Dato]],"&gt;="&amp;P$5,LayTable[[Dato]:[Dato]],"&lt;="&amp;EOMONTH(P$5,0),LayTable[[Bookmaker]:[Bookmaker]],$K61)+SUMIFS(BetTable[[AR_per_bookie]:[AR_per_bookie]],BetTable[[B1]:[B1]],$K61,BetTable[[Date]:[Date]], "&gt;="&amp;P$5,BetTable[[Date]:[Date]],"&lt;="&amp;EOMONTH(P$5,0))+SUMIFS(BetTable[[AR_per_bookie]:[AR_per_bookie]],BetTable[[B2]:[B2]],$K61,BetTable[[Date]:[Date]], "&gt;="&amp;P$5,BetTable[[Date]:[Date]],"&lt;="&amp;EOMONTH(P$5,0))+SUMIFS(BetTable[[AR_per_bookie]:[AR_per_bookie]],BetTable[[B3]:[B3]],$K61,BetTable[[Date]:[Date]], "&gt;="&amp;P$5,BetTable[[Date]:[Date]],"&lt;="&amp;EOMONTH(P$5,0))</f>
        <v>0</v>
      </c>
      <c r="Q61" s="186">
        <f>SUMIFS(DWbonus[[Sum]:[Sum]],DWbonus[[Dato]:[Dato]], "&gt;="&amp;Q$5,DWbonus[[Dato]:[Dato]],"&lt;="&amp;EOMONTH(Q$5,0),DWbonus[[Bookie]:[Bookie]],$K61)+SUMIFS(LayTable[[Faktisk res]:[Faktisk res]],LayTable[[Dato]:[Dato]],"&gt;="&amp;Q$5,LayTable[[Dato]:[Dato]],"&lt;="&amp;EOMONTH(Q$5,0),LayTable[[Bookmaker]:[Bookmaker]],$K61)+SUMIFS(BetTable[[AR_per_bookie]:[AR_per_bookie]],BetTable[[B1]:[B1]],$K61,BetTable[[Date]:[Date]], "&gt;="&amp;Q$5,BetTable[[Date]:[Date]],"&lt;="&amp;EOMONTH(Q$5,0))+SUMIFS(BetTable[[AR_per_bookie]:[AR_per_bookie]],BetTable[[B2]:[B2]],$K61,BetTable[[Date]:[Date]], "&gt;="&amp;Q$5,BetTable[[Date]:[Date]],"&lt;="&amp;EOMONTH(Q$5,0))+SUMIFS(BetTable[[AR_per_bookie]:[AR_per_bookie]],BetTable[[B3]:[B3]],$K61,BetTable[[Date]:[Date]], "&gt;="&amp;Q$5,BetTable[[Date]:[Date]],"&lt;="&amp;EOMONTH(Q$5,0))</f>
        <v>0</v>
      </c>
      <c r="R61" s="186">
        <f>SUMIFS(DWbonus[[Sum]:[Sum]],DWbonus[[Dato]:[Dato]], "&gt;="&amp;R$5,DWbonus[[Dato]:[Dato]],"&lt;="&amp;EOMONTH(R$5,0),DWbonus[[Bookie]:[Bookie]],$K61)+SUMIFS(LayTable[[Faktisk res]:[Faktisk res]],LayTable[[Dato]:[Dato]],"&gt;="&amp;R$5,LayTable[[Dato]:[Dato]],"&lt;="&amp;EOMONTH(R$5,0),LayTable[[Bookmaker]:[Bookmaker]],$K61)+SUMIFS(BetTable[[AR_per_bookie]:[AR_per_bookie]],BetTable[[B1]:[B1]],$K61,BetTable[[Date]:[Date]], "&gt;="&amp;R$5,BetTable[[Date]:[Date]],"&lt;="&amp;EOMONTH(R$5,0))+SUMIFS(BetTable[[AR_per_bookie]:[AR_per_bookie]],BetTable[[B2]:[B2]],$K61,BetTable[[Date]:[Date]], "&gt;="&amp;R$5,BetTable[[Date]:[Date]],"&lt;="&amp;EOMONTH(R$5,0))+SUMIFS(BetTable[[AR_per_bookie]:[AR_per_bookie]],BetTable[[B3]:[B3]],$K61,BetTable[[Date]:[Date]], "&gt;="&amp;R$5,BetTable[[Date]:[Date]],"&lt;="&amp;EOMONTH(R$5,0))</f>
        <v>0</v>
      </c>
      <c r="S61" s="186">
        <f>SUMIFS(DWbonus[[Sum]:[Sum]],DWbonus[[Dato]:[Dato]], "&gt;="&amp;S$5,DWbonus[[Dato]:[Dato]],"&lt;="&amp;EOMONTH(S$5,0),DWbonus[[Bookie]:[Bookie]],$K61)+SUMIFS(LayTable[[Faktisk res]:[Faktisk res]],LayTable[[Dato]:[Dato]],"&gt;="&amp;S$5,LayTable[[Dato]:[Dato]],"&lt;="&amp;EOMONTH(S$5,0),LayTable[[Bookmaker]:[Bookmaker]],$K61)+SUMIFS(BetTable[[AR_per_bookie]:[AR_per_bookie]],BetTable[[B1]:[B1]],$K61,BetTable[[Date]:[Date]], "&gt;="&amp;S$5,BetTable[[Date]:[Date]],"&lt;="&amp;EOMONTH(S$5,0))+SUMIFS(BetTable[[AR_per_bookie]:[AR_per_bookie]],BetTable[[B2]:[B2]],$K61,BetTable[[Date]:[Date]], "&gt;="&amp;S$5,BetTable[[Date]:[Date]],"&lt;="&amp;EOMONTH(S$5,0))+SUMIFS(BetTable[[AR_per_bookie]:[AR_per_bookie]],BetTable[[B3]:[B3]],$K61,BetTable[[Date]:[Date]], "&gt;="&amp;S$5,BetTable[[Date]:[Date]],"&lt;="&amp;EOMONTH(S$5,0))</f>
        <v>0</v>
      </c>
      <c r="T61" s="186">
        <f>SUMIFS(DWbonus[[Sum]:[Sum]],DWbonus[[Dato]:[Dato]], "&gt;="&amp;T$5,DWbonus[[Dato]:[Dato]],"&lt;="&amp;EOMONTH(T$5,0),DWbonus[[Bookie]:[Bookie]],$K61)+SUMIFS(LayTable[[Faktisk res]:[Faktisk res]],LayTable[[Dato]:[Dato]],"&gt;="&amp;T$5,LayTable[[Dato]:[Dato]],"&lt;="&amp;EOMONTH(T$5,0),LayTable[[Bookmaker]:[Bookmaker]],$K61)+SUMIFS(BetTable[[AR_per_bookie]:[AR_per_bookie]],BetTable[[B1]:[B1]],$K61,BetTable[[Date]:[Date]], "&gt;="&amp;T$5,BetTable[[Date]:[Date]],"&lt;="&amp;EOMONTH(T$5,0))+SUMIFS(BetTable[[AR_per_bookie]:[AR_per_bookie]],BetTable[[B2]:[B2]],$K61,BetTable[[Date]:[Date]], "&gt;="&amp;T$5,BetTable[[Date]:[Date]],"&lt;="&amp;EOMONTH(T$5,0))+SUMIFS(BetTable[[AR_per_bookie]:[AR_per_bookie]],BetTable[[B3]:[B3]],$K61,BetTable[[Date]:[Date]], "&gt;="&amp;T$5,BetTable[[Date]:[Date]],"&lt;="&amp;EOMONTH(T$5,0))</f>
        <v>0</v>
      </c>
      <c r="U61" s="186">
        <f>SUMIFS(DWbonus[[Sum]:[Sum]],DWbonus[[Dato]:[Dato]], "&gt;="&amp;U$5,DWbonus[[Dato]:[Dato]],"&lt;="&amp;EOMONTH(U$5,0),DWbonus[[Bookie]:[Bookie]],$K61)+SUMIFS(LayTable[[Faktisk res]:[Faktisk res]],LayTable[[Dato]:[Dato]],"&gt;="&amp;U$5,LayTable[[Dato]:[Dato]],"&lt;="&amp;EOMONTH(U$5,0),LayTable[[Bookmaker]:[Bookmaker]],$K61)+SUMIFS(BetTable[[AR_per_bookie]:[AR_per_bookie]],BetTable[[B1]:[B1]],$K61,BetTable[[Date]:[Date]], "&gt;="&amp;U$5,BetTable[[Date]:[Date]],"&lt;="&amp;EOMONTH(U$5,0))+SUMIFS(BetTable[[AR_per_bookie]:[AR_per_bookie]],BetTable[[B2]:[B2]],$K61,BetTable[[Date]:[Date]], "&gt;="&amp;U$5,BetTable[[Date]:[Date]],"&lt;="&amp;EOMONTH(U$5,0))+SUMIFS(BetTable[[AR_per_bookie]:[AR_per_bookie]],BetTable[[B3]:[B3]],$K61,BetTable[[Date]:[Date]], "&gt;="&amp;U$5,BetTable[[Date]:[Date]],"&lt;="&amp;EOMONTH(U$5,0))</f>
        <v>0</v>
      </c>
      <c r="V61" s="186">
        <f>SUMIFS(DWbonus[[Sum]:[Sum]],DWbonus[[Dato]:[Dato]], "&gt;="&amp;V$5,DWbonus[[Dato]:[Dato]],"&lt;="&amp;EOMONTH(V$5,0),DWbonus[[Bookie]:[Bookie]],$K61)+SUMIFS(LayTable[[Faktisk res]:[Faktisk res]],LayTable[[Dato]:[Dato]],"&gt;="&amp;V$5,LayTable[[Dato]:[Dato]],"&lt;="&amp;EOMONTH(V$5,0),LayTable[[Bookmaker]:[Bookmaker]],$K61)+SUMIFS(BetTable[[AR_per_bookie]:[AR_per_bookie]],BetTable[[B1]:[B1]],$K61,BetTable[[Date]:[Date]], "&gt;="&amp;V$5,BetTable[[Date]:[Date]],"&lt;="&amp;EOMONTH(V$5,0))+SUMIFS(BetTable[[AR_per_bookie]:[AR_per_bookie]],BetTable[[B2]:[B2]],$K61,BetTable[[Date]:[Date]], "&gt;="&amp;V$5,BetTable[[Date]:[Date]],"&lt;="&amp;EOMONTH(V$5,0))+SUMIFS(BetTable[[AR_per_bookie]:[AR_per_bookie]],BetTable[[B3]:[B3]],$K61,BetTable[[Date]:[Date]], "&gt;="&amp;V$5,BetTable[[Date]:[Date]],"&lt;="&amp;EOMONTH(V$5,0))</f>
        <v>0</v>
      </c>
      <c r="W61" s="186">
        <f>SUMIFS(DWbonus[[Sum]:[Sum]],DWbonus[[Dato]:[Dato]], "&gt;="&amp;W$5,DWbonus[[Dato]:[Dato]],"&lt;="&amp;EOMONTH(W$5,0),DWbonus[[Bookie]:[Bookie]],$K61)+SUMIFS(LayTable[[Faktisk res]:[Faktisk res]],LayTable[[Dato]:[Dato]],"&gt;="&amp;W$5,LayTable[[Dato]:[Dato]],"&lt;="&amp;EOMONTH(W$5,0),LayTable[[Bookmaker]:[Bookmaker]],$K61)+SUMIFS(BetTable[[AR_per_bookie]:[AR_per_bookie]],BetTable[[B1]:[B1]],$K61,BetTable[[Date]:[Date]], "&gt;="&amp;W$5,BetTable[[Date]:[Date]],"&lt;="&amp;EOMONTH(W$5,0))+SUMIFS(BetTable[[AR_per_bookie]:[AR_per_bookie]],BetTable[[B2]:[B2]],$K61,BetTable[[Date]:[Date]], "&gt;="&amp;W$5,BetTable[[Date]:[Date]],"&lt;="&amp;EOMONTH(W$5,0))+SUMIFS(BetTable[[AR_per_bookie]:[AR_per_bookie]],BetTable[[B3]:[B3]],$K61,BetTable[[Date]:[Date]], "&gt;="&amp;W$5,BetTable[[Date]:[Date]],"&lt;="&amp;EOMONTH(W$5,0))</f>
        <v>0</v>
      </c>
    </row>
    <row r="62" spans="1:23">
      <c r="K62" s="174" t="str">
        <f t="array" ref="K62">IFERROR(INDEX(BookieNavn!H$2:H$1251,SMALL(IF(EXACT(LEFT(BookieNavn!H$2:H$1251,2),M$3),ROW(BookieNavn!H$2:H$1251)-ROW(BookieNavn!H$2)+1),ROWS(BookieNavn!H$2:'BookieNavn'!H57))),"")</f>
        <v/>
      </c>
      <c r="L62" s="186">
        <f>SUMIFS(DWbonus[[Sum]:[Sum]],DWbonus[[Dato]:[Dato]], "&gt;="&amp;L$5,DWbonus[[Dato]:[Dato]],"&lt;="&amp;EOMONTH(L$5,0),DWbonus[[Bookie]:[Bookie]],$K62)+SUMIFS(LayTable[[Faktisk res]:[Faktisk res]],LayTable[[Dato]:[Dato]],"&gt;="&amp;L$5,LayTable[[Dato]:[Dato]],"&lt;="&amp;EOMONTH(L$5,0),LayTable[[Bookmaker]:[Bookmaker]],$K62)+SUMIFS(BetTable[[AR_per_bookie]:[AR_per_bookie]],BetTable[[B1]:[B1]],$K62,BetTable[[Date]:[Date]], "&gt;="&amp;L$5,BetTable[[Date]:[Date]],"&lt;="&amp;EOMONTH(L$5,0))+SUMIFS(BetTable[[AR_per_bookie]:[AR_per_bookie]],BetTable[[B2]:[B2]],$K62,BetTable[[Date]:[Date]], "&gt;="&amp;L$5,BetTable[[Date]:[Date]],"&lt;="&amp;EOMONTH(L$5,0))+SUMIFS(BetTable[[AR_per_bookie]:[AR_per_bookie]],BetTable[[B3]:[B3]],$K62,BetTable[[Date]:[Date]], "&gt;="&amp;L$5,BetTable[[Date]:[Date]],"&lt;="&amp;EOMONTH(L$5,0))</f>
        <v>0</v>
      </c>
      <c r="M62" s="186">
        <f>SUMIFS(DWbonus[[Sum]:[Sum]],DWbonus[[Dato]:[Dato]], "&gt;="&amp;M$5,DWbonus[[Dato]:[Dato]],"&lt;="&amp;EOMONTH(M$5,0),DWbonus[[Bookie]:[Bookie]],$K62)+SUMIFS(LayTable[[Faktisk res]:[Faktisk res]],LayTable[[Dato]:[Dato]],"&gt;="&amp;M$5,LayTable[[Dato]:[Dato]],"&lt;="&amp;EOMONTH(M$5,0),LayTable[[Bookmaker]:[Bookmaker]],$K62)+SUMIFS(BetTable[[AR_per_bookie]:[AR_per_bookie]],BetTable[[B1]:[B1]],$K62,BetTable[[Date]:[Date]], "&gt;="&amp;M$5,BetTable[[Date]:[Date]],"&lt;="&amp;EOMONTH(M$5,0))+SUMIFS(BetTable[[AR_per_bookie]:[AR_per_bookie]],BetTable[[B2]:[B2]],$K62,BetTable[[Date]:[Date]], "&gt;="&amp;M$5,BetTable[[Date]:[Date]],"&lt;="&amp;EOMONTH(M$5,0))+SUMIFS(BetTable[[AR_per_bookie]:[AR_per_bookie]],BetTable[[B3]:[B3]],$K62,BetTable[[Date]:[Date]], "&gt;="&amp;M$5,BetTable[[Date]:[Date]],"&lt;="&amp;EOMONTH(M$5,0))</f>
        <v>0</v>
      </c>
      <c r="N62" s="186">
        <f>SUMIFS(DWbonus[[Sum]:[Sum]],DWbonus[[Dato]:[Dato]], "&gt;="&amp;N$5,DWbonus[[Dato]:[Dato]],"&lt;="&amp;EOMONTH(N$5,0),DWbonus[[Bookie]:[Bookie]],$K62)+SUMIFS(LayTable[[Faktisk res]:[Faktisk res]],LayTable[[Dato]:[Dato]],"&gt;="&amp;N$5,LayTable[[Dato]:[Dato]],"&lt;="&amp;EOMONTH(N$5,0),LayTable[[Bookmaker]:[Bookmaker]],$K62)+SUMIFS(BetTable[[AR_per_bookie]:[AR_per_bookie]],BetTable[[B1]:[B1]],$K62,BetTable[[Date]:[Date]], "&gt;="&amp;N$5,BetTable[[Date]:[Date]],"&lt;="&amp;EOMONTH(N$5,0))+SUMIFS(BetTable[[AR_per_bookie]:[AR_per_bookie]],BetTable[[B2]:[B2]],$K62,BetTable[[Date]:[Date]], "&gt;="&amp;N$5,BetTable[[Date]:[Date]],"&lt;="&amp;EOMONTH(N$5,0))+SUMIFS(BetTable[[AR_per_bookie]:[AR_per_bookie]],BetTable[[B3]:[B3]],$K62,BetTable[[Date]:[Date]], "&gt;="&amp;N$5,BetTable[[Date]:[Date]],"&lt;="&amp;EOMONTH(N$5,0))</f>
        <v>0</v>
      </c>
      <c r="O62" s="186">
        <f>SUMIFS(DWbonus[[Sum]:[Sum]],DWbonus[[Dato]:[Dato]], "&gt;="&amp;O$5,DWbonus[[Dato]:[Dato]],"&lt;="&amp;EOMONTH(O$5,0),DWbonus[[Bookie]:[Bookie]],$K62)+SUMIFS(LayTable[[Faktisk res]:[Faktisk res]],LayTable[[Dato]:[Dato]],"&gt;="&amp;O$5,LayTable[[Dato]:[Dato]],"&lt;="&amp;EOMONTH(O$5,0),LayTable[[Bookmaker]:[Bookmaker]],$K62)+SUMIFS(BetTable[[AR_per_bookie]:[AR_per_bookie]],BetTable[[B1]:[B1]],$K62,BetTable[[Date]:[Date]], "&gt;="&amp;O$5,BetTable[[Date]:[Date]],"&lt;="&amp;EOMONTH(O$5,0))+SUMIFS(BetTable[[AR_per_bookie]:[AR_per_bookie]],BetTable[[B2]:[B2]],$K62,BetTable[[Date]:[Date]], "&gt;="&amp;O$5,BetTable[[Date]:[Date]],"&lt;="&amp;EOMONTH(O$5,0))+SUMIFS(BetTable[[AR_per_bookie]:[AR_per_bookie]],BetTable[[B3]:[B3]],$K62,BetTable[[Date]:[Date]], "&gt;="&amp;O$5,BetTable[[Date]:[Date]],"&lt;="&amp;EOMONTH(O$5,0))</f>
        <v>0</v>
      </c>
      <c r="P62" s="186">
        <f>SUMIFS(DWbonus[[Sum]:[Sum]],DWbonus[[Dato]:[Dato]], "&gt;="&amp;P$5,DWbonus[[Dato]:[Dato]],"&lt;="&amp;EOMONTH(P$5,0),DWbonus[[Bookie]:[Bookie]],$K62)+SUMIFS(LayTable[[Faktisk res]:[Faktisk res]],LayTable[[Dato]:[Dato]],"&gt;="&amp;P$5,LayTable[[Dato]:[Dato]],"&lt;="&amp;EOMONTH(P$5,0),LayTable[[Bookmaker]:[Bookmaker]],$K62)+SUMIFS(BetTable[[AR_per_bookie]:[AR_per_bookie]],BetTable[[B1]:[B1]],$K62,BetTable[[Date]:[Date]], "&gt;="&amp;P$5,BetTable[[Date]:[Date]],"&lt;="&amp;EOMONTH(P$5,0))+SUMIFS(BetTable[[AR_per_bookie]:[AR_per_bookie]],BetTable[[B2]:[B2]],$K62,BetTable[[Date]:[Date]], "&gt;="&amp;P$5,BetTable[[Date]:[Date]],"&lt;="&amp;EOMONTH(P$5,0))+SUMIFS(BetTable[[AR_per_bookie]:[AR_per_bookie]],BetTable[[B3]:[B3]],$K62,BetTable[[Date]:[Date]], "&gt;="&amp;P$5,BetTable[[Date]:[Date]],"&lt;="&amp;EOMONTH(P$5,0))</f>
        <v>0</v>
      </c>
      <c r="Q62" s="186">
        <f>SUMIFS(DWbonus[[Sum]:[Sum]],DWbonus[[Dato]:[Dato]], "&gt;="&amp;Q$5,DWbonus[[Dato]:[Dato]],"&lt;="&amp;EOMONTH(Q$5,0),DWbonus[[Bookie]:[Bookie]],$K62)+SUMIFS(LayTable[[Faktisk res]:[Faktisk res]],LayTable[[Dato]:[Dato]],"&gt;="&amp;Q$5,LayTable[[Dato]:[Dato]],"&lt;="&amp;EOMONTH(Q$5,0),LayTable[[Bookmaker]:[Bookmaker]],$K62)+SUMIFS(BetTable[[AR_per_bookie]:[AR_per_bookie]],BetTable[[B1]:[B1]],$K62,BetTable[[Date]:[Date]], "&gt;="&amp;Q$5,BetTable[[Date]:[Date]],"&lt;="&amp;EOMONTH(Q$5,0))+SUMIFS(BetTable[[AR_per_bookie]:[AR_per_bookie]],BetTable[[B2]:[B2]],$K62,BetTable[[Date]:[Date]], "&gt;="&amp;Q$5,BetTable[[Date]:[Date]],"&lt;="&amp;EOMONTH(Q$5,0))+SUMIFS(BetTable[[AR_per_bookie]:[AR_per_bookie]],BetTable[[B3]:[B3]],$K62,BetTable[[Date]:[Date]], "&gt;="&amp;Q$5,BetTable[[Date]:[Date]],"&lt;="&amp;EOMONTH(Q$5,0))</f>
        <v>0</v>
      </c>
      <c r="R62" s="186">
        <f>SUMIFS(DWbonus[[Sum]:[Sum]],DWbonus[[Dato]:[Dato]], "&gt;="&amp;R$5,DWbonus[[Dato]:[Dato]],"&lt;="&amp;EOMONTH(R$5,0),DWbonus[[Bookie]:[Bookie]],$K62)+SUMIFS(LayTable[[Faktisk res]:[Faktisk res]],LayTable[[Dato]:[Dato]],"&gt;="&amp;R$5,LayTable[[Dato]:[Dato]],"&lt;="&amp;EOMONTH(R$5,0),LayTable[[Bookmaker]:[Bookmaker]],$K62)+SUMIFS(BetTable[[AR_per_bookie]:[AR_per_bookie]],BetTable[[B1]:[B1]],$K62,BetTable[[Date]:[Date]], "&gt;="&amp;R$5,BetTable[[Date]:[Date]],"&lt;="&amp;EOMONTH(R$5,0))+SUMIFS(BetTable[[AR_per_bookie]:[AR_per_bookie]],BetTable[[B2]:[B2]],$K62,BetTable[[Date]:[Date]], "&gt;="&amp;R$5,BetTable[[Date]:[Date]],"&lt;="&amp;EOMONTH(R$5,0))+SUMIFS(BetTable[[AR_per_bookie]:[AR_per_bookie]],BetTable[[B3]:[B3]],$K62,BetTable[[Date]:[Date]], "&gt;="&amp;R$5,BetTable[[Date]:[Date]],"&lt;="&amp;EOMONTH(R$5,0))</f>
        <v>0</v>
      </c>
      <c r="S62" s="186">
        <f>SUMIFS(DWbonus[[Sum]:[Sum]],DWbonus[[Dato]:[Dato]], "&gt;="&amp;S$5,DWbonus[[Dato]:[Dato]],"&lt;="&amp;EOMONTH(S$5,0),DWbonus[[Bookie]:[Bookie]],$K62)+SUMIFS(LayTable[[Faktisk res]:[Faktisk res]],LayTable[[Dato]:[Dato]],"&gt;="&amp;S$5,LayTable[[Dato]:[Dato]],"&lt;="&amp;EOMONTH(S$5,0),LayTable[[Bookmaker]:[Bookmaker]],$K62)+SUMIFS(BetTable[[AR_per_bookie]:[AR_per_bookie]],BetTable[[B1]:[B1]],$K62,BetTable[[Date]:[Date]], "&gt;="&amp;S$5,BetTable[[Date]:[Date]],"&lt;="&amp;EOMONTH(S$5,0))+SUMIFS(BetTable[[AR_per_bookie]:[AR_per_bookie]],BetTable[[B2]:[B2]],$K62,BetTable[[Date]:[Date]], "&gt;="&amp;S$5,BetTable[[Date]:[Date]],"&lt;="&amp;EOMONTH(S$5,0))+SUMIFS(BetTable[[AR_per_bookie]:[AR_per_bookie]],BetTable[[B3]:[B3]],$K62,BetTable[[Date]:[Date]], "&gt;="&amp;S$5,BetTable[[Date]:[Date]],"&lt;="&amp;EOMONTH(S$5,0))</f>
        <v>0</v>
      </c>
      <c r="T62" s="186">
        <f>SUMIFS(DWbonus[[Sum]:[Sum]],DWbonus[[Dato]:[Dato]], "&gt;="&amp;T$5,DWbonus[[Dato]:[Dato]],"&lt;="&amp;EOMONTH(T$5,0),DWbonus[[Bookie]:[Bookie]],$K62)+SUMIFS(LayTable[[Faktisk res]:[Faktisk res]],LayTable[[Dato]:[Dato]],"&gt;="&amp;T$5,LayTable[[Dato]:[Dato]],"&lt;="&amp;EOMONTH(T$5,0),LayTable[[Bookmaker]:[Bookmaker]],$K62)+SUMIFS(BetTable[[AR_per_bookie]:[AR_per_bookie]],BetTable[[B1]:[B1]],$K62,BetTable[[Date]:[Date]], "&gt;="&amp;T$5,BetTable[[Date]:[Date]],"&lt;="&amp;EOMONTH(T$5,0))+SUMIFS(BetTable[[AR_per_bookie]:[AR_per_bookie]],BetTable[[B2]:[B2]],$K62,BetTable[[Date]:[Date]], "&gt;="&amp;T$5,BetTable[[Date]:[Date]],"&lt;="&amp;EOMONTH(T$5,0))+SUMIFS(BetTable[[AR_per_bookie]:[AR_per_bookie]],BetTable[[B3]:[B3]],$K62,BetTable[[Date]:[Date]], "&gt;="&amp;T$5,BetTable[[Date]:[Date]],"&lt;="&amp;EOMONTH(T$5,0))</f>
        <v>0</v>
      </c>
      <c r="U62" s="186">
        <f>SUMIFS(DWbonus[[Sum]:[Sum]],DWbonus[[Dato]:[Dato]], "&gt;="&amp;U$5,DWbonus[[Dato]:[Dato]],"&lt;="&amp;EOMONTH(U$5,0),DWbonus[[Bookie]:[Bookie]],$K62)+SUMIFS(LayTable[[Faktisk res]:[Faktisk res]],LayTable[[Dato]:[Dato]],"&gt;="&amp;U$5,LayTable[[Dato]:[Dato]],"&lt;="&amp;EOMONTH(U$5,0),LayTable[[Bookmaker]:[Bookmaker]],$K62)+SUMIFS(BetTable[[AR_per_bookie]:[AR_per_bookie]],BetTable[[B1]:[B1]],$K62,BetTable[[Date]:[Date]], "&gt;="&amp;U$5,BetTable[[Date]:[Date]],"&lt;="&amp;EOMONTH(U$5,0))+SUMIFS(BetTable[[AR_per_bookie]:[AR_per_bookie]],BetTable[[B2]:[B2]],$K62,BetTable[[Date]:[Date]], "&gt;="&amp;U$5,BetTable[[Date]:[Date]],"&lt;="&amp;EOMONTH(U$5,0))+SUMIFS(BetTable[[AR_per_bookie]:[AR_per_bookie]],BetTable[[B3]:[B3]],$K62,BetTable[[Date]:[Date]], "&gt;="&amp;U$5,BetTable[[Date]:[Date]],"&lt;="&amp;EOMONTH(U$5,0))</f>
        <v>0</v>
      </c>
      <c r="V62" s="186">
        <f>SUMIFS(DWbonus[[Sum]:[Sum]],DWbonus[[Dato]:[Dato]], "&gt;="&amp;V$5,DWbonus[[Dato]:[Dato]],"&lt;="&amp;EOMONTH(V$5,0),DWbonus[[Bookie]:[Bookie]],$K62)+SUMIFS(LayTable[[Faktisk res]:[Faktisk res]],LayTable[[Dato]:[Dato]],"&gt;="&amp;V$5,LayTable[[Dato]:[Dato]],"&lt;="&amp;EOMONTH(V$5,0),LayTable[[Bookmaker]:[Bookmaker]],$K62)+SUMIFS(BetTable[[AR_per_bookie]:[AR_per_bookie]],BetTable[[B1]:[B1]],$K62,BetTable[[Date]:[Date]], "&gt;="&amp;V$5,BetTable[[Date]:[Date]],"&lt;="&amp;EOMONTH(V$5,0))+SUMIFS(BetTable[[AR_per_bookie]:[AR_per_bookie]],BetTable[[B2]:[B2]],$K62,BetTable[[Date]:[Date]], "&gt;="&amp;V$5,BetTable[[Date]:[Date]],"&lt;="&amp;EOMONTH(V$5,0))+SUMIFS(BetTable[[AR_per_bookie]:[AR_per_bookie]],BetTable[[B3]:[B3]],$K62,BetTable[[Date]:[Date]], "&gt;="&amp;V$5,BetTable[[Date]:[Date]],"&lt;="&amp;EOMONTH(V$5,0))</f>
        <v>0</v>
      </c>
      <c r="W62" s="186">
        <f>SUMIFS(DWbonus[[Sum]:[Sum]],DWbonus[[Dato]:[Dato]], "&gt;="&amp;W$5,DWbonus[[Dato]:[Dato]],"&lt;="&amp;EOMONTH(W$5,0),DWbonus[[Bookie]:[Bookie]],$K62)+SUMIFS(LayTable[[Faktisk res]:[Faktisk res]],LayTable[[Dato]:[Dato]],"&gt;="&amp;W$5,LayTable[[Dato]:[Dato]],"&lt;="&amp;EOMONTH(W$5,0),LayTable[[Bookmaker]:[Bookmaker]],$K62)+SUMIFS(BetTable[[AR_per_bookie]:[AR_per_bookie]],BetTable[[B1]:[B1]],$K62,BetTable[[Date]:[Date]], "&gt;="&amp;W$5,BetTable[[Date]:[Date]],"&lt;="&amp;EOMONTH(W$5,0))+SUMIFS(BetTable[[AR_per_bookie]:[AR_per_bookie]],BetTable[[B2]:[B2]],$K62,BetTable[[Date]:[Date]], "&gt;="&amp;W$5,BetTable[[Date]:[Date]],"&lt;="&amp;EOMONTH(W$5,0))+SUMIFS(BetTable[[AR_per_bookie]:[AR_per_bookie]],BetTable[[B3]:[B3]],$K62,BetTable[[Date]:[Date]], "&gt;="&amp;W$5,BetTable[[Date]:[Date]],"&lt;="&amp;EOMONTH(W$5,0))</f>
        <v>0</v>
      </c>
    </row>
    <row r="63" spans="1:23">
      <c r="K63" s="174" t="str">
        <f t="array" ref="K63">IFERROR(INDEX(BookieNavn!H$2:H$1251,SMALL(IF(EXACT(LEFT(BookieNavn!H$2:H$1251,2),M$3),ROW(BookieNavn!H$2:H$1251)-ROW(BookieNavn!H$2)+1),ROWS(BookieNavn!H$2:'BookieNavn'!H58))),"")</f>
        <v/>
      </c>
      <c r="L63" s="186">
        <f>SUMIFS(DWbonus[[Sum]:[Sum]],DWbonus[[Dato]:[Dato]], "&gt;="&amp;L$5,DWbonus[[Dato]:[Dato]],"&lt;="&amp;EOMONTH(L$5,0),DWbonus[[Bookie]:[Bookie]],$K63)+SUMIFS(LayTable[[Faktisk res]:[Faktisk res]],LayTable[[Dato]:[Dato]],"&gt;="&amp;L$5,LayTable[[Dato]:[Dato]],"&lt;="&amp;EOMONTH(L$5,0),LayTable[[Bookmaker]:[Bookmaker]],$K63)+SUMIFS(BetTable[[AR_per_bookie]:[AR_per_bookie]],BetTable[[B1]:[B1]],$K63,BetTable[[Date]:[Date]], "&gt;="&amp;L$5,BetTable[[Date]:[Date]],"&lt;="&amp;EOMONTH(L$5,0))+SUMIFS(BetTable[[AR_per_bookie]:[AR_per_bookie]],BetTable[[B2]:[B2]],$K63,BetTable[[Date]:[Date]], "&gt;="&amp;L$5,BetTable[[Date]:[Date]],"&lt;="&amp;EOMONTH(L$5,0))+SUMIFS(BetTable[[AR_per_bookie]:[AR_per_bookie]],BetTable[[B3]:[B3]],$K63,BetTable[[Date]:[Date]], "&gt;="&amp;L$5,BetTable[[Date]:[Date]],"&lt;="&amp;EOMONTH(L$5,0))</f>
        <v>0</v>
      </c>
      <c r="M63" s="186">
        <f>SUMIFS(DWbonus[[Sum]:[Sum]],DWbonus[[Dato]:[Dato]], "&gt;="&amp;M$5,DWbonus[[Dato]:[Dato]],"&lt;="&amp;EOMONTH(M$5,0),DWbonus[[Bookie]:[Bookie]],$K63)+SUMIFS(LayTable[[Faktisk res]:[Faktisk res]],LayTable[[Dato]:[Dato]],"&gt;="&amp;M$5,LayTable[[Dato]:[Dato]],"&lt;="&amp;EOMONTH(M$5,0),LayTable[[Bookmaker]:[Bookmaker]],$K63)+SUMIFS(BetTable[[AR_per_bookie]:[AR_per_bookie]],BetTable[[B1]:[B1]],$K63,BetTable[[Date]:[Date]], "&gt;="&amp;M$5,BetTable[[Date]:[Date]],"&lt;="&amp;EOMONTH(M$5,0))+SUMIFS(BetTable[[AR_per_bookie]:[AR_per_bookie]],BetTable[[B2]:[B2]],$K63,BetTable[[Date]:[Date]], "&gt;="&amp;M$5,BetTable[[Date]:[Date]],"&lt;="&amp;EOMONTH(M$5,0))+SUMIFS(BetTable[[AR_per_bookie]:[AR_per_bookie]],BetTable[[B3]:[B3]],$K63,BetTable[[Date]:[Date]], "&gt;="&amp;M$5,BetTable[[Date]:[Date]],"&lt;="&amp;EOMONTH(M$5,0))</f>
        <v>0</v>
      </c>
      <c r="N63" s="186">
        <f>SUMIFS(DWbonus[[Sum]:[Sum]],DWbonus[[Dato]:[Dato]], "&gt;="&amp;N$5,DWbonus[[Dato]:[Dato]],"&lt;="&amp;EOMONTH(N$5,0),DWbonus[[Bookie]:[Bookie]],$K63)+SUMIFS(LayTable[[Faktisk res]:[Faktisk res]],LayTable[[Dato]:[Dato]],"&gt;="&amp;N$5,LayTable[[Dato]:[Dato]],"&lt;="&amp;EOMONTH(N$5,0),LayTable[[Bookmaker]:[Bookmaker]],$K63)+SUMIFS(BetTable[[AR_per_bookie]:[AR_per_bookie]],BetTable[[B1]:[B1]],$K63,BetTable[[Date]:[Date]], "&gt;="&amp;N$5,BetTable[[Date]:[Date]],"&lt;="&amp;EOMONTH(N$5,0))+SUMIFS(BetTable[[AR_per_bookie]:[AR_per_bookie]],BetTable[[B2]:[B2]],$K63,BetTable[[Date]:[Date]], "&gt;="&amp;N$5,BetTable[[Date]:[Date]],"&lt;="&amp;EOMONTH(N$5,0))+SUMIFS(BetTable[[AR_per_bookie]:[AR_per_bookie]],BetTable[[B3]:[B3]],$K63,BetTable[[Date]:[Date]], "&gt;="&amp;N$5,BetTable[[Date]:[Date]],"&lt;="&amp;EOMONTH(N$5,0))</f>
        <v>0</v>
      </c>
      <c r="O63" s="186">
        <f>SUMIFS(DWbonus[[Sum]:[Sum]],DWbonus[[Dato]:[Dato]], "&gt;="&amp;O$5,DWbonus[[Dato]:[Dato]],"&lt;="&amp;EOMONTH(O$5,0),DWbonus[[Bookie]:[Bookie]],$K63)+SUMIFS(LayTable[[Faktisk res]:[Faktisk res]],LayTable[[Dato]:[Dato]],"&gt;="&amp;O$5,LayTable[[Dato]:[Dato]],"&lt;="&amp;EOMONTH(O$5,0),LayTable[[Bookmaker]:[Bookmaker]],$K63)+SUMIFS(BetTable[[AR_per_bookie]:[AR_per_bookie]],BetTable[[B1]:[B1]],$K63,BetTable[[Date]:[Date]], "&gt;="&amp;O$5,BetTable[[Date]:[Date]],"&lt;="&amp;EOMONTH(O$5,0))+SUMIFS(BetTable[[AR_per_bookie]:[AR_per_bookie]],BetTable[[B2]:[B2]],$K63,BetTable[[Date]:[Date]], "&gt;="&amp;O$5,BetTable[[Date]:[Date]],"&lt;="&amp;EOMONTH(O$5,0))+SUMIFS(BetTable[[AR_per_bookie]:[AR_per_bookie]],BetTable[[B3]:[B3]],$K63,BetTable[[Date]:[Date]], "&gt;="&amp;O$5,BetTable[[Date]:[Date]],"&lt;="&amp;EOMONTH(O$5,0))</f>
        <v>0</v>
      </c>
      <c r="P63" s="186">
        <f>SUMIFS(DWbonus[[Sum]:[Sum]],DWbonus[[Dato]:[Dato]], "&gt;="&amp;P$5,DWbonus[[Dato]:[Dato]],"&lt;="&amp;EOMONTH(P$5,0),DWbonus[[Bookie]:[Bookie]],$K63)+SUMIFS(LayTable[[Faktisk res]:[Faktisk res]],LayTable[[Dato]:[Dato]],"&gt;="&amp;P$5,LayTable[[Dato]:[Dato]],"&lt;="&amp;EOMONTH(P$5,0),LayTable[[Bookmaker]:[Bookmaker]],$K63)+SUMIFS(BetTable[[AR_per_bookie]:[AR_per_bookie]],BetTable[[B1]:[B1]],$K63,BetTable[[Date]:[Date]], "&gt;="&amp;P$5,BetTable[[Date]:[Date]],"&lt;="&amp;EOMONTH(P$5,0))+SUMIFS(BetTable[[AR_per_bookie]:[AR_per_bookie]],BetTable[[B2]:[B2]],$K63,BetTable[[Date]:[Date]], "&gt;="&amp;P$5,BetTable[[Date]:[Date]],"&lt;="&amp;EOMONTH(P$5,0))+SUMIFS(BetTable[[AR_per_bookie]:[AR_per_bookie]],BetTable[[B3]:[B3]],$K63,BetTable[[Date]:[Date]], "&gt;="&amp;P$5,BetTable[[Date]:[Date]],"&lt;="&amp;EOMONTH(P$5,0))</f>
        <v>0</v>
      </c>
      <c r="Q63" s="186">
        <f>SUMIFS(DWbonus[[Sum]:[Sum]],DWbonus[[Dato]:[Dato]], "&gt;="&amp;Q$5,DWbonus[[Dato]:[Dato]],"&lt;="&amp;EOMONTH(Q$5,0),DWbonus[[Bookie]:[Bookie]],$K63)+SUMIFS(LayTable[[Faktisk res]:[Faktisk res]],LayTable[[Dato]:[Dato]],"&gt;="&amp;Q$5,LayTable[[Dato]:[Dato]],"&lt;="&amp;EOMONTH(Q$5,0),LayTable[[Bookmaker]:[Bookmaker]],$K63)+SUMIFS(BetTable[[AR_per_bookie]:[AR_per_bookie]],BetTable[[B1]:[B1]],$K63,BetTable[[Date]:[Date]], "&gt;="&amp;Q$5,BetTable[[Date]:[Date]],"&lt;="&amp;EOMONTH(Q$5,0))+SUMIFS(BetTable[[AR_per_bookie]:[AR_per_bookie]],BetTable[[B2]:[B2]],$K63,BetTable[[Date]:[Date]], "&gt;="&amp;Q$5,BetTable[[Date]:[Date]],"&lt;="&amp;EOMONTH(Q$5,0))+SUMIFS(BetTable[[AR_per_bookie]:[AR_per_bookie]],BetTable[[B3]:[B3]],$K63,BetTable[[Date]:[Date]], "&gt;="&amp;Q$5,BetTable[[Date]:[Date]],"&lt;="&amp;EOMONTH(Q$5,0))</f>
        <v>0</v>
      </c>
      <c r="R63" s="186">
        <f>SUMIFS(DWbonus[[Sum]:[Sum]],DWbonus[[Dato]:[Dato]], "&gt;="&amp;R$5,DWbonus[[Dato]:[Dato]],"&lt;="&amp;EOMONTH(R$5,0),DWbonus[[Bookie]:[Bookie]],$K63)+SUMIFS(LayTable[[Faktisk res]:[Faktisk res]],LayTable[[Dato]:[Dato]],"&gt;="&amp;R$5,LayTable[[Dato]:[Dato]],"&lt;="&amp;EOMONTH(R$5,0),LayTable[[Bookmaker]:[Bookmaker]],$K63)+SUMIFS(BetTable[[AR_per_bookie]:[AR_per_bookie]],BetTable[[B1]:[B1]],$K63,BetTable[[Date]:[Date]], "&gt;="&amp;R$5,BetTable[[Date]:[Date]],"&lt;="&amp;EOMONTH(R$5,0))+SUMIFS(BetTable[[AR_per_bookie]:[AR_per_bookie]],BetTable[[B2]:[B2]],$K63,BetTable[[Date]:[Date]], "&gt;="&amp;R$5,BetTable[[Date]:[Date]],"&lt;="&amp;EOMONTH(R$5,0))+SUMIFS(BetTable[[AR_per_bookie]:[AR_per_bookie]],BetTable[[B3]:[B3]],$K63,BetTable[[Date]:[Date]], "&gt;="&amp;R$5,BetTable[[Date]:[Date]],"&lt;="&amp;EOMONTH(R$5,0))</f>
        <v>0</v>
      </c>
      <c r="S63" s="186">
        <f>SUMIFS(DWbonus[[Sum]:[Sum]],DWbonus[[Dato]:[Dato]], "&gt;="&amp;S$5,DWbonus[[Dato]:[Dato]],"&lt;="&amp;EOMONTH(S$5,0),DWbonus[[Bookie]:[Bookie]],$K63)+SUMIFS(LayTable[[Faktisk res]:[Faktisk res]],LayTable[[Dato]:[Dato]],"&gt;="&amp;S$5,LayTable[[Dato]:[Dato]],"&lt;="&amp;EOMONTH(S$5,0),LayTable[[Bookmaker]:[Bookmaker]],$K63)+SUMIFS(BetTable[[AR_per_bookie]:[AR_per_bookie]],BetTable[[B1]:[B1]],$K63,BetTable[[Date]:[Date]], "&gt;="&amp;S$5,BetTable[[Date]:[Date]],"&lt;="&amp;EOMONTH(S$5,0))+SUMIFS(BetTable[[AR_per_bookie]:[AR_per_bookie]],BetTable[[B2]:[B2]],$K63,BetTable[[Date]:[Date]], "&gt;="&amp;S$5,BetTable[[Date]:[Date]],"&lt;="&amp;EOMONTH(S$5,0))+SUMIFS(BetTable[[AR_per_bookie]:[AR_per_bookie]],BetTable[[B3]:[B3]],$K63,BetTable[[Date]:[Date]], "&gt;="&amp;S$5,BetTable[[Date]:[Date]],"&lt;="&amp;EOMONTH(S$5,0))</f>
        <v>0</v>
      </c>
      <c r="T63" s="186">
        <f>SUMIFS(DWbonus[[Sum]:[Sum]],DWbonus[[Dato]:[Dato]], "&gt;="&amp;T$5,DWbonus[[Dato]:[Dato]],"&lt;="&amp;EOMONTH(T$5,0),DWbonus[[Bookie]:[Bookie]],$K63)+SUMIFS(LayTable[[Faktisk res]:[Faktisk res]],LayTable[[Dato]:[Dato]],"&gt;="&amp;T$5,LayTable[[Dato]:[Dato]],"&lt;="&amp;EOMONTH(T$5,0),LayTable[[Bookmaker]:[Bookmaker]],$K63)+SUMIFS(BetTable[[AR_per_bookie]:[AR_per_bookie]],BetTable[[B1]:[B1]],$K63,BetTable[[Date]:[Date]], "&gt;="&amp;T$5,BetTable[[Date]:[Date]],"&lt;="&amp;EOMONTH(T$5,0))+SUMIFS(BetTable[[AR_per_bookie]:[AR_per_bookie]],BetTable[[B2]:[B2]],$K63,BetTable[[Date]:[Date]], "&gt;="&amp;T$5,BetTable[[Date]:[Date]],"&lt;="&amp;EOMONTH(T$5,0))+SUMIFS(BetTable[[AR_per_bookie]:[AR_per_bookie]],BetTable[[B3]:[B3]],$K63,BetTable[[Date]:[Date]], "&gt;="&amp;T$5,BetTable[[Date]:[Date]],"&lt;="&amp;EOMONTH(T$5,0))</f>
        <v>0</v>
      </c>
      <c r="U63" s="186">
        <f>SUMIFS(DWbonus[[Sum]:[Sum]],DWbonus[[Dato]:[Dato]], "&gt;="&amp;U$5,DWbonus[[Dato]:[Dato]],"&lt;="&amp;EOMONTH(U$5,0),DWbonus[[Bookie]:[Bookie]],$K63)+SUMIFS(LayTable[[Faktisk res]:[Faktisk res]],LayTable[[Dato]:[Dato]],"&gt;="&amp;U$5,LayTable[[Dato]:[Dato]],"&lt;="&amp;EOMONTH(U$5,0),LayTable[[Bookmaker]:[Bookmaker]],$K63)+SUMIFS(BetTable[[AR_per_bookie]:[AR_per_bookie]],BetTable[[B1]:[B1]],$K63,BetTable[[Date]:[Date]], "&gt;="&amp;U$5,BetTable[[Date]:[Date]],"&lt;="&amp;EOMONTH(U$5,0))+SUMIFS(BetTable[[AR_per_bookie]:[AR_per_bookie]],BetTable[[B2]:[B2]],$K63,BetTable[[Date]:[Date]], "&gt;="&amp;U$5,BetTable[[Date]:[Date]],"&lt;="&amp;EOMONTH(U$5,0))+SUMIFS(BetTable[[AR_per_bookie]:[AR_per_bookie]],BetTable[[B3]:[B3]],$K63,BetTable[[Date]:[Date]], "&gt;="&amp;U$5,BetTable[[Date]:[Date]],"&lt;="&amp;EOMONTH(U$5,0))</f>
        <v>0</v>
      </c>
      <c r="V63" s="186">
        <f>SUMIFS(DWbonus[[Sum]:[Sum]],DWbonus[[Dato]:[Dato]], "&gt;="&amp;V$5,DWbonus[[Dato]:[Dato]],"&lt;="&amp;EOMONTH(V$5,0),DWbonus[[Bookie]:[Bookie]],$K63)+SUMIFS(LayTable[[Faktisk res]:[Faktisk res]],LayTable[[Dato]:[Dato]],"&gt;="&amp;V$5,LayTable[[Dato]:[Dato]],"&lt;="&amp;EOMONTH(V$5,0),LayTable[[Bookmaker]:[Bookmaker]],$K63)+SUMIFS(BetTable[[AR_per_bookie]:[AR_per_bookie]],BetTable[[B1]:[B1]],$K63,BetTable[[Date]:[Date]], "&gt;="&amp;V$5,BetTable[[Date]:[Date]],"&lt;="&amp;EOMONTH(V$5,0))+SUMIFS(BetTable[[AR_per_bookie]:[AR_per_bookie]],BetTable[[B2]:[B2]],$K63,BetTable[[Date]:[Date]], "&gt;="&amp;V$5,BetTable[[Date]:[Date]],"&lt;="&amp;EOMONTH(V$5,0))+SUMIFS(BetTable[[AR_per_bookie]:[AR_per_bookie]],BetTable[[B3]:[B3]],$K63,BetTable[[Date]:[Date]], "&gt;="&amp;V$5,BetTable[[Date]:[Date]],"&lt;="&amp;EOMONTH(V$5,0))</f>
        <v>0</v>
      </c>
      <c r="W63" s="186">
        <f>SUMIFS(DWbonus[[Sum]:[Sum]],DWbonus[[Dato]:[Dato]], "&gt;="&amp;W$5,DWbonus[[Dato]:[Dato]],"&lt;="&amp;EOMONTH(W$5,0),DWbonus[[Bookie]:[Bookie]],$K63)+SUMIFS(LayTable[[Faktisk res]:[Faktisk res]],LayTable[[Dato]:[Dato]],"&gt;="&amp;W$5,LayTable[[Dato]:[Dato]],"&lt;="&amp;EOMONTH(W$5,0),LayTable[[Bookmaker]:[Bookmaker]],$K63)+SUMIFS(BetTable[[AR_per_bookie]:[AR_per_bookie]],BetTable[[B1]:[B1]],$K63,BetTable[[Date]:[Date]], "&gt;="&amp;W$5,BetTable[[Date]:[Date]],"&lt;="&amp;EOMONTH(W$5,0))+SUMIFS(BetTable[[AR_per_bookie]:[AR_per_bookie]],BetTable[[B2]:[B2]],$K63,BetTable[[Date]:[Date]], "&gt;="&amp;W$5,BetTable[[Date]:[Date]],"&lt;="&amp;EOMONTH(W$5,0))+SUMIFS(BetTable[[AR_per_bookie]:[AR_per_bookie]],BetTable[[B3]:[B3]],$K63,BetTable[[Date]:[Date]], "&gt;="&amp;W$5,BetTable[[Date]:[Date]],"&lt;="&amp;EOMONTH(W$5,0))</f>
        <v>0</v>
      </c>
    </row>
    <row r="64" spans="1:23">
      <c r="K64" s="174" t="str">
        <f t="array" ref="K64">IFERROR(INDEX(BookieNavn!H$2:H$1251,SMALL(IF(EXACT(LEFT(BookieNavn!H$2:H$1251,2),M$3),ROW(BookieNavn!H$2:H$1251)-ROW(BookieNavn!H$2)+1),ROWS(BookieNavn!H$2:'BookieNavn'!H59))),"")</f>
        <v/>
      </c>
      <c r="L64" s="186">
        <f>SUMIFS(DWbonus[[Sum]:[Sum]],DWbonus[[Dato]:[Dato]], "&gt;="&amp;L$5,DWbonus[[Dato]:[Dato]],"&lt;="&amp;EOMONTH(L$5,0),DWbonus[[Bookie]:[Bookie]],$K64)+SUMIFS(LayTable[[Faktisk res]:[Faktisk res]],LayTable[[Dato]:[Dato]],"&gt;="&amp;L$5,LayTable[[Dato]:[Dato]],"&lt;="&amp;EOMONTH(L$5,0),LayTable[[Bookmaker]:[Bookmaker]],$K64)+SUMIFS(BetTable[[AR_per_bookie]:[AR_per_bookie]],BetTable[[B1]:[B1]],$K64,BetTable[[Date]:[Date]], "&gt;="&amp;L$5,BetTable[[Date]:[Date]],"&lt;="&amp;EOMONTH(L$5,0))+SUMIFS(BetTable[[AR_per_bookie]:[AR_per_bookie]],BetTable[[B2]:[B2]],$K64,BetTable[[Date]:[Date]], "&gt;="&amp;L$5,BetTable[[Date]:[Date]],"&lt;="&amp;EOMONTH(L$5,0))+SUMIFS(BetTable[[AR_per_bookie]:[AR_per_bookie]],BetTable[[B3]:[B3]],$K64,BetTable[[Date]:[Date]], "&gt;="&amp;L$5,BetTable[[Date]:[Date]],"&lt;="&amp;EOMONTH(L$5,0))</f>
        <v>0</v>
      </c>
      <c r="M64" s="186">
        <f>SUMIFS(DWbonus[[Sum]:[Sum]],DWbonus[[Dato]:[Dato]], "&gt;="&amp;M$5,DWbonus[[Dato]:[Dato]],"&lt;="&amp;EOMONTH(M$5,0),DWbonus[[Bookie]:[Bookie]],$K64)+SUMIFS(LayTable[[Faktisk res]:[Faktisk res]],LayTable[[Dato]:[Dato]],"&gt;="&amp;M$5,LayTable[[Dato]:[Dato]],"&lt;="&amp;EOMONTH(M$5,0),LayTable[[Bookmaker]:[Bookmaker]],$K64)+SUMIFS(BetTable[[AR_per_bookie]:[AR_per_bookie]],BetTable[[B1]:[B1]],$K64,BetTable[[Date]:[Date]], "&gt;="&amp;M$5,BetTable[[Date]:[Date]],"&lt;="&amp;EOMONTH(M$5,0))+SUMIFS(BetTable[[AR_per_bookie]:[AR_per_bookie]],BetTable[[B2]:[B2]],$K64,BetTable[[Date]:[Date]], "&gt;="&amp;M$5,BetTable[[Date]:[Date]],"&lt;="&amp;EOMONTH(M$5,0))+SUMIFS(BetTable[[AR_per_bookie]:[AR_per_bookie]],BetTable[[B3]:[B3]],$K64,BetTable[[Date]:[Date]], "&gt;="&amp;M$5,BetTable[[Date]:[Date]],"&lt;="&amp;EOMONTH(M$5,0))</f>
        <v>0</v>
      </c>
      <c r="N64" s="186">
        <f>SUMIFS(DWbonus[[Sum]:[Sum]],DWbonus[[Dato]:[Dato]], "&gt;="&amp;N$5,DWbonus[[Dato]:[Dato]],"&lt;="&amp;EOMONTH(N$5,0),DWbonus[[Bookie]:[Bookie]],$K64)+SUMIFS(LayTable[[Faktisk res]:[Faktisk res]],LayTable[[Dato]:[Dato]],"&gt;="&amp;N$5,LayTable[[Dato]:[Dato]],"&lt;="&amp;EOMONTH(N$5,0),LayTable[[Bookmaker]:[Bookmaker]],$K64)+SUMIFS(BetTable[[AR_per_bookie]:[AR_per_bookie]],BetTable[[B1]:[B1]],$K64,BetTable[[Date]:[Date]], "&gt;="&amp;N$5,BetTable[[Date]:[Date]],"&lt;="&amp;EOMONTH(N$5,0))+SUMIFS(BetTable[[AR_per_bookie]:[AR_per_bookie]],BetTable[[B2]:[B2]],$K64,BetTable[[Date]:[Date]], "&gt;="&amp;N$5,BetTable[[Date]:[Date]],"&lt;="&amp;EOMONTH(N$5,0))+SUMIFS(BetTable[[AR_per_bookie]:[AR_per_bookie]],BetTable[[B3]:[B3]],$K64,BetTable[[Date]:[Date]], "&gt;="&amp;N$5,BetTable[[Date]:[Date]],"&lt;="&amp;EOMONTH(N$5,0))</f>
        <v>0</v>
      </c>
      <c r="O64" s="186">
        <f>SUMIFS(DWbonus[[Sum]:[Sum]],DWbonus[[Dato]:[Dato]], "&gt;="&amp;O$5,DWbonus[[Dato]:[Dato]],"&lt;="&amp;EOMONTH(O$5,0),DWbonus[[Bookie]:[Bookie]],$K64)+SUMIFS(LayTable[[Faktisk res]:[Faktisk res]],LayTable[[Dato]:[Dato]],"&gt;="&amp;O$5,LayTable[[Dato]:[Dato]],"&lt;="&amp;EOMONTH(O$5,0),LayTable[[Bookmaker]:[Bookmaker]],$K64)+SUMIFS(BetTable[[AR_per_bookie]:[AR_per_bookie]],BetTable[[B1]:[B1]],$K64,BetTable[[Date]:[Date]], "&gt;="&amp;O$5,BetTable[[Date]:[Date]],"&lt;="&amp;EOMONTH(O$5,0))+SUMIFS(BetTable[[AR_per_bookie]:[AR_per_bookie]],BetTable[[B2]:[B2]],$K64,BetTable[[Date]:[Date]], "&gt;="&amp;O$5,BetTable[[Date]:[Date]],"&lt;="&amp;EOMONTH(O$5,0))+SUMIFS(BetTable[[AR_per_bookie]:[AR_per_bookie]],BetTable[[B3]:[B3]],$K64,BetTable[[Date]:[Date]], "&gt;="&amp;O$5,BetTable[[Date]:[Date]],"&lt;="&amp;EOMONTH(O$5,0))</f>
        <v>0</v>
      </c>
      <c r="P64" s="186">
        <f>SUMIFS(DWbonus[[Sum]:[Sum]],DWbonus[[Dato]:[Dato]], "&gt;="&amp;P$5,DWbonus[[Dato]:[Dato]],"&lt;="&amp;EOMONTH(P$5,0),DWbonus[[Bookie]:[Bookie]],$K64)+SUMIFS(LayTable[[Faktisk res]:[Faktisk res]],LayTable[[Dato]:[Dato]],"&gt;="&amp;P$5,LayTable[[Dato]:[Dato]],"&lt;="&amp;EOMONTH(P$5,0),LayTable[[Bookmaker]:[Bookmaker]],$K64)+SUMIFS(BetTable[[AR_per_bookie]:[AR_per_bookie]],BetTable[[B1]:[B1]],$K64,BetTable[[Date]:[Date]], "&gt;="&amp;P$5,BetTable[[Date]:[Date]],"&lt;="&amp;EOMONTH(P$5,0))+SUMIFS(BetTable[[AR_per_bookie]:[AR_per_bookie]],BetTable[[B2]:[B2]],$K64,BetTable[[Date]:[Date]], "&gt;="&amp;P$5,BetTable[[Date]:[Date]],"&lt;="&amp;EOMONTH(P$5,0))+SUMIFS(BetTable[[AR_per_bookie]:[AR_per_bookie]],BetTable[[B3]:[B3]],$K64,BetTable[[Date]:[Date]], "&gt;="&amp;P$5,BetTable[[Date]:[Date]],"&lt;="&amp;EOMONTH(P$5,0))</f>
        <v>0</v>
      </c>
      <c r="Q64" s="186">
        <f>SUMIFS(DWbonus[[Sum]:[Sum]],DWbonus[[Dato]:[Dato]], "&gt;="&amp;Q$5,DWbonus[[Dato]:[Dato]],"&lt;="&amp;EOMONTH(Q$5,0),DWbonus[[Bookie]:[Bookie]],$K64)+SUMIFS(LayTable[[Faktisk res]:[Faktisk res]],LayTable[[Dato]:[Dato]],"&gt;="&amp;Q$5,LayTable[[Dato]:[Dato]],"&lt;="&amp;EOMONTH(Q$5,0),LayTable[[Bookmaker]:[Bookmaker]],$K64)+SUMIFS(BetTable[[AR_per_bookie]:[AR_per_bookie]],BetTable[[B1]:[B1]],$K64,BetTable[[Date]:[Date]], "&gt;="&amp;Q$5,BetTable[[Date]:[Date]],"&lt;="&amp;EOMONTH(Q$5,0))+SUMIFS(BetTable[[AR_per_bookie]:[AR_per_bookie]],BetTable[[B2]:[B2]],$K64,BetTable[[Date]:[Date]], "&gt;="&amp;Q$5,BetTable[[Date]:[Date]],"&lt;="&amp;EOMONTH(Q$5,0))+SUMIFS(BetTable[[AR_per_bookie]:[AR_per_bookie]],BetTable[[B3]:[B3]],$K64,BetTable[[Date]:[Date]], "&gt;="&amp;Q$5,BetTable[[Date]:[Date]],"&lt;="&amp;EOMONTH(Q$5,0))</f>
        <v>0</v>
      </c>
      <c r="R64" s="186">
        <f>SUMIFS(DWbonus[[Sum]:[Sum]],DWbonus[[Dato]:[Dato]], "&gt;="&amp;R$5,DWbonus[[Dato]:[Dato]],"&lt;="&amp;EOMONTH(R$5,0),DWbonus[[Bookie]:[Bookie]],$K64)+SUMIFS(LayTable[[Faktisk res]:[Faktisk res]],LayTable[[Dato]:[Dato]],"&gt;="&amp;R$5,LayTable[[Dato]:[Dato]],"&lt;="&amp;EOMONTH(R$5,0),LayTable[[Bookmaker]:[Bookmaker]],$K64)+SUMIFS(BetTable[[AR_per_bookie]:[AR_per_bookie]],BetTable[[B1]:[B1]],$K64,BetTable[[Date]:[Date]], "&gt;="&amp;R$5,BetTable[[Date]:[Date]],"&lt;="&amp;EOMONTH(R$5,0))+SUMIFS(BetTable[[AR_per_bookie]:[AR_per_bookie]],BetTable[[B2]:[B2]],$K64,BetTable[[Date]:[Date]], "&gt;="&amp;R$5,BetTable[[Date]:[Date]],"&lt;="&amp;EOMONTH(R$5,0))+SUMIFS(BetTable[[AR_per_bookie]:[AR_per_bookie]],BetTable[[B3]:[B3]],$K64,BetTable[[Date]:[Date]], "&gt;="&amp;R$5,BetTable[[Date]:[Date]],"&lt;="&amp;EOMONTH(R$5,0))</f>
        <v>0</v>
      </c>
      <c r="S64" s="186">
        <f>SUMIFS(DWbonus[[Sum]:[Sum]],DWbonus[[Dato]:[Dato]], "&gt;="&amp;S$5,DWbonus[[Dato]:[Dato]],"&lt;="&amp;EOMONTH(S$5,0),DWbonus[[Bookie]:[Bookie]],$K64)+SUMIFS(LayTable[[Faktisk res]:[Faktisk res]],LayTable[[Dato]:[Dato]],"&gt;="&amp;S$5,LayTable[[Dato]:[Dato]],"&lt;="&amp;EOMONTH(S$5,0),LayTable[[Bookmaker]:[Bookmaker]],$K64)+SUMIFS(BetTable[[AR_per_bookie]:[AR_per_bookie]],BetTable[[B1]:[B1]],$K64,BetTable[[Date]:[Date]], "&gt;="&amp;S$5,BetTable[[Date]:[Date]],"&lt;="&amp;EOMONTH(S$5,0))+SUMIFS(BetTable[[AR_per_bookie]:[AR_per_bookie]],BetTable[[B2]:[B2]],$K64,BetTable[[Date]:[Date]], "&gt;="&amp;S$5,BetTable[[Date]:[Date]],"&lt;="&amp;EOMONTH(S$5,0))+SUMIFS(BetTable[[AR_per_bookie]:[AR_per_bookie]],BetTable[[B3]:[B3]],$K64,BetTable[[Date]:[Date]], "&gt;="&amp;S$5,BetTable[[Date]:[Date]],"&lt;="&amp;EOMONTH(S$5,0))</f>
        <v>0</v>
      </c>
      <c r="T64" s="186">
        <f>SUMIFS(DWbonus[[Sum]:[Sum]],DWbonus[[Dato]:[Dato]], "&gt;="&amp;T$5,DWbonus[[Dato]:[Dato]],"&lt;="&amp;EOMONTH(T$5,0),DWbonus[[Bookie]:[Bookie]],$K64)+SUMIFS(LayTable[[Faktisk res]:[Faktisk res]],LayTable[[Dato]:[Dato]],"&gt;="&amp;T$5,LayTable[[Dato]:[Dato]],"&lt;="&amp;EOMONTH(T$5,0),LayTable[[Bookmaker]:[Bookmaker]],$K64)+SUMIFS(BetTable[[AR_per_bookie]:[AR_per_bookie]],BetTable[[B1]:[B1]],$K64,BetTable[[Date]:[Date]], "&gt;="&amp;T$5,BetTable[[Date]:[Date]],"&lt;="&amp;EOMONTH(T$5,0))+SUMIFS(BetTable[[AR_per_bookie]:[AR_per_bookie]],BetTable[[B2]:[B2]],$K64,BetTable[[Date]:[Date]], "&gt;="&amp;T$5,BetTable[[Date]:[Date]],"&lt;="&amp;EOMONTH(T$5,0))+SUMIFS(BetTable[[AR_per_bookie]:[AR_per_bookie]],BetTable[[B3]:[B3]],$K64,BetTable[[Date]:[Date]], "&gt;="&amp;T$5,BetTable[[Date]:[Date]],"&lt;="&amp;EOMONTH(T$5,0))</f>
        <v>0</v>
      </c>
      <c r="U64" s="186">
        <f>SUMIFS(DWbonus[[Sum]:[Sum]],DWbonus[[Dato]:[Dato]], "&gt;="&amp;U$5,DWbonus[[Dato]:[Dato]],"&lt;="&amp;EOMONTH(U$5,0),DWbonus[[Bookie]:[Bookie]],$K64)+SUMIFS(LayTable[[Faktisk res]:[Faktisk res]],LayTable[[Dato]:[Dato]],"&gt;="&amp;U$5,LayTable[[Dato]:[Dato]],"&lt;="&amp;EOMONTH(U$5,0),LayTable[[Bookmaker]:[Bookmaker]],$K64)+SUMIFS(BetTable[[AR_per_bookie]:[AR_per_bookie]],BetTable[[B1]:[B1]],$K64,BetTable[[Date]:[Date]], "&gt;="&amp;U$5,BetTable[[Date]:[Date]],"&lt;="&amp;EOMONTH(U$5,0))+SUMIFS(BetTable[[AR_per_bookie]:[AR_per_bookie]],BetTable[[B2]:[B2]],$K64,BetTable[[Date]:[Date]], "&gt;="&amp;U$5,BetTable[[Date]:[Date]],"&lt;="&amp;EOMONTH(U$5,0))+SUMIFS(BetTable[[AR_per_bookie]:[AR_per_bookie]],BetTable[[B3]:[B3]],$K64,BetTable[[Date]:[Date]], "&gt;="&amp;U$5,BetTable[[Date]:[Date]],"&lt;="&amp;EOMONTH(U$5,0))</f>
        <v>0</v>
      </c>
      <c r="V64" s="186">
        <f>SUMIFS(DWbonus[[Sum]:[Sum]],DWbonus[[Dato]:[Dato]], "&gt;="&amp;V$5,DWbonus[[Dato]:[Dato]],"&lt;="&amp;EOMONTH(V$5,0),DWbonus[[Bookie]:[Bookie]],$K64)+SUMIFS(LayTable[[Faktisk res]:[Faktisk res]],LayTable[[Dato]:[Dato]],"&gt;="&amp;V$5,LayTable[[Dato]:[Dato]],"&lt;="&amp;EOMONTH(V$5,0),LayTable[[Bookmaker]:[Bookmaker]],$K64)+SUMIFS(BetTable[[AR_per_bookie]:[AR_per_bookie]],BetTable[[B1]:[B1]],$K64,BetTable[[Date]:[Date]], "&gt;="&amp;V$5,BetTable[[Date]:[Date]],"&lt;="&amp;EOMONTH(V$5,0))+SUMIFS(BetTable[[AR_per_bookie]:[AR_per_bookie]],BetTable[[B2]:[B2]],$K64,BetTable[[Date]:[Date]], "&gt;="&amp;V$5,BetTable[[Date]:[Date]],"&lt;="&amp;EOMONTH(V$5,0))+SUMIFS(BetTable[[AR_per_bookie]:[AR_per_bookie]],BetTable[[B3]:[B3]],$K64,BetTable[[Date]:[Date]], "&gt;="&amp;V$5,BetTable[[Date]:[Date]],"&lt;="&amp;EOMONTH(V$5,0))</f>
        <v>0</v>
      </c>
      <c r="W64" s="186">
        <f>SUMIFS(DWbonus[[Sum]:[Sum]],DWbonus[[Dato]:[Dato]], "&gt;="&amp;W$5,DWbonus[[Dato]:[Dato]],"&lt;="&amp;EOMONTH(W$5,0),DWbonus[[Bookie]:[Bookie]],$K64)+SUMIFS(LayTable[[Faktisk res]:[Faktisk res]],LayTable[[Dato]:[Dato]],"&gt;="&amp;W$5,LayTable[[Dato]:[Dato]],"&lt;="&amp;EOMONTH(W$5,0),LayTable[[Bookmaker]:[Bookmaker]],$K64)+SUMIFS(BetTable[[AR_per_bookie]:[AR_per_bookie]],BetTable[[B1]:[B1]],$K64,BetTable[[Date]:[Date]], "&gt;="&amp;W$5,BetTable[[Date]:[Date]],"&lt;="&amp;EOMONTH(W$5,0))+SUMIFS(BetTable[[AR_per_bookie]:[AR_per_bookie]],BetTable[[B2]:[B2]],$K64,BetTable[[Date]:[Date]], "&gt;="&amp;W$5,BetTable[[Date]:[Date]],"&lt;="&amp;EOMONTH(W$5,0))+SUMIFS(BetTable[[AR_per_bookie]:[AR_per_bookie]],BetTable[[B3]:[B3]],$K64,BetTable[[Date]:[Date]], "&gt;="&amp;W$5,BetTable[[Date]:[Date]],"&lt;="&amp;EOMONTH(W$5,0))</f>
        <v>0</v>
      </c>
    </row>
    <row r="65" spans="11:23">
      <c r="K65" s="174" t="str">
        <f t="array" ref="K65">IFERROR(INDEX(BookieNavn!H$2:H$1251,SMALL(IF(EXACT(LEFT(BookieNavn!H$2:H$1251,2),M$3),ROW(BookieNavn!H$2:H$1251)-ROW(BookieNavn!H$2)+1),ROWS(BookieNavn!H$2:'BookieNavn'!H60))),"")</f>
        <v/>
      </c>
      <c r="L65" s="186">
        <f>SUMIFS(DWbonus[[Sum]:[Sum]],DWbonus[[Dato]:[Dato]], "&gt;="&amp;L$5,DWbonus[[Dato]:[Dato]],"&lt;="&amp;EOMONTH(L$5,0),DWbonus[[Bookie]:[Bookie]],$K65)+SUMIFS(LayTable[[Faktisk res]:[Faktisk res]],LayTable[[Dato]:[Dato]],"&gt;="&amp;L$5,LayTable[[Dato]:[Dato]],"&lt;="&amp;EOMONTH(L$5,0),LayTable[[Bookmaker]:[Bookmaker]],$K65)+SUMIFS(BetTable[[AR_per_bookie]:[AR_per_bookie]],BetTable[[B1]:[B1]],$K65,BetTable[[Date]:[Date]], "&gt;="&amp;L$5,BetTable[[Date]:[Date]],"&lt;="&amp;EOMONTH(L$5,0))+SUMIFS(BetTable[[AR_per_bookie]:[AR_per_bookie]],BetTable[[B2]:[B2]],$K65,BetTable[[Date]:[Date]], "&gt;="&amp;L$5,BetTable[[Date]:[Date]],"&lt;="&amp;EOMONTH(L$5,0))+SUMIFS(BetTable[[AR_per_bookie]:[AR_per_bookie]],BetTable[[B3]:[B3]],$K65,BetTable[[Date]:[Date]], "&gt;="&amp;L$5,BetTable[[Date]:[Date]],"&lt;="&amp;EOMONTH(L$5,0))</f>
        <v>0</v>
      </c>
      <c r="M65" s="186">
        <f>SUMIFS(DWbonus[[Sum]:[Sum]],DWbonus[[Dato]:[Dato]], "&gt;="&amp;M$5,DWbonus[[Dato]:[Dato]],"&lt;="&amp;EOMONTH(M$5,0),DWbonus[[Bookie]:[Bookie]],$K65)+SUMIFS(LayTable[[Faktisk res]:[Faktisk res]],LayTable[[Dato]:[Dato]],"&gt;="&amp;M$5,LayTable[[Dato]:[Dato]],"&lt;="&amp;EOMONTH(M$5,0),LayTable[[Bookmaker]:[Bookmaker]],$K65)+SUMIFS(BetTable[[AR_per_bookie]:[AR_per_bookie]],BetTable[[B1]:[B1]],$K65,BetTable[[Date]:[Date]], "&gt;="&amp;M$5,BetTable[[Date]:[Date]],"&lt;="&amp;EOMONTH(M$5,0))+SUMIFS(BetTable[[AR_per_bookie]:[AR_per_bookie]],BetTable[[B2]:[B2]],$K65,BetTable[[Date]:[Date]], "&gt;="&amp;M$5,BetTable[[Date]:[Date]],"&lt;="&amp;EOMONTH(M$5,0))+SUMIFS(BetTable[[AR_per_bookie]:[AR_per_bookie]],BetTable[[B3]:[B3]],$K65,BetTable[[Date]:[Date]], "&gt;="&amp;M$5,BetTable[[Date]:[Date]],"&lt;="&amp;EOMONTH(M$5,0))</f>
        <v>0</v>
      </c>
      <c r="N65" s="186">
        <f>SUMIFS(DWbonus[[Sum]:[Sum]],DWbonus[[Dato]:[Dato]], "&gt;="&amp;N$5,DWbonus[[Dato]:[Dato]],"&lt;="&amp;EOMONTH(N$5,0),DWbonus[[Bookie]:[Bookie]],$K65)+SUMIFS(LayTable[[Faktisk res]:[Faktisk res]],LayTable[[Dato]:[Dato]],"&gt;="&amp;N$5,LayTable[[Dato]:[Dato]],"&lt;="&amp;EOMONTH(N$5,0),LayTable[[Bookmaker]:[Bookmaker]],$K65)+SUMIFS(BetTable[[AR_per_bookie]:[AR_per_bookie]],BetTable[[B1]:[B1]],$K65,BetTable[[Date]:[Date]], "&gt;="&amp;N$5,BetTable[[Date]:[Date]],"&lt;="&amp;EOMONTH(N$5,0))+SUMIFS(BetTable[[AR_per_bookie]:[AR_per_bookie]],BetTable[[B2]:[B2]],$K65,BetTable[[Date]:[Date]], "&gt;="&amp;N$5,BetTable[[Date]:[Date]],"&lt;="&amp;EOMONTH(N$5,0))+SUMIFS(BetTable[[AR_per_bookie]:[AR_per_bookie]],BetTable[[B3]:[B3]],$K65,BetTable[[Date]:[Date]], "&gt;="&amp;N$5,BetTable[[Date]:[Date]],"&lt;="&amp;EOMONTH(N$5,0))</f>
        <v>0</v>
      </c>
      <c r="O65" s="186">
        <f>SUMIFS(DWbonus[[Sum]:[Sum]],DWbonus[[Dato]:[Dato]], "&gt;="&amp;O$5,DWbonus[[Dato]:[Dato]],"&lt;="&amp;EOMONTH(O$5,0),DWbonus[[Bookie]:[Bookie]],$K65)+SUMIFS(LayTable[[Faktisk res]:[Faktisk res]],LayTable[[Dato]:[Dato]],"&gt;="&amp;O$5,LayTable[[Dato]:[Dato]],"&lt;="&amp;EOMONTH(O$5,0),LayTable[[Bookmaker]:[Bookmaker]],$K65)+SUMIFS(BetTable[[AR_per_bookie]:[AR_per_bookie]],BetTable[[B1]:[B1]],$K65,BetTable[[Date]:[Date]], "&gt;="&amp;O$5,BetTable[[Date]:[Date]],"&lt;="&amp;EOMONTH(O$5,0))+SUMIFS(BetTable[[AR_per_bookie]:[AR_per_bookie]],BetTable[[B2]:[B2]],$K65,BetTable[[Date]:[Date]], "&gt;="&amp;O$5,BetTable[[Date]:[Date]],"&lt;="&amp;EOMONTH(O$5,0))+SUMIFS(BetTable[[AR_per_bookie]:[AR_per_bookie]],BetTable[[B3]:[B3]],$K65,BetTable[[Date]:[Date]], "&gt;="&amp;O$5,BetTable[[Date]:[Date]],"&lt;="&amp;EOMONTH(O$5,0))</f>
        <v>0</v>
      </c>
      <c r="P65" s="186">
        <f>SUMIFS(DWbonus[[Sum]:[Sum]],DWbonus[[Dato]:[Dato]], "&gt;="&amp;P$5,DWbonus[[Dato]:[Dato]],"&lt;="&amp;EOMONTH(P$5,0),DWbonus[[Bookie]:[Bookie]],$K65)+SUMIFS(LayTable[[Faktisk res]:[Faktisk res]],LayTable[[Dato]:[Dato]],"&gt;="&amp;P$5,LayTable[[Dato]:[Dato]],"&lt;="&amp;EOMONTH(P$5,0),LayTable[[Bookmaker]:[Bookmaker]],$K65)+SUMIFS(BetTable[[AR_per_bookie]:[AR_per_bookie]],BetTable[[B1]:[B1]],$K65,BetTable[[Date]:[Date]], "&gt;="&amp;P$5,BetTable[[Date]:[Date]],"&lt;="&amp;EOMONTH(P$5,0))+SUMIFS(BetTable[[AR_per_bookie]:[AR_per_bookie]],BetTable[[B2]:[B2]],$K65,BetTable[[Date]:[Date]], "&gt;="&amp;P$5,BetTable[[Date]:[Date]],"&lt;="&amp;EOMONTH(P$5,0))+SUMIFS(BetTable[[AR_per_bookie]:[AR_per_bookie]],BetTable[[B3]:[B3]],$K65,BetTable[[Date]:[Date]], "&gt;="&amp;P$5,BetTable[[Date]:[Date]],"&lt;="&amp;EOMONTH(P$5,0))</f>
        <v>0</v>
      </c>
      <c r="Q65" s="186">
        <f>SUMIFS(DWbonus[[Sum]:[Sum]],DWbonus[[Dato]:[Dato]], "&gt;="&amp;Q$5,DWbonus[[Dato]:[Dato]],"&lt;="&amp;EOMONTH(Q$5,0),DWbonus[[Bookie]:[Bookie]],$K65)+SUMIFS(LayTable[[Faktisk res]:[Faktisk res]],LayTable[[Dato]:[Dato]],"&gt;="&amp;Q$5,LayTable[[Dato]:[Dato]],"&lt;="&amp;EOMONTH(Q$5,0),LayTable[[Bookmaker]:[Bookmaker]],$K65)+SUMIFS(BetTable[[AR_per_bookie]:[AR_per_bookie]],BetTable[[B1]:[B1]],$K65,BetTable[[Date]:[Date]], "&gt;="&amp;Q$5,BetTable[[Date]:[Date]],"&lt;="&amp;EOMONTH(Q$5,0))+SUMIFS(BetTable[[AR_per_bookie]:[AR_per_bookie]],BetTable[[B2]:[B2]],$K65,BetTable[[Date]:[Date]], "&gt;="&amp;Q$5,BetTable[[Date]:[Date]],"&lt;="&amp;EOMONTH(Q$5,0))+SUMIFS(BetTable[[AR_per_bookie]:[AR_per_bookie]],BetTable[[B3]:[B3]],$K65,BetTable[[Date]:[Date]], "&gt;="&amp;Q$5,BetTable[[Date]:[Date]],"&lt;="&amp;EOMONTH(Q$5,0))</f>
        <v>0</v>
      </c>
      <c r="R65" s="186">
        <f>SUMIFS(DWbonus[[Sum]:[Sum]],DWbonus[[Dato]:[Dato]], "&gt;="&amp;R$5,DWbonus[[Dato]:[Dato]],"&lt;="&amp;EOMONTH(R$5,0),DWbonus[[Bookie]:[Bookie]],$K65)+SUMIFS(LayTable[[Faktisk res]:[Faktisk res]],LayTable[[Dato]:[Dato]],"&gt;="&amp;R$5,LayTable[[Dato]:[Dato]],"&lt;="&amp;EOMONTH(R$5,0),LayTable[[Bookmaker]:[Bookmaker]],$K65)+SUMIFS(BetTable[[AR_per_bookie]:[AR_per_bookie]],BetTable[[B1]:[B1]],$K65,BetTable[[Date]:[Date]], "&gt;="&amp;R$5,BetTable[[Date]:[Date]],"&lt;="&amp;EOMONTH(R$5,0))+SUMIFS(BetTable[[AR_per_bookie]:[AR_per_bookie]],BetTable[[B2]:[B2]],$K65,BetTable[[Date]:[Date]], "&gt;="&amp;R$5,BetTable[[Date]:[Date]],"&lt;="&amp;EOMONTH(R$5,0))+SUMIFS(BetTable[[AR_per_bookie]:[AR_per_bookie]],BetTable[[B3]:[B3]],$K65,BetTable[[Date]:[Date]], "&gt;="&amp;R$5,BetTable[[Date]:[Date]],"&lt;="&amp;EOMONTH(R$5,0))</f>
        <v>0</v>
      </c>
      <c r="S65" s="186">
        <f>SUMIFS(DWbonus[[Sum]:[Sum]],DWbonus[[Dato]:[Dato]], "&gt;="&amp;S$5,DWbonus[[Dato]:[Dato]],"&lt;="&amp;EOMONTH(S$5,0),DWbonus[[Bookie]:[Bookie]],$K65)+SUMIFS(LayTable[[Faktisk res]:[Faktisk res]],LayTable[[Dato]:[Dato]],"&gt;="&amp;S$5,LayTable[[Dato]:[Dato]],"&lt;="&amp;EOMONTH(S$5,0),LayTable[[Bookmaker]:[Bookmaker]],$K65)+SUMIFS(BetTable[[AR_per_bookie]:[AR_per_bookie]],BetTable[[B1]:[B1]],$K65,BetTable[[Date]:[Date]], "&gt;="&amp;S$5,BetTable[[Date]:[Date]],"&lt;="&amp;EOMONTH(S$5,0))+SUMIFS(BetTable[[AR_per_bookie]:[AR_per_bookie]],BetTable[[B2]:[B2]],$K65,BetTable[[Date]:[Date]], "&gt;="&amp;S$5,BetTable[[Date]:[Date]],"&lt;="&amp;EOMONTH(S$5,0))+SUMIFS(BetTable[[AR_per_bookie]:[AR_per_bookie]],BetTable[[B3]:[B3]],$K65,BetTable[[Date]:[Date]], "&gt;="&amp;S$5,BetTable[[Date]:[Date]],"&lt;="&amp;EOMONTH(S$5,0))</f>
        <v>0</v>
      </c>
      <c r="T65" s="186">
        <f>SUMIFS(DWbonus[[Sum]:[Sum]],DWbonus[[Dato]:[Dato]], "&gt;="&amp;T$5,DWbonus[[Dato]:[Dato]],"&lt;="&amp;EOMONTH(T$5,0),DWbonus[[Bookie]:[Bookie]],$K65)+SUMIFS(LayTable[[Faktisk res]:[Faktisk res]],LayTable[[Dato]:[Dato]],"&gt;="&amp;T$5,LayTable[[Dato]:[Dato]],"&lt;="&amp;EOMONTH(T$5,0),LayTable[[Bookmaker]:[Bookmaker]],$K65)+SUMIFS(BetTable[[AR_per_bookie]:[AR_per_bookie]],BetTable[[B1]:[B1]],$K65,BetTable[[Date]:[Date]], "&gt;="&amp;T$5,BetTable[[Date]:[Date]],"&lt;="&amp;EOMONTH(T$5,0))+SUMIFS(BetTable[[AR_per_bookie]:[AR_per_bookie]],BetTable[[B2]:[B2]],$K65,BetTable[[Date]:[Date]], "&gt;="&amp;T$5,BetTable[[Date]:[Date]],"&lt;="&amp;EOMONTH(T$5,0))+SUMIFS(BetTable[[AR_per_bookie]:[AR_per_bookie]],BetTable[[B3]:[B3]],$K65,BetTable[[Date]:[Date]], "&gt;="&amp;T$5,BetTable[[Date]:[Date]],"&lt;="&amp;EOMONTH(T$5,0))</f>
        <v>0</v>
      </c>
      <c r="U65" s="186">
        <f>SUMIFS(DWbonus[[Sum]:[Sum]],DWbonus[[Dato]:[Dato]], "&gt;="&amp;U$5,DWbonus[[Dato]:[Dato]],"&lt;="&amp;EOMONTH(U$5,0),DWbonus[[Bookie]:[Bookie]],$K65)+SUMIFS(LayTable[[Faktisk res]:[Faktisk res]],LayTable[[Dato]:[Dato]],"&gt;="&amp;U$5,LayTable[[Dato]:[Dato]],"&lt;="&amp;EOMONTH(U$5,0),LayTable[[Bookmaker]:[Bookmaker]],$K65)+SUMIFS(BetTable[[AR_per_bookie]:[AR_per_bookie]],BetTable[[B1]:[B1]],$K65,BetTable[[Date]:[Date]], "&gt;="&amp;U$5,BetTable[[Date]:[Date]],"&lt;="&amp;EOMONTH(U$5,0))+SUMIFS(BetTable[[AR_per_bookie]:[AR_per_bookie]],BetTable[[B2]:[B2]],$K65,BetTable[[Date]:[Date]], "&gt;="&amp;U$5,BetTable[[Date]:[Date]],"&lt;="&amp;EOMONTH(U$5,0))+SUMIFS(BetTable[[AR_per_bookie]:[AR_per_bookie]],BetTable[[B3]:[B3]],$K65,BetTable[[Date]:[Date]], "&gt;="&amp;U$5,BetTable[[Date]:[Date]],"&lt;="&amp;EOMONTH(U$5,0))</f>
        <v>0</v>
      </c>
      <c r="V65" s="186">
        <f>SUMIFS(DWbonus[[Sum]:[Sum]],DWbonus[[Dato]:[Dato]], "&gt;="&amp;V$5,DWbonus[[Dato]:[Dato]],"&lt;="&amp;EOMONTH(V$5,0),DWbonus[[Bookie]:[Bookie]],$K65)+SUMIFS(LayTable[[Faktisk res]:[Faktisk res]],LayTable[[Dato]:[Dato]],"&gt;="&amp;V$5,LayTable[[Dato]:[Dato]],"&lt;="&amp;EOMONTH(V$5,0),LayTable[[Bookmaker]:[Bookmaker]],$K65)+SUMIFS(BetTable[[AR_per_bookie]:[AR_per_bookie]],BetTable[[B1]:[B1]],$K65,BetTable[[Date]:[Date]], "&gt;="&amp;V$5,BetTable[[Date]:[Date]],"&lt;="&amp;EOMONTH(V$5,0))+SUMIFS(BetTable[[AR_per_bookie]:[AR_per_bookie]],BetTable[[B2]:[B2]],$K65,BetTable[[Date]:[Date]], "&gt;="&amp;V$5,BetTable[[Date]:[Date]],"&lt;="&amp;EOMONTH(V$5,0))+SUMIFS(BetTable[[AR_per_bookie]:[AR_per_bookie]],BetTable[[B3]:[B3]],$K65,BetTable[[Date]:[Date]], "&gt;="&amp;V$5,BetTable[[Date]:[Date]],"&lt;="&amp;EOMONTH(V$5,0))</f>
        <v>0</v>
      </c>
      <c r="W65" s="186">
        <f>SUMIFS(DWbonus[[Sum]:[Sum]],DWbonus[[Dato]:[Dato]], "&gt;="&amp;W$5,DWbonus[[Dato]:[Dato]],"&lt;="&amp;EOMONTH(W$5,0),DWbonus[[Bookie]:[Bookie]],$K65)+SUMIFS(LayTable[[Faktisk res]:[Faktisk res]],LayTable[[Dato]:[Dato]],"&gt;="&amp;W$5,LayTable[[Dato]:[Dato]],"&lt;="&amp;EOMONTH(W$5,0),LayTable[[Bookmaker]:[Bookmaker]],$K65)+SUMIFS(BetTable[[AR_per_bookie]:[AR_per_bookie]],BetTable[[B1]:[B1]],$K65,BetTable[[Date]:[Date]], "&gt;="&amp;W$5,BetTable[[Date]:[Date]],"&lt;="&amp;EOMONTH(W$5,0))+SUMIFS(BetTable[[AR_per_bookie]:[AR_per_bookie]],BetTable[[B2]:[B2]],$K65,BetTable[[Date]:[Date]], "&gt;="&amp;W$5,BetTable[[Date]:[Date]],"&lt;="&amp;EOMONTH(W$5,0))+SUMIFS(BetTable[[AR_per_bookie]:[AR_per_bookie]],BetTable[[B3]:[B3]],$K65,BetTable[[Date]:[Date]], "&gt;="&amp;W$5,BetTable[[Date]:[Date]],"&lt;="&amp;EOMONTH(W$5,0))</f>
        <v>0</v>
      </c>
    </row>
    <row r="66" spans="11:23">
      <c r="K66" s="174" t="str">
        <f t="array" ref="K66">IFERROR(INDEX(BookieNavn!H$2:H$1251,SMALL(IF(EXACT(LEFT(BookieNavn!H$2:H$1251,2),M$3),ROW(BookieNavn!H$2:H$1251)-ROW(BookieNavn!H$2)+1),ROWS(BookieNavn!H$2:'BookieNavn'!H61))),"")</f>
        <v/>
      </c>
      <c r="L66" s="186">
        <f>SUMIFS(DWbonus[[Sum]:[Sum]],DWbonus[[Dato]:[Dato]], "&gt;="&amp;L$5,DWbonus[[Dato]:[Dato]],"&lt;="&amp;EOMONTH(L$5,0),DWbonus[[Bookie]:[Bookie]],$K66)+SUMIFS(LayTable[[Faktisk res]:[Faktisk res]],LayTable[[Dato]:[Dato]],"&gt;="&amp;L$5,LayTable[[Dato]:[Dato]],"&lt;="&amp;EOMONTH(L$5,0),LayTable[[Bookmaker]:[Bookmaker]],$K66)+SUMIFS(BetTable[[AR_per_bookie]:[AR_per_bookie]],BetTable[[B1]:[B1]],$K66,BetTable[[Date]:[Date]], "&gt;="&amp;L$5,BetTable[[Date]:[Date]],"&lt;="&amp;EOMONTH(L$5,0))+SUMIFS(BetTable[[AR_per_bookie]:[AR_per_bookie]],BetTable[[B2]:[B2]],$K66,BetTable[[Date]:[Date]], "&gt;="&amp;L$5,BetTable[[Date]:[Date]],"&lt;="&amp;EOMONTH(L$5,0))+SUMIFS(BetTable[[AR_per_bookie]:[AR_per_bookie]],BetTable[[B3]:[B3]],$K66,BetTable[[Date]:[Date]], "&gt;="&amp;L$5,BetTable[[Date]:[Date]],"&lt;="&amp;EOMONTH(L$5,0))</f>
        <v>0</v>
      </c>
      <c r="M66" s="186">
        <f>SUMIFS(DWbonus[[Sum]:[Sum]],DWbonus[[Dato]:[Dato]], "&gt;="&amp;M$5,DWbonus[[Dato]:[Dato]],"&lt;="&amp;EOMONTH(M$5,0),DWbonus[[Bookie]:[Bookie]],$K66)+SUMIFS(LayTable[[Faktisk res]:[Faktisk res]],LayTable[[Dato]:[Dato]],"&gt;="&amp;M$5,LayTable[[Dato]:[Dato]],"&lt;="&amp;EOMONTH(M$5,0),LayTable[[Bookmaker]:[Bookmaker]],$K66)+SUMIFS(BetTable[[AR_per_bookie]:[AR_per_bookie]],BetTable[[B1]:[B1]],$K66,BetTable[[Date]:[Date]], "&gt;="&amp;M$5,BetTable[[Date]:[Date]],"&lt;="&amp;EOMONTH(M$5,0))+SUMIFS(BetTable[[AR_per_bookie]:[AR_per_bookie]],BetTable[[B2]:[B2]],$K66,BetTable[[Date]:[Date]], "&gt;="&amp;M$5,BetTable[[Date]:[Date]],"&lt;="&amp;EOMONTH(M$5,0))+SUMIFS(BetTable[[AR_per_bookie]:[AR_per_bookie]],BetTable[[B3]:[B3]],$K66,BetTable[[Date]:[Date]], "&gt;="&amp;M$5,BetTable[[Date]:[Date]],"&lt;="&amp;EOMONTH(M$5,0))</f>
        <v>0</v>
      </c>
      <c r="N66" s="186">
        <f>SUMIFS(DWbonus[[Sum]:[Sum]],DWbonus[[Dato]:[Dato]], "&gt;="&amp;N$5,DWbonus[[Dato]:[Dato]],"&lt;="&amp;EOMONTH(N$5,0),DWbonus[[Bookie]:[Bookie]],$K66)+SUMIFS(LayTable[[Faktisk res]:[Faktisk res]],LayTable[[Dato]:[Dato]],"&gt;="&amp;N$5,LayTable[[Dato]:[Dato]],"&lt;="&amp;EOMONTH(N$5,0),LayTable[[Bookmaker]:[Bookmaker]],$K66)+SUMIFS(BetTable[[AR_per_bookie]:[AR_per_bookie]],BetTable[[B1]:[B1]],$K66,BetTable[[Date]:[Date]], "&gt;="&amp;N$5,BetTable[[Date]:[Date]],"&lt;="&amp;EOMONTH(N$5,0))+SUMIFS(BetTable[[AR_per_bookie]:[AR_per_bookie]],BetTable[[B2]:[B2]],$K66,BetTable[[Date]:[Date]], "&gt;="&amp;N$5,BetTable[[Date]:[Date]],"&lt;="&amp;EOMONTH(N$5,0))+SUMIFS(BetTable[[AR_per_bookie]:[AR_per_bookie]],BetTable[[B3]:[B3]],$K66,BetTable[[Date]:[Date]], "&gt;="&amp;N$5,BetTable[[Date]:[Date]],"&lt;="&amp;EOMONTH(N$5,0))</f>
        <v>0</v>
      </c>
      <c r="O66" s="186">
        <f>SUMIFS(DWbonus[[Sum]:[Sum]],DWbonus[[Dato]:[Dato]], "&gt;="&amp;O$5,DWbonus[[Dato]:[Dato]],"&lt;="&amp;EOMONTH(O$5,0),DWbonus[[Bookie]:[Bookie]],$K66)+SUMIFS(LayTable[[Faktisk res]:[Faktisk res]],LayTable[[Dato]:[Dato]],"&gt;="&amp;O$5,LayTable[[Dato]:[Dato]],"&lt;="&amp;EOMONTH(O$5,0),LayTable[[Bookmaker]:[Bookmaker]],$K66)+SUMIFS(BetTable[[AR_per_bookie]:[AR_per_bookie]],BetTable[[B1]:[B1]],$K66,BetTable[[Date]:[Date]], "&gt;="&amp;O$5,BetTable[[Date]:[Date]],"&lt;="&amp;EOMONTH(O$5,0))+SUMIFS(BetTable[[AR_per_bookie]:[AR_per_bookie]],BetTable[[B2]:[B2]],$K66,BetTable[[Date]:[Date]], "&gt;="&amp;O$5,BetTable[[Date]:[Date]],"&lt;="&amp;EOMONTH(O$5,0))+SUMIFS(BetTable[[AR_per_bookie]:[AR_per_bookie]],BetTable[[B3]:[B3]],$K66,BetTable[[Date]:[Date]], "&gt;="&amp;O$5,BetTable[[Date]:[Date]],"&lt;="&amp;EOMONTH(O$5,0))</f>
        <v>0</v>
      </c>
      <c r="P66" s="186">
        <f>SUMIFS(DWbonus[[Sum]:[Sum]],DWbonus[[Dato]:[Dato]], "&gt;="&amp;P$5,DWbonus[[Dato]:[Dato]],"&lt;="&amp;EOMONTH(P$5,0),DWbonus[[Bookie]:[Bookie]],$K66)+SUMIFS(LayTable[[Faktisk res]:[Faktisk res]],LayTable[[Dato]:[Dato]],"&gt;="&amp;P$5,LayTable[[Dato]:[Dato]],"&lt;="&amp;EOMONTH(P$5,0),LayTable[[Bookmaker]:[Bookmaker]],$K66)+SUMIFS(BetTable[[AR_per_bookie]:[AR_per_bookie]],BetTable[[B1]:[B1]],$K66,BetTable[[Date]:[Date]], "&gt;="&amp;P$5,BetTable[[Date]:[Date]],"&lt;="&amp;EOMONTH(P$5,0))+SUMIFS(BetTable[[AR_per_bookie]:[AR_per_bookie]],BetTable[[B2]:[B2]],$K66,BetTable[[Date]:[Date]], "&gt;="&amp;P$5,BetTable[[Date]:[Date]],"&lt;="&amp;EOMONTH(P$5,0))+SUMIFS(BetTable[[AR_per_bookie]:[AR_per_bookie]],BetTable[[B3]:[B3]],$K66,BetTable[[Date]:[Date]], "&gt;="&amp;P$5,BetTable[[Date]:[Date]],"&lt;="&amp;EOMONTH(P$5,0))</f>
        <v>0</v>
      </c>
      <c r="Q66" s="186">
        <f>SUMIFS(DWbonus[[Sum]:[Sum]],DWbonus[[Dato]:[Dato]], "&gt;="&amp;Q$5,DWbonus[[Dato]:[Dato]],"&lt;="&amp;EOMONTH(Q$5,0),DWbonus[[Bookie]:[Bookie]],$K66)+SUMIFS(LayTable[[Faktisk res]:[Faktisk res]],LayTable[[Dato]:[Dato]],"&gt;="&amp;Q$5,LayTable[[Dato]:[Dato]],"&lt;="&amp;EOMONTH(Q$5,0),LayTable[[Bookmaker]:[Bookmaker]],$K66)+SUMIFS(BetTable[[AR_per_bookie]:[AR_per_bookie]],BetTable[[B1]:[B1]],$K66,BetTable[[Date]:[Date]], "&gt;="&amp;Q$5,BetTable[[Date]:[Date]],"&lt;="&amp;EOMONTH(Q$5,0))+SUMIFS(BetTable[[AR_per_bookie]:[AR_per_bookie]],BetTable[[B2]:[B2]],$K66,BetTable[[Date]:[Date]], "&gt;="&amp;Q$5,BetTable[[Date]:[Date]],"&lt;="&amp;EOMONTH(Q$5,0))+SUMIFS(BetTable[[AR_per_bookie]:[AR_per_bookie]],BetTable[[B3]:[B3]],$K66,BetTable[[Date]:[Date]], "&gt;="&amp;Q$5,BetTable[[Date]:[Date]],"&lt;="&amp;EOMONTH(Q$5,0))</f>
        <v>0</v>
      </c>
      <c r="R66" s="186">
        <f>SUMIFS(DWbonus[[Sum]:[Sum]],DWbonus[[Dato]:[Dato]], "&gt;="&amp;R$5,DWbonus[[Dato]:[Dato]],"&lt;="&amp;EOMONTH(R$5,0),DWbonus[[Bookie]:[Bookie]],$K66)+SUMIFS(LayTable[[Faktisk res]:[Faktisk res]],LayTable[[Dato]:[Dato]],"&gt;="&amp;R$5,LayTable[[Dato]:[Dato]],"&lt;="&amp;EOMONTH(R$5,0),LayTable[[Bookmaker]:[Bookmaker]],$K66)+SUMIFS(BetTable[[AR_per_bookie]:[AR_per_bookie]],BetTable[[B1]:[B1]],$K66,BetTable[[Date]:[Date]], "&gt;="&amp;R$5,BetTable[[Date]:[Date]],"&lt;="&amp;EOMONTH(R$5,0))+SUMIFS(BetTable[[AR_per_bookie]:[AR_per_bookie]],BetTable[[B2]:[B2]],$K66,BetTable[[Date]:[Date]], "&gt;="&amp;R$5,BetTable[[Date]:[Date]],"&lt;="&amp;EOMONTH(R$5,0))+SUMIFS(BetTable[[AR_per_bookie]:[AR_per_bookie]],BetTable[[B3]:[B3]],$K66,BetTable[[Date]:[Date]], "&gt;="&amp;R$5,BetTable[[Date]:[Date]],"&lt;="&amp;EOMONTH(R$5,0))</f>
        <v>0</v>
      </c>
      <c r="S66" s="186">
        <f>SUMIFS(DWbonus[[Sum]:[Sum]],DWbonus[[Dato]:[Dato]], "&gt;="&amp;S$5,DWbonus[[Dato]:[Dato]],"&lt;="&amp;EOMONTH(S$5,0),DWbonus[[Bookie]:[Bookie]],$K66)+SUMIFS(LayTable[[Faktisk res]:[Faktisk res]],LayTable[[Dato]:[Dato]],"&gt;="&amp;S$5,LayTable[[Dato]:[Dato]],"&lt;="&amp;EOMONTH(S$5,0),LayTable[[Bookmaker]:[Bookmaker]],$K66)+SUMIFS(BetTable[[AR_per_bookie]:[AR_per_bookie]],BetTable[[B1]:[B1]],$K66,BetTable[[Date]:[Date]], "&gt;="&amp;S$5,BetTable[[Date]:[Date]],"&lt;="&amp;EOMONTH(S$5,0))+SUMIFS(BetTable[[AR_per_bookie]:[AR_per_bookie]],BetTable[[B2]:[B2]],$K66,BetTable[[Date]:[Date]], "&gt;="&amp;S$5,BetTable[[Date]:[Date]],"&lt;="&amp;EOMONTH(S$5,0))+SUMIFS(BetTable[[AR_per_bookie]:[AR_per_bookie]],BetTable[[B3]:[B3]],$K66,BetTable[[Date]:[Date]], "&gt;="&amp;S$5,BetTable[[Date]:[Date]],"&lt;="&amp;EOMONTH(S$5,0))</f>
        <v>0</v>
      </c>
      <c r="T66" s="186">
        <f>SUMIFS(DWbonus[[Sum]:[Sum]],DWbonus[[Dato]:[Dato]], "&gt;="&amp;T$5,DWbonus[[Dato]:[Dato]],"&lt;="&amp;EOMONTH(T$5,0),DWbonus[[Bookie]:[Bookie]],$K66)+SUMIFS(LayTable[[Faktisk res]:[Faktisk res]],LayTable[[Dato]:[Dato]],"&gt;="&amp;T$5,LayTable[[Dato]:[Dato]],"&lt;="&amp;EOMONTH(T$5,0),LayTable[[Bookmaker]:[Bookmaker]],$K66)+SUMIFS(BetTable[[AR_per_bookie]:[AR_per_bookie]],BetTable[[B1]:[B1]],$K66,BetTable[[Date]:[Date]], "&gt;="&amp;T$5,BetTable[[Date]:[Date]],"&lt;="&amp;EOMONTH(T$5,0))+SUMIFS(BetTable[[AR_per_bookie]:[AR_per_bookie]],BetTable[[B2]:[B2]],$K66,BetTable[[Date]:[Date]], "&gt;="&amp;T$5,BetTable[[Date]:[Date]],"&lt;="&amp;EOMONTH(T$5,0))+SUMIFS(BetTable[[AR_per_bookie]:[AR_per_bookie]],BetTable[[B3]:[B3]],$K66,BetTable[[Date]:[Date]], "&gt;="&amp;T$5,BetTable[[Date]:[Date]],"&lt;="&amp;EOMONTH(T$5,0))</f>
        <v>0</v>
      </c>
      <c r="U66" s="186">
        <f>SUMIFS(DWbonus[[Sum]:[Sum]],DWbonus[[Dato]:[Dato]], "&gt;="&amp;U$5,DWbonus[[Dato]:[Dato]],"&lt;="&amp;EOMONTH(U$5,0),DWbonus[[Bookie]:[Bookie]],$K66)+SUMIFS(LayTable[[Faktisk res]:[Faktisk res]],LayTable[[Dato]:[Dato]],"&gt;="&amp;U$5,LayTable[[Dato]:[Dato]],"&lt;="&amp;EOMONTH(U$5,0),LayTable[[Bookmaker]:[Bookmaker]],$K66)+SUMIFS(BetTable[[AR_per_bookie]:[AR_per_bookie]],BetTable[[B1]:[B1]],$K66,BetTable[[Date]:[Date]], "&gt;="&amp;U$5,BetTable[[Date]:[Date]],"&lt;="&amp;EOMONTH(U$5,0))+SUMIFS(BetTable[[AR_per_bookie]:[AR_per_bookie]],BetTable[[B2]:[B2]],$K66,BetTable[[Date]:[Date]], "&gt;="&amp;U$5,BetTable[[Date]:[Date]],"&lt;="&amp;EOMONTH(U$5,0))+SUMIFS(BetTable[[AR_per_bookie]:[AR_per_bookie]],BetTable[[B3]:[B3]],$K66,BetTable[[Date]:[Date]], "&gt;="&amp;U$5,BetTable[[Date]:[Date]],"&lt;="&amp;EOMONTH(U$5,0))</f>
        <v>0</v>
      </c>
      <c r="V66" s="186">
        <f>SUMIFS(DWbonus[[Sum]:[Sum]],DWbonus[[Dato]:[Dato]], "&gt;="&amp;V$5,DWbonus[[Dato]:[Dato]],"&lt;="&amp;EOMONTH(V$5,0),DWbonus[[Bookie]:[Bookie]],$K66)+SUMIFS(LayTable[[Faktisk res]:[Faktisk res]],LayTable[[Dato]:[Dato]],"&gt;="&amp;V$5,LayTable[[Dato]:[Dato]],"&lt;="&amp;EOMONTH(V$5,0),LayTable[[Bookmaker]:[Bookmaker]],$K66)+SUMIFS(BetTable[[AR_per_bookie]:[AR_per_bookie]],BetTable[[B1]:[B1]],$K66,BetTable[[Date]:[Date]], "&gt;="&amp;V$5,BetTable[[Date]:[Date]],"&lt;="&amp;EOMONTH(V$5,0))+SUMIFS(BetTable[[AR_per_bookie]:[AR_per_bookie]],BetTable[[B2]:[B2]],$K66,BetTable[[Date]:[Date]], "&gt;="&amp;V$5,BetTable[[Date]:[Date]],"&lt;="&amp;EOMONTH(V$5,0))+SUMIFS(BetTable[[AR_per_bookie]:[AR_per_bookie]],BetTable[[B3]:[B3]],$K66,BetTable[[Date]:[Date]], "&gt;="&amp;V$5,BetTable[[Date]:[Date]],"&lt;="&amp;EOMONTH(V$5,0))</f>
        <v>0</v>
      </c>
      <c r="W66" s="186">
        <f>SUMIFS(DWbonus[[Sum]:[Sum]],DWbonus[[Dato]:[Dato]], "&gt;="&amp;W$5,DWbonus[[Dato]:[Dato]],"&lt;="&amp;EOMONTH(W$5,0),DWbonus[[Bookie]:[Bookie]],$K66)+SUMIFS(LayTable[[Faktisk res]:[Faktisk res]],LayTable[[Dato]:[Dato]],"&gt;="&amp;W$5,LayTable[[Dato]:[Dato]],"&lt;="&amp;EOMONTH(W$5,0),LayTable[[Bookmaker]:[Bookmaker]],$K66)+SUMIFS(BetTable[[AR_per_bookie]:[AR_per_bookie]],BetTable[[B1]:[B1]],$K66,BetTable[[Date]:[Date]], "&gt;="&amp;W$5,BetTable[[Date]:[Date]],"&lt;="&amp;EOMONTH(W$5,0))+SUMIFS(BetTable[[AR_per_bookie]:[AR_per_bookie]],BetTable[[B2]:[B2]],$K66,BetTable[[Date]:[Date]], "&gt;="&amp;W$5,BetTable[[Date]:[Date]],"&lt;="&amp;EOMONTH(W$5,0))+SUMIFS(BetTable[[AR_per_bookie]:[AR_per_bookie]],BetTable[[B3]:[B3]],$K66,BetTable[[Date]:[Date]], "&gt;="&amp;W$5,BetTable[[Date]:[Date]],"&lt;="&amp;EOMONTH(W$5,0))</f>
        <v>0</v>
      </c>
    </row>
    <row r="67" spans="11:23">
      <c r="K67" s="174" t="str">
        <f t="array" ref="K67">IFERROR(INDEX(BookieNavn!H$2:H$1251,SMALL(IF(EXACT(LEFT(BookieNavn!H$2:H$1251,2),M$3),ROW(BookieNavn!H$2:H$1251)-ROW(BookieNavn!H$2)+1),ROWS(BookieNavn!H$2:'BookieNavn'!H62))),"")</f>
        <v/>
      </c>
      <c r="L67" s="186">
        <f>SUMIFS(DWbonus[[Sum]:[Sum]],DWbonus[[Dato]:[Dato]], "&gt;="&amp;L$5,DWbonus[[Dato]:[Dato]],"&lt;="&amp;EOMONTH(L$5,0),DWbonus[[Bookie]:[Bookie]],$K67)+SUMIFS(LayTable[[Faktisk res]:[Faktisk res]],LayTable[[Dato]:[Dato]],"&gt;="&amp;L$5,LayTable[[Dato]:[Dato]],"&lt;="&amp;EOMONTH(L$5,0),LayTable[[Bookmaker]:[Bookmaker]],$K67)+SUMIFS(BetTable[[AR_per_bookie]:[AR_per_bookie]],BetTable[[B1]:[B1]],$K67,BetTable[[Date]:[Date]], "&gt;="&amp;L$5,BetTable[[Date]:[Date]],"&lt;="&amp;EOMONTH(L$5,0))+SUMIFS(BetTable[[AR_per_bookie]:[AR_per_bookie]],BetTable[[B2]:[B2]],$K67,BetTable[[Date]:[Date]], "&gt;="&amp;L$5,BetTable[[Date]:[Date]],"&lt;="&amp;EOMONTH(L$5,0))+SUMIFS(BetTable[[AR_per_bookie]:[AR_per_bookie]],BetTable[[B3]:[B3]],$K67,BetTable[[Date]:[Date]], "&gt;="&amp;L$5,BetTable[[Date]:[Date]],"&lt;="&amp;EOMONTH(L$5,0))</f>
        <v>0</v>
      </c>
      <c r="M67" s="186">
        <f>SUMIFS(DWbonus[[Sum]:[Sum]],DWbonus[[Dato]:[Dato]], "&gt;="&amp;M$5,DWbonus[[Dato]:[Dato]],"&lt;="&amp;EOMONTH(M$5,0),DWbonus[[Bookie]:[Bookie]],$K67)+SUMIFS(LayTable[[Faktisk res]:[Faktisk res]],LayTable[[Dato]:[Dato]],"&gt;="&amp;M$5,LayTable[[Dato]:[Dato]],"&lt;="&amp;EOMONTH(M$5,0),LayTable[[Bookmaker]:[Bookmaker]],$K67)+SUMIFS(BetTable[[AR_per_bookie]:[AR_per_bookie]],BetTable[[B1]:[B1]],$K67,BetTable[[Date]:[Date]], "&gt;="&amp;M$5,BetTable[[Date]:[Date]],"&lt;="&amp;EOMONTH(M$5,0))+SUMIFS(BetTable[[AR_per_bookie]:[AR_per_bookie]],BetTable[[B2]:[B2]],$K67,BetTable[[Date]:[Date]], "&gt;="&amp;M$5,BetTable[[Date]:[Date]],"&lt;="&amp;EOMONTH(M$5,0))+SUMIFS(BetTable[[AR_per_bookie]:[AR_per_bookie]],BetTable[[B3]:[B3]],$K67,BetTable[[Date]:[Date]], "&gt;="&amp;M$5,BetTable[[Date]:[Date]],"&lt;="&amp;EOMONTH(M$5,0))</f>
        <v>0</v>
      </c>
      <c r="N67" s="186">
        <f>SUMIFS(DWbonus[[Sum]:[Sum]],DWbonus[[Dato]:[Dato]], "&gt;="&amp;N$5,DWbonus[[Dato]:[Dato]],"&lt;="&amp;EOMONTH(N$5,0),DWbonus[[Bookie]:[Bookie]],$K67)+SUMIFS(LayTable[[Faktisk res]:[Faktisk res]],LayTable[[Dato]:[Dato]],"&gt;="&amp;N$5,LayTable[[Dato]:[Dato]],"&lt;="&amp;EOMONTH(N$5,0),LayTable[[Bookmaker]:[Bookmaker]],$K67)+SUMIFS(BetTable[[AR_per_bookie]:[AR_per_bookie]],BetTable[[B1]:[B1]],$K67,BetTable[[Date]:[Date]], "&gt;="&amp;N$5,BetTable[[Date]:[Date]],"&lt;="&amp;EOMONTH(N$5,0))+SUMIFS(BetTable[[AR_per_bookie]:[AR_per_bookie]],BetTable[[B2]:[B2]],$K67,BetTable[[Date]:[Date]], "&gt;="&amp;N$5,BetTable[[Date]:[Date]],"&lt;="&amp;EOMONTH(N$5,0))+SUMIFS(BetTable[[AR_per_bookie]:[AR_per_bookie]],BetTable[[B3]:[B3]],$K67,BetTable[[Date]:[Date]], "&gt;="&amp;N$5,BetTable[[Date]:[Date]],"&lt;="&amp;EOMONTH(N$5,0))</f>
        <v>0</v>
      </c>
      <c r="O67" s="186">
        <f>SUMIFS(DWbonus[[Sum]:[Sum]],DWbonus[[Dato]:[Dato]], "&gt;="&amp;O$5,DWbonus[[Dato]:[Dato]],"&lt;="&amp;EOMONTH(O$5,0),DWbonus[[Bookie]:[Bookie]],$K67)+SUMIFS(LayTable[[Faktisk res]:[Faktisk res]],LayTable[[Dato]:[Dato]],"&gt;="&amp;O$5,LayTable[[Dato]:[Dato]],"&lt;="&amp;EOMONTH(O$5,0),LayTable[[Bookmaker]:[Bookmaker]],$K67)+SUMIFS(BetTable[[AR_per_bookie]:[AR_per_bookie]],BetTable[[B1]:[B1]],$K67,BetTable[[Date]:[Date]], "&gt;="&amp;O$5,BetTable[[Date]:[Date]],"&lt;="&amp;EOMONTH(O$5,0))+SUMIFS(BetTable[[AR_per_bookie]:[AR_per_bookie]],BetTable[[B2]:[B2]],$K67,BetTable[[Date]:[Date]], "&gt;="&amp;O$5,BetTable[[Date]:[Date]],"&lt;="&amp;EOMONTH(O$5,0))+SUMIFS(BetTable[[AR_per_bookie]:[AR_per_bookie]],BetTable[[B3]:[B3]],$K67,BetTable[[Date]:[Date]], "&gt;="&amp;O$5,BetTable[[Date]:[Date]],"&lt;="&amp;EOMONTH(O$5,0))</f>
        <v>0</v>
      </c>
      <c r="P67" s="186">
        <f>SUMIFS(DWbonus[[Sum]:[Sum]],DWbonus[[Dato]:[Dato]], "&gt;="&amp;P$5,DWbonus[[Dato]:[Dato]],"&lt;="&amp;EOMONTH(P$5,0),DWbonus[[Bookie]:[Bookie]],$K67)+SUMIFS(LayTable[[Faktisk res]:[Faktisk res]],LayTable[[Dato]:[Dato]],"&gt;="&amp;P$5,LayTable[[Dato]:[Dato]],"&lt;="&amp;EOMONTH(P$5,0),LayTable[[Bookmaker]:[Bookmaker]],$K67)+SUMIFS(BetTable[[AR_per_bookie]:[AR_per_bookie]],BetTable[[B1]:[B1]],$K67,BetTable[[Date]:[Date]], "&gt;="&amp;P$5,BetTable[[Date]:[Date]],"&lt;="&amp;EOMONTH(P$5,0))+SUMIFS(BetTable[[AR_per_bookie]:[AR_per_bookie]],BetTable[[B2]:[B2]],$K67,BetTable[[Date]:[Date]], "&gt;="&amp;P$5,BetTable[[Date]:[Date]],"&lt;="&amp;EOMONTH(P$5,0))+SUMIFS(BetTable[[AR_per_bookie]:[AR_per_bookie]],BetTable[[B3]:[B3]],$K67,BetTable[[Date]:[Date]], "&gt;="&amp;P$5,BetTable[[Date]:[Date]],"&lt;="&amp;EOMONTH(P$5,0))</f>
        <v>0</v>
      </c>
      <c r="Q67" s="186">
        <f>SUMIFS(DWbonus[[Sum]:[Sum]],DWbonus[[Dato]:[Dato]], "&gt;="&amp;Q$5,DWbonus[[Dato]:[Dato]],"&lt;="&amp;EOMONTH(Q$5,0),DWbonus[[Bookie]:[Bookie]],$K67)+SUMIFS(LayTable[[Faktisk res]:[Faktisk res]],LayTable[[Dato]:[Dato]],"&gt;="&amp;Q$5,LayTable[[Dato]:[Dato]],"&lt;="&amp;EOMONTH(Q$5,0),LayTable[[Bookmaker]:[Bookmaker]],$K67)+SUMIFS(BetTable[[AR_per_bookie]:[AR_per_bookie]],BetTable[[B1]:[B1]],$K67,BetTable[[Date]:[Date]], "&gt;="&amp;Q$5,BetTable[[Date]:[Date]],"&lt;="&amp;EOMONTH(Q$5,0))+SUMIFS(BetTable[[AR_per_bookie]:[AR_per_bookie]],BetTable[[B2]:[B2]],$K67,BetTable[[Date]:[Date]], "&gt;="&amp;Q$5,BetTable[[Date]:[Date]],"&lt;="&amp;EOMONTH(Q$5,0))+SUMIFS(BetTable[[AR_per_bookie]:[AR_per_bookie]],BetTable[[B3]:[B3]],$K67,BetTable[[Date]:[Date]], "&gt;="&amp;Q$5,BetTable[[Date]:[Date]],"&lt;="&amp;EOMONTH(Q$5,0))</f>
        <v>0</v>
      </c>
      <c r="R67" s="186">
        <f>SUMIFS(DWbonus[[Sum]:[Sum]],DWbonus[[Dato]:[Dato]], "&gt;="&amp;R$5,DWbonus[[Dato]:[Dato]],"&lt;="&amp;EOMONTH(R$5,0),DWbonus[[Bookie]:[Bookie]],$K67)+SUMIFS(LayTable[[Faktisk res]:[Faktisk res]],LayTable[[Dato]:[Dato]],"&gt;="&amp;R$5,LayTable[[Dato]:[Dato]],"&lt;="&amp;EOMONTH(R$5,0),LayTable[[Bookmaker]:[Bookmaker]],$K67)+SUMIFS(BetTable[[AR_per_bookie]:[AR_per_bookie]],BetTable[[B1]:[B1]],$K67,BetTable[[Date]:[Date]], "&gt;="&amp;R$5,BetTable[[Date]:[Date]],"&lt;="&amp;EOMONTH(R$5,0))+SUMIFS(BetTable[[AR_per_bookie]:[AR_per_bookie]],BetTable[[B2]:[B2]],$K67,BetTable[[Date]:[Date]], "&gt;="&amp;R$5,BetTable[[Date]:[Date]],"&lt;="&amp;EOMONTH(R$5,0))+SUMIFS(BetTable[[AR_per_bookie]:[AR_per_bookie]],BetTable[[B3]:[B3]],$K67,BetTable[[Date]:[Date]], "&gt;="&amp;R$5,BetTable[[Date]:[Date]],"&lt;="&amp;EOMONTH(R$5,0))</f>
        <v>0</v>
      </c>
      <c r="S67" s="186">
        <f>SUMIFS(DWbonus[[Sum]:[Sum]],DWbonus[[Dato]:[Dato]], "&gt;="&amp;S$5,DWbonus[[Dato]:[Dato]],"&lt;="&amp;EOMONTH(S$5,0),DWbonus[[Bookie]:[Bookie]],$K67)+SUMIFS(LayTable[[Faktisk res]:[Faktisk res]],LayTable[[Dato]:[Dato]],"&gt;="&amp;S$5,LayTable[[Dato]:[Dato]],"&lt;="&amp;EOMONTH(S$5,0),LayTable[[Bookmaker]:[Bookmaker]],$K67)+SUMIFS(BetTable[[AR_per_bookie]:[AR_per_bookie]],BetTable[[B1]:[B1]],$K67,BetTable[[Date]:[Date]], "&gt;="&amp;S$5,BetTable[[Date]:[Date]],"&lt;="&amp;EOMONTH(S$5,0))+SUMIFS(BetTable[[AR_per_bookie]:[AR_per_bookie]],BetTable[[B2]:[B2]],$K67,BetTable[[Date]:[Date]], "&gt;="&amp;S$5,BetTable[[Date]:[Date]],"&lt;="&amp;EOMONTH(S$5,0))+SUMIFS(BetTable[[AR_per_bookie]:[AR_per_bookie]],BetTable[[B3]:[B3]],$K67,BetTable[[Date]:[Date]], "&gt;="&amp;S$5,BetTable[[Date]:[Date]],"&lt;="&amp;EOMONTH(S$5,0))</f>
        <v>0</v>
      </c>
      <c r="T67" s="186">
        <f>SUMIFS(DWbonus[[Sum]:[Sum]],DWbonus[[Dato]:[Dato]], "&gt;="&amp;T$5,DWbonus[[Dato]:[Dato]],"&lt;="&amp;EOMONTH(T$5,0),DWbonus[[Bookie]:[Bookie]],$K67)+SUMIFS(LayTable[[Faktisk res]:[Faktisk res]],LayTable[[Dato]:[Dato]],"&gt;="&amp;T$5,LayTable[[Dato]:[Dato]],"&lt;="&amp;EOMONTH(T$5,0),LayTable[[Bookmaker]:[Bookmaker]],$K67)+SUMIFS(BetTable[[AR_per_bookie]:[AR_per_bookie]],BetTable[[B1]:[B1]],$K67,BetTable[[Date]:[Date]], "&gt;="&amp;T$5,BetTable[[Date]:[Date]],"&lt;="&amp;EOMONTH(T$5,0))+SUMIFS(BetTable[[AR_per_bookie]:[AR_per_bookie]],BetTable[[B2]:[B2]],$K67,BetTable[[Date]:[Date]], "&gt;="&amp;T$5,BetTable[[Date]:[Date]],"&lt;="&amp;EOMONTH(T$5,0))+SUMIFS(BetTable[[AR_per_bookie]:[AR_per_bookie]],BetTable[[B3]:[B3]],$K67,BetTable[[Date]:[Date]], "&gt;="&amp;T$5,BetTable[[Date]:[Date]],"&lt;="&amp;EOMONTH(T$5,0))</f>
        <v>0</v>
      </c>
      <c r="U67" s="186">
        <f>SUMIFS(DWbonus[[Sum]:[Sum]],DWbonus[[Dato]:[Dato]], "&gt;="&amp;U$5,DWbonus[[Dato]:[Dato]],"&lt;="&amp;EOMONTH(U$5,0),DWbonus[[Bookie]:[Bookie]],$K67)+SUMIFS(LayTable[[Faktisk res]:[Faktisk res]],LayTable[[Dato]:[Dato]],"&gt;="&amp;U$5,LayTable[[Dato]:[Dato]],"&lt;="&amp;EOMONTH(U$5,0),LayTable[[Bookmaker]:[Bookmaker]],$K67)+SUMIFS(BetTable[[AR_per_bookie]:[AR_per_bookie]],BetTable[[B1]:[B1]],$K67,BetTable[[Date]:[Date]], "&gt;="&amp;U$5,BetTable[[Date]:[Date]],"&lt;="&amp;EOMONTH(U$5,0))+SUMIFS(BetTable[[AR_per_bookie]:[AR_per_bookie]],BetTable[[B2]:[B2]],$K67,BetTable[[Date]:[Date]], "&gt;="&amp;U$5,BetTable[[Date]:[Date]],"&lt;="&amp;EOMONTH(U$5,0))+SUMIFS(BetTable[[AR_per_bookie]:[AR_per_bookie]],BetTable[[B3]:[B3]],$K67,BetTable[[Date]:[Date]], "&gt;="&amp;U$5,BetTable[[Date]:[Date]],"&lt;="&amp;EOMONTH(U$5,0))</f>
        <v>0</v>
      </c>
      <c r="V67" s="186">
        <f>SUMIFS(DWbonus[[Sum]:[Sum]],DWbonus[[Dato]:[Dato]], "&gt;="&amp;V$5,DWbonus[[Dato]:[Dato]],"&lt;="&amp;EOMONTH(V$5,0),DWbonus[[Bookie]:[Bookie]],$K67)+SUMIFS(LayTable[[Faktisk res]:[Faktisk res]],LayTable[[Dato]:[Dato]],"&gt;="&amp;V$5,LayTable[[Dato]:[Dato]],"&lt;="&amp;EOMONTH(V$5,0),LayTable[[Bookmaker]:[Bookmaker]],$K67)+SUMIFS(BetTable[[AR_per_bookie]:[AR_per_bookie]],BetTable[[B1]:[B1]],$K67,BetTable[[Date]:[Date]], "&gt;="&amp;V$5,BetTable[[Date]:[Date]],"&lt;="&amp;EOMONTH(V$5,0))+SUMIFS(BetTable[[AR_per_bookie]:[AR_per_bookie]],BetTable[[B2]:[B2]],$K67,BetTable[[Date]:[Date]], "&gt;="&amp;V$5,BetTable[[Date]:[Date]],"&lt;="&amp;EOMONTH(V$5,0))+SUMIFS(BetTable[[AR_per_bookie]:[AR_per_bookie]],BetTable[[B3]:[B3]],$K67,BetTable[[Date]:[Date]], "&gt;="&amp;V$5,BetTable[[Date]:[Date]],"&lt;="&amp;EOMONTH(V$5,0))</f>
        <v>0</v>
      </c>
      <c r="W67" s="186">
        <f>SUMIFS(DWbonus[[Sum]:[Sum]],DWbonus[[Dato]:[Dato]], "&gt;="&amp;W$5,DWbonus[[Dato]:[Dato]],"&lt;="&amp;EOMONTH(W$5,0),DWbonus[[Bookie]:[Bookie]],$K67)+SUMIFS(LayTable[[Faktisk res]:[Faktisk res]],LayTable[[Dato]:[Dato]],"&gt;="&amp;W$5,LayTable[[Dato]:[Dato]],"&lt;="&amp;EOMONTH(W$5,0),LayTable[[Bookmaker]:[Bookmaker]],$K67)+SUMIFS(BetTable[[AR_per_bookie]:[AR_per_bookie]],BetTable[[B1]:[B1]],$K67,BetTable[[Date]:[Date]], "&gt;="&amp;W$5,BetTable[[Date]:[Date]],"&lt;="&amp;EOMONTH(W$5,0))+SUMIFS(BetTable[[AR_per_bookie]:[AR_per_bookie]],BetTable[[B2]:[B2]],$K67,BetTable[[Date]:[Date]], "&gt;="&amp;W$5,BetTable[[Date]:[Date]],"&lt;="&amp;EOMONTH(W$5,0))+SUMIFS(BetTable[[AR_per_bookie]:[AR_per_bookie]],BetTable[[B3]:[B3]],$K67,BetTable[[Date]:[Date]], "&gt;="&amp;W$5,BetTable[[Date]:[Date]],"&lt;="&amp;EOMONTH(W$5,0))</f>
        <v>0</v>
      </c>
    </row>
    <row r="68" spans="11:23">
      <c r="K68" s="174" t="str">
        <f t="array" ref="K68">IFERROR(INDEX(BookieNavn!H$2:H$1251,SMALL(IF(EXACT(LEFT(BookieNavn!H$2:H$1251,2),M$3),ROW(BookieNavn!H$2:H$1251)-ROW(BookieNavn!H$2)+1),ROWS(BookieNavn!H$2:'BookieNavn'!H63))),"")</f>
        <v/>
      </c>
      <c r="L68" s="186">
        <f>SUMIFS(DWbonus[[Sum]:[Sum]],DWbonus[[Dato]:[Dato]], "&gt;="&amp;L$5,DWbonus[[Dato]:[Dato]],"&lt;="&amp;EOMONTH(L$5,0),DWbonus[[Bookie]:[Bookie]],$K68)+SUMIFS(LayTable[[Faktisk res]:[Faktisk res]],LayTable[[Dato]:[Dato]],"&gt;="&amp;L$5,LayTable[[Dato]:[Dato]],"&lt;="&amp;EOMONTH(L$5,0),LayTable[[Bookmaker]:[Bookmaker]],$K68)+SUMIFS(BetTable[[AR_per_bookie]:[AR_per_bookie]],BetTable[[B1]:[B1]],$K68,BetTable[[Date]:[Date]], "&gt;="&amp;L$5,BetTable[[Date]:[Date]],"&lt;="&amp;EOMONTH(L$5,0))+SUMIFS(BetTable[[AR_per_bookie]:[AR_per_bookie]],BetTable[[B2]:[B2]],$K68,BetTable[[Date]:[Date]], "&gt;="&amp;L$5,BetTable[[Date]:[Date]],"&lt;="&amp;EOMONTH(L$5,0))+SUMIFS(BetTable[[AR_per_bookie]:[AR_per_bookie]],BetTable[[B3]:[B3]],$K68,BetTable[[Date]:[Date]], "&gt;="&amp;L$5,BetTable[[Date]:[Date]],"&lt;="&amp;EOMONTH(L$5,0))</f>
        <v>0</v>
      </c>
      <c r="M68" s="186">
        <f>SUMIFS(DWbonus[[Sum]:[Sum]],DWbonus[[Dato]:[Dato]], "&gt;="&amp;M$5,DWbonus[[Dato]:[Dato]],"&lt;="&amp;EOMONTH(M$5,0),DWbonus[[Bookie]:[Bookie]],$K68)+SUMIFS(LayTable[[Faktisk res]:[Faktisk res]],LayTable[[Dato]:[Dato]],"&gt;="&amp;M$5,LayTable[[Dato]:[Dato]],"&lt;="&amp;EOMONTH(M$5,0),LayTable[[Bookmaker]:[Bookmaker]],$K68)+SUMIFS(BetTable[[AR_per_bookie]:[AR_per_bookie]],BetTable[[B1]:[B1]],$K68,BetTable[[Date]:[Date]], "&gt;="&amp;M$5,BetTable[[Date]:[Date]],"&lt;="&amp;EOMONTH(M$5,0))+SUMIFS(BetTable[[AR_per_bookie]:[AR_per_bookie]],BetTable[[B2]:[B2]],$K68,BetTable[[Date]:[Date]], "&gt;="&amp;M$5,BetTable[[Date]:[Date]],"&lt;="&amp;EOMONTH(M$5,0))+SUMIFS(BetTable[[AR_per_bookie]:[AR_per_bookie]],BetTable[[B3]:[B3]],$K68,BetTable[[Date]:[Date]], "&gt;="&amp;M$5,BetTable[[Date]:[Date]],"&lt;="&amp;EOMONTH(M$5,0))</f>
        <v>0</v>
      </c>
      <c r="N68" s="186">
        <f>SUMIFS(DWbonus[[Sum]:[Sum]],DWbonus[[Dato]:[Dato]], "&gt;="&amp;N$5,DWbonus[[Dato]:[Dato]],"&lt;="&amp;EOMONTH(N$5,0),DWbonus[[Bookie]:[Bookie]],$K68)+SUMIFS(LayTable[[Faktisk res]:[Faktisk res]],LayTable[[Dato]:[Dato]],"&gt;="&amp;N$5,LayTable[[Dato]:[Dato]],"&lt;="&amp;EOMONTH(N$5,0),LayTable[[Bookmaker]:[Bookmaker]],$K68)+SUMIFS(BetTable[[AR_per_bookie]:[AR_per_bookie]],BetTable[[B1]:[B1]],$K68,BetTable[[Date]:[Date]], "&gt;="&amp;N$5,BetTable[[Date]:[Date]],"&lt;="&amp;EOMONTH(N$5,0))+SUMIFS(BetTable[[AR_per_bookie]:[AR_per_bookie]],BetTable[[B2]:[B2]],$K68,BetTable[[Date]:[Date]], "&gt;="&amp;N$5,BetTable[[Date]:[Date]],"&lt;="&amp;EOMONTH(N$5,0))+SUMIFS(BetTable[[AR_per_bookie]:[AR_per_bookie]],BetTable[[B3]:[B3]],$K68,BetTable[[Date]:[Date]], "&gt;="&amp;N$5,BetTable[[Date]:[Date]],"&lt;="&amp;EOMONTH(N$5,0))</f>
        <v>0</v>
      </c>
      <c r="O68" s="186">
        <f>SUMIFS(DWbonus[[Sum]:[Sum]],DWbonus[[Dato]:[Dato]], "&gt;="&amp;O$5,DWbonus[[Dato]:[Dato]],"&lt;="&amp;EOMONTH(O$5,0),DWbonus[[Bookie]:[Bookie]],$K68)+SUMIFS(LayTable[[Faktisk res]:[Faktisk res]],LayTable[[Dato]:[Dato]],"&gt;="&amp;O$5,LayTable[[Dato]:[Dato]],"&lt;="&amp;EOMONTH(O$5,0),LayTable[[Bookmaker]:[Bookmaker]],$K68)+SUMIFS(BetTable[[AR_per_bookie]:[AR_per_bookie]],BetTable[[B1]:[B1]],$K68,BetTable[[Date]:[Date]], "&gt;="&amp;O$5,BetTable[[Date]:[Date]],"&lt;="&amp;EOMONTH(O$5,0))+SUMIFS(BetTable[[AR_per_bookie]:[AR_per_bookie]],BetTable[[B2]:[B2]],$K68,BetTable[[Date]:[Date]], "&gt;="&amp;O$5,BetTable[[Date]:[Date]],"&lt;="&amp;EOMONTH(O$5,0))+SUMIFS(BetTable[[AR_per_bookie]:[AR_per_bookie]],BetTable[[B3]:[B3]],$K68,BetTable[[Date]:[Date]], "&gt;="&amp;O$5,BetTable[[Date]:[Date]],"&lt;="&amp;EOMONTH(O$5,0))</f>
        <v>0</v>
      </c>
      <c r="P68" s="186">
        <f>SUMIFS(DWbonus[[Sum]:[Sum]],DWbonus[[Dato]:[Dato]], "&gt;="&amp;P$5,DWbonus[[Dato]:[Dato]],"&lt;="&amp;EOMONTH(P$5,0),DWbonus[[Bookie]:[Bookie]],$K68)+SUMIFS(LayTable[[Faktisk res]:[Faktisk res]],LayTable[[Dato]:[Dato]],"&gt;="&amp;P$5,LayTable[[Dato]:[Dato]],"&lt;="&amp;EOMONTH(P$5,0),LayTable[[Bookmaker]:[Bookmaker]],$K68)+SUMIFS(BetTable[[AR_per_bookie]:[AR_per_bookie]],BetTable[[B1]:[B1]],$K68,BetTable[[Date]:[Date]], "&gt;="&amp;P$5,BetTable[[Date]:[Date]],"&lt;="&amp;EOMONTH(P$5,0))+SUMIFS(BetTable[[AR_per_bookie]:[AR_per_bookie]],BetTable[[B2]:[B2]],$K68,BetTable[[Date]:[Date]], "&gt;="&amp;P$5,BetTable[[Date]:[Date]],"&lt;="&amp;EOMONTH(P$5,0))+SUMIFS(BetTable[[AR_per_bookie]:[AR_per_bookie]],BetTable[[B3]:[B3]],$K68,BetTable[[Date]:[Date]], "&gt;="&amp;P$5,BetTable[[Date]:[Date]],"&lt;="&amp;EOMONTH(P$5,0))</f>
        <v>0</v>
      </c>
      <c r="Q68" s="186">
        <f>SUMIFS(DWbonus[[Sum]:[Sum]],DWbonus[[Dato]:[Dato]], "&gt;="&amp;Q$5,DWbonus[[Dato]:[Dato]],"&lt;="&amp;EOMONTH(Q$5,0),DWbonus[[Bookie]:[Bookie]],$K68)+SUMIFS(LayTable[[Faktisk res]:[Faktisk res]],LayTable[[Dato]:[Dato]],"&gt;="&amp;Q$5,LayTable[[Dato]:[Dato]],"&lt;="&amp;EOMONTH(Q$5,0),LayTable[[Bookmaker]:[Bookmaker]],$K68)+SUMIFS(BetTable[[AR_per_bookie]:[AR_per_bookie]],BetTable[[B1]:[B1]],$K68,BetTable[[Date]:[Date]], "&gt;="&amp;Q$5,BetTable[[Date]:[Date]],"&lt;="&amp;EOMONTH(Q$5,0))+SUMIFS(BetTable[[AR_per_bookie]:[AR_per_bookie]],BetTable[[B2]:[B2]],$K68,BetTable[[Date]:[Date]], "&gt;="&amp;Q$5,BetTable[[Date]:[Date]],"&lt;="&amp;EOMONTH(Q$5,0))+SUMIFS(BetTable[[AR_per_bookie]:[AR_per_bookie]],BetTable[[B3]:[B3]],$K68,BetTable[[Date]:[Date]], "&gt;="&amp;Q$5,BetTable[[Date]:[Date]],"&lt;="&amp;EOMONTH(Q$5,0))</f>
        <v>0</v>
      </c>
      <c r="R68" s="186">
        <f>SUMIFS(DWbonus[[Sum]:[Sum]],DWbonus[[Dato]:[Dato]], "&gt;="&amp;R$5,DWbonus[[Dato]:[Dato]],"&lt;="&amp;EOMONTH(R$5,0),DWbonus[[Bookie]:[Bookie]],$K68)+SUMIFS(LayTable[[Faktisk res]:[Faktisk res]],LayTable[[Dato]:[Dato]],"&gt;="&amp;R$5,LayTable[[Dato]:[Dato]],"&lt;="&amp;EOMONTH(R$5,0),LayTable[[Bookmaker]:[Bookmaker]],$K68)+SUMIFS(BetTable[[AR_per_bookie]:[AR_per_bookie]],BetTable[[B1]:[B1]],$K68,BetTable[[Date]:[Date]], "&gt;="&amp;R$5,BetTable[[Date]:[Date]],"&lt;="&amp;EOMONTH(R$5,0))+SUMIFS(BetTable[[AR_per_bookie]:[AR_per_bookie]],BetTable[[B2]:[B2]],$K68,BetTable[[Date]:[Date]], "&gt;="&amp;R$5,BetTable[[Date]:[Date]],"&lt;="&amp;EOMONTH(R$5,0))+SUMIFS(BetTable[[AR_per_bookie]:[AR_per_bookie]],BetTable[[B3]:[B3]],$K68,BetTable[[Date]:[Date]], "&gt;="&amp;R$5,BetTable[[Date]:[Date]],"&lt;="&amp;EOMONTH(R$5,0))</f>
        <v>0</v>
      </c>
      <c r="S68" s="186">
        <f>SUMIFS(DWbonus[[Sum]:[Sum]],DWbonus[[Dato]:[Dato]], "&gt;="&amp;S$5,DWbonus[[Dato]:[Dato]],"&lt;="&amp;EOMONTH(S$5,0),DWbonus[[Bookie]:[Bookie]],$K68)+SUMIFS(LayTable[[Faktisk res]:[Faktisk res]],LayTable[[Dato]:[Dato]],"&gt;="&amp;S$5,LayTable[[Dato]:[Dato]],"&lt;="&amp;EOMONTH(S$5,0),LayTable[[Bookmaker]:[Bookmaker]],$K68)+SUMIFS(BetTable[[AR_per_bookie]:[AR_per_bookie]],BetTable[[B1]:[B1]],$K68,BetTable[[Date]:[Date]], "&gt;="&amp;S$5,BetTable[[Date]:[Date]],"&lt;="&amp;EOMONTH(S$5,0))+SUMIFS(BetTable[[AR_per_bookie]:[AR_per_bookie]],BetTable[[B2]:[B2]],$K68,BetTable[[Date]:[Date]], "&gt;="&amp;S$5,BetTable[[Date]:[Date]],"&lt;="&amp;EOMONTH(S$5,0))+SUMIFS(BetTable[[AR_per_bookie]:[AR_per_bookie]],BetTable[[B3]:[B3]],$K68,BetTable[[Date]:[Date]], "&gt;="&amp;S$5,BetTable[[Date]:[Date]],"&lt;="&amp;EOMONTH(S$5,0))</f>
        <v>0</v>
      </c>
      <c r="T68" s="186">
        <f>SUMIFS(DWbonus[[Sum]:[Sum]],DWbonus[[Dato]:[Dato]], "&gt;="&amp;T$5,DWbonus[[Dato]:[Dato]],"&lt;="&amp;EOMONTH(T$5,0),DWbonus[[Bookie]:[Bookie]],$K68)+SUMIFS(LayTable[[Faktisk res]:[Faktisk res]],LayTable[[Dato]:[Dato]],"&gt;="&amp;T$5,LayTable[[Dato]:[Dato]],"&lt;="&amp;EOMONTH(T$5,0),LayTable[[Bookmaker]:[Bookmaker]],$K68)+SUMIFS(BetTable[[AR_per_bookie]:[AR_per_bookie]],BetTable[[B1]:[B1]],$K68,BetTable[[Date]:[Date]], "&gt;="&amp;T$5,BetTable[[Date]:[Date]],"&lt;="&amp;EOMONTH(T$5,0))+SUMIFS(BetTable[[AR_per_bookie]:[AR_per_bookie]],BetTable[[B2]:[B2]],$K68,BetTable[[Date]:[Date]], "&gt;="&amp;T$5,BetTable[[Date]:[Date]],"&lt;="&amp;EOMONTH(T$5,0))+SUMIFS(BetTable[[AR_per_bookie]:[AR_per_bookie]],BetTable[[B3]:[B3]],$K68,BetTable[[Date]:[Date]], "&gt;="&amp;T$5,BetTable[[Date]:[Date]],"&lt;="&amp;EOMONTH(T$5,0))</f>
        <v>0</v>
      </c>
      <c r="U68" s="186">
        <f>SUMIFS(DWbonus[[Sum]:[Sum]],DWbonus[[Dato]:[Dato]], "&gt;="&amp;U$5,DWbonus[[Dato]:[Dato]],"&lt;="&amp;EOMONTH(U$5,0),DWbonus[[Bookie]:[Bookie]],$K68)+SUMIFS(LayTable[[Faktisk res]:[Faktisk res]],LayTable[[Dato]:[Dato]],"&gt;="&amp;U$5,LayTable[[Dato]:[Dato]],"&lt;="&amp;EOMONTH(U$5,0),LayTable[[Bookmaker]:[Bookmaker]],$K68)+SUMIFS(BetTable[[AR_per_bookie]:[AR_per_bookie]],BetTable[[B1]:[B1]],$K68,BetTable[[Date]:[Date]], "&gt;="&amp;U$5,BetTable[[Date]:[Date]],"&lt;="&amp;EOMONTH(U$5,0))+SUMIFS(BetTable[[AR_per_bookie]:[AR_per_bookie]],BetTable[[B2]:[B2]],$K68,BetTable[[Date]:[Date]], "&gt;="&amp;U$5,BetTable[[Date]:[Date]],"&lt;="&amp;EOMONTH(U$5,0))+SUMIFS(BetTable[[AR_per_bookie]:[AR_per_bookie]],BetTable[[B3]:[B3]],$K68,BetTable[[Date]:[Date]], "&gt;="&amp;U$5,BetTable[[Date]:[Date]],"&lt;="&amp;EOMONTH(U$5,0))</f>
        <v>0</v>
      </c>
      <c r="V68" s="186">
        <f>SUMIFS(DWbonus[[Sum]:[Sum]],DWbonus[[Dato]:[Dato]], "&gt;="&amp;V$5,DWbonus[[Dato]:[Dato]],"&lt;="&amp;EOMONTH(V$5,0),DWbonus[[Bookie]:[Bookie]],$K68)+SUMIFS(LayTable[[Faktisk res]:[Faktisk res]],LayTable[[Dato]:[Dato]],"&gt;="&amp;V$5,LayTable[[Dato]:[Dato]],"&lt;="&amp;EOMONTH(V$5,0),LayTable[[Bookmaker]:[Bookmaker]],$K68)+SUMIFS(BetTable[[AR_per_bookie]:[AR_per_bookie]],BetTable[[B1]:[B1]],$K68,BetTable[[Date]:[Date]], "&gt;="&amp;V$5,BetTable[[Date]:[Date]],"&lt;="&amp;EOMONTH(V$5,0))+SUMIFS(BetTable[[AR_per_bookie]:[AR_per_bookie]],BetTable[[B2]:[B2]],$K68,BetTable[[Date]:[Date]], "&gt;="&amp;V$5,BetTable[[Date]:[Date]],"&lt;="&amp;EOMONTH(V$5,0))+SUMIFS(BetTable[[AR_per_bookie]:[AR_per_bookie]],BetTable[[B3]:[B3]],$K68,BetTable[[Date]:[Date]], "&gt;="&amp;V$5,BetTable[[Date]:[Date]],"&lt;="&amp;EOMONTH(V$5,0))</f>
        <v>0</v>
      </c>
      <c r="W68" s="186">
        <f>SUMIFS(DWbonus[[Sum]:[Sum]],DWbonus[[Dato]:[Dato]], "&gt;="&amp;W$5,DWbonus[[Dato]:[Dato]],"&lt;="&amp;EOMONTH(W$5,0),DWbonus[[Bookie]:[Bookie]],$K68)+SUMIFS(LayTable[[Faktisk res]:[Faktisk res]],LayTable[[Dato]:[Dato]],"&gt;="&amp;W$5,LayTable[[Dato]:[Dato]],"&lt;="&amp;EOMONTH(W$5,0),LayTable[[Bookmaker]:[Bookmaker]],$K68)+SUMIFS(BetTable[[AR_per_bookie]:[AR_per_bookie]],BetTable[[B1]:[B1]],$K68,BetTable[[Date]:[Date]], "&gt;="&amp;W$5,BetTable[[Date]:[Date]],"&lt;="&amp;EOMONTH(W$5,0))+SUMIFS(BetTable[[AR_per_bookie]:[AR_per_bookie]],BetTable[[B2]:[B2]],$K68,BetTable[[Date]:[Date]], "&gt;="&amp;W$5,BetTable[[Date]:[Date]],"&lt;="&amp;EOMONTH(W$5,0))+SUMIFS(BetTable[[AR_per_bookie]:[AR_per_bookie]],BetTable[[B3]:[B3]],$K68,BetTable[[Date]:[Date]], "&gt;="&amp;W$5,BetTable[[Date]:[Date]],"&lt;="&amp;EOMONTH(W$5,0))</f>
        <v>0</v>
      </c>
    </row>
    <row r="69" spans="11:23">
      <c r="K69" s="174" t="str">
        <f t="array" ref="K69">IFERROR(INDEX(BookieNavn!H$2:H$1251,SMALL(IF(EXACT(LEFT(BookieNavn!H$2:H$1251,2),M$3),ROW(BookieNavn!H$2:H$1251)-ROW(BookieNavn!H$2)+1),ROWS(BookieNavn!H$2:'BookieNavn'!H64))),"")</f>
        <v/>
      </c>
    </row>
    <row r="70" spans="11:23">
      <c r="K70" s="174" t="str">
        <f t="array" ref="K70">IFERROR(INDEX(BookieNavn!H$2:H$1251,SMALL(IF(EXACT(LEFT(BookieNavn!H$2:H$1251,2),M$3),ROW(BookieNavn!H$2:H$1251)-ROW(BookieNavn!H$2)+1),ROWS(BookieNavn!H$2:'BookieNavn'!H65))),"")</f>
        <v/>
      </c>
    </row>
    <row r="71" spans="11:23">
      <c r="K71" s="174" t="str">
        <f t="array" ref="K71">IFERROR(INDEX(BookieNavn!H$2:H$1251,SMALL(IF(EXACT(LEFT(BookieNavn!H$2:H$1251,2),M$3),ROW(BookieNavn!H$2:H$1251)-ROW(BookieNavn!H$2)+1),ROWS(BookieNavn!H$2:'BookieNavn'!H66))),"")</f>
        <v/>
      </c>
    </row>
    <row r="72" spans="11:23">
      <c r="K72" s="174" t="str">
        <f t="array" ref="K72">IFERROR(INDEX(BookieNavn!H$2:H$1251,SMALL(IF(EXACT(LEFT(BookieNavn!H$2:H$1251,2),M$3),ROW(BookieNavn!H$2:H$1251)-ROW(BookieNavn!H$2)+1),ROWS(BookieNavn!H$2:'BookieNavn'!H67))),"")</f>
        <v/>
      </c>
    </row>
    <row r="73" spans="11:23">
      <c r="K73" s="174" t="str">
        <f t="array" ref="K73">IFERROR(INDEX(BookieNavn!H$2:H$1251,SMALL(IF(EXACT(LEFT(BookieNavn!H$2:H$1251,2),M$3),ROW(BookieNavn!H$2:H$1251)-ROW(BookieNavn!H$2)+1),ROWS(BookieNavn!H$2:'BookieNavn'!H68))),"")</f>
        <v/>
      </c>
    </row>
    <row r="74" spans="11:23">
      <c r="K74" s="174" t="str">
        <f t="array" ref="K74">IFERROR(INDEX(BookieNavn!H$2:H$1251,SMALL(IF(EXACT(LEFT(BookieNavn!H$2:H$1251,2),M$3),ROW(BookieNavn!H$2:H$1251)-ROW(BookieNavn!H$2)+1),ROWS(BookieNavn!H$2:'BookieNavn'!H69))),"")</f>
        <v/>
      </c>
    </row>
    <row r="75" spans="11:23">
      <c r="K75" s="174" t="str">
        <f t="array" ref="K75">IFERROR(INDEX(BookieNavn!H$2:H$1251,SMALL(IF(EXACT(LEFT(BookieNavn!H$2:H$1251,2),M$3),ROW(BookieNavn!H$2:H$1251)-ROW(BookieNavn!H$2)+1),ROWS(BookieNavn!H$2:'BookieNavn'!H70))),"")</f>
        <v/>
      </c>
    </row>
    <row r="76" spans="11:23">
      <c r="K76" s="174" t="str">
        <f t="array" ref="K76">IFERROR(INDEX(BookieNavn!H$2:H$1251,SMALL(IF(EXACT(LEFT(BookieNavn!H$2:H$1251,2),M$3),ROW(BookieNavn!H$2:H$1251)-ROW(BookieNavn!H$2)+1),ROWS(BookieNavn!H$2:'BookieNavn'!H71))),"")</f>
        <v/>
      </c>
    </row>
    <row r="77" spans="11:23">
      <c r="K77" s="174" t="str">
        <f t="array" ref="K77">IFERROR(INDEX(BookieNavn!H$2:H$1251,SMALL(IF(EXACT(LEFT(BookieNavn!H$2:H$1251,2),M$3),ROW(BookieNavn!H$2:H$1251)-ROW(BookieNavn!H$2)+1),ROWS(BookieNavn!H$2:'BookieNavn'!H72))),"")</f>
        <v/>
      </c>
    </row>
    <row r="78" spans="11:23">
      <c r="K78" s="174" t="str">
        <f t="array" ref="K78">IFERROR(INDEX(BookieNavn!H$2:H$1251,SMALL(IF(EXACT(LEFT(BookieNavn!H$2:H$1251,2),M$3),ROW(BookieNavn!H$2:H$1251)-ROW(BookieNavn!H$2)+1),ROWS(BookieNavn!H$2:'BookieNavn'!H86))),"")</f>
        <v/>
      </c>
    </row>
    <row r="79" spans="11:23">
      <c r="K79" s="174" t="str">
        <f t="array" ref="K79">IFERROR(INDEX(BookieNavn!H$2:H$1251,SMALL(IF(EXACT(LEFT(BookieNavn!H$2:H$1251,2),M$3),ROW(BookieNavn!H$2:H$1251)-ROW(BookieNavn!H$2)+1),ROWS(BookieNavn!H$2:BookieNavn!#REF!))),"")</f>
        <v/>
      </c>
    </row>
    <row r="80" spans="11:23">
      <c r="K80" s="174" t="str">
        <f t="array" ref="K80">IFERROR(INDEX(BookieNavn!H$2:H$1251,SMALL(IF(EXACT(LEFT(BookieNavn!H$2:H$1251,2),M$3),ROW(BookieNavn!H$2:H$1251)-ROW(BookieNavn!H$2)+1),ROWS(BookieNavn!H$2:'BookieNavn'!H73))),"")</f>
        <v/>
      </c>
    </row>
    <row r="81" spans="11:11">
      <c r="K81" s="174" t="str">
        <f t="array" ref="K81">IFERROR(INDEX(BookieNavn!H$2:H$1251,SMALL(IF(EXACT(LEFT(BookieNavn!H$2:H$1251,2),M$3),ROW(BookieNavn!H$2:H$1251)-ROW(BookieNavn!H$2)+1),ROWS(BookieNavn!H$2:'BookieNavn'!H74))),"")</f>
        <v/>
      </c>
    </row>
    <row r="82" spans="11:11">
      <c r="K82" s="174" t="str">
        <f t="array" ref="K82">IFERROR(INDEX(BookieNavn!H$2:H$1251,SMALL(IF(EXACT(LEFT(BookieNavn!H$2:H$1251,2),M$3),ROW(BookieNavn!H$2:H$1251)-ROW(BookieNavn!H$2)+1),ROWS(BookieNavn!H$2:'BookieNavn'!H75))),"")</f>
        <v/>
      </c>
    </row>
    <row r="83" spans="11:11">
      <c r="K83" s="174" t="str">
        <f t="array" ref="K83">IFERROR(INDEX(BookieNavn!H$2:H$1251,SMALL(IF(EXACT(LEFT(BookieNavn!H$2:H$1251,2),M$3),ROW(BookieNavn!H$2:H$1251)-ROW(BookieNavn!H$2)+1),ROWS(BookieNavn!H$2:'BookieNavn'!H76))),"")</f>
        <v/>
      </c>
    </row>
    <row r="84" spans="11:11">
      <c r="K84" s="174" t="str">
        <f t="array" ref="K84">IFERROR(INDEX(BookieNavn!H$2:H$1251,SMALL(IF(EXACT(LEFT(BookieNavn!H$2:H$1251,2),M$3),ROW(BookieNavn!H$2:H$1251)-ROW(BookieNavn!H$2)+1),ROWS(BookieNavn!H$2:'BookieNavn'!H77))),"")</f>
        <v/>
      </c>
    </row>
    <row r="85" spans="11:11">
      <c r="K85" s="174" t="str">
        <f t="array" ref="K85">IFERROR(INDEX(BookieNavn!H$2:H$1251,SMALL(IF(EXACT(LEFT(BookieNavn!H$2:H$1251,2),M$3),ROW(BookieNavn!H$2:H$1251)-ROW(BookieNavn!H$2)+1),ROWS(BookieNavn!H$2:'BookieNavn'!H78))),"")</f>
        <v/>
      </c>
    </row>
    <row r="86" spans="11:11">
      <c r="K86" s="174" t="str">
        <f t="array" ref="K86">IFERROR(INDEX(BookieNavn!H$2:H$1251,SMALL(IF(EXACT(LEFT(BookieNavn!H$2:H$1251,2),M$3),ROW(BookieNavn!H$2:H$1251)-ROW(BookieNavn!H$2)+1),ROWS(BookieNavn!H$2:'BookieNavn'!H79))),"")</f>
        <v/>
      </c>
    </row>
    <row r="87" spans="11:11">
      <c r="K87" s="174" t="str">
        <f t="array" ref="K87">IFERROR(INDEX(BookieNavn!H$2:H$1251,SMALL(IF(EXACT(LEFT(BookieNavn!H$2:H$1251,2),M$3),ROW(BookieNavn!H$2:H$1251)-ROW(BookieNavn!H$2)+1),ROWS(BookieNavn!H$2:'BookieNavn'!H80))),"")</f>
        <v/>
      </c>
    </row>
    <row r="88" spans="11:11">
      <c r="K88" s="174" t="str">
        <f t="array" ref="K88">IFERROR(INDEX(BookieNavn!H$2:H$1251,SMALL(IF(EXACT(LEFT(BookieNavn!H$2:H$1251,2),M$3),ROW(BookieNavn!H$2:H$1251)-ROW(BookieNavn!H$2)+1),ROWS(BookieNavn!H$2:'BookieNavn'!H81))),"")</f>
        <v/>
      </c>
    </row>
    <row r="89" spans="11:11">
      <c r="K89" s="174" t="str">
        <f t="array" ref="K89">IFERROR(INDEX(BookieNavn!H$2:H$1251,SMALL(IF(EXACT(LEFT(BookieNavn!H$2:H$1251,2),M$3),ROW(BookieNavn!H$2:H$1251)-ROW(BookieNavn!H$2)+1),ROWS(BookieNavn!H$2:'BookieNavn'!H82))),"")</f>
        <v/>
      </c>
    </row>
    <row r="90" spans="11:11">
      <c r="K90" s="174" t="str">
        <f t="array" ref="K90">IFERROR(INDEX(BookieNavn!H$2:H$1251,SMALL(IF(EXACT(LEFT(BookieNavn!H$2:H$1251,2),M$3),ROW(BookieNavn!H$2:H$1251)-ROW(BookieNavn!H$2)+1),ROWS(BookieNavn!H$2:'BookieNavn'!H83))),"")</f>
        <v/>
      </c>
    </row>
    <row r="91" spans="11:11">
      <c r="K91" s="174" t="str">
        <f t="array" ref="K91">IFERROR(INDEX(BookieNavn!H$2:H$1251,SMALL(IF(EXACT(LEFT(BookieNavn!H$2:H$1251,2),M$3),ROW(BookieNavn!H$2:H$1251)-ROW(BookieNavn!H$2)+1),ROWS(BookieNavn!H$2:BookieNavn!#REF!))),"")</f>
        <v/>
      </c>
    </row>
    <row r="92" spans="11:11">
      <c r="K92" s="174" t="str">
        <f t="array" ref="K92">IFERROR(INDEX(BookieNavn!H$2:H$1251,SMALL(IF(EXACT(LEFT(BookieNavn!H$2:H$1251,2),M$3),ROW(BookieNavn!H$2:H$1251)-ROW(BookieNavn!H$2)+1),ROWS(BookieNavn!H$2:BookieNavn!#REF!))),"")</f>
        <v/>
      </c>
    </row>
    <row r="93" spans="11:11">
      <c r="K93" s="174" t="str">
        <f t="array" ref="K93">IFERROR(INDEX(BookieNavn!H$2:H$1251,SMALL(IF(EXACT(LEFT(BookieNavn!H$2:H$1251,2),M$3),ROW(BookieNavn!H$2:H$1251)-ROW(BookieNavn!H$2)+1),ROWS(BookieNavn!H$2:'BookieNavn'!H89))),"")</f>
        <v/>
      </c>
    </row>
    <row r="94" spans="11:11">
      <c r="K94" s="174" t="str">
        <f t="array" ref="K94">IFERROR(INDEX(BookieNavn!H$2:H$1251,SMALL(IF(EXACT(LEFT(BookieNavn!H$2:H$1251,2),M$3),ROW(BookieNavn!H$2:H$1251)-ROW(BookieNavn!H$2)+1),ROWS(BookieNavn!H$2:'BookieNavn'!H90))),"")</f>
        <v/>
      </c>
    </row>
    <row r="95" spans="11:11">
      <c r="K95" s="174" t="str">
        <f t="array" ref="K95">IFERROR(INDEX(BookieNavn!H$2:H$1251,SMALL(IF(EXACT(LEFT(BookieNavn!H$2:H$1251,2),M$3),ROW(BookieNavn!H$2:H$1251)-ROW(BookieNavn!H$2)+1),ROWS(BookieNavn!H$2:'BookieNavn'!H91))),"")</f>
        <v/>
      </c>
    </row>
    <row r="96" spans="11:11">
      <c r="K96" s="174" t="str">
        <f t="array" ref="K96">IFERROR(INDEX(BookieNavn!H$2:H$1251,SMALL(IF(EXACT(LEFT(BookieNavn!H$2:H$1251,2),M$3),ROW(BookieNavn!H$2:H$1251)-ROW(BookieNavn!H$2)+1),ROWS(BookieNavn!H$2:'BookieNavn'!H92))),"")</f>
        <v/>
      </c>
    </row>
    <row r="97" spans="11:11">
      <c r="K97" s="174" t="str">
        <f t="array" ref="K97">IFERROR(INDEX(BookieNavn!H$2:H$1251,SMALL(IF(EXACT(LEFT(BookieNavn!H$2:H$1251,2),M$3),ROW(BookieNavn!H$2:H$1251)-ROW(BookieNavn!H$2)+1),ROWS(BookieNavn!H$2:'BookieNavn'!H93))),"")</f>
        <v/>
      </c>
    </row>
    <row r="98" spans="11:11">
      <c r="K98" s="174" t="str">
        <f t="array" ref="K98">IFERROR(INDEX(BookieNavn!H$2:H$1251,SMALL(IF(EXACT(LEFT(BookieNavn!H$2:H$1251,2),M$3),ROW(BookieNavn!H$2:H$1251)-ROW(BookieNavn!H$2)+1),ROWS(BookieNavn!H$2:'BookieNavn'!H94))),"")</f>
        <v/>
      </c>
    </row>
    <row r="99" spans="11:11">
      <c r="K99" s="174" t="str">
        <f t="array" ref="K99">IFERROR(INDEX(BookieNavn!H$2:H$1251,SMALL(IF(EXACT(LEFT(BookieNavn!H$2:H$1251,2),M$3),ROW(BookieNavn!H$2:H$1251)-ROW(BookieNavn!H$2)+1),ROWS(BookieNavn!H$2:'BookieNavn'!H95))),"")</f>
        <v/>
      </c>
    </row>
    <row r="100" spans="11:11">
      <c r="K100" s="174" t="str">
        <f t="array" ref="K100">IFERROR(INDEX(BookieNavn!H$2:H$1251,SMALL(IF(EXACT(LEFT(BookieNavn!H$2:H$1251,2),M$3),ROW(BookieNavn!H$2:H$1251)-ROW(BookieNavn!H$2)+1),ROWS(BookieNavn!H$2:'BookieNavn'!H96))),"")</f>
        <v/>
      </c>
    </row>
    <row r="101" spans="11:11">
      <c r="K101" s="174" t="str">
        <f t="array" ref="K101">IFERROR(INDEX(BookieNavn!H$2:H$1251,SMALL(IF(EXACT(LEFT(BookieNavn!H$2:H$1251,2),M$3),ROW(BookieNavn!H$2:H$1251)-ROW(BookieNavn!H$2)+1),ROWS(BookieNavn!H$2:BookieNavn!#REF!))),"")</f>
        <v/>
      </c>
    </row>
    <row r="102" spans="11:11">
      <c r="K102" s="174" t="str">
        <f t="array" ref="K102">IFERROR(INDEX(BookieNavn!H$2:H$1251,SMALL(IF(EXACT(LEFT(BookieNavn!H$2:H$1251,2),M$3),ROW(BookieNavn!H$2:H$1251)-ROW(BookieNavn!H$2)+1),ROWS(BookieNavn!H$2:'BookieNavn'!H97))),"")</f>
        <v/>
      </c>
    </row>
    <row r="103" spans="11:11">
      <c r="K103" s="174" t="str">
        <f t="array" ref="K103">IFERROR(INDEX(BookieNavn!H$2:H$1251,SMALL(IF(EXACT(LEFT(BookieNavn!H$2:H$1251,2),M$3),ROW(BookieNavn!H$2:H$1251)-ROW(BookieNavn!H$2)+1),ROWS(BookieNavn!H$2:'BookieNavn'!H98))),"")</f>
        <v/>
      </c>
    </row>
    <row r="104" spans="11:11">
      <c r="K104" s="174" t="str">
        <f t="array" ref="K104">IFERROR(INDEX(BookieNavn!H$2:H$1251,SMALL(IF(EXACT(LEFT(BookieNavn!H$2:H$1251,2),M$3),ROW(BookieNavn!H$2:H$1251)-ROW(BookieNavn!H$2)+1),ROWS(BookieNavn!H$2:'BookieNavn'!H99))),"")</f>
        <v/>
      </c>
    </row>
    <row r="105" spans="11:11">
      <c r="K105" s="174" t="str">
        <f t="array" ref="K105">IFERROR(INDEX(BookieNavn!H$2:H$1251,SMALL(IF(EXACT(LEFT(BookieNavn!H$2:H$1251,2),M$3),ROW(BookieNavn!H$2:H$1251)-ROW(BookieNavn!H$2)+1),ROWS(BookieNavn!H$2:'BookieNavn'!H100))),"")</f>
        <v/>
      </c>
    </row>
    <row r="106" spans="11:11">
      <c r="K106" s="174" t="str">
        <f t="array" ref="K106">IFERROR(INDEX(BookieNavn!H$2:H$1251,SMALL(IF(EXACT(LEFT(BookieNavn!H$2:H$1251,2),M$3),ROW(BookieNavn!H$2:H$1251)-ROW(BookieNavn!H$2)+1),ROWS(BookieNavn!H$2:'BookieNavn'!H101))),"")</f>
        <v/>
      </c>
    </row>
    <row r="107" spans="11:11">
      <c r="K107" s="174" t="str">
        <f t="array" ref="K107">IFERROR(INDEX(BookieNavn!H$2:H$1251,SMALL(IF(EXACT(LEFT(BookieNavn!H$2:H$1251,2),M$3),ROW(BookieNavn!H$2:H$1251)-ROW(BookieNavn!H$2)+1),ROWS(BookieNavn!H$2:'BookieNavn'!H102))),"")</f>
        <v/>
      </c>
    </row>
    <row r="108" spans="11:11">
      <c r="K108" s="174" t="str">
        <f t="array" ref="K108">IFERROR(INDEX(BookieNavn!H$2:H$1251,SMALL(IF(EXACT(LEFT(BookieNavn!H$2:H$1251,2),M$3),ROW(BookieNavn!H$2:H$1251)-ROW(BookieNavn!H$2)+1),ROWS(BookieNavn!H$2:'BookieNavn'!H103))),"")</f>
        <v/>
      </c>
    </row>
  </sheetData>
  <phoneticPr fontId="68"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FA3A5-3A3A-4C4D-9839-639438A44961}">
  <dimension ref="A2:W108"/>
  <sheetViews>
    <sheetView workbookViewId="0">
      <selection activeCell="C26" sqref="C26"/>
    </sheetView>
  </sheetViews>
  <sheetFormatPr baseColWidth="10" defaultColWidth="8.83203125" defaultRowHeight="15"/>
  <cols>
    <col min="1" max="1" width="15" style="174" bestFit="1" customWidth="1"/>
    <col min="2" max="2" width="11.5" style="174" customWidth="1"/>
    <col min="3" max="3" width="11.6640625" style="174" customWidth="1"/>
    <col min="4" max="4" width="12.6640625" style="174" bestFit="1" customWidth="1"/>
    <col min="5" max="5" width="14.5" style="174" customWidth="1"/>
    <col min="6" max="6" width="34" style="174" customWidth="1"/>
    <col min="7" max="7" width="10.1640625" style="174" bestFit="1" customWidth="1"/>
    <col min="8" max="10" width="8.83203125" style="174"/>
    <col min="11" max="11" width="15" style="174" bestFit="1" customWidth="1"/>
    <col min="12" max="12" width="8" style="174" bestFit="1" customWidth="1"/>
    <col min="13" max="13" width="10.83203125" style="174" bestFit="1" customWidth="1"/>
    <col min="14" max="14" width="8.1640625" style="174" bestFit="1" customWidth="1"/>
    <col min="15" max="15" width="10.5" style="174" bestFit="1" customWidth="1"/>
    <col min="16" max="16" width="10.1640625" style="174" bestFit="1" customWidth="1"/>
    <col min="17" max="19" width="8.83203125" style="174"/>
    <col min="20" max="20" width="10.83203125" style="174" bestFit="1" customWidth="1"/>
    <col min="21" max="21" width="8.83203125" style="174"/>
    <col min="22" max="22" width="10.5" style="174" bestFit="1" customWidth="1"/>
    <col min="23" max="23" width="10.1640625" style="174" bestFit="1" customWidth="1"/>
    <col min="24" max="16384" width="8.83203125" style="174"/>
  </cols>
  <sheetData>
    <row r="2" spans="1:23">
      <c r="D2" s="174" t="s">
        <v>319</v>
      </c>
      <c r="F2" s="188">
        <v>0.3</v>
      </c>
    </row>
    <row r="3" spans="1:23">
      <c r="D3" s="174" t="s">
        <v>315</v>
      </c>
      <c r="F3" s="174">
        <v>0</v>
      </c>
      <c r="L3" s="174" t="s">
        <v>296</v>
      </c>
      <c r="M3" s="174" t="s">
        <v>480</v>
      </c>
    </row>
    <row r="4" spans="1:23">
      <c r="L4" s="174">
        <v>2020</v>
      </c>
    </row>
    <row r="5" spans="1:23">
      <c r="A5" s="70" t="s">
        <v>298</v>
      </c>
      <c r="B5" s="70" t="s">
        <v>300</v>
      </c>
      <c r="C5" s="70" t="s">
        <v>27</v>
      </c>
      <c r="D5" s="70" t="s">
        <v>301</v>
      </c>
      <c r="E5" s="70" t="s">
        <v>302</v>
      </c>
      <c r="F5" s="70" t="s">
        <v>303</v>
      </c>
      <c r="L5" s="171">
        <v>43831</v>
      </c>
      <c r="M5" s="135">
        <v>43862</v>
      </c>
      <c r="N5" s="171">
        <v>43891</v>
      </c>
      <c r="O5" s="135">
        <v>43922</v>
      </c>
      <c r="P5" s="171">
        <v>43952</v>
      </c>
      <c r="Q5" s="135">
        <v>43983</v>
      </c>
      <c r="R5" s="171">
        <v>44013</v>
      </c>
      <c r="S5" s="135">
        <v>44044</v>
      </c>
      <c r="T5" s="171">
        <v>44075</v>
      </c>
      <c r="U5" s="135">
        <v>44105</v>
      </c>
      <c r="V5" s="171">
        <v>44136</v>
      </c>
      <c r="W5" s="135">
        <v>44166</v>
      </c>
    </row>
    <row r="6" spans="1:23">
      <c r="A6" s="174" t="s">
        <v>308</v>
      </c>
      <c r="B6" s="186">
        <f>L6</f>
        <v>0</v>
      </c>
      <c r="C6" s="186">
        <v>0</v>
      </c>
      <c r="D6" s="186">
        <f>C6+MAX(ROUND(B6*$F$2,0),F$3)</f>
        <v>0</v>
      </c>
      <c r="E6" s="186">
        <v>0</v>
      </c>
      <c r="F6" s="186">
        <f t="shared" ref="F6:F17" si="0">D6-E6</f>
        <v>0</v>
      </c>
      <c r="K6" s="70" t="s">
        <v>276</v>
      </c>
      <c r="L6" s="161">
        <f>SUM(L7:L160)</f>
        <v>0</v>
      </c>
      <c r="M6" s="161">
        <f>SUM(M7:M160)</f>
        <v>0</v>
      </c>
      <c r="N6" s="70">
        <f>SUM(N7:N160)</f>
        <v>0</v>
      </c>
      <c r="O6" s="70">
        <f>SUM(O7:O160)</f>
        <v>0</v>
      </c>
      <c r="P6" s="70">
        <f>SUM(P7:P160)</f>
        <v>0</v>
      </c>
      <c r="Q6" s="70">
        <f t="shared" ref="Q6:V6" si="1">SUM(Q7:Q160)</f>
        <v>0</v>
      </c>
      <c r="R6" s="70">
        <f t="shared" si="1"/>
        <v>0</v>
      </c>
      <c r="S6" s="70">
        <f t="shared" si="1"/>
        <v>0</v>
      </c>
      <c r="T6" s="70">
        <f t="shared" si="1"/>
        <v>0</v>
      </c>
      <c r="U6" s="70">
        <f t="shared" si="1"/>
        <v>0</v>
      </c>
      <c r="V6" s="70">
        <f t="shared" si="1"/>
        <v>0</v>
      </c>
      <c r="W6" s="70">
        <f>SUM(W7:W160)</f>
        <v>0</v>
      </c>
    </row>
    <row r="7" spans="1:23">
      <c r="A7" s="174" t="s">
        <v>309</v>
      </c>
      <c r="B7" s="186">
        <f>M6</f>
        <v>0</v>
      </c>
      <c r="C7" s="186">
        <v>0</v>
      </c>
      <c r="D7" s="186">
        <f t="shared" ref="D7:D17" si="2">C7+MAX(ROUND(B7*$F$2,0),F$3)</f>
        <v>0</v>
      </c>
      <c r="E7" s="186">
        <v>0</v>
      </c>
      <c r="F7" s="186">
        <f t="shared" si="0"/>
        <v>0</v>
      </c>
      <c r="K7" s="174" t="str" cm="1">
        <f t="array" ref="K7">IFERROR(INDEX(BookieNavn!H$2:H$1251,SMALL(IF(EXACT(LEFT(BookieNavn!H$2:H$1251,2),M$3),ROW(BookieNavn!H$2:H$1251)-ROW(BookieNavn!H$2)+1),ROWS(BookieNavn!H$2:'BookieNavn'!H2))),"")</f>
        <v>AaBetsson</v>
      </c>
      <c r="L7" s="186">
        <f>SUMIFS(DWbonus[[Sum]:[Sum]],DWbonus[[Dato]:[Dato]], "&gt;="&amp;L$5,DWbonus[[Dato]:[Dato]],"&lt;="&amp;EOMONTH(L$5,0),DWbonus[[Bookie]:[Bookie]],$K7)+SUMIFS(LayTable[[Faktisk res]:[Faktisk res]],LayTable[[Dato]:[Dato]],"&gt;="&amp;L$5,LayTable[[Dato]:[Dato]],"&lt;="&amp;EOMONTH(L$5,0),LayTable[[Bookmaker]:[Bookmaker]],$K7)+SUMIFS(BetTable[[AR_per_bookie]:[AR_per_bookie]],BetTable[[B1]:[B1]],$K7,BetTable[[Date]:[Date]], "&gt;="&amp;L$5,BetTable[[Date]:[Date]],"&lt;="&amp;EOMONTH(L$5,0))+SUMIFS(BetTable[[AR_per_bookie]:[AR_per_bookie]],BetTable[[B2]:[B2]],$K7,BetTable[[Date]:[Date]], "&gt;="&amp;L$5,BetTable[[Date]:[Date]],"&lt;="&amp;EOMONTH(L$5,0))+SUMIFS(BetTable[[AR_per_bookie]:[AR_per_bookie]],BetTable[[B3]:[B3]],$K7,BetTable[[Date]:[Date]], "&gt;="&amp;L$5,BetTable[[Date]:[Date]],"&lt;="&amp;EOMONTH(L$5,0))</f>
        <v>0</v>
      </c>
      <c r="M7" s="186">
        <f>SUMIFS(DWbonus[[Sum]:[Sum]],DWbonus[[Dato]:[Dato]], "&gt;="&amp;M$5,DWbonus[[Dato]:[Dato]],"&lt;="&amp;EOMONTH(M$5,0),DWbonus[[Bookie]:[Bookie]],$K7)+SUMIFS(LayTable[[Faktisk res]:[Faktisk res]],LayTable[[Dato]:[Dato]],"&gt;="&amp;M$5,LayTable[[Dato]:[Dato]],"&lt;="&amp;EOMONTH(M$5,0),LayTable[[Bookmaker]:[Bookmaker]],$K7)+SUMIFS(BetTable[[AR_per_bookie]:[AR_per_bookie]],BetTable[[B1]:[B1]],$K7,BetTable[[Date]:[Date]], "&gt;="&amp;M$5,BetTable[[Date]:[Date]],"&lt;="&amp;EOMONTH(M$5,0))+SUMIFS(BetTable[[AR_per_bookie]:[AR_per_bookie]],BetTable[[B2]:[B2]],$K7,BetTable[[Date]:[Date]], "&gt;="&amp;M$5,BetTable[[Date]:[Date]],"&lt;="&amp;EOMONTH(M$5,0))+SUMIFS(BetTable[[AR_per_bookie]:[AR_per_bookie]],BetTable[[B3]:[B3]],$K7,BetTable[[Date]:[Date]], "&gt;="&amp;M$5,BetTable[[Date]:[Date]],"&lt;="&amp;EOMONTH(M$5,0))</f>
        <v>0</v>
      </c>
      <c r="N7" s="186">
        <f>SUMIFS(DWbonus[[Sum]:[Sum]],DWbonus[[Dato]:[Dato]], "&gt;="&amp;N$5,DWbonus[[Dato]:[Dato]],"&lt;="&amp;EOMONTH(N$5,0),DWbonus[[Bookie]:[Bookie]],$K7)+SUMIFS(LayTable[[Faktisk res]:[Faktisk res]],LayTable[[Dato]:[Dato]],"&gt;="&amp;N$5,LayTable[[Dato]:[Dato]],"&lt;="&amp;EOMONTH(N$5,0),LayTable[[Bookmaker]:[Bookmaker]],$K7)+SUMIFS(BetTable[[AR_per_bookie]:[AR_per_bookie]],BetTable[[B1]:[B1]],$K7,BetTable[[Date]:[Date]], "&gt;="&amp;N$5,BetTable[[Date]:[Date]],"&lt;="&amp;EOMONTH(N$5,0))+SUMIFS(BetTable[[AR_per_bookie]:[AR_per_bookie]],BetTable[[B2]:[B2]],$K7,BetTable[[Date]:[Date]], "&gt;="&amp;N$5,BetTable[[Date]:[Date]],"&lt;="&amp;EOMONTH(N$5,0))+SUMIFS(BetTable[[AR_per_bookie]:[AR_per_bookie]],BetTable[[B3]:[B3]],$K7,BetTable[[Date]:[Date]], "&gt;="&amp;N$5,BetTable[[Date]:[Date]],"&lt;="&amp;EOMONTH(N$5,0))</f>
        <v>0</v>
      </c>
      <c r="O7" s="186">
        <f>SUMIFS(DWbonus[[Sum]:[Sum]],DWbonus[[Dato]:[Dato]], "&gt;="&amp;O$5,DWbonus[[Dato]:[Dato]],"&lt;="&amp;EOMONTH(O$5,0),DWbonus[[Bookie]:[Bookie]],$K7)+SUMIFS(LayTable[[Faktisk res]:[Faktisk res]],LayTable[[Dato]:[Dato]],"&gt;="&amp;O$5,LayTable[[Dato]:[Dato]],"&lt;="&amp;EOMONTH(O$5,0),LayTable[[Bookmaker]:[Bookmaker]],$K7)+SUMIFS(BetTable[[AR_per_bookie]:[AR_per_bookie]],BetTable[[B1]:[B1]],$K7,BetTable[[Date]:[Date]], "&gt;="&amp;O$5,BetTable[[Date]:[Date]],"&lt;="&amp;EOMONTH(O$5,0))+SUMIFS(BetTable[[AR_per_bookie]:[AR_per_bookie]],BetTable[[B2]:[B2]],$K7,BetTable[[Date]:[Date]], "&gt;="&amp;O$5,BetTable[[Date]:[Date]],"&lt;="&amp;EOMONTH(O$5,0))+SUMIFS(BetTable[[AR_per_bookie]:[AR_per_bookie]],BetTable[[B3]:[B3]],$K7,BetTable[[Date]:[Date]], "&gt;="&amp;O$5,BetTable[[Date]:[Date]],"&lt;="&amp;EOMONTH(O$5,0))</f>
        <v>0</v>
      </c>
      <c r="P7" s="186">
        <f>SUMIFS(DWbonus[[Sum]:[Sum]],DWbonus[[Dato]:[Dato]], "&gt;="&amp;P$5,DWbonus[[Dato]:[Dato]],"&lt;="&amp;EOMONTH(P$5,0),DWbonus[[Bookie]:[Bookie]],$K7)+SUMIFS(LayTable[[Faktisk res]:[Faktisk res]],LayTable[[Dato]:[Dato]],"&gt;="&amp;P$5,LayTable[[Dato]:[Dato]],"&lt;="&amp;EOMONTH(P$5,0),LayTable[[Bookmaker]:[Bookmaker]],$K7)+SUMIFS(BetTable[[AR_per_bookie]:[AR_per_bookie]],BetTable[[B1]:[B1]],$K7,BetTable[[Date]:[Date]], "&gt;="&amp;P$5,BetTable[[Date]:[Date]],"&lt;="&amp;EOMONTH(P$5,0))+SUMIFS(BetTable[[AR_per_bookie]:[AR_per_bookie]],BetTable[[B2]:[B2]],$K7,BetTable[[Date]:[Date]], "&gt;="&amp;P$5,BetTable[[Date]:[Date]],"&lt;="&amp;EOMONTH(P$5,0))+SUMIFS(BetTable[[AR_per_bookie]:[AR_per_bookie]],BetTable[[B3]:[B3]],$K7,BetTable[[Date]:[Date]], "&gt;="&amp;P$5,BetTable[[Date]:[Date]],"&lt;="&amp;EOMONTH(P$5,0))</f>
        <v>0</v>
      </c>
      <c r="Q7" s="186">
        <f>SUMIFS(DWbonus[[Sum]:[Sum]],DWbonus[[Dato]:[Dato]], "&gt;="&amp;Q$5,DWbonus[[Dato]:[Dato]],"&lt;="&amp;EOMONTH(Q$5,0),DWbonus[[Bookie]:[Bookie]],$K7)+SUMIFS(LayTable[[Faktisk res]:[Faktisk res]],LayTable[[Dato]:[Dato]],"&gt;="&amp;Q$5,LayTable[[Dato]:[Dato]],"&lt;="&amp;EOMONTH(Q$5,0),LayTable[[Bookmaker]:[Bookmaker]],$K7)+SUMIFS(BetTable[[AR_per_bookie]:[AR_per_bookie]],BetTable[[B1]:[B1]],$K7,BetTable[[Date]:[Date]], "&gt;="&amp;Q$5,BetTable[[Date]:[Date]],"&lt;="&amp;EOMONTH(Q$5,0))+SUMIFS(BetTable[[AR_per_bookie]:[AR_per_bookie]],BetTable[[B2]:[B2]],$K7,BetTable[[Date]:[Date]], "&gt;="&amp;Q$5,BetTable[[Date]:[Date]],"&lt;="&amp;EOMONTH(Q$5,0))+SUMIFS(BetTable[[AR_per_bookie]:[AR_per_bookie]],BetTable[[B3]:[B3]],$K7,BetTable[[Date]:[Date]], "&gt;="&amp;Q$5,BetTable[[Date]:[Date]],"&lt;="&amp;EOMONTH(Q$5,0))</f>
        <v>0</v>
      </c>
      <c r="R7" s="186">
        <f>SUMIFS(DWbonus[[Sum]:[Sum]],DWbonus[[Dato]:[Dato]], "&gt;="&amp;R$5,DWbonus[[Dato]:[Dato]],"&lt;="&amp;EOMONTH(R$5,0),DWbonus[[Bookie]:[Bookie]],$K7)+SUMIFS(LayTable[[Faktisk res]:[Faktisk res]],LayTable[[Dato]:[Dato]],"&gt;="&amp;R$5,LayTable[[Dato]:[Dato]],"&lt;="&amp;EOMONTH(R$5,0),LayTable[[Bookmaker]:[Bookmaker]],$K7)+SUMIFS(BetTable[[AR_per_bookie]:[AR_per_bookie]],BetTable[[B1]:[B1]],$K7,BetTable[[Date]:[Date]], "&gt;="&amp;R$5,BetTable[[Date]:[Date]],"&lt;="&amp;EOMONTH(R$5,0))+SUMIFS(BetTable[[AR_per_bookie]:[AR_per_bookie]],BetTable[[B2]:[B2]],$K7,BetTable[[Date]:[Date]], "&gt;="&amp;R$5,BetTable[[Date]:[Date]],"&lt;="&amp;EOMONTH(R$5,0))+SUMIFS(BetTable[[AR_per_bookie]:[AR_per_bookie]],BetTable[[B3]:[B3]],$K7,BetTable[[Date]:[Date]], "&gt;="&amp;R$5,BetTable[[Date]:[Date]],"&lt;="&amp;EOMONTH(R$5,0))</f>
        <v>0</v>
      </c>
      <c r="S7" s="186">
        <f>SUMIFS(DWbonus[[Sum]:[Sum]],DWbonus[[Dato]:[Dato]], "&gt;="&amp;S$5,DWbonus[[Dato]:[Dato]],"&lt;="&amp;EOMONTH(S$5,0),DWbonus[[Bookie]:[Bookie]],$K7)+SUMIFS(LayTable[[Faktisk res]:[Faktisk res]],LayTable[[Dato]:[Dato]],"&gt;="&amp;S$5,LayTable[[Dato]:[Dato]],"&lt;="&amp;EOMONTH(S$5,0),LayTable[[Bookmaker]:[Bookmaker]],$K7)+SUMIFS(BetTable[[AR_per_bookie]:[AR_per_bookie]],BetTable[[B1]:[B1]],$K7,BetTable[[Date]:[Date]], "&gt;="&amp;S$5,BetTable[[Date]:[Date]],"&lt;="&amp;EOMONTH(S$5,0))+SUMIFS(BetTable[[AR_per_bookie]:[AR_per_bookie]],BetTable[[B2]:[B2]],$K7,BetTable[[Date]:[Date]], "&gt;="&amp;S$5,BetTable[[Date]:[Date]],"&lt;="&amp;EOMONTH(S$5,0))+SUMIFS(BetTable[[AR_per_bookie]:[AR_per_bookie]],BetTable[[B3]:[B3]],$K7,BetTable[[Date]:[Date]], "&gt;="&amp;S$5,BetTable[[Date]:[Date]],"&lt;="&amp;EOMONTH(S$5,0))</f>
        <v>0</v>
      </c>
      <c r="T7" s="186">
        <f>SUMIFS(DWbonus[[Sum]:[Sum]],DWbonus[[Dato]:[Dato]], "&gt;="&amp;T$5,DWbonus[[Dato]:[Dato]],"&lt;="&amp;EOMONTH(T$5,0),DWbonus[[Bookie]:[Bookie]],$K7)+SUMIFS(LayTable[[Faktisk res]:[Faktisk res]],LayTable[[Dato]:[Dato]],"&gt;="&amp;T$5,LayTable[[Dato]:[Dato]],"&lt;="&amp;EOMONTH(T$5,0),LayTable[[Bookmaker]:[Bookmaker]],$K7)+SUMIFS(BetTable[[AR_per_bookie]:[AR_per_bookie]],BetTable[[B1]:[B1]],$K7,BetTable[[Date]:[Date]], "&gt;="&amp;T$5,BetTable[[Date]:[Date]],"&lt;="&amp;EOMONTH(T$5,0))+SUMIFS(BetTable[[AR_per_bookie]:[AR_per_bookie]],BetTable[[B2]:[B2]],$K7,BetTable[[Date]:[Date]], "&gt;="&amp;T$5,BetTable[[Date]:[Date]],"&lt;="&amp;EOMONTH(T$5,0))+SUMIFS(BetTable[[AR_per_bookie]:[AR_per_bookie]],BetTable[[B3]:[B3]],$K7,BetTable[[Date]:[Date]], "&gt;="&amp;T$5,BetTable[[Date]:[Date]],"&lt;="&amp;EOMONTH(T$5,0))</f>
        <v>0</v>
      </c>
      <c r="U7" s="186">
        <f>SUMIFS(DWbonus[[Sum]:[Sum]],DWbonus[[Dato]:[Dato]], "&gt;="&amp;U$5,DWbonus[[Dato]:[Dato]],"&lt;="&amp;EOMONTH(U$5,0),DWbonus[[Bookie]:[Bookie]],$K7)+SUMIFS(LayTable[[Faktisk res]:[Faktisk res]],LayTable[[Dato]:[Dato]],"&gt;="&amp;U$5,LayTable[[Dato]:[Dato]],"&lt;="&amp;EOMONTH(U$5,0),LayTable[[Bookmaker]:[Bookmaker]],$K7)+SUMIFS(BetTable[[AR_per_bookie]:[AR_per_bookie]],BetTable[[B1]:[B1]],$K7,BetTable[[Date]:[Date]], "&gt;="&amp;U$5,BetTable[[Date]:[Date]],"&lt;="&amp;EOMONTH(U$5,0))+SUMIFS(BetTable[[AR_per_bookie]:[AR_per_bookie]],BetTable[[B2]:[B2]],$K7,BetTable[[Date]:[Date]], "&gt;="&amp;U$5,BetTable[[Date]:[Date]],"&lt;="&amp;EOMONTH(U$5,0))+SUMIFS(BetTable[[AR_per_bookie]:[AR_per_bookie]],BetTable[[B3]:[B3]],$K7,BetTable[[Date]:[Date]], "&gt;="&amp;U$5,BetTable[[Date]:[Date]],"&lt;="&amp;EOMONTH(U$5,0))</f>
        <v>0</v>
      </c>
      <c r="V7" s="186">
        <f>SUMIFS(DWbonus[[Sum]:[Sum]],DWbonus[[Dato]:[Dato]], "&gt;="&amp;V$5,DWbonus[[Dato]:[Dato]],"&lt;="&amp;EOMONTH(V$5,0),DWbonus[[Bookie]:[Bookie]],$K7)+SUMIFS(LayTable[[Faktisk res]:[Faktisk res]],LayTable[[Dato]:[Dato]],"&gt;="&amp;V$5,LayTable[[Dato]:[Dato]],"&lt;="&amp;EOMONTH(V$5,0),LayTable[[Bookmaker]:[Bookmaker]],$K7)+SUMIFS(BetTable[[AR_per_bookie]:[AR_per_bookie]],BetTable[[B1]:[B1]],$K7,BetTable[[Date]:[Date]], "&gt;="&amp;V$5,BetTable[[Date]:[Date]],"&lt;="&amp;EOMONTH(V$5,0))+SUMIFS(BetTable[[AR_per_bookie]:[AR_per_bookie]],BetTable[[B2]:[B2]],$K7,BetTable[[Date]:[Date]], "&gt;="&amp;V$5,BetTable[[Date]:[Date]],"&lt;="&amp;EOMONTH(V$5,0))+SUMIFS(BetTable[[AR_per_bookie]:[AR_per_bookie]],BetTable[[B3]:[B3]],$K7,BetTable[[Date]:[Date]], "&gt;="&amp;V$5,BetTable[[Date]:[Date]],"&lt;="&amp;EOMONTH(V$5,0))</f>
        <v>0</v>
      </c>
      <c r="W7" s="186">
        <f>SUMIFS(DWbonus[[Sum]:[Sum]],DWbonus[[Dato]:[Dato]], "&gt;="&amp;W$5,DWbonus[[Dato]:[Dato]],"&lt;="&amp;EOMONTH(W$5,0),DWbonus[[Bookie]:[Bookie]],$K7)+SUMIFS(LayTable[[Faktisk res]:[Faktisk res]],LayTable[[Dato]:[Dato]],"&gt;="&amp;W$5,LayTable[[Dato]:[Dato]],"&lt;="&amp;EOMONTH(W$5,0),LayTable[[Bookmaker]:[Bookmaker]],$K7)+SUMIFS(BetTable[[AR_per_bookie]:[AR_per_bookie]],BetTable[[B1]:[B1]],$K7,BetTable[[Date]:[Date]], "&gt;="&amp;W$5,BetTable[[Date]:[Date]],"&lt;="&amp;EOMONTH(W$5,0))+SUMIFS(BetTable[[AR_per_bookie]:[AR_per_bookie]],BetTable[[B2]:[B2]],$K7,BetTable[[Date]:[Date]], "&gt;="&amp;W$5,BetTable[[Date]:[Date]],"&lt;="&amp;EOMONTH(W$5,0))+SUMIFS(BetTable[[AR_per_bookie]:[AR_per_bookie]],BetTable[[B3]:[B3]],$K7,BetTable[[Date]:[Date]], "&gt;="&amp;W$5,BetTable[[Date]:[Date]],"&lt;="&amp;EOMONTH(W$5,0))</f>
        <v>0</v>
      </c>
    </row>
    <row r="8" spans="1:23">
      <c r="A8" s="174" t="s">
        <v>310</v>
      </c>
      <c r="B8" s="186">
        <f>N6</f>
        <v>0</v>
      </c>
      <c r="C8" s="186">
        <v>0</v>
      </c>
      <c r="D8" s="186">
        <f t="shared" si="2"/>
        <v>0</v>
      </c>
      <c r="E8" s="186">
        <v>0</v>
      </c>
      <c r="F8" s="186">
        <f t="shared" si="0"/>
        <v>0</v>
      </c>
      <c r="K8" s="174" t="str">
        <f t="array" ref="K8">IFERROR(INDEX(BookieNavn!H$2:H$1251,SMALL(IF(EXACT(LEFT(BookieNavn!H$2:H$1251,2),M$3),ROW(BookieNavn!H$2:H$1251)-ROW(BookieNavn!H$2)+1),ROWS(BookieNavn!H$2:'BookieNavn'!H3))),"")</f>
        <v>AaBetsafe</v>
      </c>
      <c r="L8" s="186">
        <f>SUMIFS(DWbonus[[Sum]:[Sum]],DWbonus[[Dato]:[Dato]], "&gt;="&amp;L$5,DWbonus[[Dato]:[Dato]],"&lt;="&amp;EOMONTH(L$5,0),DWbonus[[Bookie]:[Bookie]],$K8)+SUMIFS(LayTable[[Faktisk res]:[Faktisk res]],LayTable[[Dato]:[Dato]],"&gt;="&amp;L$5,LayTable[[Dato]:[Dato]],"&lt;="&amp;EOMONTH(L$5,0),LayTable[[Bookmaker]:[Bookmaker]],$K8)+SUMIFS(BetTable[[AR_per_bookie]:[AR_per_bookie]],BetTable[[B1]:[B1]],$K8,BetTable[[Date]:[Date]], "&gt;="&amp;L$5,BetTable[[Date]:[Date]],"&lt;="&amp;EOMONTH(L$5,0))+SUMIFS(BetTable[[AR_per_bookie]:[AR_per_bookie]],BetTable[[B2]:[B2]],$K8,BetTable[[Date]:[Date]], "&gt;="&amp;L$5,BetTable[[Date]:[Date]],"&lt;="&amp;EOMONTH(L$5,0))+SUMIFS(BetTable[[AR_per_bookie]:[AR_per_bookie]],BetTable[[B3]:[B3]],$K8,BetTable[[Date]:[Date]], "&gt;="&amp;L$5,BetTable[[Date]:[Date]],"&lt;="&amp;EOMONTH(L$5,0))</f>
        <v>0</v>
      </c>
      <c r="M8" s="186">
        <f>SUMIFS(DWbonus[[Sum]:[Sum]],DWbonus[[Dato]:[Dato]], "&gt;="&amp;M$5,DWbonus[[Dato]:[Dato]],"&lt;="&amp;EOMONTH(M$5,0),DWbonus[[Bookie]:[Bookie]],$K8)+SUMIFS(LayTable[[Faktisk res]:[Faktisk res]],LayTable[[Dato]:[Dato]],"&gt;="&amp;M$5,LayTable[[Dato]:[Dato]],"&lt;="&amp;EOMONTH(M$5,0),LayTable[[Bookmaker]:[Bookmaker]],$K8)+SUMIFS(BetTable[[AR_per_bookie]:[AR_per_bookie]],BetTable[[B1]:[B1]],$K8,BetTable[[Date]:[Date]], "&gt;="&amp;M$5,BetTable[[Date]:[Date]],"&lt;="&amp;EOMONTH(M$5,0))+SUMIFS(BetTable[[AR_per_bookie]:[AR_per_bookie]],BetTable[[B2]:[B2]],$K8,BetTable[[Date]:[Date]], "&gt;="&amp;M$5,BetTable[[Date]:[Date]],"&lt;="&amp;EOMONTH(M$5,0))+SUMIFS(BetTable[[AR_per_bookie]:[AR_per_bookie]],BetTable[[B3]:[B3]],$K8,BetTable[[Date]:[Date]], "&gt;="&amp;M$5,BetTable[[Date]:[Date]],"&lt;="&amp;EOMONTH(M$5,0))</f>
        <v>0</v>
      </c>
      <c r="N8" s="186">
        <f>SUMIFS(DWbonus[[Sum]:[Sum]],DWbonus[[Dato]:[Dato]], "&gt;="&amp;N$5,DWbonus[[Dato]:[Dato]],"&lt;="&amp;EOMONTH(N$5,0),DWbonus[[Bookie]:[Bookie]],$K8)+SUMIFS(LayTable[[Faktisk res]:[Faktisk res]],LayTable[[Dato]:[Dato]],"&gt;="&amp;N$5,LayTable[[Dato]:[Dato]],"&lt;="&amp;EOMONTH(N$5,0),LayTable[[Bookmaker]:[Bookmaker]],$K8)+SUMIFS(BetTable[[AR_per_bookie]:[AR_per_bookie]],BetTable[[B1]:[B1]],$K8,BetTable[[Date]:[Date]], "&gt;="&amp;N$5,BetTable[[Date]:[Date]],"&lt;="&amp;EOMONTH(N$5,0))+SUMIFS(BetTable[[AR_per_bookie]:[AR_per_bookie]],BetTable[[B2]:[B2]],$K8,BetTable[[Date]:[Date]], "&gt;="&amp;N$5,BetTable[[Date]:[Date]],"&lt;="&amp;EOMONTH(N$5,0))+SUMIFS(BetTable[[AR_per_bookie]:[AR_per_bookie]],BetTable[[B3]:[B3]],$K8,BetTable[[Date]:[Date]], "&gt;="&amp;N$5,BetTable[[Date]:[Date]],"&lt;="&amp;EOMONTH(N$5,0))</f>
        <v>0</v>
      </c>
      <c r="O8" s="186">
        <f>SUMIFS(DWbonus[[Sum]:[Sum]],DWbonus[[Dato]:[Dato]], "&gt;="&amp;O$5,DWbonus[[Dato]:[Dato]],"&lt;="&amp;EOMONTH(O$5,0),DWbonus[[Bookie]:[Bookie]],$K8)+SUMIFS(LayTable[[Faktisk res]:[Faktisk res]],LayTable[[Dato]:[Dato]],"&gt;="&amp;O$5,LayTable[[Dato]:[Dato]],"&lt;="&amp;EOMONTH(O$5,0),LayTable[[Bookmaker]:[Bookmaker]],$K8)+SUMIFS(BetTable[[AR_per_bookie]:[AR_per_bookie]],BetTable[[B1]:[B1]],$K8,BetTable[[Date]:[Date]], "&gt;="&amp;O$5,BetTable[[Date]:[Date]],"&lt;="&amp;EOMONTH(O$5,0))+SUMIFS(BetTable[[AR_per_bookie]:[AR_per_bookie]],BetTable[[B2]:[B2]],$K8,BetTable[[Date]:[Date]], "&gt;="&amp;O$5,BetTable[[Date]:[Date]],"&lt;="&amp;EOMONTH(O$5,0))+SUMIFS(BetTable[[AR_per_bookie]:[AR_per_bookie]],BetTable[[B3]:[B3]],$K8,BetTable[[Date]:[Date]], "&gt;="&amp;O$5,BetTable[[Date]:[Date]],"&lt;="&amp;EOMONTH(O$5,0))</f>
        <v>0</v>
      </c>
      <c r="P8" s="186">
        <f>SUMIFS(DWbonus[[Sum]:[Sum]],DWbonus[[Dato]:[Dato]], "&gt;="&amp;P$5,DWbonus[[Dato]:[Dato]],"&lt;="&amp;EOMONTH(P$5,0),DWbonus[[Bookie]:[Bookie]],$K8)+SUMIFS(LayTable[[Faktisk res]:[Faktisk res]],LayTable[[Dato]:[Dato]],"&gt;="&amp;P$5,LayTable[[Dato]:[Dato]],"&lt;="&amp;EOMONTH(P$5,0),LayTable[[Bookmaker]:[Bookmaker]],$K8)+SUMIFS(BetTable[[AR_per_bookie]:[AR_per_bookie]],BetTable[[B1]:[B1]],$K8,BetTable[[Date]:[Date]], "&gt;="&amp;P$5,BetTable[[Date]:[Date]],"&lt;="&amp;EOMONTH(P$5,0))+SUMIFS(BetTable[[AR_per_bookie]:[AR_per_bookie]],BetTable[[B2]:[B2]],$K8,BetTable[[Date]:[Date]], "&gt;="&amp;P$5,BetTable[[Date]:[Date]],"&lt;="&amp;EOMONTH(P$5,0))+SUMIFS(BetTable[[AR_per_bookie]:[AR_per_bookie]],BetTable[[B3]:[B3]],$K8,BetTable[[Date]:[Date]], "&gt;="&amp;P$5,BetTable[[Date]:[Date]],"&lt;="&amp;EOMONTH(P$5,0))</f>
        <v>0</v>
      </c>
      <c r="Q8" s="186">
        <f>SUMIFS(DWbonus[[Sum]:[Sum]],DWbonus[[Dato]:[Dato]], "&gt;="&amp;Q$5,DWbonus[[Dato]:[Dato]],"&lt;="&amp;EOMONTH(Q$5,0),DWbonus[[Bookie]:[Bookie]],$K8)+SUMIFS(LayTable[[Faktisk res]:[Faktisk res]],LayTable[[Dato]:[Dato]],"&gt;="&amp;Q$5,LayTable[[Dato]:[Dato]],"&lt;="&amp;EOMONTH(Q$5,0),LayTable[[Bookmaker]:[Bookmaker]],$K8)+SUMIFS(BetTable[[AR_per_bookie]:[AR_per_bookie]],BetTable[[B1]:[B1]],$K8,BetTable[[Date]:[Date]], "&gt;="&amp;Q$5,BetTable[[Date]:[Date]],"&lt;="&amp;EOMONTH(Q$5,0))+SUMIFS(BetTable[[AR_per_bookie]:[AR_per_bookie]],BetTable[[B2]:[B2]],$K8,BetTable[[Date]:[Date]], "&gt;="&amp;Q$5,BetTable[[Date]:[Date]],"&lt;="&amp;EOMONTH(Q$5,0))+SUMIFS(BetTable[[AR_per_bookie]:[AR_per_bookie]],BetTable[[B3]:[B3]],$K8,BetTable[[Date]:[Date]], "&gt;="&amp;Q$5,BetTable[[Date]:[Date]],"&lt;="&amp;EOMONTH(Q$5,0))</f>
        <v>0</v>
      </c>
      <c r="R8" s="186">
        <f>SUMIFS(DWbonus[[Sum]:[Sum]],DWbonus[[Dato]:[Dato]], "&gt;="&amp;R$5,DWbonus[[Dato]:[Dato]],"&lt;="&amp;EOMONTH(R$5,0),DWbonus[[Bookie]:[Bookie]],$K8)+SUMIFS(LayTable[[Faktisk res]:[Faktisk res]],LayTable[[Dato]:[Dato]],"&gt;="&amp;R$5,LayTable[[Dato]:[Dato]],"&lt;="&amp;EOMONTH(R$5,0),LayTable[[Bookmaker]:[Bookmaker]],$K8)+SUMIFS(BetTable[[AR_per_bookie]:[AR_per_bookie]],BetTable[[B1]:[B1]],$K8,BetTable[[Date]:[Date]], "&gt;="&amp;R$5,BetTable[[Date]:[Date]],"&lt;="&amp;EOMONTH(R$5,0))+SUMIFS(BetTable[[AR_per_bookie]:[AR_per_bookie]],BetTable[[B2]:[B2]],$K8,BetTable[[Date]:[Date]], "&gt;="&amp;R$5,BetTable[[Date]:[Date]],"&lt;="&amp;EOMONTH(R$5,0))+SUMIFS(BetTable[[AR_per_bookie]:[AR_per_bookie]],BetTable[[B3]:[B3]],$K8,BetTable[[Date]:[Date]], "&gt;="&amp;R$5,BetTable[[Date]:[Date]],"&lt;="&amp;EOMONTH(R$5,0))</f>
        <v>0</v>
      </c>
      <c r="S8" s="186">
        <f>SUMIFS(DWbonus[[Sum]:[Sum]],DWbonus[[Dato]:[Dato]], "&gt;="&amp;S$5,DWbonus[[Dato]:[Dato]],"&lt;="&amp;EOMONTH(S$5,0),DWbonus[[Bookie]:[Bookie]],$K8)+SUMIFS(LayTable[[Faktisk res]:[Faktisk res]],LayTable[[Dato]:[Dato]],"&gt;="&amp;S$5,LayTable[[Dato]:[Dato]],"&lt;="&amp;EOMONTH(S$5,0),LayTable[[Bookmaker]:[Bookmaker]],$K8)+SUMIFS(BetTable[[AR_per_bookie]:[AR_per_bookie]],BetTable[[B1]:[B1]],$K8,BetTable[[Date]:[Date]], "&gt;="&amp;S$5,BetTable[[Date]:[Date]],"&lt;="&amp;EOMONTH(S$5,0))+SUMIFS(BetTable[[AR_per_bookie]:[AR_per_bookie]],BetTable[[B2]:[B2]],$K8,BetTable[[Date]:[Date]], "&gt;="&amp;S$5,BetTable[[Date]:[Date]],"&lt;="&amp;EOMONTH(S$5,0))+SUMIFS(BetTable[[AR_per_bookie]:[AR_per_bookie]],BetTable[[B3]:[B3]],$K8,BetTable[[Date]:[Date]], "&gt;="&amp;S$5,BetTable[[Date]:[Date]],"&lt;="&amp;EOMONTH(S$5,0))</f>
        <v>0</v>
      </c>
      <c r="T8" s="186">
        <f>SUMIFS(DWbonus[[Sum]:[Sum]],DWbonus[[Dato]:[Dato]], "&gt;="&amp;T$5,DWbonus[[Dato]:[Dato]],"&lt;="&amp;EOMONTH(T$5,0),DWbonus[[Bookie]:[Bookie]],$K8)+SUMIFS(LayTable[[Faktisk res]:[Faktisk res]],LayTable[[Dato]:[Dato]],"&gt;="&amp;T$5,LayTable[[Dato]:[Dato]],"&lt;="&amp;EOMONTH(T$5,0),LayTable[[Bookmaker]:[Bookmaker]],$K8)+SUMIFS(BetTable[[AR_per_bookie]:[AR_per_bookie]],BetTable[[B1]:[B1]],$K8,BetTable[[Date]:[Date]], "&gt;="&amp;T$5,BetTable[[Date]:[Date]],"&lt;="&amp;EOMONTH(T$5,0))+SUMIFS(BetTable[[AR_per_bookie]:[AR_per_bookie]],BetTable[[B2]:[B2]],$K8,BetTable[[Date]:[Date]], "&gt;="&amp;T$5,BetTable[[Date]:[Date]],"&lt;="&amp;EOMONTH(T$5,0))+SUMIFS(BetTable[[AR_per_bookie]:[AR_per_bookie]],BetTable[[B3]:[B3]],$K8,BetTable[[Date]:[Date]], "&gt;="&amp;T$5,BetTable[[Date]:[Date]],"&lt;="&amp;EOMONTH(T$5,0))</f>
        <v>0</v>
      </c>
      <c r="U8" s="186">
        <f>SUMIFS(DWbonus[[Sum]:[Sum]],DWbonus[[Dato]:[Dato]], "&gt;="&amp;U$5,DWbonus[[Dato]:[Dato]],"&lt;="&amp;EOMONTH(U$5,0),DWbonus[[Bookie]:[Bookie]],$K8)+SUMIFS(LayTable[[Faktisk res]:[Faktisk res]],LayTable[[Dato]:[Dato]],"&gt;="&amp;U$5,LayTable[[Dato]:[Dato]],"&lt;="&amp;EOMONTH(U$5,0),LayTable[[Bookmaker]:[Bookmaker]],$K8)+SUMIFS(BetTable[[AR_per_bookie]:[AR_per_bookie]],BetTable[[B1]:[B1]],$K8,BetTable[[Date]:[Date]], "&gt;="&amp;U$5,BetTable[[Date]:[Date]],"&lt;="&amp;EOMONTH(U$5,0))+SUMIFS(BetTable[[AR_per_bookie]:[AR_per_bookie]],BetTable[[B2]:[B2]],$K8,BetTable[[Date]:[Date]], "&gt;="&amp;U$5,BetTable[[Date]:[Date]],"&lt;="&amp;EOMONTH(U$5,0))+SUMIFS(BetTable[[AR_per_bookie]:[AR_per_bookie]],BetTable[[B3]:[B3]],$K8,BetTable[[Date]:[Date]], "&gt;="&amp;U$5,BetTable[[Date]:[Date]],"&lt;="&amp;EOMONTH(U$5,0))</f>
        <v>0</v>
      </c>
      <c r="V8" s="186">
        <f>SUMIFS(DWbonus[[Sum]:[Sum]],DWbonus[[Dato]:[Dato]], "&gt;="&amp;V$5,DWbonus[[Dato]:[Dato]],"&lt;="&amp;EOMONTH(V$5,0),DWbonus[[Bookie]:[Bookie]],$K8)+SUMIFS(LayTable[[Faktisk res]:[Faktisk res]],LayTable[[Dato]:[Dato]],"&gt;="&amp;V$5,LayTable[[Dato]:[Dato]],"&lt;="&amp;EOMONTH(V$5,0),LayTable[[Bookmaker]:[Bookmaker]],$K8)+SUMIFS(BetTable[[AR_per_bookie]:[AR_per_bookie]],BetTable[[B1]:[B1]],$K8,BetTable[[Date]:[Date]], "&gt;="&amp;V$5,BetTable[[Date]:[Date]],"&lt;="&amp;EOMONTH(V$5,0))+SUMIFS(BetTable[[AR_per_bookie]:[AR_per_bookie]],BetTable[[B2]:[B2]],$K8,BetTable[[Date]:[Date]], "&gt;="&amp;V$5,BetTable[[Date]:[Date]],"&lt;="&amp;EOMONTH(V$5,0))+SUMIFS(BetTable[[AR_per_bookie]:[AR_per_bookie]],BetTable[[B3]:[B3]],$K8,BetTable[[Date]:[Date]], "&gt;="&amp;V$5,BetTable[[Date]:[Date]],"&lt;="&amp;EOMONTH(V$5,0))</f>
        <v>0</v>
      </c>
      <c r="W8" s="186">
        <f>SUMIFS(DWbonus[[Sum]:[Sum]],DWbonus[[Dato]:[Dato]], "&gt;="&amp;W$5,DWbonus[[Dato]:[Dato]],"&lt;="&amp;EOMONTH(W$5,0),DWbonus[[Bookie]:[Bookie]],$K8)+SUMIFS(LayTable[[Faktisk res]:[Faktisk res]],LayTable[[Dato]:[Dato]],"&gt;="&amp;W$5,LayTable[[Dato]:[Dato]],"&lt;="&amp;EOMONTH(W$5,0),LayTable[[Bookmaker]:[Bookmaker]],$K8)+SUMIFS(BetTable[[AR_per_bookie]:[AR_per_bookie]],BetTable[[B1]:[B1]],$K8,BetTable[[Date]:[Date]], "&gt;="&amp;W$5,BetTable[[Date]:[Date]],"&lt;="&amp;EOMONTH(W$5,0))+SUMIFS(BetTable[[AR_per_bookie]:[AR_per_bookie]],BetTable[[B2]:[B2]],$K8,BetTable[[Date]:[Date]], "&gt;="&amp;W$5,BetTable[[Date]:[Date]],"&lt;="&amp;EOMONTH(W$5,0))+SUMIFS(BetTable[[AR_per_bookie]:[AR_per_bookie]],BetTable[[B3]:[B3]],$K8,BetTable[[Date]:[Date]], "&gt;="&amp;W$5,BetTable[[Date]:[Date]],"&lt;="&amp;EOMONTH(W$5,0))</f>
        <v>0</v>
      </c>
    </row>
    <row r="9" spans="1:23">
      <c r="A9" s="174" t="s">
        <v>311</v>
      </c>
      <c r="B9" s="186">
        <f>O6</f>
        <v>0</v>
      </c>
      <c r="C9" s="186">
        <v>0</v>
      </c>
      <c r="D9" s="186">
        <f t="shared" si="2"/>
        <v>0</v>
      </c>
      <c r="E9" s="186">
        <v>0</v>
      </c>
      <c r="F9" s="186">
        <f t="shared" si="0"/>
        <v>0</v>
      </c>
      <c r="K9" s="174" t="str">
        <f t="array" ref="K9">IFERROR(INDEX(BookieNavn!H$2:H$1251,SMALL(IF(EXACT(LEFT(BookieNavn!H$2:H$1251,2),M$3),ROW(BookieNavn!H$2:H$1251)-ROW(BookieNavn!H$2)+1),ROWS(BookieNavn!H$2:'BookieNavn'!H4))),"")</f>
        <v>AaNordicbet</v>
      </c>
      <c r="L9" s="186">
        <f>SUMIFS(DWbonus[[Sum]:[Sum]],DWbonus[[Dato]:[Dato]], "&gt;="&amp;L$5,DWbonus[[Dato]:[Dato]],"&lt;="&amp;EOMONTH(L$5,0),DWbonus[[Bookie]:[Bookie]],$K9)+SUMIFS(LayTable[[Faktisk res]:[Faktisk res]],LayTable[[Dato]:[Dato]],"&gt;="&amp;L$5,LayTable[[Dato]:[Dato]],"&lt;="&amp;EOMONTH(L$5,0),LayTable[[Bookmaker]:[Bookmaker]],$K9)+SUMIFS(BetTable[[AR_per_bookie]:[AR_per_bookie]],BetTable[[B1]:[B1]],$K9,BetTable[[Date]:[Date]], "&gt;="&amp;L$5,BetTable[[Date]:[Date]],"&lt;="&amp;EOMONTH(L$5,0))+SUMIFS(BetTable[[AR_per_bookie]:[AR_per_bookie]],BetTable[[B2]:[B2]],$K9,BetTable[[Date]:[Date]], "&gt;="&amp;L$5,BetTable[[Date]:[Date]],"&lt;="&amp;EOMONTH(L$5,0))+SUMIFS(BetTable[[AR_per_bookie]:[AR_per_bookie]],BetTable[[B3]:[B3]],$K9,BetTable[[Date]:[Date]], "&gt;="&amp;L$5,BetTable[[Date]:[Date]],"&lt;="&amp;EOMONTH(L$5,0))</f>
        <v>0</v>
      </c>
      <c r="M9" s="186">
        <f>SUMIFS(DWbonus[[Sum]:[Sum]],DWbonus[[Dato]:[Dato]], "&gt;="&amp;M$5,DWbonus[[Dato]:[Dato]],"&lt;="&amp;EOMONTH(M$5,0),DWbonus[[Bookie]:[Bookie]],$K9)+SUMIFS(LayTable[[Faktisk res]:[Faktisk res]],LayTable[[Dato]:[Dato]],"&gt;="&amp;M$5,LayTable[[Dato]:[Dato]],"&lt;="&amp;EOMONTH(M$5,0),LayTable[[Bookmaker]:[Bookmaker]],$K9)+SUMIFS(BetTable[[AR_per_bookie]:[AR_per_bookie]],BetTable[[B1]:[B1]],$K9,BetTable[[Date]:[Date]], "&gt;="&amp;M$5,BetTable[[Date]:[Date]],"&lt;="&amp;EOMONTH(M$5,0))+SUMIFS(BetTable[[AR_per_bookie]:[AR_per_bookie]],BetTable[[B2]:[B2]],$K9,BetTable[[Date]:[Date]], "&gt;="&amp;M$5,BetTable[[Date]:[Date]],"&lt;="&amp;EOMONTH(M$5,0))+SUMIFS(BetTable[[AR_per_bookie]:[AR_per_bookie]],BetTable[[B3]:[B3]],$K9,BetTable[[Date]:[Date]], "&gt;="&amp;M$5,BetTable[[Date]:[Date]],"&lt;="&amp;EOMONTH(M$5,0))</f>
        <v>0</v>
      </c>
      <c r="N9" s="186">
        <f>SUMIFS(DWbonus[[Sum]:[Sum]],DWbonus[[Dato]:[Dato]], "&gt;="&amp;N$5,DWbonus[[Dato]:[Dato]],"&lt;="&amp;EOMONTH(N$5,0),DWbonus[[Bookie]:[Bookie]],$K9)+SUMIFS(LayTable[[Faktisk res]:[Faktisk res]],LayTable[[Dato]:[Dato]],"&gt;="&amp;N$5,LayTable[[Dato]:[Dato]],"&lt;="&amp;EOMONTH(N$5,0),LayTable[[Bookmaker]:[Bookmaker]],$K9)+SUMIFS(BetTable[[AR_per_bookie]:[AR_per_bookie]],BetTable[[B1]:[B1]],$K9,BetTable[[Date]:[Date]], "&gt;="&amp;N$5,BetTable[[Date]:[Date]],"&lt;="&amp;EOMONTH(N$5,0))+SUMIFS(BetTable[[AR_per_bookie]:[AR_per_bookie]],BetTable[[B2]:[B2]],$K9,BetTable[[Date]:[Date]], "&gt;="&amp;N$5,BetTable[[Date]:[Date]],"&lt;="&amp;EOMONTH(N$5,0))+SUMIFS(BetTable[[AR_per_bookie]:[AR_per_bookie]],BetTable[[B3]:[B3]],$K9,BetTable[[Date]:[Date]], "&gt;="&amp;N$5,BetTable[[Date]:[Date]],"&lt;="&amp;EOMONTH(N$5,0))</f>
        <v>0</v>
      </c>
      <c r="O9" s="186">
        <f>SUMIFS(DWbonus[[Sum]:[Sum]],DWbonus[[Dato]:[Dato]], "&gt;="&amp;O$5,DWbonus[[Dato]:[Dato]],"&lt;="&amp;EOMONTH(O$5,0),DWbonus[[Bookie]:[Bookie]],$K9)+SUMIFS(LayTable[[Faktisk res]:[Faktisk res]],LayTable[[Dato]:[Dato]],"&gt;="&amp;O$5,LayTable[[Dato]:[Dato]],"&lt;="&amp;EOMONTH(O$5,0),LayTable[[Bookmaker]:[Bookmaker]],$K9)+SUMIFS(BetTable[[AR_per_bookie]:[AR_per_bookie]],BetTable[[B1]:[B1]],$K9,BetTable[[Date]:[Date]], "&gt;="&amp;O$5,BetTable[[Date]:[Date]],"&lt;="&amp;EOMONTH(O$5,0))+SUMIFS(BetTable[[AR_per_bookie]:[AR_per_bookie]],BetTable[[B2]:[B2]],$K9,BetTable[[Date]:[Date]], "&gt;="&amp;O$5,BetTable[[Date]:[Date]],"&lt;="&amp;EOMONTH(O$5,0))+SUMIFS(BetTable[[AR_per_bookie]:[AR_per_bookie]],BetTable[[B3]:[B3]],$K9,BetTable[[Date]:[Date]], "&gt;="&amp;O$5,BetTable[[Date]:[Date]],"&lt;="&amp;EOMONTH(O$5,0))</f>
        <v>0</v>
      </c>
      <c r="P9" s="186">
        <f>SUMIFS(DWbonus[[Sum]:[Sum]],DWbonus[[Dato]:[Dato]], "&gt;="&amp;P$5,DWbonus[[Dato]:[Dato]],"&lt;="&amp;EOMONTH(P$5,0),DWbonus[[Bookie]:[Bookie]],$K9)+SUMIFS(LayTable[[Faktisk res]:[Faktisk res]],LayTable[[Dato]:[Dato]],"&gt;="&amp;P$5,LayTable[[Dato]:[Dato]],"&lt;="&amp;EOMONTH(P$5,0),LayTable[[Bookmaker]:[Bookmaker]],$K9)+SUMIFS(BetTable[[AR_per_bookie]:[AR_per_bookie]],BetTable[[B1]:[B1]],$K9,BetTable[[Date]:[Date]], "&gt;="&amp;P$5,BetTable[[Date]:[Date]],"&lt;="&amp;EOMONTH(P$5,0))+SUMIFS(BetTable[[AR_per_bookie]:[AR_per_bookie]],BetTable[[B2]:[B2]],$K9,BetTable[[Date]:[Date]], "&gt;="&amp;P$5,BetTable[[Date]:[Date]],"&lt;="&amp;EOMONTH(P$5,0))+SUMIFS(BetTable[[AR_per_bookie]:[AR_per_bookie]],BetTable[[B3]:[B3]],$K9,BetTable[[Date]:[Date]], "&gt;="&amp;P$5,BetTable[[Date]:[Date]],"&lt;="&amp;EOMONTH(P$5,0))</f>
        <v>0</v>
      </c>
      <c r="Q9" s="186">
        <f>SUMIFS(DWbonus[[Sum]:[Sum]],DWbonus[[Dato]:[Dato]], "&gt;="&amp;Q$5,DWbonus[[Dato]:[Dato]],"&lt;="&amp;EOMONTH(Q$5,0),DWbonus[[Bookie]:[Bookie]],$K9)+SUMIFS(LayTable[[Faktisk res]:[Faktisk res]],LayTable[[Dato]:[Dato]],"&gt;="&amp;Q$5,LayTable[[Dato]:[Dato]],"&lt;="&amp;EOMONTH(Q$5,0),LayTable[[Bookmaker]:[Bookmaker]],$K9)+SUMIFS(BetTable[[AR_per_bookie]:[AR_per_bookie]],BetTable[[B1]:[B1]],$K9,BetTable[[Date]:[Date]], "&gt;="&amp;Q$5,BetTable[[Date]:[Date]],"&lt;="&amp;EOMONTH(Q$5,0))+SUMIFS(BetTable[[AR_per_bookie]:[AR_per_bookie]],BetTable[[B2]:[B2]],$K9,BetTable[[Date]:[Date]], "&gt;="&amp;Q$5,BetTable[[Date]:[Date]],"&lt;="&amp;EOMONTH(Q$5,0))+SUMIFS(BetTable[[AR_per_bookie]:[AR_per_bookie]],BetTable[[B3]:[B3]],$K9,BetTable[[Date]:[Date]], "&gt;="&amp;Q$5,BetTable[[Date]:[Date]],"&lt;="&amp;EOMONTH(Q$5,0))</f>
        <v>0</v>
      </c>
      <c r="R9" s="186">
        <f>SUMIFS(DWbonus[[Sum]:[Sum]],DWbonus[[Dato]:[Dato]], "&gt;="&amp;R$5,DWbonus[[Dato]:[Dato]],"&lt;="&amp;EOMONTH(R$5,0),DWbonus[[Bookie]:[Bookie]],$K9)+SUMIFS(LayTable[[Faktisk res]:[Faktisk res]],LayTable[[Dato]:[Dato]],"&gt;="&amp;R$5,LayTable[[Dato]:[Dato]],"&lt;="&amp;EOMONTH(R$5,0),LayTable[[Bookmaker]:[Bookmaker]],$K9)+SUMIFS(BetTable[[AR_per_bookie]:[AR_per_bookie]],BetTable[[B1]:[B1]],$K9,BetTable[[Date]:[Date]], "&gt;="&amp;R$5,BetTable[[Date]:[Date]],"&lt;="&amp;EOMONTH(R$5,0))+SUMIFS(BetTable[[AR_per_bookie]:[AR_per_bookie]],BetTable[[B2]:[B2]],$K9,BetTable[[Date]:[Date]], "&gt;="&amp;R$5,BetTable[[Date]:[Date]],"&lt;="&amp;EOMONTH(R$5,0))+SUMIFS(BetTable[[AR_per_bookie]:[AR_per_bookie]],BetTable[[B3]:[B3]],$K9,BetTable[[Date]:[Date]], "&gt;="&amp;R$5,BetTable[[Date]:[Date]],"&lt;="&amp;EOMONTH(R$5,0))</f>
        <v>0</v>
      </c>
      <c r="S9" s="186">
        <f>SUMIFS(DWbonus[[Sum]:[Sum]],DWbonus[[Dato]:[Dato]], "&gt;="&amp;S$5,DWbonus[[Dato]:[Dato]],"&lt;="&amp;EOMONTH(S$5,0),DWbonus[[Bookie]:[Bookie]],$K9)+SUMIFS(LayTable[[Faktisk res]:[Faktisk res]],LayTable[[Dato]:[Dato]],"&gt;="&amp;S$5,LayTable[[Dato]:[Dato]],"&lt;="&amp;EOMONTH(S$5,0),LayTable[[Bookmaker]:[Bookmaker]],$K9)+SUMIFS(BetTable[[AR_per_bookie]:[AR_per_bookie]],BetTable[[B1]:[B1]],$K9,BetTable[[Date]:[Date]], "&gt;="&amp;S$5,BetTable[[Date]:[Date]],"&lt;="&amp;EOMONTH(S$5,0))+SUMIFS(BetTable[[AR_per_bookie]:[AR_per_bookie]],BetTable[[B2]:[B2]],$K9,BetTable[[Date]:[Date]], "&gt;="&amp;S$5,BetTable[[Date]:[Date]],"&lt;="&amp;EOMONTH(S$5,0))+SUMIFS(BetTable[[AR_per_bookie]:[AR_per_bookie]],BetTable[[B3]:[B3]],$K9,BetTable[[Date]:[Date]], "&gt;="&amp;S$5,BetTable[[Date]:[Date]],"&lt;="&amp;EOMONTH(S$5,0))</f>
        <v>0</v>
      </c>
      <c r="T9" s="186">
        <f>SUMIFS(DWbonus[[Sum]:[Sum]],DWbonus[[Dato]:[Dato]], "&gt;="&amp;T$5,DWbonus[[Dato]:[Dato]],"&lt;="&amp;EOMONTH(T$5,0),DWbonus[[Bookie]:[Bookie]],$K9)+SUMIFS(LayTable[[Faktisk res]:[Faktisk res]],LayTable[[Dato]:[Dato]],"&gt;="&amp;T$5,LayTable[[Dato]:[Dato]],"&lt;="&amp;EOMONTH(T$5,0),LayTable[[Bookmaker]:[Bookmaker]],$K9)+SUMIFS(BetTable[[AR_per_bookie]:[AR_per_bookie]],BetTable[[B1]:[B1]],$K9,BetTable[[Date]:[Date]], "&gt;="&amp;T$5,BetTable[[Date]:[Date]],"&lt;="&amp;EOMONTH(T$5,0))+SUMIFS(BetTable[[AR_per_bookie]:[AR_per_bookie]],BetTable[[B2]:[B2]],$K9,BetTable[[Date]:[Date]], "&gt;="&amp;T$5,BetTable[[Date]:[Date]],"&lt;="&amp;EOMONTH(T$5,0))+SUMIFS(BetTable[[AR_per_bookie]:[AR_per_bookie]],BetTable[[B3]:[B3]],$K9,BetTable[[Date]:[Date]], "&gt;="&amp;T$5,BetTable[[Date]:[Date]],"&lt;="&amp;EOMONTH(T$5,0))</f>
        <v>0</v>
      </c>
      <c r="U9" s="186">
        <f>SUMIFS(DWbonus[[Sum]:[Sum]],DWbonus[[Dato]:[Dato]], "&gt;="&amp;U$5,DWbonus[[Dato]:[Dato]],"&lt;="&amp;EOMONTH(U$5,0),DWbonus[[Bookie]:[Bookie]],$K9)+SUMIFS(LayTable[[Faktisk res]:[Faktisk res]],LayTable[[Dato]:[Dato]],"&gt;="&amp;U$5,LayTable[[Dato]:[Dato]],"&lt;="&amp;EOMONTH(U$5,0),LayTable[[Bookmaker]:[Bookmaker]],$K9)+SUMIFS(BetTable[[AR_per_bookie]:[AR_per_bookie]],BetTable[[B1]:[B1]],$K9,BetTable[[Date]:[Date]], "&gt;="&amp;U$5,BetTable[[Date]:[Date]],"&lt;="&amp;EOMONTH(U$5,0))+SUMIFS(BetTable[[AR_per_bookie]:[AR_per_bookie]],BetTable[[B2]:[B2]],$K9,BetTable[[Date]:[Date]], "&gt;="&amp;U$5,BetTable[[Date]:[Date]],"&lt;="&amp;EOMONTH(U$5,0))+SUMIFS(BetTable[[AR_per_bookie]:[AR_per_bookie]],BetTable[[B3]:[B3]],$K9,BetTable[[Date]:[Date]], "&gt;="&amp;U$5,BetTable[[Date]:[Date]],"&lt;="&amp;EOMONTH(U$5,0))</f>
        <v>0</v>
      </c>
      <c r="V9" s="186">
        <f>SUMIFS(DWbonus[[Sum]:[Sum]],DWbonus[[Dato]:[Dato]], "&gt;="&amp;V$5,DWbonus[[Dato]:[Dato]],"&lt;="&amp;EOMONTH(V$5,0),DWbonus[[Bookie]:[Bookie]],$K9)+SUMIFS(LayTable[[Faktisk res]:[Faktisk res]],LayTable[[Dato]:[Dato]],"&gt;="&amp;V$5,LayTable[[Dato]:[Dato]],"&lt;="&amp;EOMONTH(V$5,0),LayTable[[Bookmaker]:[Bookmaker]],$K9)+SUMIFS(BetTable[[AR_per_bookie]:[AR_per_bookie]],BetTable[[B1]:[B1]],$K9,BetTable[[Date]:[Date]], "&gt;="&amp;V$5,BetTable[[Date]:[Date]],"&lt;="&amp;EOMONTH(V$5,0))+SUMIFS(BetTable[[AR_per_bookie]:[AR_per_bookie]],BetTable[[B2]:[B2]],$K9,BetTable[[Date]:[Date]], "&gt;="&amp;V$5,BetTable[[Date]:[Date]],"&lt;="&amp;EOMONTH(V$5,0))+SUMIFS(BetTable[[AR_per_bookie]:[AR_per_bookie]],BetTable[[B3]:[B3]],$K9,BetTable[[Date]:[Date]], "&gt;="&amp;V$5,BetTable[[Date]:[Date]],"&lt;="&amp;EOMONTH(V$5,0))</f>
        <v>0</v>
      </c>
      <c r="W9" s="186">
        <f>SUMIFS(DWbonus[[Sum]:[Sum]],DWbonus[[Dato]:[Dato]], "&gt;="&amp;W$5,DWbonus[[Dato]:[Dato]],"&lt;="&amp;EOMONTH(W$5,0),DWbonus[[Bookie]:[Bookie]],$K9)+SUMIFS(LayTable[[Faktisk res]:[Faktisk res]],LayTable[[Dato]:[Dato]],"&gt;="&amp;W$5,LayTable[[Dato]:[Dato]],"&lt;="&amp;EOMONTH(W$5,0),LayTable[[Bookmaker]:[Bookmaker]],$K9)+SUMIFS(BetTable[[AR_per_bookie]:[AR_per_bookie]],BetTable[[B1]:[B1]],$K9,BetTable[[Date]:[Date]], "&gt;="&amp;W$5,BetTable[[Date]:[Date]],"&lt;="&amp;EOMONTH(W$5,0))+SUMIFS(BetTable[[AR_per_bookie]:[AR_per_bookie]],BetTable[[B2]:[B2]],$K9,BetTable[[Date]:[Date]], "&gt;="&amp;W$5,BetTable[[Date]:[Date]],"&lt;="&amp;EOMONTH(W$5,0))+SUMIFS(BetTable[[AR_per_bookie]:[AR_per_bookie]],BetTable[[B3]:[B3]],$K9,BetTable[[Date]:[Date]], "&gt;="&amp;W$5,BetTable[[Date]:[Date]],"&lt;="&amp;EOMONTH(W$5,0))</f>
        <v>0</v>
      </c>
    </row>
    <row r="10" spans="1:23">
      <c r="A10" s="174" t="s">
        <v>312</v>
      </c>
      <c r="B10" s="186">
        <f>P6</f>
        <v>0</v>
      </c>
      <c r="C10" s="186">
        <v>0</v>
      </c>
      <c r="D10" s="186">
        <f t="shared" si="2"/>
        <v>0</v>
      </c>
      <c r="E10" s="186">
        <v>0</v>
      </c>
      <c r="F10" s="186">
        <f t="shared" si="0"/>
        <v>0</v>
      </c>
      <c r="K10" s="174" t="str">
        <f t="array" ref="K10">IFERROR(INDEX(BookieNavn!H$2:H$1251,SMALL(IF(EXACT(LEFT(BookieNavn!H$2:H$1251,2),M$3),ROW(BookieNavn!H$2:H$1251)-ROW(BookieNavn!H$2)+1),ROWS(BookieNavn!H$2:'BookieNavn'!H5))),"")</f>
        <v>AaUnibet</v>
      </c>
      <c r="L10" s="186">
        <f>SUMIFS(DWbonus[[Sum]:[Sum]],DWbonus[[Dato]:[Dato]], "&gt;="&amp;L$5,DWbonus[[Dato]:[Dato]],"&lt;="&amp;EOMONTH(L$5,0),DWbonus[[Bookie]:[Bookie]],$K10)+SUMIFS(LayTable[[Faktisk res]:[Faktisk res]],LayTable[[Dato]:[Dato]],"&gt;="&amp;L$5,LayTable[[Dato]:[Dato]],"&lt;="&amp;EOMONTH(L$5,0),LayTable[[Bookmaker]:[Bookmaker]],$K10)+SUMIFS(BetTable[[AR_per_bookie]:[AR_per_bookie]],BetTable[[B1]:[B1]],$K10,BetTable[[Date]:[Date]], "&gt;="&amp;L$5,BetTable[[Date]:[Date]],"&lt;="&amp;EOMONTH(L$5,0))+SUMIFS(BetTable[[AR_per_bookie]:[AR_per_bookie]],BetTable[[B2]:[B2]],$K10,BetTable[[Date]:[Date]], "&gt;="&amp;L$5,BetTable[[Date]:[Date]],"&lt;="&amp;EOMONTH(L$5,0))+SUMIFS(BetTable[[AR_per_bookie]:[AR_per_bookie]],BetTable[[B3]:[B3]],$K10,BetTable[[Date]:[Date]], "&gt;="&amp;L$5,BetTable[[Date]:[Date]],"&lt;="&amp;EOMONTH(L$5,0))</f>
        <v>0</v>
      </c>
      <c r="M10" s="186">
        <f>SUMIFS(DWbonus[[Sum]:[Sum]],DWbonus[[Dato]:[Dato]], "&gt;="&amp;M$5,DWbonus[[Dato]:[Dato]],"&lt;="&amp;EOMONTH(M$5,0),DWbonus[[Bookie]:[Bookie]],$K10)+SUMIFS(LayTable[[Faktisk res]:[Faktisk res]],LayTable[[Dato]:[Dato]],"&gt;="&amp;M$5,LayTable[[Dato]:[Dato]],"&lt;="&amp;EOMONTH(M$5,0),LayTable[[Bookmaker]:[Bookmaker]],$K10)+SUMIFS(BetTable[[AR_per_bookie]:[AR_per_bookie]],BetTable[[B1]:[B1]],$K10,BetTable[[Date]:[Date]], "&gt;="&amp;M$5,BetTable[[Date]:[Date]],"&lt;="&amp;EOMONTH(M$5,0))+SUMIFS(BetTable[[AR_per_bookie]:[AR_per_bookie]],BetTable[[B2]:[B2]],$K10,BetTable[[Date]:[Date]], "&gt;="&amp;M$5,BetTable[[Date]:[Date]],"&lt;="&amp;EOMONTH(M$5,0))+SUMIFS(BetTable[[AR_per_bookie]:[AR_per_bookie]],BetTable[[B3]:[B3]],$K10,BetTable[[Date]:[Date]], "&gt;="&amp;M$5,BetTable[[Date]:[Date]],"&lt;="&amp;EOMONTH(M$5,0))</f>
        <v>0</v>
      </c>
      <c r="N10" s="186">
        <f>SUMIFS(DWbonus[[Sum]:[Sum]],DWbonus[[Dato]:[Dato]], "&gt;="&amp;N$5,DWbonus[[Dato]:[Dato]],"&lt;="&amp;EOMONTH(N$5,0),DWbonus[[Bookie]:[Bookie]],$K10)+SUMIFS(LayTable[[Faktisk res]:[Faktisk res]],LayTable[[Dato]:[Dato]],"&gt;="&amp;N$5,LayTable[[Dato]:[Dato]],"&lt;="&amp;EOMONTH(N$5,0),LayTable[[Bookmaker]:[Bookmaker]],$K10)+SUMIFS(BetTable[[AR_per_bookie]:[AR_per_bookie]],BetTable[[B1]:[B1]],$K10,BetTable[[Date]:[Date]], "&gt;="&amp;N$5,BetTable[[Date]:[Date]],"&lt;="&amp;EOMONTH(N$5,0))+SUMIFS(BetTable[[AR_per_bookie]:[AR_per_bookie]],BetTable[[B2]:[B2]],$K10,BetTable[[Date]:[Date]], "&gt;="&amp;N$5,BetTable[[Date]:[Date]],"&lt;="&amp;EOMONTH(N$5,0))+SUMIFS(BetTable[[AR_per_bookie]:[AR_per_bookie]],BetTable[[B3]:[B3]],$K10,BetTable[[Date]:[Date]], "&gt;="&amp;N$5,BetTable[[Date]:[Date]],"&lt;="&amp;EOMONTH(N$5,0))</f>
        <v>0</v>
      </c>
      <c r="O10" s="186">
        <f>SUMIFS(DWbonus[[Sum]:[Sum]],DWbonus[[Dato]:[Dato]], "&gt;="&amp;O$5,DWbonus[[Dato]:[Dato]],"&lt;="&amp;EOMONTH(O$5,0),DWbonus[[Bookie]:[Bookie]],$K10)+SUMIFS(LayTable[[Faktisk res]:[Faktisk res]],LayTable[[Dato]:[Dato]],"&gt;="&amp;O$5,LayTable[[Dato]:[Dato]],"&lt;="&amp;EOMONTH(O$5,0),LayTable[[Bookmaker]:[Bookmaker]],$K10)+SUMIFS(BetTable[[AR_per_bookie]:[AR_per_bookie]],BetTable[[B1]:[B1]],$K10,BetTable[[Date]:[Date]], "&gt;="&amp;O$5,BetTable[[Date]:[Date]],"&lt;="&amp;EOMONTH(O$5,0))+SUMIFS(BetTable[[AR_per_bookie]:[AR_per_bookie]],BetTable[[B2]:[B2]],$K10,BetTable[[Date]:[Date]], "&gt;="&amp;O$5,BetTable[[Date]:[Date]],"&lt;="&amp;EOMONTH(O$5,0))+SUMIFS(BetTable[[AR_per_bookie]:[AR_per_bookie]],BetTable[[B3]:[B3]],$K10,BetTable[[Date]:[Date]], "&gt;="&amp;O$5,BetTable[[Date]:[Date]],"&lt;="&amp;EOMONTH(O$5,0))</f>
        <v>0</v>
      </c>
      <c r="P10" s="186">
        <f>SUMIFS(DWbonus[[Sum]:[Sum]],DWbonus[[Dato]:[Dato]], "&gt;="&amp;P$5,DWbonus[[Dato]:[Dato]],"&lt;="&amp;EOMONTH(P$5,0),DWbonus[[Bookie]:[Bookie]],$K10)+SUMIFS(LayTable[[Faktisk res]:[Faktisk res]],LayTable[[Dato]:[Dato]],"&gt;="&amp;P$5,LayTable[[Dato]:[Dato]],"&lt;="&amp;EOMONTH(P$5,0),LayTable[[Bookmaker]:[Bookmaker]],$K10)+SUMIFS(BetTable[[AR_per_bookie]:[AR_per_bookie]],BetTable[[B1]:[B1]],$K10,BetTable[[Date]:[Date]], "&gt;="&amp;P$5,BetTable[[Date]:[Date]],"&lt;="&amp;EOMONTH(P$5,0))+SUMIFS(BetTable[[AR_per_bookie]:[AR_per_bookie]],BetTable[[B2]:[B2]],$K10,BetTable[[Date]:[Date]], "&gt;="&amp;P$5,BetTable[[Date]:[Date]],"&lt;="&amp;EOMONTH(P$5,0))+SUMIFS(BetTable[[AR_per_bookie]:[AR_per_bookie]],BetTable[[B3]:[B3]],$K10,BetTable[[Date]:[Date]], "&gt;="&amp;P$5,BetTable[[Date]:[Date]],"&lt;="&amp;EOMONTH(P$5,0))</f>
        <v>0</v>
      </c>
      <c r="Q10" s="186">
        <f>SUMIFS(DWbonus[[Sum]:[Sum]],DWbonus[[Dato]:[Dato]], "&gt;="&amp;Q$5,DWbonus[[Dato]:[Dato]],"&lt;="&amp;EOMONTH(Q$5,0),DWbonus[[Bookie]:[Bookie]],$K10)+SUMIFS(LayTable[[Faktisk res]:[Faktisk res]],LayTable[[Dato]:[Dato]],"&gt;="&amp;Q$5,LayTable[[Dato]:[Dato]],"&lt;="&amp;EOMONTH(Q$5,0),LayTable[[Bookmaker]:[Bookmaker]],$K10)+SUMIFS(BetTable[[AR_per_bookie]:[AR_per_bookie]],BetTable[[B1]:[B1]],$K10,BetTable[[Date]:[Date]], "&gt;="&amp;Q$5,BetTable[[Date]:[Date]],"&lt;="&amp;EOMONTH(Q$5,0))+SUMIFS(BetTable[[AR_per_bookie]:[AR_per_bookie]],BetTable[[B2]:[B2]],$K10,BetTable[[Date]:[Date]], "&gt;="&amp;Q$5,BetTable[[Date]:[Date]],"&lt;="&amp;EOMONTH(Q$5,0))+SUMIFS(BetTable[[AR_per_bookie]:[AR_per_bookie]],BetTable[[B3]:[B3]],$K10,BetTable[[Date]:[Date]], "&gt;="&amp;Q$5,BetTable[[Date]:[Date]],"&lt;="&amp;EOMONTH(Q$5,0))</f>
        <v>0</v>
      </c>
      <c r="R10" s="186">
        <f>SUMIFS(DWbonus[[Sum]:[Sum]],DWbonus[[Dato]:[Dato]], "&gt;="&amp;R$5,DWbonus[[Dato]:[Dato]],"&lt;="&amp;EOMONTH(R$5,0),DWbonus[[Bookie]:[Bookie]],$K10)+SUMIFS(LayTable[[Faktisk res]:[Faktisk res]],LayTable[[Dato]:[Dato]],"&gt;="&amp;R$5,LayTable[[Dato]:[Dato]],"&lt;="&amp;EOMONTH(R$5,0),LayTable[[Bookmaker]:[Bookmaker]],$K10)+SUMIFS(BetTable[[AR_per_bookie]:[AR_per_bookie]],BetTable[[B1]:[B1]],$K10,BetTable[[Date]:[Date]], "&gt;="&amp;R$5,BetTable[[Date]:[Date]],"&lt;="&amp;EOMONTH(R$5,0))+SUMIFS(BetTable[[AR_per_bookie]:[AR_per_bookie]],BetTable[[B2]:[B2]],$K10,BetTable[[Date]:[Date]], "&gt;="&amp;R$5,BetTable[[Date]:[Date]],"&lt;="&amp;EOMONTH(R$5,0))+SUMIFS(BetTable[[AR_per_bookie]:[AR_per_bookie]],BetTable[[B3]:[B3]],$K10,BetTable[[Date]:[Date]], "&gt;="&amp;R$5,BetTable[[Date]:[Date]],"&lt;="&amp;EOMONTH(R$5,0))</f>
        <v>0</v>
      </c>
      <c r="S10" s="186">
        <f>SUMIFS(DWbonus[[Sum]:[Sum]],DWbonus[[Dato]:[Dato]], "&gt;="&amp;S$5,DWbonus[[Dato]:[Dato]],"&lt;="&amp;EOMONTH(S$5,0),DWbonus[[Bookie]:[Bookie]],$K10)+SUMIFS(LayTable[[Faktisk res]:[Faktisk res]],LayTable[[Dato]:[Dato]],"&gt;="&amp;S$5,LayTable[[Dato]:[Dato]],"&lt;="&amp;EOMONTH(S$5,0),LayTable[[Bookmaker]:[Bookmaker]],$K10)+SUMIFS(BetTable[[AR_per_bookie]:[AR_per_bookie]],BetTable[[B1]:[B1]],$K10,BetTable[[Date]:[Date]], "&gt;="&amp;S$5,BetTable[[Date]:[Date]],"&lt;="&amp;EOMONTH(S$5,0))+SUMIFS(BetTable[[AR_per_bookie]:[AR_per_bookie]],BetTable[[B2]:[B2]],$K10,BetTable[[Date]:[Date]], "&gt;="&amp;S$5,BetTable[[Date]:[Date]],"&lt;="&amp;EOMONTH(S$5,0))+SUMIFS(BetTable[[AR_per_bookie]:[AR_per_bookie]],BetTable[[B3]:[B3]],$K10,BetTable[[Date]:[Date]], "&gt;="&amp;S$5,BetTable[[Date]:[Date]],"&lt;="&amp;EOMONTH(S$5,0))</f>
        <v>0</v>
      </c>
      <c r="T10" s="186">
        <f>SUMIFS(DWbonus[[Sum]:[Sum]],DWbonus[[Dato]:[Dato]], "&gt;="&amp;T$5,DWbonus[[Dato]:[Dato]],"&lt;="&amp;EOMONTH(T$5,0),DWbonus[[Bookie]:[Bookie]],$K10)+SUMIFS(LayTable[[Faktisk res]:[Faktisk res]],LayTable[[Dato]:[Dato]],"&gt;="&amp;T$5,LayTable[[Dato]:[Dato]],"&lt;="&amp;EOMONTH(T$5,0),LayTable[[Bookmaker]:[Bookmaker]],$K10)+SUMIFS(BetTable[[AR_per_bookie]:[AR_per_bookie]],BetTable[[B1]:[B1]],$K10,BetTable[[Date]:[Date]], "&gt;="&amp;T$5,BetTable[[Date]:[Date]],"&lt;="&amp;EOMONTH(T$5,0))+SUMIFS(BetTable[[AR_per_bookie]:[AR_per_bookie]],BetTable[[B2]:[B2]],$K10,BetTable[[Date]:[Date]], "&gt;="&amp;T$5,BetTable[[Date]:[Date]],"&lt;="&amp;EOMONTH(T$5,0))+SUMIFS(BetTable[[AR_per_bookie]:[AR_per_bookie]],BetTable[[B3]:[B3]],$K10,BetTable[[Date]:[Date]], "&gt;="&amp;T$5,BetTable[[Date]:[Date]],"&lt;="&amp;EOMONTH(T$5,0))</f>
        <v>0</v>
      </c>
      <c r="U10" s="186">
        <f>SUMIFS(DWbonus[[Sum]:[Sum]],DWbonus[[Dato]:[Dato]], "&gt;="&amp;U$5,DWbonus[[Dato]:[Dato]],"&lt;="&amp;EOMONTH(U$5,0),DWbonus[[Bookie]:[Bookie]],$K10)+SUMIFS(LayTable[[Faktisk res]:[Faktisk res]],LayTable[[Dato]:[Dato]],"&gt;="&amp;U$5,LayTable[[Dato]:[Dato]],"&lt;="&amp;EOMONTH(U$5,0),LayTable[[Bookmaker]:[Bookmaker]],$K10)+SUMIFS(BetTable[[AR_per_bookie]:[AR_per_bookie]],BetTable[[B1]:[B1]],$K10,BetTable[[Date]:[Date]], "&gt;="&amp;U$5,BetTable[[Date]:[Date]],"&lt;="&amp;EOMONTH(U$5,0))+SUMIFS(BetTable[[AR_per_bookie]:[AR_per_bookie]],BetTable[[B2]:[B2]],$K10,BetTable[[Date]:[Date]], "&gt;="&amp;U$5,BetTable[[Date]:[Date]],"&lt;="&amp;EOMONTH(U$5,0))+SUMIFS(BetTable[[AR_per_bookie]:[AR_per_bookie]],BetTable[[B3]:[B3]],$K10,BetTable[[Date]:[Date]], "&gt;="&amp;U$5,BetTable[[Date]:[Date]],"&lt;="&amp;EOMONTH(U$5,0))</f>
        <v>0</v>
      </c>
      <c r="V10" s="186">
        <f>SUMIFS(DWbonus[[Sum]:[Sum]],DWbonus[[Dato]:[Dato]], "&gt;="&amp;V$5,DWbonus[[Dato]:[Dato]],"&lt;="&amp;EOMONTH(V$5,0),DWbonus[[Bookie]:[Bookie]],$K10)+SUMIFS(LayTable[[Faktisk res]:[Faktisk res]],LayTable[[Dato]:[Dato]],"&gt;="&amp;V$5,LayTable[[Dato]:[Dato]],"&lt;="&amp;EOMONTH(V$5,0),LayTable[[Bookmaker]:[Bookmaker]],$K10)+SUMIFS(BetTable[[AR_per_bookie]:[AR_per_bookie]],BetTable[[B1]:[B1]],$K10,BetTable[[Date]:[Date]], "&gt;="&amp;V$5,BetTable[[Date]:[Date]],"&lt;="&amp;EOMONTH(V$5,0))+SUMIFS(BetTable[[AR_per_bookie]:[AR_per_bookie]],BetTable[[B2]:[B2]],$K10,BetTable[[Date]:[Date]], "&gt;="&amp;V$5,BetTable[[Date]:[Date]],"&lt;="&amp;EOMONTH(V$5,0))+SUMIFS(BetTable[[AR_per_bookie]:[AR_per_bookie]],BetTable[[B3]:[B3]],$K10,BetTable[[Date]:[Date]], "&gt;="&amp;V$5,BetTable[[Date]:[Date]],"&lt;="&amp;EOMONTH(V$5,0))</f>
        <v>0</v>
      </c>
      <c r="W10" s="186">
        <f>SUMIFS(DWbonus[[Sum]:[Sum]],DWbonus[[Dato]:[Dato]], "&gt;="&amp;W$5,DWbonus[[Dato]:[Dato]],"&lt;="&amp;EOMONTH(W$5,0),DWbonus[[Bookie]:[Bookie]],$K10)+SUMIFS(LayTable[[Faktisk res]:[Faktisk res]],LayTable[[Dato]:[Dato]],"&gt;="&amp;W$5,LayTable[[Dato]:[Dato]],"&lt;="&amp;EOMONTH(W$5,0),LayTable[[Bookmaker]:[Bookmaker]],$K10)+SUMIFS(BetTable[[AR_per_bookie]:[AR_per_bookie]],BetTable[[B1]:[B1]],$K10,BetTable[[Date]:[Date]], "&gt;="&amp;W$5,BetTable[[Date]:[Date]],"&lt;="&amp;EOMONTH(W$5,0))+SUMIFS(BetTable[[AR_per_bookie]:[AR_per_bookie]],BetTable[[B2]:[B2]],$K10,BetTable[[Date]:[Date]], "&gt;="&amp;W$5,BetTable[[Date]:[Date]],"&lt;="&amp;EOMONTH(W$5,0))+SUMIFS(BetTable[[AR_per_bookie]:[AR_per_bookie]],BetTable[[B3]:[B3]],$K10,BetTable[[Date]:[Date]], "&gt;="&amp;W$5,BetTable[[Date]:[Date]],"&lt;="&amp;EOMONTH(W$5,0))</f>
        <v>0</v>
      </c>
    </row>
    <row r="11" spans="1:23">
      <c r="A11" s="174" t="s">
        <v>313</v>
      </c>
      <c r="B11" s="186">
        <f>Q6</f>
        <v>0</v>
      </c>
      <c r="C11" s="186">
        <v>0</v>
      </c>
      <c r="D11" s="186">
        <f t="shared" si="2"/>
        <v>0</v>
      </c>
      <c r="E11" s="186">
        <v>0</v>
      </c>
      <c r="F11" s="186">
        <f t="shared" si="0"/>
        <v>0</v>
      </c>
      <c r="K11" s="174" t="str">
        <f t="array" ref="K11">IFERROR(INDEX(BookieNavn!H$2:H$1251,SMALL(IF(EXACT(LEFT(BookieNavn!H$2:H$1251,2),M$3),ROW(BookieNavn!H$2:H$1251)-ROW(BookieNavn!H$2)+1),ROWS(BookieNavn!H$2:'BookieNavn'!H6))),"")</f>
        <v>AaBethard</v>
      </c>
      <c r="L11" s="186">
        <f>SUMIFS(DWbonus[[Sum]:[Sum]],DWbonus[[Dato]:[Dato]], "&gt;="&amp;L$5,DWbonus[[Dato]:[Dato]],"&lt;="&amp;EOMONTH(L$5,0),DWbonus[[Bookie]:[Bookie]],$K11)+SUMIFS(LayTable[[Faktisk res]:[Faktisk res]],LayTable[[Dato]:[Dato]],"&gt;="&amp;L$5,LayTable[[Dato]:[Dato]],"&lt;="&amp;EOMONTH(L$5,0),LayTable[[Bookmaker]:[Bookmaker]],$K11)+SUMIFS(BetTable[[AR_per_bookie]:[AR_per_bookie]],BetTable[[B1]:[B1]],$K11,BetTable[[Date]:[Date]], "&gt;="&amp;L$5,BetTable[[Date]:[Date]],"&lt;="&amp;EOMONTH(L$5,0))+SUMIFS(BetTable[[AR_per_bookie]:[AR_per_bookie]],BetTable[[B2]:[B2]],$K11,BetTable[[Date]:[Date]], "&gt;="&amp;L$5,BetTable[[Date]:[Date]],"&lt;="&amp;EOMONTH(L$5,0))+SUMIFS(BetTable[[AR_per_bookie]:[AR_per_bookie]],BetTable[[B3]:[B3]],$K11,BetTable[[Date]:[Date]], "&gt;="&amp;L$5,BetTable[[Date]:[Date]],"&lt;="&amp;EOMONTH(L$5,0))</f>
        <v>0</v>
      </c>
      <c r="M11" s="186">
        <f>SUMIFS(DWbonus[[Sum]:[Sum]],DWbonus[[Dato]:[Dato]], "&gt;="&amp;M$5,DWbonus[[Dato]:[Dato]],"&lt;="&amp;EOMONTH(M$5,0),DWbonus[[Bookie]:[Bookie]],$K11)+SUMIFS(LayTable[[Faktisk res]:[Faktisk res]],LayTable[[Dato]:[Dato]],"&gt;="&amp;M$5,LayTable[[Dato]:[Dato]],"&lt;="&amp;EOMONTH(M$5,0),LayTable[[Bookmaker]:[Bookmaker]],$K11)+SUMIFS(BetTable[[AR_per_bookie]:[AR_per_bookie]],BetTable[[B1]:[B1]],$K11,BetTable[[Date]:[Date]], "&gt;="&amp;M$5,BetTable[[Date]:[Date]],"&lt;="&amp;EOMONTH(M$5,0))+SUMIFS(BetTable[[AR_per_bookie]:[AR_per_bookie]],BetTable[[B2]:[B2]],$K11,BetTable[[Date]:[Date]], "&gt;="&amp;M$5,BetTable[[Date]:[Date]],"&lt;="&amp;EOMONTH(M$5,0))+SUMIFS(BetTable[[AR_per_bookie]:[AR_per_bookie]],BetTable[[B3]:[B3]],$K11,BetTable[[Date]:[Date]], "&gt;="&amp;M$5,BetTable[[Date]:[Date]],"&lt;="&amp;EOMONTH(M$5,0))</f>
        <v>0</v>
      </c>
      <c r="N11" s="186">
        <f>SUMIFS(DWbonus[[Sum]:[Sum]],DWbonus[[Dato]:[Dato]], "&gt;="&amp;N$5,DWbonus[[Dato]:[Dato]],"&lt;="&amp;EOMONTH(N$5,0),DWbonus[[Bookie]:[Bookie]],$K11)+SUMIFS(LayTable[[Faktisk res]:[Faktisk res]],LayTable[[Dato]:[Dato]],"&gt;="&amp;N$5,LayTable[[Dato]:[Dato]],"&lt;="&amp;EOMONTH(N$5,0),LayTable[[Bookmaker]:[Bookmaker]],$K11)+SUMIFS(BetTable[[AR_per_bookie]:[AR_per_bookie]],BetTable[[B1]:[B1]],$K11,BetTable[[Date]:[Date]], "&gt;="&amp;N$5,BetTable[[Date]:[Date]],"&lt;="&amp;EOMONTH(N$5,0))+SUMIFS(BetTable[[AR_per_bookie]:[AR_per_bookie]],BetTable[[B2]:[B2]],$K11,BetTable[[Date]:[Date]], "&gt;="&amp;N$5,BetTable[[Date]:[Date]],"&lt;="&amp;EOMONTH(N$5,0))+SUMIFS(BetTable[[AR_per_bookie]:[AR_per_bookie]],BetTable[[B3]:[B3]],$K11,BetTable[[Date]:[Date]], "&gt;="&amp;N$5,BetTable[[Date]:[Date]],"&lt;="&amp;EOMONTH(N$5,0))</f>
        <v>0</v>
      </c>
      <c r="O11" s="186">
        <f>SUMIFS(DWbonus[[Sum]:[Sum]],DWbonus[[Dato]:[Dato]], "&gt;="&amp;O$5,DWbonus[[Dato]:[Dato]],"&lt;="&amp;EOMONTH(O$5,0),DWbonus[[Bookie]:[Bookie]],$K11)+SUMIFS(LayTable[[Faktisk res]:[Faktisk res]],LayTable[[Dato]:[Dato]],"&gt;="&amp;O$5,LayTable[[Dato]:[Dato]],"&lt;="&amp;EOMONTH(O$5,0),LayTable[[Bookmaker]:[Bookmaker]],$K11)+SUMIFS(BetTable[[AR_per_bookie]:[AR_per_bookie]],BetTable[[B1]:[B1]],$K11,BetTable[[Date]:[Date]], "&gt;="&amp;O$5,BetTable[[Date]:[Date]],"&lt;="&amp;EOMONTH(O$5,0))+SUMIFS(BetTable[[AR_per_bookie]:[AR_per_bookie]],BetTable[[B2]:[B2]],$K11,BetTable[[Date]:[Date]], "&gt;="&amp;O$5,BetTable[[Date]:[Date]],"&lt;="&amp;EOMONTH(O$5,0))+SUMIFS(BetTable[[AR_per_bookie]:[AR_per_bookie]],BetTable[[B3]:[B3]],$K11,BetTable[[Date]:[Date]], "&gt;="&amp;O$5,BetTable[[Date]:[Date]],"&lt;="&amp;EOMONTH(O$5,0))</f>
        <v>0</v>
      </c>
      <c r="P11" s="186">
        <f>SUMIFS(DWbonus[[Sum]:[Sum]],DWbonus[[Dato]:[Dato]], "&gt;="&amp;P$5,DWbonus[[Dato]:[Dato]],"&lt;="&amp;EOMONTH(P$5,0),DWbonus[[Bookie]:[Bookie]],$K11)+SUMIFS(LayTable[[Faktisk res]:[Faktisk res]],LayTable[[Dato]:[Dato]],"&gt;="&amp;P$5,LayTable[[Dato]:[Dato]],"&lt;="&amp;EOMONTH(P$5,0),LayTable[[Bookmaker]:[Bookmaker]],$K11)+SUMIFS(BetTable[[AR_per_bookie]:[AR_per_bookie]],BetTable[[B1]:[B1]],$K11,BetTable[[Date]:[Date]], "&gt;="&amp;P$5,BetTable[[Date]:[Date]],"&lt;="&amp;EOMONTH(P$5,0))+SUMIFS(BetTable[[AR_per_bookie]:[AR_per_bookie]],BetTable[[B2]:[B2]],$K11,BetTable[[Date]:[Date]], "&gt;="&amp;P$5,BetTable[[Date]:[Date]],"&lt;="&amp;EOMONTH(P$5,0))+SUMIFS(BetTable[[AR_per_bookie]:[AR_per_bookie]],BetTable[[B3]:[B3]],$K11,BetTable[[Date]:[Date]], "&gt;="&amp;P$5,BetTable[[Date]:[Date]],"&lt;="&amp;EOMONTH(P$5,0))</f>
        <v>0</v>
      </c>
      <c r="Q11" s="186">
        <f>SUMIFS(DWbonus[[Sum]:[Sum]],DWbonus[[Dato]:[Dato]], "&gt;="&amp;Q$5,DWbonus[[Dato]:[Dato]],"&lt;="&amp;EOMONTH(Q$5,0),DWbonus[[Bookie]:[Bookie]],$K11)+SUMIFS(LayTable[[Faktisk res]:[Faktisk res]],LayTable[[Dato]:[Dato]],"&gt;="&amp;Q$5,LayTable[[Dato]:[Dato]],"&lt;="&amp;EOMONTH(Q$5,0),LayTable[[Bookmaker]:[Bookmaker]],$K11)+SUMIFS(BetTable[[AR_per_bookie]:[AR_per_bookie]],BetTable[[B1]:[B1]],$K11,BetTable[[Date]:[Date]], "&gt;="&amp;Q$5,BetTable[[Date]:[Date]],"&lt;="&amp;EOMONTH(Q$5,0))+SUMIFS(BetTable[[AR_per_bookie]:[AR_per_bookie]],BetTable[[B2]:[B2]],$K11,BetTable[[Date]:[Date]], "&gt;="&amp;Q$5,BetTable[[Date]:[Date]],"&lt;="&amp;EOMONTH(Q$5,0))+SUMIFS(BetTable[[AR_per_bookie]:[AR_per_bookie]],BetTable[[B3]:[B3]],$K11,BetTable[[Date]:[Date]], "&gt;="&amp;Q$5,BetTable[[Date]:[Date]],"&lt;="&amp;EOMONTH(Q$5,0))</f>
        <v>0</v>
      </c>
      <c r="R11" s="186">
        <f>SUMIFS(DWbonus[[Sum]:[Sum]],DWbonus[[Dato]:[Dato]], "&gt;="&amp;R$5,DWbonus[[Dato]:[Dato]],"&lt;="&amp;EOMONTH(R$5,0),DWbonus[[Bookie]:[Bookie]],$K11)+SUMIFS(LayTable[[Faktisk res]:[Faktisk res]],LayTable[[Dato]:[Dato]],"&gt;="&amp;R$5,LayTable[[Dato]:[Dato]],"&lt;="&amp;EOMONTH(R$5,0),LayTable[[Bookmaker]:[Bookmaker]],$K11)+SUMIFS(BetTable[[AR_per_bookie]:[AR_per_bookie]],BetTable[[B1]:[B1]],$K11,BetTable[[Date]:[Date]], "&gt;="&amp;R$5,BetTable[[Date]:[Date]],"&lt;="&amp;EOMONTH(R$5,0))+SUMIFS(BetTable[[AR_per_bookie]:[AR_per_bookie]],BetTable[[B2]:[B2]],$K11,BetTable[[Date]:[Date]], "&gt;="&amp;R$5,BetTable[[Date]:[Date]],"&lt;="&amp;EOMONTH(R$5,0))+SUMIFS(BetTable[[AR_per_bookie]:[AR_per_bookie]],BetTable[[B3]:[B3]],$K11,BetTable[[Date]:[Date]], "&gt;="&amp;R$5,BetTable[[Date]:[Date]],"&lt;="&amp;EOMONTH(R$5,0))</f>
        <v>0</v>
      </c>
      <c r="S11" s="186">
        <f>SUMIFS(DWbonus[[Sum]:[Sum]],DWbonus[[Dato]:[Dato]], "&gt;="&amp;S$5,DWbonus[[Dato]:[Dato]],"&lt;="&amp;EOMONTH(S$5,0),DWbonus[[Bookie]:[Bookie]],$K11)+SUMIFS(LayTable[[Faktisk res]:[Faktisk res]],LayTable[[Dato]:[Dato]],"&gt;="&amp;S$5,LayTable[[Dato]:[Dato]],"&lt;="&amp;EOMONTH(S$5,0),LayTable[[Bookmaker]:[Bookmaker]],$K11)+SUMIFS(BetTable[[AR_per_bookie]:[AR_per_bookie]],BetTable[[B1]:[B1]],$K11,BetTable[[Date]:[Date]], "&gt;="&amp;S$5,BetTable[[Date]:[Date]],"&lt;="&amp;EOMONTH(S$5,0))+SUMIFS(BetTable[[AR_per_bookie]:[AR_per_bookie]],BetTable[[B2]:[B2]],$K11,BetTable[[Date]:[Date]], "&gt;="&amp;S$5,BetTable[[Date]:[Date]],"&lt;="&amp;EOMONTH(S$5,0))+SUMIFS(BetTable[[AR_per_bookie]:[AR_per_bookie]],BetTable[[B3]:[B3]],$K11,BetTable[[Date]:[Date]], "&gt;="&amp;S$5,BetTable[[Date]:[Date]],"&lt;="&amp;EOMONTH(S$5,0))</f>
        <v>0</v>
      </c>
      <c r="T11" s="186">
        <f>SUMIFS(DWbonus[[Sum]:[Sum]],DWbonus[[Dato]:[Dato]], "&gt;="&amp;T$5,DWbonus[[Dato]:[Dato]],"&lt;="&amp;EOMONTH(T$5,0),DWbonus[[Bookie]:[Bookie]],$K11)+SUMIFS(LayTable[[Faktisk res]:[Faktisk res]],LayTable[[Dato]:[Dato]],"&gt;="&amp;T$5,LayTable[[Dato]:[Dato]],"&lt;="&amp;EOMONTH(T$5,0),LayTable[[Bookmaker]:[Bookmaker]],$K11)+SUMIFS(BetTable[[AR_per_bookie]:[AR_per_bookie]],BetTable[[B1]:[B1]],$K11,BetTable[[Date]:[Date]], "&gt;="&amp;T$5,BetTable[[Date]:[Date]],"&lt;="&amp;EOMONTH(T$5,0))+SUMIFS(BetTable[[AR_per_bookie]:[AR_per_bookie]],BetTable[[B2]:[B2]],$K11,BetTable[[Date]:[Date]], "&gt;="&amp;T$5,BetTable[[Date]:[Date]],"&lt;="&amp;EOMONTH(T$5,0))+SUMIFS(BetTable[[AR_per_bookie]:[AR_per_bookie]],BetTable[[B3]:[B3]],$K11,BetTable[[Date]:[Date]], "&gt;="&amp;T$5,BetTable[[Date]:[Date]],"&lt;="&amp;EOMONTH(T$5,0))</f>
        <v>0</v>
      </c>
      <c r="U11" s="186">
        <f>SUMIFS(DWbonus[[Sum]:[Sum]],DWbonus[[Dato]:[Dato]], "&gt;="&amp;U$5,DWbonus[[Dato]:[Dato]],"&lt;="&amp;EOMONTH(U$5,0),DWbonus[[Bookie]:[Bookie]],$K11)+SUMIFS(LayTable[[Faktisk res]:[Faktisk res]],LayTable[[Dato]:[Dato]],"&gt;="&amp;U$5,LayTable[[Dato]:[Dato]],"&lt;="&amp;EOMONTH(U$5,0),LayTable[[Bookmaker]:[Bookmaker]],$K11)+SUMIFS(BetTable[[AR_per_bookie]:[AR_per_bookie]],BetTable[[B1]:[B1]],$K11,BetTable[[Date]:[Date]], "&gt;="&amp;U$5,BetTable[[Date]:[Date]],"&lt;="&amp;EOMONTH(U$5,0))+SUMIFS(BetTable[[AR_per_bookie]:[AR_per_bookie]],BetTable[[B2]:[B2]],$K11,BetTable[[Date]:[Date]], "&gt;="&amp;U$5,BetTable[[Date]:[Date]],"&lt;="&amp;EOMONTH(U$5,0))+SUMIFS(BetTable[[AR_per_bookie]:[AR_per_bookie]],BetTable[[B3]:[B3]],$K11,BetTable[[Date]:[Date]], "&gt;="&amp;U$5,BetTable[[Date]:[Date]],"&lt;="&amp;EOMONTH(U$5,0))</f>
        <v>0</v>
      </c>
      <c r="V11" s="186">
        <f>SUMIFS(DWbonus[[Sum]:[Sum]],DWbonus[[Dato]:[Dato]], "&gt;="&amp;V$5,DWbonus[[Dato]:[Dato]],"&lt;="&amp;EOMONTH(V$5,0),DWbonus[[Bookie]:[Bookie]],$K11)+SUMIFS(LayTable[[Faktisk res]:[Faktisk res]],LayTable[[Dato]:[Dato]],"&gt;="&amp;V$5,LayTable[[Dato]:[Dato]],"&lt;="&amp;EOMONTH(V$5,0),LayTable[[Bookmaker]:[Bookmaker]],$K11)+SUMIFS(BetTable[[AR_per_bookie]:[AR_per_bookie]],BetTable[[B1]:[B1]],$K11,BetTable[[Date]:[Date]], "&gt;="&amp;V$5,BetTable[[Date]:[Date]],"&lt;="&amp;EOMONTH(V$5,0))+SUMIFS(BetTable[[AR_per_bookie]:[AR_per_bookie]],BetTable[[B2]:[B2]],$K11,BetTable[[Date]:[Date]], "&gt;="&amp;V$5,BetTable[[Date]:[Date]],"&lt;="&amp;EOMONTH(V$5,0))+SUMIFS(BetTable[[AR_per_bookie]:[AR_per_bookie]],BetTable[[B3]:[B3]],$K11,BetTable[[Date]:[Date]], "&gt;="&amp;V$5,BetTable[[Date]:[Date]],"&lt;="&amp;EOMONTH(V$5,0))</f>
        <v>0</v>
      </c>
      <c r="W11" s="186">
        <f>SUMIFS(DWbonus[[Sum]:[Sum]],DWbonus[[Dato]:[Dato]], "&gt;="&amp;W$5,DWbonus[[Dato]:[Dato]],"&lt;="&amp;EOMONTH(W$5,0),DWbonus[[Bookie]:[Bookie]],$K11)+SUMIFS(LayTable[[Faktisk res]:[Faktisk res]],LayTable[[Dato]:[Dato]],"&gt;="&amp;W$5,LayTable[[Dato]:[Dato]],"&lt;="&amp;EOMONTH(W$5,0),LayTable[[Bookmaker]:[Bookmaker]],$K11)+SUMIFS(BetTable[[AR_per_bookie]:[AR_per_bookie]],BetTable[[B1]:[B1]],$K11,BetTable[[Date]:[Date]], "&gt;="&amp;W$5,BetTable[[Date]:[Date]],"&lt;="&amp;EOMONTH(W$5,0))+SUMIFS(BetTable[[AR_per_bookie]:[AR_per_bookie]],BetTable[[B2]:[B2]],$K11,BetTable[[Date]:[Date]], "&gt;="&amp;W$5,BetTable[[Date]:[Date]],"&lt;="&amp;EOMONTH(W$5,0))+SUMIFS(BetTable[[AR_per_bookie]:[AR_per_bookie]],BetTable[[B3]:[B3]],$K11,BetTable[[Date]:[Date]], "&gt;="&amp;W$5,BetTable[[Date]:[Date]],"&lt;="&amp;EOMONTH(W$5,0))</f>
        <v>0</v>
      </c>
    </row>
    <row r="12" spans="1:23">
      <c r="A12" s="174" t="s">
        <v>314</v>
      </c>
      <c r="B12" s="186">
        <f>R6</f>
        <v>0</v>
      </c>
      <c r="C12" s="186">
        <v>0</v>
      </c>
      <c r="D12" s="186">
        <f>C12+MAX(ROUND(B12*$F$2,0),F$3)</f>
        <v>0</v>
      </c>
      <c r="E12" s="186">
        <v>0</v>
      </c>
      <c r="F12" s="186">
        <f t="shared" si="0"/>
        <v>0</v>
      </c>
      <c r="K12" s="174" t="str">
        <f t="array" ref="K12">IFERROR(INDEX(BookieNavn!H$2:H$1251,SMALL(IF(EXACT(LEFT(BookieNavn!H$2:H$1251,2),M$3),ROW(BookieNavn!H$2:H$1251)-ROW(BookieNavn!H$2)+1),ROWS(BookieNavn!H$2:'BookieNavn'!H7))),"")</f>
        <v>AaBet365</v>
      </c>
      <c r="L12" s="186">
        <f>SUMIFS(DWbonus[[Sum]:[Sum]],DWbonus[[Dato]:[Dato]], "&gt;="&amp;L$5,DWbonus[[Dato]:[Dato]],"&lt;="&amp;EOMONTH(L$5,0),DWbonus[[Bookie]:[Bookie]],$K12)+SUMIFS(LayTable[[Faktisk res]:[Faktisk res]],LayTable[[Dato]:[Dato]],"&gt;="&amp;L$5,LayTable[[Dato]:[Dato]],"&lt;="&amp;EOMONTH(L$5,0),LayTable[[Bookmaker]:[Bookmaker]],$K12)+SUMIFS(BetTable[[AR_per_bookie]:[AR_per_bookie]],BetTable[[B1]:[B1]],$K12,BetTable[[Date]:[Date]], "&gt;="&amp;L$5,BetTable[[Date]:[Date]],"&lt;="&amp;EOMONTH(L$5,0))+SUMIFS(BetTable[[AR_per_bookie]:[AR_per_bookie]],BetTable[[B2]:[B2]],$K12,BetTable[[Date]:[Date]], "&gt;="&amp;L$5,BetTable[[Date]:[Date]],"&lt;="&amp;EOMONTH(L$5,0))+SUMIFS(BetTable[[AR_per_bookie]:[AR_per_bookie]],BetTable[[B3]:[B3]],$K12,BetTable[[Date]:[Date]], "&gt;="&amp;L$5,BetTable[[Date]:[Date]],"&lt;="&amp;EOMONTH(L$5,0))</f>
        <v>0</v>
      </c>
      <c r="M12" s="186">
        <f>SUMIFS(DWbonus[[Sum]:[Sum]],DWbonus[[Dato]:[Dato]], "&gt;="&amp;M$5,DWbonus[[Dato]:[Dato]],"&lt;="&amp;EOMONTH(M$5,0),DWbonus[[Bookie]:[Bookie]],$K12)+SUMIFS(LayTable[[Faktisk res]:[Faktisk res]],LayTable[[Dato]:[Dato]],"&gt;="&amp;M$5,LayTable[[Dato]:[Dato]],"&lt;="&amp;EOMONTH(M$5,0),LayTable[[Bookmaker]:[Bookmaker]],$K12)+SUMIFS(BetTable[[AR_per_bookie]:[AR_per_bookie]],BetTable[[B1]:[B1]],$K12,BetTable[[Date]:[Date]], "&gt;="&amp;M$5,BetTable[[Date]:[Date]],"&lt;="&amp;EOMONTH(M$5,0))+SUMIFS(BetTable[[AR_per_bookie]:[AR_per_bookie]],BetTable[[B2]:[B2]],$K12,BetTable[[Date]:[Date]], "&gt;="&amp;M$5,BetTable[[Date]:[Date]],"&lt;="&amp;EOMONTH(M$5,0))+SUMIFS(BetTable[[AR_per_bookie]:[AR_per_bookie]],BetTable[[B3]:[B3]],$K12,BetTable[[Date]:[Date]], "&gt;="&amp;M$5,BetTable[[Date]:[Date]],"&lt;="&amp;EOMONTH(M$5,0))</f>
        <v>0</v>
      </c>
      <c r="N12" s="186">
        <f>SUMIFS(DWbonus[[Sum]:[Sum]],DWbonus[[Dato]:[Dato]], "&gt;="&amp;N$5,DWbonus[[Dato]:[Dato]],"&lt;="&amp;EOMONTH(N$5,0),DWbonus[[Bookie]:[Bookie]],$K12)+SUMIFS(LayTable[[Faktisk res]:[Faktisk res]],LayTable[[Dato]:[Dato]],"&gt;="&amp;N$5,LayTable[[Dato]:[Dato]],"&lt;="&amp;EOMONTH(N$5,0),LayTable[[Bookmaker]:[Bookmaker]],$K12)+SUMIFS(BetTable[[AR_per_bookie]:[AR_per_bookie]],BetTable[[B1]:[B1]],$K12,BetTable[[Date]:[Date]], "&gt;="&amp;N$5,BetTable[[Date]:[Date]],"&lt;="&amp;EOMONTH(N$5,0))+SUMIFS(BetTable[[AR_per_bookie]:[AR_per_bookie]],BetTable[[B2]:[B2]],$K12,BetTable[[Date]:[Date]], "&gt;="&amp;N$5,BetTable[[Date]:[Date]],"&lt;="&amp;EOMONTH(N$5,0))+SUMIFS(BetTable[[AR_per_bookie]:[AR_per_bookie]],BetTable[[B3]:[B3]],$K12,BetTable[[Date]:[Date]], "&gt;="&amp;N$5,BetTable[[Date]:[Date]],"&lt;="&amp;EOMONTH(N$5,0))</f>
        <v>0</v>
      </c>
      <c r="O12" s="186">
        <f>SUMIFS(DWbonus[[Sum]:[Sum]],DWbonus[[Dato]:[Dato]], "&gt;="&amp;O$5,DWbonus[[Dato]:[Dato]],"&lt;="&amp;EOMONTH(O$5,0),DWbonus[[Bookie]:[Bookie]],$K12)+SUMIFS(LayTable[[Faktisk res]:[Faktisk res]],LayTable[[Dato]:[Dato]],"&gt;="&amp;O$5,LayTable[[Dato]:[Dato]],"&lt;="&amp;EOMONTH(O$5,0),LayTable[[Bookmaker]:[Bookmaker]],$K12)+SUMIFS(BetTable[[AR_per_bookie]:[AR_per_bookie]],BetTable[[B1]:[B1]],$K12,BetTable[[Date]:[Date]], "&gt;="&amp;O$5,BetTable[[Date]:[Date]],"&lt;="&amp;EOMONTH(O$5,0))+SUMIFS(BetTable[[AR_per_bookie]:[AR_per_bookie]],BetTable[[B2]:[B2]],$K12,BetTable[[Date]:[Date]], "&gt;="&amp;O$5,BetTable[[Date]:[Date]],"&lt;="&amp;EOMONTH(O$5,0))+SUMIFS(BetTable[[AR_per_bookie]:[AR_per_bookie]],BetTable[[B3]:[B3]],$K12,BetTable[[Date]:[Date]], "&gt;="&amp;O$5,BetTable[[Date]:[Date]],"&lt;="&amp;EOMONTH(O$5,0))</f>
        <v>0</v>
      </c>
      <c r="P12" s="186">
        <f>SUMIFS(DWbonus[[Sum]:[Sum]],DWbonus[[Dato]:[Dato]], "&gt;="&amp;P$5,DWbonus[[Dato]:[Dato]],"&lt;="&amp;EOMONTH(P$5,0),DWbonus[[Bookie]:[Bookie]],$K12)+SUMIFS(LayTable[[Faktisk res]:[Faktisk res]],LayTable[[Dato]:[Dato]],"&gt;="&amp;P$5,LayTable[[Dato]:[Dato]],"&lt;="&amp;EOMONTH(P$5,0),LayTable[[Bookmaker]:[Bookmaker]],$K12)+SUMIFS(BetTable[[AR_per_bookie]:[AR_per_bookie]],BetTable[[B1]:[B1]],$K12,BetTable[[Date]:[Date]], "&gt;="&amp;P$5,BetTable[[Date]:[Date]],"&lt;="&amp;EOMONTH(P$5,0))+SUMIFS(BetTable[[AR_per_bookie]:[AR_per_bookie]],BetTable[[B2]:[B2]],$K12,BetTable[[Date]:[Date]], "&gt;="&amp;P$5,BetTable[[Date]:[Date]],"&lt;="&amp;EOMONTH(P$5,0))+SUMIFS(BetTable[[AR_per_bookie]:[AR_per_bookie]],BetTable[[B3]:[B3]],$K12,BetTable[[Date]:[Date]], "&gt;="&amp;P$5,BetTable[[Date]:[Date]],"&lt;="&amp;EOMONTH(P$5,0))</f>
        <v>0</v>
      </c>
      <c r="Q12" s="186">
        <f>SUMIFS(DWbonus[[Sum]:[Sum]],DWbonus[[Dato]:[Dato]], "&gt;="&amp;Q$5,DWbonus[[Dato]:[Dato]],"&lt;="&amp;EOMONTH(Q$5,0),DWbonus[[Bookie]:[Bookie]],$K12)+SUMIFS(LayTable[[Faktisk res]:[Faktisk res]],LayTable[[Dato]:[Dato]],"&gt;="&amp;Q$5,LayTable[[Dato]:[Dato]],"&lt;="&amp;EOMONTH(Q$5,0),LayTable[[Bookmaker]:[Bookmaker]],$K12)+SUMIFS(BetTable[[AR_per_bookie]:[AR_per_bookie]],BetTable[[B1]:[B1]],$K12,BetTable[[Date]:[Date]], "&gt;="&amp;Q$5,BetTable[[Date]:[Date]],"&lt;="&amp;EOMONTH(Q$5,0))+SUMIFS(BetTable[[AR_per_bookie]:[AR_per_bookie]],BetTable[[B2]:[B2]],$K12,BetTable[[Date]:[Date]], "&gt;="&amp;Q$5,BetTable[[Date]:[Date]],"&lt;="&amp;EOMONTH(Q$5,0))+SUMIFS(BetTable[[AR_per_bookie]:[AR_per_bookie]],BetTable[[B3]:[B3]],$K12,BetTable[[Date]:[Date]], "&gt;="&amp;Q$5,BetTable[[Date]:[Date]],"&lt;="&amp;EOMONTH(Q$5,0))</f>
        <v>0</v>
      </c>
      <c r="R12" s="186">
        <f>SUMIFS(DWbonus[[Sum]:[Sum]],DWbonus[[Dato]:[Dato]], "&gt;="&amp;R$5,DWbonus[[Dato]:[Dato]],"&lt;="&amp;EOMONTH(R$5,0),DWbonus[[Bookie]:[Bookie]],$K12)+SUMIFS(LayTable[[Faktisk res]:[Faktisk res]],LayTable[[Dato]:[Dato]],"&gt;="&amp;R$5,LayTable[[Dato]:[Dato]],"&lt;="&amp;EOMONTH(R$5,0),LayTable[[Bookmaker]:[Bookmaker]],$K12)+SUMIFS(BetTable[[AR_per_bookie]:[AR_per_bookie]],BetTable[[B1]:[B1]],$K12,BetTable[[Date]:[Date]], "&gt;="&amp;R$5,BetTable[[Date]:[Date]],"&lt;="&amp;EOMONTH(R$5,0))+SUMIFS(BetTable[[AR_per_bookie]:[AR_per_bookie]],BetTable[[B2]:[B2]],$K12,BetTable[[Date]:[Date]], "&gt;="&amp;R$5,BetTable[[Date]:[Date]],"&lt;="&amp;EOMONTH(R$5,0))+SUMIFS(BetTable[[AR_per_bookie]:[AR_per_bookie]],BetTable[[B3]:[B3]],$K12,BetTable[[Date]:[Date]], "&gt;="&amp;R$5,BetTable[[Date]:[Date]],"&lt;="&amp;EOMONTH(R$5,0))</f>
        <v>0</v>
      </c>
      <c r="S12" s="186">
        <f>SUMIFS(DWbonus[[Sum]:[Sum]],DWbonus[[Dato]:[Dato]], "&gt;="&amp;S$5,DWbonus[[Dato]:[Dato]],"&lt;="&amp;EOMONTH(S$5,0),DWbonus[[Bookie]:[Bookie]],$K12)+SUMIFS(LayTable[[Faktisk res]:[Faktisk res]],LayTable[[Dato]:[Dato]],"&gt;="&amp;S$5,LayTable[[Dato]:[Dato]],"&lt;="&amp;EOMONTH(S$5,0),LayTable[[Bookmaker]:[Bookmaker]],$K12)+SUMIFS(BetTable[[AR_per_bookie]:[AR_per_bookie]],BetTable[[B1]:[B1]],$K12,BetTable[[Date]:[Date]], "&gt;="&amp;S$5,BetTable[[Date]:[Date]],"&lt;="&amp;EOMONTH(S$5,0))+SUMIFS(BetTable[[AR_per_bookie]:[AR_per_bookie]],BetTable[[B2]:[B2]],$K12,BetTable[[Date]:[Date]], "&gt;="&amp;S$5,BetTable[[Date]:[Date]],"&lt;="&amp;EOMONTH(S$5,0))+SUMIFS(BetTable[[AR_per_bookie]:[AR_per_bookie]],BetTable[[B3]:[B3]],$K12,BetTable[[Date]:[Date]], "&gt;="&amp;S$5,BetTable[[Date]:[Date]],"&lt;="&amp;EOMONTH(S$5,0))</f>
        <v>0</v>
      </c>
      <c r="T12" s="186">
        <f>SUMIFS(DWbonus[[Sum]:[Sum]],DWbonus[[Dato]:[Dato]], "&gt;="&amp;T$5,DWbonus[[Dato]:[Dato]],"&lt;="&amp;EOMONTH(T$5,0),DWbonus[[Bookie]:[Bookie]],$K12)+SUMIFS(LayTable[[Faktisk res]:[Faktisk res]],LayTable[[Dato]:[Dato]],"&gt;="&amp;T$5,LayTable[[Dato]:[Dato]],"&lt;="&amp;EOMONTH(T$5,0),LayTable[[Bookmaker]:[Bookmaker]],$K12)+SUMIFS(BetTable[[AR_per_bookie]:[AR_per_bookie]],BetTable[[B1]:[B1]],$K12,BetTable[[Date]:[Date]], "&gt;="&amp;T$5,BetTable[[Date]:[Date]],"&lt;="&amp;EOMONTH(T$5,0))+SUMIFS(BetTable[[AR_per_bookie]:[AR_per_bookie]],BetTable[[B2]:[B2]],$K12,BetTable[[Date]:[Date]], "&gt;="&amp;T$5,BetTable[[Date]:[Date]],"&lt;="&amp;EOMONTH(T$5,0))+SUMIFS(BetTable[[AR_per_bookie]:[AR_per_bookie]],BetTable[[B3]:[B3]],$K12,BetTable[[Date]:[Date]], "&gt;="&amp;T$5,BetTable[[Date]:[Date]],"&lt;="&amp;EOMONTH(T$5,0))</f>
        <v>0</v>
      </c>
      <c r="U12" s="186">
        <f>SUMIFS(DWbonus[[Sum]:[Sum]],DWbonus[[Dato]:[Dato]], "&gt;="&amp;U$5,DWbonus[[Dato]:[Dato]],"&lt;="&amp;EOMONTH(U$5,0),DWbonus[[Bookie]:[Bookie]],$K12)+SUMIFS(LayTable[[Faktisk res]:[Faktisk res]],LayTable[[Dato]:[Dato]],"&gt;="&amp;U$5,LayTable[[Dato]:[Dato]],"&lt;="&amp;EOMONTH(U$5,0),LayTable[[Bookmaker]:[Bookmaker]],$K12)+SUMIFS(BetTable[[AR_per_bookie]:[AR_per_bookie]],BetTable[[B1]:[B1]],$K12,BetTable[[Date]:[Date]], "&gt;="&amp;U$5,BetTable[[Date]:[Date]],"&lt;="&amp;EOMONTH(U$5,0))+SUMIFS(BetTable[[AR_per_bookie]:[AR_per_bookie]],BetTable[[B2]:[B2]],$K12,BetTable[[Date]:[Date]], "&gt;="&amp;U$5,BetTable[[Date]:[Date]],"&lt;="&amp;EOMONTH(U$5,0))+SUMIFS(BetTable[[AR_per_bookie]:[AR_per_bookie]],BetTable[[B3]:[B3]],$K12,BetTable[[Date]:[Date]], "&gt;="&amp;U$5,BetTable[[Date]:[Date]],"&lt;="&amp;EOMONTH(U$5,0))</f>
        <v>0</v>
      </c>
      <c r="V12" s="186">
        <f>SUMIFS(DWbonus[[Sum]:[Sum]],DWbonus[[Dato]:[Dato]], "&gt;="&amp;V$5,DWbonus[[Dato]:[Dato]],"&lt;="&amp;EOMONTH(V$5,0),DWbonus[[Bookie]:[Bookie]],$K12)+SUMIFS(LayTable[[Faktisk res]:[Faktisk res]],LayTable[[Dato]:[Dato]],"&gt;="&amp;V$5,LayTable[[Dato]:[Dato]],"&lt;="&amp;EOMONTH(V$5,0),LayTable[[Bookmaker]:[Bookmaker]],$K12)+SUMIFS(BetTable[[AR_per_bookie]:[AR_per_bookie]],BetTable[[B1]:[B1]],$K12,BetTable[[Date]:[Date]], "&gt;="&amp;V$5,BetTable[[Date]:[Date]],"&lt;="&amp;EOMONTH(V$5,0))+SUMIFS(BetTable[[AR_per_bookie]:[AR_per_bookie]],BetTable[[B2]:[B2]],$K12,BetTable[[Date]:[Date]], "&gt;="&amp;V$5,BetTable[[Date]:[Date]],"&lt;="&amp;EOMONTH(V$5,0))+SUMIFS(BetTable[[AR_per_bookie]:[AR_per_bookie]],BetTable[[B3]:[B3]],$K12,BetTable[[Date]:[Date]], "&gt;="&amp;V$5,BetTable[[Date]:[Date]],"&lt;="&amp;EOMONTH(V$5,0))</f>
        <v>0</v>
      </c>
      <c r="W12" s="186">
        <f>SUMIFS(DWbonus[[Sum]:[Sum]],DWbonus[[Dato]:[Dato]], "&gt;="&amp;W$5,DWbonus[[Dato]:[Dato]],"&lt;="&amp;EOMONTH(W$5,0),DWbonus[[Bookie]:[Bookie]],$K12)+SUMIFS(LayTable[[Faktisk res]:[Faktisk res]],LayTable[[Dato]:[Dato]],"&gt;="&amp;W$5,LayTable[[Dato]:[Dato]],"&lt;="&amp;EOMONTH(W$5,0),LayTable[[Bookmaker]:[Bookmaker]],$K12)+SUMIFS(BetTable[[AR_per_bookie]:[AR_per_bookie]],BetTable[[B1]:[B1]],$K12,BetTable[[Date]:[Date]], "&gt;="&amp;W$5,BetTable[[Date]:[Date]],"&lt;="&amp;EOMONTH(W$5,0))+SUMIFS(BetTable[[AR_per_bookie]:[AR_per_bookie]],BetTable[[B2]:[B2]],$K12,BetTable[[Date]:[Date]], "&gt;="&amp;W$5,BetTable[[Date]:[Date]],"&lt;="&amp;EOMONTH(W$5,0))+SUMIFS(BetTable[[AR_per_bookie]:[AR_per_bookie]],BetTable[[B3]:[B3]],$K12,BetTable[[Date]:[Date]], "&gt;="&amp;W$5,BetTable[[Date]:[Date]],"&lt;="&amp;EOMONTH(W$5,0))</f>
        <v>0</v>
      </c>
    </row>
    <row r="13" spans="1:23">
      <c r="A13" s="174" t="s">
        <v>297</v>
      </c>
      <c r="B13" s="186">
        <f>S6-2*F25-500</f>
        <v>-1010</v>
      </c>
      <c r="C13" s="186">
        <v>0</v>
      </c>
      <c r="D13" s="186">
        <f t="shared" si="2"/>
        <v>0</v>
      </c>
      <c r="E13" s="186">
        <v>4287</v>
      </c>
      <c r="F13" s="186">
        <f t="shared" si="0"/>
        <v>-4287</v>
      </c>
      <c r="K13" s="174" t="str">
        <f t="array" ref="K13">IFERROR(INDEX(BookieNavn!H$2:H$1251,SMALL(IF(EXACT(LEFT(BookieNavn!H$2:H$1251,2),M$3),ROW(BookieNavn!H$2:H$1251)-ROW(BookieNavn!H$2)+1),ROWS(BookieNavn!H$2:'BookieNavn'!H8))),"")</f>
        <v>AaComeOn</v>
      </c>
      <c r="L13" s="186">
        <f>SUMIFS(DWbonus[[Sum]:[Sum]],DWbonus[[Dato]:[Dato]], "&gt;="&amp;L$5,DWbonus[[Dato]:[Dato]],"&lt;="&amp;EOMONTH(L$5,0),DWbonus[[Bookie]:[Bookie]],$K13)+SUMIFS(LayTable[[Faktisk res]:[Faktisk res]],LayTable[[Dato]:[Dato]],"&gt;="&amp;L$5,LayTable[[Dato]:[Dato]],"&lt;="&amp;EOMONTH(L$5,0),LayTable[[Bookmaker]:[Bookmaker]],$K13)+SUMIFS(BetTable[[AR_per_bookie]:[AR_per_bookie]],BetTable[[B1]:[B1]],$K13,BetTable[[Date]:[Date]], "&gt;="&amp;L$5,BetTable[[Date]:[Date]],"&lt;="&amp;EOMONTH(L$5,0))+SUMIFS(BetTable[[AR_per_bookie]:[AR_per_bookie]],BetTable[[B2]:[B2]],$K13,BetTable[[Date]:[Date]], "&gt;="&amp;L$5,BetTable[[Date]:[Date]],"&lt;="&amp;EOMONTH(L$5,0))+SUMIFS(BetTable[[AR_per_bookie]:[AR_per_bookie]],BetTable[[B3]:[B3]],$K13,BetTable[[Date]:[Date]], "&gt;="&amp;L$5,BetTable[[Date]:[Date]],"&lt;="&amp;EOMONTH(L$5,0))</f>
        <v>0</v>
      </c>
      <c r="M13" s="186">
        <f>SUMIFS(DWbonus[[Sum]:[Sum]],DWbonus[[Dato]:[Dato]], "&gt;="&amp;M$5,DWbonus[[Dato]:[Dato]],"&lt;="&amp;EOMONTH(M$5,0),DWbonus[[Bookie]:[Bookie]],$K13)+SUMIFS(LayTable[[Faktisk res]:[Faktisk res]],LayTable[[Dato]:[Dato]],"&gt;="&amp;M$5,LayTable[[Dato]:[Dato]],"&lt;="&amp;EOMONTH(M$5,0),LayTable[[Bookmaker]:[Bookmaker]],$K13)+SUMIFS(BetTable[[AR_per_bookie]:[AR_per_bookie]],BetTable[[B1]:[B1]],$K13,BetTable[[Date]:[Date]], "&gt;="&amp;M$5,BetTable[[Date]:[Date]],"&lt;="&amp;EOMONTH(M$5,0))+SUMIFS(BetTable[[AR_per_bookie]:[AR_per_bookie]],BetTable[[B2]:[B2]],$K13,BetTable[[Date]:[Date]], "&gt;="&amp;M$5,BetTable[[Date]:[Date]],"&lt;="&amp;EOMONTH(M$5,0))+SUMIFS(BetTable[[AR_per_bookie]:[AR_per_bookie]],BetTable[[B3]:[B3]],$K13,BetTable[[Date]:[Date]], "&gt;="&amp;M$5,BetTable[[Date]:[Date]],"&lt;="&amp;EOMONTH(M$5,0))</f>
        <v>0</v>
      </c>
      <c r="N13" s="186">
        <f>SUMIFS(DWbonus[[Sum]:[Sum]],DWbonus[[Dato]:[Dato]], "&gt;="&amp;N$5,DWbonus[[Dato]:[Dato]],"&lt;="&amp;EOMONTH(N$5,0),DWbonus[[Bookie]:[Bookie]],$K13)+SUMIFS(LayTable[[Faktisk res]:[Faktisk res]],LayTable[[Dato]:[Dato]],"&gt;="&amp;N$5,LayTable[[Dato]:[Dato]],"&lt;="&amp;EOMONTH(N$5,0),LayTable[[Bookmaker]:[Bookmaker]],$K13)+SUMIFS(BetTable[[AR_per_bookie]:[AR_per_bookie]],BetTable[[B1]:[B1]],$K13,BetTable[[Date]:[Date]], "&gt;="&amp;N$5,BetTable[[Date]:[Date]],"&lt;="&amp;EOMONTH(N$5,0))+SUMIFS(BetTable[[AR_per_bookie]:[AR_per_bookie]],BetTable[[B2]:[B2]],$K13,BetTable[[Date]:[Date]], "&gt;="&amp;N$5,BetTable[[Date]:[Date]],"&lt;="&amp;EOMONTH(N$5,0))+SUMIFS(BetTable[[AR_per_bookie]:[AR_per_bookie]],BetTable[[B3]:[B3]],$K13,BetTable[[Date]:[Date]], "&gt;="&amp;N$5,BetTable[[Date]:[Date]],"&lt;="&amp;EOMONTH(N$5,0))</f>
        <v>0</v>
      </c>
      <c r="O13" s="186">
        <f>SUMIFS(DWbonus[[Sum]:[Sum]],DWbonus[[Dato]:[Dato]], "&gt;="&amp;O$5,DWbonus[[Dato]:[Dato]],"&lt;="&amp;EOMONTH(O$5,0),DWbonus[[Bookie]:[Bookie]],$K13)+SUMIFS(LayTable[[Faktisk res]:[Faktisk res]],LayTable[[Dato]:[Dato]],"&gt;="&amp;O$5,LayTable[[Dato]:[Dato]],"&lt;="&amp;EOMONTH(O$5,0),LayTable[[Bookmaker]:[Bookmaker]],$K13)+SUMIFS(BetTable[[AR_per_bookie]:[AR_per_bookie]],BetTable[[B1]:[B1]],$K13,BetTable[[Date]:[Date]], "&gt;="&amp;O$5,BetTable[[Date]:[Date]],"&lt;="&amp;EOMONTH(O$5,0))+SUMIFS(BetTable[[AR_per_bookie]:[AR_per_bookie]],BetTable[[B2]:[B2]],$K13,BetTable[[Date]:[Date]], "&gt;="&amp;O$5,BetTable[[Date]:[Date]],"&lt;="&amp;EOMONTH(O$5,0))+SUMIFS(BetTable[[AR_per_bookie]:[AR_per_bookie]],BetTable[[B3]:[B3]],$K13,BetTable[[Date]:[Date]], "&gt;="&amp;O$5,BetTable[[Date]:[Date]],"&lt;="&amp;EOMONTH(O$5,0))</f>
        <v>0</v>
      </c>
      <c r="P13" s="186">
        <f>SUMIFS(DWbonus[[Sum]:[Sum]],DWbonus[[Dato]:[Dato]], "&gt;="&amp;P$5,DWbonus[[Dato]:[Dato]],"&lt;="&amp;EOMONTH(P$5,0),DWbonus[[Bookie]:[Bookie]],$K13)+SUMIFS(LayTable[[Faktisk res]:[Faktisk res]],LayTable[[Dato]:[Dato]],"&gt;="&amp;P$5,LayTable[[Dato]:[Dato]],"&lt;="&amp;EOMONTH(P$5,0),LayTable[[Bookmaker]:[Bookmaker]],$K13)+SUMIFS(BetTable[[AR_per_bookie]:[AR_per_bookie]],BetTable[[B1]:[B1]],$K13,BetTable[[Date]:[Date]], "&gt;="&amp;P$5,BetTable[[Date]:[Date]],"&lt;="&amp;EOMONTH(P$5,0))+SUMIFS(BetTable[[AR_per_bookie]:[AR_per_bookie]],BetTable[[B2]:[B2]],$K13,BetTable[[Date]:[Date]], "&gt;="&amp;P$5,BetTable[[Date]:[Date]],"&lt;="&amp;EOMONTH(P$5,0))+SUMIFS(BetTable[[AR_per_bookie]:[AR_per_bookie]],BetTable[[B3]:[B3]],$K13,BetTable[[Date]:[Date]], "&gt;="&amp;P$5,BetTable[[Date]:[Date]],"&lt;="&amp;EOMONTH(P$5,0))</f>
        <v>0</v>
      </c>
      <c r="Q13" s="186">
        <f>SUMIFS(DWbonus[[Sum]:[Sum]],DWbonus[[Dato]:[Dato]], "&gt;="&amp;Q$5,DWbonus[[Dato]:[Dato]],"&lt;="&amp;EOMONTH(Q$5,0),DWbonus[[Bookie]:[Bookie]],$K13)+SUMIFS(LayTable[[Faktisk res]:[Faktisk res]],LayTable[[Dato]:[Dato]],"&gt;="&amp;Q$5,LayTable[[Dato]:[Dato]],"&lt;="&amp;EOMONTH(Q$5,0),LayTable[[Bookmaker]:[Bookmaker]],$K13)+SUMIFS(BetTable[[AR_per_bookie]:[AR_per_bookie]],BetTable[[B1]:[B1]],$K13,BetTable[[Date]:[Date]], "&gt;="&amp;Q$5,BetTable[[Date]:[Date]],"&lt;="&amp;EOMONTH(Q$5,0))+SUMIFS(BetTable[[AR_per_bookie]:[AR_per_bookie]],BetTable[[B2]:[B2]],$K13,BetTable[[Date]:[Date]], "&gt;="&amp;Q$5,BetTable[[Date]:[Date]],"&lt;="&amp;EOMONTH(Q$5,0))+SUMIFS(BetTable[[AR_per_bookie]:[AR_per_bookie]],BetTable[[B3]:[B3]],$K13,BetTable[[Date]:[Date]], "&gt;="&amp;Q$5,BetTable[[Date]:[Date]],"&lt;="&amp;EOMONTH(Q$5,0))</f>
        <v>0</v>
      </c>
      <c r="R13" s="186">
        <f>SUMIFS(DWbonus[[Sum]:[Sum]],DWbonus[[Dato]:[Dato]], "&gt;="&amp;R$5,DWbonus[[Dato]:[Dato]],"&lt;="&amp;EOMONTH(R$5,0),DWbonus[[Bookie]:[Bookie]],$K13)+SUMIFS(LayTable[[Faktisk res]:[Faktisk res]],LayTable[[Dato]:[Dato]],"&gt;="&amp;R$5,LayTable[[Dato]:[Dato]],"&lt;="&amp;EOMONTH(R$5,0),LayTable[[Bookmaker]:[Bookmaker]],$K13)+SUMIFS(BetTable[[AR_per_bookie]:[AR_per_bookie]],BetTable[[B1]:[B1]],$K13,BetTable[[Date]:[Date]], "&gt;="&amp;R$5,BetTable[[Date]:[Date]],"&lt;="&amp;EOMONTH(R$5,0))+SUMIFS(BetTable[[AR_per_bookie]:[AR_per_bookie]],BetTable[[B2]:[B2]],$K13,BetTable[[Date]:[Date]], "&gt;="&amp;R$5,BetTable[[Date]:[Date]],"&lt;="&amp;EOMONTH(R$5,0))+SUMIFS(BetTable[[AR_per_bookie]:[AR_per_bookie]],BetTable[[B3]:[B3]],$K13,BetTable[[Date]:[Date]], "&gt;="&amp;R$5,BetTable[[Date]:[Date]],"&lt;="&amp;EOMONTH(R$5,0))</f>
        <v>0</v>
      </c>
      <c r="S13" s="186">
        <f>SUMIFS(DWbonus[[Sum]:[Sum]],DWbonus[[Dato]:[Dato]], "&gt;="&amp;S$5,DWbonus[[Dato]:[Dato]],"&lt;="&amp;EOMONTH(S$5,0),DWbonus[[Bookie]:[Bookie]],$K13)+SUMIFS(LayTable[[Faktisk res]:[Faktisk res]],LayTable[[Dato]:[Dato]],"&gt;="&amp;S$5,LayTable[[Dato]:[Dato]],"&lt;="&amp;EOMONTH(S$5,0),LayTable[[Bookmaker]:[Bookmaker]],$K13)+SUMIFS(BetTable[[AR_per_bookie]:[AR_per_bookie]],BetTable[[B1]:[B1]],$K13,BetTable[[Date]:[Date]], "&gt;="&amp;S$5,BetTable[[Date]:[Date]],"&lt;="&amp;EOMONTH(S$5,0))+SUMIFS(BetTable[[AR_per_bookie]:[AR_per_bookie]],BetTable[[B2]:[B2]],$K13,BetTable[[Date]:[Date]], "&gt;="&amp;S$5,BetTable[[Date]:[Date]],"&lt;="&amp;EOMONTH(S$5,0))+SUMIFS(BetTable[[AR_per_bookie]:[AR_per_bookie]],BetTable[[B3]:[B3]],$K13,BetTable[[Date]:[Date]], "&gt;="&amp;S$5,BetTable[[Date]:[Date]],"&lt;="&amp;EOMONTH(S$5,0))</f>
        <v>0</v>
      </c>
      <c r="T13" s="186">
        <f>SUMIFS(DWbonus[[Sum]:[Sum]],DWbonus[[Dato]:[Dato]], "&gt;="&amp;T$5,DWbonus[[Dato]:[Dato]],"&lt;="&amp;EOMONTH(T$5,0),DWbonus[[Bookie]:[Bookie]],$K13)+SUMIFS(LayTable[[Faktisk res]:[Faktisk res]],LayTable[[Dato]:[Dato]],"&gt;="&amp;T$5,LayTable[[Dato]:[Dato]],"&lt;="&amp;EOMONTH(T$5,0),LayTable[[Bookmaker]:[Bookmaker]],$K13)+SUMIFS(BetTable[[AR_per_bookie]:[AR_per_bookie]],BetTable[[B1]:[B1]],$K13,BetTable[[Date]:[Date]], "&gt;="&amp;T$5,BetTable[[Date]:[Date]],"&lt;="&amp;EOMONTH(T$5,0))+SUMIFS(BetTable[[AR_per_bookie]:[AR_per_bookie]],BetTable[[B2]:[B2]],$K13,BetTable[[Date]:[Date]], "&gt;="&amp;T$5,BetTable[[Date]:[Date]],"&lt;="&amp;EOMONTH(T$5,0))+SUMIFS(BetTable[[AR_per_bookie]:[AR_per_bookie]],BetTable[[B3]:[B3]],$K13,BetTable[[Date]:[Date]], "&gt;="&amp;T$5,BetTable[[Date]:[Date]],"&lt;="&amp;EOMONTH(T$5,0))</f>
        <v>0</v>
      </c>
      <c r="U13" s="186">
        <f>SUMIFS(DWbonus[[Sum]:[Sum]],DWbonus[[Dato]:[Dato]], "&gt;="&amp;U$5,DWbonus[[Dato]:[Dato]],"&lt;="&amp;EOMONTH(U$5,0),DWbonus[[Bookie]:[Bookie]],$K13)+SUMIFS(LayTable[[Faktisk res]:[Faktisk res]],LayTable[[Dato]:[Dato]],"&gt;="&amp;U$5,LayTable[[Dato]:[Dato]],"&lt;="&amp;EOMONTH(U$5,0),LayTable[[Bookmaker]:[Bookmaker]],$K13)+SUMIFS(BetTable[[AR_per_bookie]:[AR_per_bookie]],BetTable[[B1]:[B1]],$K13,BetTable[[Date]:[Date]], "&gt;="&amp;U$5,BetTable[[Date]:[Date]],"&lt;="&amp;EOMONTH(U$5,0))+SUMIFS(BetTable[[AR_per_bookie]:[AR_per_bookie]],BetTable[[B2]:[B2]],$K13,BetTable[[Date]:[Date]], "&gt;="&amp;U$5,BetTable[[Date]:[Date]],"&lt;="&amp;EOMONTH(U$5,0))+SUMIFS(BetTable[[AR_per_bookie]:[AR_per_bookie]],BetTable[[B3]:[B3]],$K13,BetTable[[Date]:[Date]], "&gt;="&amp;U$5,BetTable[[Date]:[Date]],"&lt;="&amp;EOMONTH(U$5,0))</f>
        <v>0</v>
      </c>
      <c r="V13" s="186">
        <f>SUMIFS(DWbonus[[Sum]:[Sum]],DWbonus[[Dato]:[Dato]], "&gt;="&amp;V$5,DWbonus[[Dato]:[Dato]],"&lt;="&amp;EOMONTH(V$5,0),DWbonus[[Bookie]:[Bookie]],$K13)+SUMIFS(LayTable[[Faktisk res]:[Faktisk res]],LayTable[[Dato]:[Dato]],"&gt;="&amp;V$5,LayTable[[Dato]:[Dato]],"&lt;="&amp;EOMONTH(V$5,0),LayTable[[Bookmaker]:[Bookmaker]],$K13)+SUMIFS(BetTable[[AR_per_bookie]:[AR_per_bookie]],BetTable[[B1]:[B1]],$K13,BetTable[[Date]:[Date]], "&gt;="&amp;V$5,BetTable[[Date]:[Date]],"&lt;="&amp;EOMONTH(V$5,0))+SUMIFS(BetTable[[AR_per_bookie]:[AR_per_bookie]],BetTable[[B2]:[B2]],$K13,BetTable[[Date]:[Date]], "&gt;="&amp;V$5,BetTable[[Date]:[Date]],"&lt;="&amp;EOMONTH(V$5,0))+SUMIFS(BetTable[[AR_per_bookie]:[AR_per_bookie]],BetTable[[B3]:[B3]],$K13,BetTable[[Date]:[Date]], "&gt;="&amp;V$5,BetTable[[Date]:[Date]],"&lt;="&amp;EOMONTH(V$5,0))</f>
        <v>0</v>
      </c>
      <c r="W13" s="186">
        <f>SUMIFS(DWbonus[[Sum]:[Sum]],DWbonus[[Dato]:[Dato]], "&gt;="&amp;W$5,DWbonus[[Dato]:[Dato]],"&lt;="&amp;EOMONTH(W$5,0),DWbonus[[Bookie]:[Bookie]],$K13)+SUMIFS(LayTable[[Faktisk res]:[Faktisk res]],LayTable[[Dato]:[Dato]],"&gt;="&amp;W$5,LayTable[[Dato]:[Dato]],"&lt;="&amp;EOMONTH(W$5,0),LayTable[[Bookmaker]:[Bookmaker]],$K13)+SUMIFS(BetTable[[AR_per_bookie]:[AR_per_bookie]],BetTable[[B1]:[B1]],$K13,BetTable[[Date]:[Date]], "&gt;="&amp;W$5,BetTable[[Date]:[Date]],"&lt;="&amp;EOMONTH(W$5,0))+SUMIFS(BetTable[[AR_per_bookie]:[AR_per_bookie]],BetTable[[B2]:[B2]],$K13,BetTable[[Date]:[Date]], "&gt;="&amp;W$5,BetTable[[Date]:[Date]],"&lt;="&amp;EOMONTH(W$5,0))+SUMIFS(BetTable[[AR_per_bookie]:[AR_per_bookie]],BetTable[[B3]:[B3]],$K13,BetTable[[Date]:[Date]], "&gt;="&amp;W$5,BetTable[[Date]:[Date]],"&lt;="&amp;EOMONTH(W$5,0))</f>
        <v>0</v>
      </c>
    </row>
    <row r="14" spans="1:23">
      <c r="A14" s="174" t="s">
        <v>299</v>
      </c>
      <c r="B14" s="186">
        <f>T6-F25</f>
        <v>-255</v>
      </c>
      <c r="C14" s="186">
        <v>0</v>
      </c>
      <c r="D14" s="186">
        <f t="shared" si="2"/>
        <v>0</v>
      </c>
      <c r="E14" s="186">
        <v>0</v>
      </c>
      <c r="F14" s="186">
        <f t="shared" si="0"/>
        <v>0</v>
      </c>
      <c r="K14" s="174" t="str">
        <f t="array" ref="K14">IFERROR(INDEX(BookieNavn!H$2:H$1251,SMALL(IF(EXACT(LEFT(BookieNavn!H$2:H$1251,2),M$3),ROW(BookieNavn!H$2:H$1251)-ROW(BookieNavn!H$2)+1),ROWS(BookieNavn!H$2:'BookieNavn'!H9))),"")</f>
        <v>AaRizk</v>
      </c>
      <c r="L14" s="186">
        <f>SUMIFS(DWbonus[[Sum]:[Sum]],DWbonus[[Dato]:[Dato]], "&gt;="&amp;L$5,DWbonus[[Dato]:[Dato]],"&lt;="&amp;EOMONTH(L$5,0),DWbonus[[Bookie]:[Bookie]],$K14)+SUMIFS(LayTable[[Faktisk res]:[Faktisk res]],LayTable[[Dato]:[Dato]],"&gt;="&amp;L$5,LayTable[[Dato]:[Dato]],"&lt;="&amp;EOMONTH(L$5,0),LayTable[[Bookmaker]:[Bookmaker]],$K14)+SUMIFS(BetTable[[AR_per_bookie]:[AR_per_bookie]],BetTable[[B1]:[B1]],$K14,BetTable[[Date]:[Date]], "&gt;="&amp;L$5,BetTable[[Date]:[Date]],"&lt;="&amp;EOMONTH(L$5,0))+SUMIFS(BetTable[[AR_per_bookie]:[AR_per_bookie]],BetTable[[B2]:[B2]],$K14,BetTable[[Date]:[Date]], "&gt;="&amp;L$5,BetTable[[Date]:[Date]],"&lt;="&amp;EOMONTH(L$5,0))+SUMIFS(BetTable[[AR_per_bookie]:[AR_per_bookie]],BetTable[[B3]:[B3]],$K14,BetTable[[Date]:[Date]], "&gt;="&amp;L$5,BetTable[[Date]:[Date]],"&lt;="&amp;EOMONTH(L$5,0))</f>
        <v>0</v>
      </c>
      <c r="M14" s="186">
        <f>SUMIFS(DWbonus[[Sum]:[Sum]],DWbonus[[Dato]:[Dato]], "&gt;="&amp;M$5,DWbonus[[Dato]:[Dato]],"&lt;="&amp;EOMONTH(M$5,0),DWbonus[[Bookie]:[Bookie]],$K14)+SUMIFS(LayTable[[Faktisk res]:[Faktisk res]],LayTable[[Dato]:[Dato]],"&gt;="&amp;M$5,LayTable[[Dato]:[Dato]],"&lt;="&amp;EOMONTH(M$5,0),LayTable[[Bookmaker]:[Bookmaker]],$K14)+SUMIFS(BetTable[[AR_per_bookie]:[AR_per_bookie]],BetTable[[B1]:[B1]],$K14,BetTable[[Date]:[Date]], "&gt;="&amp;M$5,BetTable[[Date]:[Date]],"&lt;="&amp;EOMONTH(M$5,0))+SUMIFS(BetTable[[AR_per_bookie]:[AR_per_bookie]],BetTable[[B2]:[B2]],$K14,BetTable[[Date]:[Date]], "&gt;="&amp;M$5,BetTable[[Date]:[Date]],"&lt;="&amp;EOMONTH(M$5,0))+SUMIFS(BetTable[[AR_per_bookie]:[AR_per_bookie]],BetTable[[B3]:[B3]],$K14,BetTable[[Date]:[Date]], "&gt;="&amp;M$5,BetTable[[Date]:[Date]],"&lt;="&amp;EOMONTH(M$5,0))</f>
        <v>0</v>
      </c>
      <c r="N14" s="186">
        <f>SUMIFS(DWbonus[[Sum]:[Sum]],DWbonus[[Dato]:[Dato]], "&gt;="&amp;N$5,DWbonus[[Dato]:[Dato]],"&lt;="&amp;EOMONTH(N$5,0),DWbonus[[Bookie]:[Bookie]],$K14)+SUMIFS(LayTable[[Faktisk res]:[Faktisk res]],LayTable[[Dato]:[Dato]],"&gt;="&amp;N$5,LayTable[[Dato]:[Dato]],"&lt;="&amp;EOMONTH(N$5,0),LayTable[[Bookmaker]:[Bookmaker]],$K14)+SUMIFS(BetTable[[AR_per_bookie]:[AR_per_bookie]],BetTable[[B1]:[B1]],$K14,BetTable[[Date]:[Date]], "&gt;="&amp;N$5,BetTable[[Date]:[Date]],"&lt;="&amp;EOMONTH(N$5,0))+SUMIFS(BetTable[[AR_per_bookie]:[AR_per_bookie]],BetTable[[B2]:[B2]],$K14,BetTable[[Date]:[Date]], "&gt;="&amp;N$5,BetTable[[Date]:[Date]],"&lt;="&amp;EOMONTH(N$5,0))+SUMIFS(BetTable[[AR_per_bookie]:[AR_per_bookie]],BetTable[[B3]:[B3]],$K14,BetTable[[Date]:[Date]], "&gt;="&amp;N$5,BetTable[[Date]:[Date]],"&lt;="&amp;EOMONTH(N$5,0))</f>
        <v>0</v>
      </c>
      <c r="O14" s="186">
        <f>SUMIFS(DWbonus[[Sum]:[Sum]],DWbonus[[Dato]:[Dato]], "&gt;="&amp;O$5,DWbonus[[Dato]:[Dato]],"&lt;="&amp;EOMONTH(O$5,0),DWbonus[[Bookie]:[Bookie]],$K14)+SUMIFS(LayTable[[Faktisk res]:[Faktisk res]],LayTable[[Dato]:[Dato]],"&gt;="&amp;O$5,LayTable[[Dato]:[Dato]],"&lt;="&amp;EOMONTH(O$5,0),LayTable[[Bookmaker]:[Bookmaker]],$K14)+SUMIFS(BetTable[[AR_per_bookie]:[AR_per_bookie]],BetTable[[B1]:[B1]],$K14,BetTable[[Date]:[Date]], "&gt;="&amp;O$5,BetTable[[Date]:[Date]],"&lt;="&amp;EOMONTH(O$5,0))+SUMIFS(BetTable[[AR_per_bookie]:[AR_per_bookie]],BetTable[[B2]:[B2]],$K14,BetTable[[Date]:[Date]], "&gt;="&amp;O$5,BetTable[[Date]:[Date]],"&lt;="&amp;EOMONTH(O$5,0))+SUMIFS(BetTable[[AR_per_bookie]:[AR_per_bookie]],BetTable[[B3]:[B3]],$K14,BetTable[[Date]:[Date]], "&gt;="&amp;O$5,BetTable[[Date]:[Date]],"&lt;="&amp;EOMONTH(O$5,0))</f>
        <v>0</v>
      </c>
      <c r="P14" s="186">
        <f>SUMIFS(DWbonus[[Sum]:[Sum]],DWbonus[[Dato]:[Dato]], "&gt;="&amp;P$5,DWbonus[[Dato]:[Dato]],"&lt;="&amp;EOMONTH(P$5,0),DWbonus[[Bookie]:[Bookie]],$K14)+SUMIFS(LayTable[[Faktisk res]:[Faktisk res]],LayTable[[Dato]:[Dato]],"&gt;="&amp;P$5,LayTable[[Dato]:[Dato]],"&lt;="&amp;EOMONTH(P$5,0),LayTable[[Bookmaker]:[Bookmaker]],$K14)+SUMIFS(BetTable[[AR_per_bookie]:[AR_per_bookie]],BetTable[[B1]:[B1]],$K14,BetTable[[Date]:[Date]], "&gt;="&amp;P$5,BetTable[[Date]:[Date]],"&lt;="&amp;EOMONTH(P$5,0))+SUMIFS(BetTable[[AR_per_bookie]:[AR_per_bookie]],BetTable[[B2]:[B2]],$K14,BetTable[[Date]:[Date]], "&gt;="&amp;P$5,BetTable[[Date]:[Date]],"&lt;="&amp;EOMONTH(P$5,0))+SUMIFS(BetTable[[AR_per_bookie]:[AR_per_bookie]],BetTable[[B3]:[B3]],$K14,BetTable[[Date]:[Date]], "&gt;="&amp;P$5,BetTable[[Date]:[Date]],"&lt;="&amp;EOMONTH(P$5,0))</f>
        <v>0</v>
      </c>
      <c r="Q14" s="186">
        <f>SUMIFS(DWbonus[[Sum]:[Sum]],DWbonus[[Dato]:[Dato]], "&gt;="&amp;Q$5,DWbonus[[Dato]:[Dato]],"&lt;="&amp;EOMONTH(Q$5,0),DWbonus[[Bookie]:[Bookie]],$K14)+SUMIFS(LayTable[[Faktisk res]:[Faktisk res]],LayTable[[Dato]:[Dato]],"&gt;="&amp;Q$5,LayTable[[Dato]:[Dato]],"&lt;="&amp;EOMONTH(Q$5,0),LayTable[[Bookmaker]:[Bookmaker]],$K14)+SUMIFS(BetTable[[AR_per_bookie]:[AR_per_bookie]],BetTable[[B1]:[B1]],$K14,BetTable[[Date]:[Date]], "&gt;="&amp;Q$5,BetTable[[Date]:[Date]],"&lt;="&amp;EOMONTH(Q$5,0))+SUMIFS(BetTable[[AR_per_bookie]:[AR_per_bookie]],BetTable[[B2]:[B2]],$K14,BetTable[[Date]:[Date]], "&gt;="&amp;Q$5,BetTable[[Date]:[Date]],"&lt;="&amp;EOMONTH(Q$5,0))+SUMIFS(BetTable[[AR_per_bookie]:[AR_per_bookie]],BetTable[[B3]:[B3]],$K14,BetTable[[Date]:[Date]], "&gt;="&amp;Q$5,BetTable[[Date]:[Date]],"&lt;="&amp;EOMONTH(Q$5,0))</f>
        <v>0</v>
      </c>
      <c r="R14" s="186">
        <f>SUMIFS(DWbonus[[Sum]:[Sum]],DWbonus[[Dato]:[Dato]], "&gt;="&amp;R$5,DWbonus[[Dato]:[Dato]],"&lt;="&amp;EOMONTH(R$5,0),DWbonus[[Bookie]:[Bookie]],$K14)+SUMIFS(LayTable[[Faktisk res]:[Faktisk res]],LayTable[[Dato]:[Dato]],"&gt;="&amp;R$5,LayTable[[Dato]:[Dato]],"&lt;="&amp;EOMONTH(R$5,0),LayTable[[Bookmaker]:[Bookmaker]],$K14)+SUMIFS(BetTable[[AR_per_bookie]:[AR_per_bookie]],BetTable[[B1]:[B1]],$K14,BetTable[[Date]:[Date]], "&gt;="&amp;R$5,BetTable[[Date]:[Date]],"&lt;="&amp;EOMONTH(R$5,0))+SUMIFS(BetTable[[AR_per_bookie]:[AR_per_bookie]],BetTable[[B2]:[B2]],$K14,BetTable[[Date]:[Date]], "&gt;="&amp;R$5,BetTable[[Date]:[Date]],"&lt;="&amp;EOMONTH(R$5,0))+SUMIFS(BetTable[[AR_per_bookie]:[AR_per_bookie]],BetTable[[B3]:[B3]],$K14,BetTable[[Date]:[Date]], "&gt;="&amp;R$5,BetTable[[Date]:[Date]],"&lt;="&amp;EOMONTH(R$5,0))</f>
        <v>0</v>
      </c>
      <c r="S14" s="186">
        <f>SUMIFS(DWbonus[[Sum]:[Sum]],DWbonus[[Dato]:[Dato]], "&gt;="&amp;S$5,DWbonus[[Dato]:[Dato]],"&lt;="&amp;EOMONTH(S$5,0),DWbonus[[Bookie]:[Bookie]],$K14)+SUMIFS(LayTable[[Faktisk res]:[Faktisk res]],LayTable[[Dato]:[Dato]],"&gt;="&amp;S$5,LayTable[[Dato]:[Dato]],"&lt;="&amp;EOMONTH(S$5,0),LayTable[[Bookmaker]:[Bookmaker]],$K14)+SUMIFS(BetTable[[AR_per_bookie]:[AR_per_bookie]],BetTable[[B1]:[B1]],$K14,BetTable[[Date]:[Date]], "&gt;="&amp;S$5,BetTable[[Date]:[Date]],"&lt;="&amp;EOMONTH(S$5,0))+SUMIFS(BetTable[[AR_per_bookie]:[AR_per_bookie]],BetTable[[B2]:[B2]],$K14,BetTable[[Date]:[Date]], "&gt;="&amp;S$5,BetTable[[Date]:[Date]],"&lt;="&amp;EOMONTH(S$5,0))+SUMIFS(BetTable[[AR_per_bookie]:[AR_per_bookie]],BetTable[[B3]:[B3]],$K14,BetTable[[Date]:[Date]], "&gt;="&amp;S$5,BetTable[[Date]:[Date]],"&lt;="&amp;EOMONTH(S$5,0))</f>
        <v>0</v>
      </c>
      <c r="T14" s="186">
        <f>SUMIFS(DWbonus[[Sum]:[Sum]],DWbonus[[Dato]:[Dato]], "&gt;="&amp;T$5,DWbonus[[Dato]:[Dato]],"&lt;="&amp;EOMONTH(T$5,0),DWbonus[[Bookie]:[Bookie]],$K14)+SUMIFS(LayTable[[Faktisk res]:[Faktisk res]],LayTable[[Dato]:[Dato]],"&gt;="&amp;T$5,LayTable[[Dato]:[Dato]],"&lt;="&amp;EOMONTH(T$5,0),LayTable[[Bookmaker]:[Bookmaker]],$K14)+SUMIFS(BetTable[[AR_per_bookie]:[AR_per_bookie]],BetTable[[B1]:[B1]],$K14,BetTable[[Date]:[Date]], "&gt;="&amp;T$5,BetTable[[Date]:[Date]],"&lt;="&amp;EOMONTH(T$5,0))+SUMIFS(BetTable[[AR_per_bookie]:[AR_per_bookie]],BetTable[[B2]:[B2]],$K14,BetTable[[Date]:[Date]], "&gt;="&amp;T$5,BetTable[[Date]:[Date]],"&lt;="&amp;EOMONTH(T$5,0))+SUMIFS(BetTable[[AR_per_bookie]:[AR_per_bookie]],BetTable[[B3]:[B3]],$K14,BetTable[[Date]:[Date]], "&gt;="&amp;T$5,BetTable[[Date]:[Date]],"&lt;="&amp;EOMONTH(T$5,0))</f>
        <v>0</v>
      </c>
      <c r="U14" s="186">
        <f>SUMIFS(DWbonus[[Sum]:[Sum]],DWbonus[[Dato]:[Dato]], "&gt;="&amp;U$5,DWbonus[[Dato]:[Dato]],"&lt;="&amp;EOMONTH(U$5,0),DWbonus[[Bookie]:[Bookie]],$K14)+SUMIFS(LayTable[[Faktisk res]:[Faktisk res]],LayTable[[Dato]:[Dato]],"&gt;="&amp;U$5,LayTable[[Dato]:[Dato]],"&lt;="&amp;EOMONTH(U$5,0),LayTable[[Bookmaker]:[Bookmaker]],$K14)+SUMIFS(BetTable[[AR_per_bookie]:[AR_per_bookie]],BetTable[[B1]:[B1]],$K14,BetTable[[Date]:[Date]], "&gt;="&amp;U$5,BetTable[[Date]:[Date]],"&lt;="&amp;EOMONTH(U$5,0))+SUMIFS(BetTable[[AR_per_bookie]:[AR_per_bookie]],BetTable[[B2]:[B2]],$K14,BetTable[[Date]:[Date]], "&gt;="&amp;U$5,BetTable[[Date]:[Date]],"&lt;="&amp;EOMONTH(U$5,0))+SUMIFS(BetTable[[AR_per_bookie]:[AR_per_bookie]],BetTable[[B3]:[B3]],$K14,BetTable[[Date]:[Date]], "&gt;="&amp;U$5,BetTable[[Date]:[Date]],"&lt;="&amp;EOMONTH(U$5,0))</f>
        <v>0</v>
      </c>
      <c r="V14" s="186">
        <f>SUMIFS(DWbonus[[Sum]:[Sum]],DWbonus[[Dato]:[Dato]], "&gt;="&amp;V$5,DWbonus[[Dato]:[Dato]],"&lt;="&amp;EOMONTH(V$5,0),DWbonus[[Bookie]:[Bookie]],$K14)+SUMIFS(LayTable[[Faktisk res]:[Faktisk res]],LayTable[[Dato]:[Dato]],"&gt;="&amp;V$5,LayTable[[Dato]:[Dato]],"&lt;="&amp;EOMONTH(V$5,0),LayTable[[Bookmaker]:[Bookmaker]],$K14)+SUMIFS(BetTable[[AR_per_bookie]:[AR_per_bookie]],BetTable[[B1]:[B1]],$K14,BetTable[[Date]:[Date]], "&gt;="&amp;V$5,BetTable[[Date]:[Date]],"&lt;="&amp;EOMONTH(V$5,0))+SUMIFS(BetTable[[AR_per_bookie]:[AR_per_bookie]],BetTable[[B2]:[B2]],$K14,BetTable[[Date]:[Date]], "&gt;="&amp;V$5,BetTable[[Date]:[Date]],"&lt;="&amp;EOMONTH(V$5,0))+SUMIFS(BetTable[[AR_per_bookie]:[AR_per_bookie]],BetTable[[B3]:[B3]],$K14,BetTable[[Date]:[Date]], "&gt;="&amp;V$5,BetTable[[Date]:[Date]],"&lt;="&amp;EOMONTH(V$5,0))</f>
        <v>0</v>
      </c>
      <c r="W14" s="186">
        <f>SUMIFS(DWbonus[[Sum]:[Sum]],DWbonus[[Dato]:[Dato]], "&gt;="&amp;W$5,DWbonus[[Dato]:[Dato]],"&lt;="&amp;EOMONTH(W$5,0),DWbonus[[Bookie]:[Bookie]],$K14)+SUMIFS(LayTable[[Faktisk res]:[Faktisk res]],LayTable[[Dato]:[Dato]],"&gt;="&amp;W$5,LayTable[[Dato]:[Dato]],"&lt;="&amp;EOMONTH(W$5,0),LayTable[[Bookmaker]:[Bookmaker]],$K14)+SUMIFS(BetTable[[AR_per_bookie]:[AR_per_bookie]],BetTable[[B1]:[B1]],$K14,BetTable[[Date]:[Date]], "&gt;="&amp;W$5,BetTable[[Date]:[Date]],"&lt;="&amp;EOMONTH(W$5,0))+SUMIFS(BetTable[[AR_per_bookie]:[AR_per_bookie]],BetTable[[B2]:[B2]],$K14,BetTable[[Date]:[Date]], "&gt;="&amp;W$5,BetTable[[Date]:[Date]],"&lt;="&amp;EOMONTH(W$5,0))+SUMIFS(BetTable[[AR_per_bookie]:[AR_per_bookie]],BetTable[[B3]:[B3]],$K14,BetTable[[Date]:[Date]], "&gt;="&amp;W$5,BetTable[[Date]:[Date]],"&lt;="&amp;EOMONTH(W$5,0))</f>
        <v>0</v>
      </c>
    </row>
    <row r="15" spans="1:23">
      <c r="A15" s="174" t="s">
        <v>304</v>
      </c>
      <c r="B15" s="186">
        <f>U6-F25</f>
        <v>-255</v>
      </c>
      <c r="C15" s="186">
        <v>0</v>
      </c>
      <c r="D15" s="186">
        <f t="shared" si="2"/>
        <v>0</v>
      </c>
      <c r="E15" s="186">
        <v>0</v>
      </c>
      <c r="F15" s="186">
        <f t="shared" si="0"/>
        <v>0</v>
      </c>
      <c r="K15" s="174" t="str">
        <f t="array" ref="K15">IFERROR(INDEX(BookieNavn!H$2:H$1251,SMALL(IF(EXACT(LEFT(BookieNavn!H$2:H$1251,2),M$3),ROW(BookieNavn!H$2:H$1251)-ROW(BookieNavn!H$2)+1),ROWS(BookieNavn!H$2:'BookieNavn'!H10))),"")</f>
        <v>AaBet90</v>
      </c>
      <c r="L15" s="186">
        <f>SUMIFS(DWbonus[[Sum]:[Sum]],DWbonus[[Dato]:[Dato]], "&gt;="&amp;L$5,DWbonus[[Dato]:[Dato]],"&lt;="&amp;EOMONTH(L$5,0),DWbonus[[Bookie]:[Bookie]],$K15)+SUMIFS(LayTable[[Faktisk res]:[Faktisk res]],LayTable[[Dato]:[Dato]],"&gt;="&amp;L$5,LayTable[[Dato]:[Dato]],"&lt;="&amp;EOMONTH(L$5,0),LayTable[[Bookmaker]:[Bookmaker]],$K15)+SUMIFS(BetTable[[AR_per_bookie]:[AR_per_bookie]],BetTable[[B1]:[B1]],$K15,BetTable[[Date]:[Date]], "&gt;="&amp;L$5,BetTable[[Date]:[Date]],"&lt;="&amp;EOMONTH(L$5,0))+SUMIFS(BetTable[[AR_per_bookie]:[AR_per_bookie]],BetTable[[B2]:[B2]],$K15,BetTable[[Date]:[Date]], "&gt;="&amp;L$5,BetTable[[Date]:[Date]],"&lt;="&amp;EOMONTH(L$5,0))+SUMIFS(BetTable[[AR_per_bookie]:[AR_per_bookie]],BetTable[[B3]:[B3]],$K15,BetTable[[Date]:[Date]], "&gt;="&amp;L$5,BetTable[[Date]:[Date]],"&lt;="&amp;EOMONTH(L$5,0))</f>
        <v>0</v>
      </c>
      <c r="M15" s="186">
        <f>SUMIFS(DWbonus[[Sum]:[Sum]],DWbonus[[Dato]:[Dato]], "&gt;="&amp;M$5,DWbonus[[Dato]:[Dato]],"&lt;="&amp;EOMONTH(M$5,0),DWbonus[[Bookie]:[Bookie]],$K15)+SUMIFS(LayTable[[Faktisk res]:[Faktisk res]],LayTable[[Dato]:[Dato]],"&gt;="&amp;M$5,LayTable[[Dato]:[Dato]],"&lt;="&amp;EOMONTH(M$5,0),LayTable[[Bookmaker]:[Bookmaker]],$K15)+SUMIFS(BetTable[[AR_per_bookie]:[AR_per_bookie]],BetTable[[B1]:[B1]],$K15,BetTable[[Date]:[Date]], "&gt;="&amp;M$5,BetTable[[Date]:[Date]],"&lt;="&amp;EOMONTH(M$5,0))+SUMIFS(BetTable[[AR_per_bookie]:[AR_per_bookie]],BetTable[[B2]:[B2]],$K15,BetTable[[Date]:[Date]], "&gt;="&amp;M$5,BetTable[[Date]:[Date]],"&lt;="&amp;EOMONTH(M$5,0))+SUMIFS(BetTable[[AR_per_bookie]:[AR_per_bookie]],BetTable[[B3]:[B3]],$K15,BetTable[[Date]:[Date]], "&gt;="&amp;M$5,BetTable[[Date]:[Date]],"&lt;="&amp;EOMONTH(M$5,0))</f>
        <v>0</v>
      </c>
      <c r="N15" s="186">
        <f>SUMIFS(DWbonus[[Sum]:[Sum]],DWbonus[[Dato]:[Dato]], "&gt;="&amp;N$5,DWbonus[[Dato]:[Dato]],"&lt;="&amp;EOMONTH(N$5,0),DWbonus[[Bookie]:[Bookie]],$K15)+SUMIFS(LayTable[[Faktisk res]:[Faktisk res]],LayTable[[Dato]:[Dato]],"&gt;="&amp;N$5,LayTable[[Dato]:[Dato]],"&lt;="&amp;EOMONTH(N$5,0),LayTable[[Bookmaker]:[Bookmaker]],$K15)+SUMIFS(BetTable[[AR_per_bookie]:[AR_per_bookie]],BetTable[[B1]:[B1]],$K15,BetTable[[Date]:[Date]], "&gt;="&amp;N$5,BetTable[[Date]:[Date]],"&lt;="&amp;EOMONTH(N$5,0))+SUMIFS(BetTable[[AR_per_bookie]:[AR_per_bookie]],BetTable[[B2]:[B2]],$K15,BetTable[[Date]:[Date]], "&gt;="&amp;N$5,BetTable[[Date]:[Date]],"&lt;="&amp;EOMONTH(N$5,0))+SUMIFS(BetTable[[AR_per_bookie]:[AR_per_bookie]],BetTable[[B3]:[B3]],$K15,BetTable[[Date]:[Date]], "&gt;="&amp;N$5,BetTable[[Date]:[Date]],"&lt;="&amp;EOMONTH(N$5,0))</f>
        <v>0</v>
      </c>
      <c r="O15" s="186">
        <f>SUMIFS(DWbonus[[Sum]:[Sum]],DWbonus[[Dato]:[Dato]], "&gt;="&amp;O$5,DWbonus[[Dato]:[Dato]],"&lt;="&amp;EOMONTH(O$5,0),DWbonus[[Bookie]:[Bookie]],$K15)+SUMIFS(LayTable[[Faktisk res]:[Faktisk res]],LayTable[[Dato]:[Dato]],"&gt;="&amp;O$5,LayTable[[Dato]:[Dato]],"&lt;="&amp;EOMONTH(O$5,0),LayTable[[Bookmaker]:[Bookmaker]],$K15)+SUMIFS(BetTable[[AR_per_bookie]:[AR_per_bookie]],BetTable[[B1]:[B1]],$K15,BetTable[[Date]:[Date]], "&gt;="&amp;O$5,BetTable[[Date]:[Date]],"&lt;="&amp;EOMONTH(O$5,0))+SUMIFS(BetTable[[AR_per_bookie]:[AR_per_bookie]],BetTable[[B2]:[B2]],$K15,BetTable[[Date]:[Date]], "&gt;="&amp;O$5,BetTable[[Date]:[Date]],"&lt;="&amp;EOMONTH(O$5,0))+SUMIFS(BetTable[[AR_per_bookie]:[AR_per_bookie]],BetTable[[B3]:[B3]],$K15,BetTable[[Date]:[Date]], "&gt;="&amp;O$5,BetTable[[Date]:[Date]],"&lt;="&amp;EOMONTH(O$5,0))</f>
        <v>0</v>
      </c>
      <c r="P15" s="186">
        <f>SUMIFS(DWbonus[[Sum]:[Sum]],DWbonus[[Dato]:[Dato]], "&gt;="&amp;P$5,DWbonus[[Dato]:[Dato]],"&lt;="&amp;EOMONTH(P$5,0),DWbonus[[Bookie]:[Bookie]],$K15)+SUMIFS(LayTable[[Faktisk res]:[Faktisk res]],LayTable[[Dato]:[Dato]],"&gt;="&amp;P$5,LayTable[[Dato]:[Dato]],"&lt;="&amp;EOMONTH(P$5,0),LayTable[[Bookmaker]:[Bookmaker]],$K15)+SUMIFS(BetTable[[AR_per_bookie]:[AR_per_bookie]],BetTable[[B1]:[B1]],$K15,BetTable[[Date]:[Date]], "&gt;="&amp;P$5,BetTable[[Date]:[Date]],"&lt;="&amp;EOMONTH(P$5,0))+SUMIFS(BetTable[[AR_per_bookie]:[AR_per_bookie]],BetTable[[B2]:[B2]],$K15,BetTable[[Date]:[Date]], "&gt;="&amp;P$5,BetTable[[Date]:[Date]],"&lt;="&amp;EOMONTH(P$5,0))+SUMIFS(BetTable[[AR_per_bookie]:[AR_per_bookie]],BetTable[[B3]:[B3]],$K15,BetTable[[Date]:[Date]], "&gt;="&amp;P$5,BetTable[[Date]:[Date]],"&lt;="&amp;EOMONTH(P$5,0))</f>
        <v>0</v>
      </c>
      <c r="Q15" s="186">
        <f>SUMIFS(DWbonus[[Sum]:[Sum]],DWbonus[[Dato]:[Dato]], "&gt;="&amp;Q$5,DWbonus[[Dato]:[Dato]],"&lt;="&amp;EOMONTH(Q$5,0),DWbonus[[Bookie]:[Bookie]],$K15)+SUMIFS(LayTable[[Faktisk res]:[Faktisk res]],LayTable[[Dato]:[Dato]],"&gt;="&amp;Q$5,LayTable[[Dato]:[Dato]],"&lt;="&amp;EOMONTH(Q$5,0),LayTable[[Bookmaker]:[Bookmaker]],$K15)+SUMIFS(BetTable[[AR_per_bookie]:[AR_per_bookie]],BetTable[[B1]:[B1]],$K15,BetTable[[Date]:[Date]], "&gt;="&amp;Q$5,BetTable[[Date]:[Date]],"&lt;="&amp;EOMONTH(Q$5,0))+SUMIFS(BetTable[[AR_per_bookie]:[AR_per_bookie]],BetTable[[B2]:[B2]],$K15,BetTable[[Date]:[Date]], "&gt;="&amp;Q$5,BetTable[[Date]:[Date]],"&lt;="&amp;EOMONTH(Q$5,0))+SUMIFS(BetTable[[AR_per_bookie]:[AR_per_bookie]],BetTable[[B3]:[B3]],$K15,BetTable[[Date]:[Date]], "&gt;="&amp;Q$5,BetTable[[Date]:[Date]],"&lt;="&amp;EOMONTH(Q$5,0))</f>
        <v>0</v>
      </c>
      <c r="R15" s="186">
        <f>SUMIFS(DWbonus[[Sum]:[Sum]],DWbonus[[Dato]:[Dato]], "&gt;="&amp;R$5,DWbonus[[Dato]:[Dato]],"&lt;="&amp;EOMONTH(R$5,0),DWbonus[[Bookie]:[Bookie]],$K15)+SUMIFS(LayTable[[Faktisk res]:[Faktisk res]],LayTable[[Dato]:[Dato]],"&gt;="&amp;R$5,LayTable[[Dato]:[Dato]],"&lt;="&amp;EOMONTH(R$5,0),LayTable[[Bookmaker]:[Bookmaker]],$K15)+SUMIFS(BetTable[[AR_per_bookie]:[AR_per_bookie]],BetTable[[B1]:[B1]],$K15,BetTable[[Date]:[Date]], "&gt;="&amp;R$5,BetTable[[Date]:[Date]],"&lt;="&amp;EOMONTH(R$5,0))+SUMIFS(BetTable[[AR_per_bookie]:[AR_per_bookie]],BetTable[[B2]:[B2]],$K15,BetTable[[Date]:[Date]], "&gt;="&amp;R$5,BetTable[[Date]:[Date]],"&lt;="&amp;EOMONTH(R$5,0))+SUMIFS(BetTable[[AR_per_bookie]:[AR_per_bookie]],BetTable[[B3]:[B3]],$K15,BetTable[[Date]:[Date]], "&gt;="&amp;R$5,BetTable[[Date]:[Date]],"&lt;="&amp;EOMONTH(R$5,0))</f>
        <v>0</v>
      </c>
      <c r="S15" s="186">
        <f>SUMIFS(DWbonus[[Sum]:[Sum]],DWbonus[[Dato]:[Dato]], "&gt;="&amp;S$5,DWbonus[[Dato]:[Dato]],"&lt;="&amp;EOMONTH(S$5,0),DWbonus[[Bookie]:[Bookie]],$K15)+SUMIFS(LayTable[[Faktisk res]:[Faktisk res]],LayTable[[Dato]:[Dato]],"&gt;="&amp;S$5,LayTable[[Dato]:[Dato]],"&lt;="&amp;EOMONTH(S$5,0),LayTable[[Bookmaker]:[Bookmaker]],$K15)+SUMIFS(BetTable[[AR_per_bookie]:[AR_per_bookie]],BetTable[[B1]:[B1]],$K15,BetTable[[Date]:[Date]], "&gt;="&amp;S$5,BetTable[[Date]:[Date]],"&lt;="&amp;EOMONTH(S$5,0))+SUMIFS(BetTable[[AR_per_bookie]:[AR_per_bookie]],BetTable[[B2]:[B2]],$K15,BetTable[[Date]:[Date]], "&gt;="&amp;S$5,BetTable[[Date]:[Date]],"&lt;="&amp;EOMONTH(S$5,0))+SUMIFS(BetTable[[AR_per_bookie]:[AR_per_bookie]],BetTable[[B3]:[B3]],$K15,BetTable[[Date]:[Date]], "&gt;="&amp;S$5,BetTable[[Date]:[Date]],"&lt;="&amp;EOMONTH(S$5,0))</f>
        <v>0</v>
      </c>
      <c r="T15" s="186">
        <f>SUMIFS(DWbonus[[Sum]:[Sum]],DWbonus[[Dato]:[Dato]], "&gt;="&amp;T$5,DWbonus[[Dato]:[Dato]],"&lt;="&amp;EOMONTH(T$5,0),DWbonus[[Bookie]:[Bookie]],$K15)+SUMIFS(LayTable[[Faktisk res]:[Faktisk res]],LayTable[[Dato]:[Dato]],"&gt;="&amp;T$5,LayTable[[Dato]:[Dato]],"&lt;="&amp;EOMONTH(T$5,0),LayTable[[Bookmaker]:[Bookmaker]],$K15)+SUMIFS(BetTable[[AR_per_bookie]:[AR_per_bookie]],BetTable[[B1]:[B1]],$K15,BetTable[[Date]:[Date]], "&gt;="&amp;T$5,BetTable[[Date]:[Date]],"&lt;="&amp;EOMONTH(T$5,0))+SUMIFS(BetTable[[AR_per_bookie]:[AR_per_bookie]],BetTable[[B2]:[B2]],$K15,BetTable[[Date]:[Date]], "&gt;="&amp;T$5,BetTable[[Date]:[Date]],"&lt;="&amp;EOMONTH(T$5,0))+SUMIFS(BetTable[[AR_per_bookie]:[AR_per_bookie]],BetTable[[B3]:[B3]],$K15,BetTable[[Date]:[Date]], "&gt;="&amp;T$5,BetTable[[Date]:[Date]],"&lt;="&amp;EOMONTH(T$5,0))</f>
        <v>0</v>
      </c>
      <c r="U15" s="186">
        <f>SUMIFS(DWbonus[[Sum]:[Sum]],DWbonus[[Dato]:[Dato]], "&gt;="&amp;U$5,DWbonus[[Dato]:[Dato]],"&lt;="&amp;EOMONTH(U$5,0),DWbonus[[Bookie]:[Bookie]],$K15)+SUMIFS(LayTable[[Faktisk res]:[Faktisk res]],LayTable[[Dato]:[Dato]],"&gt;="&amp;U$5,LayTable[[Dato]:[Dato]],"&lt;="&amp;EOMONTH(U$5,0),LayTable[[Bookmaker]:[Bookmaker]],$K15)+SUMIFS(BetTable[[AR_per_bookie]:[AR_per_bookie]],BetTable[[B1]:[B1]],$K15,BetTable[[Date]:[Date]], "&gt;="&amp;U$5,BetTable[[Date]:[Date]],"&lt;="&amp;EOMONTH(U$5,0))+SUMIFS(BetTable[[AR_per_bookie]:[AR_per_bookie]],BetTable[[B2]:[B2]],$K15,BetTable[[Date]:[Date]], "&gt;="&amp;U$5,BetTable[[Date]:[Date]],"&lt;="&amp;EOMONTH(U$5,0))+SUMIFS(BetTable[[AR_per_bookie]:[AR_per_bookie]],BetTable[[B3]:[B3]],$K15,BetTable[[Date]:[Date]], "&gt;="&amp;U$5,BetTable[[Date]:[Date]],"&lt;="&amp;EOMONTH(U$5,0))</f>
        <v>0</v>
      </c>
      <c r="V15" s="186">
        <f>SUMIFS(DWbonus[[Sum]:[Sum]],DWbonus[[Dato]:[Dato]], "&gt;="&amp;V$5,DWbonus[[Dato]:[Dato]],"&lt;="&amp;EOMONTH(V$5,0),DWbonus[[Bookie]:[Bookie]],$K15)+SUMIFS(LayTable[[Faktisk res]:[Faktisk res]],LayTable[[Dato]:[Dato]],"&gt;="&amp;V$5,LayTable[[Dato]:[Dato]],"&lt;="&amp;EOMONTH(V$5,0),LayTable[[Bookmaker]:[Bookmaker]],$K15)+SUMIFS(BetTable[[AR_per_bookie]:[AR_per_bookie]],BetTable[[B1]:[B1]],$K15,BetTable[[Date]:[Date]], "&gt;="&amp;V$5,BetTable[[Date]:[Date]],"&lt;="&amp;EOMONTH(V$5,0))+SUMIFS(BetTable[[AR_per_bookie]:[AR_per_bookie]],BetTable[[B2]:[B2]],$K15,BetTable[[Date]:[Date]], "&gt;="&amp;V$5,BetTable[[Date]:[Date]],"&lt;="&amp;EOMONTH(V$5,0))+SUMIFS(BetTable[[AR_per_bookie]:[AR_per_bookie]],BetTable[[B3]:[B3]],$K15,BetTable[[Date]:[Date]], "&gt;="&amp;V$5,BetTable[[Date]:[Date]],"&lt;="&amp;EOMONTH(V$5,0))</f>
        <v>0</v>
      </c>
      <c r="W15" s="186">
        <f>SUMIFS(DWbonus[[Sum]:[Sum]],DWbonus[[Dato]:[Dato]], "&gt;="&amp;W$5,DWbonus[[Dato]:[Dato]],"&lt;="&amp;EOMONTH(W$5,0),DWbonus[[Bookie]:[Bookie]],$K15)+SUMIFS(LayTable[[Faktisk res]:[Faktisk res]],LayTable[[Dato]:[Dato]],"&gt;="&amp;W$5,LayTable[[Dato]:[Dato]],"&lt;="&amp;EOMONTH(W$5,0),LayTable[[Bookmaker]:[Bookmaker]],$K15)+SUMIFS(BetTable[[AR_per_bookie]:[AR_per_bookie]],BetTable[[B1]:[B1]],$K15,BetTable[[Date]:[Date]], "&gt;="&amp;W$5,BetTable[[Date]:[Date]],"&lt;="&amp;EOMONTH(W$5,0))+SUMIFS(BetTable[[AR_per_bookie]:[AR_per_bookie]],BetTable[[B2]:[B2]],$K15,BetTable[[Date]:[Date]], "&gt;="&amp;W$5,BetTable[[Date]:[Date]],"&lt;="&amp;EOMONTH(W$5,0))+SUMIFS(BetTable[[AR_per_bookie]:[AR_per_bookie]],BetTable[[B3]:[B3]],$K15,BetTable[[Date]:[Date]], "&gt;="&amp;W$5,BetTable[[Date]:[Date]],"&lt;="&amp;EOMONTH(W$5,0))</f>
        <v>0</v>
      </c>
    </row>
    <row r="16" spans="1:23">
      <c r="A16" s="174" t="s">
        <v>305</v>
      </c>
      <c r="B16" s="186">
        <f>V6-F25</f>
        <v>-255</v>
      </c>
      <c r="C16" s="186">
        <v>0</v>
      </c>
      <c r="D16" s="186">
        <f t="shared" si="2"/>
        <v>0</v>
      </c>
      <c r="E16" s="186">
        <v>0</v>
      </c>
      <c r="F16" s="186">
        <f t="shared" si="0"/>
        <v>0</v>
      </c>
      <c r="K16" s="174" t="str">
        <f t="array" ref="K16">IFERROR(INDEX(BookieNavn!H$2:H$1251,SMALL(IF(EXACT(LEFT(BookieNavn!H$2:H$1251,2),M$3),ROW(BookieNavn!H$2:H$1251)-ROW(BookieNavn!H$2)+1),ROWS(BookieNavn!H$2:'BookieNavn'!H11))),"")</f>
        <v>AaNorgesspill</v>
      </c>
      <c r="L16" s="186">
        <f>SUMIFS(DWbonus[[Sum]:[Sum]],DWbonus[[Dato]:[Dato]], "&gt;="&amp;L$5,DWbonus[[Dato]:[Dato]],"&lt;="&amp;EOMONTH(L$5,0),DWbonus[[Bookie]:[Bookie]],$K16)+SUMIFS(LayTable[[Faktisk res]:[Faktisk res]],LayTable[[Dato]:[Dato]],"&gt;="&amp;L$5,LayTable[[Dato]:[Dato]],"&lt;="&amp;EOMONTH(L$5,0),LayTable[[Bookmaker]:[Bookmaker]],$K16)+SUMIFS(BetTable[[AR_per_bookie]:[AR_per_bookie]],BetTable[[B1]:[B1]],$K16,BetTable[[Date]:[Date]], "&gt;="&amp;L$5,BetTable[[Date]:[Date]],"&lt;="&amp;EOMONTH(L$5,0))+SUMIFS(BetTable[[AR_per_bookie]:[AR_per_bookie]],BetTable[[B2]:[B2]],$K16,BetTable[[Date]:[Date]], "&gt;="&amp;L$5,BetTable[[Date]:[Date]],"&lt;="&amp;EOMONTH(L$5,0))+SUMIFS(BetTable[[AR_per_bookie]:[AR_per_bookie]],BetTable[[B3]:[B3]],$K16,BetTable[[Date]:[Date]], "&gt;="&amp;L$5,BetTable[[Date]:[Date]],"&lt;="&amp;EOMONTH(L$5,0))</f>
        <v>0</v>
      </c>
      <c r="M16" s="186">
        <f>SUMIFS(DWbonus[[Sum]:[Sum]],DWbonus[[Dato]:[Dato]], "&gt;="&amp;M$5,DWbonus[[Dato]:[Dato]],"&lt;="&amp;EOMONTH(M$5,0),DWbonus[[Bookie]:[Bookie]],$K16)+SUMIFS(LayTable[[Faktisk res]:[Faktisk res]],LayTable[[Dato]:[Dato]],"&gt;="&amp;M$5,LayTable[[Dato]:[Dato]],"&lt;="&amp;EOMONTH(M$5,0),LayTable[[Bookmaker]:[Bookmaker]],$K16)+SUMIFS(BetTable[[AR_per_bookie]:[AR_per_bookie]],BetTable[[B1]:[B1]],$K16,BetTable[[Date]:[Date]], "&gt;="&amp;M$5,BetTable[[Date]:[Date]],"&lt;="&amp;EOMONTH(M$5,0))+SUMIFS(BetTable[[AR_per_bookie]:[AR_per_bookie]],BetTable[[B2]:[B2]],$K16,BetTable[[Date]:[Date]], "&gt;="&amp;M$5,BetTable[[Date]:[Date]],"&lt;="&amp;EOMONTH(M$5,0))+SUMIFS(BetTable[[AR_per_bookie]:[AR_per_bookie]],BetTable[[B3]:[B3]],$K16,BetTable[[Date]:[Date]], "&gt;="&amp;M$5,BetTable[[Date]:[Date]],"&lt;="&amp;EOMONTH(M$5,0))</f>
        <v>0</v>
      </c>
      <c r="N16" s="186">
        <f>SUMIFS(DWbonus[[Sum]:[Sum]],DWbonus[[Dato]:[Dato]], "&gt;="&amp;N$5,DWbonus[[Dato]:[Dato]],"&lt;="&amp;EOMONTH(N$5,0),DWbonus[[Bookie]:[Bookie]],$K16)+SUMIFS(LayTable[[Faktisk res]:[Faktisk res]],LayTable[[Dato]:[Dato]],"&gt;="&amp;N$5,LayTable[[Dato]:[Dato]],"&lt;="&amp;EOMONTH(N$5,0),LayTable[[Bookmaker]:[Bookmaker]],$K16)+SUMIFS(BetTable[[AR_per_bookie]:[AR_per_bookie]],BetTable[[B1]:[B1]],$K16,BetTable[[Date]:[Date]], "&gt;="&amp;N$5,BetTable[[Date]:[Date]],"&lt;="&amp;EOMONTH(N$5,0))+SUMIFS(BetTable[[AR_per_bookie]:[AR_per_bookie]],BetTable[[B2]:[B2]],$K16,BetTable[[Date]:[Date]], "&gt;="&amp;N$5,BetTable[[Date]:[Date]],"&lt;="&amp;EOMONTH(N$5,0))+SUMIFS(BetTable[[AR_per_bookie]:[AR_per_bookie]],BetTable[[B3]:[B3]],$K16,BetTable[[Date]:[Date]], "&gt;="&amp;N$5,BetTable[[Date]:[Date]],"&lt;="&amp;EOMONTH(N$5,0))</f>
        <v>0</v>
      </c>
      <c r="O16" s="186">
        <f>SUMIFS(DWbonus[[Sum]:[Sum]],DWbonus[[Dato]:[Dato]], "&gt;="&amp;O$5,DWbonus[[Dato]:[Dato]],"&lt;="&amp;EOMONTH(O$5,0),DWbonus[[Bookie]:[Bookie]],$K16)+SUMIFS(LayTable[[Faktisk res]:[Faktisk res]],LayTable[[Dato]:[Dato]],"&gt;="&amp;O$5,LayTable[[Dato]:[Dato]],"&lt;="&amp;EOMONTH(O$5,0),LayTable[[Bookmaker]:[Bookmaker]],$K16)+SUMIFS(BetTable[[AR_per_bookie]:[AR_per_bookie]],BetTable[[B1]:[B1]],$K16,BetTable[[Date]:[Date]], "&gt;="&amp;O$5,BetTable[[Date]:[Date]],"&lt;="&amp;EOMONTH(O$5,0))+SUMIFS(BetTable[[AR_per_bookie]:[AR_per_bookie]],BetTable[[B2]:[B2]],$K16,BetTable[[Date]:[Date]], "&gt;="&amp;O$5,BetTable[[Date]:[Date]],"&lt;="&amp;EOMONTH(O$5,0))+SUMIFS(BetTable[[AR_per_bookie]:[AR_per_bookie]],BetTable[[B3]:[B3]],$K16,BetTable[[Date]:[Date]], "&gt;="&amp;O$5,BetTable[[Date]:[Date]],"&lt;="&amp;EOMONTH(O$5,0))</f>
        <v>0</v>
      </c>
      <c r="P16" s="186">
        <f>SUMIFS(DWbonus[[Sum]:[Sum]],DWbonus[[Dato]:[Dato]], "&gt;="&amp;P$5,DWbonus[[Dato]:[Dato]],"&lt;="&amp;EOMONTH(P$5,0),DWbonus[[Bookie]:[Bookie]],$K16)+SUMIFS(LayTable[[Faktisk res]:[Faktisk res]],LayTable[[Dato]:[Dato]],"&gt;="&amp;P$5,LayTable[[Dato]:[Dato]],"&lt;="&amp;EOMONTH(P$5,0),LayTable[[Bookmaker]:[Bookmaker]],$K16)+SUMIFS(BetTable[[AR_per_bookie]:[AR_per_bookie]],BetTable[[B1]:[B1]],$K16,BetTable[[Date]:[Date]], "&gt;="&amp;P$5,BetTable[[Date]:[Date]],"&lt;="&amp;EOMONTH(P$5,0))+SUMIFS(BetTable[[AR_per_bookie]:[AR_per_bookie]],BetTable[[B2]:[B2]],$K16,BetTable[[Date]:[Date]], "&gt;="&amp;P$5,BetTable[[Date]:[Date]],"&lt;="&amp;EOMONTH(P$5,0))+SUMIFS(BetTable[[AR_per_bookie]:[AR_per_bookie]],BetTable[[B3]:[B3]],$K16,BetTable[[Date]:[Date]], "&gt;="&amp;P$5,BetTable[[Date]:[Date]],"&lt;="&amp;EOMONTH(P$5,0))</f>
        <v>0</v>
      </c>
      <c r="Q16" s="186">
        <f>SUMIFS(DWbonus[[Sum]:[Sum]],DWbonus[[Dato]:[Dato]], "&gt;="&amp;Q$5,DWbonus[[Dato]:[Dato]],"&lt;="&amp;EOMONTH(Q$5,0),DWbonus[[Bookie]:[Bookie]],$K16)+SUMIFS(LayTable[[Faktisk res]:[Faktisk res]],LayTable[[Dato]:[Dato]],"&gt;="&amp;Q$5,LayTable[[Dato]:[Dato]],"&lt;="&amp;EOMONTH(Q$5,0),LayTable[[Bookmaker]:[Bookmaker]],$K16)+SUMIFS(BetTable[[AR_per_bookie]:[AR_per_bookie]],BetTable[[B1]:[B1]],$K16,BetTable[[Date]:[Date]], "&gt;="&amp;Q$5,BetTable[[Date]:[Date]],"&lt;="&amp;EOMONTH(Q$5,0))+SUMIFS(BetTable[[AR_per_bookie]:[AR_per_bookie]],BetTable[[B2]:[B2]],$K16,BetTable[[Date]:[Date]], "&gt;="&amp;Q$5,BetTable[[Date]:[Date]],"&lt;="&amp;EOMONTH(Q$5,0))+SUMIFS(BetTable[[AR_per_bookie]:[AR_per_bookie]],BetTable[[B3]:[B3]],$K16,BetTable[[Date]:[Date]], "&gt;="&amp;Q$5,BetTable[[Date]:[Date]],"&lt;="&amp;EOMONTH(Q$5,0))</f>
        <v>0</v>
      </c>
      <c r="R16" s="186">
        <f>SUMIFS(DWbonus[[Sum]:[Sum]],DWbonus[[Dato]:[Dato]], "&gt;="&amp;R$5,DWbonus[[Dato]:[Dato]],"&lt;="&amp;EOMONTH(R$5,0),DWbonus[[Bookie]:[Bookie]],$K16)+SUMIFS(LayTable[[Faktisk res]:[Faktisk res]],LayTable[[Dato]:[Dato]],"&gt;="&amp;R$5,LayTable[[Dato]:[Dato]],"&lt;="&amp;EOMONTH(R$5,0),LayTable[[Bookmaker]:[Bookmaker]],$K16)+SUMIFS(BetTable[[AR_per_bookie]:[AR_per_bookie]],BetTable[[B1]:[B1]],$K16,BetTable[[Date]:[Date]], "&gt;="&amp;R$5,BetTable[[Date]:[Date]],"&lt;="&amp;EOMONTH(R$5,0))+SUMIFS(BetTable[[AR_per_bookie]:[AR_per_bookie]],BetTable[[B2]:[B2]],$K16,BetTable[[Date]:[Date]], "&gt;="&amp;R$5,BetTable[[Date]:[Date]],"&lt;="&amp;EOMONTH(R$5,0))+SUMIFS(BetTable[[AR_per_bookie]:[AR_per_bookie]],BetTable[[B3]:[B3]],$K16,BetTable[[Date]:[Date]], "&gt;="&amp;R$5,BetTable[[Date]:[Date]],"&lt;="&amp;EOMONTH(R$5,0))</f>
        <v>0</v>
      </c>
      <c r="S16" s="186">
        <f>SUMIFS(DWbonus[[Sum]:[Sum]],DWbonus[[Dato]:[Dato]], "&gt;="&amp;S$5,DWbonus[[Dato]:[Dato]],"&lt;="&amp;EOMONTH(S$5,0),DWbonus[[Bookie]:[Bookie]],$K16)+SUMIFS(LayTable[[Faktisk res]:[Faktisk res]],LayTable[[Dato]:[Dato]],"&gt;="&amp;S$5,LayTable[[Dato]:[Dato]],"&lt;="&amp;EOMONTH(S$5,0),LayTable[[Bookmaker]:[Bookmaker]],$K16)+SUMIFS(BetTable[[AR_per_bookie]:[AR_per_bookie]],BetTable[[B1]:[B1]],$K16,BetTable[[Date]:[Date]], "&gt;="&amp;S$5,BetTable[[Date]:[Date]],"&lt;="&amp;EOMONTH(S$5,0))+SUMIFS(BetTable[[AR_per_bookie]:[AR_per_bookie]],BetTable[[B2]:[B2]],$K16,BetTable[[Date]:[Date]], "&gt;="&amp;S$5,BetTable[[Date]:[Date]],"&lt;="&amp;EOMONTH(S$5,0))+SUMIFS(BetTable[[AR_per_bookie]:[AR_per_bookie]],BetTable[[B3]:[B3]],$K16,BetTable[[Date]:[Date]], "&gt;="&amp;S$5,BetTable[[Date]:[Date]],"&lt;="&amp;EOMONTH(S$5,0))</f>
        <v>0</v>
      </c>
      <c r="T16" s="186">
        <f>SUMIFS(DWbonus[[Sum]:[Sum]],DWbonus[[Dato]:[Dato]], "&gt;="&amp;T$5,DWbonus[[Dato]:[Dato]],"&lt;="&amp;EOMONTH(T$5,0),DWbonus[[Bookie]:[Bookie]],$K16)+SUMIFS(LayTable[[Faktisk res]:[Faktisk res]],LayTable[[Dato]:[Dato]],"&gt;="&amp;T$5,LayTable[[Dato]:[Dato]],"&lt;="&amp;EOMONTH(T$5,0),LayTable[[Bookmaker]:[Bookmaker]],$K16)+SUMIFS(BetTable[[AR_per_bookie]:[AR_per_bookie]],BetTable[[B1]:[B1]],$K16,BetTable[[Date]:[Date]], "&gt;="&amp;T$5,BetTable[[Date]:[Date]],"&lt;="&amp;EOMONTH(T$5,0))+SUMIFS(BetTable[[AR_per_bookie]:[AR_per_bookie]],BetTable[[B2]:[B2]],$K16,BetTable[[Date]:[Date]], "&gt;="&amp;T$5,BetTable[[Date]:[Date]],"&lt;="&amp;EOMONTH(T$5,0))+SUMIFS(BetTable[[AR_per_bookie]:[AR_per_bookie]],BetTable[[B3]:[B3]],$K16,BetTable[[Date]:[Date]], "&gt;="&amp;T$5,BetTable[[Date]:[Date]],"&lt;="&amp;EOMONTH(T$5,0))</f>
        <v>0</v>
      </c>
      <c r="U16" s="186">
        <f>SUMIFS(DWbonus[[Sum]:[Sum]],DWbonus[[Dato]:[Dato]], "&gt;="&amp;U$5,DWbonus[[Dato]:[Dato]],"&lt;="&amp;EOMONTH(U$5,0),DWbonus[[Bookie]:[Bookie]],$K16)+SUMIFS(LayTable[[Faktisk res]:[Faktisk res]],LayTable[[Dato]:[Dato]],"&gt;="&amp;U$5,LayTable[[Dato]:[Dato]],"&lt;="&amp;EOMONTH(U$5,0),LayTable[[Bookmaker]:[Bookmaker]],$K16)+SUMIFS(BetTable[[AR_per_bookie]:[AR_per_bookie]],BetTable[[B1]:[B1]],$K16,BetTable[[Date]:[Date]], "&gt;="&amp;U$5,BetTable[[Date]:[Date]],"&lt;="&amp;EOMONTH(U$5,0))+SUMIFS(BetTable[[AR_per_bookie]:[AR_per_bookie]],BetTable[[B2]:[B2]],$K16,BetTable[[Date]:[Date]], "&gt;="&amp;U$5,BetTable[[Date]:[Date]],"&lt;="&amp;EOMONTH(U$5,0))+SUMIFS(BetTable[[AR_per_bookie]:[AR_per_bookie]],BetTable[[B3]:[B3]],$K16,BetTable[[Date]:[Date]], "&gt;="&amp;U$5,BetTable[[Date]:[Date]],"&lt;="&amp;EOMONTH(U$5,0))</f>
        <v>0</v>
      </c>
      <c r="V16" s="186">
        <f>SUMIFS(DWbonus[[Sum]:[Sum]],DWbonus[[Dato]:[Dato]], "&gt;="&amp;V$5,DWbonus[[Dato]:[Dato]],"&lt;="&amp;EOMONTH(V$5,0),DWbonus[[Bookie]:[Bookie]],$K16)+SUMIFS(LayTable[[Faktisk res]:[Faktisk res]],LayTable[[Dato]:[Dato]],"&gt;="&amp;V$5,LayTable[[Dato]:[Dato]],"&lt;="&amp;EOMONTH(V$5,0),LayTable[[Bookmaker]:[Bookmaker]],$K16)+SUMIFS(BetTable[[AR_per_bookie]:[AR_per_bookie]],BetTable[[B1]:[B1]],$K16,BetTable[[Date]:[Date]], "&gt;="&amp;V$5,BetTable[[Date]:[Date]],"&lt;="&amp;EOMONTH(V$5,0))+SUMIFS(BetTable[[AR_per_bookie]:[AR_per_bookie]],BetTable[[B2]:[B2]],$K16,BetTable[[Date]:[Date]], "&gt;="&amp;V$5,BetTable[[Date]:[Date]],"&lt;="&amp;EOMONTH(V$5,0))+SUMIFS(BetTable[[AR_per_bookie]:[AR_per_bookie]],BetTable[[B3]:[B3]],$K16,BetTable[[Date]:[Date]], "&gt;="&amp;V$5,BetTable[[Date]:[Date]],"&lt;="&amp;EOMONTH(V$5,0))</f>
        <v>0</v>
      </c>
      <c r="W16" s="186">
        <f>SUMIFS(DWbonus[[Sum]:[Sum]],DWbonus[[Dato]:[Dato]], "&gt;="&amp;W$5,DWbonus[[Dato]:[Dato]],"&lt;="&amp;EOMONTH(W$5,0),DWbonus[[Bookie]:[Bookie]],$K16)+SUMIFS(LayTable[[Faktisk res]:[Faktisk res]],LayTable[[Dato]:[Dato]],"&gt;="&amp;W$5,LayTable[[Dato]:[Dato]],"&lt;="&amp;EOMONTH(W$5,0),LayTable[[Bookmaker]:[Bookmaker]],$K16)+SUMIFS(BetTable[[AR_per_bookie]:[AR_per_bookie]],BetTable[[B1]:[B1]],$K16,BetTable[[Date]:[Date]], "&gt;="&amp;W$5,BetTable[[Date]:[Date]],"&lt;="&amp;EOMONTH(W$5,0))+SUMIFS(BetTable[[AR_per_bookie]:[AR_per_bookie]],BetTable[[B2]:[B2]],$K16,BetTable[[Date]:[Date]], "&gt;="&amp;W$5,BetTable[[Date]:[Date]],"&lt;="&amp;EOMONTH(W$5,0))+SUMIFS(BetTable[[AR_per_bookie]:[AR_per_bookie]],BetTable[[B3]:[B3]],$K16,BetTable[[Date]:[Date]], "&gt;="&amp;W$5,BetTable[[Date]:[Date]],"&lt;="&amp;EOMONTH(W$5,0))</f>
        <v>0</v>
      </c>
    </row>
    <row r="17" spans="1:23">
      <c r="A17" s="174" t="s">
        <v>307</v>
      </c>
      <c r="B17" s="186">
        <f>W6-F25</f>
        <v>-255</v>
      </c>
      <c r="C17" s="186">
        <v>0</v>
      </c>
      <c r="D17" s="186">
        <f t="shared" si="2"/>
        <v>0</v>
      </c>
      <c r="E17" s="186">
        <v>0</v>
      </c>
      <c r="F17" s="186">
        <f t="shared" si="0"/>
        <v>0</v>
      </c>
      <c r="K17" s="174" t="str">
        <f t="array" ref="K17">IFERROR(INDEX(BookieNavn!H$2:H$1251,SMALL(IF(EXACT(LEFT(BookieNavn!H$2:H$1251,2),M$3),ROW(BookieNavn!H$2:H$1251)-ROW(BookieNavn!H$2)+1),ROWS(BookieNavn!H$2:'BookieNavn'!H12))),"")</f>
        <v>AaLeoVegas</v>
      </c>
      <c r="L17" s="186">
        <f>SUMIFS(DWbonus[[Sum]:[Sum]],DWbonus[[Dato]:[Dato]], "&gt;="&amp;L$5,DWbonus[[Dato]:[Dato]],"&lt;="&amp;EOMONTH(L$5,0),DWbonus[[Bookie]:[Bookie]],$K17)+SUMIFS(LayTable[[Faktisk res]:[Faktisk res]],LayTable[[Dato]:[Dato]],"&gt;="&amp;L$5,LayTable[[Dato]:[Dato]],"&lt;="&amp;EOMONTH(L$5,0),LayTable[[Bookmaker]:[Bookmaker]],$K17)+SUMIFS(BetTable[[AR_per_bookie]:[AR_per_bookie]],BetTable[[B1]:[B1]],$K17,BetTable[[Date]:[Date]], "&gt;="&amp;L$5,BetTable[[Date]:[Date]],"&lt;="&amp;EOMONTH(L$5,0))+SUMIFS(BetTable[[AR_per_bookie]:[AR_per_bookie]],BetTable[[B2]:[B2]],$K17,BetTable[[Date]:[Date]], "&gt;="&amp;L$5,BetTable[[Date]:[Date]],"&lt;="&amp;EOMONTH(L$5,0))+SUMIFS(BetTable[[AR_per_bookie]:[AR_per_bookie]],BetTable[[B3]:[B3]],$K17,BetTable[[Date]:[Date]], "&gt;="&amp;L$5,BetTable[[Date]:[Date]],"&lt;="&amp;EOMONTH(L$5,0))</f>
        <v>0</v>
      </c>
      <c r="M17" s="186">
        <f>SUMIFS(DWbonus[[Sum]:[Sum]],DWbonus[[Dato]:[Dato]], "&gt;="&amp;M$5,DWbonus[[Dato]:[Dato]],"&lt;="&amp;EOMONTH(M$5,0),DWbonus[[Bookie]:[Bookie]],$K17)+SUMIFS(LayTable[[Faktisk res]:[Faktisk res]],LayTable[[Dato]:[Dato]],"&gt;="&amp;M$5,LayTable[[Dato]:[Dato]],"&lt;="&amp;EOMONTH(M$5,0),LayTable[[Bookmaker]:[Bookmaker]],$K17)+SUMIFS(BetTable[[AR_per_bookie]:[AR_per_bookie]],BetTable[[B1]:[B1]],$K17,BetTable[[Date]:[Date]], "&gt;="&amp;M$5,BetTable[[Date]:[Date]],"&lt;="&amp;EOMONTH(M$5,0))+SUMIFS(BetTable[[AR_per_bookie]:[AR_per_bookie]],BetTable[[B2]:[B2]],$K17,BetTable[[Date]:[Date]], "&gt;="&amp;M$5,BetTable[[Date]:[Date]],"&lt;="&amp;EOMONTH(M$5,0))+SUMIFS(BetTable[[AR_per_bookie]:[AR_per_bookie]],BetTable[[B3]:[B3]],$K17,BetTable[[Date]:[Date]], "&gt;="&amp;M$5,BetTable[[Date]:[Date]],"&lt;="&amp;EOMONTH(M$5,0))</f>
        <v>0</v>
      </c>
      <c r="N17" s="186">
        <f>SUMIFS(DWbonus[[Sum]:[Sum]],DWbonus[[Dato]:[Dato]], "&gt;="&amp;N$5,DWbonus[[Dato]:[Dato]],"&lt;="&amp;EOMONTH(N$5,0),DWbonus[[Bookie]:[Bookie]],$K17)+SUMIFS(LayTable[[Faktisk res]:[Faktisk res]],LayTable[[Dato]:[Dato]],"&gt;="&amp;N$5,LayTable[[Dato]:[Dato]],"&lt;="&amp;EOMONTH(N$5,0),LayTable[[Bookmaker]:[Bookmaker]],$K17)+SUMIFS(BetTable[[AR_per_bookie]:[AR_per_bookie]],BetTable[[B1]:[B1]],$K17,BetTable[[Date]:[Date]], "&gt;="&amp;N$5,BetTable[[Date]:[Date]],"&lt;="&amp;EOMONTH(N$5,0))+SUMIFS(BetTable[[AR_per_bookie]:[AR_per_bookie]],BetTable[[B2]:[B2]],$K17,BetTable[[Date]:[Date]], "&gt;="&amp;N$5,BetTable[[Date]:[Date]],"&lt;="&amp;EOMONTH(N$5,0))+SUMIFS(BetTable[[AR_per_bookie]:[AR_per_bookie]],BetTable[[B3]:[B3]],$K17,BetTable[[Date]:[Date]], "&gt;="&amp;N$5,BetTable[[Date]:[Date]],"&lt;="&amp;EOMONTH(N$5,0))</f>
        <v>0</v>
      </c>
      <c r="O17" s="186">
        <f>SUMIFS(DWbonus[[Sum]:[Sum]],DWbonus[[Dato]:[Dato]], "&gt;="&amp;O$5,DWbonus[[Dato]:[Dato]],"&lt;="&amp;EOMONTH(O$5,0),DWbonus[[Bookie]:[Bookie]],$K17)+SUMIFS(LayTable[[Faktisk res]:[Faktisk res]],LayTable[[Dato]:[Dato]],"&gt;="&amp;O$5,LayTable[[Dato]:[Dato]],"&lt;="&amp;EOMONTH(O$5,0),LayTable[[Bookmaker]:[Bookmaker]],$K17)+SUMIFS(BetTable[[AR_per_bookie]:[AR_per_bookie]],BetTable[[B1]:[B1]],$K17,BetTable[[Date]:[Date]], "&gt;="&amp;O$5,BetTable[[Date]:[Date]],"&lt;="&amp;EOMONTH(O$5,0))+SUMIFS(BetTable[[AR_per_bookie]:[AR_per_bookie]],BetTable[[B2]:[B2]],$K17,BetTable[[Date]:[Date]], "&gt;="&amp;O$5,BetTable[[Date]:[Date]],"&lt;="&amp;EOMONTH(O$5,0))+SUMIFS(BetTable[[AR_per_bookie]:[AR_per_bookie]],BetTable[[B3]:[B3]],$K17,BetTable[[Date]:[Date]], "&gt;="&amp;O$5,BetTable[[Date]:[Date]],"&lt;="&amp;EOMONTH(O$5,0))</f>
        <v>0</v>
      </c>
      <c r="P17" s="186">
        <f>SUMIFS(DWbonus[[Sum]:[Sum]],DWbonus[[Dato]:[Dato]], "&gt;="&amp;P$5,DWbonus[[Dato]:[Dato]],"&lt;="&amp;EOMONTH(P$5,0),DWbonus[[Bookie]:[Bookie]],$K17)+SUMIFS(LayTable[[Faktisk res]:[Faktisk res]],LayTable[[Dato]:[Dato]],"&gt;="&amp;P$5,LayTable[[Dato]:[Dato]],"&lt;="&amp;EOMONTH(P$5,0),LayTable[[Bookmaker]:[Bookmaker]],$K17)+SUMIFS(BetTable[[AR_per_bookie]:[AR_per_bookie]],BetTable[[B1]:[B1]],$K17,BetTable[[Date]:[Date]], "&gt;="&amp;P$5,BetTable[[Date]:[Date]],"&lt;="&amp;EOMONTH(P$5,0))+SUMIFS(BetTable[[AR_per_bookie]:[AR_per_bookie]],BetTable[[B2]:[B2]],$K17,BetTable[[Date]:[Date]], "&gt;="&amp;P$5,BetTable[[Date]:[Date]],"&lt;="&amp;EOMONTH(P$5,0))+SUMIFS(BetTable[[AR_per_bookie]:[AR_per_bookie]],BetTable[[B3]:[B3]],$K17,BetTable[[Date]:[Date]], "&gt;="&amp;P$5,BetTable[[Date]:[Date]],"&lt;="&amp;EOMONTH(P$5,0))</f>
        <v>0</v>
      </c>
      <c r="Q17" s="186">
        <f>SUMIFS(DWbonus[[Sum]:[Sum]],DWbonus[[Dato]:[Dato]], "&gt;="&amp;Q$5,DWbonus[[Dato]:[Dato]],"&lt;="&amp;EOMONTH(Q$5,0),DWbonus[[Bookie]:[Bookie]],$K17)+SUMIFS(LayTable[[Faktisk res]:[Faktisk res]],LayTable[[Dato]:[Dato]],"&gt;="&amp;Q$5,LayTable[[Dato]:[Dato]],"&lt;="&amp;EOMONTH(Q$5,0),LayTable[[Bookmaker]:[Bookmaker]],$K17)+SUMIFS(BetTable[[AR_per_bookie]:[AR_per_bookie]],BetTable[[B1]:[B1]],$K17,BetTable[[Date]:[Date]], "&gt;="&amp;Q$5,BetTable[[Date]:[Date]],"&lt;="&amp;EOMONTH(Q$5,0))+SUMIFS(BetTable[[AR_per_bookie]:[AR_per_bookie]],BetTable[[B2]:[B2]],$K17,BetTable[[Date]:[Date]], "&gt;="&amp;Q$5,BetTable[[Date]:[Date]],"&lt;="&amp;EOMONTH(Q$5,0))+SUMIFS(BetTable[[AR_per_bookie]:[AR_per_bookie]],BetTable[[B3]:[B3]],$K17,BetTable[[Date]:[Date]], "&gt;="&amp;Q$5,BetTable[[Date]:[Date]],"&lt;="&amp;EOMONTH(Q$5,0))</f>
        <v>0</v>
      </c>
      <c r="R17" s="186">
        <f>SUMIFS(DWbonus[[Sum]:[Sum]],DWbonus[[Dato]:[Dato]], "&gt;="&amp;R$5,DWbonus[[Dato]:[Dato]],"&lt;="&amp;EOMONTH(R$5,0),DWbonus[[Bookie]:[Bookie]],$K17)+SUMIFS(LayTable[[Faktisk res]:[Faktisk res]],LayTable[[Dato]:[Dato]],"&gt;="&amp;R$5,LayTable[[Dato]:[Dato]],"&lt;="&amp;EOMONTH(R$5,0),LayTable[[Bookmaker]:[Bookmaker]],$K17)+SUMIFS(BetTable[[AR_per_bookie]:[AR_per_bookie]],BetTable[[B1]:[B1]],$K17,BetTable[[Date]:[Date]], "&gt;="&amp;R$5,BetTable[[Date]:[Date]],"&lt;="&amp;EOMONTH(R$5,0))+SUMIFS(BetTable[[AR_per_bookie]:[AR_per_bookie]],BetTable[[B2]:[B2]],$K17,BetTable[[Date]:[Date]], "&gt;="&amp;R$5,BetTable[[Date]:[Date]],"&lt;="&amp;EOMONTH(R$5,0))+SUMIFS(BetTable[[AR_per_bookie]:[AR_per_bookie]],BetTable[[B3]:[B3]],$K17,BetTable[[Date]:[Date]], "&gt;="&amp;R$5,BetTable[[Date]:[Date]],"&lt;="&amp;EOMONTH(R$5,0))</f>
        <v>0</v>
      </c>
      <c r="S17" s="186">
        <f>SUMIFS(DWbonus[[Sum]:[Sum]],DWbonus[[Dato]:[Dato]], "&gt;="&amp;S$5,DWbonus[[Dato]:[Dato]],"&lt;="&amp;EOMONTH(S$5,0),DWbonus[[Bookie]:[Bookie]],$K17)+SUMIFS(LayTable[[Faktisk res]:[Faktisk res]],LayTable[[Dato]:[Dato]],"&gt;="&amp;S$5,LayTable[[Dato]:[Dato]],"&lt;="&amp;EOMONTH(S$5,0),LayTable[[Bookmaker]:[Bookmaker]],$K17)+SUMIFS(BetTable[[AR_per_bookie]:[AR_per_bookie]],BetTable[[B1]:[B1]],$K17,BetTable[[Date]:[Date]], "&gt;="&amp;S$5,BetTable[[Date]:[Date]],"&lt;="&amp;EOMONTH(S$5,0))+SUMIFS(BetTable[[AR_per_bookie]:[AR_per_bookie]],BetTable[[B2]:[B2]],$K17,BetTable[[Date]:[Date]], "&gt;="&amp;S$5,BetTable[[Date]:[Date]],"&lt;="&amp;EOMONTH(S$5,0))+SUMIFS(BetTable[[AR_per_bookie]:[AR_per_bookie]],BetTable[[B3]:[B3]],$K17,BetTable[[Date]:[Date]], "&gt;="&amp;S$5,BetTable[[Date]:[Date]],"&lt;="&amp;EOMONTH(S$5,0))</f>
        <v>0</v>
      </c>
      <c r="T17" s="186">
        <f>SUMIFS(DWbonus[[Sum]:[Sum]],DWbonus[[Dato]:[Dato]], "&gt;="&amp;T$5,DWbonus[[Dato]:[Dato]],"&lt;="&amp;EOMONTH(T$5,0),DWbonus[[Bookie]:[Bookie]],$K17)+SUMIFS(LayTable[[Faktisk res]:[Faktisk res]],LayTable[[Dato]:[Dato]],"&gt;="&amp;T$5,LayTable[[Dato]:[Dato]],"&lt;="&amp;EOMONTH(T$5,0),LayTable[[Bookmaker]:[Bookmaker]],$K17)+SUMIFS(BetTable[[AR_per_bookie]:[AR_per_bookie]],BetTable[[B1]:[B1]],$K17,BetTable[[Date]:[Date]], "&gt;="&amp;T$5,BetTable[[Date]:[Date]],"&lt;="&amp;EOMONTH(T$5,0))+SUMIFS(BetTable[[AR_per_bookie]:[AR_per_bookie]],BetTable[[B2]:[B2]],$K17,BetTable[[Date]:[Date]], "&gt;="&amp;T$5,BetTable[[Date]:[Date]],"&lt;="&amp;EOMONTH(T$5,0))+SUMIFS(BetTable[[AR_per_bookie]:[AR_per_bookie]],BetTable[[B3]:[B3]],$K17,BetTable[[Date]:[Date]], "&gt;="&amp;T$5,BetTable[[Date]:[Date]],"&lt;="&amp;EOMONTH(T$5,0))</f>
        <v>0</v>
      </c>
      <c r="U17" s="186">
        <f>SUMIFS(DWbonus[[Sum]:[Sum]],DWbonus[[Dato]:[Dato]], "&gt;="&amp;U$5,DWbonus[[Dato]:[Dato]],"&lt;="&amp;EOMONTH(U$5,0),DWbonus[[Bookie]:[Bookie]],$K17)+SUMIFS(LayTable[[Faktisk res]:[Faktisk res]],LayTable[[Dato]:[Dato]],"&gt;="&amp;U$5,LayTable[[Dato]:[Dato]],"&lt;="&amp;EOMONTH(U$5,0),LayTable[[Bookmaker]:[Bookmaker]],$K17)+SUMIFS(BetTable[[AR_per_bookie]:[AR_per_bookie]],BetTable[[B1]:[B1]],$K17,BetTable[[Date]:[Date]], "&gt;="&amp;U$5,BetTable[[Date]:[Date]],"&lt;="&amp;EOMONTH(U$5,0))+SUMIFS(BetTable[[AR_per_bookie]:[AR_per_bookie]],BetTable[[B2]:[B2]],$K17,BetTable[[Date]:[Date]], "&gt;="&amp;U$5,BetTable[[Date]:[Date]],"&lt;="&amp;EOMONTH(U$5,0))+SUMIFS(BetTable[[AR_per_bookie]:[AR_per_bookie]],BetTable[[B3]:[B3]],$K17,BetTable[[Date]:[Date]], "&gt;="&amp;U$5,BetTable[[Date]:[Date]],"&lt;="&amp;EOMONTH(U$5,0))</f>
        <v>0</v>
      </c>
      <c r="V17" s="186">
        <f>SUMIFS(DWbonus[[Sum]:[Sum]],DWbonus[[Dato]:[Dato]], "&gt;="&amp;V$5,DWbonus[[Dato]:[Dato]],"&lt;="&amp;EOMONTH(V$5,0),DWbonus[[Bookie]:[Bookie]],$K17)+SUMIFS(LayTable[[Faktisk res]:[Faktisk res]],LayTable[[Dato]:[Dato]],"&gt;="&amp;V$5,LayTable[[Dato]:[Dato]],"&lt;="&amp;EOMONTH(V$5,0),LayTable[[Bookmaker]:[Bookmaker]],$K17)+SUMIFS(BetTable[[AR_per_bookie]:[AR_per_bookie]],BetTable[[B1]:[B1]],$K17,BetTable[[Date]:[Date]], "&gt;="&amp;V$5,BetTable[[Date]:[Date]],"&lt;="&amp;EOMONTH(V$5,0))+SUMIFS(BetTable[[AR_per_bookie]:[AR_per_bookie]],BetTable[[B2]:[B2]],$K17,BetTable[[Date]:[Date]], "&gt;="&amp;V$5,BetTable[[Date]:[Date]],"&lt;="&amp;EOMONTH(V$5,0))+SUMIFS(BetTable[[AR_per_bookie]:[AR_per_bookie]],BetTable[[B3]:[B3]],$K17,BetTable[[Date]:[Date]], "&gt;="&amp;V$5,BetTable[[Date]:[Date]],"&lt;="&amp;EOMONTH(V$5,0))</f>
        <v>0</v>
      </c>
      <c r="W17" s="186">
        <f>SUMIFS(DWbonus[[Sum]:[Sum]],DWbonus[[Dato]:[Dato]], "&gt;="&amp;W$5,DWbonus[[Dato]:[Dato]],"&lt;="&amp;EOMONTH(W$5,0),DWbonus[[Bookie]:[Bookie]],$K17)+SUMIFS(LayTable[[Faktisk res]:[Faktisk res]],LayTable[[Dato]:[Dato]],"&gt;="&amp;W$5,LayTable[[Dato]:[Dato]],"&lt;="&amp;EOMONTH(W$5,0),LayTable[[Bookmaker]:[Bookmaker]],$K17)+SUMIFS(BetTable[[AR_per_bookie]:[AR_per_bookie]],BetTable[[B1]:[B1]],$K17,BetTable[[Date]:[Date]], "&gt;="&amp;W$5,BetTable[[Date]:[Date]],"&lt;="&amp;EOMONTH(W$5,0))+SUMIFS(BetTable[[AR_per_bookie]:[AR_per_bookie]],BetTable[[B2]:[B2]],$K17,BetTable[[Date]:[Date]], "&gt;="&amp;W$5,BetTable[[Date]:[Date]],"&lt;="&amp;EOMONTH(W$5,0))+SUMIFS(BetTable[[AR_per_bookie]:[AR_per_bookie]],BetTable[[B3]:[B3]],$K17,BetTable[[Date]:[Date]], "&gt;="&amp;W$5,BetTable[[Date]:[Date]],"&lt;="&amp;EOMONTH(W$5,0))</f>
        <v>0</v>
      </c>
    </row>
    <row r="18" spans="1:23">
      <c r="K18" s="174" t="str">
        <f t="array" ref="K18">IFERROR(INDEX(BookieNavn!H$2:H$1251,SMALL(IF(EXACT(LEFT(BookieNavn!H$2:H$1251,2),M$3),ROW(BookieNavn!H$2:H$1251)-ROW(BookieNavn!H$2)+1),ROWS(BookieNavn!H$2:'BookieNavn'!H13))),"")</f>
        <v>AaGuts</v>
      </c>
      <c r="L18" s="186">
        <f>SUMIFS(DWbonus[[Sum]:[Sum]],DWbonus[[Dato]:[Dato]], "&gt;="&amp;L$5,DWbonus[[Dato]:[Dato]],"&lt;="&amp;EOMONTH(L$5,0),DWbonus[[Bookie]:[Bookie]],$K18)+SUMIFS(LayTable[[Faktisk res]:[Faktisk res]],LayTable[[Dato]:[Dato]],"&gt;="&amp;L$5,LayTable[[Dato]:[Dato]],"&lt;="&amp;EOMONTH(L$5,0),LayTable[[Bookmaker]:[Bookmaker]],$K18)+SUMIFS(BetTable[[AR_per_bookie]:[AR_per_bookie]],BetTable[[B1]:[B1]],$K18,BetTable[[Date]:[Date]], "&gt;="&amp;L$5,BetTable[[Date]:[Date]],"&lt;="&amp;EOMONTH(L$5,0))+SUMIFS(BetTable[[AR_per_bookie]:[AR_per_bookie]],BetTable[[B2]:[B2]],$K18,BetTable[[Date]:[Date]], "&gt;="&amp;L$5,BetTable[[Date]:[Date]],"&lt;="&amp;EOMONTH(L$5,0))+SUMIFS(BetTable[[AR_per_bookie]:[AR_per_bookie]],BetTable[[B3]:[B3]],$K18,BetTable[[Date]:[Date]], "&gt;="&amp;L$5,BetTable[[Date]:[Date]],"&lt;="&amp;EOMONTH(L$5,0))</f>
        <v>0</v>
      </c>
      <c r="M18" s="186">
        <f>SUMIFS(DWbonus[[Sum]:[Sum]],DWbonus[[Dato]:[Dato]], "&gt;="&amp;M$5,DWbonus[[Dato]:[Dato]],"&lt;="&amp;EOMONTH(M$5,0),DWbonus[[Bookie]:[Bookie]],$K18)+SUMIFS(LayTable[[Faktisk res]:[Faktisk res]],LayTable[[Dato]:[Dato]],"&gt;="&amp;M$5,LayTable[[Dato]:[Dato]],"&lt;="&amp;EOMONTH(M$5,0),LayTable[[Bookmaker]:[Bookmaker]],$K18)+SUMIFS(BetTable[[AR_per_bookie]:[AR_per_bookie]],BetTable[[B1]:[B1]],$K18,BetTable[[Date]:[Date]], "&gt;="&amp;M$5,BetTable[[Date]:[Date]],"&lt;="&amp;EOMONTH(M$5,0))+SUMIFS(BetTable[[AR_per_bookie]:[AR_per_bookie]],BetTable[[B2]:[B2]],$K18,BetTable[[Date]:[Date]], "&gt;="&amp;M$5,BetTable[[Date]:[Date]],"&lt;="&amp;EOMONTH(M$5,0))+SUMIFS(BetTable[[AR_per_bookie]:[AR_per_bookie]],BetTable[[B3]:[B3]],$K18,BetTable[[Date]:[Date]], "&gt;="&amp;M$5,BetTable[[Date]:[Date]],"&lt;="&amp;EOMONTH(M$5,0))</f>
        <v>0</v>
      </c>
      <c r="N18" s="186">
        <f>SUMIFS(DWbonus[[Sum]:[Sum]],DWbonus[[Dato]:[Dato]], "&gt;="&amp;N$5,DWbonus[[Dato]:[Dato]],"&lt;="&amp;EOMONTH(N$5,0),DWbonus[[Bookie]:[Bookie]],$K18)+SUMIFS(LayTable[[Faktisk res]:[Faktisk res]],LayTable[[Dato]:[Dato]],"&gt;="&amp;N$5,LayTable[[Dato]:[Dato]],"&lt;="&amp;EOMONTH(N$5,0),LayTable[[Bookmaker]:[Bookmaker]],$K18)+SUMIFS(BetTable[[AR_per_bookie]:[AR_per_bookie]],BetTable[[B1]:[B1]],$K18,BetTable[[Date]:[Date]], "&gt;="&amp;N$5,BetTable[[Date]:[Date]],"&lt;="&amp;EOMONTH(N$5,0))+SUMIFS(BetTable[[AR_per_bookie]:[AR_per_bookie]],BetTable[[B2]:[B2]],$K18,BetTable[[Date]:[Date]], "&gt;="&amp;N$5,BetTable[[Date]:[Date]],"&lt;="&amp;EOMONTH(N$5,0))+SUMIFS(BetTable[[AR_per_bookie]:[AR_per_bookie]],BetTable[[B3]:[B3]],$K18,BetTable[[Date]:[Date]], "&gt;="&amp;N$5,BetTable[[Date]:[Date]],"&lt;="&amp;EOMONTH(N$5,0))</f>
        <v>0</v>
      </c>
      <c r="O18" s="186">
        <f>SUMIFS(DWbonus[[Sum]:[Sum]],DWbonus[[Dato]:[Dato]], "&gt;="&amp;O$5,DWbonus[[Dato]:[Dato]],"&lt;="&amp;EOMONTH(O$5,0),DWbonus[[Bookie]:[Bookie]],$K18)+SUMIFS(LayTable[[Faktisk res]:[Faktisk res]],LayTable[[Dato]:[Dato]],"&gt;="&amp;O$5,LayTable[[Dato]:[Dato]],"&lt;="&amp;EOMONTH(O$5,0),LayTable[[Bookmaker]:[Bookmaker]],$K18)+SUMIFS(BetTable[[AR_per_bookie]:[AR_per_bookie]],BetTable[[B1]:[B1]],$K18,BetTable[[Date]:[Date]], "&gt;="&amp;O$5,BetTable[[Date]:[Date]],"&lt;="&amp;EOMONTH(O$5,0))+SUMIFS(BetTable[[AR_per_bookie]:[AR_per_bookie]],BetTable[[B2]:[B2]],$K18,BetTable[[Date]:[Date]], "&gt;="&amp;O$5,BetTable[[Date]:[Date]],"&lt;="&amp;EOMONTH(O$5,0))+SUMIFS(BetTable[[AR_per_bookie]:[AR_per_bookie]],BetTable[[B3]:[B3]],$K18,BetTable[[Date]:[Date]], "&gt;="&amp;O$5,BetTable[[Date]:[Date]],"&lt;="&amp;EOMONTH(O$5,0))</f>
        <v>0</v>
      </c>
      <c r="P18" s="186">
        <f>SUMIFS(DWbonus[[Sum]:[Sum]],DWbonus[[Dato]:[Dato]], "&gt;="&amp;P$5,DWbonus[[Dato]:[Dato]],"&lt;="&amp;EOMONTH(P$5,0),DWbonus[[Bookie]:[Bookie]],$K18)+SUMIFS(LayTable[[Faktisk res]:[Faktisk res]],LayTable[[Dato]:[Dato]],"&gt;="&amp;P$5,LayTable[[Dato]:[Dato]],"&lt;="&amp;EOMONTH(P$5,0),LayTable[[Bookmaker]:[Bookmaker]],$K18)+SUMIFS(BetTable[[AR_per_bookie]:[AR_per_bookie]],BetTable[[B1]:[B1]],$K18,BetTable[[Date]:[Date]], "&gt;="&amp;P$5,BetTable[[Date]:[Date]],"&lt;="&amp;EOMONTH(P$5,0))+SUMIFS(BetTable[[AR_per_bookie]:[AR_per_bookie]],BetTable[[B2]:[B2]],$K18,BetTable[[Date]:[Date]], "&gt;="&amp;P$5,BetTable[[Date]:[Date]],"&lt;="&amp;EOMONTH(P$5,0))+SUMIFS(BetTable[[AR_per_bookie]:[AR_per_bookie]],BetTable[[B3]:[B3]],$K18,BetTable[[Date]:[Date]], "&gt;="&amp;P$5,BetTable[[Date]:[Date]],"&lt;="&amp;EOMONTH(P$5,0))</f>
        <v>0</v>
      </c>
      <c r="Q18" s="186">
        <f>SUMIFS(DWbonus[[Sum]:[Sum]],DWbonus[[Dato]:[Dato]], "&gt;="&amp;Q$5,DWbonus[[Dato]:[Dato]],"&lt;="&amp;EOMONTH(Q$5,0),DWbonus[[Bookie]:[Bookie]],$K18)+SUMIFS(LayTable[[Faktisk res]:[Faktisk res]],LayTable[[Dato]:[Dato]],"&gt;="&amp;Q$5,LayTable[[Dato]:[Dato]],"&lt;="&amp;EOMONTH(Q$5,0),LayTable[[Bookmaker]:[Bookmaker]],$K18)+SUMIFS(BetTable[[AR_per_bookie]:[AR_per_bookie]],BetTable[[B1]:[B1]],$K18,BetTable[[Date]:[Date]], "&gt;="&amp;Q$5,BetTable[[Date]:[Date]],"&lt;="&amp;EOMONTH(Q$5,0))+SUMIFS(BetTable[[AR_per_bookie]:[AR_per_bookie]],BetTable[[B2]:[B2]],$K18,BetTable[[Date]:[Date]], "&gt;="&amp;Q$5,BetTable[[Date]:[Date]],"&lt;="&amp;EOMONTH(Q$5,0))+SUMIFS(BetTable[[AR_per_bookie]:[AR_per_bookie]],BetTable[[B3]:[B3]],$K18,BetTable[[Date]:[Date]], "&gt;="&amp;Q$5,BetTable[[Date]:[Date]],"&lt;="&amp;EOMONTH(Q$5,0))</f>
        <v>0</v>
      </c>
      <c r="R18" s="186">
        <f>SUMIFS(DWbonus[[Sum]:[Sum]],DWbonus[[Dato]:[Dato]], "&gt;="&amp;R$5,DWbonus[[Dato]:[Dato]],"&lt;="&amp;EOMONTH(R$5,0),DWbonus[[Bookie]:[Bookie]],$K18)+SUMIFS(LayTable[[Faktisk res]:[Faktisk res]],LayTable[[Dato]:[Dato]],"&gt;="&amp;R$5,LayTable[[Dato]:[Dato]],"&lt;="&amp;EOMONTH(R$5,0),LayTable[[Bookmaker]:[Bookmaker]],$K18)+SUMIFS(BetTable[[AR_per_bookie]:[AR_per_bookie]],BetTable[[B1]:[B1]],$K18,BetTable[[Date]:[Date]], "&gt;="&amp;R$5,BetTable[[Date]:[Date]],"&lt;="&amp;EOMONTH(R$5,0))+SUMIFS(BetTable[[AR_per_bookie]:[AR_per_bookie]],BetTable[[B2]:[B2]],$K18,BetTable[[Date]:[Date]], "&gt;="&amp;R$5,BetTable[[Date]:[Date]],"&lt;="&amp;EOMONTH(R$5,0))+SUMIFS(BetTable[[AR_per_bookie]:[AR_per_bookie]],BetTable[[B3]:[B3]],$K18,BetTable[[Date]:[Date]], "&gt;="&amp;R$5,BetTable[[Date]:[Date]],"&lt;="&amp;EOMONTH(R$5,0))</f>
        <v>0</v>
      </c>
      <c r="S18" s="186">
        <f>SUMIFS(DWbonus[[Sum]:[Sum]],DWbonus[[Dato]:[Dato]], "&gt;="&amp;S$5,DWbonus[[Dato]:[Dato]],"&lt;="&amp;EOMONTH(S$5,0),DWbonus[[Bookie]:[Bookie]],$K18)+SUMIFS(LayTable[[Faktisk res]:[Faktisk res]],LayTable[[Dato]:[Dato]],"&gt;="&amp;S$5,LayTable[[Dato]:[Dato]],"&lt;="&amp;EOMONTH(S$5,0),LayTable[[Bookmaker]:[Bookmaker]],$K18)+SUMIFS(BetTable[[AR_per_bookie]:[AR_per_bookie]],BetTable[[B1]:[B1]],$K18,BetTable[[Date]:[Date]], "&gt;="&amp;S$5,BetTable[[Date]:[Date]],"&lt;="&amp;EOMONTH(S$5,0))+SUMIFS(BetTable[[AR_per_bookie]:[AR_per_bookie]],BetTable[[B2]:[B2]],$K18,BetTable[[Date]:[Date]], "&gt;="&amp;S$5,BetTable[[Date]:[Date]],"&lt;="&amp;EOMONTH(S$5,0))+SUMIFS(BetTable[[AR_per_bookie]:[AR_per_bookie]],BetTable[[B3]:[B3]],$K18,BetTable[[Date]:[Date]], "&gt;="&amp;S$5,BetTable[[Date]:[Date]],"&lt;="&amp;EOMONTH(S$5,0))</f>
        <v>0</v>
      </c>
      <c r="T18" s="186">
        <f>SUMIFS(DWbonus[[Sum]:[Sum]],DWbonus[[Dato]:[Dato]], "&gt;="&amp;T$5,DWbonus[[Dato]:[Dato]],"&lt;="&amp;EOMONTH(T$5,0),DWbonus[[Bookie]:[Bookie]],$K18)+SUMIFS(LayTable[[Faktisk res]:[Faktisk res]],LayTable[[Dato]:[Dato]],"&gt;="&amp;T$5,LayTable[[Dato]:[Dato]],"&lt;="&amp;EOMONTH(T$5,0),LayTable[[Bookmaker]:[Bookmaker]],$K18)+SUMIFS(BetTable[[AR_per_bookie]:[AR_per_bookie]],BetTable[[B1]:[B1]],$K18,BetTable[[Date]:[Date]], "&gt;="&amp;T$5,BetTable[[Date]:[Date]],"&lt;="&amp;EOMONTH(T$5,0))+SUMIFS(BetTable[[AR_per_bookie]:[AR_per_bookie]],BetTable[[B2]:[B2]],$K18,BetTable[[Date]:[Date]], "&gt;="&amp;T$5,BetTable[[Date]:[Date]],"&lt;="&amp;EOMONTH(T$5,0))+SUMIFS(BetTable[[AR_per_bookie]:[AR_per_bookie]],BetTable[[B3]:[B3]],$K18,BetTable[[Date]:[Date]], "&gt;="&amp;T$5,BetTable[[Date]:[Date]],"&lt;="&amp;EOMONTH(T$5,0))</f>
        <v>0</v>
      </c>
      <c r="U18" s="186">
        <f>SUMIFS(DWbonus[[Sum]:[Sum]],DWbonus[[Dato]:[Dato]], "&gt;="&amp;U$5,DWbonus[[Dato]:[Dato]],"&lt;="&amp;EOMONTH(U$5,0),DWbonus[[Bookie]:[Bookie]],$K18)+SUMIFS(LayTable[[Faktisk res]:[Faktisk res]],LayTable[[Dato]:[Dato]],"&gt;="&amp;U$5,LayTable[[Dato]:[Dato]],"&lt;="&amp;EOMONTH(U$5,0),LayTable[[Bookmaker]:[Bookmaker]],$K18)+SUMIFS(BetTable[[AR_per_bookie]:[AR_per_bookie]],BetTable[[B1]:[B1]],$K18,BetTable[[Date]:[Date]], "&gt;="&amp;U$5,BetTable[[Date]:[Date]],"&lt;="&amp;EOMONTH(U$5,0))+SUMIFS(BetTable[[AR_per_bookie]:[AR_per_bookie]],BetTable[[B2]:[B2]],$K18,BetTable[[Date]:[Date]], "&gt;="&amp;U$5,BetTable[[Date]:[Date]],"&lt;="&amp;EOMONTH(U$5,0))+SUMIFS(BetTable[[AR_per_bookie]:[AR_per_bookie]],BetTable[[B3]:[B3]],$K18,BetTable[[Date]:[Date]], "&gt;="&amp;U$5,BetTable[[Date]:[Date]],"&lt;="&amp;EOMONTH(U$5,0))</f>
        <v>0</v>
      </c>
      <c r="V18" s="186">
        <f>SUMIFS(DWbonus[[Sum]:[Sum]],DWbonus[[Dato]:[Dato]], "&gt;="&amp;V$5,DWbonus[[Dato]:[Dato]],"&lt;="&amp;EOMONTH(V$5,0),DWbonus[[Bookie]:[Bookie]],$K18)+SUMIFS(LayTable[[Faktisk res]:[Faktisk res]],LayTable[[Dato]:[Dato]],"&gt;="&amp;V$5,LayTable[[Dato]:[Dato]],"&lt;="&amp;EOMONTH(V$5,0),LayTable[[Bookmaker]:[Bookmaker]],$K18)+SUMIFS(BetTable[[AR_per_bookie]:[AR_per_bookie]],BetTable[[B1]:[B1]],$K18,BetTable[[Date]:[Date]], "&gt;="&amp;V$5,BetTable[[Date]:[Date]],"&lt;="&amp;EOMONTH(V$5,0))+SUMIFS(BetTable[[AR_per_bookie]:[AR_per_bookie]],BetTable[[B2]:[B2]],$K18,BetTable[[Date]:[Date]], "&gt;="&amp;V$5,BetTable[[Date]:[Date]],"&lt;="&amp;EOMONTH(V$5,0))+SUMIFS(BetTable[[AR_per_bookie]:[AR_per_bookie]],BetTable[[B3]:[B3]],$K18,BetTable[[Date]:[Date]], "&gt;="&amp;V$5,BetTable[[Date]:[Date]],"&lt;="&amp;EOMONTH(V$5,0))</f>
        <v>0</v>
      </c>
      <c r="W18" s="186">
        <f>SUMIFS(DWbonus[[Sum]:[Sum]],DWbonus[[Dato]:[Dato]], "&gt;="&amp;W$5,DWbonus[[Dato]:[Dato]],"&lt;="&amp;EOMONTH(W$5,0),DWbonus[[Bookie]:[Bookie]],$K18)+SUMIFS(LayTable[[Faktisk res]:[Faktisk res]],LayTable[[Dato]:[Dato]],"&gt;="&amp;W$5,LayTable[[Dato]:[Dato]],"&lt;="&amp;EOMONTH(W$5,0),LayTable[[Bookmaker]:[Bookmaker]],$K18)+SUMIFS(BetTable[[AR_per_bookie]:[AR_per_bookie]],BetTable[[B1]:[B1]],$K18,BetTable[[Date]:[Date]], "&gt;="&amp;W$5,BetTable[[Date]:[Date]],"&lt;="&amp;EOMONTH(W$5,0))+SUMIFS(BetTable[[AR_per_bookie]:[AR_per_bookie]],BetTable[[B2]:[B2]],$K18,BetTable[[Date]:[Date]], "&gt;="&amp;W$5,BetTable[[Date]:[Date]],"&lt;="&amp;EOMONTH(W$5,0))+SUMIFS(BetTable[[AR_per_bookie]:[AR_per_bookie]],BetTable[[B3]:[B3]],$K18,BetTable[[Date]:[Date]], "&gt;="&amp;W$5,BetTable[[Date]:[Date]],"&lt;="&amp;EOMONTH(W$5,0))</f>
        <v>0</v>
      </c>
    </row>
    <row r="19" spans="1:23">
      <c r="A19" s="70" t="s">
        <v>396</v>
      </c>
      <c r="B19" s="161">
        <f>SUM(B6:B17)</f>
        <v>-2030</v>
      </c>
      <c r="C19" s="161">
        <f>SUM(C6:C17)</f>
        <v>0</v>
      </c>
      <c r="D19" s="161">
        <f>SUM(D6:D17)</f>
        <v>0</v>
      </c>
      <c r="E19" s="161">
        <f>SUM(E6:E17)</f>
        <v>4287</v>
      </c>
      <c r="F19" s="161">
        <f>SUM(F6:F17)</f>
        <v>-4287</v>
      </c>
      <c r="K19" s="174" t="str">
        <f t="array" ref="K19">IFERROR(INDEX(BookieNavn!H$2:H$1251,SMALL(IF(EXACT(LEFT(BookieNavn!H$2:H$1251,2),M$3),ROW(BookieNavn!H$2:H$1251)-ROW(BookieNavn!H$2)+1),ROWS(BookieNavn!H$2:'BookieNavn'!H14))),"")</f>
        <v>AaCoolbet</v>
      </c>
      <c r="L19" s="186">
        <f>SUMIFS(DWbonus[[Sum]:[Sum]],DWbonus[[Dato]:[Dato]], "&gt;="&amp;L$5,DWbonus[[Dato]:[Dato]],"&lt;="&amp;EOMONTH(L$5,0),DWbonus[[Bookie]:[Bookie]],$K19)+SUMIFS(LayTable[[Faktisk res]:[Faktisk res]],LayTable[[Dato]:[Dato]],"&gt;="&amp;L$5,LayTable[[Dato]:[Dato]],"&lt;="&amp;EOMONTH(L$5,0),LayTable[[Bookmaker]:[Bookmaker]],$K19)+SUMIFS(BetTable[[AR_per_bookie]:[AR_per_bookie]],BetTable[[B1]:[B1]],$K19,BetTable[[Date]:[Date]], "&gt;="&amp;L$5,BetTable[[Date]:[Date]],"&lt;="&amp;EOMONTH(L$5,0))+SUMIFS(BetTable[[AR_per_bookie]:[AR_per_bookie]],BetTable[[B2]:[B2]],$K19,BetTable[[Date]:[Date]], "&gt;="&amp;L$5,BetTable[[Date]:[Date]],"&lt;="&amp;EOMONTH(L$5,0))+SUMIFS(BetTable[[AR_per_bookie]:[AR_per_bookie]],BetTable[[B3]:[B3]],$K19,BetTable[[Date]:[Date]], "&gt;="&amp;L$5,BetTable[[Date]:[Date]],"&lt;="&amp;EOMONTH(L$5,0))</f>
        <v>0</v>
      </c>
      <c r="M19" s="186">
        <f>SUMIFS(DWbonus[[Sum]:[Sum]],DWbonus[[Dato]:[Dato]], "&gt;="&amp;M$5,DWbonus[[Dato]:[Dato]],"&lt;="&amp;EOMONTH(M$5,0),DWbonus[[Bookie]:[Bookie]],$K19)+SUMIFS(LayTable[[Faktisk res]:[Faktisk res]],LayTable[[Dato]:[Dato]],"&gt;="&amp;M$5,LayTable[[Dato]:[Dato]],"&lt;="&amp;EOMONTH(M$5,0),LayTable[[Bookmaker]:[Bookmaker]],$K19)+SUMIFS(BetTable[[AR_per_bookie]:[AR_per_bookie]],BetTable[[B1]:[B1]],$K19,BetTable[[Date]:[Date]], "&gt;="&amp;M$5,BetTable[[Date]:[Date]],"&lt;="&amp;EOMONTH(M$5,0))+SUMIFS(BetTable[[AR_per_bookie]:[AR_per_bookie]],BetTable[[B2]:[B2]],$K19,BetTable[[Date]:[Date]], "&gt;="&amp;M$5,BetTable[[Date]:[Date]],"&lt;="&amp;EOMONTH(M$5,0))+SUMIFS(BetTable[[AR_per_bookie]:[AR_per_bookie]],BetTable[[B3]:[B3]],$K19,BetTable[[Date]:[Date]], "&gt;="&amp;M$5,BetTable[[Date]:[Date]],"&lt;="&amp;EOMONTH(M$5,0))</f>
        <v>0</v>
      </c>
      <c r="N19" s="186">
        <f>SUMIFS(DWbonus[[Sum]:[Sum]],DWbonus[[Dato]:[Dato]], "&gt;="&amp;N$5,DWbonus[[Dato]:[Dato]],"&lt;="&amp;EOMONTH(N$5,0),DWbonus[[Bookie]:[Bookie]],$K19)+SUMIFS(LayTable[[Faktisk res]:[Faktisk res]],LayTable[[Dato]:[Dato]],"&gt;="&amp;N$5,LayTable[[Dato]:[Dato]],"&lt;="&amp;EOMONTH(N$5,0),LayTable[[Bookmaker]:[Bookmaker]],$K19)+SUMIFS(BetTable[[AR_per_bookie]:[AR_per_bookie]],BetTable[[B1]:[B1]],$K19,BetTable[[Date]:[Date]], "&gt;="&amp;N$5,BetTable[[Date]:[Date]],"&lt;="&amp;EOMONTH(N$5,0))+SUMIFS(BetTable[[AR_per_bookie]:[AR_per_bookie]],BetTable[[B2]:[B2]],$K19,BetTable[[Date]:[Date]], "&gt;="&amp;N$5,BetTable[[Date]:[Date]],"&lt;="&amp;EOMONTH(N$5,0))+SUMIFS(BetTable[[AR_per_bookie]:[AR_per_bookie]],BetTable[[B3]:[B3]],$K19,BetTable[[Date]:[Date]], "&gt;="&amp;N$5,BetTable[[Date]:[Date]],"&lt;="&amp;EOMONTH(N$5,0))</f>
        <v>0</v>
      </c>
      <c r="O19" s="186">
        <f>SUMIFS(DWbonus[[Sum]:[Sum]],DWbonus[[Dato]:[Dato]], "&gt;="&amp;O$5,DWbonus[[Dato]:[Dato]],"&lt;="&amp;EOMONTH(O$5,0),DWbonus[[Bookie]:[Bookie]],$K19)+SUMIFS(LayTable[[Faktisk res]:[Faktisk res]],LayTable[[Dato]:[Dato]],"&gt;="&amp;O$5,LayTable[[Dato]:[Dato]],"&lt;="&amp;EOMONTH(O$5,0),LayTable[[Bookmaker]:[Bookmaker]],$K19)+SUMIFS(BetTable[[AR_per_bookie]:[AR_per_bookie]],BetTable[[B1]:[B1]],$K19,BetTable[[Date]:[Date]], "&gt;="&amp;O$5,BetTable[[Date]:[Date]],"&lt;="&amp;EOMONTH(O$5,0))+SUMIFS(BetTable[[AR_per_bookie]:[AR_per_bookie]],BetTable[[B2]:[B2]],$K19,BetTable[[Date]:[Date]], "&gt;="&amp;O$5,BetTable[[Date]:[Date]],"&lt;="&amp;EOMONTH(O$5,0))+SUMIFS(BetTable[[AR_per_bookie]:[AR_per_bookie]],BetTable[[B3]:[B3]],$K19,BetTable[[Date]:[Date]], "&gt;="&amp;O$5,BetTable[[Date]:[Date]],"&lt;="&amp;EOMONTH(O$5,0))</f>
        <v>0</v>
      </c>
      <c r="P19" s="186">
        <f>SUMIFS(DWbonus[[Sum]:[Sum]],DWbonus[[Dato]:[Dato]], "&gt;="&amp;P$5,DWbonus[[Dato]:[Dato]],"&lt;="&amp;EOMONTH(P$5,0),DWbonus[[Bookie]:[Bookie]],$K19)+SUMIFS(LayTable[[Faktisk res]:[Faktisk res]],LayTable[[Dato]:[Dato]],"&gt;="&amp;P$5,LayTable[[Dato]:[Dato]],"&lt;="&amp;EOMONTH(P$5,0),LayTable[[Bookmaker]:[Bookmaker]],$K19)+SUMIFS(BetTable[[AR_per_bookie]:[AR_per_bookie]],BetTable[[B1]:[B1]],$K19,BetTable[[Date]:[Date]], "&gt;="&amp;P$5,BetTable[[Date]:[Date]],"&lt;="&amp;EOMONTH(P$5,0))+SUMIFS(BetTable[[AR_per_bookie]:[AR_per_bookie]],BetTable[[B2]:[B2]],$K19,BetTable[[Date]:[Date]], "&gt;="&amp;P$5,BetTable[[Date]:[Date]],"&lt;="&amp;EOMONTH(P$5,0))+SUMIFS(BetTable[[AR_per_bookie]:[AR_per_bookie]],BetTable[[B3]:[B3]],$K19,BetTable[[Date]:[Date]], "&gt;="&amp;P$5,BetTable[[Date]:[Date]],"&lt;="&amp;EOMONTH(P$5,0))</f>
        <v>0</v>
      </c>
      <c r="Q19" s="186">
        <f>SUMIFS(DWbonus[[Sum]:[Sum]],DWbonus[[Dato]:[Dato]], "&gt;="&amp;Q$5,DWbonus[[Dato]:[Dato]],"&lt;="&amp;EOMONTH(Q$5,0),DWbonus[[Bookie]:[Bookie]],$K19)+SUMIFS(LayTable[[Faktisk res]:[Faktisk res]],LayTable[[Dato]:[Dato]],"&gt;="&amp;Q$5,LayTable[[Dato]:[Dato]],"&lt;="&amp;EOMONTH(Q$5,0),LayTable[[Bookmaker]:[Bookmaker]],$K19)+SUMIFS(BetTable[[AR_per_bookie]:[AR_per_bookie]],BetTable[[B1]:[B1]],$K19,BetTable[[Date]:[Date]], "&gt;="&amp;Q$5,BetTable[[Date]:[Date]],"&lt;="&amp;EOMONTH(Q$5,0))+SUMIFS(BetTable[[AR_per_bookie]:[AR_per_bookie]],BetTable[[B2]:[B2]],$K19,BetTable[[Date]:[Date]], "&gt;="&amp;Q$5,BetTable[[Date]:[Date]],"&lt;="&amp;EOMONTH(Q$5,0))+SUMIFS(BetTable[[AR_per_bookie]:[AR_per_bookie]],BetTable[[B3]:[B3]],$K19,BetTable[[Date]:[Date]], "&gt;="&amp;Q$5,BetTable[[Date]:[Date]],"&lt;="&amp;EOMONTH(Q$5,0))</f>
        <v>0</v>
      </c>
      <c r="R19" s="186">
        <f>SUMIFS(DWbonus[[Sum]:[Sum]],DWbonus[[Dato]:[Dato]], "&gt;="&amp;R$5,DWbonus[[Dato]:[Dato]],"&lt;="&amp;EOMONTH(R$5,0),DWbonus[[Bookie]:[Bookie]],$K19)+SUMIFS(LayTable[[Faktisk res]:[Faktisk res]],LayTable[[Dato]:[Dato]],"&gt;="&amp;R$5,LayTable[[Dato]:[Dato]],"&lt;="&amp;EOMONTH(R$5,0),LayTable[[Bookmaker]:[Bookmaker]],$K19)+SUMIFS(BetTable[[AR_per_bookie]:[AR_per_bookie]],BetTable[[B1]:[B1]],$K19,BetTable[[Date]:[Date]], "&gt;="&amp;R$5,BetTable[[Date]:[Date]],"&lt;="&amp;EOMONTH(R$5,0))+SUMIFS(BetTable[[AR_per_bookie]:[AR_per_bookie]],BetTable[[B2]:[B2]],$K19,BetTable[[Date]:[Date]], "&gt;="&amp;R$5,BetTable[[Date]:[Date]],"&lt;="&amp;EOMONTH(R$5,0))+SUMIFS(BetTable[[AR_per_bookie]:[AR_per_bookie]],BetTable[[B3]:[B3]],$K19,BetTable[[Date]:[Date]], "&gt;="&amp;R$5,BetTable[[Date]:[Date]],"&lt;="&amp;EOMONTH(R$5,0))</f>
        <v>0</v>
      </c>
      <c r="S19" s="186">
        <f>SUMIFS(DWbonus[[Sum]:[Sum]],DWbonus[[Dato]:[Dato]], "&gt;="&amp;S$5,DWbonus[[Dato]:[Dato]],"&lt;="&amp;EOMONTH(S$5,0),DWbonus[[Bookie]:[Bookie]],$K19)+SUMIFS(LayTable[[Faktisk res]:[Faktisk res]],LayTable[[Dato]:[Dato]],"&gt;="&amp;S$5,LayTable[[Dato]:[Dato]],"&lt;="&amp;EOMONTH(S$5,0),LayTable[[Bookmaker]:[Bookmaker]],$K19)+SUMIFS(BetTable[[AR_per_bookie]:[AR_per_bookie]],BetTable[[B1]:[B1]],$K19,BetTable[[Date]:[Date]], "&gt;="&amp;S$5,BetTable[[Date]:[Date]],"&lt;="&amp;EOMONTH(S$5,0))+SUMIFS(BetTable[[AR_per_bookie]:[AR_per_bookie]],BetTable[[B2]:[B2]],$K19,BetTable[[Date]:[Date]], "&gt;="&amp;S$5,BetTable[[Date]:[Date]],"&lt;="&amp;EOMONTH(S$5,0))+SUMIFS(BetTable[[AR_per_bookie]:[AR_per_bookie]],BetTable[[B3]:[B3]],$K19,BetTable[[Date]:[Date]], "&gt;="&amp;S$5,BetTable[[Date]:[Date]],"&lt;="&amp;EOMONTH(S$5,0))</f>
        <v>0</v>
      </c>
      <c r="T19" s="186">
        <f>SUMIFS(DWbonus[[Sum]:[Sum]],DWbonus[[Dato]:[Dato]], "&gt;="&amp;T$5,DWbonus[[Dato]:[Dato]],"&lt;="&amp;EOMONTH(T$5,0),DWbonus[[Bookie]:[Bookie]],$K19)+SUMIFS(LayTable[[Faktisk res]:[Faktisk res]],LayTable[[Dato]:[Dato]],"&gt;="&amp;T$5,LayTable[[Dato]:[Dato]],"&lt;="&amp;EOMONTH(T$5,0),LayTable[[Bookmaker]:[Bookmaker]],$K19)+SUMIFS(BetTable[[AR_per_bookie]:[AR_per_bookie]],BetTable[[B1]:[B1]],$K19,BetTable[[Date]:[Date]], "&gt;="&amp;T$5,BetTable[[Date]:[Date]],"&lt;="&amp;EOMONTH(T$5,0))+SUMIFS(BetTable[[AR_per_bookie]:[AR_per_bookie]],BetTable[[B2]:[B2]],$K19,BetTable[[Date]:[Date]], "&gt;="&amp;T$5,BetTable[[Date]:[Date]],"&lt;="&amp;EOMONTH(T$5,0))+SUMIFS(BetTable[[AR_per_bookie]:[AR_per_bookie]],BetTable[[B3]:[B3]],$K19,BetTable[[Date]:[Date]], "&gt;="&amp;T$5,BetTable[[Date]:[Date]],"&lt;="&amp;EOMONTH(T$5,0))</f>
        <v>0</v>
      </c>
      <c r="U19" s="186">
        <f>SUMIFS(DWbonus[[Sum]:[Sum]],DWbonus[[Dato]:[Dato]], "&gt;="&amp;U$5,DWbonus[[Dato]:[Dato]],"&lt;="&amp;EOMONTH(U$5,0),DWbonus[[Bookie]:[Bookie]],$K19)+SUMIFS(LayTable[[Faktisk res]:[Faktisk res]],LayTable[[Dato]:[Dato]],"&gt;="&amp;U$5,LayTable[[Dato]:[Dato]],"&lt;="&amp;EOMONTH(U$5,0),LayTable[[Bookmaker]:[Bookmaker]],$K19)+SUMIFS(BetTable[[AR_per_bookie]:[AR_per_bookie]],BetTable[[B1]:[B1]],$K19,BetTable[[Date]:[Date]], "&gt;="&amp;U$5,BetTable[[Date]:[Date]],"&lt;="&amp;EOMONTH(U$5,0))+SUMIFS(BetTable[[AR_per_bookie]:[AR_per_bookie]],BetTable[[B2]:[B2]],$K19,BetTable[[Date]:[Date]], "&gt;="&amp;U$5,BetTable[[Date]:[Date]],"&lt;="&amp;EOMONTH(U$5,0))+SUMIFS(BetTable[[AR_per_bookie]:[AR_per_bookie]],BetTable[[B3]:[B3]],$K19,BetTable[[Date]:[Date]], "&gt;="&amp;U$5,BetTable[[Date]:[Date]],"&lt;="&amp;EOMONTH(U$5,0))</f>
        <v>0</v>
      </c>
      <c r="V19" s="186">
        <f>SUMIFS(DWbonus[[Sum]:[Sum]],DWbonus[[Dato]:[Dato]], "&gt;="&amp;V$5,DWbonus[[Dato]:[Dato]],"&lt;="&amp;EOMONTH(V$5,0),DWbonus[[Bookie]:[Bookie]],$K19)+SUMIFS(LayTable[[Faktisk res]:[Faktisk res]],LayTable[[Dato]:[Dato]],"&gt;="&amp;V$5,LayTable[[Dato]:[Dato]],"&lt;="&amp;EOMONTH(V$5,0),LayTable[[Bookmaker]:[Bookmaker]],$K19)+SUMIFS(BetTable[[AR_per_bookie]:[AR_per_bookie]],BetTable[[B1]:[B1]],$K19,BetTable[[Date]:[Date]], "&gt;="&amp;V$5,BetTable[[Date]:[Date]],"&lt;="&amp;EOMONTH(V$5,0))+SUMIFS(BetTable[[AR_per_bookie]:[AR_per_bookie]],BetTable[[B2]:[B2]],$K19,BetTable[[Date]:[Date]], "&gt;="&amp;V$5,BetTable[[Date]:[Date]],"&lt;="&amp;EOMONTH(V$5,0))+SUMIFS(BetTable[[AR_per_bookie]:[AR_per_bookie]],BetTable[[B3]:[B3]],$K19,BetTable[[Date]:[Date]], "&gt;="&amp;V$5,BetTable[[Date]:[Date]],"&lt;="&amp;EOMONTH(V$5,0))</f>
        <v>0</v>
      </c>
      <c r="W19" s="186">
        <f>SUMIFS(DWbonus[[Sum]:[Sum]],DWbonus[[Dato]:[Dato]], "&gt;="&amp;W$5,DWbonus[[Dato]:[Dato]],"&lt;="&amp;EOMONTH(W$5,0),DWbonus[[Bookie]:[Bookie]],$K19)+SUMIFS(LayTable[[Faktisk res]:[Faktisk res]],LayTable[[Dato]:[Dato]],"&gt;="&amp;W$5,LayTable[[Dato]:[Dato]],"&lt;="&amp;EOMONTH(W$5,0),LayTable[[Bookmaker]:[Bookmaker]],$K19)+SUMIFS(BetTable[[AR_per_bookie]:[AR_per_bookie]],BetTable[[B1]:[B1]],$K19,BetTable[[Date]:[Date]], "&gt;="&amp;W$5,BetTable[[Date]:[Date]],"&lt;="&amp;EOMONTH(W$5,0))+SUMIFS(BetTable[[AR_per_bookie]:[AR_per_bookie]],BetTable[[B2]:[B2]],$K19,BetTable[[Date]:[Date]], "&gt;="&amp;W$5,BetTable[[Date]:[Date]],"&lt;="&amp;EOMONTH(W$5,0))+SUMIFS(BetTable[[AR_per_bookie]:[AR_per_bookie]],BetTable[[B3]:[B3]],$K19,BetTable[[Date]:[Date]], "&gt;="&amp;W$5,BetTable[[Date]:[Date]],"&lt;="&amp;EOMONTH(W$5,0))</f>
        <v>0</v>
      </c>
    </row>
    <row r="20" spans="1:23">
      <c r="K20" s="174" t="str">
        <f t="array" ref="K20">IFERROR(INDEX(BookieNavn!H$2:H$1251,SMALL(IF(EXACT(LEFT(BookieNavn!H$2:H$1251,2),M$3),ROW(BookieNavn!H$2:H$1251)-ROW(BookieNavn!H$2)+1),ROWS(BookieNavn!H$2:'BookieNavn'!H15))),"")</f>
        <v>AaMrGreen</v>
      </c>
      <c r="L20" s="186">
        <f>SUMIFS(DWbonus[[Sum]:[Sum]],DWbonus[[Dato]:[Dato]], "&gt;="&amp;L$5,DWbonus[[Dato]:[Dato]],"&lt;="&amp;EOMONTH(L$5,0),DWbonus[[Bookie]:[Bookie]],$K20)+SUMIFS(LayTable[[Faktisk res]:[Faktisk res]],LayTable[[Dato]:[Dato]],"&gt;="&amp;L$5,LayTable[[Dato]:[Dato]],"&lt;="&amp;EOMONTH(L$5,0),LayTable[[Bookmaker]:[Bookmaker]],$K20)+SUMIFS(BetTable[[AR_per_bookie]:[AR_per_bookie]],BetTable[[B1]:[B1]],$K20,BetTable[[Date]:[Date]], "&gt;="&amp;L$5,BetTable[[Date]:[Date]],"&lt;="&amp;EOMONTH(L$5,0))+SUMIFS(BetTable[[AR_per_bookie]:[AR_per_bookie]],BetTable[[B2]:[B2]],$K20,BetTable[[Date]:[Date]], "&gt;="&amp;L$5,BetTable[[Date]:[Date]],"&lt;="&amp;EOMONTH(L$5,0))+SUMIFS(BetTable[[AR_per_bookie]:[AR_per_bookie]],BetTable[[B3]:[B3]],$K20,BetTable[[Date]:[Date]], "&gt;="&amp;L$5,BetTable[[Date]:[Date]],"&lt;="&amp;EOMONTH(L$5,0))</f>
        <v>0</v>
      </c>
      <c r="M20" s="186">
        <f>SUMIFS(DWbonus[[Sum]:[Sum]],DWbonus[[Dato]:[Dato]], "&gt;="&amp;M$5,DWbonus[[Dato]:[Dato]],"&lt;="&amp;EOMONTH(M$5,0),DWbonus[[Bookie]:[Bookie]],$K20)+SUMIFS(LayTable[[Faktisk res]:[Faktisk res]],LayTable[[Dato]:[Dato]],"&gt;="&amp;M$5,LayTable[[Dato]:[Dato]],"&lt;="&amp;EOMONTH(M$5,0),LayTable[[Bookmaker]:[Bookmaker]],$K20)+SUMIFS(BetTable[[AR_per_bookie]:[AR_per_bookie]],BetTable[[B1]:[B1]],$K20,BetTable[[Date]:[Date]], "&gt;="&amp;M$5,BetTable[[Date]:[Date]],"&lt;="&amp;EOMONTH(M$5,0))+SUMIFS(BetTable[[AR_per_bookie]:[AR_per_bookie]],BetTable[[B2]:[B2]],$K20,BetTable[[Date]:[Date]], "&gt;="&amp;M$5,BetTable[[Date]:[Date]],"&lt;="&amp;EOMONTH(M$5,0))+SUMIFS(BetTable[[AR_per_bookie]:[AR_per_bookie]],BetTable[[B3]:[B3]],$K20,BetTable[[Date]:[Date]], "&gt;="&amp;M$5,BetTable[[Date]:[Date]],"&lt;="&amp;EOMONTH(M$5,0))</f>
        <v>0</v>
      </c>
      <c r="N20" s="186">
        <f>SUMIFS(DWbonus[[Sum]:[Sum]],DWbonus[[Dato]:[Dato]], "&gt;="&amp;N$5,DWbonus[[Dato]:[Dato]],"&lt;="&amp;EOMONTH(N$5,0),DWbonus[[Bookie]:[Bookie]],$K20)+SUMIFS(LayTable[[Faktisk res]:[Faktisk res]],LayTable[[Dato]:[Dato]],"&gt;="&amp;N$5,LayTable[[Dato]:[Dato]],"&lt;="&amp;EOMONTH(N$5,0),LayTable[[Bookmaker]:[Bookmaker]],$K20)+SUMIFS(BetTable[[AR_per_bookie]:[AR_per_bookie]],BetTable[[B1]:[B1]],$K20,BetTable[[Date]:[Date]], "&gt;="&amp;N$5,BetTable[[Date]:[Date]],"&lt;="&amp;EOMONTH(N$5,0))+SUMIFS(BetTable[[AR_per_bookie]:[AR_per_bookie]],BetTable[[B2]:[B2]],$K20,BetTable[[Date]:[Date]], "&gt;="&amp;N$5,BetTable[[Date]:[Date]],"&lt;="&amp;EOMONTH(N$5,0))+SUMIFS(BetTable[[AR_per_bookie]:[AR_per_bookie]],BetTable[[B3]:[B3]],$K20,BetTable[[Date]:[Date]], "&gt;="&amp;N$5,BetTable[[Date]:[Date]],"&lt;="&amp;EOMONTH(N$5,0))</f>
        <v>0</v>
      </c>
      <c r="O20" s="186">
        <f>SUMIFS(DWbonus[[Sum]:[Sum]],DWbonus[[Dato]:[Dato]], "&gt;="&amp;O$5,DWbonus[[Dato]:[Dato]],"&lt;="&amp;EOMONTH(O$5,0),DWbonus[[Bookie]:[Bookie]],$K20)+SUMIFS(LayTable[[Faktisk res]:[Faktisk res]],LayTable[[Dato]:[Dato]],"&gt;="&amp;O$5,LayTable[[Dato]:[Dato]],"&lt;="&amp;EOMONTH(O$5,0),LayTable[[Bookmaker]:[Bookmaker]],$K20)+SUMIFS(BetTable[[AR_per_bookie]:[AR_per_bookie]],BetTable[[B1]:[B1]],$K20,BetTable[[Date]:[Date]], "&gt;="&amp;O$5,BetTable[[Date]:[Date]],"&lt;="&amp;EOMONTH(O$5,0))+SUMIFS(BetTable[[AR_per_bookie]:[AR_per_bookie]],BetTable[[B2]:[B2]],$K20,BetTable[[Date]:[Date]], "&gt;="&amp;O$5,BetTable[[Date]:[Date]],"&lt;="&amp;EOMONTH(O$5,0))+SUMIFS(BetTable[[AR_per_bookie]:[AR_per_bookie]],BetTable[[B3]:[B3]],$K20,BetTable[[Date]:[Date]], "&gt;="&amp;O$5,BetTable[[Date]:[Date]],"&lt;="&amp;EOMONTH(O$5,0))</f>
        <v>0</v>
      </c>
      <c r="P20" s="186">
        <f>SUMIFS(DWbonus[[Sum]:[Sum]],DWbonus[[Dato]:[Dato]], "&gt;="&amp;P$5,DWbonus[[Dato]:[Dato]],"&lt;="&amp;EOMONTH(P$5,0),DWbonus[[Bookie]:[Bookie]],$K20)+SUMIFS(LayTable[[Faktisk res]:[Faktisk res]],LayTable[[Dato]:[Dato]],"&gt;="&amp;P$5,LayTable[[Dato]:[Dato]],"&lt;="&amp;EOMONTH(P$5,0),LayTable[[Bookmaker]:[Bookmaker]],$K20)+SUMIFS(BetTable[[AR_per_bookie]:[AR_per_bookie]],BetTable[[B1]:[B1]],$K20,BetTable[[Date]:[Date]], "&gt;="&amp;P$5,BetTable[[Date]:[Date]],"&lt;="&amp;EOMONTH(P$5,0))+SUMIFS(BetTable[[AR_per_bookie]:[AR_per_bookie]],BetTable[[B2]:[B2]],$K20,BetTable[[Date]:[Date]], "&gt;="&amp;P$5,BetTable[[Date]:[Date]],"&lt;="&amp;EOMONTH(P$5,0))+SUMIFS(BetTable[[AR_per_bookie]:[AR_per_bookie]],BetTable[[B3]:[B3]],$K20,BetTable[[Date]:[Date]], "&gt;="&amp;P$5,BetTable[[Date]:[Date]],"&lt;="&amp;EOMONTH(P$5,0))</f>
        <v>0</v>
      </c>
      <c r="Q20" s="186">
        <f>SUMIFS(DWbonus[[Sum]:[Sum]],DWbonus[[Dato]:[Dato]], "&gt;="&amp;Q$5,DWbonus[[Dato]:[Dato]],"&lt;="&amp;EOMONTH(Q$5,0),DWbonus[[Bookie]:[Bookie]],$K20)+SUMIFS(LayTable[[Faktisk res]:[Faktisk res]],LayTable[[Dato]:[Dato]],"&gt;="&amp;Q$5,LayTable[[Dato]:[Dato]],"&lt;="&amp;EOMONTH(Q$5,0),LayTable[[Bookmaker]:[Bookmaker]],$K20)+SUMIFS(BetTable[[AR_per_bookie]:[AR_per_bookie]],BetTable[[B1]:[B1]],$K20,BetTable[[Date]:[Date]], "&gt;="&amp;Q$5,BetTable[[Date]:[Date]],"&lt;="&amp;EOMONTH(Q$5,0))+SUMIFS(BetTable[[AR_per_bookie]:[AR_per_bookie]],BetTable[[B2]:[B2]],$K20,BetTable[[Date]:[Date]], "&gt;="&amp;Q$5,BetTable[[Date]:[Date]],"&lt;="&amp;EOMONTH(Q$5,0))+SUMIFS(BetTable[[AR_per_bookie]:[AR_per_bookie]],BetTable[[B3]:[B3]],$K20,BetTable[[Date]:[Date]], "&gt;="&amp;Q$5,BetTable[[Date]:[Date]],"&lt;="&amp;EOMONTH(Q$5,0))</f>
        <v>0</v>
      </c>
      <c r="R20" s="186">
        <f>SUMIFS(DWbonus[[Sum]:[Sum]],DWbonus[[Dato]:[Dato]], "&gt;="&amp;R$5,DWbonus[[Dato]:[Dato]],"&lt;="&amp;EOMONTH(R$5,0),DWbonus[[Bookie]:[Bookie]],$K20)+SUMIFS(LayTable[[Faktisk res]:[Faktisk res]],LayTable[[Dato]:[Dato]],"&gt;="&amp;R$5,LayTable[[Dato]:[Dato]],"&lt;="&amp;EOMONTH(R$5,0),LayTable[[Bookmaker]:[Bookmaker]],$K20)+SUMIFS(BetTable[[AR_per_bookie]:[AR_per_bookie]],BetTable[[B1]:[B1]],$K20,BetTable[[Date]:[Date]], "&gt;="&amp;R$5,BetTable[[Date]:[Date]],"&lt;="&amp;EOMONTH(R$5,0))+SUMIFS(BetTable[[AR_per_bookie]:[AR_per_bookie]],BetTable[[B2]:[B2]],$K20,BetTable[[Date]:[Date]], "&gt;="&amp;R$5,BetTable[[Date]:[Date]],"&lt;="&amp;EOMONTH(R$5,0))+SUMIFS(BetTable[[AR_per_bookie]:[AR_per_bookie]],BetTable[[B3]:[B3]],$K20,BetTable[[Date]:[Date]], "&gt;="&amp;R$5,BetTable[[Date]:[Date]],"&lt;="&amp;EOMONTH(R$5,0))</f>
        <v>0</v>
      </c>
      <c r="S20" s="186">
        <f>SUMIFS(DWbonus[[Sum]:[Sum]],DWbonus[[Dato]:[Dato]], "&gt;="&amp;S$5,DWbonus[[Dato]:[Dato]],"&lt;="&amp;EOMONTH(S$5,0),DWbonus[[Bookie]:[Bookie]],$K20)+SUMIFS(LayTable[[Faktisk res]:[Faktisk res]],LayTable[[Dato]:[Dato]],"&gt;="&amp;S$5,LayTable[[Dato]:[Dato]],"&lt;="&amp;EOMONTH(S$5,0),LayTable[[Bookmaker]:[Bookmaker]],$K20)+SUMIFS(BetTable[[AR_per_bookie]:[AR_per_bookie]],BetTable[[B1]:[B1]],$K20,BetTable[[Date]:[Date]], "&gt;="&amp;S$5,BetTable[[Date]:[Date]],"&lt;="&amp;EOMONTH(S$5,0))+SUMIFS(BetTable[[AR_per_bookie]:[AR_per_bookie]],BetTable[[B2]:[B2]],$K20,BetTable[[Date]:[Date]], "&gt;="&amp;S$5,BetTable[[Date]:[Date]],"&lt;="&amp;EOMONTH(S$5,0))+SUMIFS(BetTable[[AR_per_bookie]:[AR_per_bookie]],BetTable[[B3]:[B3]],$K20,BetTable[[Date]:[Date]], "&gt;="&amp;S$5,BetTable[[Date]:[Date]],"&lt;="&amp;EOMONTH(S$5,0))</f>
        <v>0</v>
      </c>
      <c r="T20" s="186">
        <f>SUMIFS(DWbonus[[Sum]:[Sum]],DWbonus[[Dato]:[Dato]], "&gt;="&amp;T$5,DWbonus[[Dato]:[Dato]],"&lt;="&amp;EOMONTH(T$5,0),DWbonus[[Bookie]:[Bookie]],$K20)+SUMIFS(LayTable[[Faktisk res]:[Faktisk res]],LayTable[[Dato]:[Dato]],"&gt;="&amp;T$5,LayTable[[Dato]:[Dato]],"&lt;="&amp;EOMONTH(T$5,0),LayTable[[Bookmaker]:[Bookmaker]],$K20)+SUMIFS(BetTable[[AR_per_bookie]:[AR_per_bookie]],BetTable[[B1]:[B1]],$K20,BetTable[[Date]:[Date]], "&gt;="&amp;T$5,BetTable[[Date]:[Date]],"&lt;="&amp;EOMONTH(T$5,0))+SUMIFS(BetTable[[AR_per_bookie]:[AR_per_bookie]],BetTable[[B2]:[B2]],$K20,BetTable[[Date]:[Date]], "&gt;="&amp;T$5,BetTable[[Date]:[Date]],"&lt;="&amp;EOMONTH(T$5,0))+SUMIFS(BetTable[[AR_per_bookie]:[AR_per_bookie]],BetTable[[B3]:[B3]],$K20,BetTable[[Date]:[Date]], "&gt;="&amp;T$5,BetTable[[Date]:[Date]],"&lt;="&amp;EOMONTH(T$5,0))</f>
        <v>0</v>
      </c>
      <c r="U20" s="186">
        <f>SUMIFS(DWbonus[[Sum]:[Sum]],DWbonus[[Dato]:[Dato]], "&gt;="&amp;U$5,DWbonus[[Dato]:[Dato]],"&lt;="&amp;EOMONTH(U$5,0),DWbonus[[Bookie]:[Bookie]],$K20)+SUMIFS(LayTable[[Faktisk res]:[Faktisk res]],LayTable[[Dato]:[Dato]],"&gt;="&amp;U$5,LayTable[[Dato]:[Dato]],"&lt;="&amp;EOMONTH(U$5,0),LayTable[[Bookmaker]:[Bookmaker]],$K20)+SUMIFS(BetTable[[AR_per_bookie]:[AR_per_bookie]],BetTable[[B1]:[B1]],$K20,BetTable[[Date]:[Date]], "&gt;="&amp;U$5,BetTable[[Date]:[Date]],"&lt;="&amp;EOMONTH(U$5,0))+SUMIFS(BetTable[[AR_per_bookie]:[AR_per_bookie]],BetTable[[B2]:[B2]],$K20,BetTable[[Date]:[Date]], "&gt;="&amp;U$5,BetTable[[Date]:[Date]],"&lt;="&amp;EOMONTH(U$5,0))+SUMIFS(BetTable[[AR_per_bookie]:[AR_per_bookie]],BetTable[[B3]:[B3]],$K20,BetTable[[Date]:[Date]], "&gt;="&amp;U$5,BetTable[[Date]:[Date]],"&lt;="&amp;EOMONTH(U$5,0))</f>
        <v>0</v>
      </c>
      <c r="V20" s="186">
        <f>SUMIFS(DWbonus[[Sum]:[Sum]],DWbonus[[Dato]:[Dato]], "&gt;="&amp;V$5,DWbonus[[Dato]:[Dato]],"&lt;="&amp;EOMONTH(V$5,0),DWbonus[[Bookie]:[Bookie]],$K20)+SUMIFS(LayTable[[Faktisk res]:[Faktisk res]],LayTable[[Dato]:[Dato]],"&gt;="&amp;V$5,LayTable[[Dato]:[Dato]],"&lt;="&amp;EOMONTH(V$5,0),LayTable[[Bookmaker]:[Bookmaker]],$K20)+SUMIFS(BetTable[[AR_per_bookie]:[AR_per_bookie]],BetTable[[B1]:[B1]],$K20,BetTable[[Date]:[Date]], "&gt;="&amp;V$5,BetTable[[Date]:[Date]],"&lt;="&amp;EOMONTH(V$5,0))+SUMIFS(BetTable[[AR_per_bookie]:[AR_per_bookie]],BetTable[[B2]:[B2]],$K20,BetTable[[Date]:[Date]], "&gt;="&amp;V$5,BetTable[[Date]:[Date]],"&lt;="&amp;EOMONTH(V$5,0))+SUMIFS(BetTable[[AR_per_bookie]:[AR_per_bookie]],BetTable[[B3]:[B3]],$K20,BetTable[[Date]:[Date]], "&gt;="&amp;V$5,BetTable[[Date]:[Date]],"&lt;="&amp;EOMONTH(V$5,0))</f>
        <v>0</v>
      </c>
      <c r="W20" s="186">
        <f>SUMIFS(DWbonus[[Sum]:[Sum]],DWbonus[[Dato]:[Dato]], "&gt;="&amp;W$5,DWbonus[[Dato]:[Dato]],"&lt;="&amp;EOMONTH(W$5,0),DWbonus[[Bookie]:[Bookie]],$K20)+SUMIFS(LayTable[[Faktisk res]:[Faktisk res]],LayTable[[Dato]:[Dato]],"&gt;="&amp;W$5,LayTable[[Dato]:[Dato]],"&lt;="&amp;EOMONTH(W$5,0),LayTable[[Bookmaker]:[Bookmaker]],$K20)+SUMIFS(BetTable[[AR_per_bookie]:[AR_per_bookie]],BetTable[[B1]:[B1]],$K20,BetTable[[Date]:[Date]], "&gt;="&amp;W$5,BetTable[[Date]:[Date]],"&lt;="&amp;EOMONTH(W$5,0))+SUMIFS(BetTable[[AR_per_bookie]:[AR_per_bookie]],BetTable[[B2]:[B2]],$K20,BetTable[[Date]:[Date]], "&gt;="&amp;W$5,BetTable[[Date]:[Date]],"&lt;="&amp;EOMONTH(W$5,0))+SUMIFS(BetTable[[AR_per_bookie]:[AR_per_bookie]],BetTable[[B3]:[B3]],$K20,BetTable[[Date]:[Date]], "&gt;="&amp;W$5,BetTable[[Date]:[Date]],"&lt;="&amp;EOMONTH(W$5,0))</f>
        <v>0</v>
      </c>
    </row>
    <row r="21" spans="1:23">
      <c r="K21" s="174" t="str">
        <f t="array" ref="K21">IFERROR(INDEX(BookieNavn!H$2:H$1251,SMALL(IF(EXACT(LEFT(BookieNavn!H$2:H$1251,2),M$3),ROW(BookieNavn!H$2:H$1251)-ROW(BookieNavn!H$2)+1),ROWS(BookieNavn!H$2:'BookieNavn'!H16))),"")</f>
        <v>AaFolkeautomaten</v>
      </c>
      <c r="L21" s="186">
        <f>SUMIFS(DWbonus[[Sum]:[Sum]],DWbonus[[Dato]:[Dato]], "&gt;="&amp;L$5,DWbonus[[Dato]:[Dato]],"&lt;="&amp;EOMONTH(L$5,0),DWbonus[[Bookie]:[Bookie]],$K21)+SUMIFS(LayTable[[Faktisk res]:[Faktisk res]],LayTable[[Dato]:[Dato]],"&gt;="&amp;L$5,LayTable[[Dato]:[Dato]],"&lt;="&amp;EOMONTH(L$5,0),LayTable[[Bookmaker]:[Bookmaker]],$K21)+SUMIFS(BetTable[[AR_per_bookie]:[AR_per_bookie]],BetTable[[B1]:[B1]],$K21,BetTable[[Date]:[Date]], "&gt;="&amp;L$5,BetTable[[Date]:[Date]],"&lt;="&amp;EOMONTH(L$5,0))+SUMIFS(BetTable[[AR_per_bookie]:[AR_per_bookie]],BetTable[[B2]:[B2]],$K21,BetTable[[Date]:[Date]], "&gt;="&amp;L$5,BetTable[[Date]:[Date]],"&lt;="&amp;EOMONTH(L$5,0))+SUMIFS(BetTable[[AR_per_bookie]:[AR_per_bookie]],BetTable[[B3]:[B3]],$K21,BetTable[[Date]:[Date]], "&gt;="&amp;L$5,BetTable[[Date]:[Date]],"&lt;="&amp;EOMONTH(L$5,0))</f>
        <v>0</v>
      </c>
      <c r="M21" s="186">
        <f>SUMIFS(DWbonus[[Sum]:[Sum]],DWbonus[[Dato]:[Dato]], "&gt;="&amp;M$5,DWbonus[[Dato]:[Dato]],"&lt;="&amp;EOMONTH(M$5,0),DWbonus[[Bookie]:[Bookie]],$K21)+SUMIFS(LayTable[[Faktisk res]:[Faktisk res]],LayTable[[Dato]:[Dato]],"&gt;="&amp;M$5,LayTable[[Dato]:[Dato]],"&lt;="&amp;EOMONTH(M$5,0),LayTable[[Bookmaker]:[Bookmaker]],$K21)+SUMIFS(BetTable[[AR_per_bookie]:[AR_per_bookie]],BetTable[[B1]:[B1]],$K21,BetTable[[Date]:[Date]], "&gt;="&amp;M$5,BetTable[[Date]:[Date]],"&lt;="&amp;EOMONTH(M$5,0))+SUMIFS(BetTable[[AR_per_bookie]:[AR_per_bookie]],BetTable[[B2]:[B2]],$K21,BetTable[[Date]:[Date]], "&gt;="&amp;M$5,BetTable[[Date]:[Date]],"&lt;="&amp;EOMONTH(M$5,0))+SUMIFS(BetTable[[AR_per_bookie]:[AR_per_bookie]],BetTable[[B3]:[B3]],$K21,BetTable[[Date]:[Date]], "&gt;="&amp;M$5,BetTable[[Date]:[Date]],"&lt;="&amp;EOMONTH(M$5,0))</f>
        <v>0</v>
      </c>
      <c r="N21" s="186">
        <f>SUMIFS(DWbonus[[Sum]:[Sum]],DWbonus[[Dato]:[Dato]], "&gt;="&amp;N$5,DWbonus[[Dato]:[Dato]],"&lt;="&amp;EOMONTH(N$5,0),DWbonus[[Bookie]:[Bookie]],$K21)+SUMIFS(LayTable[[Faktisk res]:[Faktisk res]],LayTable[[Dato]:[Dato]],"&gt;="&amp;N$5,LayTable[[Dato]:[Dato]],"&lt;="&amp;EOMONTH(N$5,0),LayTable[[Bookmaker]:[Bookmaker]],$K21)+SUMIFS(BetTable[[AR_per_bookie]:[AR_per_bookie]],BetTable[[B1]:[B1]],$K21,BetTable[[Date]:[Date]], "&gt;="&amp;N$5,BetTable[[Date]:[Date]],"&lt;="&amp;EOMONTH(N$5,0))+SUMIFS(BetTable[[AR_per_bookie]:[AR_per_bookie]],BetTable[[B2]:[B2]],$K21,BetTable[[Date]:[Date]], "&gt;="&amp;N$5,BetTable[[Date]:[Date]],"&lt;="&amp;EOMONTH(N$5,0))+SUMIFS(BetTable[[AR_per_bookie]:[AR_per_bookie]],BetTable[[B3]:[B3]],$K21,BetTable[[Date]:[Date]], "&gt;="&amp;N$5,BetTable[[Date]:[Date]],"&lt;="&amp;EOMONTH(N$5,0))</f>
        <v>0</v>
      </c>
      <c r="O21" s="186">
        <f>SUMIFS(DWbonus[[Sum]:[Sum]],DWbonus[[Dato]:[Dato]], "&gt;="&amp;O$5,DWbonus[[Dato]:[Dato]],"&lt;="&amp;EOMONTH(O$5,0),DWbonus[[Bookie]:[Bookie]],$K21)+SUMIFS(LayTable[[Faktisk res]:[Faktisk res]],LayTable[[Dato]:[Dato]],"&gt;="&amp;O$5,LayTable[[Dato]:[Dato]],"&lt;="&amp;EOMONTH(O$5,0),LayTable[[Bookmaker]:[Bookmaker]],$K21)+SUMIFS(BetTable[[AR_per_bookie]:[AR_per_bookie]],BetTable[[B1]:[B1]],$K21,BetTable[[Date]:[Date]], "&gt;="&amp;O$5,BetTable[[Date]:[Date]],"&lt;="&amp;EOMONTH(O$5,0))+SUMIFS(BetTable[[AR_per_bookie]:[AR_per_bookie]],BetTable[[B2]:[B2]],$K21,BetTable[[Date]:[Date]], "&gt;="&amp;O$5,BetTable[[Date]:[Date]],"&lt;="&amp;EOMONTH(O$5,0))+SUMIFS(BetTable[[AR_per_bookie]:[AR_per_bookie]],BetTable[[B3]:[B3]],$K21,BetTable[[Date]:[Date]], "&gt;="&amp;O$5,BetTable[[Date]:[Date]],"&lt;="&amp;EOMONTH(O$5,0))</f>
        <v>0</v>
      </c>
      <c r="P21" s="186">
        <f>SUMIFS(DWbonus[[Sum]:[Sum]],DWbonus[[Dato]:[Dato]], "&gt;="&amp;P$5,DWbonus[[Dato]:[Dato]],"&lt;="&amp;EOMONTH(P$5,0),DWbonus[[Bookie]:[Bookie]],$K21)+SUMIFS(LayTable[[Faktisk res]:[Faktisk res]],LayTable[[Dato]:[Dato]],"&gt;="&amp;P$5,LayTable[[Dato]:[Dato]],"&lt;="&amp;EOMONTH(P$5,0),LayTable[[Bookmaker]:[Bookmaker]],$K21)+SUMIFS(BetTable[[AR_per_bookie]:[AR_per_bookie]],BetTable[[B1]:[B1]],$K21,BetTable[[Date]:[Date]], "&gt;="&amp;P$5,BetTable[[Date]:[Date]],"&lt;="&amp;EOMONTH(P$5,0))+SUMIFS(BetTable[[AR_per_bookie]:[AR_per_bookie]],BetTable[[B2]:[B2]],$K21,BetTable[[Date]:[Date]], "&gt;="&amp;P$5,BetTable[[Date]:[Date]],"&lt;="&amp;EOMONTH(P$5,0))+SUMIFS(BetTable[[AR_per_bookie]:[AR_per_bookie]],BetTable[[B3]:[B3]],$K21,BetTable[[Date]:[Date]], "&gt;="&amp;P$5,BetTable[[Date]:[Date]],"&lt;="&amp;EOMONTH(P$5,0))</f>
        <v>0</v>
      </c>
      <c r="Q21" s="186">
        <f>SUMIFS(DWbonus[[Sum]:[Sum]],DWbonus[[Dato]:[Dato]], "&gt;="&amp;Q$5,DWbonus[[Dato]:[Dato]],"&lt;="&amp;EOMONTH(Q$5,0),DWbonus[[Bookie]:[Bookie]],$K21)+SUMIFS(LayTable[[Faktisk res]:[Faktisk res]],LayTable[[Dato]:[Dato]],"&gt;="&amp;Q$5,LayTable[[Dato]:[Dato]],"&lt;="&amp;EOMONTH(Q$5,0),LayTable[[Bookmaker]:[Bookmaker]],$K21)+SUMIFS(BetTable[[AR_per_bookie]:[AR_per_bookie]],BetTable[[B1]:[B1]],$K21,BetTable[[Date]:[Date]], "&gt;="&amp;Q$5,BetTable[[Date]:[Date]],"&lt;="&amp;EOMONTH(Q$5,0))+SUMIFS(BetTable[[AR_per_bookie]:[AR_per_bookie]],BetTable[[B2]:[B2]],$K21,BetTable[[Date]:[Date]], "&gt;="&amp;Q$5,BetTable[[Date]:[Date]],"&lt;="&amp;EOMONTH(Q$5,0))+SUMIFS(BetTable[[AR_per_bookie]:[AR_per_bookie]],BetTable[[B3]:[B3]],$K21,BetTable[[Date]:[Date]], "&gt;="&amp;Q$5,BetTable[[Date]:[Date]],"&lt;="&amp;EOMONTH(Q$5,0))</f>
        <v>0</v>
      </c>
      <c r="R21" s="186">
        <f>SUMIFS(DWbonus[[Sum]:[Sum]],DWbonus[[Dato]:[Dato]], "&gt;="&amp;R$5,DWbonus[[Dato]:[Dato]],"&lt;="&amp;EOMONTH(R$5,0),DWbonus[[Bookie]:[Bookie]],$K21)+SUMIFS(LayTable[[Faktisk res]:[Faktisk res]],LayTable[[Dato]:[Dato]],"&gt;="&amp;R$5,LayTable[[Dato]:[Dato]],"&lt;="&amp;EOMONTH(R$5,0),LayTable[[Bookmaker]:[Bookmaker]],$K21)+SUMIFS(BetTable[[AR_per_bookie]:[AR_per_bookie]],BetTable[[B1]:[B1]],$K21,BetTable[[Date]:[Date]], "&gt;="&amp;R$5,BetTable[[Date]:[Date]],"&lt;="&amp;EOMONTH(R$5,0))+SUMIFS(BetTable[[AR_per_bookie]:[AR_per_bookie]],BetTable[[B2]:[B2]],$K21,BetTable[[Date]:[Date]], "&gt;="&amp;R$5,BetTable[[Date]:[Date]],"&lt;="&amp;EOMONTH(R$5,0))+SUMIFS(BetTable[[AR_per_bookie]:[AR_per_bookie]],BetTable[[B3]:[B3]],$K21,BetTable[[Date]:[Date]], "&gt;="&amp;R$5,BetTable[[Date]:[Date]],"&lt;="&amp;EOMONTH(R$5,0))</f>
        <v>0</v>
      </c>
      <c r="S21" s="186">
        <f>SUMIFS(DWbonus[[Sum]:[Sum]],DWbonus[[Dato]:[Dato]], "&gt;="&amp;S$5,DWbonus[[Dato]:[Dato]],"&lt;="&amp;EOMONTH(S$5,0),DWbonus[[Bookie]:[Bookie]],$K21)+SUMIFS(LayTable[[Faktisk res]:[Faktisk res]],LayTable[[Dato]:[Dato]],"&gt;="&amp;S$5,LayTable[[Dato]:[Dato]],"&lt;="&amp;EOMONTH(S$5,0),LayTable[[Bookmaker]:[Bookmaker]],$K21)+SUMIFS(BetTable[[AR_per_bookie]:[AR_per_bookie]],BetTable[[B1]:[B1]],$K21,BetTable[[Date]:[Date]], "&gt;="&amp;S$5,BetTable[[Date]:[Date]],"&lt;="&amp;EOMONTH(S$5,0))+SUMIFS(BetTable[[AR_per_bookie]:[AR_per_bookie]],BetTable[[B2]:[B2]],$K21,BetTable[[Date]:[Date]], "&gt;="&amp;S$5,BetTable[[Date]:[Date]],"&lt;="&amp;EOMONTH(S$5,0))+SUMIFS(BetTable[[AR_per_bookie]:[AR_per_bookie]],BetTable[[B3]:[B3]],$K21,BetTable[[Date]:[Date]], "&gt;="&amp;S$5,BetTable[[Date]:[Date]],"&lt;="&amp;EOMONTH(S$5,0))</f>
        <v>0</v>
      </c>
      <c r="T21" s="186">
        <f>SUMIFS(DWbonus[[Sum]:[Sum]],DWbonus[[Dato]:[Dato]], "&gt;="&amp;T$5,DWbonus[[Dato]:[Dato]],"&lt;="&amp;EOMONTH(T$5,0),DWbonus[[Bookie]:[Bookie]],$K21)+SUMIFS(LayTable[[Faktisk res]:[Faktisk res]],LayTable[[Dato]:[Dato]],"&gt;="&amp;T$5,LayTable[[Dato]:[Dato]],"&lt;="&amp;EOMONTH(T$5,0),LayTable[[Bookmaker]:[Bookmaker]],$K21)+SUMIFS(BetTable[[AR_per_bookie]:[AR_per_bookie]],BetTable[[B1]:[B1]],$K21,BetTable[[Date]:[Date]], "&gt;="&amp;T$5,BetTable[[Date]:[Date]],"&lt;="&amp;EOMONTH(T$5,0))+SUMIFS(BetTable[[AR_per_bookie]:[AR_per_bookie]],BetTable[[B2]:[B2]],$K21,BetTable[[Date]:[Date]], "&gt;="&amp;T$5,BetTable[[Date]:[Date]],"&lt;="&amp;EOMONTH(T$5,0))+SUMIFS(BetTable[[AR_per_bookie]:[AR_per_bookie]],BetTable[[B3]:[B3]],$K21,BetTable[[Date]:[Date]], "&gt;="&amp;T$5,BetTable[[Date]:[Date]],"&lt;="&amp;EOMONTH(T$5,0))</f>
        <v>0</v>
      </c>
      <c r="U21" s="186">
        <f>SUMIFS(DWbonus[[Sum]:[Sum]],DWbonus[[Dato]:[Dato]], "&gt;="&amp;U$5,DWbonus[[Dato]:[Dato]],"&lt;="&amp;EOMONTH(U$5,0),DWbonus[[Bookie]:[Bookie]],$K21)+SUMIFS(LayTable[[Faktisk res]:[Faktisk res]],LayTable[[Dato]:[Dato]],"&gt;="&amp;U$5,LayTable[[Dato]:[Dato]],"&lt;="&amp;EOMONTH(U$5,0),LayTable[[Bookmaker]:[Bookmaker]],$K21)+SUMIFS(BetTable[[AR_per_bookie]:[AR_per_bookie]],BetTable[[B1]:[B1]],$K21,BetTable[[Date]:[Date]], "&gt;="&amp;U$5,BetTable[[Date]:[Date]],"&lt;="&amp;EOMONTH(U$5,0))+SUMIFS(BetTable[[AR_per_bookie]:[AR_per_bookie]],BetTable[[B2]:[B2]],$K21,BetTable[[Date]:[Date]], "&gt;="&amp;U$5,BetTable[[Date]:[Date]],"&lt;="&amp;EOMONTH(U$5,0))+SUMIFS(BetTable[[AR_per_bookie]:[AR_per_bookie]],BetTable[[B3]:[B3]],$K21,BetTable[[Date]:[Date]], "&gt;="&amp;U$5,BetTable[[Date]:[Date]],"&lt;="&amp;EOMONTH(U$5,0))</f>
        <v>0</v>
      </c>
      <c r="V21" s="186">
        <f>SUMIFS(DWbonus[[Sum]:[Sum]],DWbonus[[Dato]:[Dato]], "&gt;="&amp;V$5,DWbonus[[Dato]:[Dato]],"&lt;="&amp;EOMONTH(V$5,0),DWbonus[[Bookie]:[Bookie]],$K21)+SUMIFS(LayTable[[Faktisk res]:[Faktisk res]],LayTable[[Dato]:[Dato]],"&gt;="&amp;V$5,LayTable[[Dato]:[Dato]],"&lt;="&amp;EOMONTH(V$5,0),LayTable[[Bookmaker]:[Bookmaker]],$K21)+SUMIFS(BetTable[[AR_per_bookie]:[AR_per_bookie]],BetTable[[B1]:[B1]],$K21,BetTable[[Date]:[Date]], "&gt;="&amp;V$5,BetTable[[Date]:[Date]],"&lt;="&amp;EOMONTH(V$5,0))+SUMIFS(BetTable[[AR_per_bookie]:[AR_per_bookie]],BetTable[[B2]:[B2]],$K21,BetTable[[Date]:[Date]], "&gt;="&amp;V$5,BetTable[[Date]:[Date]],"&lt;="&amp;EOMONTH(V$5,0))+SUMIFS(BetTable[[AR_per_bookie]:[AR_per_bookie]],BetTable[[B3]:[B3]],$K21,BetTable[[Date]:[Date]], "&gt;="&amp;V$5,BetTable[[Date]:[Date]],"&lt;="&amp;EOMONTH(V$5,0))</f>
        <v>0</v>
      </c>
      <c r="W21" s="186">
        <f>SUMIFS(DWbonus[[Sum]:[Sum]],DWbonus[[Dato]:[Dato]], "&gt;="&amp;W$5,DWbonus[[Dato]:[Dato]],"&lt;="&amp;EOMONTH(W$5,0),DWbonus[[Bookie]:[Bookie]],$K21)+SUMIFS(LayTable[[Faktisk res]:[Faktisk res]],LayTable[[Dato]:[Dato]],"&gt;="&amp;W$5,LayTable[[Dato]:[Dato]],"&lt;="&amp;EOMONTH(W$5,0),LayTable[[Bookmaker]:[Bookmaker]],$K21)+SUMIFS(BetTable[[AR_per_bookie]:[AR_per_bookie]],BetTable[[B1]:[B1]],$K21,BetTable[[Date]:[Date]], "&gt;="&amp;W$5,BetTable[[Date]:[Date]],"&lt;="&amp;EOMONTH(W$5,0))+SUMIFS(BetTable[[AR_per_bookie]:[AR_per_bookie]],BetTable[[B2]:[B2]],$K21,BetTable[[Date]:[Date]], "&gt;="&amp;W$5,BetTable[[Date]:[Date]],"&lt;="&amp;EOMONTH(W$5,0))+SUMIFS(BetTable[[AR_per_bookie]:[AR_per_bookie]],BetTable[[B3]:[B3]],$K21,BetTable[[Date]:[Date]], "&gt;="&amp;W$5,BetTable[[Date]:[Date]],"&lt;="&amp;EOMONTH(W$5,0))</f>
        <v>0</v>
      </c>
    </row>
    <row r="22" spans="1:23">
      <c r="K22" s="174" t="str">
        <f t="array" ref="K22">IFERROR(INDEX(BookieNavn!H$2:H$1251,SMALL(IF(EXACT(LEFT(BookieNavn!H$2:H$1251,2),M$3),ROW(BookieNavn!H$2:H$1251)-ROW(BookieNavn!H$2)+1),ROWS(BookieNavn!H$2:'BookieNavn'!H17))),"")</f>
        <v/>
      </c>
      <c r="L22" s="186">
        <f>SUMIFS(DWbonus[[Sum]:[Sum]],DWbonus[[Dato]:[Dato]], "&gt;="&amp;L$5,DWbonus[[Dato]:[Dato]],"&lt;="&amp;EOMONTH(L$5,0),DWbonus[[Bookie]:[Bookie]],$K22)+SUMIFS(LayTable[[Faktisk res]:[Faktisk res]],LayTable[[Dato]:[Dato]],"&gt;="&amp;L$5,LayTable[[Dato]:[Dato]],"&lt;="&amp;EOMONTH(L$5,0),LayTable[[Bookmaker]:[Bookmaker]],$K22)+SUMIFS(BetTable[[AR_per_bookie]:[AR_per_bookie]],BetTable[[B1]:[B1]],$K22,BetTable[[Date]:[Date]], "&gt;="&amp;L$5,BetTable[[Date]:[Date]],"&lt;="&amp;EOMONTH(L$5,0))+SUMIFS(BetTable[[AR_per_bookie]:[AR_per_bookie]],BetTable[[B2]:[B2]],$K22,BetTable[[Date]:[Date]], "&gt;="&amp;L$5,BetTable[[Date]:[Date]],"&lt;="&amp;EOMONTH(L$5,0))+SUMIFS(BetTable[[AR_per_bookie]:[AR_per_bookie]],BetTable[[B3]:[B3]],$K22,BetTable[[Date]:[Date]], "&gt;="&amp;L$5,BetTable[[Date]:[Date]],"&lt;="&amp;EOMONTH(L$5,0))</f>
        <v>0</v>
      </c>
      <c r="M22" s="186">
        <f>SUMIFS(DWbonus[[Sum]:[Sum]],DWbonus[[Dato]:[Dato]], "&gt;="&amp;M$5,DWbonus[[Dato]:[Dato]],"&lt;="&amp;EOMONTH(M$5,0),DWbonus[[Bookie]:[Bookie]],$K22)+SUMIFS(LayTable[[Faktisk res]:[Faktisk res]],LayTable[[Dato]:[Dato]],"&gt;="&amp;M$5,LayTable[[Dato]:[Dato]],"&lt;="&amp;EOMONTH(M$5,0),LayTable[[Bookmaker]:[Bookmaker]],$K22)+SUMIFS(BetTable[[AR_per_bookie]:[AR_per_bookie]],BetTable[[B1]:[B1]],$K22,BetTable[[Date]:[Date]], "&gt;="&amp;M$5,BetTable[[Date]:[Date]],"&lt;="&amp;EOMONTH(M$5,0))+SUMIFS(BetTable[[AR_per_bookie]:[AR_per_bookie]],BetTable[[B2]:[B2]],$K22,BetTable[[Date]:[Date]], "&gt;="&amp;M$5,BetTable[[Date]:[Date]],"&lt;="&amp;EOMONTH(M$5,0))+SUMIFS(BetTable[[AR_per_bookie]:[AR_per_bookie]],BetTable[[B3]:[B3]],$K22,BetTable[[Date]:[Date]], "&gt;="&amp;M$5,BetTable[[Date]:[Date]],"&lt;="&amp;EOMONTH(M$5,0))</f>
        <v>0</v>
      </c>
      <c r="N22" s="186">
        <f>SUMIFS(DWbonus[[Sum]:[Sum]],DWbonus[[Dato]:[Dato]], "&gt;="&amp;N$5,DWbonus[[Dato]:[Dato]],"&lt;="&amp;EOMONTH(N$5,0),DWbonus[[Bookie]:[Bookie]],$K22)+SUMIFS(LayTable[[Faktisk res]:[Faktisk res]],LayTable[[Dato]:[Dato]],"&gt;="&amp;N$5,LayTable[[Dato]:[Dato]],"&lt;="&amp;EOMONTH(N$5,0),LayTable[[Bookmaker]:[Bookmaker]],$K22)+SUMIFS(BetTable[[AR_per_bookie]:[AR_per_bookie]],BetTable[[B1]:[B1]],$K22,BetTable[[Date]:[Date]], "&gt;="&amp;N$5,BetTable[[Date]:[Date]],"&lt;="&amp;EOMONTH(N$5,0))+SUMIFS(BetTable[[AR_per_bookie]:[AR_per_bookie]],BetTable[[B2]:[B2]],$K22,BetTable[[Date]:[Date]], "&gt;="&amp;N$5,BetTable[[Date]:[Date]],"&lt;="&amp;EOMONTH(N$5,0))+SUMIFS(BetTable[[AR_per_bookie]:[AR_per_bookie]],BetTable[[B3]:[B3]],$K22,BetTable[[Date]:[Date]], "&gt;="&amp;N$5,BetTable[[Date]:[Date]],"&lt;="&amp;EOMONTH(N$5,0))</f>
        <v>0</v>
      </c>
      <c r="O22" s="186">
        <f>SUMIFS(DWbonus[[Sum]:[Sum]],DWbonus[[Dato]:[Dato]], "&gt;="&amp;O$5,DWbonus[[Dato]:[Dato]],"&lt;="&amp;EOMONTH(O$5,0),DWbonus[[Bookie]:[Bookie]],$K22)+SUMIFS(LayTable[[Faktisk res]:[Faktisk res]],LayTable[[Dato]:[Dato]],"&gt;="&amp;O$5,LayTable[[Dato]:[Dato]],"&lt;="&amp;EOMONTH(O$5,0),LayTable[[Bookmaker]:[Bookmaker]],$K22)+SUMIFS(BetTable[[AR_per_bookie]:[AR_per_bookie]],BetTable[[B1]:[B1]],$K22,BetTable[[Date]:[Date]], "&gt;="&amp;O$5,BetTable[[Date]:[Date]],"&lt;="&amp;EOMONTH(O$5,0))+SUMIFS(BetTable[[AR_per_bookie]:[AR_per_bookie]],BetTable[[B2]:[B2]],$K22,BetTable[[Date]:[Date]], "&gt;="&amp;O$5,BetTable[[Date]:[Date]],"&lt;="&amp;EOMONTH(O$5,0))+SUMIFS(BetTable[[AR_per_bookie]:[AR_per_bookie]],BetTable[[B3]:[B3]],$K22,BetTable[[Date]:[Date]], "&gt;="&amp;O$5,BetTable[[Date]:[Date]],"&lt;="&amp;EOMONTH(O$5,0))</f>
        <v>0</v>
      </c>
      <c r="P22" s="186">
        <f>SUMIFS(DWbonus[[Sum]:[Sum]],DWbonus[[Dato]:[Dato]], "&gt;="&amp;P$5,DWbonus[[Dato]:[Dato]],"&lt;="&amp;EOMONTH(P$5,0),DWbonus[[Bookie]:[Bookie]],$K22)+SUMIFS(LayTable[[Faktisk res]:[Faktisk res]],LayTable[[Dato]:[Dato]],"&gt;="&amp;P$5,LayTable[[Dato]:[Dato]],"&lt;="&amp;EOMONTH(P$5,0),LayTable[[Bookmaker]:[Bookmaker]],$K22)+SUMIFS(BetTable[[AR_per_bookie]:[AR_per_bookie]],BetTable[[B1]:[B1]],$K22,BetTable[[Date]:[Date]], "&gt;="&amp;P$5,BetTable[[Date]:[Date]],"&lt;="&amp;EOMONTH(P$5,0))+SUMIFS(BetTable[[AR_per_bookie]:[AR_per_bookie]],BetTable[[B2]:[B2]],$K22,BetTable[[Date]:[Date]], "&gt;="&amp;P$5,BetTable[[Date]:[Date]],"&lt;="&amp;EOMONTH(P$5,0))+SUMIFS(BetTable[[AR_per_bookie]:[AR_per_bookie]],BetTable[[B3]:[B3]],$K22,BetTable[[Date]:[Date]], "&gt;="&amp;P$5,BetTable[[Date]:[Date]],"&lt;="&amp;EOMONTH(P$5,0))</f>
        <v>0</v>
      </c>
      <c r="Q22" s="186">
        <f>SUMIFS(DWbonus[[Sum]:[Sum]],DWbonus[[Dato]:[Dato]], "&gt;="&amp;Q$5,DWbonus[[Dato]:[Dato]],"&lt;="&amp;EOMONTH(Q$5,0),DWbonus[[Bookie]:[Bookie]],$K22)+SUMIFS(LayTable[[Faktisk res]:[Faktisk res]],LayTable[[Dato]:[Dato]],"&gt;="&amp;Q$5,LayTable[[Dato]:[Dato]],"&lt;="&amp;EOMONTH(Q$5,0),LayTable[[Bookmaker]:[Bookmaker]],$K22)+SUMIFS(BetTable[[AR_per_bookie]:[AR_per_bookie]],BetTable[[B1]:[B1]],$K22,BetTable[[Date]:[Date]], "&gt;="&amp;Q$5,BetTable[[Date]:[Date]],"&lt;="&amp;EOMONTH(Q$5,0))+SUMIFS(BetTable[[AR_per_bookie]:[AR_per_bookie]],BetTable[[B2]:[B2]],$K22,BetTable[[Date]:[Date]], "&gt;="&amp;Q$5,BetTable[[Date]:[Date]],"&lt;="&amp;EOMONTH(Q$5,0))+SUMIFS(BetTable[[AR_per_bookie]:[AR_per_bookie]],BetTable[[B3]:[B3]],$K22,BetTable[[Date]:[Date]], "&gt;="&amp;Q$5,BetTable[[Date]:[Date]],"&lt;="&amp;EOMONTH(Q$5,0))</f>
        <v>0</v>
      </c>
      <c r="R22" s="186">
        <f>SUMIFS(DWbonus[[Sum]:[Sum]],DWbonus[[Dato]:[Dato]], "&gt;="&amp;R$5,DWbonus[[Dato]:[Dato]],"&lt;="&amp;EOMONTH(R$5,0),DWbonus[[Bookie]:[Bookie]],$K22)+SUMIFS(LayTable[[Faktisk res]:[Faktisk res]],LayTable[[Dato]:[Dato]],"&gt;="&amp;R$5,LayTable[[Dato]:[Dato]],"&lt;="&amp;EOMONTH(R$5,0),LayTable[[Bookmaker]:[Bookmaker]],$K22)+SUMIFS(BetTable[[AR_per_bookie]:[AR_per_bookie]],BetTable[[B1]:[B1]],$K22,BetTable[[Date]:[Date]], "&gt;="&amp;R$5,BetTable[[Date]:[Date]],"&lt;="&amp;EOMONTH(R$5,0))+SUMIFS(BetTable[[AR_per_bookie]:[AR_per_bookie]],BetTable[[B2]:[B2]],$K22,BetTable[[Date]:[Date]], "&gt;="&amp;R$5,BetTable[[Date]:[Date]],"&lt;="&amp;EOMONTH(R$5,0))+SUMIFS(BetTable[[AR_per_bookie]:[AR_per_bookie]],BetTable[[B3]:[B3]],$K22,BetTable[[Date]:[Date]], "&gt;="&amp;R$5,BetTable[[Date]:[Date]],"&lt;="&amp;EOMONTH(R$5,0))</f>
        <v>0</v>
      </c>
      <c r="S22" s="186">
        <f>SUMIFS(DWbonus[[Sum]:[Sum]],DWbonus[[Dato]:[Dato]], "&gt;="&amp;S$5,DWbonus[[Dato]:[Dato]],"&lt;="&amp;EOMONTH(S$5,0),DWbonus[[Bookie]:[Bookie]],$K22)+SUMIFS(LayTable[[Faktisk res]:[Faktisk res]],LayTable[[Dato]:[Dato]],"&gt;="&amp;S$5,LayTable[[Dato]:[Dato]],"&lt;="&amp;EOMONTH(S$5,0),LayTable[[Bookmaker]:[Bookmaker]],$K22)+SUMIFS(BetTable[[AR_per_bookie]:[AR_per_bookie]],BetTable[[B1]:[B1]],$K22,BetTable[[Date]:[Date]], "&gt;="&amp;S$5,BetTable[[Date]:[Date]],"&lt;="&amp;EOMONTH(S$5,0))+SUMIFS(BetTable[[AR_per_bookie]:[AR_per_bookie]],BetTable[[B2]:[B2]],$K22,BetTable[[Date]:[Date]], "&gt;="&amp;S$5,BetTable[[Date]:[Date]],"&lt;="&amp;EOMONTH(S$5,0))+SUMIFS(BetTable[[AR_per_bookie]:[AR_per_bookie]],BetTable[[B3]:[B3]],$K22,BetTable[[Date]:[Date]], "&gt;="&amp;S$5,BetTable[[Date]:[Date]],"&lt;="&amp;EOMONTH(S$5,0))</f>
        <v>0</v>
      </c>
      <c r="T22" s="186">
        <f>SUMIFS(DWbonus[[Sum]:[Sum]],DWbonus[[Dato]:[Dato]], "&gt;="&amp;T$5,DWbonus[[Dato]:[Dato]],"&lt;="&amp;EOMONTH(T$5,0),DWbonus[[Bookie]:[Bookie]],$K22)+SUMIFS(LayTable[[Faktisk res]:[Faktisk res]],LayTable[[Dato]:[Dato]],"&gt;="&amp;T$5,LayTable[[Dato]:[Dato]],"&lt;="&amp;EOMONTH(T$5,0),LayTable[[Bookmaker]:[Bookmaker]],$K22)+SUMIFS(BetTable[[AR_per_bookie]:[AR_per_bookie]],BetTable[[B1]:[B1]],$K22,BetTable[[Date]:[Date]], "&gt;="&amp;T$5,BetTable[[Date]:[Date]],"&lt;="&amp;EOMONTH(T$5,0))+SUMIFS(BetTable[[AR_per_bookie]:[AR_per_bookie]],BetTable[[B2]:[B2]],$K22,BetTable[[Date]:[Date]], "&gt;="&amp;T$5,BetTable[[Date]:[Date]],"&lt;="&amp;EOMONTH(T$5,0))+SUMIFS(BetTable[[AR_per_bookie]:[AR_per_bookie]],BetTable[[B3]:[B3]],$K22,BetTable[[Date]:[Date]], "&gt;="&amp;T$5,BetTable[[Date]:[Date]],"&lt;="&amp;EOMONTH(T$5,0))</f>
        <v>0</v>
      </c>
      <c r="U22" s="186">
        <f>SUMIFS(DWbonus[[Sum]:[Sum]],DWbonus[[Dato]:[Dato]], "&gt;="&amp;U$5,DWbonus[[Dato]:[Dato]],"&lt;="&amp;EOMONTH(U$5,0),DWbonus[[Bookie]:[Bookie]],$K22)+SUMIFS(LayTable[[Faktisk res]:[Faktisk res]],LayTable[[Dato]:[Dato]],"&gt;="&amp;U$5,LayTable[[Dato]:[Dato]],"&lt;="&amp;EOMONTH(U$5,0),LayTable[[Bookmaker]:[Bookmaker]],$K22)+SUMIFS(BetTable[[AR_per_bookie]:[AR_per_bookie]],BetTable[[B1]:[B1]],$K22,BetTable[[Date]:[Date]], "&gt;="&amp;U$5,BetTable[[Date]:[Date]],"&lt;="&amp;EOMONTH(U$5,0))+SUMIFS(BetTable[[AR_per_bookie]:[AR_per_bookie]],BetTable[[B2]:[B2]],$K22,BetTable[[Date]:[Date]], "&gt;="&amp;U$5,BetTable[[Date]:[Date]],"&lt;="&amp;EOMONTH(U$5,0))+SUMIFS(BetTable[[AR_per_bookie]:[AR_per_bookie]],BetTable[[B3]:[B3]],$K22,BetTable[[Date]:[Date]], "&gt;="&amp;U$5,BetTable[[Date]:[Date]],"&lt;="&amp;EOMONTH(U$5,0))</f>
        <v>0</v>
      </c>
      <c r="V22" s="186">
        <f>SUMIFS(DWbonus[[Sum]:[Sum]],DWbonus[[Dato]:[Dato]], "&gt;="&amp;V$5,DWbonus[[Dato]:[Dato]],"&lt;="&amp;EOMONTH(V$5,0),DWbonus[[Bookie]:[Bookie]],$K22)+SUMIFS(LayTable[[Faktisk res]:[Faktisk res]],LayTable[[Dato]:[Dato]],"&gt;="&amp;V$5,LayTable[[Dato]:[Dato]],"&lt;="&amp;EOMONTH(V$5,0),LayTable[[Bookmaker]:[Bookmaker]],$K22)+SUMIFS(BetTable[[AR_per_bookie]:[AR_per_bookie]],BetTable[[B1]:[B1]],$K22,BetTable[[Date]:[Date]], "&gt;="&amp;V$5,BetTable[[Date]:[Date]],"&lt;="&amp;EOMONTH(V$5,0))+SUMIFS(BetTable[[AR_per_bookie]:[AR_per_bookie]],BetTable[[B2]:[B2]],$K22,BetTable[[Date]:[Date]], "&gt;="&amp;V$5,BetTable[[Date]:[Date]],"&lt;="&amp;EOMONTH(V$5,0))+SUMIFS(BetTable[[AR_per_bookie]:[AR_per_bookie]],BetTable[[B3]:[B3]],$K22,BetTable[[Date]:[Date]], "&gt;="&amp;V$5,BetTable[[Date]:[Date]],"&lt;="&amp;EOMONTH(V$5,0))</f>
        <v>0</v>
      </c>
      <c r="W22" s="186">
        <f>SUMIFS(DWbonus[[Sum]:[Sum]],DWbonus[[Dato]:[Dato]], "&gt;="&amp;W$5,DWbonus[[Dato]:[Dato]],"&lt;="&amp;EOMONTH(W$5,0),DWbonus[[Bookie]:[Bookie]],$K22)+SUMIFS(LayTable[[Faktisk res]:[Faktisk res]],LayTable[[Dato]:[Dato]],"&gt;="&amp;W$5,LayTable[[Dato]:[Dato]],"&lt;="&amp;EOMONTH(W$5,0),LayTable[[Bookmaker]:[Bookmaker]],$K22)+SUMIFS(BetTable[[AR_per_bookie]:[AR_per_bookie]],BetTable[[B1]:[B1]],$K22,BetTable[[Date]:[Date]], "&gt;="&amp;W$5,BetTable[[Date]:[Date]],"&lt;="&amp;EOMONTH(W$5,0))+SUMIFS(BetTable[[AR_per_bookie]:[AR_per_bookie]],BetTable[[B2]:[B2]],$K22,BetTable[[Date]:[Date]], "&gt;="&amp;W$5,BetTable[[Date]:[Date]],"&lt;="&amp;EOMONTH(W$5,0))+SUMIFS(BetTable[[AR_per_bookie]:[AR_per_bookie]],BetTable[[B3]:[B3]],$K22,BetTable[[Date]:[Date]], "&gt;="&amp;W$5,BetTable[[Date]:[Date]],"&lt;="&amp;EOMONTH(W$5,0))</f>
        <v>0</v>
      </c>
    </row>
    <row r="23" spans="1:23">
      <c r="A23" s="70" t="s">
        <v>441</v>
      </c>
      <c r="K23" s="174" t="str">
        <f t="array" ref="K23">IFERROR(INDEX(BookieNavn!H$2:H$1251,SMALL(IF(EXACT(LEFT(BookieNavn!H$2:H$1251,2),M$3),ROW(BookieNavn!H$2:H$1251)-ROW(BookieNavn!H$2)+1),ROWS(BookieNavn!H$2:'BookieNavn'!H18))),"")</f>
        <v/>
      </c>
      <c r="L23" s="186">
        <f>SUMIFS(DWbonus[[Sum]:[Sum]],DWbonus[[Dato]:[Dato]], "&gt;="&amp;L$5,DWbonus[[Dato]:[Dato]],"&lt;="&amp;EOMONTH(L$5,0),DWbonus[[Bookie]:[Bookie]],$K23)+SUMIFS(LayTable[[Faktisk res]:[Faktisk res]],LayTable[[Dato]:[Dato]],"&gt;="&amp;L$5,LayTable[[Dato]:[Dato]],"&lt;="&amp;EOMONTH(L$5,0),LayTable[[Bookmaker]:[Bookmaker]],$K23)+SUMIFS(BetTable[[AR_per_bookie]:[AR_per_bookie]],BetTable[[B1]:[B1]],$K23,BetTable[[Date]:[Date]], "&gt;="&amp;L$5,BetTable[[Date]:[Date]],"&lt;="&amp;EOMONTH(L$5,0))+SUMIFS(BetTable[[AR_per_bookie]:[AR_per_bookie]],BetTable[[B2]:[B2]],$K23,BetTable[[Date]:[Date]], "&gt;="&amp;L$5,BetTable[[Date]:[Date]],"&lt;="&amp;EOMONTH(L$5,0))+SUMIFS(BetTable[[AR_per_bookie]:[AR_per_bookie]],BetTable[[B3]:[B3]],$K23,BetTable[[Date]:[Date]], "&gt;="&amp;L$5,BetTable[[Date]:[Date]],"&lt;="&amp;EOMONTH(L$5,0))</f>
        <v>0</v>
      </c>
      <c r="M23" s="186">
        <f>SUMIFS(DWbonus[[Sum]:[Sum]],DWbonus[[Dato]:[Dato]], "&gt;="&amp;M$5,DWbonus[[Dato]:[Dato]],"&lt;="&amp;EOMONTH(M$5,0),DWbonus[[Bookie]:[Bookie]],$K23)+SUMIFS(LayTable[[Faktisk res]:[Faktisk res]],LayTable[[Dato]:[Dato]],"&gt;="&amp;M$5,LayTable[[Dato]:[Dato]],"&lt;="&amp;EOMONTH(M$5,0),LayTable[[Bookmaker]:[Bookmaker]],$K23)+SUMIFS(BetTable[[AR_per_bookie]:[AR_per_bookie]],BetTable[[B1]:[B1]],$K23,BetTable[[Date]:[Date]], "&gt;="&amp;M$5,BetTable[[Date]:[Date]],"&lt;="&amp;EOMONTH(M$5,0))+SUMIFS(BetTable[[AR_per_bookie]:[AR_per_bookie]],BetTable[[B2]:[B2]],$K23,BetTable[[Date]:[Date]], "&gt;="&amp;M$5,BetTable[[Date]:[Date]],"&lt;="&amp;EOMONTH(M$5,0))+SUMIFS(BetTable[[AR_per_bookie]:[AR_per_bookie]],BetTable[[B3]:[B3]],$K23,BetTable[[Date]:[Date]], "&gt;="&amp;M$5,BetTable[[Date]:[Date]],"&lt;="&amp;EOMONTH(M$5,0))</f>
        <v>0</v>
      </c>
      <c r="N23" s="186">
        <f>SUMIFS(DWbonus[[Sum]:[Sum]],DWbonus[[Dato]:[Dato]], "&gt;="&amp;N$5,DWbonus[[Dato]:[Dato]],"&lt;="&amp;EOMONTH(N$5,0),DWbonus[[Bookie]:[Bookie]],$K23)+SUMIFS(LayTable[[Faktisk res]:[Faktisk res]],LayTable[[Dato]:[Dato]],"&gt;="&amp;N$5,LayTable[[Dato]:[Dato]],"&lt;="&amp;EOMONTH(N$5,0),LayTable[[Bookmaker]:[Bookmaker]],$K23)+SUMIFS(BetTable[[AR_per_bookie]:[AR_per_bookie]],BetTable[[B1]:[B1]],$K23,BetTable[[Date]:[Date]], "&gt;="&amp;N$5,BetTable[[Date]:[Date]],"&lt;="&amp;EOMONTH(N$5,0))+SUMIFS(BetTable[[AR_per_bookie]:[AR_per_bookie]],BetTable[[B2]:[B2]],$K23,BetTable[[Date]:[Date]], "&gt;="&amp;N$5,BetTable[[Date]:[Date]],"&lt;="&amp;EOMONTH(N$5,0))+SUMIFS(BetTable[[AR_per_bookie]:[AR_per_bookie]],BetTable[[B3]:[B3]],$K23,BetTable[[Date]:[Date]], "&gt;="&amp;N$5,BetTable[[Date]:[Date]],"&lt;="&amp;EOMONTH(N$5,0))</f>
        <v>0</v>
      </c>
      <c r="O23" s="186">
        <f>SUMIFS(DWbonus[[Sum]:[Sum]],DWbonus[[Dato]:[Dato]], "&gt;="&amp;O$5,DWbonus[[Dato]:[Dato]],"&lt;="&amp;EOMONTH(O$5,0),DWbonus[[Bookie]:[Bookie]],$K23)+SUMIFS(LayTable[[Faktisk res]:[Faktisk res]],LayTable[[Dato]:[Dato]],"&gt;="&amp;O$5,LayTable[[Dato]:[Dato]],"&lt;="&amp;EOMONTH(O$5,0),LayTable[[Bookmaker]:[Bookmaker]],$K23)+SUMIFS(BetTable[[AR_per_bookie]:[AR_per_bookie]],BetTable[[B1]:[B1]],$K23,BetTable[[Date]:[Date]], "&gt;="&amp;O$5,BetTable[[Date]:[Date]],"&lt;="&amp;EOMONTH(O$5,0))+SUMIFS(BetTable[[AR_per_bookie]:[AR_per_bookie]],BetTable[[B2]:[B2]],$K23,BetTable[[Date]:[Date]], "&gt;="&amp;O$5,BetTable[[Date]:[Date]],"&lt;="&amp;EOMONTH(O$5,0))+SUMIFS(BetTable[[AR_per_bookie]:[AR_per_bookie]],BetTable[[B3]:[B3]],$K23,BetTable[[Date]:[Date]], "&gt;="&amp;O$5,BetTable[[Date]:[Date]],"&lt;="&amp;EOMONTH(O$5,0))</f>
        <v>0</v>
      </c>
      <c r="P23" s="186">
        <f>SUMIFS(DWbonus[[Sum]:[Sum]],DWbonus[[Dato]:[Dato]], "&gt;="&amp;P$5,DWbonus[[Dato]:[Dato]],"&lt;="&amp;EOMONTH(P$5,0),DWbonus[[Bookie]:[Bookie]],$K23)+SUMIFS(LayTable[[Faktisk res]:[Faktisk res]],LayTable[[Dato]:[Dato]],"&gt;="&amp;P$5,LayTable[[Dato]:[Dato]],"&lt;="&amp;EOMONTH(P$5,0),LayTable[[Bookmaker]:[Bookmaker]],$K23)+SUMIFS(BetTable[[AR_per_bookie]:[AR_per_bookie]],BetTable[[B1]:[B1]],$K23,BetTable[[Date]:[Date]], "&gt;="&amp;P$5,BetTable[[Date]:[Date]],"&lt;="&amp;EOMONTH(P$5,0))+SUMIFS(BetTable[[AR_per_bookie]:[AR_per_bookie]],BetTable[[B2]:[B2]],$K23,BetTable[[Date]:[Date]], "&gt;="&amp;P$5,BetTable[[Date]:[Date]],"&lt;="&amp;EOMONTH(P$5,0))+SUMIFS(BetTable[[AR_per_bookie]:[AR_per_bookie]],BetTable[[B3]:[B3]],$K23,BetTable[[Date]:[Date]], "&gt;="&amp;P$5,BetTable[[Date]:[Date]],"&lt;="&amp;EOMONTH(P$5,0))</f>
        <v>0</v>
      </c>
      <c r="Q23" s="186">
        <f>SUMIFS(DWbonus[[Sum]:[Sum]],DWbonus[[Dato]:[Dato]], "&gt;="&amp;Q$5,DWbonus[[Dato]:[Dato]],"&lt;="&amp;EOMONTH(Q$5,0),DWbonus[[Bookie]:[Bookie]],$K23)+SUMIFS(LayTable[[Faktisk res]:[Faktisk res]],LayTable[[Dato]:[Dato]],"&gt;="&amp;Q$5,LayTable[[Dato]:[Dato]],"&lt;="&amp;EOMONTH(Q$5,0),LayTable[[Bookmaker]:[Bookmaker]],$K23)+SUMIFS(BetTable[[AR_per_bookie]:[AR_per_bookie]],BetTable[[B1]:[B1]],$K23,BetTable[[Date]:[Date]], "&gt;="&amp;Q$5,BetTable[[Date]:[Date]],"&lt;="&amp;EOMONTH(Q$5,0))+SUMIFS(BetTable[[AR_per_bookie]:[AR_per_bookie]],BetTable[[B2]:[B2]],$K23,BetTable[[Date]:[Date]], "&gt;="&amp;Q$5,BetTable[[Date]:[Date]],"&lt;="&amp;EOMONTH(Q$5,0))+SUMIFS(BetTable[[AR_per_bookie]:[AR_per_bookie]],BetTable[[B3]:[B3]],$K23,BetTable[[Date]:[Date]], "&gt;="&amp;Q$5,BetTable[[Date]:[Date]],"&lt;="&amp;EOMONTH(Q$5,0))</f>
        <v>0</v>
      </c>
      <c r="R23" s="186">
        <f>SUMIFS(DWbonus[[Sum]:[Sum]],DWbonus[[Dato]:[Dato]], "&gt;="&amp;R$5,DWbonus[[Dato]:[Dato]],"&lt;="&amp;EOMONTH(R$5,0),DWbonus[[Bookie]:[Bookie]],$K23)+SUMIFS(LayTable[[Faktisk res]:[Faktisk res]],LayTable[[Dato]:[Dato]],"&gt;="&amp;R$5,LayTable[[Dato]:[Dato]],"&lt;="&amp;EOMONTH(R$5,0),LayTable[[Bookmaker]:[Bookmaker]],$K23)+SUMIFS(BetTable[[AR_per_bookie]:[AR_per_bookie]],BetTable[[B1]:[B1]],$K23,BetTable[[Date]:[Date]], "&gt;="&amp;R$5,BetTable[[Date]:[Date]],"&lt;="&amp;EOMONTH(R$5,0))+SUMIFS(BetTable[[AR_per_bookie]:[AR_per_bookie]],BetTable[[B2]:[B2]],$K23,BetTable[[Date]:[Date]], "&gt;="&amp;R$5,BetTable[[Date]:[Date]],"&lt;="&amp;EOMONTH(R$5,0))+SUMIFS(BetTable[[AR_per_bookie]:[AR_per_bookie]],BetTable[[B3]:[B3]],$K23,BetTable[[Date]:[Date]], "&gt;="&amp;R$5,BetTable[[Date]:[Date]],"&lt;="&amp;EOMONTH(R$5,0))</f>
        <v>0</v>
      </c>
      <c r="S23" s="186">
        <f>SUMIFS(DWbonus[[Sum]:[Sum]],DWbonus[[Dato]:[Dato]], "&gt;="&amp;S$5,DWbonus[[Dato]:[Dato]],"&lt;="&amp;EOMONTH(S$5,0),DWbonus[[Bookie]:[Bookie]],$K23)+SUMIFS(LayTable[[Faktisk res]:[Faktisk res]],LayTable[[Dato]:[Dato]],"&gt;="&amp;S$5,LayTable[[Dato]:[Dato]],"&lt;="&amp;EOMONTH(S$5,0),LayTable[[Bookmaker]:[Bookmaker]],$K23)+SUMIFS(BetTable[[AR_per_bookie]:[AR_per_bookie]],BetTable[[B1]:[B1]],$K23,BetTable[[Date]:[Date]], "&gt;="&amp;S$5,BetTable[[Date]:[Date]],"&lt;="&amp;EOMONTH(S$5,0))+SUMIFS(BetTable[[AR_per_bookie]:[AR_per_bookie]],BetTable[[B2]:[B2]],$K23,BetTable[[Date]:[Date]], "&gt;="&amp;S$5,BetTable[[Date]:[Date]],"&lt;="&amp;EOMONTH(S$5,0))+SUMIFS(BetTable[[AR_per_bookie]:[AR_per_bookie]],BetTable[[B3]:[B3]],$K23,BetTable[[Date]:[Date]], "&gt;="&amp;S$5,BetTable[[Date]:[Date]],"&lt;="&amp;EOMONTH(S$5,0))</f>
        <v>0</v>
      </c>
      <c r="T23" s="186">
        <f>SUMIFS(DWbonus[[Sum]:[Sum]],DWbonus[[Dato]:[Dato]], "&gt;="&amp;T$5,DWbonus[[Dato]:[Dato]],"&lt;="&amp;EOMONTH(T$5,0),DWbonus[[Bookie]:[Bookie]],$K23)+SUMIFS(LayTable[[Faktisk res]:[Faktisk res]],LayTable[[Dato]:[Dato]],"&gt;="&amp;T$5,LayTable[[Dato]:[Dato]],"&lt;="&amp;EOMONTH(T$5,0),LayTable[[Bookmaker]:[Bookmaker]],$K23)+SUMIFS(BetTable[[AR_per_bookie]:[AR_per_bookie]],BetTable[[B1]:[B1]],$K23,BetTable[[Date]:[Date]], "&gt;="&amp;T$5,BetTable[[Date]:[Date]],"&lt;="&amp;EOMONTH(T$5,0))+SUMIFS(BetTable[[AR_per_bookie]:[AR_per_bookie]],BetTable[[B2]:[B2]],$K23,BetTable[[Date]:[Date]], "&gt;="&amp;T$5,BetTable[[Date]:[Date]],"&lt;="&amp;EOMONTH(T$5,0))+SUMIFS(BetTable[[AR_per_bookie]:[AR_per_bookie]],BetTable[[B3]:[B3]],$K23,BetTable[[Date]:[Date]], "&gt;="&amp;T$5,BetTable[[Date]:[Date]],"&lt;="&amp;EOMONTH(T$5,0))</f>
        <v>0</v>
      </c>
      <c r="U23" s="186">
        <f>SUMIFS(DWbonus[[Sum]:[Sum]],DWbonus[[Dato]:[Dato]], "&gt;="&amp;U$5,DWbonus[[Dato]:[Dato]],"&lt;="&amp;EOMONTH(U$5,0),DWbonus[[Bookie]:[Bookie]],$K23)+SUMIFS(LayTable[[Faktisk res]:[Faktisk res]],LayTable[[Dato]:[Dato]],"&gt;="&amp;U$5,LayTable[[Dato]:[Dato]],"&lt;="&amp;EOMONTH(U$5,0),LayTable[[Bookmaker]:[Bookmaker]],$K23)+SUMIFS(BetTable[[AR_per_bookie]:[AR_per_bookie]],BetTable[[B1]:[B1]],$K23,BetTable[[Date]:[Date]], "&gt;="&amp;U$5,BetTable[[Date]:[Date]],"&lt;="&amp;EOMONTH(U$5,0))+SUMIFS(BetTable[[AR_per_bookie]:[AR_per_bookie]],BetTable[[B2]:[B2]],$K23,BetTable[[Date]:[Date]], "&gt;="&amp;U$5,BetTable[[Date]:[Date]],"&lt;="&amp;EOMONTH(U$5,0))+SUMIFS(BetTable[[AR_per_bookie]:[AR_per_bookie]],BetTable[[B3]:[B3]],$K23,BetTable[[Date]:[Date]], "&gt;="&amp;U$5,BetTable[[Date]:[Date]],"&lt;="&amp;EOMONTH(U$5,0))</f>
        <v>0</v>
      </c>
      <c r="V23" s="186">
        <f>SUMIFS(DWbonus[[Sum]:[Sum]],DWbonus[[Dato]:[Dato]], "&gt;="&amp;V$5,DWbonus[[Dato]:[Dato]],"&lt;="&amp;EOMONTH(V$5,0),DWbonus[[Bookie]:[Bookie]],$K23)+SUMIFS(LayTable[[Faktisk res]:[Faktisk res]],LayTable[[Dato]:[Dato]],"&gt;="&amp;V$5,LayTable[[Dato]:[Dato]],"&lt;="&amp;EOMONTH(V$5,0),LayTable[[Bookmaker]:[Bookmaker]],$K23)+SUMIFS(BetTable[[AR_per_bookie]:[AR_per_bookie]],BetTable[[B1]:[B1]],$K23,BetTable[[Date]:[Date]], "&gt;="&amp;V$5,BetTable[[Date]:[Date]],"&lt;="&amp;EOMONTH(V$5,0))+SUMIFS(BetTable[[AR_per_bookie]:[AR_per_bookie]],BetTable[[B2]:[B2]],$K23,BetTable[[Date]:[Date]], "&gt;="&amp;V$5,BetTable[[Date]:[Date]],"&lt;="&amp;EOMONTH(V$5,0))+SUMIFS(BetTable[[AR_per_bookie]:[AR_per_bookie]],BetTable[[B3]:[B3]],$K23,BetTable[[Date]:[Date]], "&gt;="&amp;V$5,BetTable[[Date]:[Date]],"&lt;="&amp;EOMONTH(V$5,0))</f>
        <v>0</v>
      </c>
      <c r="W23" s="186">
        <f>SUMIFS(DWbonus[[Sum]:[Sum]],DWbonus[[Dato]:[Dato]], "&gt;="&amp;W$5,DWbonus[[Dato]:[Dato]],"&lt;="&amp;EOMONTH(W$5,0),DWbonus[[Bookie]:[Bookie]],$K23)+SUMIFS(LayTable[[Faktisk res]:[Faktisk res]],LayTable[[Dato]:[Dato]],"&gt;="&amp;W$5,LayTable[[Dato]:[Dato]],"&lt;="&amp;EOMONTH(W$5,0),LayTable[[Bookmaker]:[Bookmaker]],$K23)+SUMIFS(BetTable[[AR_per_bookie]:[AR_per_bookie]],BetTable[[B1]:[B1]],$K23,BetTable[[Date]:[Date]], "&gt;="&amp;W$5,BetTable[[Date]:[Date]],"&lt;="&amp;EOMONTH(W$5,0))+SUMIFS(BetTable[[AR_per_bookie]:[AR_per_bookie]],BetTable[[B2]:[B2]],$K23,BetTable[[Date]:[Date]], "&gt;="&amp;W$5,BetTable[[Date]:[Date]],"&lt;="&amp;EOMONTH(W$5,0))+SUMIFS(BetTable[[AR_per_bookie]:[AR_per_bookie]],BetTable[[B3]:[B3]],$K23,BetTable[[Date]:[Date]], "&gt;="&amp;W$5,BetTable[[Date]:[Date]],"&lt;="&amp;EOMONTH(W$5,0))</f>
        <v>0</v>
      </c>
    </row>
    <row r="24" spans="1:23">
      <c r="A24" s="70" t="s">
        <v>442</v>
      </c>
      <c r="B24" s="174" t="s">
        <v>443</v>
      </c>
      <c r="C24" s="174" t="s">
        <v>403</v>
      </c>
      <c r="F24" s="174" t="s">
        <v>116</v>
      </c>
      <c r="K24" s="174" t="str">
        <f t="array" ref="K24">IFERROR(INDEX(BookieNavn!H$2:H$1251,SMALL(IF(EXACT(LEFT(BookieNavn!H$2:H$1251,2),M$3),ROW(BookieNavn!H$2:H$1251)-ROW(BookieNavn!H$2)+1),ROWS(BookieNavn!H$2:'BookieNavn'!H19))),"")</f>
        <v/>
      </c>
      <c r="L24" s="186">
        <f>SUMIFS(DWbonus[[Sum]:[Sum]],DWbonus[[Dato]:[Dato]], "&gt;="&amp;L$5,DWbonus[[Dato]:[Dato]],"&lt;="&amp;EOMONTH(L$5,0),DWbonus[[Bookie]:[Bookie]],$K24)+SUMIFS(LayTable[[Faktisk res]:[Faktisk res]],LayTable[[Dato]:[Dato]],"&gt;="&amp;L$5,LayTable[[Dato]:[Dato]],"&lt;="&amp;EOMONTH(L$5,0),LayTable[[Bookmaker]:[Bookmaker]],$K24)+SUMIFS(BetTable[[AR_per_bookie]:[AR_per_bookie]],BetTable[[B1]:[B1]],$K24,BetTable[[Date]:[Date]], "&gt;="&amp;L$5,BetTable[[Date]:[Date]],"&lt;="&amp;EOMONTH(L$5,0))+SUMIFS(BetTable[[AR_per_bookie]:[AR_per_bookie]],BetTable[[B2]:[B2]],$K24,BetTable[[Date]:[Date]], "&gt;="&amp;L$5,BetTable[[Date]:[Date]],"&lt;="&amp;EOMONTH(L$5,0))+SUMIFS(BetTable[[AR_per_bookie]:[AR_per_bookie]],BetTable[[B3]:[B3]],$K24,BetTable[[Date]:[Date]], "&gt;="&amp;L$5,BetTable[[Date]:[Date]],"&lt;="&amp;EOMONTH(L$5,0))</f>
        <v>0</v>
      </c>
      <c r="M24" s="186">
        <f>SUMIFS(DWbonus[[Sum]:[Sum]],DWbonus[[Dato]:[Dato]], "&gt;="&amp;M$5,DWbonus[[Dato]:[Dato]],"&lt;="&amp;EOMONTH(M$5,0),DWbonus[[Bookie]:[Bookie]],$K24)+SUMIFS(LayTable[[Faktisk res]:[Faktisk res]],LayTable[[Dato]:[Dato]],"&gt;="&amp;M$5,LayTable[[Dato]:[Dato]],"&lt;="&amp;EOMONTH(M$5,0),LayTable[[Bookmaker]:[Bookmaker]],$K24)+SUMIFS(BetTable[[AR_per_bookie]:[AR_per_bookie]],BetTable[[B1]:[B1]],$K24,BetTable[[Date]:[Date]], "&gt;="&amp;M$5,BetTable[[Date]:[Date]],"&lt;="&amp;EOMONTH(M$5,0))+SUMIFS(BetTable[[AR_per_bookie]:[AR_per_bookie]],BetTable[[B2]:[B2]],$K24,BetTable[[Date]:[Date]], "&gt;="&amp;M$5,BetTable[[Date]:[Date]],"&lt;="&amp;EOMONTH(M$5,0))+SUMIFS(BetTable[[AR_per_bookie]:[AR_per_bookie]],BetTable[[B3]:[B3]],$K24,BetTable[[Date]:[Date]], "&gt;="&amp;M$5,BetTable[[Date]:[Date]],"&lt;="&amp;EOMONTH(M$5,0))</f>
        <v>0</v>
      </c>
      <c r="N24" s="186">
        <f>SUMIFS(DWbonus[[Sum]:[Sum]],DWbonus[[Dato]:[Dato]], "&gt;="&amp;N$5,DWbonus[[Dato]:[Dato]],"&lt;="&amp;EOMONTH(N$5,0),DWbonus[[Bookie]:[Bookie]],$K24)+SUMIFS(LayTable[[Faktisk res]:[Faktisk res]],LayTable[[Dato]:[Dato]],"&gt;="&amp;N$5,LayTable[[Dato]:[Dato]],"&lt;="&amp;EOMONTH(N$5,0),LayTable[[Bookmaker]:[Bookmaker]],$K24)+SUMIFS(BetTable[[AR_per_bookie]:[AR_per_bookie]],BetTable[[B1]:[B1]],$K24,BetTable[[Date]:[Date]], "&gt;="&amp;N$5,BetTable[[Date]:[Date]],"&lt;="&amp;EOMONTH(N$5,0))+SUMIFS(BetTable[[AR_per_bookie]:[AR_per_bookie]],BetTable[[B2]:[B2]],$K24,BetTable[[Date]:[Date]], "&gt;="&amp;N$5,BetTable[[Date]:[Date]],"&lt;="&amp;EOMONTH(N$5,0))+SUMIFS(BetTable[[AR_per_bookie]:[AR_per_bookie]],BetTable[[B3]:[B3]],$K24,BetTable[[Date]:[Date]], "&gt;="&amp;N$5,BetTable[[Date]:[Date]],"&lt;="&amp;EOMONTH(N$5,0))</f>
        <v>0</v>
      </c>
      <c r="O24" s="186">
        <f>SUMIFS(DWbonus[[Sum]:[Sum]],DWbonus[[Dato]:[Dato]], "&gt;="&amp;O$5,DWbonus[[Dato]:[Dato]],"&lt;="&amp;EOMONTH(O$5,0),DWbonus[[Bookie]:[Bookie]],$K24)+SUMIFS(LayTable[[Faktisk res]:[Faktisk res]],LayTable[[Dato]:[Dato]],"&gt;="&amp;O$5,LayTable[[Dato]:[Dato]],"&lt;="&amp;EOMONTH(O$5,0),LayTable[[Bookmaker]:[Bookmaker]],$K24)+SUMIFS(BetTable[[AR_per_bookie]:[AR_per_bookie]],BetTable[[B1]:[B1]],$K24,BetTable[[Date]:[Date]], "&gt;="&amp;O$5,BetTable[[Date]:[Date]],"&lt;="&amp;EOMONTH(O$5,0))+SUMIFS(BetTable[[AR_per_bookie]:[AR_per_bookie]],BetTable[[B2]:[B2]],$K24,BetTable[[Date]:[Date]], "&gt;="&amp;O$5,BetTable[[Date]:[Date]],"&lt;="&amp;EOMONTH(O$5,0))+SUMIFS(BetTable[[AR_per_bookie]:[AR_per_bookie]],BetTable[[B3]:[B3]],$K24,BetTable[[Date]:[Date]], "&gt;="&amp;O$5,BetTable[[Date]:[Date]],"&lt;="&amp;EOMONTH(O$5,0))</f>
        <v>0</v>
      </c>
      <c r="P24" s="186">
        <f>SUMIFS(DWbonus[[Sum]:[Sum]],DWbonus[[Dato]:[Dato]], "&gt;="&amp;P$5,DWbonus[[Dato]:[Dato]],"&lt;="&amp;EOMONTH(P$5,0),DWbonus[[Bookie]:[Bookie]],$K24)+SUMIFS(LayTable[[Faktisk res]:[Faktisk res]],LayTable[[Dato]:[Dato]],"&gt;="&amp;P$5,LayTable[[Dato]:[Dato]],"&lt;="&amp;EOMONTH(P$5,0),LayTable[[Bookmaker]:[Bookmaker]],$K24)+SUMIFS(BetTable[[AR_per_bookie]:[AR_per_bookie]],BetTable[[B1]:[B1]],$K24,BetTable[[Date]:[Date]], "&gt;="&amp;P$5,BetTable[[Date]:[Date]],"&lt;="&amp;EOMONTH(P$5,0))+SUMIFS(BetTable[[AR_per_bookie]:[AR_per_bookie]],BetTable[[B2]:[B2]],$K24,BetTable[[Date]:[Date]], "&gt;="&amp;P$5,BetTable[[Date]:[Date]],"&lt;="&amp;EOMONTH(P$5,0))+SUMIFS(BetTable[[AR_per_bookie]:[AR_per_bookie]],BetTable[[B3]:[B3]],$K24,BetTable[[Date]:[Date]], "&gt;="&amp;P$5,BetTable[[Date]:[Date]],"&lt;="&amp;EOMONTH(P$5,0))</f>
        <v>0</v>
      </c>
      <c r="Q24" s="186">
        <f>SUMIFS(DWbonus[[Sum]:[Sum]],DWbonus[[Dato]:[Dato]], "&gt;="&amp;Q$5,DWbonus[[Dato]:[Dato]],"&lt;="&amp;EOMONTH(Q$5,0),DWbonus[[Bookie]:[Bookie]],$K24)+SUMIFS(LayTable[[Faktisk res]:[Faktisk res]],LayTable[[Dato]:[Dato]],"&gt;="&amp;Q$5,LayTable[[Dato]:[Dato]],"&lt;="&amp;EOMONTH(Q$5,0),LayTable[[Bookmaker]:[Bookmaker]],$K24)+SUMIFS(BetTable[[AR_per_bookie]:[AR_per_bookie]],BetTable[[B1]:[B1]],$K24,BetTable[[Date]:[Date]], "&gt;="&amp;Q$5,BetTable[[Date]:[Date]],"&lt;="&amp;EOMONTH(Q$5,0))+SUMIFS(BetTable[[AR_per_bookie]:[AR_per_bookie]],BetTable[[B2]:[B2]],$K24,BetTable[[Date]:[Date]], "&gt;="&amp;Q$5,BetTable[[Date]:[Date]],"&lt;="&amp;EOMONTH(Q$5,0))+SUMIFS(BetTable[[AR_per_bookie]:[AR_per_bookie]],BetTable[[B3]:[B3]],$K24,BetTable[[Date]:[Date]], "&gt;="&amp;Q$5,BetTable[[Date]:[Date]],"&lt;="&amp;EOMONTH(Q$5,0))</f>
        <v>0</v>
      </c>
      <c r="R24" s="186">
        <f>SUMIFS(DWbonus[[Sum]:[Sum]],DWbonus[[Dato]:[Dato]], "&gt;="&amp;R$5,DWbonus[[Dato]:[Dato]],"&lt;="&amp;EOMONTH(R$5,0),DWbonus[[Bookie]:[Bookie]],$K24)+SUMIFS(LayTable[[Faktisk res]:[Faktisk res]],LayTable[[Dato]:[Dato]],"&gt;="&amp;R$5,LayTable[[Dato]:[Dato]],"&lt;="&amp;EOMONTH(R$5,0),LayTable[[Bookmaker]:[Bookmaker]],$K24)+SUMIFS(BetTable[[AR_per_bookie]:[AR_per_bookie]],BetTable[[B1]:[B1]],$K24,BetTable[[Date]:[Date]], "&gt;="&amp;R$5,BetTable[[Date]:[Date]],"&lt;="&amp;EOMONTH(R$5,0))+SUMIFS(BetTable[[AR_per_bookie]:[AR_per_bookie]],BetTable[[B2]:[B2]],$K24,BetTable[[Date]:[Date]], "&gt;="&amp;R$5,BetTable[[Date]:[Date]],"&lt;="&amp;EOMONTH(R$5,0))+SUMIFS(BetTable[[AR_per_bookie]:[AR_per_bookie]],BetTable[[B3]:[B3]],$K24,BetTable[[Date]:[Date]], "&gt;="&amp;R$5,BetTable[[Date]:[Date]],"&lt;="&amp;EOMONTH(R$5,0))</f>
        <v>0</v>
      </c>
      <c r="S24" s="186">
        <f>SUMIFS(DWbonus[[Sum]:[Sum]],DWbonus[[Dato]:[Dato]], "&gt;="&amp;S$5,DWbonus[[Dato]:[Dato]],"&lt;="&amp;EOMONTH(S$5,0),DWbonus[[Bookie]:[Bookie]],$K24)+SUMIFS(LayTable[[Faktisk res]:[Faktisk res]],LayTable[[Dato]:[Dato]],"&gt;="&amp;S$5,LayTable[[Dato]:[Dato]],"&lt;="&amp;EOMONTH(S$5,0),LayTable[[Bookmaker]:[Bookmaker]],$K24)+SUMIFS(BetTable[[AR_per_bookie]:[AR_per_bookie]],BetTable[[B1]:[B1]],$K24,BetTable[[Date]:[Date]], "&gt;="&amp;S$5,BetTable[[Date]:[Date]],"&lt;="&amp;EOMONTH(S$5,0))+SUMIFS(BetTable[[AR_per_bookie]:[AR_per_bookie]],BetTable[[B2]:[B2]],$K24,BetTable[[Date]:[Date]], "&gt;="&amp;S$5,BetTable[[Date]:[Date]],"&lt;="&amp;EOMONTH(S$5,0))+SUMIFS(BetTable[[AR_per_bookie]:[AR_per_bookie]],BetTable[[B3]:[B3]],$K24,BetTable[[Date]:[Date]], "&gt;="&amp;S$5,BetTable[[Date]:[Date]],"&lt;="&amp;EOMONTH(S$5,0))</f>
        <v>0</v>
      </c>
      <c r="T24" s="186">
        <f>SUMIFS(DWbonus[[Sum]:[Sum]],DWbonus[[Dato]:[Dato]], "&gt;="&amp;T$5,DWbonus[[Dato]:[Dato]],"&lt;="&amp;EOMONTH(T$5,0),DWbonus[[Bookie]:[Bookie]],$K24)+SUMIFS(LayTable[[Faktisk res]:[Faktisk res]],LayTable[[Dato]:[Dato]],"&gt;="&amp;T$5,LayTable[[Dato]:[Dato]],"&lt;="&amp;EOMONTH(T$5,0),LayTable[[Bookmaker]:[Bookmaker]],$K24)+SUMIFS(BetTable[[AR_per_bookie]:[AR_per_bookie]],BetTable[[B1]:[B1]],$K24,BetTable[[Date]:[Date]], "&gt;="&amp;T$5,BetTable[[Date]:[Date]],"&lt;="&amp;EOMONTH(T$5,0))+SUMIFS(BetTable[[AR_per_bookie]:[AR_per_bookie]],BetTable[[B2]:[B2]],$K24,BetTable[[Date]:[Date]], "&gt;="&amp;T$5,BetTable[[Date]:[Date]],"&lt;="&amp;EOMONTH(T$5,0))+SUMIFS(BetTable[[AR_per_bookie]:[AR_per_bookie]],BetTable[[B3]:[B3]],$K24,BetTable[[Date]:[Date]], "&gt;="&amp;T$5,BetTable[[Date]:[Date]],"&lt;="&amp;EOMONTH(T$5,0))</f>
        <v>0</v>
      </c>
      <c r="U24" s="186">
        <f>SUMIFS(DWbonus[[Sum]:[Sum]],DWbonus[[Dato]:[Dato]], "&gt;="&amp;U$5,DWbonus[[Dato]:[Dato]],"&lt;="&amp;EOMONTH(U$5,0),DWbonus[[Bookie]:[Bookie]],$K24)+SUMIFS(LayTable[[Faktisk res]:[Faktisk res]],LayTable[[Dato]:[Dato]],"&gt;="&amp;U$5,LayTable[[Dato]:[Dato]],"&lt;="&amp;EOMONTH(U$5,0),LayTable[[Bookmaker]:[Bookmaker]],$K24)+SUMIFS(BetTable[[AR_per_bookie]:[AR_per_bookie]],BetTable[[B1]:[B1]],$K24,BetTable[[Date]:[Date]], "&gt;="&amp;U$5,BetTable[[Date]:[Date]],"&lt;="&amp;EOMONTH(U$5,0))+SUMIFS(BetTable[[AR_per_bookie]:[AR_per_bookie]],BetTable[[B2]:[B2]],$K24,BetTable[[Date]:[Date]], "&gt;="&amp;U$5,BetTable[[Date]:[Date]],"&lt;="&amp;EOMONTH(U$5,0))+SUMIFS(BetTable[[AR_per_bookie]:[AR_per_bookie]],BetTable[[B3]:[B3]],$K24,BetTable[[Date]:[Date]], "&gt;="&amp;U$5,BetTable[[Date]:[Date]],"&lt;="&amp;EOMONTH(U$5,0))</f>
        <v>0</v>
      </c>
      <c r="V24" s="186">
        <f>SUMIFS(DWbonus[[Sum]:[Sum]],DWbonus[[Dato]:[Dato]], "&gt;="&amp;V$5,DWbonus[[Dato]:[Dato]],"&lt;="&amp;EOMONTH(V$5,0),DWbonus[[Bookie]:[Bookie]],$K24)+SUMIFS(LayTable[[Faktisk res]:[Faktisk res]],LayTable[[Dato]:[Dato]],"&gt;="&amp;V$5,LayTable[[Dato]:[Dato]],"&lt;="&amp;EOMONTH(V$5,0),LayTable[[Bookmaker]:[Bookmaker]],$K24)+SUMIFS(BetTable[[AR_per_bookie]:[AR_per_bookie]],BetTable[[B1]:[B1]],$K24,BetTable[[Date]:[Date]], "&gt;="&amp;V$5,BetTable[[Date]:[Date]],"&lt;="&amp;EOMONTH(V$5,0))+SUMIFS(BetTable[[AR_per_bookie]:[AR_per_bookie]],BetTable[[B2]:[B2]],$K24,BetTable[[Date]:[Date]], "&gt;="&amp;V$5,BetTable[[Date]:[Date]],"&lt;="&amp;EOMONTH(V$5,0))+SUMIFS(BetTable[[AR_per_bookie]:[AR_per_bookie]],BetTable[[B3]:[B3]],$K24,BetTable[[Date]:[Date]], "&gt;="&amp;V$5,BetTable[[Date]:[Date]],"&lt;="&amp;EOMONTH(V$5,0))</f>
        <v>0</v>
      </c>
      <c r="W24" s="186">
        <f>SUMIFS(DWbonus[[Sum]:[Sum]],DWbonus[[Dato]:[Dato]], "&gt;="&amp;W$5,DWbonus[[Dato]:[Dato]],"&lt;="&amp;EOMONTH(W$5,0),DWbonus[[Bookie]:[Bookie]],$K24)+SUMIFS(LayTable[[Faktisk res]:[Faktisk res]],LayTable[[Dato]:[Dato]],"&gt;="&amp;W$5,LayTable[[Dato]:[Dato]],"&lt;="&amp;EOMONTH(W$5,0),LayTable[[Bookmaker]:[Bookmaker]],$K24)+SUMIFS(BetTable[[AR_per_bookie]:[AR_per_bookie]],BetTable[[B1]:[B1]],$K24,BetTable[[Date]:[Date]], "&gt;="&amp;W$5,BetTable[[Date]:[Date]],"&lt;="&amp;EOMONTH(W$5,0))+SUMIFS(BetTable[[AR_per_bookie]:[AR_per_bookie]],BetTable[[B2]:[B2]],$K24,BetTable[[Date]:[Date]], "&gt;="&amp;W$5,BetTable[[Date]:[Date]],"&lt;="&amp;EOMONTH(W$5,0))+SUMIFS(BetTable[[AR_per_bookie]:[AR_per_bookie]],BetTable[[B3]:[B3]],$K24,BetTable[[Date]:[Date]], "&gt;="&amp;W$5,BetTable[[Date]:[Date]],"&lt;="&amp;EOMONTH(W$5,0))</f>
        <v>0</v>
      </c>
    </row>
    <row r="25" spans="1:23">
      <c r="B25" s="174">
        <v>195</v>
      </c>
      <c r="C25" s="174">
        <f>180/3</f>
        <v>60</v>
      </c>
      <c r="F25" s="174">
        <f>SUM(B25:E25)</f>
        <v>255</v>
      </c>
      <c r="K25" s="174" t="str">
        <f t="array" ref="K25">IFERROR(INDEX(BookieNavn!H$2:H$1251,SMALL(IF(EXACT(LEFT(BookieNavn!H$2:H$1251,2),M$3),ROW(BookieNavn!H$2:H$1251)-ROW(BookieNavn!H$2)+1),ROWS(BookieNavn!H$2:'BookieNavn'!H20))),"")</f>
        <v/>
      </c>
      <c r="L25" s="186">
        <f>SUMIFS(DWbonus[[Sum]:[Sum]],DWbonus[[Dato]:[Dato]], "&gt;="&amp;L$5,DWbonus[[Dato]:[Dato]],"&lt;="&amp;EOMONTH(L$5,0),DWbonus[[Bookie]:[Bookie]],$K25)+SUMIFS(LayTable[[Faktisk res]:[Faktisk res]],LayTable[[Dato]:[Dato]],"&gt;="&amp;L$5,LayTable[[Dato]:[Dato]],"&lt;="&amp;EOMONTH(L$5,0),LayTable[[Bookmaker]:[Bookmaker]],$K25)+SUMIFS(BetTable[[AR_per_bookie]:[AR_per_bookie]],BetTable[[B1]:[B1]],$K25,BetTable[[Date]:[Date]], "&gt;="&amp;L$5,BetTable[[Date]:[Date]],"&lt;="&amp;EOMONTH(L$5,0))+SUMIFS(BetTable[[AR_per_bookie]:[AR_per_bookie]],BetTable[[B2]:[B2]],$K25,BetTable[[Date]:[Date]], "&gt;="&amp;L$5,BetTable[[Date]:[Date]],"&lt;="&amp;EOMONTH(L$5,0))+SUMIFS(BetTable[[AR_per_bookie]:[AR_per_bookie]],BetTable[[B3]:[B3]],$K25,BetTable[[Date]:[Date]], "&gt;="&amp;L$5,BetTable[[Date]:[Date]],"&lt;="&amp;EOMONTH(L$5,0))</f>
        <v>0</v>
      </c>
      <c r="M25" s="186">
        <f>SUMIFS(DWbonus[[Sum]:[Sum]],DWbonus[[Dato]:[Dato]], "&gt;="&amp;M$5,DWbonus[[Dato]:[Dato]],"&lt;="&amp;EOMONTH(M$5,0),DWbonus[[Bookie]:[Bookie]],$K25)+SUMIFS(LayTable[[Faktisk res]:[Faktisk res]],LayTable[[Dato]:[Dato]],"&gt;="&amp;M$5,LayTable[[Dato]:[Dato]],"&lt;="&amp;EOMONTH(M$5,0),LayTable[[Bookmaker]:[Bookmaker]],$K25)+SUMIFS(BetTable[[AR_per_bookie]:[AR_per_bookie]],BetTable[[B1]:[B1]],$K25,BetTable[[Date]:[Date]], "&gt;="&amp;M$5,BetTable[[Date]:[Date]],"&lt;="&amp;EOMONTH(M$5,0))+SUMIFS(BetTable[[AR_per_bookie]:[AR_per_bookie]],BetTable[[B2]:[B2]],$K25,BetTable[[Date]:[Date]], "&gt;="&amp;M$5,BetTable[[Date]:[Date]],"&lt;="&amp;EOMONTH(M$5,0))+SUMIFS(BetTable[[AR_per_bookie]:[AR_per_bookie]],BetTable[[B3]:[B3]],$K25,BetTable[[Date]:[Date]], "&gt;="&amp;M$5,BetTable[[Date]:[Date]],"&lt;="&amp;EOMONTH(M$5,0))</f>
        <v>0</v>
      </c>
      <c r="N25" s="186">
        <f>SUMIFS(DWbonus[[Sum]:[Sum]],DWbonus[[Dato]:[Dato]], "&gt;="&amp;N$5,DWbonus[[Dato]:[Dato]],"&lt;="&amp;EOMONTH(N$5,0),DWbonus[[Bookie]:[Bookie]],$K25)+SUMIFS(LayTable[[Faktisk res]:[Faktisk res]],LayTable[[Dato]:[Dato]],"&gt;="&amp;N$5,LayTable[[Dato]:[Dato]],"&lt;="&amp;EOMONTH(N$5,0),LayTable[[Bookmaker]:[Bookmaker]],$K25)+SUMIFS(BetTable[[AR_per_bookie]:[AR_per_bookie]],BetTable[[B1]:[B1]],$K25,BetTable[[Date]:[Date]], "&gt;="&amp;N$5,BetTable[[Date]:[Date]],"&lt;="&amp;EOMONTH(N$5,0))+SUMIFS(BetTable[[AR_per_bookie]:[AR_per_bookie]],BetTable[[B2]:[B2]],$K25,BetTable[[Date]:[Date]], "&gt;="&amp;N$5,BetTable[[Date]:[Date]],"&lt;="&amp;EOMONTH(N$5,0))+SUMIFS(BetTable[[AR_per_bookie]:[AR_per_bookie]],BetTable[[B3]:[B3]],$K25,BetTable[[Date]:[Date]], "&gt;="&amp;N$5,BetTable[[Date]:[Date]],"&lt;="&amp;EOMONTH(N$5,0))</f>
        <v>0</v>
      </c>
      <c r="O25" s="186">
        <f>SUMIFS(DWbonus[[Sum]:[Sum]],DWbonus[[Dato]:[Dato]], "&gt;="&amp;O$5,DWbonus[[Dato]:[Dato]],"&lt;="&amp;EOMONTH(O$5,0),DWbonus[[Bookie]:[Bookie]],$K25)+SUMIFS(LayTable[[Faktisk res]:[Faktisk res]],LayTable[[Dato]:[Dato]],"&gt;="&amp;O$5,LayTable[[Dato]:[Dato]],"&lt;="&amp;EOMONTH(O$5,0),LayTable[[Bookmaker]:[Bookmaker]],$K25)+SUMIFS(BetTable[[AR_per_bookie]:[AR_per_bookie]],BetTable[[B1]:[B1]],$K25,BetTable[[Date]:[Date]], "&gt;="&amp;O$5,BetTable[[Date]:[Date]],"&lt;="&amp;EOMONTH(O$5,0))+SUMIFS(BetTable[[AR_per_bookie]:[AR_per_bookie]],BetTable[[B2]:[B2]],$K25,BetTable[[Date]:[Date]], "&gt;="&amp;O$5,BetTable[[Date]:[Date]],"&lt;="&amp;EOMONTH(O$5,0))+SUMIFS(BetTable[[AR_per_bookie]:[AR_per_bookie]],BetTable[[B3]:[B3]],$K25,BetTable[[Date]:[Date]], "&gt;="&amp;O$5,BetTable[[Date]:[Date]],"&lt;="&amp;EOMONTH(O$5,0))</f>
        <v>0</v>
      </c>
      <c r="P25" s="186">
        <f>SUMIFS(DWbonus[[Sum]:[Sum]],DWbonus[[Dato]:[Dato]], "&gt;="&amp;P$5,DWbonus[[Dato]:[Dato]],"&lt;="&amp;EOMONTH(P$5,0),DWbonus[[Bookie]:[Bookie]],$K25)+SUMIFS(LayTable[[Faktisk res]:[Faktisk res]],LayTable[[Dato]:[Dato]],"&gt;="&amp;P$5,LayTable[[Dato]:[Dato]],"&lt;="&amp;EOMONTH(P$5,0),LayTable[[Bookmaker]:[Bookmaker]],$K25)+SUMIFS(BetTable[[AR_per_bookie]:[AR_per_bookie]],BetTable[[B1]:[B1]],$K25,BetTable[[Date]:[Date]], "&gt;="&amp;P$5,BetTable[[Date]:[Date]],"&lt;="&amp;EOMONTH(P$5,0))+SUMIFS(BetTable[[AR_per_bookie]:[AR_per_bookie]],BetTable[[B2]:[B2]],$K25,BetTable[[Date]:[Date]], "&gt;="&amp;P$5,BetTable[[Date]:[Date]],"&lt;="&amp;EOMONTH(P$5,0))+SUMIFS(BetTable[[AR_per_bookie]:[AR_per_bookie]],BetTable[[B3]:[B3]],$K25,BetTable[[Date]:[Date]], "&gt;="&amp;P$5,BetTable[[Date]:[Date]],"&lt;="&amp;EOMONTH(P$5,0))</f>
        <v>0</v>
      </c>
      <c r="Q25" s="186">
        <f>SUMIFS(DWbonus[[Sum]:[Sum]],DWbonus[[Dato]:[Dato]], "&gt;="&amp;Q$5,DWbonus[[Dato]:[Dato]],"&lt;="&amp;EOMONTH(Q$5,0),DWbonus[[Bookie]:[Bookie]],$K25)+SUMIFS(LayTable[[Faktisk res]:[Faktisk res]],LayTable[[Dato]:[Dato]],"&gt;="&amp;Q$5,LayTable[[Dato]:[Dato]],"&lt;="&amp;EOMONTH(Q$5,0),LayTable[[Bookmaker]:[Bookmaker]],$K25)+SUMIFS(BetTable[[AR_per_bookie]:[AR_per_bookie]],BetTable[[B1]:[B1]],$K25,BetTable[[Date]:[Date]], "&gt;="&amp;Q$5,BetTable[[Date]:[Date]],"&lt;="&amp;EOMONTH(Q$5,0))+SUMIFS(BetTable[[AR_per_bookie]:[AR_per_bookie]],BetTable[[B2]:[B2]],$K25,BetTable[[Date]:[Date]], "&gt;="&amp;Q$5,BetTable[[Date]:[Date]],"&lt;="&amp;EOMONTH(Q$5,0))+SUMIFS(BetTable[[AR_per_bookie]:[AR_per_bookie]],BetTable[[B3]:[B3]],$K25,BetTable[[Date]:[Date]], "&gt;="&amp;Q$5,BetTable[[Date]:[Date]],"&lt;="&amp;EOMONTH(Q$5,0))</f>
        <v>0</v>
      </c>
      <c r="R25" s="186">
        <f>SUMIFS(DWbonus[[Sum]:[Sum]],DWbonus[[Dato]:[Dato]], "&gt;="&amp;R$5,DWbonus[[Dato]:[Dato]],"&lt;="&amp;EOMONTH(R$5,0),DWbonus[[Bookie]:[Bookie]],$K25)+SUMIFS(LayTable[[Faktisk res]:[Faktisk res]],LayTable[[Dato]:[Dato]],"&gt;="&amp;R$5,LayTable[[Dato]:[Dato]],"&lt;="&amp;EOMONTH(R$5,0),LayTable[[Bookmaker]:[Bookmaker]],$K25)+SUMIFS(BetTable[[AR_per_bookie]:[AR_per_bookie]],BetTable[[B1]:[B1]],$K25,BetTable[[Date]:[Date]], "&gt;="&amp;R$5,BetTable[[Date]:[Date]],"&lt;="&amp;EOMONTH(R$5,0))+SUMIFS(BetTable[[AR_per_bookie]:[AR_per_bookie]],BetTable[[B2]:[B2]],$K25,BetTable[[Date]:[Date]], "&gt;="&amp;R$5,BetTable[[Date]:[Date]],"&lt;="&amp;EOMONTH(R$5,0))+SUMIFS(BetTable[[AR_per_bookie]:[AR_per_bookie]],BetTable[[B3]:[B3]],$K25,BetTable[[Date]:[Date]], "&gt;="&amp;R$5,BetTable[[Date]:[Date]],"&lt;="&amp;EOMONTH(R$5,0))</f>
        <v>0</v>
      </c>
      <c r="S25" s="186">
        <f>SUMIFS(DWbonus[[Sum]:[Sum]],DWbonus[[Dato]:[Dato]], "&gt;="&amp;S$5,DWbonus[[Dato]:[Dato]],"&lt;="&amp;EOMONTH(S$5,0),DWbonus[[Bookie]:[Bookie]],$K25)+SUMIFS(LayTable[[Faktisk res]:[Faktisk res]],LayTable[[Dato]:[Dato]],"&gt;="&amp;S$5,LayTable[[Dato]:[Dato]],"&lt;="&amp;EOMONTH(S$5,0),LayTable[[Bookmaker]:[Bookmaker]],$K25)+SUMIFS(BetTable[[AR_per_bookie]:[AR_per_bookie]],BetTable[[B1]:[B1]],$K25,BetTable[[Date]:[Date]], "&gt;="&amp;S$5,BetTable[[Date]:[Date]],"&lt;="&amp;EOMONTH(S$5,0))+SUMIFS(BetTable[[AR_per_bookie]:[AR_per_bookie]],BetTable[[B2]:[B2]],$K25,BetTable[[Date]:[Date]], "&gt;="&amp;S$5,BetTable[[Date]:[Date]],"&lt;="&amp;EOMONTH(S$5,0))+SUMIFS(BetTable[[AR_per_bookie]:[AR_per_bookie]],BetTable[[B3]:[B3]],$K25,BetTable[[Date]:[Date]], "&gt;="&amp;S$5,BetTable[[Date]:[Date]],"&lt;="&amp;EOMONTH(S$5,0))</f>
        <v>0</v>
      </c>
      <c r="T25" s="186">
        <f>SUMIFS(DWbonus[[Sum]:[Sum]],DWbonus[[Dato]:[Dato]], "&gt;="&amp;T$5,DWbonus[[Dato]:[Dato]],"&lt;="&amp;EOMONTH(T$5,0),DWbonus[[Bookie]:[Bookie]],$K25)+SUMIFS(LayTable[[Faktisk res]:[Faktisk res]],LayTable[[Dato]:[Dato]],"&gt;="&amp;T$5,LayTable[[Dato]:[Dato]],"&lt;="&amp;EOMONTH(T$5,0),LayTable[[Bookmaker]:[Bookmaker]],$K25)+SUMIFS(BetTable[[AR_per_bookie]:[AR_per_bookie]],BetTable[[B1]:[B1]],$K25,BetTable[[Date]:[Date]], "&gt;="&amp;T$5,BetTable[[Date]:[Date]],"&lt;="&amp;EOMONTH(T$5,0))+SUMIFS(BetTable[[AR_per_bookie]:[AR_per_bookie]],BetTable[[B2]:[B2]],$K25,BetTable[[Date]:[Date]], "&gt;="&amp;T$5,BetTable[[Date]:[Date]],"&lt;="&amp;EOMONTH(T$5,0))+SUMIFS(BetTable[[AR_per_bookie]:[AR_per_bookie]],BetTable[[B3]:[B3]],$K25,BetTable[[Date]:[Date]], "&gt;="&amp;T$5,BetTable[[Date]:[Date]],"&lt;="&amp;EOMONTH(T$5,0))</f>
        <v>0</v>
      </c>
      <c r="U25" s="186">
        <f>SUMIFS(DWbonus[[Sum]:[Sum]],DWbonus[[Dato]:[Dato]], "&gt;="&amp;U$5,DWbonus[[Dato]:[Dato]],"&lt;="&amp;EOMONTH(U$5,0),DWbonus[[Bookie]:[Bookie]],$K25)+SUMIFS(LayTable[[Faktisk res]:[Faktisk res]],LayTable[[Dato]:[Dato]],"&gt;="&amp;U$5,LayTable[[Dato]:[Dato]],"&lt;="&amp;EOMONTH(U$5,0),LayTable[[Bookmaker]:[Bookmaker]],$K25)+SUMIFS(BetTable[[AR_per_bookie]:[AR_per_bookie]],BetTable[[B1]:[B1]],$K25,BetTable[[Date]:[Date]], "&gt;="&amp;U$5,BetTable[[Date]:[Date]],"&lt;="&amp;EOMONTH(U$5,0))+SUMIFS(BetTable[[AR_per_bookie]:[AR_per_bookie]],BetTable[[B2]:[B2]],$K25,BetTable[[Date]:[Date]], "&gt;="&amp;U$5,BetTable[[Date]:[Date]],"&lt;="&amp;EOMONTH(U$5,0))+SUMIFS(BetTable[[AR_per_bookie]:[AR_per_bookie]],BetTable[[B3]:[B3]],$K25,BetTable[[Date]:[Date]], "&gt;="&amp;U$5,BetTable[[Date]:[Date]],"&lt;="&amp;EOMONTH(U$5,0))</f>
        <v>0</v>
      </c>
      <c r="V25" s="186">
        <f>SUMIFS(DWbonus[[Sum]:[Sum]],DWbonus[[Dato]:[Dato]], "&gt;="&amp;V$5,DWbonus[[Dato]:[Dato]],"&lt;="&amp;EOMONTH(V$5,0),DWbonus[[Bookie]:[Bookie]],$K25)+SUMIFS(LayTable[[Faktisk res]:[Faktisk res]],LayTable[[Dato]:[Dato]],"&gt;="&amp;V$5,LayTable[[Dato]:[Dato]],"&lt;="&amp;EOMONTH(V$5,0),LayTable[[Bookmaker]:[Bookmaker]],$K25)+SUMIFS(BetTable[[AR_per_bookie]:[AR_per_bookie]],BetTable[[B1]:[B1]],$K25,BetTable[[Date]:[Date]], "&gt;="&amp;V$5,BetTable[[Date]:[Date]],"&lt;="&amp;EOMONTH(V$5,0))+SUMIFS(BetTable[[AR_per_bookie]:[AR_per_bookie]],BetTable[[B2]:[B2]],$K25,BetTable[[Date]:[Date]], "&gt;="&amp;V$5,BetTable[[Date]:[Date]],"&lt;="&amp;EOMONTH(V$5,0))+SUMIFS(BetTable[[AR_per_bookie]:[AR_per_bookie]],BetTable[[B3]:[B3]],$K25,BetTable[[Date]:[Date]], "&gt;="&amp;V$5,BetTable[[Date]:[Date]],"&lt;="&amp;EOMONTH(V$5,0))</f>
        <v>0</v>
      </c>
      <c r="W25" s="186">
        <f>SUMIFS(DWbonus[[Sum]:[Sum]],DWbonus[[Dato]:[Dato]], "&gt;="&amp;W$5,DWbonus[[Dato]:[Dato]],"&lt;="&amp;EOMONTH(W$5,0),DWbonus[[Bookie]:[Bookie]],$K25)+SUMIFS(LayTable[[Faktisk res]:[Faktisk res]],LayTable[[Dato]:[Dato]],"&gt;="&amp;W$5,LayTable[[Dato]:[Dato]],"&lt;="&amp;EOMONTH(W$5,0),LayTable[[Bookmaker]:[Bookmaker]],$K25)+SUMIFS(BetTable[[AR_per_bookie]:[AR_per_bookie]],BetTable[[B1]:[B1]],$K25,BetTable[[Date]:[Date]], "&gt;="&amp;W$5,BetTable[[Date]:[Date]],"&lt;="&amp;EOMONTH(W$5,0))+SUMIFS(BetTable[[AR_per_bookie]:[AR_per_bookie]],BetTable[[B2]:[B2]],$K25,BetTable[[Date]:[Date]], "&gt;="&amp;W$5,BetTable[[Date]:[Date]],"&lt;="&amp;EOMONTH(W$5,0))+SUMIFS(BetTable[[AR_per_bookie]:[AR_per_bookie]],BetTable[[B3]:[B3]],$K25,BetTable[[Date]:[Date]], "&gt;="&amp;W$5,BetTable[[Date]:[Date]],"&lt;="&amp;EOMONTH(W$5,0))</f>
        <v>0</v>
      </c>
    </row>
    <row r="26" spans="1:23">
      <c r="K26" s="174" t="str">
        <f t="array" ref="K26">IFERROR(INDEX(BookieNavn!H$2:H$1251,SMALL(IF(EXACT(LEFT(BookieNavn!H$2:H$1251,2),M$3),ROW(BookieNavn!H$2:H$1251)-ROW(BookieNavn!H$2)+1),ROWS(BookieNavn!H$2:'BookieNavn'!H21))),"")</f>
        <v/>
      </c>
      <c r="L26" s="186">
        <f>SUMIFS(DWbonus[[Sum]:[Sum]],DWbonus[[Dato]:[Dato]], "&gt;="&amp;L$5,DWbonus[[Dato]:[Dato]],"&lt;="&amp;EOMONTH(L$5,0),DWbonus[[Bookie]:[Bookie]],$K26)+SUMIFS(LayTable[[Faktisk res]:[Faktisk res]],LayTable[[Dato]:[Dato]],"&gt;="&amp;L$5,LayTable[[Dato]:[Dato]],"&lt;="&amp;EOMONTH(L$5,0),LayTable[[Bookmaker]:[Bookmaker]],$K26)+SUMIFS(BetTable[[AR_per_bookie]:[AR_per_bookie]],BetTable[[B1]:[B1]],$K26,BetTable[[Date]:[Date]], "&gt;="&amp;L$5,BetTable[[Date]:[Date]],"&lt;="&amp;EOMONTH(L$5,0))+SUMIFS(BetTable[[AR_per_bookie]:[AR_per_bookie]],BetTable[[B2]:[B2]],$K26,BetTable[[Date]:[Date]], "&gt;="&amp;L$5,BetTable[[Date]:[Date]],"&lt;="&amp;EOMONTH(L$5,0))+SUMIFS(BetTable[[AR_per_bookie]:[AR_per_bookie]],BetTable[[B3]:[B3]],$K26,BetTable[[Date]:[Date]], "&gt;="&amp;L$5,BetTable[[Date]:[Date]],"&lt;="&amp;EOMONTH(L$5,0))</f>
        <v>0</v>
      </c>
      <c r="M26" s="186">
        <f>SUMIFS(DWbonus[[Sum]:[Sum]],DWbonus[[Dato]:[Dato]], "&gt;="&amp;M$5,DWbonus[[Dato]:[Dato]],"&lt;="&amp;EOMONTH(M$5,0),DWbonus[[Bookie]:[Bookie]],$K26)+SUMIFS(LayTable[[Faktisk res]:[Faktisk res]],LayTable[[Dato]:[Dato]],"&gt;="&amp;M$5,LayTable[[Dato]:[Dato]],"&lt;="&amp;EOMONTH(M$5,0),LayTable[[Bookmaker]:[Bookmaker]],$K26)+SUMIFS(BetTable[[AR_per_bookie]:[AR_per_bookie]],BetTable[[B1]:[B1]],$K26,BetTable[[Date]:[Date]], "&gt;="&amp;M$5,BetTable[[Date]:[Date]],"&lt;="&amp;EOMONTH(M$5,0))+SUMIFS(BetTable[[AR_per_bookie]:[AR_per_bookie]],BetTable[[B2]:[B2]],$K26,BetTable[[Date]:[Date]], "&gt;="&amp;M$5,BetTable[[Date]:[Date]],"&lt;="&amp;EOMONTH(M$5,0))+SUMIFS(BetTable[[AR_per_bookie]:[AR_per_bookie]],BetTable[[B3]:[B3]],$K26,BetTable[[Date]:[Date]], "&gt;="&amp;M$5,BetTable[[Date]:[Date]],"&lt;="&amp;EOMONTH(M$5,0))</f>
        <v>0</v>
      </c>
      <c r="N26" s="186">
        <f>SUMIFS(DWbonus[[Sum]:[Sum]],DWbonus[[Dato]:[Dato]], "&gt;="&amp;N$5,DWbonus[[Dato]:[Dato]],"&lt;="&amp;EOMONTH(N$5,0),DWbonus[[Bookie]:[Bookie]],$K26)+SUMIFS(LayTable[[Faktisk res]:[Faktisk res]],LayTable[[Dato]:[Dato]],"&gt;="&amp;N$5,LayTable[[Dato]:[Dato]],"&lt;="&amp;EOMONTH(N$5,0),LayTable[[Bookmaker]:[Bookmaker]],$K26)+SUMIFS(BetTable[[AR_per_bookie]:[AR_per_bookie]],BetTable[[B1]:[B1]],$K26,BetTable[[Date]:[Date]], "&gt;="&amp;N$5,BetTable[[Date]:[Date]],"&lt;="&amp;EOMONTH(N$5,0))+SUMIFS(BetTable[[AR_per_bookie]:[AR_per_bookie]],BetTable[[B2]:[B2]],$K26,BetTable[[Date]:[Date]], "&gt;="&amp;N$5,BetTable[[Date]:[Date]],"&lt;="&amp;EOMONTH(N$5,0))+SUMIFS(BetTable[[AR_per_bookie]:[AR_per_bookie]],BetTable[[B3]:[B3]],$K26,BetTable[[Date]:[Date]], "&gt;="&amp;N$5,BetTable[[Date]:[Date]],"&lt;="&amp;EOMONTH(N$5,0))</f>
        <v>0</v>
      </c>
      <c r="O26" s="186">
        <f>SUMIFS(DWbonus[[Sum]:[Sum]],DWbonus[[Dato]:[Dato]], "&gt;="&amp;O$5,DWbonus[[Dato]:[Dato]],"&lt;="&amp;EOMONTH(O$5,0),DWbonus[[Bookie]:[Bookie]],$K26)+SUMIFS(LayTable[[Faktisk res]:[Faktisk res]],LayTable[[Dato]:[Dato]],"&gt;="&amp;O$5,LayTable[[Dato]:[Dato]],"&lt;="&amp;EOMONTH(O$5,0),LayTable[[Bookmaker]:[Bookmaker]],$K26)+SUMIFS(BetTable[[AR_per_bookie]:[AR_per_bookie]],BetTable[[B1]:[B1]],$K26,BetTable[[Date]:[Date]], "&gt;="&amp;O$5,BetTable[[Date]:[Date]],"&lt;="&amp;EOMONTH(O$5,0))+SUMIFS(BetTable[[AR_per_bookie]:[AR_per_bookie]],BetTable[[B2]:[B2]],$K26,BetTable[[Date]:[Date]], "&gt;="&amp;O$5,BetTable[[Date]:[Date]],"&lt;="&amp;EOMONTH(O$5,0))+SUMIFS(BetTable[[AR_per_bookie]:[AR_per_bookie]],BetTable[[B3]:[B3]],$K26,BetTable[[Date]:[Date]], "&gt;="&amp;O$5,BetTable[[Date]:[Date]],"&lt;="&amp;EOMONTH(O$5,0))</f>
        <v>0</v>
      </c>
      <c r="P26" s="186">
        <f>SUMIFS(DWbonus[[Sum]:[Sum]],DWbonus[[Dato]:[Dato]], "&gt;="&amp;P$5,DWbonus[[Dato]:[Dato]],"&lt;="&amp;EOMONTH(P$5,0),DWbonus[[Bookie]:[Bookie]],$K26)+SUMIFS(LayTable[[Faktisk res]:[Faktisk res]],LayTable[[Dato]:[Dato]],"&gt;="&amp;P$5,LayTable[[Dato]:[Dato]],"&lt;="&amp;EOMONTH(P$5,0),LayTable[[Bookmaker]:[Bookmaker]],$K26)+SUMIFS(BetTable[[AR_per_bookie]:[AR_per_bookie]],BetTable[[B1]:[B1]],$K26,BetTable[[Date]:[Date]], "&gt;="&amp;P$5,BetTable[[Date]:[Date]],"&lt;="&amp;EOMONTH(P$5,0))+SUMIFS(BetTable[[AR_per_bookie]:[AR_per_bookie]],BetTable[[B2]:[B2]],$K26,BetTable[[Date]:[Date]], "&gt;="&amp;P$5,BetTable[[Date]:[Date]],"&lt;="&amp;EOMONTH(P$5,0))+SUMIFS(BetTable[[AR_per_bookie]:[AR_per_bookie]],BetTable[[B3]:[B3]],$K26,BetTable[[Date]:[Date]], "&gt;="&amp;P$5,BetTable[[Date]:[Date]],"&lt;="&amp;EOMONTH(P$5,0))</f>
        <v>0</v>
      </c>
      <c r="Q26" s="186">
        <f>SUMIFS(DWbonus[[Sum]:[Sum]],DWbonus[[Dato]:[Dato]], "&gt;="&amp;Q$5,DWbonus[[Dato]:[Dato]],"&lt;="&amp;EOMONTH(Q$5,0),DWbonus[[Bookie]:[Bookie]],$K26)+SUMIFS(LayTable[[Faktisk res]:[Faktisk res]],LayTable[[Dato]:[Dato]],"&gt;="&amp;Q$5,LayTable[[Dato]:[Dato]],"&lt;="&amp;EOMONTH(Q$5,0),LayTable[[Bookmaker]:[Bookmaker]],$K26)+SUMIFS(BetTable[[AR_per_bookie]:[AR_per_bookie]],BetTable[[B1]:[B1]],$K26,BetTable[[Date]:[Date]], "&gt;="&amp;Q$5,BetTable[[Date]:[Date]],"&lt;="&amp;EOMONTH(Q$5,0))+SUMIFS(BetTable[[AR_per_bookie]:[AR_per_bookie]],BetTable[[B2]:[B2]],$K26,BetTable[[Date]:[Date]], "&gt;="&amp;Q$5,BetTable[[Date]:[Date]],"&lt;="&amp;EOMONTH(Q$5,0))+SUMIFS(BetTable[[AR_per_bookie]:[AR_per_bookie]],BetTable[[B3]:[B3]],$K26,BetTable[[Date]:[Date]], "&gt;="&amp;Q$5,BetTable[[Date]:[Date]],"&lt;="&amp;EOMONTH(Q$5,0))</f>
        <v>0</v>
      </c>
      <c r="R26" s="186">
        <f>SUMIFS(DWbonus[[Sum]:[Sum]],DWbonus[[Dato]:[Dato]], "&gt;="&amp;R$5,DWbonus[[Dato]:[Dato]],"&lt;="&amp;EOMONTH(R$5,0),DWbonus[[Bookie]:[Bookie]],$K26)+SUMIFS(LayTable[[Faktisk res]:[Faktisk res]],LayTable[[Dato]:[Dato]],"&gt;="&amp;R$5,LayTable[[Dato]:[Dato]],"&lt;="&amp;EOMONTH(R$5,0),LayTable[[Bookmaker]:[Bookmaker]],$K26)+SUMIFS(BetTable[[AR_per_bookie]:[AR_per_bookie]],BetTable[[B1]:[B1]],$K26,BetTable[[Date]:[Date]], "&gt;="&amp;R$5,BetTable[[Date]:[Date]],"&lt;="&amp;EOMONTH(R$5,0))+SUMIFS(BetTable[[AR_per_bookie]:[AR_per_bookie]],BetTable[[B2]:[B2]],$K26,BetTable[[Date]:[Date]], "&gt;="&amp;R$5,BetTable[[Date]:[Date]],"&lt;="&amp;EOMONTH(R$5,0))+SUMIFS(BetTable[[AR_per_bookie]:[AR_per_bookie]],BetTable[[B3]:[B3]],$K26,BetTable[[Date]:[Date]], "&gt;="&amp;R$5,BetTable[[Date]:[Date]],"&lt;="&amp;EOMONTH(R$5,0))</f>
        <v>0</v>
      </c>
      <c r="S26" s="186">
        <f>SUMIFS(DWbonus[[Sum]:[Sum]],DWbonus[[Dato]:[Dato]], "&gt;="&amp;S$5,DWbonus[[Dato]:[Dato]],"&lt;="&amp;EOMONTH(S$5,0),DWbonus[[Bookie]:[Bookie]],$K26)+SUMIFS(LayTable[[Faktisk res]:[Faktisk res]],LayTable[[Dato]:[Dato]],"&gt;="&amp;S$5,LayTable[[Dato]:[Dato]],"&lt;="&amp;EOMONTH(S$5,0),LayTable[[Bookmaker]:[Bookmaker]],$K26)+SUMIFS(BetTable[[AR_per_bookie]:[AR_per_bookie]],BetTable[[B1]:[B1]],$K26,BetTable[[Date]:[Date]], "&gt;="&amp;S$5,BetTable[[Date]:[Date]],"&lt;="&amp;EOMONTH(S$5,0))+SUMIFS(BetTable[[AR_per_bookie]:[AR_per_bookie]],BetTable[[B2]:[B2]],$K26,BetTable[[Date]:[Date]], "&gt;="&amp;S$5,BetTable[[Date]:[Date]],"&lt;="&amp;EOMONTH(S$5,0))+SUMIFS(BetTable[[AR_per_bookie]:[AR_per_bookie]],BetTable[[B3]:[B3]],$K26,BetTable[[Date]:[Date]], "&gt;="&amp;S$5,BetTable[[Date]:[Date]],"&lt;="&amp;EOMONTH(S$5,0))</f>
        <v>0</v>
      </c>
      <c r="T26" s="186">
        <f>SUMIFS(DWbonus[[Sum]:[Sum]],DWbonus[[Dato]:[Dato]], "&gt;="&amp;T$5,DWbonus[[Dato]:[Dato]],"&lt;="&amp;EOMONTH(T$5,0),DWbonus[[Bookie]:[Bookie]],$K26)+SUMIFS(LayTable[[Faktisk res]:[Faktisk res]],LayTable[[Dato]:[Dato]],"&gt;="&amp;T$5,LayTable[[Dato]:[Dato]],"&lt;="&amp;EOMONTH(T$5,0),LayTable[[Bookmaker]:[Bookmaker]],$K26)+SUMIFS(BetTable[[AR_per_bookie]:[AR_per_bookie]],BetTable[[B1]:[B1]],$K26,BetTable[[Date]:[Date]], "&gt;="&amp;T$5,BetTable[[Date]:[Date]],"&lt;="&amp;EOMONTH(T$5,0))+SUMIFS(BetTable[[AR_per_bookie]:[AR_per_bookie]],BetTable[[B2]:[B2]],$K26,BetTable[[Date]:[Date]], "&gt;="&amp;T$5,BetTable[[Date]:[Date]],"&lt;="&amp;EOMONTH(T$5,0))+SUMIFS(BetTable[[AR_per_bookie]:[AR_per_bookie]],BetTable[[B3]:[B3]],$K26,BetTable[[Date]:[Date]], "&gt;="&amp;T$5,BetTable[[Date]:[Date]],"&lt;="&amp;EOMONTH(T$5,0))</f>
        <v>0</v>
      </c>
      <c r="U26" s="186">
        <f>SUMIFS(DWbonus[[Sum]:[Sum]],DWbonus[[Dato]:[Dato]], "&gt;="&amp;U$5,DWbonus[[Dato]:[Dato]],"&lt;="&amp;EOMONTH(U$5,0),DWbonus[[Bookie]:[Bookie]],$K26)+SUMIFS(LayTable[[Faktisk res]:[Faktisk res]],LayTable[[Dato]:[Dato]],"&gt;="&amp;U$5,LayTable[[Dato]:[Dato]],"&lt;="&amp;EOMONTH(U$5,0),LayTable[[Bookmaker]:[Bookmaker]],$K26)+SUMIFS(BetTable[[AR_per_bookie]:[AR_per_bookie]],BetTable[[B1]:[B1]],$K26,BetTable[[Date]:[Date]], "&gt;="&amp;U$5,BetTable[[Date]:[Date]],"&lt;="&amp;EOMONTH(U$5,0))+SUMIFS(BetTable[[AR_per_bookie]:[AR_per_bookie]],BetTable[[B2]:[B2]],$K26,BetTable[[Date]:[Date]], "&gt;="&amp;U$5,BetTable[[Date]:[Date]],"&lt;="&amp;EOMONTH(U$5,0))+SUMIFS(BetTable[[AR_per_bookie]:[AR_per_bookie]],BetTable[[B3]:[B3]],$K26,BetTable[[Date]:[Date]], "&gt;="&amp;U$5,BetTable[[Date]:[Date]],"&lt;="&amp;EOMONTH(U$5,0))</f>
        <v>0</v>
      </c>
      <c r="V26" s="186">
        <f>SUMIFS(DWbonus[[Sum]:[Sum]],DWbonus[[Dato]:[Dato]], "&gt;="&amp;V$5,DWbonus[[Dato]:[Dato]],"&lt;="&amp;EOMONTH(V$5,0),DWbonus[[Bookie]:[Bookie]],$K26)+SUMIFS(LayTable[[Faktisk res]:[Faktisk res]],LayTable[[Dato]:[Dato]],"&gt;="&amp;V$5,LayTable[[Dato]:[Dato]],"&lt;="&amp;EOMONTH(V$5,0),LayTable[[Bookmaker]:[Bookmaker]],$K26)+SUMIFS(BetTable[[AR_per_bookie]:[AR_per_bookie]],BetTable[[B1]:[B1]],$K26,BetTable[[Date]:[Date]], "&gt;="&amp;V$5,BetTable[[Date]:[Date]],"&lt;="&amp;EOMONTH(V$5,0))+SUMIFS(BetTable[[AR_per_bookie]:[AR_per_bookie]],BetTable[[B2]:[B2]],$K26,BetTable[[Date]:[Date]], "&gt;="&amp;V$5,BetTable[[Date]:[Date]],"&lt;="&amp;EOMONTH(V$5,0))+SUMIFS(BetTable[[AR_per_bookie]:[AR_per_bookie]],BetTable[[B3]:[B3]],$K26,BetTable[[Date]:[Date]], "&gt;="&amp;V$5,BetTable[[Date]:[Date]],"&lt;="&amp;EOMONTH(V$5,0))</f>
        <v>0</v>
      </c>
      <c r="W26" s="186">
        <f>SUMIFS(DWbonus[[Sum]:[Sum]],DWbonus[[Dato]:[Dato]], "&gt;="&amp;W$5,DWbonus[[Dato]:[Dato]],"&lt;="&amp;EOMONTH(W$5,0),DWbonus[[Bookie]:[Bookie]],$K26)+SUMIFS(LayTable[[Faktisk res]:[Faktisk res]],LayTable[[Dato]:[Dato]],"&gt;="&amp;W$5,LayTable[[Dato]:[Dato]],"&lt;="&amp;EOMONTH(W$5,0),LayTable[[Bookmaker]:[Bookmaker]],$K26)+SUMIFS(BetTable[[AR_per_bookie]:[AR_per_bookie]],BetTable[[B1]:[B1]],$K26,BetTable[[Date]:[Date]], "&gt;="&amp;W$5,BetTable[[Date]:[Date]],"&lt;="&amp;EOMONTH(W$5,0))+SUMIFS(BetTable[[AR_per_bookie]:[AR_per_bookie]],BetTable[[B2]:[B2]],$K26,BetTable[[Date]:[Date]], "&gt;="&amp;W$5,BetTable[[Date]:[Date]],"&lt;="&amp;EOMONTH(W$5,0))+SUMIFS(BetTable[[AR_per_bookie]:[AR_per_bookie]],BetTable[[B3]:[B3]],$K26,BetTable[[Date]:[Date]], "&gt;="&amp;W$5,BetTable[[Date]:[Date]],"&lt;="&amp;EOMONTH(W$5,0))</f>
        <v>0</v>
      </c>
    </row>
    <row r="27" spans="1:23">
      <c r="K27" s="174" t="str">
        <f t="array" ref="K27">IFERROR(INDEX(BookieNavn!H$2:H$1251,SMALL(IF(EXACT(LEFT(BookieNavn!H$2:H$1251,2),M$3),ROW(BookieNavn!H$2:H$1251)-ROW(BookieNavn!H$2)+1),ROWS(BookieNavn!H$2:'BookieNavn'!H22))),"")</f>
        <v/>
      </c>
      <c r="L27" s="186">
        <f>SUMIFS(DWbonus[[Sum]:[Sum]],DWbonus[[Dato]:[Dato]], "&gt;="&amp;L$5,DWbonus[[Dato]:[Dato]],"&lt;="&amp;EOMONTH(L$5,0),DWbonus[[Bookie]:[Bookie]],$K27)+SUMIFS(LayTable[[Faktisk res]:[Faktisk res]],LayTable[[Dato]:[Dato]],"&gt;="&amp;L$5,LayTable[[Dato]:[Dato]],"&lt;="&amp;EOMONTH(L$5,0),LayTable[[Bookmaker]:[Bookmaker]],$K27)+SUMIFS(BetTable[[AR_per_bookie]:[AR_per_bookie]],BetTable[[B1]:[B1]],$K27,BetTable[[Date]:[Date]], "&gt;="&amp;L$5,BetTable[[Date]:[Date]],"&lt;="&amp;EOMONTH(L$5,0))+SUMIFS(BetTable[[AR_per_bookie]:[AR_per_bookie]],BetTable[[B2]:[B2]],$K27,BetTable[[Date]:[Date]], "&gt;="&amp;L$5,BetTable[[Date]:[Date]],"&lt;="&amp;EOMONTH(L$5,0))+SUMIFS(BetTable[[AR_per_bookie]:[AR_per_bookie]],BetTable[[B3]:[B3]],$K27,BetTable[[Date]:[Date]], "&gt;="&amp;L$5,BetTable[[Date]:[Date]],"&lt;="&amp;EOMONTH(L$5,0))</f>
        <v>0</v>
      </c>
      <c r="M27" s="186">
        <f>SUMIFS(DWbonus[[Sum]:[Sum]],DWbonus[[Dato]:[Dato]], "&gt;="&amp;M$5,DWbonus[[Dato]:[Dato]],"&lt;="&amp;EOMONTH(M$5,0),DWbonus[[Bookie]:[Bookie]],$K27)+SUMIFS(LayTable[[Faktisk res]:[Faktisk res]],LayTable[[Dato]:[Dato]],"&gt;="&amp;M$5,LayTable[[Dato]:[Dato]],"&lt;="&amp;EOMONTH(M$5,0),LayTable[[Bookmaker]:[Bookmaker]],$K27)+SUMIFS(BetTable[[AR_per_bookie]:[AR_per_bookie]],BetTable[[B1]:[B1]],$K27,BetTable[[Date]:[Date]], "&gt;="&amp;M$5,BetTable[[Date]:[Date]],"&lt;="&amp;EOMONTH(M$5,0))+SUMIFS(BetTable[[AR_per_bookie]:[AR_per_bookie]],BetTable[[B2]:[B2]],$K27,BetTable[[Date]:[Date]], "&gt;="&amp;M$5,BetTable[[Date]:[Date]],"&lt;="&amp;EOMONTH(M$5,0))+SUMIFS(BetTable[[AR_per_bookie]:[AR_per_bookie]],BetTable[[B3]:[B3]],$K27,BetTable[[Date]:[Date]], "&gt;="&amp;M$5,BetTable[[Date]:[Date]],"&lt;="&amp;EOMONTH(M$5,0))</f>
        <v>0</v>
      </c>
      <c r="N27" s="186">
        <f>SUMIFS(DWbonus[[Sum]:[Sum]],DWbonus[[Dato]:[Dato]], "&gt;="&amp;N$5,DWbonus[[Dato]:[Dato]],"&lt;="&amp;EOMONTH(N$5,0),DWbonus[[Bookie]:[Bookie]],$K27)+SUMIFS(LayTable[[Faktisk res]:[Faktisk res]],LayTable[[Dato]:[Dato]],"&gt;="&amp;N$5,LayTable[[Dato]:[Dato]],"&lt;="&amp;EOMONTH(N$5,0),LayTable[[Bookmaker]:[Bookmaker]],$K27)+SUMIFS(BetTable[[AR_per_bookie]:[AR_per_bookie]],BetTable[[B1]:[B1]],$K27,BetTable[[Date]:[Date]], "&gt;="&amp;N$5,BetTable[[Date]:[Date]],"&lt;="&amp;EOMONTH(N$5,0))+SUMIFS(BetTable[[AR_per_bookie]:[AR_per_bookie]],BetTable[[B2]:[B2]],$K27,BetTable[[Date]:[Date]], "&gt;="&amp;N$5,BetTable[[Date]:[Date]],"&lt;="&amp;EOMONTH(N$5,0))+SUMIFS(BetTable[[AR_per_bookie]:[AR_per_bookie]],BetTable[[B3]:[B3]],$K27,BetTable[[Date]:[Date]], "&gt;="&amp;N$5,BetTable[[Date]:[Date]],"&lt;="&amp;EOMONTH(N$5,0))</f>
        <v>0</v>
      </c>
      <c r="O27" s="186">
        <f>SUMIFS(DWbonus[[Sum]:[Sum]],DWbonus[[Dato]:[Dato]], "&gt;="&amp;O$5,DWbonus[[Dato]:[Dato]],"&lt;="&amp;EOMONTH(O$5,0),DWbonus[[Bookie]:[Bookie]],$K27)+SUMIFS(LayTable[[Faktisk res]:[Faktisk res]],LayTable[[Dato]:[Dato]],"&gt;="&amp;O$5,LayTable[[Dato]:[Dato]],"&lt;="&amp;EOMONTH(O$5,0),LayTable[[Bookmaker]:[Bookmaker]],$K27)+SUMIFS(BetTable[[AR_per_bookie]:[AR_per_bookie]],BetTable[[B1]:[B1]],$K27,BetTable[[Date]:[Date]], "&gt;="&amp;O$5,BetTable[[Date]:[Date]],"&lt;="&amp;EOMONTH(O$5,0))+SUMIFS(BetTable[[AR_per_bookie]:[AR_per_bookie]],BetTable[[B2]:[B2]],$K27,BetTable[[Date]:[Date]], "&gt;="&amp;O$5,BetTable[[Date]:[Date]],"&lt;="&amp;EOMONTH(O$5,0))+SUMIFS(BetTable[[AR_per_bookie]:[AR_per_bookie]],BetTable[[B3]:[B3]],$K27,BetTable[[Date]:[Date]], "&gt;="&amp;O$5,BetTable[[Date]:[Date]],"&lt;="&amp;EOMONTH(O$5,0))</f>
        <v>0</v>
      </c>
      <c r="P27" s="186">
        <f>SUMIFS(DWbonus[[Sum]:[Sum]],DWbonus[[Dato]:[Dato]], "&gt;="&amp;P$5,DWbonus[[Dato]:[Dato]],"&lt;="&amp;EOMONTH(P$5,0),DWbonus[[Bookie]:[Bookie]],$K27)+SUMIFS(LayTable[[Faktisk res]:[Faktisk res]],LayTable[[Dato]:[Dato]],"&gt;="&amp;P$5,LayTable[[Dato]:[Dato]],"&lt;="&amp;EOMONTH(P$5,0),LayTable[[Bookmaker]:[Bookmaker]],$K27)+SUMIFS(BetTable[[AR_per_bookie]:[AR_per_bookie]],BetTable[[B1]:[B1]],$K27,BetTable[[Date]:[Date]], "&gt;="&amp;P$5,BetTable[[Date]:[Date]],"&lt;="&amp;EOMONTH(P$5,0))+SUMIFS(BetTable[[AR_per_bookie]:[AR_per_bookie]],BetTable[[B2]:[B2]],$K27,BetTable[[Date]:[Date]], "&gt;="&amp;P$5,BetTable[[Date]:[Date]],"&lt;="&amp;EOMONTH(P$5,0))+SUMIFS(BetTable[[AR_per_bookie]:[AR_per_bookie]],BetTable[[B3]:[B3]],$K27,BetTable[[Date]:[Date]], "&gt;="&amp;P$5,BetTable[[Date]:[Date]],"&lt;="&amp;EOMONTH(P$5,0))</f>
        <v>0</v>
      </c>
      <c r="Q27" s="186">
        <f>SUMIFS(DWbonus[[Sum]:[Sum]],DWbonus[[Dato]:[Dato]], "&gt;="&amp;Q$5,DWbonus[[Dato]:[Dato]],"&lt;="&amp;EOMONTH(Q$5,0),DWbonus[[Bookie]:[Bookie]],$K27)+SUMIFS(LayTable[[Faktisk res]:[Faktisk res]],LayTable[[Dato]:[Dato]],"&gt;="&amp;Q$5,LayTable[[Dato]:[Dato]],"&lt;="&amp;EOMONTH(Q$5,0),LayTable[[Bookmaker]:[Bookmaker]],$K27)+SUMIFS(BetTable[[AR_per_bookie]:[AR_per_bookie]],BetTable[[B1]:[B1]],$K27,BetTable[[Date]:[Date]], "&gt;="&amp;Q$5,BetTable[[Date]:[Date]],"&lt;="&amp;EOMONTH(Q$5,0))+SUMIFS(BetTable[[AR_per_bookie]:[AR_per_bookie]],BetTable[[B2]:[B2]],$K27,BetTable[[Date]:[Date]], "&gt;="&amp;Q$5,BetTable[[Date]:[Date]],"&lt;="&amp;EOMONTH(Q$5,0))+SUMIFS(BetTable[[AR_per_bookie]:[AR_per_bookie]],BetTable[[B3]:[B3]],$K27,BetTable[[Date]:[Date]], "&gt;="&amp;Q$5,BetTable[[Date]:[Date]],"&lt;="&amp;EOMONTH(Q$5,0))</f>
        <v>0</v>
      </c>
      <c r="R27" s="186">
        <f>SUMIFS(DWbonus[[Sum]:[Sum]],DWbonus[[Dato]:[Dato]], "&gt;="&amp;R$5,DWbonus[[Dato]:[Dato]],"&lt;="&amp;EOMONTH(R$5,0),DWbonus[[Bookie]:[Bookie]],$K27)+SUMIFS(LayTable[[Faktisk res]:[Faktisk res]],LayTable[[Dato]:[Dato]],"&gt;="&amp;R$5,LayTable[[Dato]:[Dato]],"&lt;="&amp;EOMONTH(R$5,0),LayTable[[Bookmaker]:[Bookmaker]],$K27)+SUMIFS(BetTable[[AR_per_bookie]:[AR_per_bookie]],BetTable[[B1]:[B1]],$K27,BetTable[[Date]:[Date]], "&gt;="&amp;R$5,BetTable[[Date]:[Date]],"&lt;="&amp;EOMONTH(R$5,0))+SUMIFS(BetTable[[AR_per_bookie]:[AR_per_bookie]],BetTable[[B2]:[B2]],$K27,BetTable[[Date]:[Date]], "&gt;="&amp;R$5,BetTable[[Date]:[Date]],"&lt;="&amp;EOMONTH(R$5,0))+SUMIFS(BetTable[[AR_per_bookie]:[AR_per_bookie]],BetTable[[B3]:[B3]],$K27,BetTable[[Date]:[Date]], "&gt;="&amp;R$5,BetTable[[Date]:[Date]],"&lt;="&amp;EOMONTH(R$5,0))</f>
        <v>0</v>
      </c>
      <c r="S27" s="186">
        <f>SUMIFS(DWbonus[[Sum]:[Sum]],DWbonus[[Dato]:[Dato]], "&gt;="&amp;S$5,DWbonus[[Dato]:[Dato]],"&lt;="&amp;EOMONTH(S$5,0),DWbonus[[Bookie]:[Bookie]],$K27)+SUMIFS(LayTable[[Faktisk res]:[Faktisk res]],LayTable[[Dato]:[Dato]],"&gt;="&amp;S$5,LayTable[[Dato]:[Dato]],"&lt;="&amp;EOMONTH(S$5,0),LayTable[[Bookmaker]:[Bookmaker]],$K27)+SUMIFS(BetTable[[AR_per_bookie]:[AR_per_bookie]],BetTable[[B1]:[B1]],$K27,BetTable[[Date]:[Date]], "&gt;="&amp;S$5,BetTable[[Date]:[Date]],"&lt;="&amp;EOMONTH(S$5,0))+SUMIFS(BetTable[[AR_per_bookie]:[AR_per_bookie]],BetTable[[B2]:[B2]],$K27,BetTable[[Date]:[Date]], "&gt;="&amp;S$5,BetTable[[Date]:[Date]],"&lt;="&amp;EOMONTH(S$5,0))+SUMIFS(BetTable[[AR_per_bookie]:[AR_per_bookie]],BetTable[[B3]:[B3]],$K27,BetTable[[Date]:[Date]], "&gt;="&amp;S$5,BetTable[[Date]:[Date]],"&lt;="&amp;EOMONTH(S$5,0))</f>
        <v>0</v>
      </c>
      <c r="T27" s="186">
        <f>SUMIFS(DWbonus[[Sum]:[Sum]],DWbonus[[Dato]:[Dato]], "&gt;="&amp;T$5,DWbonus[[Dato]:[Dato]],"&lt;="&amp;EOMONTH(T$5,0),DWbonus[[Bookie]:[Bookie]],$K27)+SUMIFS(LayTable[[Faktisk res]:[Faktisk res]],LayTable[[Dato]:[Dato]],"&gt;="&amp;T$5,LayTable[[Dato]:[Dato]],"&lt;="&amp;EOMONTH(T$5,0),LayTable[[Bookmaker]:[Bookmaker]],$K27)+SUMIFS(BetTable[[AR_per_bookie]:[AR_per_bookie]],BetTable[[B1]:[B1]],$K27,BetTable[[Date]:[Date]], "&gt;="&amp;T$5,BetTable[[Date]:[Date]],"&lt;="&amp;EOMONTH(T$5,0))+SUMIFS(BetTable[[AR_per_bookie]:[AR_per_bookie]],BetTable[[B2]:[B2]],$K27,BetTable[[Date]:[Date]], "&gt;="&amp;T$5,BetTable[[Date]:[Date]],"&lt;="&amp;EOMONTH(T$5,0))+SUMIFS(BetTable[[AR_per_bookie]:[AR_per_bookie]],BetTable[[B3]:[B3]],$K27,BetTable[[Date]:[Date]], "&gt;="&amp;T$5,BetTable[[Date]:[Date]],"&lt;="&amp;EOMONTH(T$5,0))</f>
        <v>0</v>
      </c>
      <c r="U27" s="186">
        <f>SUMIFS(DWbonus[[Sum]:[Sum]],DWbonus[[Dato]:[Dato]], "&gt;="&amp;U$5,DWbonus[[Dato]:[Dato]],"&lt;="&amp;EOMONTH(U$5,0),DWbonus[[Bookie]:[Bookie]],$K27)+SUMIFS(LayTable[[Faktisk res]:[Faktisk res]],LayTable[[Dato]:[Dato]],"&gt;="&amp;U$5,LayTable[[Dato]:[Dato]],"&lt;="&amp;EOMONTH(U$5,0),LayTable[[Bookmaker]:[Bookmaker]],$K27)+SUMIFS(BetTable[[AR_per_bookie]:[AR_per_bookie]],BetTable[[B1]:[B1]],$K27,BetTable[[Date]:[Date]], "&gt;="&amp;U$5,BetTable[[Date]:[Date]],"&lt;="&amp;EOMONTH(U$5,0))+SUMIFS(BetTable[[AR_per_bookie]:[AR_per_bookie]],BetTable[[B2]:[B2]],$K27,BetTable[[Date]:[Date]], "&gt;="&amp;U$5,BetTable[[Date]:[Date]],"&lt;="&amp;EOMONTH(U$5,0))+SUMIFS(BetTable[[AR_per_bookie]:[AR_per_bookie]],BetTable[[B3]:[B3]],$K27,BetTable[[Date]:[Date]], "&gt;="&amp;U$5,BetTable[[Date]:[Date]],"&lt;="&amp;EOMONTH(U$5,0))</f>
        <v>0</v>
      </c>
      <c r="V27" s="186">
        <f>SUMIFS(DWbonus[[Sum]:[Sum]],DWbonus[[Dato]:[Dato]], "&gt;="&amp;V$5,DWbonus[[Dato]:[Dato]],"&lt;="&amp;EOMONTH(V$5,0),DWbonus[[Bookie]:[Bookie]],$K27)+SUMIFS(LayTable[[Faktisk res]:[Faktisk res]],LayTable[[Dato]:[Dato]],"&gt;="&amp;V$5,LayTable[[Dato]:[Dato]],"&lt;="&amp;EOMONTH(V$5,0),LayTable[[Bookmaker]:[Bookmaker]],$K27)+SUMIFS(BetTable[[AR_per_bookie]:[AR_per_bookie]],BetTable[[B1]:[B1]],$K27,BetTable[[Date]:[Date]], "&gt;="&amp;V$5,BetTable[[Date]:[Date]],"&lt;="&amp;EOMONTH(V$5,0))+SUMIFS(BetTable[[AR_per_bookie]:[AR_per_bookie]],BetTable[[B2]:[B2]],$K27,BetTable[[Date]:[Date]], "&gt;="&amp;V$5,BetTable[[Date]:[Date]],"&lt;="&amp;EOMONTH(V$5,0))+SUMIFS(BetTable[[AR_per_bookie]:[AR_per_bookie]],BetTable[[B3]:[B3]],$K27,BetTable[[Date]:[Date]], "&gt;="&amp;V$5,BetTable[[Date]:[Date]],"&lt;="&amp;EOMONTH(V$5,0))</f>
        <v>0</v>
      </c>
      <c r="W27" s="186">
        <f>SUMIFS(DWbonus[[Sum]:[Sum]],DWbonus[[Dato]:[Dato]], "&gt;="&amp;W$5,DWbonus[[Dato]:[Dato]],"&lt;="&amp;EOMONTH(W$5,0),DWbonus[[Bookie]:[Bookie]],$K27)+SUMIFS(LayTable[[Faktisk res]:[Faktisk res]],LayTable[[Dato]:[Dato]],"&gt;="&amp;W$5,LayTable[[Dato]:[Dato]],"&lt;="&amp;EOMONTH(W$5,0),LayTable[[Bookmaker]:[Bookmaker]],$K27)+SUMIFS(BetTable[[AR_per_bookie]:[AR_per_bookie]],BetTable[[B1]:[B1]],$K27,BetTable[[Date]:[Date]], "&gt;="&amp;W$5,BetTable[[Date]:[Date]],"&lt;="&amp;EOMONTH(W$5,0))+SUMIFS(BetTable[[AR_per_bookie]:[AR_per_bookie]],BetTable[[B2]:[B2]],$K27,BetTable[[Date]:[Date]], "&gt;="&amp;W$5,BetTable[[Date]:[Date]],"&lt;="&amp;EOMONTH(W$5,0))+SUMIFS(BetTable[[AR_per_bookie]:[AR_per_bookie]],BetTable[[B3]:[B3]],$K27,BetTable[[Date]:[Date]], "&gt;="&amp;W$5,BetTable[[Date]:[Date]],"&lt;="&amp;EOMONTH(W$5,0))</f>
        <v>0</v>
      </c>
    </row>
    <row r="28" spans="1:23">
      <c r="K28" s="174" t="str">
        <f t="array" ref="K28">IFERROR(INDEX(BookieNavn!H$2:H$1251,SMALL(IF(EXACT(LEFT(BookieNavn!H$2:H$1251,2),M$3),ROW(BookieNavn!H$2:H$1251)-ROW(BookieNavn!H$2)+1),ROWS(BookieNavn!H$2:'BookieNavn'!H23))),"")</f>
        <v/>
      </c>
      <c r="L28" s="186">
        <f>SUMIFS(DWbonus[[Sum]:[Sum]],DWbonus[[Dato]:[Dato]], "&gt;="&amp;L$5,DWbonus[[Dato]:[Dato]],"&lt;="&amp;EOMONTH(L$5,0),DWbonus[[Bookie]:[Bookie]],$K28)+SUMIFS(LayTable[[Faktisk res]:[Faktisk res]],LayTable[[Dato]:[Dato]],"&gt;="&amp;L$5,LayTable[[Dato]:[Dato]],"&lt;="&amp;EOMONTH(L$5,0),LayTable[[Bookmaker]:[Bookmaker]],$K28)+SUMIFS(BetTable[[AR_per_bookie]:[AR_per_bookie]],BetTable[[B1]:[B1]],$K28,BetTable[[Date]:[Date]], "&gt;="&amp;L$5,BetTable[[Date]:[Date]],"&lt;="&amp;EOMONTH(L$5,0))+SUMIFS(BetTable[[AR_per_bookie]:[AR_per_bookie]],BetTable[[B2]:[B2]],$K28,BetTable[[Date]:[Date]], "&gt;="&amp;L$5,BetTable[[Date]:[Date]],"&lt;="&amp;EOMONTH(L$5,0))+SUMIFS(BetTable[[AR_per_bookie]:[AR_per_bookie]],BetTable[[B3]:[B3]],$K28,BetTable[[Date]:[Date]], "&gt;="&amp;L$5,BetTable[[Date]:[Date]],"&lt;="&amp;EOMONTH(L$5,0))</f>
        <v>0</v>
      </c>
      <c r="M28" s="186">
        <f>SUMIFS(DWbonus[[Sum]:[Sum]],DWbonus[[Dato]:[Dato]], "&gt;="&amp;M$5,DWbonus[[Dato]:[Dato]],"&lt;="&amp;EOMONTH(M$5,0),DWbonus[[Bookie]:[Bookie]],$K28)+SUMIFS(LayTable[[Faktisk res]:[Faktisk res]],LayTable[[Dato]:[Dato]],"&gt;="&amp;M$5,LayTable[[Dato]:[Dato]],"&lt;="&amp;EOMONTH(M$5,0),LayTable[[Bookmaker]:[Bookmaker]],$K28)+SUMIFS(BetTable[[AR_per_bookie]:[AR_per_bookie]],BetTable[[B1]:[B1]],$K28,BetTable[[Date]:[Date]], "&gt;="&amp;M$5,BetTable[[Date]:[Date]],"&lt;="&amp;EOMONTH(M$5,0))+SUMIFS(BetTable[[AR_per_bookie]:[AR_per_bookie]],BetTable[[B2]:[B2]],$K28,BetTable[[Date]:[Date]], "&gt;="&amp;M$5,BetTable[[Date]:[Date]],"&lt;="&amp;EOMONTH(M$5,0))+SUMIFS(BetTable[[AR_per_bookie]:[AR_per_bookie]],BetTable[[B3]:[B3]],$K28,BetTable[[Date]:[Date]], "&gt;="&amp;M$5,BetTable[[Date]:[Date]],"&lt;="&amp;EOMONTH(M$5,0))</f>
        <v>0</v>
      </c>
      <c r="N28" s="186">
        <f>SUMIFS(DWbonus[[Sum]:[Sum]],DWbonus[[Dato]:[Dato]], "&gt;="&amp;N$5,DWbonus[[Dato]:[Dato]],"&lt;="&amp;EOMONTH(N$5,0),DWbonus[[Bookie]:[Bookie]],$K28)+SUMIFS(LayTable[[Faktisk res]:[Faktisk res]],LayTable[[Dato]:[Dato]],"&gt;="&amp;N$5,LayTable[[Dato]:[Dato]],"&lt;="&amp;EOMONTH(N$5,0),LayTable[[Bookmaker]:[Bookmaker]],$K28)+SUMIFS(BetTable[[AR_per_bookie]:[AR_per_bookie]],BetTable[[B1]:[B1]],$K28,BetTable[[Date]:[Date]], "&gt;="&amp;N$5,BetTable[[Date]:[Date]],"&lt;="&amp;EOMONTH(N$5,0))+SUMIFS(BetTable[[AR_per_bookie]:[AR_per_bookie]],BetTable[[B2]:[B2]],$K28,BetTable[[Date]:[Date]], "&gt;="&amp;N$5,BetTable[[Date]:[Date]],"&lt;="&amp;EOMONTH(N$5,0))+SUMIFS(BetTable[[AR_per_bookie]:[AR_per_bookie]],BetTable[[B3]:[B3]],$K28,BetTable[[Date]:[Date]], "&gt;="&amp;N$5,BetTable[[Date]:[Date]],"&lt;="&amp;EOMONTH(N$5,0))</f>
        <v>0</v>
      </c>
      <c r="O28" s="186">
        <f>SUMIFS(DWbonus[[Sum]:[Sum]],DWbonus[[Dato]:[Dato]], "&gt;="&amp;O$5,DWbonus[[Dato]:[Dato]],"&lt;="&amp;EOMONTH(O$5,0),DWbonus[[Bookie]:[Bookie]],$K28)+SUMIFS(LayTable[[Faktisk res]:[Faktisk res]],LayTable[[Dato]:[Dato]],"&gt;="&amp;O$5,LayTable[[Dato]:[Dato]],"&lt;="&amp;EOMONTH(O$5,0),LayTable[[Bookmaker]:[Bookmaker]],$K28)+SUMIFS(BetTable[[AR_per_bookie]:[AR_per_bookie]],BetTable[[B1]:[B1]],$K28,BetTable[[Date]:[Date]], "&gt;="&amp;O$5,BetTable[[Date]:[Date]],"&lt;="&amp;EOMONTH(O$5,0))+SUMIFS(BetTable[[AR_per_bookie]:[AR_per_bookie]],BetTable[[B2]:[B2]],$K28,BetTable[[Date]:[Date]], "&gt;="&amp;O$5,BetTable[[Date]:[Date]],"&lt;="&amp;EOMONTH(O$5,0))+SUMIFS(BetTable[[AR_per_bookie]:[AR_per_bookie]],BetTable[[B3]:[B3]],$K28,BetTable[[Date]:[Date]], "&gt;="&amp;O$5,BetTable[[Date]:[Date]],"&lt;="&amp;EOMONTH(O$5,0))</f>
        <v>0</v>
      </c>
      <c r="P28" s="186">
        <f>SUMIFS(DWbonus[[Sum]:[Sum]],DWbonus[[Dato]:[Dato]], "&gt;="&amp;P$5,DWbonus[[Dato]:[Dato]],"&lt;="&amp;EOMONTH(P$5,0),DWbonus[[Bookie]:[Bookie]],$K28)+SUMIFS(LayTable[[Faktisk res]:[Faktisk res]],LayTable[[Dato]:[Dato]],"&gt;="&amp;P$5,LayTable[[Dato]:[Dato]],"&lt;="&amp;EOMONTH(P$5,0),LayTable[[Bookmaker]:[Bookmaker]],$K28)+SUMIFS(BetTable[[AR_per_bookie]:[AR_per_bookie]],BetTable[[B1]:[B1]],$K28,BetTable[[Date]:[Date]], "&gt;="&amp;P$5,BetTable[[Date]:[Date]],"&lt;="&amp;EOMONTH(P$5,0))+SUMIFS(BetTable[[AR_per_bookie]:[AR_per_bookie]],BetTable[[B2]:[B2]],$K28,BetTable[[Date]:[Date]], "&gt;="&amp;P$5,BetTable[[Date]:[Date]],"&lt;="&amp;EOMONTH(P$5,0))+SUMIFS(BetTable[[AR_per_bookie]:[AR_per_bookie]],BetTable[[B3]:[B3]],$K28,BetTable[[Date]:[Date]], "&gt;="&amp;P$5,BetTable[[Date]:[Date]],"&lt;="&amp;EOMONTH(P$5,0))</f>
        <v>0</v>
      </c>
      <c r="Q28" s="186">
        <f>SUMIFS(DWbonus[[Sum]:[Sum]],DWbonus[[Dato]:[Dato]], "&gt;="&amp;Q$5,DWbonus[[Dato]:[Dato]],"&lt;="&amp;EOMONTH(Q$5,0),DWbonus[[Bookie]:[Bookie]],$K28)+SUMIFS(LayTable[[Faktisk res]:[Faktisk res]],LayTable[[Dato]:[Dato]],"&gt;="&amp;Q$5,LayTable[[Dato]:[Dato]],"&lt;="&amp;EOMONTH(Q$5,0),LayTable[[Bookmaker]:[Bookmaker]],$K28)+SUMIFS(BetTable[[AR_per_bookie]:[AR_per_bookie]],BetTable[[B1]:[B1]],$K28,BetTable[[Date]:[Date]], "&gt;="&amp;Q$5,BetTable[[Date]:[Date]],"&lt;="&amp;EOMONTH(Q$5,0))+SUMIFS(BetTable[[AR_per_bookie]:[AR_per_bookie]],BetTable[[B2]:[B2]],$K28,BetTable[[Date]:[Date]], "&gt;="&amp;Q$5,BetTable[[Date]:[Date]],"&lt;="&amp;EOMONTH(Q$5,0))+SUMIFS(BetTable[[AR_per_bookie]:[AR_per_bookie]],BetTable[[B3]:[B3]],$K28,BetTable[[Date]:[Date]], "&gt;="&amp;Q$5,BetTable[[Date]:[Date]],"&lt;="&amp;EOMONTH(Q$5,0))</f>
        <v>0</v>
      </c>
      <c r="R28" s="186">
        <f>SUMIFS(DWbonus[[Sum]:[Sum]],DWbonus[[Dato]:[Dato]], "&gt;="&amp;R$5,DWbonus[[Dato]:[Dato]],"&lt;="&amp;EOMONTH(R$5,0),DWbonus[[Bookie]:[Bookie]],$K28)+SUMIFS(LayTable[[Faktisk res]:[Faktisk res]],LayTable[[Dato]:[Dato]],"&gt;="&amp;R$5,LayTable[[Dato]:[Dato]],"&lt;="&amp;EOMONTH(R$5,0),LayTable[[Bookmaker]:[Bookmaker]],$K28)+SUMIFS(BetTable[[AR_per_bookie]:[AR_per_bookie]],BetTable[[B1]:[B1]],$K28,BetTable[[Date]:[Date]], "&gt;="&amp;R$5,BetTable[[Date]:[Date]],"&lt;="&amp;EOMONTH(R$5,0))+SUMIFS(BetTable[[AR_per_bookie]:[AR_per_bookie]],BetTable[[B2]:[B2]],$K28,BetTable[[Date]:[Date]], "&gt;="&amp;R$5,BetTable[[Date]:[Date]],"&lt;="&amp;EOMONTH(R$5,0))+SUMIFS(BetTable[[AR_per_bookie]:[AR_per_bookie]],BetTable[[B3]:[B3]],$K28,BetTable[[Date]:[Date]], "&gt;="&amp;R$5,BetTable[[Date]:[Date]],"&lt;="&amp;EOMONTH(R$5,0))</f>
        <v>0</v>
      </c>
      <c r="S28" s="186">
        <f>SUMIFS(DWbonus[[Sum]:[Sum]],DWbonus[[Dato]:[Dato]], "&gt;="&amp;S$5,DWbonus[[Dato]:[Dato]],"&lt;="&amp;EOMONTH(S$5,0),DWbonus[[Bookie]:[Bookie]],$K28)+SUMIFS(LayTable[[Faktisk res]:[Faktisk res]],LayTable[[Dato]:[Dato]],"&gt;="&amp;S$5,LayTable[[Dato]:[Dato]],"&lt;="&amp;EOMONTH(S$5,0),LayTable[[Bookmaker]:[Bookmaker]],$K28)+SUMIFS(BetTable[[AR_per_bookie]:[AR_per_bookie]],BetTable[[B1]:[B1]],$K28,BetTable[[Date]:[Date]], "&gt;="&amp;S$5,BetTable[[Date]:[Date]],"&lt;="&amp;EOMONTH(S$5,0))+SUMIFS(BetTable[[AR_per_bookie]:[AR_per_bookie]],BetTable[[B2]:[B2]],$K28,BetTable[[Date]:[Date]], "&gt;="&amp;S$5,BetTable[[Date]:[Date]],"&lt;="&amp;EOMONTH(S$5,0))+SUMIFS(BetTable[[AR_per_bookie]:[AR_per_bookie]],BetTable[[B3]:[B3]],$K28,BetTable[[Date]:[Date]], "&gt;="&amp;S$5,BetTable[[Date]:[Date]],"&lt;="&amp;EOMONTH(S$5,0))</f>
        <v>0</v>
      </c>
      <c r="T28" s="186">
        <f>SUMIFS(DWbonus[[Sum]:[Sum]],DWbonus[[Dato]:[Dato]], "&gt;="&amp;T$5,DWbonus[[Dato]:[Dato]],"&lt;="&amp;EOMONTH(T$5,0),DWbonus[[Bookie]:[Bookie]],$K28)+SUMIFS(LayTable[[Faktisk res]:[Faktisk res]],LayTable[[Dato]:[Dato]],"&gt;="&amp;T$5,LayTable[[Dato]:[Dato]],"&lt;="&amp;EOMONTH(T$5,0),LayTable[[Bookmaker]:[Bookmaker]],$K28)+SUMIFS(BetTable[[AR_per_bookie]:[AR_per_bookie]],BetTable[[B1]:[B1]],$K28,BetTable[[Date]:[Date]], "&gt;="&amp;T$5,BetTable[[Date]:[Date]],"&lt;="&amp;EOMONTH(T$5,0))+SUMIFS(BetTable[[AR_per_bookie]:[AR_per_bookie]],BetTable[[B2]:[B2]],$K28,BetTable[[Date]:[Date]], "&gt;="&amp;T$5,BetTable[[Date]:[Date]],"&lt;="&amp;EOMONTH(T$5,0))+SUMIFS(BetTable[[AR_per_bookie]:[AR_per_bookie]],BetTable[[B3]:[B3]],$K28,BetTable[[Date]:[Date]], "&gt;="&amp;T$5,BetTable[[Date]:[Date]],"&lt;="&amp;EOMONTH(T$5,0))</f>
        <v>0</v>
      </c>
      <c r="U28" s="186">
        <f>SUMIFS(DWbonus[[Sum]:[Sum]],DWbonus[[Dato]:[Dato]], "&gt;="&amp;U$5,DWbonus[[Dato]:[Dato]],"&lt;="&amp;EOMONTH(U$5,0),DWbonus[[Bookie]:[Bookie]],$K28)+SUMIFS(LayTable[[Faktisk res]:[Faktisk res]],LayTable[[Dato]:[Dato]],"&gt;="&amp;U$5,LayTable[[Dato]:[Dato]],"&lt;="&amp;EOMONTH(U$5,0),LayTable[[Bookmaker]:[Bookmaker]],$K28)+SUMIFS(BetTable[[AR_per_bookie]:[AR_per_bookie]],BetTable[[B1]:[B1]],$K28,BetTable[[Date]:[Date]], "&gt;="&amp;U$5,BetTable[[Date]:[Date]],"&lt;="&amp;EOMONTH(U$5,0))+SUMIFS(BetTable[[AR_per_bookie]:[AR_per_bookie]],BetTable[[B2]:[B2]],$K28,BetTable[[Date]:[Date]], "&gt;="&amp;U$5,BetTable[[Date]:[Date]],"&lt;="&amp;EOMONTH(U$5,0))+SUMIFS(BetTable[[AR_per_bookie]:[AR_per_bookie]],BetTable[[B3]:[B3]],$K28,BetTable[[Date]:[Date]], "&gt;="&amp;U$5,BetTable[[Date]:[Date]],"&lt;="&amp;EOMONTH(U$5,0))</f>
        <v>0</v>
      </c>
      <c r="V28" s="186">
        <f>SUMIFS(DWbonus[[Sum]:[Sum]],DWbonus[[Dato]:[Dato]], "&gt;="&amp;V$5,DWbonus[[Dato]:[Dato]],"&lt;="&amp;EOMONTH(V$5,0),DWbonus[[Bookie]:[Bookie]],$K28)+SUMIFS(LayTable[[Faktisk res]:[Faktisk res]],LayTable[[Dato]:[Dato]],"&gt;="&amp;V$5,LayTable[[Dato]:[Dato]],"&lt;="&amp;EOMONTH(V$5,0),LayTable[[Bookmaker]:[Bookmaker]],$K28)+SUMIFS(BetTable[[AR_per_bookie]:[AR_per_bookie]],BetTable[[B1]:[B1]],$K28,BetTable[[Date]:[Date]], "&gt;="&amp;V$5,BetTable[[Date]:[Date]],"&lt;="&amp;EOMONTH(V$5,0))+SUMIFS(BetTable[[AR_per_bookie]:[AR_per_bookie]],BetTable[[B2]:[B2]],$K28,BetTable[[Date]:[Date]], "&gt;="&amp;V$5,BetTable[[Date]:[Date]],"&lt;="&amp;EOMONTH(V$5,0))+SUMIFS(BetTable[[AR_per_bookie]:[AR_per_bookie]],BetTable[[B3]:[B3]],$K28,BetTable[[Date]:[Date]], "&gt;="&amp;V$5,BetTable[[Date]:[Date]],"&lt;="&amp;EOMONTH(V$5,0))</f>
        <v>0</v>
      </c>
      <c r="W28" s="186">
        <f>SUMIFS(DWbonus[[Sum]:[Sum]],DWbonus[[Dato]:[Dato]], "&gt;="&amp;W$5,DWbonus[[Dato]:[Dato]],"&lt;="&amp;EOMONTH(W$5,0),DWbonus[[Bookie]:[Bookie]],$K28)+SUMIFS(LayTable[[Faktisk res]:[Faktisk res]],LayTable[[Dato]:[Dato]],"&gt;="&amp;W$5,LayTable[[Dato]:[Dato]],"&lt;="&amp;EOMONTH(W$5,0),LayTable[[Bookmaker]:[Bookmaker]],$K28)+SUMIFS(BetTable[[AR_per_bookie]:[AR_per_bookie]],BetTable[[B1]:[B1]],$K28,BetTable[[Date]:[Date]], "&gt;="&amp;W$5,BetTable[[Date]:[Date]],"&lt;="&amp;EOMONTH(W$5,0))+SUMIFS(BetTable[[AR_per_bookie]:[AR_per_bookie]],BetTable[[B2]:[B2]],$K28,BetTable[[Date]:[Date]], "&gt;="&amp;W$5,BetTable[[Date]:[Date]],"&lt;="&amp;EOMONTH(W$5,0))+SUMIFS(BetTable[[AR_per_bookie]:[AR_per_bookie]],BetTable[[B3]:[B3]],$K28,BetTable[[Date]:[Date]], "&gt;="&amp;W$5,BetTable[[Date]:[Date]],"&lt;="&amp;EOMONTH(W$5,0))</f>
        <v>0</v>
      </c>
    </row>
    <row r="29" spans="1:23">
      <c r="K29" s="174" t="str">
        <f t="array" ref="K29">IFERROR(INDEX(BookieNavn!H$2:H$1251,SMALL(IF(EXACT(LEFT(BookieNavn!H$2:H$1251,2),M$3),ROW(BookieNavn!H$2:H$1251)-ROW(BookieNavn!H$2)+1),ROWS(BookieNavn!H$2:'BookieNavn'!H24))),"")</f>
        <v/>
      </c>
      <c r="L29" s="186">
        <f>SUMIFS(DWbonus[[Sum]:[Sum]],DWbonus[[Dato]:[Dato]], "&gt;="&amp;L$5,DWbonus[[Dato]:[Dato]],"&lt;="&amp;EOMONTH(L$5,0),DWbonus[[Bookie]:[Bookie]],$K29)+SUMIFS(LayTable[[Faktisk res]:[Faktisk res]],LayTable[[Dato]:[Dato]],"&gt;="&amp;L$5,LayTable[[Dato]:[Dato]],"&lt;="&amp;EOMONTH(L$5,0),LayTable[[Bookmaker]:[Bookmaker]],$K29)+SUMIFS(BetTable[[AR_per_bookie]:[AR_per_bookie]],BetTable[[B1]:[B1]],$K29,BetTable[[Date]:[Date]], "&gt;="&amp;L$5,BetTable[[Date]:[Date]],"&lt;="&amp;EOMONTH(L$5,0))+SUMIFS(BetTable[[AR_per_bookie]:[AR_per_bookie]],BetTable[[B2]:[B2]],$K29,BetTable[[Date]:[Date]], "&gt;="&amp;L$5,BetTable[[Date]:[Date]],"&lt;="&amp;EOMONTH(L$5,0))+SUMIFS(BetTable[[AR_per_bookie]:[AR_per_bookie]],BetTable[[B3]:[B3]],$K29,BetTable[[Date]:[Date]], "&gt;="&amp;L$5,BetTable[[Date]:[Date]],"&lt;="&amp;EOMONTH(L$5,0))</f>
        <v>0</v>
      </c>
      <c r="M29" s="186">
        <f>SUMIFS(DWbonus[[Sum]:[Sum]],DWbonus[[Dato]:[Dato]], "&gt;="&amp;M$5,DWbonus[[Dato]:[Dato]],"&lt;="&amp;EOMONTH(M$5,0),DWbonus[[Bookie]:[Bookie]],$K29)+SUMIFS(LayTable[[Faktisk res]:[Faktisk res]],LayTable[[Dato]:[Dato]],"&gt;="&amp;M$5,LayTable[[Dato]:[Dato]],"&lt;="&amp;EOMONTH(M$5,0),LayTable[[Bookmaker]:[Bookmaker]],$K29)+SUMIFS(BetTable[[AR_per_bookie]:[AR_per_bookie]],BetTable[[B1]:[B1]],$K29,BetTable[[Date]:[Date]], "&gt;="&amp;M$5,BetTable[[Date]:[Date]],"&lt;="&amp;EOMONTH(M$5,0))+SUMIFS(BetTable[[AR_per_bookie]:[AR_per_bookie]],BetTable[[B2]:[B2]],$K29,BetTable[[Date]:[Date]], "&gt;="&amp;M$5,BetTable[[Date]:[Date]],"&lt;="&amp;EOMONTH(M$5,0))+SUMIFS(BetTable[[AR_per_bookie]:[AR_per_bookie]],BetTable[[B3]:[B3]],$K29,BetTable[[Date]:[Date]], "&gt;="&amp;M$5,BetTable[[Date]:[Date]],"&lt;="&amp;EOMONTH(M$5,0))</f>
        <v>0</v>
      </c>
      <c r="N29" s="186">
        <f>SUMIFS(DWbonus[[Sum]:[Sum]],DWbonus[[Dato]:[Dato]], "&gt;="&amp;N$5,DWbonus[[Dato]:[Dato]],"&lt;="&amp;EOMONTH(N$5,0),DWbonus[[Bookie]:[Bookie]],$K29)+SUMIFS(LayTable[[Faktisk res]:[Faktisk res]],LayTable[[Dato]:[Dato]],"&gt;="&amp;N$5,LayTable[[Dato]:[Dato]],"&lt;="&amp;EOMONTH(N$5,0),LayTable[[Bookmaker]:[Bookmaker]],$K29)+SUMIFS(BetTable[[AR_per_bookie]:[AR_per_bookie]],BetTable[[B1]:[B1]],$K29,BetTable[[Date]:[Date]], "&gt;="&amp;N$5,BetTable[[Date]:[Date]],"&lt;="&amp;EOMONTH(N$5,0))+SUMIFS(BetTable[[AR_per_bookie]:[AR_per_bookie]],BetTable[[B2]:[B2]],$K29,BetTable[[Date]:[Date]], "&gt;="&amp;N$5,BetTable[[Date]:[Date]],"&lt;="&amp;EOMONTH(N$5,0))+SUMIFS(BetTable[[AR_per_bookie]:[AR_per_bookie]],BetTable[[B3]:[B3]],$K29,BetTable[[Date]:[Date]], "&gt;="&amp;N$5,BetTable[[Date]:[Date]],"&lt;="&amp;EOMONTH(N$5,0))</f>
        <v>0</v>
      </c>
      <c r="O29" s="186">
        <f>SUMIFS(DWbonus[[Sum]:[Sum]],DWbonus[[Dato]:[Dato]], "&gt;="&amp;O$5,DWbonus[[Dato]:[Dato]],"&lt;="&amp;EOMONTH(O$5,0),DWbonus[[Bookie]:[Bookie]],$K29)+SUMIFS(LayTable[[Faktisk res]:[Faktisk res]],LayTable[[Dato]:[Dato]],"&gt;="&amp;O$5,LayTable[[Dato]:[Dato]],"&lt;="&amp;EOMONTH(O$5,0),LayTable[[Bookmaker]:[Bookmaker]],$K29)+SUMIFS(BetTable[[AR_per_bookie]:[AR_per_bookie]],BetTable[[B1]:[B1]],$K29,BetTable[[Date]:[Date]], "&gt;="&amp;O$5,BetTable[[Date]:[Date]],"&lt;="&amp;EOMONTH(O$5,0))+SUMIFS(BetTable[[AR_per_bookie]:[AR_per_bookie]],BetTable[[B2]:[B2]],$K29,BetTable[[Date]:[Date]], "&gt;="&amp;O$5,BetTable[[Date]:[Date]],"&lt;="&amp;EOMONTH(O$5,0))+SUMIFS(BetTable[[AR_per_bookie]:[AR_per_bookie]],BetTable[[B3]:[B3]],$K29,BetTable[[Date]:[Date]], "&gt;="&amp;O$5,BetTable[[Date]:[Date]],"&lt;="&amp;EOMONTH(O$5,0))</f>
        <v>0</v>
      </c>
      <c r="P29" s="186">
        <f>SUMIFS(DWbonus[[Sum]:[Sum]],DWbonus[[Dato]:[Dato]], "&gt;="&amp;P$5,DWbonus[[Dato]:[Dato]],"&lt;="&amp;EOMONTH(P$5,0),DWbonus[[Bookie]:[Bookie]],$K29)+SUMIFS(LayTable[[Faktisk res]:[Faktisk res]],LayTable[[Dato]:[Dato]],"&gt;="&amp;P$5,LayTable[[Dato]:[Dato]],"&lt;="&amp;EOMONTH(P$5,0),LayTable[[Bookmaker]:[Bookmaker]],$K29)+SUMIFS(BetTable[[AR_per_bookie]:[AR_per_bookie]],BetTable[[B1]:[B1]],$K29,BetTable[[Date]:[Date]], "&gt;="&amp;P$5,BetTable[[Date]:[Date]],"&lt;="&amp;EOMONTH(P$5,0))+SUMIFS(BetTable[[AR_per_bookie]:[AR_per_bookie]],BetTable[[B2]:[B2]],$K29,BetTable[[Date]:[Date]], "&gt;="&amp;P$5,BetTable[[Date]:[Date]],"&lt;="&amp;EOMONTH(P$5,0))+SUMIFS(BetTable[[AR_per_bookie]:[AR_per_bookie]],BetTable[[B3]:[B3]],$K29,BetTable[[Date]:[Date]], "&gt;="&amp;P$5,BetTable[[Date]:[Date]],"&lt;="&amp;EOMONTH(P$5,0))</f>
        <v>0</v>
      </c>
      <c r="Q29" s="186">
        <f>SUMIFS(DWbonus[[Sum]:[Sum]],DWbonus[[Dato]:[Dato]], "&gt;="&amp;Q$5,DWbonus[[Dato]:[Dato]],"&lt;="&amp;EOMONTH(Q$5,0),DWbonus[[Bookie]:[Bookie]],$K29)+SUMIFS(LayTable[[Faktisk res]:[Faktisk res]],LayTable[[Dato]:[Dato]],"&gt;="&amp;Q$5,LayTable[[Dato]:[Dato]],"&lt;="&amp;EOMONTH(Q$5,0),LayTable[[Bookmaker]:[Bookmaker]],$K29)+SUMIFS(BetTable[[AR_per_bookie]:[AR_per_bookie]],BetTable[[B1]:[B1]],$K29,BetTable[[Date]:[Date]], "&gt;="&amp;Q$5,BetTable[[Date]:[Date]],"&lt;="&amp;EOMONTH(Q$5,0))+SUMIFS(BetTable[[AR_per_bookie]:[AR_per_bookie]],BetTable[[B2]:[B2]],$K29,BetTable[[Date]:[Date]], "&gt;="&amp;Q$5,BetTable[[Date]:[Date]],"&lt;="&amp;EOMONTH(Q$5,0))+SUMIFS(BetTable[[AR_per_bookie]:[AR_per_bookie]],BetTable[[B3]:[B3]],$K29,BetTable[[Date]:[Date]], "&gt;="&amp;Q$5,BetTable[[Date]:[Date]],"&lt;="&amp;EOMONTH(Q$5,0))</f>
        <v>0</v>
      </c>
      <c r="R29" s="186">
        <f>SUMIFS(DWbonus[[Sum]:[Sum]],DWbonus[[Dato]:[Dato]], "&gt;="&amp;R$5,DWbonus[[Dato]:[Dato]],"&lt;="&amp;EOMONTH(R$5,0),DWbonus[[Bookie]:[Bookie]],$K29)+SUMIFS(LayTable[[Faktisk res]:[Faktisk res]],LayTable[[Dato]:[Dato]],"&gt;="&amp;R$5,LayTable[[Dato]:[Dato]],"&lt;="&amp;EOMONTH(R$5,0),LayTable[[Bookmaker]:[Bookmaker]],$K29)+SUMIFS(BetTable[[AR_per_bookie]:[AR_per_bookie]],BetTable[[B1]:[B1]],$K29,BetTable[[Date]:[Date]], "&gt;="&amp;R$5,BetTable[[Date]:[Date]],"&lt;="&amp;EOMONTH(R$5,0))+SUMIFS(BetTable[[AR_per_bookie]:[AR_per_bookie]],BetTable[[B2]:[B2]],$K29,BetTable[[Date]:[Date]], "&gt;="&amp;R$5,BetTable[[Date]:[Date]],"&lt;="&amp;EOMONTH(R$5,0))+SUMIFS(BetTable[[AR_per_bookie]:[AR_per_bookie]],BetTable[[B3]:[B3]],$K29,BetTable[[Date]:[Date]], "&gt;="&amp;R$5,BetTable[[Date]:[Date]],"&lt;="&amp;EOMONTH(R$5,0))</f>
        <v>0</v>
      </c>
      <c r="S29" s="186">
        <f>SUMIFS(DWbonus[[Sum]:[Sum]],DWbonus[[Dato]:[Dato]], "&gt;="&amp;S$5,DWbonus[[Dato]:[Dato]],"&lt;="&amp;EOMONTH(S$5,0),DWbonus[[Bookie]:[Bookie]],$K29)+SUMIFS(LayTable[[Faktisk res]:[Faktisk res]],LayTable[[Dato]:[Dato]],"&gt;="&amp;S$5,LayTable[[Dato]:[Dato]],"&lt;="&amp;EOMONTH(S$5,0),LayTable[[Bookmaker]:[Bookmaker]],$K29)+SUMIFS(BetTable[[AR_per_bookie]:[AR_per_bookie]],BetTable[[B1]:[B1]],$K29,BetTable[[Date]:[Date]], "&gt;="&amp;S$5,BetTable[[Date]:[Date]],"&lt;="&amp;EOMONTH(S$5,0))+SUMIFS(BetTable[[AR_per_bookie]:[AR_per_bookie]],BetTable[[B2]:[B2]],$K29,BetTable[[Date]:[Date]], "&gt;="&amp;S$5,BetTable[[Date]:[Date]],"&lt;="&amp;EOMONTH(S$5,0))+SUMIFS(BetTable[[AR_per_bookie]:[AR_per_bookie]],BetTable[[B3]:[B3]],$K29,BetTable[[Date]:[Date]], "&gt;="&amp;S$5,BetTable[[Date]:[Date]],"&lt;="&amp;EOMONTH(S$5,0))</f>
        <v>0</v>
      </c>
      <c r="T29" s="186">
        <f>SUMIFS(DWbonus[[Sum]:[Sum]],DWbonus[[Dato]:[Dato]], "&gt;="&amp;T$5,DWbonus[[Dato]:[Dato]],"&lt;="&amp;EOMONTH(T$5,0),DWbonus[[Bookie]:[Bookie]],$K29)+SUMIFS(LayTable[[Faktisk res]:[Faktisk res]],LayTable[[Dato]:[Dato]],"&gt;="&amp;T$5,LayTable[[Dato]:[Dato]],"&lt;="&amp;EOMONTH(T$5,0),LayTable[[Bookmaker]:[Bookmaker]],$K29)+SUMIFS(BetTable[[AR_per_bookie]:[AR_per_bookie]],BetTable[[B1]:[B1]],$K29,BetTable[[Date]:[Date]], "&gt;="&amp;T$5,BetTable[[Date]:[Date]],"&lt;="&amp;EOMONTH(T$5,0))+SUMIFS(BetTable[[AR_per_bookie]:[AR_per_bookie]],BetTable[[B2]:[B2]],$K29,BetTable[[Date]:[Date]], "&gt;="&amp;T$5,BetTable[[Date]:[Date]],"&lt;="&amp;EOMONTH(T$5,0))+SUMIFS(BetTable[[AR_per_bookie]:[AR_per_bookie]],BetTable[[B3]:[B3]],$K29,BetTable[[Date]:[Date]], "&gt;="&amp;T$5,BetTable[[Date]:[Date]],"&lt;="&amp;EOMONTH(T$5,0))</f>
        <v>0</v>
      </c>
      <c r="U29" s="186">
        <f>SUMIFS(DWbonus[[Sum]:[Sum]],DWbonus[[Dato]:[Dato]], "&gt;="&amp;U$5,DWbonus[[Dato]:[Dato]],"&lt;="&amp;EOMONTH(U$5,0),DWbonus[[Bookie]:[Bookie]],$K29)+SUMIFS(LayTable[[Faktisk res]:[Faktisk res]],LayTable[[Dato]:[Dato]],"&gt;="&amp;U$5,LayTable[[Dato]:[Dato]],"&lt;="&amp;EOMONTH(U$5,0),LayTable[[Bookmaker]:[Bookmaker]],$K29)+SUMIFS(BetTable[[AR_per_bookie]:[AR_per_bookie]],BetTable[[B1]:[B1]],$K29,BetTable[[Date]:[Date]], "&gt;="&amp;U$5,BetTable[[Date]:[Date]],"&lt;="&amp;EOMONTH(U$5,0))+SUMIFS(BetTable[[AR_per_bookie]:[AR_per_bookie]],BetTable[[B2]:[B2]],$K29,BetTable[[Date]:[Date]], "&gt;="&amp;U$5,BetTable[[Date]:[Date]],"&lt;="&amp;EOMONTH(U$5,0))+SUMIFS(BetTable[[AR_per_bookie]:[AR_per_bookie]],BetTable[[B3]:[B3]],$K29,BetTable[[Date]:[Date]], "&gt;="&amp;U$5,BetTable[[Date]:[Date]],"&lt;="&amp;EOMONTH(U$5,0))</f>
        <v>0</v>
      </c>
      <c r="V29" s="186">
        <f>SUMIFS(DWbonus[[Sum]:[Sum]],DWbonus[[Dato]:[Dato]], "&gt;="&amp;V$5,DWbonus[[Dato]:[Dato]],"&lt;="&amp;EOMONTH(V$5,0),DWbonus[[Bookie]:[Bookie]],$K29)+SUMIFS(LayTable[[Faktisk res]:[Faktisk res]],LayTable[[Dato]:[Dato]],"&gt;="&amp;V$5,LayTable[[Dato]:[Dato]],"&lt;="&amp;EOMONTH(V$5,0),LayTable[[Bookmaker]:[Bookmaker]],$K29)+SUMIFS(BetTable[[AR_per_bookie]:[AR_per_bookie]],BetTable[[B1]:[B1]],$K29,BetTable[[Date]:[Date]], "&gt;="&amp;V$5,BetTable[[Date]:[Date]],"&lt;="&amp;EOMONTH(V$5,0))+SUMIFS(BetTable[[AR_per_bookie]:[AR_per_bookie]],BetTable[[B2]:[B2]],$K29,BetTable[[Date]:[Date]], "&gt;="&amp;V$5,BetTable[[Date]:[Date]],"&lt;="&amp;EOMONTH(V$5,0))+SUMIFS(BetTable[[AR_per_bookie]:[AR_per_bookie]],BetTable[[B3]:[B3]],$K29,BetTable[[Date]:[Date]], "&gt;="&amp;V$5,BetTable[[Date]:[Date]],"&lt;="&amp;EOMONTH(V$5,0))</f>
        <v>0</v>
      </c>
      <c r="W29" s="186">
        <f>SUMIFS(DWbonus[[Sum]:[Sum]],DWbonus[[Dato]:[Dato]], "&gt;="&amp;W$5,DWbonus[[Dato]:[Dato]],"&lt;="&amp;EOMONTH(W$5,0),DWbonus[[Bookie]:[Bookie]],$K29)+SUMIFS(LayTable[[Faktisk res]:[Faktisk res]],LayTable[[Dato]:[Dato]],"&gt;="&amp;W$5,LayTable[[Dato]:[Dato]],"&lt;="&amp;EOMONTH(W$5,0),LayTable[[Bookmaker]:[Bookmaker]],$K29)+SUMIFS(BetTable[[AR_per_bookie]:[AR_per_bookie]],BetTable[[B1]:[B1]],$K29,BetTable[[Date]:[Date]], "&gt;="&amp;W$5,BetTable[[Date]:[Date]],"&lt;="&amp;EOMONTH(W$5,0))+SUMIFS(BetTable[[AR_per_bookie]:[AR_per_bookie]],BetTable[[B2]:[B2]],$K29,BetTable[[Date]:[Date]], "&gt;="&amp;W$5,BetTable[[Date]:[Date]],"&lt;="&amp;EOMONTH(W$5,0))+SUMIFS(BetTable[[AR_per_bookie]:[AR_per_bookie]],BetTable[[B3]:[B3]],$K29,BetTable[[Date]:[Date]], "&gt;="&amp;W$5,BetTable[[Date]:[Date]],"&lt;="&amp;EOMONTH(W$5,0))</f>
        <v>0</v>
      </c>
    </row>
    <row r="30" spans="1:23">
      <c r="K30" s="174" t="str">
        <f t="array" ref="K30">IFERROR(INDEX(BookieNavn!H$2:H$1251,SMALL(IF(EXACT(LEFT(BookieNavn!H$2:H$1251,2),M$3),ROW(BookieNavn!H$2:H$1251)-ROW(BookieNavn!H$2)+1),ROWS(BookieNavn!H$2:'BookieNavn'!H25))),"")</f>
        <v/>
      </c>
      <c r="L30" s="186">
        <f>SUMIFS(DWbonus[[Sum]:[Sum]],DWbonus[[Dato]:[Dato]], "&gt;="&amp;L$5,DWbonus[[Dato]:[Dato]],"&lt;="&amp;EOMONTH(L$5,0),DWbonus[[Bookie]:[Bookie]],$K30)+SUMIFS(LayTable[[Faktisk res]:[Faktisk res]],LayTable[[Dato]:[Dato]],"&gt;="&amp;L$5,LayTable[[Dato]:[Dato]],"&lt;="&amp;EOMONTH(L$5,0),LayTable[[Bookmaker]:[Bookmaker]],$K30)+SUMIFS(BetTable[[AR_per_bookie]:[AR_per_bookie]],BetTable[[B1]:[B1]],$K30,BetTable[[Date]:[Date]], "&gt;="&amp;L$5,BetTable[[Date]:[Date]],"&lt;="&amp;EOMONTH(L$5,0))+SUMIFS(BetTable[[AR_per_bookie]:[AR_per_bookie]],BetTable[[B2]:[B2]],$K30,BetTable[[Date]:[Date]], "&gt;="&amp;L$5,BetTable[[Date]:[Date]],"&lt;="&amp;EOMONTH(L$5,0))+SUMIFS(BetTable[[AR_per_bookie]:[AR_per_bookie]],BetTable[[B3]:[B3]],$K30,BetTable[[Date]:[Date]], "&gt;="&amp;L$5,BetTable[[Date]:[Date]],"&lt;="&amp;EOMONTH(L$5,0))</f>
        <v>0</v>
      </c>
      <c r="M30" s="186">
        <f>SUMIFS(DWbonus[[Sum]:[Sum]],DWbonus[[Dato]:[Dato]], "&gt;="&amp;M$5,DWbonus[[Dato]:[Dato]],"&lt;="&amp;EOMONTH(M$5,0),DWbonus[[Bookie]:[Bookie]],$K30)+SUMIFS(LayTable[[Faktisk res]:[Faktisk res]],LayTable[[Dato]:[Dato]],"&gt;="&amp;M$5,LayTable[[Dato]:[Dato]],"&lt;="&amp;EOMONTH(M$5,0),LayTable[[Bookmaker]:[Bookmaker]],$K30)+SUMIFS(BetTable[[AR_per_bookie]:[AR_per_bookie]],BetTable[[B1]:[B1]],$K30,BetTable[[Date]:[Date]], "&gt;="&amp;M$5,BetTable[[Date]:[Date]],"&lt;="&amp;EOMONTH(M$5,0))+SUMIFS(BetTable[[AR_per_bookie]:[AR_per_bookie]],BetTable[[B2]:[B2]],$K30,BetTable[[Date]:[Date]], "&gt;="&amp;M$5,BetTable[[Date]:[Date]],"&lt;="&amp;EOMONTH(M$5,0))+SUMIFS(BetTable[[AR_per_bookie]:[AR_per_bookie]],BetTable[[B3]:[B3]],$K30,BetTable[[Date]:[Date]], "&gt;="&amp;M$5,BetTable[[Date]:[Date]],"&lt;="&amp;EOMONTH(M$5,0))</f>
        <v>0</v>
      </c>
      <c r="N30" s="186">
        <f>SUMIFS(DWbonus[[Sum]:[Sum]],DWbonus[[Dato]:[Dato]], "&gt;="&amp;N$5,DWbonus[[Dato]:[Dato]],"&lt;="&amp;EOMONTH(N$5,0),DWbonus[[Bookie]:[Bookie]],$K30)+SUMIFS(LayTable[[Faktisk res]:[Faktisk res]],LayTable[[Dato]:[Dato]],"&gt;="&amp;N$5,LayTable[[Dato]:[Dato]],"&lt;="&amp;EOMONTH(N$5,0),LayTable[[Bookmaker]:[Bookmaker]],$K30)+SUMIFS(BetTable[[AR_per_bookie]:[AR_per_bookie]],BetTable[[B1]:[B1]],$K30,BetTable[[Date]:[Date]], "&gt;="&amp;N$5,BetTable[[Date]:[Date]],"&lt;="&amp;EOMONTH(N$5,0))+SUMIFS(BetTable[[AR_per_bookie]:[AR_per_bookie]],BetTable[[B2]:[B2]],$K30,BetTable[[Date]:[Date]], "&gt;="&amp;N$5,BetTable[[Date]:[Date]],"&lt;="&amp;EOMONTH(N$5,0))+SUMIFS(BetTable[[AR_per_bookie]:[AR_per_bookie]],BetTable[[B3]:[B3]],$K30,BetTable[[Date]:[Date]], "&gt;="&amp;N$5,BetTable[[Date]:[Date]],"&lt;="&amp;EOMONTH(N$5,0))</f>
        <v>0</v>
      </c>
      <c r="O30" s="186">
        <f>SUMIFS(DWbonus[[Sum]:[Sum]],DWbonus[[Dato]:[Dato]], "&gt;="&amp;O$5,DWbonus[[Dato]:[Dato]],"&lt;="&amp;EOMONTH(O$5,0),DWbonus[[Bookie]:[Bookie]],$K30)+SUMIFS(LayTable[[Faktisk res]:[Faktisk res]],LayTable[[Dato]:[Dato]],"&gt;="&amp;O$5,LayTable[[Dato]:[Dato]],"&lt;="&amp;EOMONTH(O$5,0),LayTable[[Bookmaker]:[Bookmaker]],$K30)+SUMIFS(BetTable[[AR_per_bookie]:[AR_per_bookie]],BetTable[[B1]:[B1]],$K30,BetTable[[Date]:[Date]], "&gt;="&amp;O$5,BetTable[[Date]:[Date]],"&lt;="&amp;EOMONTH(O$5,0))+SUMIFS(BetTable[[AR_per_bookie]:[AR_per_bookie]],BetTable[[B2]:[B2]],$K30,BetTable[[Date]:[Date]], "&gt;="&amp;O$5,BetTable[[Date]:[Date]],"&lt;="&amp;EOMONTH(O$5,0))+SUMIFS(BetTable[[AR_per_bookie]:[AR_per_bookie]],BetTable[[B3]:[B3]],$K30,BetTable[[Date]:[Date]], "&gt;="&amp;O$5,BetTable[[Date]:[Date]],"&lt;="&amp;EOMONTH(O$5,0))</f>
        <v>0</v>
      </c>
      <c r="P30" s="186">
        <f>SUMIFS(DWbonus[[Sum]:[Sum]],DWbonus[[Dato]:[Dato]], "&gt;="&amp;P$5,DWbonus[[Dato]:[Dato]],"&lt;="&amp;EOMONTH(P$5,0),DWbonus[[Bookie]:[Bookie]],$K30)+SUMIFS(LayTable[[Faktisk res]:[Faktisk res]],LayTable[[Dato]:[Dato]],"&gt;="&amp;P$5,LayTable[[Dato]:[Dato]],"&lt;="&amp;EOMONTH(P$5,0),LayTable[[Bookmaker]:[Bookmaker]],$K30)+SUMIFS(BetTable[[AR_per_bookie]:[AR_per_bookie]],BetTable[[B1]:[B1]],$K30,BetTable[[Date]:[Date]], "&gt;="&amp;P$5,BetTable[[Date]:[Date]],"&lt;="&amp;EOMONTH(P$5,0))+SUMIFS(BetTable[[AR_per_bookie]:[AR_per_bookie]],BetTable[[B2]:[B2]],$K30,BetTable[[Date]:[Date]], "&gt;="&amp;P$5,BetTable[[Date]:[Date]],"&lt;="&amp;EOMONTH(P$5,0))+SUMIFS(BetTable[[AR_per_bookie]:[AR_per_bookie]],BetTable[[B3]:[B3]],$K30,BetTable[[Date]:[Date]], "&gt;="&amp;P$5,BetTable[[Date]:[Date]],"&lt;="&amp;EOMONTH(P$5,0))</f>
        <v>0</v>
      </c>
      <c r="Q30" s="186">
        <f>SUMIFS(DWbonus[[Sum]:[Sum]],DWbonus[[Dato]:[Dato]], "&gt;="&amp;Q$5,DWbonus[[Dato]:[Dato]],"&lt;="&amp;EOMONTH(Q$5,0),DWbonus[[Bookie]:[Bookie]],$K30)+SUMIFS(LayTable[[Faktisk res]:[Faktisk res]],LayTable[[Dato]:[Dato]],"&gt;="&amp;Q$5,LayTable[[Dato]:[Dato]],"&lt;="&amp;EOMONTH(Q$5,0),LayTable[[Bookmaker]:[Bookmaker]],$K30)+SUMIFS(BetTable[[AR_per_bookie]:[AR_per_bookie]],BetTable[[B1]:[B1]],$K30,BetTable[[Date]:[Date]], "&gt;="&amp;Q$5,BetTable[[Date]:[Date]],"&lt;="&amp;EOMONTH(Q$5,0))+SUMIFS(BetTable[[AR_per_bookie]:[AR_per_bookie]],BetTable[[B2]:[B2]],$K30,BetTable[[Date]:[Date]], "&gt;="&amp;Q$5,BetTable[[Date]:[Date]],"&lt;="&amp;EOMONTH(Q$5,0))+SUMIFS(BetTable[[AR_per_bookie]:[AR_per_bookie]],BetTable[[B3]:[B3]],$K30,BetTable[[Date]:[Date]], "&gt;="&amp;Q$5,BetTable[[Date]:[Date]],"&lt;="&amp;EOMONTH(Q$5,0))</f>
        <v>0</v>
      </c>
      <c r="R30" s="186">
        <f>SUMIFS(DWbonus[[Sum]:[Sum]],DWbonus[[Dato]:[Dato]], "&gt;="&amp;R$5,DWbonus[[Dato]:[Dato]],"&lt;="&amp;EOMONTH(R$5,0),DWbonus[[Bookie]:[Bookie]],$K30)+SUMIFS(LayTable[[Faktisk res]:[Faktisk res]],LayTable[[Dato]:[Dato]],"&gt;="&amp;R$5,LayTable[[Dato]:[Dato]],"&lt;="&amp;EOMONTH(R$5,0),LayTable[[Bookmaker]:[Bookmaker]],$K30)+SUMIFS(BetTable[[AR_per_bookie]:[AR_per_bookie]],BetTable[[B1]:[B1]],$K30,BetTable[[Date]:[Date]], "&gt;="&amp;R$5,BetTable[[Date]:[Date]],"&lt;="&amp;EOMONTH(R$5,0))+SUMIFS(BetTable[[AR_per_bookie]:[AR_per_bookie]],BetTable[[B2]:[B2]],$K30,BetTable[[Date]:[Date]], "&gt;="&amp;R$5,BetTable[[Date]:[Date]],"&lt;="&amp;EOMONTH(R$5,0))+SUMIFS(BetTable[[AR_per_bookie]:[AR_per_bookie]],BetTable[[B3]:[B3]],$K30,BetTable[[Date]:[Date]], "&gt;="&amp;R$5,BetTable[[Date]:[Date]],"&lt;="&amp;EOMONTH(R$5,0))</f>
        <v>0</v>
      </c>
      <c r="S30" s="186">
        <f>SUMIFS(DWbonus[[Sum]:[Sum]],DWbonus[[Dato]:[Dato]], "&gt;="&amp;S$5,DWbonus[[Dato]:[Dato]],"&lt;="&amp;EOMONTH(S$5,0),DWbonus[[Bookie]:[Bookie]],$K30)+SUMIFS(LayTable[[Faktisk res]:[Faktisk res]],LayTable[[Dato]:[Dato]],"&gt;="&amp;S$5,LayTable[[Dato]:[Dato]],"&lt;="&amp;EOMONTH(S$5,0),LayTable[[Bookmaker]:[Bookmaker]],$K30)+SUMIFS(BetTable[[AR_per_bookie]:[AR_per_bookie]],BetTable[[B1]:[B1]],$K30,BetTable[[Date]:[Date]], "&gt;="&amp;S$5,BetTable[[Date]:[Date]],"&lt;="&amp;EOMONTH(S$5,0))+SUMIFS(BetTable[[AR_per_bookie]:[AR_per_bookie]],BetTable[[B2]:[B2]],$K30,BetTable[[Date]:[Date]], "&gt;="&amp;S$5,BetTable[[Date]:[Date]],"&lt;="&amp;EOMONTH(S$5,0))+SUMIFS(BetTable[[AR_per_bookie]:[AR_per_bookie]],BetTable[[B3]:[B3]],$K30,BetTable[[Date]:[Date]], "&gt;="&amp;S$5,BetTable[[Date]:[Date]],"&lt;="&amp;EOMONTH(S$5,0))</f>
        <v>0</v>
      </c>
      <c r="T30" s="186">
        <f>SUMIFS(DWbonus[[Sum]:[Sum]],DWbonus[[Dato]:[Dato]], "&gt;="&amp;T$5,DWbonus[[Dato]:[Dato]],"&lt;="&amp;EOMONTH(T$5,0),DWbonus[[Bookie]:[Bookie]],$K30)+SUMIFS(LayTable[[Faktisk res]:[Faktisk res]],LayTable[[Dato]:[Dato]],"&gt;="&amp;T$5,LayTable[[Dato]:[Dato]],"&lt;="&amp;EOMONTH(T$5,0),LayTable[[Bookmaker]:[Bookmaker]],$K30)+SUMIFS(BetTable[[AR_per_bookie]:[AR_per_bookie]],BetTable[[B1]:[B1]],$K30,BetTable[[Date]:[Date]], "&gt;="&amp;T$5,BetTable[[Date]:[Date]],"&lt;="&amp;EOMONTH(T$5,0))+SUMIFS(BetTable[[AR_per_bookie]:[AR_per_bookie]],BetTable[[B2]:[B2]],$K30,BetTable[[Date]:[Date]], "&gt;="&amp;T$5,BetTable[[Date]:[Date]],"&lt;="&amp;EOMONTH(T$5,0))+SUMIFS(BetTable[[AR_per_bookie]:[AR_per_bookie]],BetTable[[B3]:[B3]],$K30,BetTable[[Date]:[Date]], "&gt;="&amp;T$5,BetTable[[Date]:[Date]],"&lt;="&amp;EOMONTH(T$5,0))</f>
        <v>0</v>
      </c>
      <c r="U30" s="186">
        <f>SUMIFS(DWbonus[[Sum]:[Sum]],DWbonus[[Dato]:[Dato]], "&gt;="&amp;U$5,DWbonus[[Dato]:[Dato]],"&lt;="&amp;EOMONTH(U$5,0),DWbonus[[Bookie]:[Bookie]],$K30)+SUMIFS(LayTable[[Faktisk res]:[Faktisk res]],LayTable[[Dato]:[Dato]],"&gt;="&amp;U$5,LayTable[[Dato]:[Dato]],"&lt;="&amp;EOMONTH(U$5,0),LayTable[[Bookmaker]:[Bookmaker]],$K30)+SUMIFS(BetTable[[AR_per_bookie]:[AR_per_bookie]],BetTable[[B1]:[B1]],$K30,BetTable[[Date]:[Date]], "&gt;="&amp;U$5,BetTable[[Date]:[Date]],"&lt;="&amp;EOMONTH(U$5,0))+SUMIFS(BetTable[[AR_per_bookie]:[AR_per_bookie]],BetTable[[B2]:[B2]],$K30,BetTable[[Date]:[Date]], "&gt;="&amp;U$5,BetTable[[Date]:[Date]],"&lt;="&amp;EOMONTH(U$5,0))+SUMIFS(BetTable[[AR_per_bookie]:[AR_per_bookie]],BetTable[[B3]:[B3]],$K30,BetTable[[Date]:[Date]], "&gt;="&amp;U$5,BetTable[[Date]:[Date]],"&lt;="&amp;EOMONTH(U$5,0))</f>
        <v>0</v>
      </c>
      <c r="V30" s="186">
        <f>SUMIFS(DWbonus[[Sum]:[Sum]],DWbonus[[Dato]:[Dato]], "&gt;="&amp;V$5,DWbonus[[Dato]:[Dato]],"&lt;="&amp;EOMONTH(V$5,0),DWbonus[[Bookie]:[Bookie]],$K30)+SUMIFS(LayTable[[Faktisk res]:[Faktisk res]],LayTable[[Dato]:[Dato]],"&gt;="&amp;V$5,LayTable[[Dato]:[Dato]],"&lt;="&amp;EOMONTH(V$5,0),LayTable[[Bookmaker]:[Bookmaker]],$K30)+SUMIFS(BetTable[[AR_per_bookie]:[AR_per_bookie]],BetTable[[B1]:[B1]],$K30,BetTable[[Date]:[Date]], "&gt;="&amp;V$5,BetTable[[Date]:[Date]],"&lt;="&amp;EOMONTH(V$5,0))+SUMIFS(BetTable[[AR_per_bookie]:[AR_per_bookie]],BetTable[[B2]:[B2]],$K30,BetTable[[Date]:[Date]], "&gt;="&amp;V$5,BetTable[[Date]:[Date]],"&lt;="&amp;EOMONTH(V$5,0))+SUMIFS(BetTable[[AR_per_bookie]:[AR_per_bookie]],BetTable[[B3]:[B3]],$K30,BetTable[[Date]:[Date]], "&gt;="&amp;V$5,BetTable[[Date]:[Date]],"&lt;="&amp;EOMONTH(V$5,0))</f>
        <v>0</v>
      </c>
      <c r="W30" s="186">
        <f>SUMIFS(DWbonus[[Sum]:[Sum]],DWbonus[[Dato]:[Dato]], "&gt;="&amp;W$5,DWbonus[[Dato]:[Dato]],"&lt;="&amp;EOMONTH(W$5,0),DWbonus[[Bookie]:[Bookie]],$K30)+SUMIFS(LayTable[[Faktisk res]:[Faktisk res]],LayTable[[Dato]:[Dato]],"&gt;="&amp;W$5,LayTable[[Dato]:[Dato]],"&lt;="&amp;EOMONTH(W$5,0),LayTable[[Bookmaker]:[Bookmaker]],$K30)+SUMIFS(BetTable[[AR_per_bookie]:[AR_per_bookie]],BetTable[[B1]:[B1]],$K30,BetTable[[Date]:[Date]], "&gt;="&amp;W$5,BetTable[[Date]:[Date]],"&lt;="&amp;EOMONTH(W$5,0))+SUMIFS(BetTable[[AR_per_bookie]:[AR_per_bookie]],BetTable[[B2]:[B2]],$K30,BetTable[[Date]:[Date]], "&gt;="&amp;W$5,BetTable[[Date]:[Date]],"&lt;="&amp;EOMONTH(W$5,0))+SUMIFS(BetTable[[AR_per_bookie]:[AR_per_bookie]],BetTable[[B3]:[B3]],$K30,BetTable[[Date]:[Date]], "&gt;="&amp;W$5,BetTable[[Date]:[Date]],"&lt;="&amp;EOMONTH(W$5,0))</f>
        <v>0</v>
      </c>
    </row>
    <row r="31" spans="1:23">
      <c r="K31" s="174" t="str">
        <f t="array" ref="K31">IFERROR(INDEX(BookieNavn!H$2:H$1251,SMALL(IF(EXACT(LEFT(BookieNavn!H$2:H$1251,2),M$3),ROW(BookieNavn!H$2:H$1251)-ROW(BookieNavn!H$2)+1),ROWS(BookieNavn!H$2:'BookieNavn'!H26))),"")</f>
        <v/>
      </c>
      <c r="L31" s="186">
        <f>SUMIFS(DWbonus[[Sum]:[Sum]],DWbonus[[Dato]:[Dato]], "&gt;="&amp;L$5,DWbonus[[Dato]:[Dato]],"&lt;="&amp;EOMONTH(L$5,0),DWbonus[[Bookie]:[Bookie]],$K31)+SUMIFS(LayTable[[Faktisk res]:[Faktisk res]],LayTable[[Dato]:[Dato]],"&gt;="&amp;L$5,LayTable[[Dato]:[Dato]],"&lt;="&amp;EOMONTH(L$5,0),LayTable[[Bookmaker]:[Bookmaker]],$K31)+SUMIFS(BetTable[[AR_per_bookie]:[AR_per_bookie]],BetTable[[B1]:[B1]],$K31,BetTable[[Date]:[Date]], "&gt;="&amp;L$5,BetTable[[Date]:[Date]],"&lt;="&amp;EOMONTH(L$5,0))+SUMIFS(BetTable[[AR_per_bookie]:[AR_per_bookie]],BetTable[[B2]:[B2]],$K31,BetTable[[Date]:[Date]], "&gt;="&amp;L$5,BetTable[[Date]:[Date]],"&lt;="&amp;EOMONTH(L$5,0))+SUMIFS(BetTable[[AR_per_bookie]:[AR_per_bookie]],BetTable[[B3]:[B3]],$K31,BetTable[[Date]:[Date]], "&gt;="&amp;L$5,BetTable[[Date]:[Date]],"&lt;="&amp;EOMONTH(L$5,0))</f>
        <v>0</v>
      </c>
      <c r="M31" s="186">
        <f>SUMIFS(DWbonus[[Sum]:[Sum]],DWbonus[[Dato]:[Dato]], "&gt;="&amp;M$5,DWbonus[[Dato]:[Dato]],"&lt;="&amp;EOMONTH(M$5,0),DWbonus[[Bookie]:[Bookie]],$K31)+SUMIFS(LayTable[[Faktisk res]:[Faktisk res]],LayTable[[Dato]:[Dato]],"&gt;="&amp;M$5,LayTable[[Dato]:[Dato]],"&lt;="&amp;EOMONTH(M$5,0),LayTable[[Bookmaker]:[Bookmaker]],$K31)+SUMIFS(BetTable[[AR_per_bookie]:[AR_per_bookie]],BetTable[[B1]:[B1]],$K31,BetTable[[Date]:[Date]], "&gt;="&amp;M$5,BetTable[[Date]:[Date]],"&lt;="&amp;EOMONTH(M$5,0))+SUMIFS(BetTable[[AR_per_bookie]:[AR_per_bookie]],BetTable[[B2]:[B2]],$K31,BetTable[[Date]:[Date]], "&gt;="&amp;M$5,BetTable[[Date]:[Date]],"&lt;="&amp;EOMONTH(M$5,0))+SUMIFS(BetTable[[AR_per_bookie]:[AR_per_bookie]],BetTable[[B3]:[B3]],$K31,BetTable[[Date]:[Date]], "&gt;="&amp;M$5,BetTable[[Date]:[Date]],"&lt;="&amp;EOMONTH(M$5,0))</f>
        <v>0</v>
      </c>
      <c r="N31" s="186">
        <f>SUMIFS(DWbonus[[Sum]:[Sum]],DWbonus[[Dato]:[Dato]], "&gt;="&amp;N$5,DWbonus[[Dato]:[Dato]],"&lt;="&amp;EOMONTH(N$5,0),DWbonus[[Bookie]:[Bookie]],$K31)+SUMIFS(LayTable[[Faktisk res]:[Faktisk res]],LayTable[[Dato]:[Dato]],"&gt;="&amp;N$5,LayTable[[Dato]:[Dato]],"&lt;="&amp;EOMONTH(N$5,0),LayTable[[Bookmaker]:[Bookmaker]],$K31)+SUMIFS(BetTable[[AR_per_bookie]:[AR_per_bookie]],BetTable[[B1]:[B1]],$K31,BetTable[[Date]:[Date]], "&gt;="&amp;N$5,BetTable[[Date]:[Date]],"&lt;="&amp;EOMONTH(N$5,0))+SUMIFS(BetTable[[AR_per_bookie]:[AR_per_bookie]],BetTable[[B2]:[B2]],$K31,BetTable[[Date]:[Date]], "&gt;="&amp;N$5,BetTable[[Date]:[Date]],"&lt;="&amp;EOMONTH(N$5,0))+SUMIFS(BetTable[[AR_per_bookie]:[AR_per_bookie]],BetTable[[B3]:[B3]],$K31,BetTable[[Date]:[Date]], "&gt;="&amp;N$5,BetTable[[Date]:[Date]],"&lt;="&amp;EOMONTH(N$5,0))</f>
        <v>0</v>
      </c>
      <c r="O31" s="186">
        <f>SUMIFS(DWbonus[[Sum]:[Sum]],DWbonus[[Dato]:[Dato]], "&gt;="&amp;O$5,DWbonus[[Dato]:[Dato]],"&lt;="&amp;EOMONTH(O$5,0),DWbonus[[Bookie]:[Bookie]],$K31)+SUMIFS(LayTable[[Faktisk res]:[Faktisk res]],LayTable[[Dato]:[Dato]],"&gt;="&amp;O$5,LayTable[[Dato]:[Dato]],"&lt;="&amp;EOMONTH(O$5,0),LayTable[[Bookmaker]:[Bookmaker]],$K31)+SUMIFS(BetTable[[AR_per_bookie]:[AR_per_bookie]],BetTable[[B1]:[B1]],$K31,BetTable[[Date]:[Date]], "&gt;="&amp;O$5,BetTable[[Date]:[Date]],"&lt;="&amp;EOMONTH(O$5,0))+SUMIFS(BetTable[[AR_per_bookie]:[AR_per_bookie]],BetTable[[B2]:[B2]],$K31,BetTable[[Date]:[Date]], "&gt;="&amp;O$5,BetTable[[Date]:[Date]],"&lt;="&amp;EOMONTH(O$5,0))+SUMIFS(BetTable[[AR_per_bookie]:[AR_per_bookie]],BetTable[[B3]:[B3]],$K31,BetTable[[Date]:[Date]], "&gt;="&amp;O$5,BetTable[[Date]:[Date]],"&lt;="&amp;EOMONTH(O$5,0))</f>
        <v>0</v>
      </c>
      <c r="P31" s="186">
        <f>SUMIFS(DWbonus[[Sum]:[Sum]],DWbonus[[Dato]:[Dato]], "&gt;="&amp;P$5,DWbonus[[Dato]:[Dato]],"&lt;="&amp;EOMONTH(P$5,0),DWbonus[[Bookie]:[Bookie]],$K31)+SUMIFS(LayTable[[Faktisk res]:[Faktisk res]],LayTable[[Dato]:[Dato]],"&gt;="&amp;P$5,LayTable[[Dato]:[Dato]],"&lt;="&amp;EOMONTH(P$5,0),LayTable[[Bookmaker]:[Bookmaker]],$K31)+SUMIFS(BetTable[[AR_per_bookie]:[AR_per_bookie]],BetTable[[B1]:[B1]],$K31,BetTable[[Date]:[Date]], "&gt;="&amp;P$5,BetTable[[Date]:[Date]],"&lt;="&amp;EOMONTH(P$5,0))+SUMIFS(BetTable[[AR_per_bookie]:[AR_per_bookie]],BetTable[[B2]:[B2]],$K31,BetTable[[Date]:[Date]], "&gt;="&amp;P$5,BetTable[[Date]:[Date]],"&lt;="&amp;EOMONTH(P$5,0))+SUMIFS(BetTable[[AR_per_bookie]:[AR_per_bookie]],BetTable[[B3]:[B3]],$K31,BetTable[[Date]:[Date]], "&gt;="&amp;P$5,BetTable[[Date]:[Date]],"&lt;="&amp;EOMONTH(P$5,0))</f>
        <v>0</v>
      </c>
      <c r="Q31" s="186">
        <f>SUMIFS(DWbonus[[Sum]:[Sum]],DWbonus[[Dato]:[Dato]], "&gt;="&amp;Q$5,DWbonus[[Dato]:[Dato]],"&lt;="&amp;EOMONTH(Q$5,0),DWbonus[[Bookie]:[Bookie]],$K31)+SUMIFS(LayTable[[Faktisk res]:[Faktisk res]],LayTable[[Dato]:[Dato]],"&gt;="&amp;Q$5,LayTable[[Dato]:[Dato]],"&lt;="&amp;EOMONTH(Q$5,0),LayTable[[Bookmaker]:[Bookmaker]],$K31)+SUMIFS(BetTable[[AR_per_bookie]:[AR_per_bookie]],BetTable[[B1]:[B1]],$K31,BetTable[[Date]:[Date]], "&gt;="&amp;Q$5,BetTable[[Date]:[Date]],"&lt;="&amp;EOMONTH(Q$5,0))+SUMIFS(BetTable[[AR_per_bookie]:[AR_per_bookie]],BetTable[[B2]:[B2]],$K31,BetTable[[Date]:[Date]], "&gt;="&amp;Q$5,BetTable[[Date]:[Date]],"&lt;="&amp;EOMONTH(Q$5,0))+SUMIFS(BetTable[[AR_per_bookie]:[AR_per_bookie]],BetTable[[B3]:[B3]],$K31,BetTable[[Date]:[Date]], "&gt;="&amp;Q$5,BetTable[[Date]:[Date]],"&lt;="&amp;EOMONTH(Q$5,0))</f>
        <v>0</v>
      </c>
      <c r="R31" s="186">
        <f>SUMIFS(DWbonus[[Sum]:[Sum]],DWbonus[[Dato]:[Dato]], "&gt;="&amp;R$5,DWbonus[[Dato]:[Dato]],"&lt;="&amp;EOMONTH(R$5,0),DWbonus[[Bookie]:[Bookie]],$K31)+SUMIFS(LayTable[[Faktisk res]:[Faktisk res]],LayTable[[Dato]:[Dato]],"&gt;="&amp;R$5,LayTable[[Dato]:[Dato]],"&lt;="&amp;EOMONTH(R$5,0),LayTable[[Bookmaker]:[Bookmaker]],$K31)+SUMIFS(BetTable[[AR_per_bookie]:[AR_per_bookie]],BetTable[[B1]:[B1]],$K31,BetTable[[Date]:[Date]], "&gt;="&amp;R$5,BetTable[[Date]:[Date]],"&lt;="&amp;EOMONTH(R$5,0))+SUMIFS(BetTable[[AR_per_bookie]:[AR_per_bookie]],BetTable[[B2]:[B2]],$K31,BetTable[[Date]:[Date]], "&gt;="&amp;R$5,BetTable[[Date]:[Date]],"&lt;="&amp;EOMONTH(R$5,0))+SUMIFS(BetTable[[AR_per_bookie]:[AR_per_bookie]],BetTable[[B3]:[B3]],$K31,BetTable[[Date]:[Date]], "&gt;="&amp;R$5,BetTable[[Date]:[Date]],"&lt;="&amp;EOMONTH(R$5,0))</f>
        <v>0</v>
      </c>
      <c r="S31" s="186">
        <f>SUMIFS(DWbonus[[Sum]:[Sum]],DWbonus[[Dato]:[Dato]], "&gt;="&amp;S$5,DWbonus[[Dato]:[Dato]],"&lt;="&amp;EOMONTH(S$5,0),DWbonus[[Bookie]:[Bookie]],$K31)+SUMIFS(LayTable[[Faktisk res]:[Faktisk res]],LayTable[[Dato]:[Dato]],"&gt;="&amp;S$5,LayTable[[Dato]:[Dato]],"&lt;="&amp;EOMONTH(S$5,0),LayTable[[Bookmaker]:[Bookmaker]],$K31)+SUMIFS(BetTable[[AR_per_bookie]:[AR_per_bookie]],BetTable[[B1]:[B1]],$K31,BetTable[[Date]:[Date]], "&gt;="&amp;S$5,BetTable[[Date]:[Date]],"&lt;="&amp;EOMONTH(S$5,0))+SUMIFS(BetTable[[AR_per_bookie]:[AR_per_bookie]],BetTable[[B2]:[B2]],$K31,BetTable[[Date]:[Date]], "&gt;="&amp;S$5,BetTable[[Date]:[Date]],"&lt;="&amp;EOMONTH(S$5,0))+SUMIFS(BetTable[[AR_per_bookie]:[AR_per_bookie]],BetTable[[B3]:[B3]],$K31,BetTable[[Date]:[Date]], "&gt;="&amp;S$5,BetTable[[Date]:[Date]],"&lt;="&amp;EOMONTH(S$5,0))</f>
        <v>0</v>
      </c>
      <c r="T31" s="186">
        <f>SUMIFS(DWbonus[[Sum]:[Sum]],DWbonus[[Dato]:[Dato]], "&gt;="&amp;T$5,DWbonus[[Dato]:[Dato]],"&lt;="&amp;EOMONTH(T$5,0),DWbonus[[Bookie]:[Bookie]],$K31)+SUMIFS(LayTable[[Faktisk res]:[Faktisk res]],LayTable[[Dato]:[Dato]],"&gt;="&amp;T$5,LayTable[[Dato]:[Dato]],"&lt;="&amp;EOMONTH(T$5,0),LayTable[[Bookmaker]:[Bookmaker]],$K31)+SUMIFS(BetTable[[AR_per_bookie]:[AR_per_bookie]],BetTable[[B1]:[B1]],$K31,BetTable[[Date]:[Date]], "&gt;="&amp;T$5,BetTable[[Date]:[Date]],"&lt;="&amp;EOMONTH(T$5,0))+SUMIFS(BetTable[[AR_per_bookie]:[AR_per_bookie]],BetTable[[B2]:[B2]],$K31,BetTable[[Date]:[Date]], "&gt;="&amp;T$5,BetTable[[Date]:[Date]],"&lt;="&amp;EOMONTH(T$5,0))+SUMIFS(BetTable[[AR_per_bookie]:[AR_per_bookie]],BetTable[[B3]:[B3]],$K31,BetTable[[Date]:[Date]], "&gt;="&amp;T$5,BetTable[[Date]:[Date]],"&lt;="&amp;EOMONTH(T$5,0))</f>
        <v>0</v>
      </c>
      <c r="U31" s="186">
        <f>SUMIFS(DWbonus[[Sum]:[Sum]],DWbonus[[Dato]:[Dato]], "&gt;="&amp;U$5,DWbonus[[Dato]:[Dato]],"&lt;="&amp;EOMONTH(U$5,0),DWbonus[[Bookie]:[Bookie]],$K31)+SUMIFS(LayTable[[Faktisk res]:[Faktisk res]],LayTable[[Dato]:[Dato]],"&gt;="&amp;U$5,LayTable[[Dato]:[Dato]],"&lt;="&amp;EOMONTH(U$5,0),LayTable[[Bookmaker]:[Bookmaker]],$K31)+SUMIFS(BetTable[[AR_per_bookie]:[AR_per_bookie]],BetTable[[B1]:[B1]],$K31,BetTable[[Date]:[Date]], "&gt;="&amp;U$5,BetTable[[Date]:[Date]],"&lt;="&amp;EOMONTH(U$5,0))+SUMIFS(BetTable[[AR_per_bookie]:[AR_per_bookie]],BetTable[[B2]:[B2]],$K31,BetTable[[Date]:[Date]], "&gt;="&amp;U$5,BetTable[[Date]:[Date]],"&lt;="&amp;EOMONTH(U$5,0))+SUMIFS(BetTable[[AR_per_bookie]:[AR_per_bookie]],BetTable[[B3]:[B3]],$K31,BetTable[[Date]:[Date]], "&gt;="&amp;U$5,BetTable[[Date]:[Date]],"&lt;="&amp;EOMONTH(U$5,0))</f>
        <v>0</v>
      </c>
      <c r="V31" s="186">
        <f>SUMIFS(DWbonus[[Sum]:[Sum]],DWbonus[[Dato]:[Dato]], "&gt;="&amp;V$5,DWbonus[[Dato]:[Dato]],"&lt;="&amp;EOMONTH(V$5,0),DWbonus[[Bookie]:[Bookie]],$K31)+SUMIFS(LayTable[[Faktisk res]:[Faktisk res]],LayTable[[Dato]:[Dato]],"&gt;="&amp;V$5,LayTable[[Dato]:[Dato]],"&lt;="&amp;EOMONTH(V$5,0),LayTable[[Bookmaker]:[Bookmaker]],$K31)+SUMIFS(BetTable[[AR_per_bookie]:[AR_per_bookie]],BetTable[[B1]:[B1]],$K31,BetTable[[Date]:[Date]], "&gt;="&amp;V$5,BetTable[[Date]:[Date]],"&lt;="&amp;EOMONTH(V$5,0))+SUMIFS(BetTable[[AR_per_bookie]:[AR_per_bookie]],BetTable[[B2]:[B2]],$K31,BetTable[[Date]:[Date]], "&gt;="&amp;V$5,BetTable[[Date]:[Date]],"&lt;="&amp;EOMONTH(V$5,0))+SUMIFS(BetTable[[AR_per_bookie]:[AR_per_bookie]],BetTable[[B3]:[B3]],$K31,BetTable[[Date]:[Date]], "&gt;="&amp;V$5,BetTable[[Date]:[Date]],"&lt;="&amp;EOMONTH(V$5,0))</f>
        <v>0</v>
      </c>
      <c r="W31" s="186">
        <f>SUMIFS(DWbonus[[Sum]:[Sum]],DWbonus[[Dato]:[Dato]], "&gt;="&amp;W$5,DWbonus[[Dato]:[Dato]],"&lt;="&amp;EOMONTH(W$5,0),DWbonus[[Bookie]:[Bookie]],$K31)+SUMIFS(LayTable[[Faktisk res]:[Faktisk res]],LayTable[[Dato]:[Dato]],"&gt;="&amp;W$5,LayTable[[Dato]:[Dato]],"&lt;="&amp;EOMONTH(W$5,0),LayTable[[Bookmaker]:[Bookmaker]],$K31)+SUMIFS(BetTable[[AR_per_bookie]:[AR_per_bookie]],BetTable[[B1]:[B1]],$K31,BetTable[[Date]:[Date]], "&gt;="&amp;W$5,BetTable[[Date]:[Date]],"&lt;="&amp;EOMONTH(W$5,0))+SUMIFS(BetTable[[AR_per_bookie]:[AR_per_bookie]],BetTable[[B2]:[B2]],$K31,BetTable[[Date]:[Date]], "&gt;="&amp;W$5,BetTable[[Date]:[Date]],"&lt;="&amp;EOMONTH(W$5,0))+SUMIFS(BetTable[[AR_per_bookie]:[AR_per_bookie]],BetTable[[B3]:[B3]],$K31,BetTable[[Date]:[Date]], "&gt;="&amp;W$5,BetTable[[Date]:[Date]],"&lt;="&amp;EOMONTH(W$5,0))</f>
        <v>0</v>
      </c>
    </row>
    <row r="32" spans="1:23">
      <c r="K32" s="174" t="str">
        <f t="array" ref="K32">IFERROR(INDEX(BookieNavn!H$2:H$1251,SMALL(IF(EXACT(LEFT(BookieNavn!H$2:H$1251,2),M$3),ROW(BookieNavn!H$2:H$1251)-ROW(BookieNavn!H$2)+1),ROWS(BookieNavn!H$2:'BookieNavn'!H27))),"")</f>
        <v/>
      </c>
      <c r="L32" s="186">
        <f>SUMIFS(DWbonus[[Sum]:[Sum]],DWbonus[[Dato]:[Dato]], "&gt;="&amp;L$5,DWbonus[[Dato]:[Dato]],"&lt;="&amp;EOMONTH(L$5,0),DWbonus[[Bookie]:[Bookie]],$K32)+SUMIFS(LayTable[[Faktisk res]:[Faktisk res]],LayTable[[Dato]:[Dato]],"&gt;="&amp;L$5,LayTable[[Dato]:[Dato]],"&lt;="&amp;EOMONTH(L$5,0),LayTable[[Bookmaker]:[Bookmaker]],$K32)+SUMIFS(BetTable[[AR_per_bookie]:[AR_per_bookie]],BetTable[[B1]:[B1]],$K32,BetTable[[Date]:[Date]], "&gt;="&amp;L$5,BetTable[[Date]:[Date]],"&lt;="&amp;EOMONTH(L$5,0))+SUMIFS(BetTable[[AR_per_bookie]:[AR_per_bookie]],BetTable[[B2]:[B2]],$K32,BetTable[[Date]:[Date]], "&gt;="&amp;L$5,BetTable[[Date]:[Date]],"&lt;="&amp;EOMONTH(L$5,0))+SUMIFS(BetTable[[AR_per_bookie]:[AR_per_bookie]],BetTable[[B3]:[B3]],$K32,BetTable[[Date]:[Date]], "&gt;="&amp;L$5,BetTable[[Date]:[Date]],"&lt;="&amp;EOMONTH(L$5,0))</f>
        <v>0</v>
      </c>
      <c r="M32" s="186">
        <f>SUMIFS(DWbonus[[Sum]:[Sum]],DWbonus[[Dato]:[Dato]], "&gt;="&amp;M$5,DWbonus[[Dato]:[Dato]],"&lt;="&amp;EOMONTH(M$5,0),DWbonus[[Bookie]:[Bookie]],$K32)+SUMIFS(LayTable[[Faktisk res]:[Faktisk res]],LayTable[[Dato]:[Dato]],"&gt;="&amp;M$5,LayTable[[Dato]:[Dato]],"&lt;="&amp;EOMONTH(M$5,0),LayTable[[Bookmaker]:[Bookmaker]],$K32)+SUMIFS(BetTable[[AR_per_bookie]:[AR_per_bookie]],BetTable[[B1]:[B1]],$K32,BetTable[[Date]:[Date]], "&gt;="&amp;M$5,BetTable[[Date]:[Date]],"&lt;="&amp;EOMONTH(M$5,0))+SUMIFS(BetTable[[AR_per_bookie]:[AR_per_bookie]],BetTable[[B2]:[B2]],$K32,BetTable[[Date]:[Date]], "&gt;="&amp;M$5,BetTable[[Date]:[Date]],"&lt;="&amp;EOMONTH(M$5,0))+SUMIFS(BetTable[[AR_per_bookie]:[AR_per_bookie]],BetTable[[B3]:[B3]],$K32,BetTable[[Date]:[Date]], "&gt;="&amp;M$5,BetTable[[Date]:[Date]],"&lt;="&amp;EOMONTH(M$5,0))</f>
        <v>0</v>
      </c>
      <c r="N32" s="186">
        <f>SUMIFS(DWbonus[[Sum]:[Sum]],DWbonus[[Dato]:[Dato]], "&gt;="&amp;N$5,DWbonus[[Dato]:[Dato]],"&lt;="&amp;EOMONTH(N$5,0),DWbonus[[Bookie]:[Bookie]],$K32)+SUMIFS(LayTable[[Faktisk res]:[Faktisk res]],LayTable[[Dato]:[Dato]],"&gt;="&amp;N$5,LayTable[[Dato]:[Dato]],"&lt;="&amp;EOMONTH(N$5,0),LayTable[[Bookmaker]:[Bookmaker]],$K32)+SUMIFS(BetTable[[AR_per_bookie]:[AR_per_bookie]],BetTable[[B1]:[B1]],$K32,BetTable[[Date]:[Date]], "&gt;="&amp;N$5,BetTable[[Date]:[Date]],"&lt;="&amp;EOMONTH(N$5,0))+SUMIFS(BetTable[[AR_per_bookie]:[AR_per_bookie]],BetTable[[B2]:[B2]],$K32,BetTable[[Date]:[Date]], "&gt;="&amp;N$5,BetTable[[Date]:[Date]],"&lt;="&amp;EOMONTH(N$5,0))+SUMIFS(BetTable[[AR_per_bookie]:[AR_per_bookie]],BetTable[[B3]:[B3]],$K32,BetTable[[Date]:[Date]], "&gt;="&amp;N$5,BetTable[[Date]:[Date]],"&lt;="&amp;EOMONTH(N$5,0))</f>
        <v>0</v>
      </c>
      <c r="O32" s="186">
        <f>SUMIFS(DWbonus[[Sum]:[Sum]],DWbonus[[Dato]:[Dato]], "&gt;="&amp;O$5,DWbonus[[Dato]:[Dato]],"&lt;="&amp;EOMONTH(O$5,0),DWbonus[[Bookie]:[Bookie]],$K32)+SUMIFS(LayTable[[Faktisk res]:[Faktisk res]],LayTable[[Dato]:[Dato]],"&gt;="&amp;O$5,LayTable[[Dato]:[Dato]],"&lt;="&amp;EOMONTH(O$5,0),LayTable[[Bookmaker]:[Bookmaker]],$K32)+SUMIFS(BetTable[[AR_per_bookie]:[AR_per_bookie]],BetTable[[B1]:[B1]],$K32,BetTable[[Date]:[Date]], "&gt;="&amp;O$5,BetTable[[Date]:[Date]],"&lt;="&amp;EOMONTH(O$5,0))+SUMIFS(BetTable[[AR_per_bookie]:[AR_per_bookie]],BetTable[[B2]:[B2]],$K32,BetTable[[Date]:[Date]], "&gt;="&amp;O$5,BetTable[[Date]:[Date]],"&lt;="&amp;EOMONTH(O$5,0))+SUMIFS(BetTable[[AR_per_bookie]:[AR_per_bookie]],BetTable[[B3]:[B3]],$K32,BetTable[[Date]:[Date]], "&gt;="&amp;O$5,BetTable[[Date]:[Date]],"&lt;="&amp;EOMONTH(O$5,0))</f>
        <v>0</v>
      </c>
      <c r="P32" s="186">
        <f>SUMIFS(DWbonus[[Sum]:[Sum]],DWbonus[[Dato]:[Dato]], "&gt;="&amp;P$5,DWbonus[[Dato]:[Dato]],"&lt;="&amp;EOMONTH(P$5,0),DWbonus[[Bookie]:[Bookie]],$K32)+SUMIFS(LayTable[[Faktisk res]:[Faktisk res]],LayTable[[Dato]:[Dato]],"&gt;="&amp;P$5,LayTable[[Dato]:[Dato]],"&lt;="&amp;EOMONTH(P$5,0),LayTable[[Bookmaker]:[Bookmaker]],$K32)+SUMIFS(BetTable[[AR_per_bookie]:[AR_per_bookie]],BetTable[[B1]:[B1]],$K32,BetTable[[Date]:[Date]], "&gt;="&amp;P$5,BetTable[[Date]:[Date]],"&lt;="&amp;EOMONTH(P$5,0))+SUMIFS(BetTable[[AR_per_bookie]:[AR_per_bookie]],BetTable[[B2]:[B2]],$K32,BetTable[[Date]:[Date]], "&gt;="&amp;P$5,BetTable[[Date]:[Date]],"&lt;="&amp;EOMONTH(P$5,0))+SUMIFS(BetTable[[AR_per_bookie]:[AR_per_bookie]],BetTable[[B3]:[B3]],$K32,BetTable[[Date]:[Date]], "&gt;="&amp;P$5,BetTable[[Date]:[Date]],"&lt;="&amp;EOMONTH(P$5,0))</f>
        <v>0</v>
      </c>
      <c r="Q32" s="186">
        <f>SUMIFS(DWbonus[[Sum]:[Sum]],DWbonus[[Dato]:[Dato]], "&gt;="&amp;Q$5,DWbonus[[Dato]:[Dato]],"&lt;="&amp;EOMONTH(Q$5,0),DWbonus[[Bookie]:[Bookie]],$K32)+SUMIFS(LayTable[[Faktisk res]:[Faktisk res]],LayTable[[Dato]:[Dato]],"&gt;="&amp;Q$5,LayTable[[Dato]:[Dato]],"&lt;="&amp;EOMONTH(Q$5,0),LayTable[[Bookmaker]:[Bookmaker]],$K32)+SUMIFS(BetTable[[AR_per_bookie]:[AR_per_bookie]],BetTable[[B1]:[B1]],$K32,BetTable[[Date]:[Date]], "&gt;="&amp;Q$5,BetTable[[Date]:[Date]],"&lt;="&amp;EOMONTH(Q$5,0))+SUMIFS(BetTable[[AR_per_bookie]:[AR_per_bookie]],BetTable[[B2]:[B2]],$K32,BetTable[[Date]:[Date]], "&gt;="&amp;Q$5,BetTable[[Date]:[Date]],"&lt;="&amp;EOMONTH(Q$5,0))+SUMIFS(BetTable[[AR_per_bookie]:[AR_per_bookie]],BetTable[[B3]:[B3]],$K32,BetTable[[Date]:[Date]], "&gt;="&amp;Q$5,BetTable[[Date]:[Date]],"&lt;="&amp;EOMONTH(Q$5,0))</f>
        <v>0</v>
      </c>
      <c r="R32" s="186">
        <f>SUMIFS(DWbonus[[Sum]:[Sum]],DWbonus[[Dato]:[Dato]], "&gt;="&amp;R$5,DWbonus[[Dato]:[Dato]],"&lt;="&amp;EOMONTH(R$5,0),DWbonus[[Bookie]:[Bookie]],$K32)+SUMIFS(LayTable[[Faktisk res]:[Faktisk res]],LayTable[[Dato]:[Dato]],"&gt;="&amp;R$5,LayTable[[Dato]:[Dato]],"&lt;="&amp;EOMONTH(R$5,0),LayTable[[Bookmaker]:[Bookmaker]],$K32)+SUMIFS(BetTable[[AR_per_bookie]:[AR_per_bookie]],BetTable[[B1]:[B1]],$K32,BetTable[[Date]:[Date]], "&gt;="&amp;R$5,BetTable[[Date]:[Date]],"&lt;="&amp;EOMONTH(R$5,0))+SUMIFS(BetTable[[AR_per_bookie]:[AR_per_bookie]],BetTable[[B2]:[B2]],$K32,BetTable[[Date]:[Date]], "&gt;="&amp;R$5,BetTable[[Date]:[Date]],"&lt;="&amp;EOMONTH(R$5,0))+SUMIFS(BetTable[[AR_per_bookie]:[AR_per_bookie]],BetTable[[B3]:[B3]],$K32,BetTable[[Date]:[Date]], "&gt;="&amp;R$5,BetTable[[Date]:[Date]],"&lt;="&amp;EOMONTH(R$5,0))</f>
        <v>0</v>
      </c>
      <c r="S32" s="186">
        <f>SUMIFS(DWbonus[[Sum]:[Sum]],DWbonus[[Dato]:[Dato]], "&gt;="&amp;S$5,DWbonus[[Dato]:[Dato]],"&lt;="&amp;EOMONTH(S$5,0),DWbonus[[Bookie]:[Bookie]],$K32)+SUMIFS(LayTable[[Faktisk res]:[Faktisk res]],LayTable[[Dato]:[Dato]],"&gt;="&amp;S$5,LayTable[[Dato]:[Dato]],"&lt;="&amp;EOMONTH(S$5,0),LayTable[[Bookmaker]:[Bookmaker]],$K32)+SUMIFS(BetTable[[AR_per_bookie]:[AR_per_bookie]],BetTable[[B1]:[B1]],$K32,BetTable[[Date]:[Date]], "&gt;="&amp;S$5,BetTable[[Date]:[Date]],"&lt;="&amp;EOMONTH(S$5,0))+SUMIFS(BetTable[[AR_per_bookie]:[AR_per_bookie]],BetTable[[B2]:[B2]],$K32,BetTable[[Date]:[Date]], "&gt;="&amp;S$5,BetTable[[Date]:[Date]],"&lt;="&amp;EOMONTH(S$5,0))+SUMIFS(BetTable[[AR_per_bookie]:[AR_per_bookie]],BetTable[[B3]:[B3]],$K32,BetTable[[Date]:[Date]], "&gt;="&amp;S$5,BetTable[[Date]:[Date]],"&lt;="&amp;EOMONTH(S$5,0))</f>
        <v>0</v>
      </c>
      <c r="T32" s="186">
        <f>SUMIFS(DWbonus[[Sum]:[Sum]],DWbonus[[Dato]:[Dato]], "&gt;="&amp;T$5,DWbonus[[Dato]:[Dato]],"&lt;="&amp;EOMONTH(T$5,0),DWbonus[[Bookie]:[Bookie]],$K32)+SUMIFS(LayTable[[Faktisk res]:[Faktisk res]],LayTable[[Dato]:[Dato]],"&gt;="&amp;T$5,LayTable[[Dato]:[Dato]],"&lt;="&amp;EOMONTH(T$5,0),LayTable[[Bookmaker]:[Bookmaker]],$K32)+SUMIFS(BetTable[[AR_per_bookie]:[AR_per_bookie]],BetTable[[B1]:[B1]],$K32,BetTable[[Date]:[Date]], "&gt;="&amp;T$5,BetTable[[Date]:[Date]],"&lt;="&amp;EOMONTH(T$5,0))+SUMIFS(BetTable[[AR_per_bookie]:[AR_per_bookie]],BetTable[[B2]:[B2]],$K32,BetTable[[Date]:[Date]], "&gt;="&amp;T$5,BetTable[[Date]:[Date]],"&lt;="&amp;EOMONTH(T$5,0))+SUMIFS(BetTable[[AR_per_bookie]:[AR_per_bookie]],BetTable[[B3]:[B3]],$K32,BetTable[[Date]:[Date]], "&gt;="&amp;T$5,BetTable[[Date]:[Date]],"&lt;="&amp;EOMONTH(T$5,0))</f>
        <v>0</v>
      </c>
      <c r="U32" s="186">
        <f>SUMIFS(DWbonus[[Sum]:[Sum]],DWbonus[[Dato]:[Dato]], "&gt;="&amp;U$5,DWbonus[[Dato]:[Dato]],"&lt;="&amp;EOMONTH(U$5,0),DWbonus[[Bookie]:[Bookie]],$K32)+SUMIFS(LayTable[[Faktisk res]:[Faktisk res]],LayTable[[Dato]:[Dato]],"&gt;="&amp;U$5,LayTable[[Dato]:[Dato]],"&lt;="&amp;EOMONTH(U$5,0),LayTable[[Bookmaker]:[Bookmaker]],$K32)+SUMIFS(BetTable[[AR_per_bookie]:[AR_per_bookie]],BetTable[[B1]:[B1]],$K32,BetTable[[Date]:[Date]], "&gt;="&amp;U$5,BetTable[[Date]:[Date]],"&lt;="&amp;EOMONTH(U$5,0))+SUMIFS(BetTable[[AR_per_bookie]:[AR_per_bookie]],BetTable[[B2]:[B2]],$K32,BetTable[[Date]:[Date]], "&gt;="&amp;U$5,BetTable[[Date]:[Date]],"&lt;="&amp;EOMONTH(U$5,0))+SUMIFS(BetTable[[AR_per_bookie]:[AR_per_bookie]],BetTable[[B3]:[B3]],$K32,BetTable[[Date]:[Date]], "&gt;="&amp;U$5,BetTable[[Date]:[Date]],"&lt;="&amp;EOMONTH(U$5,0))</f>
        <v>0</v>
      </c>
      <c r="V32" s="186">
        <f>SUMIFS(DWbonus[[Sum]:[Sum]],DWbonus[[Dato]:[Dato]], "&gt;="&amp;V$5,DWbonus[[Dato]:[Dato]],"&lt;="&amp;EOMONTH(V$5,0),DWbonus[[Bookie]:[Bookie]],$K32)+SUMIFS(LayTable[[Faktisk res]:[Faktisk res]],LayTable[[Dato]:[Dato]],"&gt;="&amp;V$5,LayTable[[Dato]:[Dato]],"&lt;="&amp;EOMONTH(V$5,0),LayTable[[Bookmaker]:[Bookmaker]],$K32)+SUMIFS(BetTable[[AR_per_bookie]:[AR_per_bookie]],BetTable[[B1]:[B1]],$K32,BetTable[[Date]:[Date]], "&gt;="&amp;V$5,BetTable[[Date]:[Date]],"&lt;="&amp;EOMONTH(V$5,0))+SUMIFS(BetTable[[AR_per_bookie]:[AR_per_bookie]],BetTable[[B2]:[B2]],$K32,BetTable[[Date]:[Date]], "&gt;="&amp;V$5,BetTable[[Date]:[Date]],"&lt;="&amp;EOMONTH(V$5,0))+SUMIFS(BetTable[[AR_per_bookie]:[AR_per_bookie]],BetTable[[B3]:[B3]],$K32,BetTable[[Date]:[Date]], "&gt;="&amp;V$5,BetTable[[Date]:[Date]],"&lt;="&amp;EOMONTH(V$5,0))</f>
        <v>0</v>
      </c>
      <c r="W32" s="186">
        <f>SUMIFS(DWbonus[[Sum]:[Sum]],DWbonus[[Dato]:[Dato]], "&gt;="&amp;W$5,DWbonus[[Dato]:[Dato]],"&lt;="&amp;EOMONTH(W$5,0),DWbonus[[Bookie]:[Bookie]],$K32)+SUMIFS(LayTable[[Faktisk res]:[Faktisk res]],LayTable[[Dato]:[Dato]],"&gt;="&amp;W$5,LayTable[[Dato]:[Dato]],"&lt;="&amp;EOMONTH(W$5,0),LayTable[[Bookmaker]:[Bookmaker]],$K32)+SUMIFS(BetTable[[AR_per_bookie]:[AR_per_bookie]],BetTable[[B1]:[B1]],$K32,BetTable[[Date]:[Date]], "&gt;="&amp;W$5,BetTable[[Date]:[Date]],"&lt;="&amp;EOMONTH(W$5,0))+SUMIFS(BetTable[[AR_per_bookie]:[AR_per_bookie]],BetTable[[B2]:[B2]],$K32,BetTable[[Date]:[Date]], "&gt;="&amp;W$5,BetTable[[Date]:[Date]],"&lt;="&amp;EOMONTH(W$5,0))+SUMIFS(BetTable[[AR_per_bookie]:[AR_per_bookie]],BetTable[[B3]:[B3]],$K32,BetTable[[Date]:[Date]], "&gt;="&amp;W$5,BetTable[[Date]:[Date]],"&lt;="&amp;EOMONTH(W$5,0))</f>
        <v>0</v>
      </c>
    </row>
    <row r="33" spans="11:23">
      <c r="K33" s="174" t="str">
        <f t="array" ref="K33">IFERROR(INDEX(BookieNavn!H$2:H$1251,SMALL(IF(EXACT(LEFT(BookieNavn!H$2:H$1251,2),M$3),ROW(BookieNavn!H$2:H$1251)-ROW(BookieNavn!H$2)+1),ROWS(BookieNavn!H$2:'BookieNavn'!H28))),"")</f>
        <v/>
      </c>
      <c r="L33" s="186">
        <f>SUMIFS(DWbonus[[Sum]:[Sum]],DWbonus[[Dato]:[Dato]], "&gt;="&amp;L$5,DWbonus[[Dato]:[Dato]],"&lt;="&amp;EOMONTH(L$5,0),DWbonus[[Bookie]:[Bookie]],$K33)+SUMIFS(LayTable[[Faktisk res]:[Faktisk res]],LayTable[[Dato]:[Dato]],"&gt;="&amp;L$5,LayTable[[Dato]:[Dato]],"&lt;="&amp;EOMONTH(L$5,0),LayTable[[Bookmaker]:[Bookmaker]],$K33)+SUMIFS(BetTable[[AR_per_bookie]:[AR_per_bookie]],BetTable[[B1]:[B1]],$K33,BetTable[[Date]:[Date]], "&gt;="&amp;L$5,BetTable[[Date]:[Date]],"&lt;="&amp;EOMONTH(L$5,0))+SUMIFS(BetTable[[AR_per_bookie]:[AR_per_bookie]],BetTable[[B2]:[B2]],$K33,BetTable[[Date]:[Date]], "&gt;="&amp;L$5,BetTable[[Date]:[Date]],"&lt;="&amp;EOMONTH(L$5,0))+SUMIFS(BetTable[[AR_per_bookie]:[AR_per_bookie]],BetTable[[B3]:[B3]],$K33,BetTable[[Date]:[Date]], "&gt;="&amp;L$5,BetTable[[Date]:[Date]],"&lt;="&amp;EOMONTH(L$5,0))</f>
        <v>0</v>
      </c>
      <c r="M33" s="186">
        <f>SUMIFS(DWbonus[[Sum]:[Sum]],DWbonus[[Dato]:[Dato]], "&gt;="&amp;M$5,DWbonus[[Dato]:[Dato]],"&lt;="&amp;EOMONTH(M$5,0),DWbonus[[Bookie]:[Bookie]],$K33)+SUMIFS(LayTable[[Faktisk res]:[Faktisk res]],LayTable[[Dato]:[Dato]],"&gt;="&amp;M$5,LayTable[[Dato]:[Dato]],"&lt;="&amp;EOMONTH(M$5,0),LayTable[[Bookmaker]:[Bookmaker]],$K33)+SUMIFS(BetTable[[AR_per_bookie]:[AR_per_bookie]],BetTable[[B1]:[B1]],$K33,BetTable[[Date]:[Date]], "&gt;="&amp;M$5,BetTable[[Date]:[Date]],"&lt;="&amp;EOMONTH(M$5,0))+SUMIFS(BetTable[[AR_per_bookie]:[AR_per_bookie]],BetTable[[B2]:[B2]],$K33,BetTable[[Date]:[Date]], "&gt;="&amp;M$5,BetTable[[Date]:[Date]],"&lt;="&amp;EOMONTH(M$5,0))+SUMIFS(BetTable[[AR_per_bookie]:[AR_per_bookie]],BetTable[[B3]:[B3]],$K33,BetTable[[Date]:[Date]], "&gt;="&amp;M$5,BetTable[[Date]:[Date]],"&lt;="&amp;EOMONTH(M$5,0))</f>
        <v>0</v>
      </c>
      <c r="N33" s="186">
        <f>SUMIFS(DWbonus[[Sum]:[Sum]],DWbonus[[Dato]:[Dato]], "&gt;="&amp;N$5,DWbonus[[Dato]:[Dato]],"&lt;="&amp;EOMONTH(N$5,0),DWbonus[[Bookie]:[Bookie]],$K33)+SUMIFS(LayTable[[Faktisk res]:[Faktisk res]],LayTable[[Dato]:[Dato]],"&gt;="&amp;N$5,LayTable[[Dato]:[Dato]],"&lt;="&amp;EOMONTH(N$5,0),LayTable[[Bookmaker]:[Bookmaker]],$K33)+SUMIFS(BetTable[[AR_per_bookie]:[AR_per_bookie]],BetTable[[B1]:[B1]],$K33,BetTable[[Date]:[Date]], "&gt;="&amp;N$5,BetTable[[Date]:[Date]],"&lt;="&amp;EOMONTH(N$5,0))+SUMIFS(BetTable[[AR_per_bookie]:[AR_per_bookie]],BetTable[[B2]:[B2]],$K33,BetTable[[Date]:[Date]], "&gt;="&amp;N$5,BetTable[[Date]:[Date]],"&lt;="&amp;EOMONTH(N$5,0))+SUMIFS(BetTable[[AR_per_bookie]:[AR_per_bookie]],BetTable[[B3]:[B3]],$K33,BetTable[[Date]:[Date]], "&gt;="&amp;N$5,BetTable[[Date]:[Date]],"&lt;="&amp;EOMONTH(N$5,0))</f>
        <v>0</v>
      </c>
      <c r="O33" s="186">
        <f>SUMIFS(DWbonus[[Sum]:[Sum]],DWbonus[[Dato]:[Dato]], "&gt;="&amp;O$5,DWbonus[[Dato]:[Dato]],"&lt;="&amp;EOMONTH(O$5,0),DWbonus[[Bookie]:[Bookie]],$K33)+SUMIFS(LayTable[[Faktisk res]:[Faktisk res]],LayTable[[Dato]:[Dato]],"&gt;="&amp;O$5,LayTable[[Dato]:[Dato]],"&lt;="&amp;EOMONTH(O$5,0),LayTable[[Bookmaker]:[Bookmaker]],$K33)+SUMIFS(BetTable[[AR_per_bookie]:[AR_per_bookie]],BetTable[[B1]:[B1]],$K33,BetTable[[Date]:[Date]], "&gt;="&amp;O$5,BetTable[[Date]:[Date]],"&lt;="&amp;EOMONTH(O$5,0))+SUMIFS(BetTable[[AR_per_bookie]:[AR_per_bookie]],BetTable[[B2]:[B2]],$K33,BetTable[[Date]:[Date]], "&gt;="&amp;O$5,BetTable[[Date]:[Date]],"&lt;="&amp;EOMONTH(O$5,0))+SUMIFS(BetTable[[AR_per_bookie]:[AR_per_bookie]],BetTable[[B3]:[B3]],$K33,BetTable[[Date]:[Date]], "&gt;="&amp;O$5,BetTable[[Date]:[Date]],"&lt;="&amp;EOMONTH(O$5,0))</f>
        <v>0</v>
      </c>
      <c r="P33" s="186">
        <f>SUMIFS(DWbonus[[Sum]:[Sum]],DWbonus[[Dato]:[Dato]], "&gt;="&amp;P$5,DWbonus[[Dato]:[Dato]],"&lt;="&amp;EOMONTH(P$5,0),DWbonus[[Bookie]:[Bookie]],$K33)+SUMIFS(LayTable[[Faktisk res]:[Faktisk res]],LayTable[[Dato]:[Dato]],"&gt;="&amp;P$5,LayTable[[Dato]:[Dato]],"&lt;="&amp;EOMONTH(P$5,0),LayTable[[Bookmaker]:[Bookmaker]],$K33)+SUMIFS(BetTable[[AR_per_bookie]:[AR_per_bookie]],BetTable[[B1]:[B1]],$K33,BetTable[[Date]:[Date]], "&gt;="&amp;P$5,BetTable[[Date]:[Date]],"&lt;="&amp;EOMONTH(P$5,0))+SUMIFS(BetTable[[AR_per_bookie]:[AR_per_bookie]],BetTable[[B2]:[B2]],$K33,BetTable[[Date]:[Date]], "&gt;="&amp;P$5,BetTable[[Date]:[Date]],"&lt;="&amp;EOMONTH(P$5,0))+SUMIFS(BetTable[[AR_per_bookie]:[AR_per_bookie]],BetTable[[B3]:[B3]],$K33,BetTable[[Date]:[Date]], "&gt;="&amp;P$5,BetTable[[Date]:[Date]],"&lt;="&amp;EOMONTH(P$5,0))</f>
        <v>0</v>
      </c>
      <c r="Q33" s="186">
        <f>SUMIFS(DWbonus[[Sum]:[Sum]],DWbonus[[Dato]:[Dato]], "&gt;="&amp;Q$5,DWbonus[[Dato]:[Dato]],"&lt;="&amp;EOMONTH(Q$5,0),DWbonus[[Bookie]:[Bookie]],$K33)+SUMIFS(LayTable[[Faktisk res]:[Faktisk res]],LayTable[[Dato]:[Dato]],"&gt;="&amp;Q$5,LayTable[[Dato]:[Dato]],"&lt;="&amp;EOMONTH(Q$5,0),LayTable[[Bookmaker]:[Bookmaker]],$K33)+SUMIFS(BetTable[[AR_per_bookie]:[AR_per_bookie]],BetTable[[B1]:[B1]],$K33,BetTable[[Date]:[Date]], "&gt;="&amp;Q$5,BetTable[[Date]:[Date]],"&lt;="&amp;EOMONTH(Q$5,0))+SUMIFS(BetTable[[AR_per_bookie]:[AR_per_bookie]],BetTable[[B2]:[B2]],$K33,BetTable[[Date]:[Date]], "&gt;="&amp;Q$5,BetTable[[Date]:[Date]],"&lt;="&amp;EOMONTH(Q$5,0))+SUMIFS(BetTable[[AR_per_bookie]:[AR_per_bookie]],BetTable[[B3]:[B3]],$K33,BetTable[[Date]:[Date]], "&gt;="&amp;Q$5,BetTable[[Date]:[Date]],"&lt;="&amp;EOMONTH(Q$5,0))</f>
        <v>0</v>
      </c>
      <c r="R33" s="186">
        <f>SUMIFS(DWbonus[[Sum]:[Sum]],DWbonus[[Dato]:[Dato]], "&gt;="&amp;R$5,DWbonus[[Dato]:[Dato]],"&lt;="&amp;EOMONTH(R$5,0),DWbonus[[Bookie]:[Bookie]],$K33)+SUMIFS(LayTable[[Faktisk res]:[Faktisk res]],LayTable[[Dato]:[Dato]],"&gt;="&amp;R$5,LayTable[[Dato]:[Dato]],"&lt;="&amp;EOMONTH(R$5,0),LayTable[[Bookmaker]:[Bookmaker]],$K33)+SUMIFS(BetTable[[AR_per_bookie]:[AR_per_bookie]],BetTable[[B1]:[B1]],$K33,BetTable[[Date]:[Date]], "&gt;="&amp;R$5,BetTable[[Date]:[Date]],"&lt;="&amp;EOMONTH(R$5,0))+SUMIFS(BetTable[[AR_per_bookie]:[AR_per_bookie]],BetTable[[B2]:[B2]],$K33,BetTable[[Date]:[Date]], "&gt;="&amp;R$5,BetTable[[Date]:[Date]],"&lt;="&amp;EOMONTH(R$5,0))+SUMIFS(BetTable[[AR_per_bookie]:[AR_per_bookie]],BetTable[[B3]:[B3]],$K33,BetTable[[Date]:[Date]], "&gt;="&amp;R$5,BetTable[[Date]:[Date]],"&lt;="&amp;EOMONTH(R$5,0))</f>
        <v>0</v>
      </c>
      <c r="S33" s="186">
        <f>SUMIFS(DWbonus[[Sum]:[Sum]],DWbonus[[Dato]:[Dato]], "&gt;="&amp;S$5,DWbonus[[Dato]:[Dato]],"&lt;="&amp;EOMONTH(S$5,0),DWbonus[[Bookie]:[Bookie]],$K33)+SUMIFS(LayTable[[Faktisk res]:[Faktisk res]],LayTable[[Dato]:[Dato]],"&gt;="&amp;S$5,LayTable[[Dato]:[Dato]],"&lt;="&amp;EOMONTH(S$5,0),LayTable[[Bookmaker]:[Bookmaker]],$K33)+SUMIFS(BetTable[[AR_per_bookie]:[AR_per_bookie]],BetTable[[B1]:[B1]],$K33,BetTable[[Date]:[Date]], "&gt;="&amp;S$5,BetTable[[Date]:[Date]],"&lt;="&amp;EOMONTH(S$5,0))+SUMIFS(BetTable[[AR_per_bookie]:[AR_per_bookie]],BetTable[[B2]:[B2]],$K33,BetTable[[Date]:[Date]], "&gt;="&amp;S$5,BetTable[[Date]:[Date]],"&lt;="&amp;EOMONTH(S$5,0))+SUMIFS(BetTable[[AR_per_bookie]:[AR_per_bookie]],BetTable[[B3]:[B3]],$K33,BetTable[[Date]:[Date]], "&gt;="&amp;S$5,BetTable[[Date]:[Date]],"&lt;="&amp;EOMONTH(S$5,0))</f>
        <v>0</v>
      </c>
      <c r="T33" s="186">
        <f>SUMIFS(DWbonus[[Sum]:[Sum]],DWbonus[[Dato]:[Dato]], "&gt;="&amp;T$5,DWbonus[[Dato]:[Dato]],"&lt;="&amp;EOMONTH(T$5,0),DWbonus[[Bookie]:[Bookie]],$K33)+SUMIFS(LayTable[[Faktisk res]:[Faktisk res]],LayTable[[Dato]:[Dato]],"&gt;="&amp;T$5,LayTable[[Dato]:[Dato]],"&lt;="&amp;EOMONTH(T$5,0),LayTable[[Bookmaker]:[Bookmaker]],$K33)+SUMIFS(BetTable[[AR_per_bookie]:[AR_per_bookie]],BetTable[[B1]:[B1]],$K33,BetTable[[Date]:[Date]], "&gt;="&amp;T$5,BetTable[[Date]:[Date]],"&lt;="&amp;EOMONTH(T$5,0))+SUMIFS(BetTable[[AR_per_bookie]:[AR_per_bookie]],BetTable[[B2]:[B2]],$K33,BetTable[[Date]:[Date]], "&gt;="&amp;T$5,BetTable[[Date]:[Date]],"&lt;="&amp;EOMONTH(T$5,0))+SUMIFS(BetTable[[AR_per_bookie]:[AR_per_bookie]],BetTable[[B3]:[B3]],$K33,BetTable[[Date]:[Date]], "&gt;="&amp;T$5,BetTable[[Date]:[Date]],"&lt;="&amp;EOMONTH(T$5,0))</f>
        <v>0</v>
      </c>
      <c r="U33" s="186">
        <f>SUMIFS(DWbonus[[Sum]:[Sum]],DWbonus[[Dato]:[Dato]], "&gt;="&amp;U$5,DWbonus[[Dato]:[Dato]],"&lt;="&amp;EOMONTH(U$5,0),DWbonus[[Bookie]:[Bookie]],$K33)+SUMIFS(LayTable[[Faktisk res]:[Faktisk res]],LayTable[[Dato]:[Dato]],"&gt;="&amp;U$5,LayTable[[Dato]:[Dato]],"&lt;="&amp;EOMONTH(U$5,0),LayTable[[Bookmaker]:[Bookmaker]],$K33)+SUMIFS(BetTable[[AR_per_bookie]:[AR_per_bookie]],BetTable[[B1]:[B1]],$K33,BetTable[[Date]:[Date]], "&gt;="&amp;U$5,BetTable[[Date]:[Date]],"&lt;="&amp;EOMONTH(U$5,0))+SUMIFS(BetTable[[AR_per_bookie]:[AR_per_bookie]],BetTable[[B2]:[B2]],$K33,BetTable[[Date]:[Date]], "&gt;="&amp;U$5,BetTable[[Date]:[Date]],"&lt;="&amp;EOMONTH(U$5,0))+SUMIFS(BetTable[[AR_per_bookie]:[AR_per_bookie]],BetTable[[B3]:[B3]],$K33,BetTable[[Date]:[Date]], "&gt;="&amp;U$5,BetTable[[Date]:[Date]],"&lt;="&amp;EOMONTH(U$5,0))</f>
        <v>0</v>
      </c>
      <c r="V33" s="186">
        <f>SUMIFS(DWbonus[[Sum]:[Sum]],DWbonus[[Dato]:[Dato]], "&gt;="&amp;V$5,DWbonus[[Dato]:[Dato]],"&lt;="&amp;EOMONTH(V$5,0),DWbonus[[Bookie]:[Bookie]],$K33)+SUMIFS(LayTable[[Faktisk res]:[Faktisk res]],LayTable[[Dato]:[Dato]],"&gt;="&amp;V$5,LayTable[[Dato]:[Dato]],"&lt;="&amp;EOMONTH(V$5,0),LayTable[[Bookmaker]:[Bookmaker]],$K33)+SUMIFS(BetTable[[AR_per_bookie]:[AR_per_bookie]],BetTable[[B1]:[B1]],$K33,BetTable[[Date]:[Date]], "&gt;="&amp;V$5,BetTable[[Date]:[Date]],"&lt;="&amp;EOMONTH(V$5,0))+SUMIFS(BetTable[[AR_per_bookie]:[AR_per_bookie]],BetTable[[B2]:[B2]],$K33,BetTable[[Date]:[Date]], "&gt;="&amp;V$5,BetTable[[Date]:[Date]],"&lt;="&amp;EOMONTH(V$5,0))+SUMIFS(BetTable[[AR_per_bookie]:[AR_per_bookie]],BetTable[[B3]:[B3]],$K33,BetTable[[Date]:[Date]], "&gt;="&amp;V$5,BetTable[[Date]:[Date]],"&lt;="&amp;EOMONTH(V$5,0))</f>
        <v>0</v>
      </c>
      <c r="W33" s="186">
        <f>SUMIFS(DWbonus[[Sum]:[Sum]],DWbonus[[Dato]:[Dato]], "&gt;="&amp;W$5,DWbonus[[Dato]:[Dato]],"&lt;="&amp;EOMONTH(W$5,0),DWbonus[[Bookie]:[Bookie]],$K33)+SUMIFS(LayTable[[Faktisk res]:[Faktisk res]],LayTable[[Dato]:[Dato]],"&gt;="&amp;W$5,LayTable[[Dato]:[Dato]],"&lt;="&amp;EOMONTH(W$5,0),LayTable[[Bookmaker]:[Bookmaker]],$K33)+SUMIFS(BetTable[[AR_per_bookie]:[AR_per_bookie]],BetTable[[B1]:[B1]],$K33,BetTable[[Date]:[Date]], "&gt;="&amp;W$5,BetTable[[Date]:[Date]],"&lt;="&amp;EOMONTH(W$5,0))+SUMIFS(BetTable[[AR_per_bookie]:[AR_per_bookie]],BetTable[[B2]:[B2]],$K33,BetTable[[Date]:[Date]], "&gt;="&amp;W$5,BetTable[[Date]:[Date]],"&lt;="&amp;EOMONTH(W$5,0))+SUMIFS(BetTable[[AR_per_bookie]:[AR_per_bookie]],BetTable[[B3]:[B3]],$K33,BetTable[[Date]:[Date]], "&gt;="&amp;W$5,BetTable[[Date]:[Date]],"&lt;="&amp;EOMONTH(W$5,0))</f>
        <v>0</v>
      </c>
    </row>
    <row r="34" spans="11:23">
      <c r="K34" s="174" t="str">
        <f t="array" ref="K34">IFERROR(INDEX(BookieNavn!H$2:H$1251,SMALL(IF(EXACT(LEFT(BookieNavn!H$2:H$1251,2),M$3),ROW(BookieNavn!H$2:H$1251)-ROW(BookieNavn!H$2)+1),ROWS(BookieNavn!H$2:'BookieNavn'!H29))),"")</f>
        <v/>
      </c>
      <c r="L34" s="186">
        <f>SUMIFS(DWbonus[[Sum]:[Sum]],DWbonus[[Dato]:[Dato]], "&gt;="&amp;L$5,DWbonus[[Dato]:[Dato]],"&lt;="&amp;EOMONTH(L$5,0),DWbonus[[Bookie]:[Bookie]],$K34)+SUMIFS(LayTable[[Faktisk res]:[Faktisk res]],LayTable[[Dato]:[Dato]],"&gt;="&amp;L$5,LayTable[[Dato]:[Dato]],"&lt;="&amp;EOMONTH(L$5,0),LayTable[[Bookmaker]:[Bookmaker]],$K34)+SUMIFS(BetTable[[AR_per_bookie]:[AR_per_bookie]],BetTable[[B1]:[B1]],$K34,BetTable[[Date]:[Date]], "&gt;="&amp;L$5,BetTable[[Date]:[Date]],"&lt;="&amp;EOMONTH(L$5,0))+SUMIFS(BetTable[[AR_per_bookie]:[AR_per_bookie]],BetTable[[B2]:[B2]],$K34,BetTable[[Date]:[Date]], "&gt;="&amp;L$5,BetTable[[Date]:[Date]],"&lt;="&amp;EOMONTH(L$5,0))+SUMIFS(BetTable[[AR_per_bookie]:[AR_per_bookie]],BetTable[[B3]:[B3]],$K34,BetTable[[Date]:[Date]], "&gt;="&amp;L$5,BetTable[[Date]:[Date]],"&lt;="&amp;EOMONTH(L$5,0))</f>
        <v>0</v>
      </c>
      <c r="M34" s="186">
        <f>SUMIFS(DWbonus[[Sum]:[Sum]],DWbonus[[Dato]:[Dato]], "&gt;="&amp;M$5,DWbonus[[Dato]:[Dato]],"&lt;="&amp;EOMONTH(M$5,0),DWbonus[[Bookie]:[Bookie]],$K34)+SUMIFS(LayTable[[Faktisk res]:[Faktisk res]],LayTable[[Dato]:[Dato]],"&gt;="&amp;M$5,LayTable[[Dato]:[Dato]],"&lt;="&amp;EOMONTH(M$5,0),LayTable[[Bookmaker]:[Bookmaker]],$K34)+SUMIFS(BetTable[[AR_per_bookie]:[AR_per_bookie]],BetTable[[B1]:[B1]],$K34,BetTable[[Date]:[Date]], "&gt;="&amp;M$5,BetTable[[Date]:[Date]],"&lt;="&amp;EOMONTH(M$5,0))+SUMIFS(BetTable[[AR_per_bookie]:[AR_per_bookie]],BetTable[[B2]:[B2]],$K34,BetTable[[Date]:[Date]], "&gt;="&amp;M$5,BetTable[[Date]:[Date]],"&lt;="&amp;EOMONTH(M$5,0))+SUMIFS(BetTable[[AR_per_bookie]:[AR_per_bookie]],BetTable[[B3]:[B3]],$K34,BetTable[[Date]:[Date]], "&gt;="&amp;M$5,BetTable[[Date]:[Date]],"&lt;="&amp;EOMONTH(M$5,0))</f>
        <v>0</v>
      </c>
      <c r="N34" s="186">
        <f>SUMIFS(DWbonus[[Sum]:[Sum]],DWbonus[[Dato]:[Dato]], "&gt;="&amp;N$5,DWbonus[[Dato]:[Dato]],"&lt;="&amp;EOMONTH(N$5,0),DWbonus[[Bookie]:[Bookie]],$K34)+SUMIFS(LayTable[[Faktisk res]:[Faktisk res]],LayTable[[Dato]:[Dato]],"&gt;="&amp;N$5,LayTable[[Dato]:[Dato]],"&lt;="&amp;EOMONTH(N$5,0),LayTable[[Bookmaker]:[Bookmaker]],$K34)+SUMIFS(BetTable[[AR_per_bookie]:[AR_per_bookie]],BetTable[[B1]:[B1]],$K34,BetTable[[Date]:[Date]], "&gt;="&amp;N$5,BetTable[[Date]:[Date]],"&lt;="&amp;EOMONTH(N$5,0))+SUMIFS(BetTable[[AR_per_bookie]:[AR_per_bookie]],BetTable[[B2]:[B2]],$K34,BetTable[[Date]:[Date]], "&gt;="&amp;N$5,BetTable[[Date]:[Date]],"&lt;="&amp;EOMONTH(N$5,0))+SUMIFS(BetTable[[AR_per_bookie]:[AR_per_bookie]],BetTable[[B3]:[B3]],$K34,BetTable[[Date]:[Date]], "&gt;="&amp;N$5,BetTable[[Date]:[Date]],"&lt;="&amp;EOMONTH(N$5,0))</f>
        <v>0</v>
      </c>
      <c r="O34" s="186">
        <f>SUMIFS(DWbonus[[Sum]:[Sum]],DWbonus[[Dato]:[Dato]], "&gt;="&amp;O$5,DWbonus[[Dato]:[Dato]],"&lt;="&amp;EOMONTH(O$5,0),DWbonus[[Bookie]:[Bookie]],$K34)+SUMIFS(LayTable[[Faktisk res]:[Faktisk res]],LayTable[[Dato]:[Dato]],"&gt;="&amp;O$5,LayTable[[Dato]:[Dato]],"&lt;="&amp;EOMONTH(O$5,0),LayTable[[Bookmaker]:[Bookmaker]],$K34)+SUMIFS(BetTable[[AR_per_bookie]:[AR_per_bookie]],BetTable[[B1]:[B1]],$K34,BetTable[[Date]:[Date]], "&gt;="&amp;O$5,BetTable[[Date]:[Date]],"&lt;="&amp;EOMONTH(O$5,0))+SUMIFS(BetTable[[AR_per_bookie]:[AR_per_bookie]],BetTable[[B2]:[B2]],$K34,BetTable[[Date]:[Date]], "&gt;="&amp;O$5,BetTable[[Date]:[Date]],"&lt;="&amp;EOMONTH(O$5,0))+SUMIFS(BetTable[[AR_per_bookie]:[AR_per_bookie]],BetTable[[B3]:[B3]],$K34,BetTable[[Date]:[Date]], "&gt;="&amp;O$5,BetTable[[Date]:[Date]],"&lt;="&amp;EOMONTH(O$5,0))</f>
        <v>0</v>
      </c>
      <c r="P34" s="186">
        <f>SUMIFS(DWbonus[[Sum]:[Sum]],DWbonus[[Dato]:[Dato]], "&gt;="&amp;P$5,DWbonus[[Dato]:[Dato]],"&lt;="&amp;EOMONTH(P$5,0),DWbonus[[Bookie]:[Bookie]],$K34)+SUMIFS(LayTable[[Faktisk res]:[Faktisk res]],LayTable[[Dato]:[Dato]],"&gt;="&amp;P$5,LayTable[[Dato]:[Dato]],"&lt;="&amp;EOMONTH(P$5,0),LayTable[[Bookmaker]:[Bookmaker]],$K34)+SUMIFS(BetTable[[AR_per_bookie]:[AR_per_bookie]],BetTable[[B1]:[B1]],$K34,BetTable[[Date]:[Date]], "&gt;="&amp;P$5,BetTable[[Date]:[Date]],"&lt;="&amp;EOMONTH(P$5,0))+SUMIFS(BetTable[[AR_per_bookie]:[AR_per_bookie]],BetTable[[B2]:[B2]],$K34,BetTable[[Date]:[Date]], "&gt;="&amp;P$5,BetTable[[Date]:[Date]],"&lt;="&amp;EOMONTH(P$5,0))+SUMIFS(BetTable[[AR_per_bookie]:[AR_per_bookie]],BetTable[[B3]:[B3]],$K34,BetTable[[Date]:[Date]], "&gt;="&amp;P$5,BetTable[[Date]:[Date]],"&lt;="&amp;EOMONTH(P$5,0))</f>
        <v>0</v>
      </c>
      <c r="Q34" s="186">
        <f>SUMIFS(DWbonus[[Sum]:[Sum]],DWbonus[[Dato]:[Dato]], "&gt;="&amp;Q$5,DWbonus[[Dato]:[Dato]],"&lt;="&amp;EOMONTH(Q$5,0),DWbonus[[Bookie]:[Bookie]],$K34)+SUMIFS(LayTable[[Faktisk res]:[Faktisk res]],LayTable[[Dato]:[Dato]],"&gt;="&amp;Q$5,LayTable[[Dato]:[Dato]],"&lt;="&amp;EOMONTH(Q$5,0),LayTable[[Bookmaker]:[Bookmaker]],$K34)+SUMIFS(BetTable[[AR_per_bookie]:[AR_per_bookie]],BetTable[[B1]:[B1]],$K34,BetTable[[Date]:[Date]], "&gt;="&amp;Q$5,BetTable[[Date]:[Date]],"&lt;="&amp;EOMONTH(Q$5,0))+SUMIFS(BetTable[[AR_per_bookie]:[AR_per_bookie]],BetTable[[B2]:[B2]],$K34,BetTable[[Date]:[Date]], "&gt;="&amp;Q$5,BetTable[[Date]:[Date]],"&lt;="&amp;EOMONTH(Q$5,0))+SUMIFS(BetTable[[AR_per_bookie]:[AR_per_bookie]],BetTable[[B3]:[B3]],$K34,BetTable[[Date]:[Date]], "&gt;="&amp;Q$5,BetTable[[Date]:[Date]],"&lt;="&amp;EOMONTH(Q$5,0))</f>
        <v>0</v>
      </c>
      <c r="R34" s="186">
        <f>SUMIFS(DWbonus[[Sum]:[Sum]],DWbonus[[Dato]:[Dato]], "&gt;="&amp;R$5,DWbonus[[Dato]:[Dato]],"&lt;="&amp;EOMONTH(R$5,0),DWbonus[[Bookie]:[Bookie]],$K34)+SUMIFS(LayTable[[Faktisk res]:[Faktisk res]],LayTable[[Dato]:[Dato]],"&gt;="&amp;R$5,LayTable[[Dato]:[Dato]],"&lt;="&amp;EOMONTH(R$5,0),LayTable[[Bookmaker]:[Bookmaker]],$K34)+SUMIFS(BetTable[[AR_per_bookie]:[AR_per_bookie]],BetTable[[B1]:[B1]],$K34,BetTable[[Date]:[Date]], "&gt;="&amp;R$5,BetTable[[Date]:[Date]],"&lt;="&amp;EOMONTH(R$5,0))+SUMIFS(BetTable[[AR_per_bookie]:[AR_per_bookie]],BetTable[[B2]:[B2]],$K34,BetTable[[Date]:[Date]], "&gt;="&amp;R$5,BetTable[[Date]:[Date]],"&lt;="&amp;EOMONTH(R$5,0))+SUMIFS(BetTable[[AR_per_bookie]:[AR_per_bookie]],BetTable[[B3]:[B3]],$K34,BetTable[[Date]:[Date]], "&gt;="&amp;R$5,BetTable[[Date]:[Date]],"&lt;="&amp;EOMONTH(R$5,0))</f>
        <v>0</v>
      </c>
      <c r="S34" s="186">
        <f>SUMIFS(DWbonus[[Sum]:[Sum]],DWbonus[[Dato]:[Dato]], "&gt;="&amp;S$5,DWbonus[[Dato]:[Dato]],"&lt;="&amp;EOMONTH(S$5,0),DWbonus[[Bookie]:[Bookie]],$K34)+SUMIFS(LayTable[[Faktisk res]:[Faktisk res]],LayTable[[Dato]:[Dato]],"&gt;="&amp;S$5,LayTable[[Dato]:[Dato]],"&lt;="&amp;EOMONTH(S$5,0),LayTable[[Bookmaker]:[Bookmaker]],$K34)+SUMIFS(BetTable[[AR_per_bookie]:[AR_per_bookie]],BetTable[[B1]:[B1]],$K34,BetTable[[Date]:[Date]], "&gt;="&amp;S$5,BetTable[[Date]:[Date]],"&lt;="&amp;EOMONTH(S$5,0))+SUMIFS(BetTable[[AR_per_bookie]:[AR_per_bookie]],BetTable[[B2]:[B2]],$K34,BetTable[[Date]:[Date]], "&gt;="&amp;S$5,BetTable[[Date]:[Date]],"&lt;="&amp;EOMONTH(S$5,0))+SUMIFS(BetTable[[AR_per_bookie]:[AR_per_bookie]],BetTable[[B3]:[B3]],$K34,BetTable[[Date]:[Date]], "&gt;="&amp;S$5,BetTable[[Date]:[Date]],"&lt;="&amp;EOMONTH(S$5,0))</f>
        <v>0</v>
      </c>
      <c r="T34" s="186">
        <f>SUMIFS(DWbonus[[Sum]:[Sum]],DWbonus[[Dato]:[Dato]], "&gt;="&amp;T$5,DWbonus[[Dato]:[Dato]],"&lt;="&amp;EOMONTH(T$5,0),DWbonus[[Bookie]:[Bookie]],$K34)+SUMIFS(LayTable[[Faktisk res]:[Faktisk res]],LayTable[[Dato]:[Dato]],"&gt;="&amp;T$5,LayTable[[Dato]:[Dato]],"&lt;="&amp;EOMONTH(T$5,0),LayTable[[Bookmaker]:[Bookmaker]],$K34)+SUMIFS(BetTable[[AR_per_bookie]:[AR_per_bookie]],BetTable[[B1]:[B1]],$K34,BetTable[[Date]:[Date]], "&gt;="&amp;T$5,BetTable[[Date]:[Date]],"&lt;="&amp;EOMONTH(T$5,0))+SUMIFS(BetTable[[AR_per_bookie]:[AR_per_bookie]],BetTable[[B2]:[B2]],$K34,BetTable[[Date]:[Date]], "&gt;="&amp;T$5,BetTable[[Date]:[Date]],"&lt;="&amp;EOMONTH(T$5,0))+SUMIFS(BetTable[[AR_per_bookie]:[AR_per_bookie]],BetTable[[B3]:[B3]],$K34,BetTable[[Date]:[Date]], "&gt;="&amp;T$5,BetTable[[Date]:[Date]],"&lt;="&amp;EOMONTH(T$5,0))</f>
        <v>0</v>
      </c>
      <c r="U34" s="186">
        <f>SUMIFS(DWbonus[[Sum]:[Sum]],DWbonus[[Dato]:[Dato]], "&gt;="&amp;U$5,DWbonus[[Dato]:[Dato]],"&lt;="&amp;EOMONTH(U$5,0),DWbonus[[Bookie]:[Bookie]],$K34)+SUMIFS(LayTable[[Faktisk res]:[Faktisk res]],LayTable[[Dato]:[Dato]],"&gt;="&amp;U$5,LayTable[[Dato]:[Dato]],"&lt;="&amp;EOMONTH(U$5,0),LayTable[[Bookmaker]:[Bookmaker]],$K34)+SUMIFS(BetTable[[AR_per_bookie]:[AR_per_bookie]],BetTable[[B1]:[B1]],$K34,BetTable[[Date]:[Date]], "&gt;="&amp;U$5,BetTable[[Date]:[Date]],"&lt;="&amp;EOMONTH(U$5,0))+SUMIFS(BetTable[[AR_per_bookie]:[AR_per_bookie]],BetTable[[B2]:[B2]],$K34,BetTable[[Date]:[Date]], "&gt;="&amp;U$5,BetTable[[Date]:[Date]],"&lt;="&amp;EOMONTH(U$5,0))+SUMIFS(BetTable[[AR_per_bookie]:[AR_per_bookie]],BetTable[[B3]:[B3]],$K34,BetTable[[Date]:[Date]], "&gt;="&amp;U$5,BetTable[[Date]:[Date]],"&lt;="&amp;EOMONTH(U$5,0))</f>
        <v>0</v>
      </c>
      <c r="V34" s="186">
        <f>SUMIFS(DWbonus[[Sum]:[Sum]],DWbonus[[Dato]:[Dato]], "&gt;="&amp;V$5,DWbonus[[Dato]:[Dato]],"&lt;="&amp;EOMONTH(V$5,0),DWbonus[[Bookie]:[Bookie]],$K34)+SUMIFS(LayTable[[Faktisk res]:[Faktisk res]],LayTable[[Dato]:[Dato]],"&gt;="&amp;V$5,LayTable[[Dato]:[Dato]],"&lt;="&amp;EOMONTH(V$5,0),LayTable[[Bookmaker]:[Bookmaker]],$K34)+SUMIFS(BetTable[[AR_per_bookie]:[AR_per_bookie]],BetTable[[B1]:[B1]],$K34,BetTable[[Date]:[Date]], "&gt;="&amp;V$5,BetTable[[Date]:[Date]],"&lt;="&amp;EOMONTH(V$5,0))+SUMIFS(BetTable[[AR_per_bookie]:[AR_per_bookie]],BetTable[[B2]:[B2]],$K34,BetTable[[Date]:[Date]], "&gt;="&amp;V$5,BetTable[[Date]:[Date]],"&lt;="&amp;EOMONTH(V$5,0))+SUMIFS(BetTable[[AR_per_bookie]:[AR_per_bookie]],BetTable[[B3]:[B3]],$K34,BetTable[[Date]:[Date]], "&gt;="&amp;V$5,BetTable[[Date]:[Date]],"&lt;="&amp;EOMONTH(V$5,0))</f>
        <v>0</v>
      </c>
      <c r="W34" s="186">
        <f>SUMIFS(DWbonus[[Sum]:[Sum]],DWbonus[[Dato]:[Dato]], "&gt;="&amp;W$5,DWbonus[[Dato]:[Dato]],"&lt;="&amp;EOMONTH(W$5,0),DWbonus[[Bookie]:[Bookie]],$K34)+SUMIFS(LayTable[[Faktisk res]:[Faktisk res]],LayTable[[Dato]:[Dato]],"&gt;="&amp;W$5,LayTable[[Dato]:[Dato]],"&lt;="&amp;EOMONTH(W$5,0),LayTable[[Bookmaker]:[Bookmaker]],$K34)+SUMIFS(BetTable[[AR_per_bookie]:[AR_per_bookie]],BetTable[[B1]:[B1]],$K34,BetTable[[Date]:[Date]], "&gt;="&amp;W$5,BetTable[[Date]:[Date]],"&lt;="&amp;EOMONTH(W$5,0))+SUMIFS(BetTable[[AR_per_bookie]:[AR_per_bookie]],BetTable[[B2]:[B2]],$K34,BetTable[[Date]:[Date]], "&gt;="&amp;W$5,BetTable[[Date]:[Date]],"&lt;="&amp;EOMONTH(W$5,0))+SUMIFS(BetTable[[AR_per_bookie]:[AR_per_bookie]],BetTable[[B3]:[B3]],$K34,BetTable[[Date]:[Date]], "&gt;="&amp;W$5,BetTable[[Date]:[Date]],"&lt;="&amp;EOMONTH(W$5,0))</f>
        <v>0</v>
      </c>
    </row>
    <row r="35" spans="11:23">
      <c r="K35" s="174" t="str">
        <f t="array" ref="K35">IFERROR(INDEX(BookieNavn!H$2:H$1251,SMALL(IF(EXACT(LEFT(BookieNavn!H$2:H$1251,2),M$3),ROW(BookieNavn!H$2:H$1251)-ROW(BookieNavn!H$2)+1),ROWS(BookieNavn!H$2:'BookieNavn'!H30))),"")</f>
        <v/>
      </c>
      <c r="L35" s="186">
        <f>SUMIFS(DWbonus[[Sum]:[Sum]],DWbonus[[Dato]:[Dato]], "&gt;="&amp;L$5,DWbonus[[Dato]:[Dato]],"&lt;="&amp;EOMONTH(L$5,0),DWbonus[[Bookie]:[Bookie]],$K35)+SUMIFS(LayTable[[Faktisk res]:[Faktisk res]],LayTable[[Dato]:[Dato]],"&gt;="&amp;L$5,LayTable[[Dato]:[Dato]],"&lt;="&amp;EOMONTH(L$5,0),LayTable[[Bookmaker]:[Bookmaker]],$K35)+SUMIFS(BetTable[[AR_per_bookie]:[AR_per_bookie]],BetTable[[B1]:[B1]],$K35,BetTable[[Date]:[Date]], "&gt;="&amp;L$5,BetTable[[Date]:[Date]],"&lt;="&amp;EOMONTH(L$5,0))+SUMIFS(BetTable[[AR_per_bookie]:[AR_per_bookie]],BetTable[[B2]:[B2]],$K35,BetTable[[Date]:[Date]], "&gt;="&amp;L$5,BetTable[[Date]:[Date]],"&lt;="&amp;EOMONTH(L$5,0))+SUMIFS(BetTable[[AR_per_bookie]:[AR_per_bookie]],BetTable[[B3]:[B3]],$K35,BetTable[[Date]:[Date]], "&gt;="&amp;L$5,BetTable[[Date]:[Date]],"&lt;="&amp;EOMONTH(L$5,0))</f>
        <v>0</v>
      </c>
      <c r="M35" s="186">
        <f>SUMIFS(DWbonus[[Sum]:[Sum]],DWbonus[[Dato]:[Dato]], "&gt;="&amp;M$5,DWbonus[[Dato]:[Dato]],"&lt;="&amp;EOMONTH(M$5,0),DWbonus[[Bookie]:[Bookie]],$K35)+SUMIFS(LayTable[[Faktisk res]:[Faktisk res]],LayTable[[Dato]:[Dato]],"&gt;="&amp;M$5,LayTable[[Dato]:[Dato]],"&lt;="&amp;EOMONTH(M$5,0),LayTable[[Bookmaker]:[Bookmaker]],$K35)+SUMIFS(BetTable[[AR_per_bookie]:[AR_per_bookie]],BetTable[[B1]:[B1]],$K35,BetTable[[Date]:[Date]], "&gt;="&amp;M$5,BetTable[[Date]:[Date]],"&lt;="&amp;EOMONTH(M$5,0))+SUMIFS(BetTable[[AR_per_bookie]:[AR_per_bookie]],BetTable[[B2]:[B2]],$K35,BetTable[[Date]:[Date]], "&gt;="&amp;M$5,BetTable[[Date]:[Date]],"&lt;="&amp;EOMONTH(M$5,0))+SUMIFS(BetTable[[AR_per_bookie]:[AR_per_bookie]],BetTable[[B3]:[B3]],$K35,BetTable[[Date]:[Date]], "&gt;="&amp;M$5,BetTable[[Date]:[Date]],"&lt;="&amp;EOMONTH(M$5,0))</f>
        <v>0</v>
      </c>
      <c r="N35" s="186">
        <f>SUMIFS(DWbonus[[Sum]:[Sum]],DWbonus[[Dato]:[Dato]], "&gt;="&amp;N$5,DWbonus[[Dato]:[Dato]],"&lt;="&amp;EOMONTH(N$5,0),DWbonus[[Bookie]:[Bookie]],$K35)+SUMIFS(LayTable[[Faktisk res]:[Faktisk res]],LayTable[[Dato]:[Dato]],"&gt;="&amp;N$5,LayTable[[Dato]:[Dato]],"&lt;="&amp;EOMONTH(N$5,0),LayTable[[Bookmaker]:[Bookmaker]],$K35)+SUMIFS(BetTable[[AR_per_bookie]:[AR_per_bookie]],BetTable[[B1]:[B1]],$K35,BetTable[[Date]:[Date]], "&gt;="&amp;N$5,BetTable[[Date]:[Date]],"&lt;="&amp;EOMONTH(N$5,0))+SUMIFS(BetTable[[AR_per_bookie]:[AR_per_bookie]],BetTable[[B2]:[B2]],$K35,BetTable[[Date]:[Date]], "&gt;="&amp;N$5,BetTable[[Date]:[Date]],"&lt;="&amp;EOMONTH(N$5,0))+SUMIFS(BetTable[[AR_per_bookie]:[AR_per_bookie]],BetTable[[B3]:[B3]],$K35,BetTable[[Date]:[Date]], "&gt;="&amp;N$5,BetTable[[Date]:[Date]],"&lt;="&amp;EOMONTH(N$5,0))</f>
        <v>0</v>
      </c>
      <c r="O35" s="186">
        <f>SUMIFS(DWbonus[[Sum]:[Sum]],DWbonus[[Dato]:[Dato]], "&gt;="&amp;O$5,DWbonus[[Dato]:[Dato]],"&lt;="&amp;EOMONTH(O$5,0),DWbonus[[Bookie]:[Bookie]],$K35)+SUMIFS(LayTable[[Faktisk res]:[Faktisk res]],LayTable[[Dato]:[Dato]],"&gt;="&amp;O$5,LayTable[[Dato]:[Dato]],"&lt;="&amp;EOMONTH(O$5,0),LayTable[[Bookmaker]:[Bookmaker]],$K35)+SUMIFS(BetTable[[AR_per_bookie]:[AR_per_bookie]],BetTable[[B1]:[B1]],$K35,BetTable[[Date]:[Date]], "&gt;="&amp;O$5,BetTable[[Date]:[Date]],"&lt;="&amp;EOMONTH(O$5,0))+SUMIFS(BetTable[[AR_per_bookie]:[AR_per_bookie]],BetTable[[B2]:[B2]],$K35,BetTable[[Date]:[Date]], "&gt;="&amp;O$5,BetTable[[Date]:[Date]],"&lt;="&amp;EOMONTH(O$5,0))+SUMIFS(BetTable[[AR_per_bookie]:[AR_per_bookie]],BetTable[[B3]:[B3]],$K35,BetTable[[Date]:[Date]], "&gt;="&amp;O$5,BetTable[[Date]:[Date]],"&lt;="&amp;EOMONTH(O$5,0))</f>
        <v>0</v>
      </c>
      <c r="P35" s="186">
        <f>SUMIFS(DWbonus[[Sum]:[Sum]],DWbonus[[Dato]:[Dato]], "&gt;="&amp;P$5,DWbonus[[Dato]:[Dato]],"&lt;="&amp;EOMONTH(P$5,0),DWbonus[[Bookie]:[Bookie]],$K35)+SUMIFS(LayTable[[Faktisk res]:[Faktisk res]],LayTable[[Dato]:[Dato]],"&gt;="&amp;P$5,LayTable[[Dato]:[Dato]],"&lt;="&amp;EOMONTH(P$5,0),LayTable[[Bookmaker]:[Bookmaker]],$K35)+SUMIFS(BetTable[[AR_per_bookie]:[AR_per_bookie]],BetTable[[B1]:[B1]],$K35,BetTable[[Date]:[Date]], "&gt;="&amp;P$5,BetTable[[Date]:[Date]],"&lt;="&amp;EOMONTH(P$5,0))+SUMIFS(BetTable[[AR_per_bookie]:[AR_per_bookie]],BetTable[[B2]:[B2]],$K35,BetTable[[Date]:[Date]], "&gt;="&amp;P$5,BetTable[[Date]:[Date]],"&lt;="&amp;EOMONTH(P$5,0))+SUMIFS(BetTable[[AR_per_bookie]:[AR_per_bookie]],BetTable[[B3]:[B3]],$K35,BetTable[[Date]:[Date]], "&gt;="&amp;P$5,BetTable[[Date]:[Date]],"&lt;="&amp;EOMONTH(P$5,0))</f>
        <v>0</v>
      </c>
      <c r="Q35" s="186">
        <f>SUMIFS(DWbonus[[Sum]:[Sum]],DWbonus[[Dato]:[Dato]], "&gt;="&amp;Q$5,DWbonus[[Dato]:[Dato]],"&lt;="&amp;EOMONTH(Q$5,0),DWbonus[[Bookie]:[Bookie]],$K35)+SUMIFS(LayTable[[Faktisk res]:[Faktisk res]],LayTable[[Dato]:[Dato]],"&gt;="&amp;Q$5,LayTable[[Dato]:[Dato]],"&lt;="&amp;EOMONTH(Q$5,0),LayTable[[Bookmaker]:[Bookmaker]],$K35)+SUMIFS(BetTable[[AR_per_bookie]:[AR_per_bookie]],BetTable[[B1]:[B1]],$K35,BetTable[[Date]:[Date]], "&gt;="&amp;Q$5,BetTable[[Date]:[Date]],"&lt;="&amp;EOMONTH(Q$5,0))+SUMIFS(BetTable[[AR_per_bookie]:[AR_per_bookie]],BetTable[[B2]:[B2]],$K35,BetTable[[Date]:[Date]], "&gt;="&amp;Q$5,BetTable[[Date]:[Date]],"&lt;="&amp;EOMONTH(Q$5,0))+SUMIFS(BetTable[[AR_per_bookie]:[AR_per_bookie]],BetTable[[B3]:[B3]],$K35,BetTable[[Date]:[Date]], "&gt;="&amp;Q$5,BetTable[[Date]:[Date]],"&lt;="&amp;EOMONTH(Q$5,0))</f>
        <v>0</v>
      </c>
      <c r="R35" s="186">
        <f>SUMIFS(DWbonus[[Sum]:[Sum]],DWbonus[[Dato]:[Dato]], "&gt;="&amp;R$5,DWbonus[[Dato]:[Dato]],"&lt;="&amp;EOMONTH(R$5,0),DWbonus[[Bookie]:[Bookie]],$K35)+SUMIFS(LayTable[[Faktisk res]:[Faktisk res]],LayTable[[Dato]:[Dato]],"&gt;="&amp;R$5,LayTable[[Dato]:[Dato]],"&lt;="&amp;EOMONTH(R$5,0),LayTable[[Bookmaker]:[Bookmaker]],$K35)+SUMIFS(BetTable[[AR_per_bookie]:[AR_per_bookie]],BetTable[[B1]:[B1]],$K35,BetTable[[Date]:[Date]], "&gt;="&amp;R$5,BetTable[[Date]:[Date]],"&lt;="&amp;EOMONTH(R$5,0))+SUMIFS(BetTable[[AR_per_bookie]:[AR_per_bookie]],BetTable[[B2]:[B2]],$K35,BetTable[[Date]:[Date]], "&gt;="&amp;R$5,BetTable[[Date]:[Date]],"&lt;="&amp;EOMONTH(R$5,0))+SUMIFS(BetTable[[AR_per_bookie]:[AR_per_bookie]],BetTable[[B3]:[B3]],$K35,BetTable[[Date]:[Date]], "&gt;="&amp;R$5,BetTable[[Date]:[Date]],"&lt;="&amp;EOMONTH(R$5,0))</f>
        <v>0</v>
      </c>
      <c r="S35" s="186">
        <f>SUMIFS(DWbonus[[Sum]:[Sum]],DWbonus[[Dato]:[Dato]], "&gt;="&amp;S$5,DWbonus[[Dato]:[Dato]],"&lt;="&amp;EOMONTH(S$5,0),DWbonus[[Bookie]:[Bookie]],$K35)+SUMIFS(LayTable[[Faktisk res]:[Faktisk res]],LayTable[[Dato]:[Dato]],"&gt;="&amp;S$5,LayTable[[Dato]:[Dato]],"&lt;="&amp;EOMONTH(S$5,0),LayTable[[Bookmaker]:[Bookmaker]],$K35)+SUMIFS(BetTable[[AR_per_bookie]:[AR_per_bookie]],BetTable[[B1]:[B1]],$K35,BetTable[[Date]:[Date]], "&gt;="&amp;S$5,BetTable[[Date]:[Date]],"&lt;="&amp;EOMONTH(S$5,0))+SUMIFS(BetTable[[AR_per_bookie]:[AR_per_bookie]],BetTable[[B2]:[B2]],$K35,BetTable[[Date]:[Date]], "&gt;="&amp;S$5,BetTable[[Date]:[Date]],"&lt;="&amp;EOMONTH(S$5,0))+SUMIFS(BetTable[[AR_per_bookie]:[AR_per_bookie]],BetTable[[B3]:[B3]],$K35,BetTable[[Date]:[Date]], "&gt;="&amp;S$5,BetTable[[Date]:[Date]],"&lt;="&amp;EOMONTH(S$5,0))</f>
        <v>0</v>
      </c>
      <c r="T35" s="186">
        <f>SUMIFS(DWbonus[[Sum]:[Sum]],DWbonus[[Dato]:[Dato]], "&gt;="&amp;T$5,DWbonus[[Dato]:[Dato]],"&lt;="&amp;EOMONTH(T$5,0),DWbonus[[Bookie]:[Bookie]],$K35)+SUMIFS(LayTable[[Faktisk res]:[Faktisk res]],LayTable[[Dato]:[Dato]],"&gt;="&amp;T$5,LayTable[[Dato]:[Dato]],"&lt;="&amp;EOMONTH(T$5,0),LayTable[[Bookmaker]:[Bookmaker]],$K35)+SUMIFS(BetTable[[AR_per_bookie]:[AR_per_bookie]],BetTable[[B1]:[B1]],$K35,BetTable[[Date]:[Date]], "&gt;="&amp;T$5,BetTable[[Date]:[Date]],"&lt;="&amp;EOMONTH(T$5,0))+SUMIFS(BetTable[[AR_per_bookie]:[AR_per_bookie]],BetTable[[B2]:[B2]],$K35,BetTable[[Date]:[Date]], "&gt;="&amp;T$5,BetTable[[Date]:[Date]],"&lt;="&amp;EOMONTH(T$5,0))+SUMIFS(BetTable[[AR_per_bookie]:[AR_per_bookie]],BetTable[[B3]:[B3]],$K35,BetTable[[Date]:[Date]], "&gt;="&amp;T$5,BetTable[[Date]:[Date]],"&lt;="&amp;EOMONTH(T$5,0))</f>
        <v>0</v>
      </c>
      <c r="U35" s="186">
        <f>SUMIFS(DWbonus[[Sum]:[Sum]],DWbonus[[Dato]:[Dato]], "&gt;="&amp;U$5,DWbonus[[Dato]:[Dato]],"&lt;="&amp;EOMONTH(U$5,0),DWbonus[[Bookie]:[Bookie]],$K35)+SUMIFS(LayTable[[Faktisk res]:[Faktisk res]],LayTable[[Dato]:[Dato]],"&gt;="&amp;U$5,LayTable[[Dato]:[Dato]],"&lt;="&amp;EOMONTH(U$5,0),LayTable[[Bookmaker]:[Bookmaker]],$K35)+SUMIFS(BetTable[[AR_per_bookie]:[AR_per_bookie]],BetTable[[B1]:[B1]],$K35,BetTable[[Date]:[Date]], "&gt;="&amp;U$5,BetTable[[Date]:[Date]],"&lt;="&amp;EOMONTH(U$5,0))+SUMIFS(BetTable[[AR_per_bookie]:[AR_per_bookie]],BetTable[[B2]:[B2]],$K35,BetTable[[Date]:[Date]], "&gt;="&amp;U$5,BetTable[[Date]:[Date]],"&lt;="&amp;EOMONTH(U$5,0))+SUMIFS(BetTable[[AR_per_bookie]:[AR_per_bookie]],BetTable[[B3]:[B3]],$K35,BetTable[[Date]:[Date]], "&gt;="&amp;U$5,BetTable[[Date]:[Date]],"&lt;="&amp;EOMONTH(U$5,0))</f>
        <v>0</v>
      </c>
      <c r="V35" s="186">
        <f>SUMIFS(DWbonus[[Sum]:[Sum]],DWbonus[[Dato]:[Dato]], "&gt;="&amp;V$5,DWbonus[[Dato]:[Dato]],"&lt;="&amp;EOMONTH(V$5,0),DWbonus[[Bookie]:[Bookie]],$K35)+SUMIFS(LayTable[[Faktisk res]:[Faktisk res]],LayTable[[Dato]:[Dato]],"&gt;="&amp;V$5,LayTable[[Dato]:[Dato]],"&lt;="&amp;EOMONTH(V$5,0),LayTable[[Bookmaker]:[Bookmaker]],$K35)+SUMIFS(BetTable[[AR_per_bookie]:[AR_per_bookie]],BetTable[[B1]:[B1]],$K35,BetTable[[Date]:[Date]], "&gt;="&amp;V$5,BetTable[[Date]:[Date]],"&lt;="&amp;EOMONTH(V$5,0))+SUMIFS(BetTable[[AR_per_bookie]:[AR_per_bookie]],BetTable[[B2]:[B2]],$K35,BetTable[[Date]:[Date]], "&gt;="&amp;V$5,BetTable[[Date]:[Date]],"&lt;="&amp;EOMONTH(V$5,0))+SUMIFS(BetTable[[AR_per_bookie]:[AR_per_bookie]],BetTable[[B3]:[B3]],$K35,BetTable[[Date]:[Date]], "&gt;="&amp;V$5,BetTable[[Date]:[Date]],"&lt;="&amp;EOMONTH(V$5,0))</f>
        <v>0</v>
      </c>
      <c r="W35" s="186">
        <f>SUMIFS(DWbonus[[Sum]:[Sum]],DWbonus[[Dato]:[Dato]], "&gt;="&amp;W$5,DWbonus[[Dato]:[Dato]],"&lt;="&amp;EOMONTH(W$5,0),DWbonus[[Bookie]:[Bookie]],$K35)+SUMIFS(LayTable[[Faktisk res]:[Faktisk res]],LayTable[[Dato]:[Dato]],"&gt;="&amp;W$5,LayTable[[Dato]:[Dato]],"&lt;="&amp;EOMONTH(W$5,0),LayTable[[Bookmaker]:[Bookmaker]],$K35)+SUMIFS(BetTable[[AR_per_bookie]:[AR_per_bookie]],BetTable[[B1]:[B1]],$K35,BetTable[[Date]:[Date]], "&gt;="&amp;W$5,BetTable[[Date]:[Date]],"&lt;="&amp;EOMONTH(W$5,0))+SUMIFS(BetTable[[AR_per_bookie]:[AR_per_bookie]],BetTable[[B2]:[B2]],$K35,BetTable[[Date]:[Date]], "&gt;="&amp;W$5,BetTable[[Date]:[Date]],"&lt;="&amp;EOMONTH(W$5,0))+SUMIFS(BetTable[[AR_per_bookie]:[AR_per_bookie]],BetTable[[B3]:[B3]],$K35,BetTable[[Date]:[Date]], "&gt;="&amp;W$5,BetTable[[Date]:[Date]],"&lt;="&amp;EOMONTH(W$5,0))</f>
        <v>0</v>
      </c>
    </row>
    <row r="36" spans="11:23">
      <c r="K36" s="174" t="str">
        <f t="array" ref="K36">IFERROR(INDEX(BookieNavn!H$2:H$1251,SMALL(IF(EXACT(LEFT(BookieNavn!H$2:H$1251,2),M$3),ROW(BookieNavn!H$2:H$1251)-ROW(BookieNavn!H$2)+1),ROWS(BookieNavn!H$2:'BookieNavn'!H31))),"")</f>
        <v/>
      </c>
      <c r="L36" s="186">
        <f>SUMIFS(DWbonus[[Sum]:[Sum]],DWbonus[[Dato]:[Dato]], "&gt;="&amp;L$5,DWbonus[[Dato]:[Dato]],"&lt;="&amp;EOMONTH(L$5,0),DWbonus[[Bookie]:[Bookie]],$K36)+SUMIFS(LayTable[[Faktisk res]:[Faktisk res]],LayTable[[Dato]:[Dato]],"&gt;="&amp;L$5,LayTable[[Dato]:[Dato]],"&lt;="&amp;EOMONTH(L$5,0),LayTable[[Bookmaker]:[Bookmaker]],$K36)+SUMIFS(BetTable[[AR_per_bookie]:[AR_per_bookie]],BetTable[[B1]:[B1]],$K36,BetTable[[Date]:[Date]], "&gt;="&amp;L$5,BetTable[[Date]:[Date]],"&lt;="&amp;EOMONTH(L$5,0))+SUMIFS(BetTable[[AR_per_bookie]:[AR_per_bookie]],BetTable[[B2]:[B2]],$K36,BetTable[[Date]:[Date]], "&gt;="&amp;L$5,BetTable[[Date]:[Date]],"&lt;="&amp;EOMONTH(L$5,0))+SUMIFS(BetTable[[AR_per_bookie]:[AR_per_bookie]],BetTable[[B3]:[B3]],$K36,BetTable[[Date]:[Date]], "&gt;="&amp;L$5,BetTable[[Date]:[Date]],"&lt;="&amp;EOMONTH(L$5,0))</f>
        <v>0</v>
      </c>
      <c r="M36" s="186">
        <f>SUMIFS(DWbonus[[Sum]:[Sum]],DWbonus[[Dato]:[Dato]], "&gt;="&amp;M$5,DWbonus[[Dato]:[Dato]],"&lt;="&amp;EOMONTH(M$5,0),DWbonus[[Bookie]:[Bookie]],$K36)+SUMIFS(LayTable[[Faktisk res]:[Faktisk res]],LayTable[[Dato]:[Dato]],"&gt;="&amp;M$5,LayTable[[Dato]:[Dato]],"&lt;="&amp;EOMONTH(M$5,0),LayTable[[Bookmaker]:[Bookmaker]],$K36)+SUMIFS(BetTable[[AR_per_bookie]:[AR_per_bookie]],BetTable[[B1]:[B1]],$K36,BetTable[[Date]:[Date]], "&gt;="&amp;M$5,BetTable[[Date]:[Date]],"&lt;="&amp;EOMONTH(M$5,0))+SUMIFS(BetTable[[AR_per_bookie]:[AR_per_bookie]],BetTable[[B2]:[B2]],$K36,BetTable[[Date]:[Date]], "&gt;="&amp;M$5,BetTable[[Date]:[Date]],"&lt;="&amp;EOMONTH(M$5,0))+SUMIFS(BetTable[[AR_per_bookie]:[AR_per_bookie]],BetTable[[B3]:[B3]],$K36,BetTable[[Date]:[Date]], "&gt;="&amp;M$5,BetTable[[Date]:[Date]],"&lt;="&amp;EOMONTH(M$5,0))</f>
        <v>0</v>
      </c>
      <c r="N36" s="186">
        <f>SUMIFS(DWbonus[[Sum]:[Sum]],DWbonus[[Dato]:[Dato]], "&gt;="&amp;N$5,DWbonus[[Dato]:[Dato]],"&lt;="&amp;EOMONTH(N$5,0),DWbonus[[Bookie]:[Bookie]],$K36)+SUMIFS(LayTable[[Faktisk res]:[Faktisk res]],LayTable[[Dato]:[Dato]],"&gt;="&amp;N$5,LayTable[[Dato]:[Dato]],"&lt;="&amp;EOMONTH(N$5,0),LayTable[[Bookmaker]:[Bookmaker]],$K36)+SUMIFS(BetTable[[AR_per_bookie]:[AR_per_bookie]],BetTable[[B1]:[B1]],$K36,BetTable[[Date]:[Date]], "&gt;="&amp;N$5,BetTable[[Date]:[Date]],"&lt;="&amp;EOMONTH(N$5,0))+SUMIFS(BetTable[[AR_per_bookie]:[AR_per_bookie]],BetTable[[B2]:[B2]],$K36,BetTable[[Date]:[Date]], "&gt;="&amp;N$5,BetTable[[Date]:[Date]],"&lt;="&amp;EOMONTH(N$5,0))+SUMIFS(BetTable[[AR_per_bookie]:[AR_per_bookie]],BetTable[[B3]:[B3]],$K36,BetTable[[Date]:[Date]], "&gt;="&amp;N$5,BetTable[[Date]:[Date]],"&lt;="&amp;EOMONTH(N$5,0))</f>
        <v>0</v>
      </c>
      <c r="O36" s="186">
        <f>SUMIFS(DWbonus[[Sum]:[Sum]],DWbonus[[Dato]:[Dato]], "&gt;="&amp;O$5,DWbonus[[Dato]:[Dato]],"&lt;="&amp;EOMONTH(O$5,0),DWbonus[[Bookie]:[Bookie]],$K36)+SUMIFS(LayTable[[Faktisk res]:[Faktisk res]],LayTable[[Dato]:[Dato]],"&gt;="&amp;O$5,LayTable[[Dato]:[Dato]],"&lt;="&amp;EOMONTH(O$5,0),LayTable[[Bookmaker]:[Bookmaker]],$K36)+SUMIFS(BetTable[[AR_per_bookie]:[AR_per_bookie]],BetTable[[B1]:[B1]],$K36,BetTable[[Date]:[Date]], "&gt;="&amp;O$5,BetTable[[Date]:[Date]],"&lt;="&amp;EOMONTH(O$5,0))+SUMIFS(BetTable[[AR_per_bookie]:[AR_per_bookie]],BetTable[[B2]:[B2]],$K36,BetTable[[Date]:[Date]], "&gt;="&amp;O$5,BetTable[[Date]:[Date]],"&lt;="&amp;EOMONTH(O$5,0))+SUMIFS(BetTable[[AR_per_bookie]:[AR_per_bookie]],BetTable[[B3]:[B3]],$K36,BetTable[[Date]:[Date]], "&gt;="&amp;O$5,BetTable[[Date]:[Date]],"&lt;="&amp;EOMONTH(O$5,0))</f>
        <v>0</v>
      </c>
      <c r="P36" s="186">
        <f>SUMIFS(DWbonus[[Sum]:[Sum]],DWbonus[[Dato]:[Dato]], "&gt;="&amp;P$5,DWbonus[[Dato]:[Dato]],"&lt;="&amp;EOMONTH(P$5,0),DWbonus[[Bookie]:[Bookie]],$K36)+SUMIFS(LayTable[[Faktisk res]:[Faktisk res]],LayTable[[Dato]:[Dato]],"&gt;="&amp;P$5,LayTable[[Dato]:[Dato]],"&lt;="&amp;EOMONTH(P$5,0),LayTable[[Bookmaker]:[Bookmaker]],$K36)+SUMIFS(BetTable[[AR_per_bookie]:[AR_per_bookie]],BetTable[[B1]:[B1]],$K36,BetTable[[Date]:[Date]], "&gt;="&amp;P$5,BetTable[[Date]:[Date]],"&lt;="&amp;EOMONTH(P$5,0))+SUMIFS(BetTable[[AR_per_bookie]:[AR_per_bookie]],BetTable[[B2]:[B2]],$K36,BetTable[[Date]:[Date]], "&gt;="&amp;P$5,BetTable[[Date]:[Date]],"&lt;="&amp;EOMONTH(P$5,0))+SUMIFS(BetTable[[AR_per_bookie]:[AR_per_bookie]],BetTable[[B3]:[B3]],$K36,BetTable[[Date]:[Date]], "&gt;="&amp;P$5,BetTable[[Date]:[Date]],"&lt;="&amp;EOMONTH(P$5,0))</f>
        <v>0</v>
      </c>
      <c r="Q36" s="186">
        <f>SUMIFS(DWbonus[[Sum]:[Sum]],DWbonus[[Dato]:[Dato]], "&gt;="&amp;Q$5,DWbonus[[Dato]:[Dato]],"&lt;="&amp;EOMONTH(Q$5,0),DWbonus[[Bookie]:[Bookie]],$K36)+SUMIFS(LayTable[[Faktisk res]:[Faktisk res]],LayTable[[Dato]:[Dato]],"&gt;="&amp;Q$5,LayTable[[Dato]:[Dato]],"&lt;="&amp;EOMONTH(Q$5,0),LayTable[[Bookmaker]:[Bookmaker]],$K36)+SUMIFS(BetTable[[AR_per_bookie]:[AR_per_bookie]],BetTable[[B1]:[B1]],$K36,BetTable[[Date]:[Date]], "&gt;="&amp;Q$5,BetTable[[Date]:[Date]],"&lt;="&amp;EOMONTH(Q$5,0))+SUMIFS(BetTable[[AR_per_bookie]:[AR_per_bookie]],BetTable[[B2]:[B2]],$K36,BetTable[[Date]:[Date]], "&gt;="&amp;Q$5,BetTable[[Date]:[Date]],"&lt;="&amp;EOMONTH(Q$5,0))+SUMIFS(BetTable[[AR_per_bookie]:[AR_per_bookie]],BetTable[[B3]:[B3]],$K36,BetTable[[Date]:[Date]], "&gt;="&amp;Q$5,BetTable[[Date]:[Date]],"&lt;="&amp;EOMONTH(Q$5,0))</f>
        <v>0</v>
      </c>
      <c r="R36" s="186">
        <f>SUMIFS(DWbonus[[Sum]:[Sum]],DWbonus[[Dato]:[Dato]], "&gt;="&amp;R$5,DWbonus[[Dato]:[Dato]],"&lt;="&amp;EOMONTH(R$5,0),DWbonus[[Bookie]:[Bookie]],$K36)+SUMIFS(LayTable[[Faktisk res]:[Faktisk res]],LayTable[[Dato]:[Dato]],"&gt;="&amp;R$5,LayTable[[Dato]:[Dato]],"&lt;="&amp;EOMONTH(R$5,0),LayTable[[Bookmaker]:[Bookmaker]],$K36)+SUMIFS(BetTable[[AR_per_bookie]:[AR_per_bookie]],BetTable[[B1]:[B1]],$K36,BetTable[[Date]:[Date]], "&gt;="&amp;R$5,BetTable[[Date]:[Date]],"&lt;="&amp;EOMONTH(R$5,0))+SUMIFS(BetTable[[AR_per_bookie]:[AR_per_bookie]],BetTable[[B2]:[B2]],$K36,BetTable[[Date]:[Date]], "&gt;="&amp;R$5,BetTable[[Date]:[Date]],"&lt;="&amp;EOMONTH(R$5,0))+SUMIFS(BetTable[[AR_per_bookie]:[AR_per_bookie]],BetTable[[B3]:[B3]],$K36,BetTable[[Date]:[Date]], "&gt;="&amp;R$5,BetTable[[Date]:[Date]],"&lt;="&amp;EOMONTH(R$5,0))</f>
        <v>0</v>
      </c>
      <c r="S36" s="186">
        <f>SUMIFS(DWbonus[[Sum]:[Sum]],DWbonus[[Dato]:[Dato]], "&gt;="&amp;S$5,DWbonus[[Dato]:[Dato]],"&lt;="&amp;EOMONTH(S$5,0),DWbonus[[Bookie]:[Bookie]],$K36)+SUMIFS(LayTable[[Faktisk res]:[Faktisk res]],LayTable[[Dato]:[Dato]],"&gt;="&amp;S$5,LayTable[[Dato]:[Dato]],"&lt;="&amp;EOMONTH(S$5,0),LayTable[[Bookmaker]:[Bookmaker]],$K36)+SUMIFS(BetTable[[AR_per_bookie]:[AR_per_bookie]],BetTable[[B1]:[B1]],$K36,BetTable[[Date]:[Date]], "&gt;="&amp;S$5,BetTable[[Date]:[Date]],"&lt;="&amp;EOMONTH(S$5,0))+SUMIFS(BetTable[[AR_per_bookie]:[AR_per_bookie]],BetTable[[B2]:[B2]],$K36,BetTable[[Date]:[Date]], "&gt;="&amp;S$5,BetTable[[Date]:[Date]],"&lt;="&amp;EOMONTH(S$5,0))+SUMIFS(BetTable[[AR_per_bookie]:[AR_per_bookie]],BetTable[[B3]:[B3]],$K36,BetTable[[Date]:[Date]], "&gt;="&amp;S$5,BetTable[[Date]:[Date]],"&lt;="&amp;EOMONTH(S$5,0))</f>
        <v>0</v>
      </c>
      <c r="T36" s="186">
        <f>SUMIFS(DWbonus[[Sum]:[Sum]],DWbonus[[Dato]:[Dato]], "&gt;="&amp;T$5,DWbonus[[Dato]:[Dato]],"&lt;="&amp;EOMONTH(T$5,0),DWbonus[[Bookie]:[Bookie]],$K36)+SUMIFS(LayTable[[Faktisk res]:[Faktisk res]],LayTable[[Dato]:[Dato]],"&gt;="&amp;T$5,LayTable[[Dato]:[Dato]],"&lt;="&amp;EOMONTH(T$5,0),LayTable[[Bookmaker]:[Bookmaker]],$K36)+SUMIFS(BetTable[[AR_per_bookie]:[AR_per_bookie]],BetTable[[B1]:[B1]],$K36,BetTable[[Date]:[Date]], "&gt;="&amp;T$5,BetTable[[Date]:[Date]],"&lt;="&amp;EOMONTH(T$5,0))+SUMIFS(BetTable[[AR_per_bookie]:[AR_per_bookie]],BetTable[[B2]:[B2]],$K36,BetTable[[Date]:[Date]], "&gt;="&amp;T$5,BetTable[[Date]:[Date]],"&lt;="&amp;EOMONTH(T$5,0))+SUMIFS(BetTable[[AR_per_bookie]:[AR_per_bookie]],BetTable[[B3]:[B3]],$K36,BetTable[[Date]:[Date]], "&gt;="&amp;T$5,BetTable[[Date]:[Date]],"&lt;="&amp;EOMONTH(T$5,0))</f>
        <v>0</v>
      </c>
      <c r="U36" s="186">
        <f>SUMIFS(DWbonus[[Sum]:[Sum]],DWbonus[[Dato]:[Dato]], "&gt;="&amp;U$5,DWbonus[[Dato]:[Dato]],"&lt;="&amp;EOMONTH(U$5,0),DWbonus[[Bookie]:[Bookie]],$K36)+SUMIFS(LayTable[[Faktisk res]:[Faktisk res]],LayTable[[Dato]:[Dato]],"&gt;="&amp;U$5,LayTable[[Dato]:[Dato]],"&lt;="&amp;EOMONTH(U$5,0),LayTable[[Bookmaker]:[Bookmaker]],$K36)+SUMIFS(BetTable[[AR_per_bookie]:[AR_per_bookie]],BetTable[[B1]:[B1]],$K36,BetTable[[Date]:[Date]], "&gt;="&amp;U$5,BetTable[[Date]:[Date]],"&lt;="&amp;EOMONTH(U$5,0))+SUMIFS(BetTable[[AR_per_bookie]:[AR_per_bookie]],BetTable[[B2]:[B2]],$K36,BetTable[[Date]:[Date]], "&gt;="&amp;U$5,BetTable[[Date]:[Date]],"&lt;="&amp;EOMONTH(U$5,0))+SUMIFS(BetTable[[AR_per_bookie]:[AR_per_bookie]],BetTable[[B3]:[B3]],$K36,BetTable[[Date]:[Date]], "&gt;="&amp;U$5,BetTable[[Date]:[Date]],"&lt;="&amp;EOMONTH(U$5,0))</f>
        <v>0</v>
      </c>
      <c r="V36" s="186">
        <f>SUMIFS(DWbonus[[Sum]:[Sum]],DWbonus[[Dato]:[Dato]], "&gt;="&amp;V$5,DWbonus[[Dato]:[Dato]],"&lt;="&amp;EOMONTH(V$5,0),DWbonus[[Bookie]:[Bookie]],$K36)+SUMIFS(LayTable[[Faktisk res]:[Faktisk res]],LayTable[[Dato]:[Dato]],"&gt;="&amp;V$5,LayTable[[Dato]:[Dato]],"&lt;="&amp;EOMONTH(V$5,0),LayTable[[Bookmaker]:[Bookmaker]],$K36)+SUMIFS(BetTable[[AR_per_bookie]:[AR_per_bookie]],BetTable[[B1]:[B1]],$K36,BetTable[[Date]:[Date]], "&gt;="&amp;V$5,BetTable[[Date]:[Date]],"&lt;="&amp;EOMONTH(V$5,0))+SUMIFS(BetTable[[AR_per_bookie]:[AR_per_bookie]],BetTable[[B2]:[B2]],$K36,BetTable[[Date]:[Date]], "&gt;="&amp;V$5,BetTable[[Date]:[Date]],"&lt;="&amp;EOMONTH(V$5,0))+SUMIFS(BetTable[[AR_per_bookie]:[AR_per_bookie]],BetTable[[B3]:[B3]],$K36,BetTable[[Date]:[Date]], "&gt;="&amp;V$5,BetTable[[Date]:[Date]],"&lt;="&amp;EOMONTH(V$5,0))</f>
        <v>0</v>
      </c>
      <c r="W36" s="186">
        <f>SUMIFS(DWbonus[[Sum]:[Sum]],DWbonus[[Dato]:[Dato]], "&gt;="&amp;W$5,DWbonus[[Dato]:[Dato]],"&lt;="&amp;EOMONTH(W$5,0),DWbonus[[Bookie]:[Bookie]],$K36)+SUMIFS(LayTable[[Faktisk res]:[Faktisk res]],LayTable[[Dato]:[Dato]],"&gt;="&amp;W$5,LayTable[[Dato]:[Dato]],"&lt;="&amp;EOMONTH(W$5,0),LayTable[[Bookmaker]:[Bookmaker]],$K36)+SUMIFS(BetTable[[AR_per_bookie]:[AR_per_bookie]],BetTable[[B1]:[B1]],$K36,BetTable[[Date]:[Date]], "&gt;="&amp;W$5,BetTable[[Date]:[Date]],"&lt;="&amp;EOMONTH(W$5,0))+SUMIFS(BetTable[[AR_per_bookie]:[AR_per_bookie]],BetTable[[B2]:[B2]],$K36,BetTable[[Date]:[Date]], "&gt;="&amp;W$5,BetTable[[Date]:[Date]],"&lt;="&amp;EOMONTH(W$5,0))+SUMIFS(BetTable[[AR_per_bookie]:[AR_per_bookie]],BetTable[[B3]:[B3]],$K36,BetTable[[Date]:[Date]], "&gt;="&amp;W$5,BetTable[[Date]:[Date]],"&lt;="&amp;EOMONTH(W$5,0))</f>
        <v>0</v>
      </c>
    </row>
    <row r="37" spans="11:23">
      <c r="K37" s="174" t="str">
        <f t="array" ref="K37">IFERROR(INDEX(BookieNavn!H$2:H$1251,SMALL(IF(EXACT(LEFT(BookieNavn!H$2:H$1251,2),M$3),ROW(BookieNavn!H$2:H$1251)-ROW(BookieNavn!H$2)+1),ROWS(BookieNavn!H$2:'BookieNavn'!H32))),"")</f>
        <v/>
      </c>
      <c r="L37" s="186">
        <f>SUMIFS(DWbonus[[Sum]:[Sum]],DWbonus[[Dato]:[Dato]], "&gt;="&amp;L$5,DWbonus[[Dato]:[Dato]],"&lt;="&amp;EOMONTH(L$5,0),DWbonus[[Bookie]:[Bookie]],$K37)+SUMIFS(LayTable[[Faktisk res]:[Faktisk res]],LayTable[[Dato]:[Dato]],"&gt;="&amp;L$5,LayTable[[Dato]:[Dato]],"&lt;="&amp;EOMONTH(L$5,0),LayTable[[Bookmaker]:[Bookmaker]],$K37)+SUMIFS(BetTable[[AR_per_bookie]:[AR_per_bookie]],BetTable[[B1]:[B1]],$K37,BetTable[[Date]:[Date]], "&gt;="&amp;L$5,BetTable[[Date]:[Date]],"&lt;="&amp;EOMONTH(L$5,0))+SUMIFS(BetTable[[AR_per_bookie]:[AR_per_bookie]],BetTable[[B2]:[B2]],$K37,BetTable[[Date]:[Date]], "&gt;="&amp;L$5,BetTable[[Date]:[Date]],"&lt;="&amp;EOMONTH(L$5,0))+SUMIFS(BetTable[[AR_per_bookie]:[AR_per_bookie]],BetTable[[B3]:[B3]],$K37,BetTable[[Date]:[Date]], "&gt;="&amp;L$5,BetTable[[Date]:[Date]],"&lt;="&amp;EOMONTH(L$5,0))</f>
        <v>0</v>
      </c>
      <c r="M37" s="186">
        <f>SUMIFS(DWbonus[[Sum]:[Sum]],DWbonus[[Dato]:[Dato]], "&gt;="&amp;M$5,DWbonus[[Dato]:[Dato]],"&lt;="&amp;EOMONTH(M$5,0),DWbonus[[Bookie]:[Bookie]],$K37)+SUMIFS(LayTable[[Faktisk res]:[Faktisk res]],LayTable[[Dato]:[Dato]],"&gt;="&amp;M$5,LayTable[[Dato]:[Dato]],"&lt;="&amp;EOMONTH(M$5,0),LayTable[[Bookmaker]:[Bookmaker]],$K37)+SUMIFS(BetTable[[AR_per_bookie]:[AR_per_bookie]],BetTable[[B1]:[B1]],$K37,BetTable[[Date]:[Date]], "&gt;="&amp;M$5,BetTable[[Date]:[Date]],"&lt;="&amp;EOMONTH(M$5,0))+SUMIFS(BetTable[[AR_per_bookie]:[AR_per_bookie]],BetTable[[B2]:[B2]],$K37,BetTable[[Date]:[Date]], "&gt;="&amp;M$5,BetTable[[Date]:[Date]],"&lt;="&amp;EOMONTH(M$5,0))+SUMIFS(BetTable[[AR_per_bookie]:[AR_per_bookie]],BetTable[[B3]:[B3]],$K37,BetTable[[Date]:[Date]], "&gt;="&amp;M$5,BetTable[[Date]:[Date]],"&lt;="&amp;EOMONTH(M$5,0))</f>
        <v>0</v>
      </c>
      <c r="N37" s="186">
        <f>SUMIFS(DWbonus[[Sum]:[Sum]],DWbonus[[Dato]:[Dato]], "&gt;="&amp;N$5,DWbonus[[Dato]:[Dato]],"&lt;="&amp;EOMONTH(N$5,0),DWbonus[[Bookie]:[Bookie]],$K37)+SUMIFS(LayTable[[Faktisk res]:[Faktisk res]],LayTable[[Dato]:[Dato]],"&gt;="&amp;N$5,LayTable[[Dato]:[Dato]],"&lt;="&amp;EOMONTH(N$5,0),LayTable[[Bookmaker]:[Bookmaker]],$K37)+SUMIFS(BetTable[[AR_per_bookie]:[AR_per_bookie]],BetTable[[B1]:[B1]],$K37,BetTable[[Date]:[Date]], "&gt;="&amp;N$5,BetTable[[Date]:[Date]],"&lt;="&amp;EOMONTH(N$5,0))+SUMIFS(BetTable[[AR_per_bookie]:[AR_per_bookie]],BetTable[[B2]:[B2]],$K37,BetTable[[Date]:[Date]], "&gt;="&amp;N$5,BetTable[[Date]:[Date]],"&lt;="&amp;EOMONTH(N$5,0))+SUMIFS(BetTable[[AR_per_bookie]:[AR_per_bookie]],BetTable[[B3]:[B3]],$K37,BetTable[[Date]:[Date]], "&gt;="&amp;N$5,BetTable[[Date]:[Date]],"&lt;="&amp;EOMONTH(N$5,0))</f>
        <v>0</v>
      </c>
      <c r="O37" s="186">
        <f>SUMIFS(DWbonus[[Sum]:[Sum]],DWbonus[[Dato]:[Dato]], "&gt;="&amp;O$5,DWbonus[[Dato]:[Dato]],"&lt;="&amp;EOMONTH(O$5,0),DWbonus[[Bookie]:[Bookie]],$K37)+SUMIFS(LayTable[[Faktisk res]:[Faktisk res]],LayTable[[Dato]:[Dato]],"&gt;="&amp;O$5,LayTable[[Dato]:[Dato]],"&lt;="&amp;EOMONTH(O$5,0),LayTable[[Bookmaker]:[Bookmaker]],$K37)+SUMIFS(BetTable[[AR_per_bookie]:[AR_per_bookie]],BetTable[[B1]:[B1]],$K37,BetTable[[Date]:[Date]], "&gt;="&amp;O$5,BetTable[[Date]:[Date]],"&lt;="&amp;EOMONTH(O$5,0))+SUMIFS(BetTable[[AR_per_bookie]:[AR_per_bookie]],BetTable[[B2]:[B2]],$K37,BetTable[[Date]:[Date]], "&gt;="&amp;O$5,BetTable[[Date]:[Date]],"&lt;="&amp;EOMONTH(O$5,0))+SUMIFS(BetTable[[AR_per_bookie]:[AR_per_bookie]],BetTable[[B3]:[B3]],$K37,BetTable[[Date]:[Date]], "&gt;="&amp;O$5,BetTable[[Date]:[Date]],"&lt;="&amp;EOMONTH(O$5,0))</f>
        <v>0</v>
      </c>
      <c r="P37" s="186">
        <f>SUMIFS(DWbonus[[Sum]:[Sum]],DWbonus[[Dato]:[Dato]], "&gt;="&amp;P$5,DWbonus[[Dato]:[Dato]],"&lt;="&amp;EOMONTH(P$5,0),DWbonus[[Bookie]:[Bookie]],$K37)+SUMIFS(LayTable[[Faktisk res]:[Faktisk res]],LayTable[[Dato]:[Dato]],"&gt;="&amp;P$5,LayTable[[Dato]:[Dato]],"&lt;="&amp;EOMONTH(P$5,0),LayTable[[Bookmaker]:[Bookmaker]],$K37)+SUMIFS(BetTable[[AR_per_bookie]:[AR_per_bookie]],BetTable[[B1]:[B1]],$K37,BetTable[[Date]:[Date]], "&gt;="&amp;P$5,BetTable[[Date]:[Date]],"&lt;="&amp;EOMONTH(P$5,0))+SUMIFS(BetTable[[AR_per_bookie]:[AR_per_bookie]],BetTable[[B2]:[B2]],$K37,BetTable[[Date]:[Date]], "&gt;="&amp;P$5,BetTable[[Date]:[Date]],"&lt;="&amp;EOMONTH(P$5,0))+SUMIFS(BetTable[[AR_per_bookie]:[AR_per_bookie]],BetTable[[B3]:[B3]],$K37,BetTable[[Date]:[Date]], "&gt;="&amp;P$5,BetTable[[Date]:[Date]],"&lt;="&amp;EOMONTH(P$5,0))</f>
        <v>0</v>
      </c>
      <c r="Q37" s="186">
        <f>SUMIFS(DWbonus[[Sum]:[Sum]],DWbonus[[Dato]:[Dato]], "&gt;="&amp;Q$5,DWbonus[[Dato]:[Dato]],"&lt;="&amp;EOMONTH(Q$5,0),DWbonus[[Bookie]:[Bookie]],$K37)+SUMIFS(LayTable[[Faktisk res]:[Faktisk res]],LayTable[[Dato]:[Dato]],"&gt;="&amp;Q$5,LayTable[[Dato]:[Dato]],"&lt;="&amp;EOMONTH(Q$5,0),LayTable[[Bookmaker]:[Bookmaker]],$K37)+SUMIFS(BetTable[[AR_per_bookie]:[AR_per_bookie]],BetTable[[B1]:[B1]],$K37,BetTable[[Date]:[Date]], "&gt;="&amp;Q$5,BetTable[[Date]:[Date]],"&lt;="&amp;EOMONTH(Q$5,0))+SUMIFS(BetTable[[AR_per_bookie]:[AR_per_bookie]],BetTable[[B2]:[B2]],$K37,BetTable[[Date]:[Date]], "&gt;="&amp;Q$5,BetTable[[Date]:[Date]],"&lt;="&amp;EOMONTH(Q$5,0))+SUMIFS(BetTable[[AR_per_bookie]:[AR_per_bookie]],BetTable[[B3]:[B3]],$K37,BetTable[[Date]:[Date]], "&gt;="&amp;Q$5,BetTable[[Date]:[Date]],"&lt;="&amp;EOMONTH(Q$5,0))</f>
        <v>0</v>
      </c>
      <c r="R37" s="186">
        <f>SUMIFS(DWbonus[[Sum]:[Sum]],DWbonus[[Dato]:[Dato]], "&gt;="&amp;R$5,DWbonus[[Dato]:[Dato]],"&lt;="&amp;EOMONTH(R$5,0),DWbonus[[Bookie]:[Bookie]],$K37)+SUMIFS(LayTable[[Faktisk res]:[Faktisk res]],LayTable[[Dato]:[Dato]],"&gt;="&amp;R$5,LayTable[[Dato]:[Dato]],"&lt;="&amp;EOMONTH(R$5,0),LayTable[[Bookmaker]:[Bookmaker]],$K37)+SUMIFS(BetTable[[AR_per_bookie]:[AR_per_bookie]],BetTable[[B1]:[B1]],$K37,BetTable[[Date]:[Date]], "&gt;="&amp;R$5,BetTable[[Date]:[Date]],"&lt;="&amp;EOMONTH(R$5,0))+SUMIFS(BetTable[[AR_per_bookie]:[AR_per_bookie]],BetTable[[B2]:[B2]],$K37,BetTable[[Date]:[Date]], "&gt;="&amp;R$5,BetTable[[Date]:[Date]],"&lt;="&amp;EOMONTH(R$5,0))+SUMIFS(BetTable[[AR_per_bookie]:[AR_per_bookie]],BetTable[[B3]:[B3]],$K37,BetTable[[Date]:[Date]], "&gt;="&amp;R$5,BetTable[[Date]:[Date]],"&lt;="&amp;EOMONTH(R$5,0))</f>
        <v>0</v>
      </c>
      <c r="S37" s="186">
        <f>SUMIFS(DWbonus[[Sum]:[Sum]],DWbonus[[Dato]:[Dato]], "&gt;="&amp;S$5,DWbonus[[Dato]:[Dato]],"&lt;="&amp;EOMONTH(S$5,0),DWbonus[[Bookie]:[Bookie]],$K37)+SUMIFS(LayTable[[Faktisk res]:[Faktisk res]],LayTable[[Dato]:[Dato]],"&gt;="&amp;S$5,LayTable[[Dato]:[Dato]],"&lt;="&amp;EOMONTH(S$5,0),LayTable[[Bookmaker]:[Bookmaker]],$K37)+SUMIFS(BetTable[[AR_per_bookie]:[AR_per_bookie]],BetTable[[B1]:[B1]],$K37,BetTable[[Date]:[Date]], "&gt;="&amp;S$5,BetTable[[Date]:[Date]],"&lt;="&amp;EOMONTH(S$5,0))+SUMIFS(BetTable[[AR_per_bookie]:[AR_per_bookie]],BetTable[[B2]:[B2]],$K37,BetTable[[Date]:[Date]], "&gt;="&amp;S$5,BetTable[[Date]:[Date]],"&lt;="&amp;EOMONTH(S$5,0))+SUMIFS(BetTable[[AR_per_bookie]:[AR_per_bookie]],BetTable[[B3]:[B3]],$K37,BetTable[[Date]:[Date]], "&gt;="&amp;S$5,BetTable[[Date]:[Date]],"&lt;="&amp;EOMONTH(S$5,0))</f>
        <v>0</v>
      </c>
      <c r="T37" s="186">
        <f>SUMIFS(DWbonus[[Sum]:[Sum]],DWbonus[[Dato]:[Dato]], "&gt;="&amp;T$5,DWbonus[[Dato]:[Dato]],"&lt;="&amp;EOMONTH(T$5,0),DWbonus[[Bookie]:[Bookie]],$K37)+SUMIFS(LayTable[[Faktisk res]:[Faktisk res]],LayTable[[Dato]:[Dato]],"&gt;="&amp;T$5,LayTable[[Dato]:[Dato]],"&lt;="&amp;EOMONTH(T$5,0),LayTable[[Bookmaker]:[Bookmaker]],$K37)+SUMIFS(BetTable[[AR_per_bookie]:[AR_per_bookie]],BetTable[[B1]:[B1]],$K37,BetTable[[Date]:[Date]], "&gt;="&amp;T$5,BetTable[[Date]:[Date]],"&lt;="&amp;EOMONTH(T$5,0))+SUMIFS(BetTable[[AR_per_bookie]:[AR_per_bookie]],BetTable[[B2]:[B2]],$K37,BetTable[[Date]:[Date]], "&gt;="&amp;T$5,BetTable[[Date]:[Date]],"&lt;="&amp;EOMONTH(T$5,0))+SUMIFS(BetTable[[AR_per_bookie]:[AR_per_bookie]],BetTable[[B3]:[B3]],$K37,BetTable[[Date]:[Date]], "&gt;="&amp;T$5,BetTable[[Date]:[Date]],"&lt;="&amp;EOMONTH(T$5,0))</f>
        <v>0</v>
      </c>
      <c r="U37" s="186">
        <f>SUMIFS(DWbonus[[Sum]:[Sum]],DWbonus[[Dato]:[Dato]], "&gt;="&amp;U$5,DWbonus[[Dato]:[Dato]],"&lt;="&amp;EOMONTH(U$5,0),DWbonus[[Bookie]:[Bookie]],$K37)+SUMIFS(LayTable[[Faktisk res]:[Faktisk res]],LayTable[[Dato]:[Dato]],"&gt;="&amp;U$5,LayTable[[Dato]:[Dato]],"&lt;="&amp;EOMONTH(U$5,0),LayTable[[Bookmaker]:[Bookmaker]],$K37)+SUMIFS(BetTable[[AR_per_bookie]:[AR_per_bookie]],BetTable[[B1]:[B1]],$K37,BetTable[[Date]:[Date]], "&gt;="&amp;U$5,BetTable[[Date]:[Date]],"&lt;="&amp;EOMONTH(U$5,0))+SUMIFS(BetTable[[AR_per_bookie]:[AR_per_bookie]],BetTable[[B2]:[B2]],$K37,BetTable[[Date]:[Date]], "&gt;="&amp;U$5,BetTable[[Date]:[Date]],"&lt;="&amp;EOMONTH(U$5,0))+SUMIFS(BetTable[[AR_per_bookie]:[AR_per_bookie]],BetTable[[B3]:[B3]],$K37,BetTable[[Date]:[Date]], "&gt;="&amp;U$5,BetTable[[Date]:[Date]],"&lt;="&amp;EOMONTH(U$5,0))</f>
        <v>0</v>
      </c>
      <c r="V37" s="186">
        <f>SUMIFS(DWbonus[[Sum]:[Sum]],DWbonus[[Dato]:[Dato]], "&gt;="&amp;V$5,DWbonus[[Dato]:[Dato]],"&lt;="&amp;EOMONTH(V$5,0),DWbonus[[Bookie]:[Bookie]],$K37)+SUMIFS(LayTable[[Faktisk res]:[Faktisk res]],LayTable[[Dato]:[Dato]],"&gt;="&amp;V$5,LayTable[[Dato]:[Dato]],"&lt;="&amp;EOMONTH(V$5,0),LayTable[[Bookmaker]:[Bookmaker]],$K37)+SUMIFS(BetTable[[AR_per_bookie]:[AR_per_bookie]],BetTable[[B1]:[B1]],$K37,BetTable[[Date]:[Date]], "&gt;="&amp;V$5,BetTable[[Date]:[Date]],"&lt;="&amp;EOMONTH(V$5,0))+SUMIFS(BetTable[[AR_per_bookie]:[AR_per_bookie]],BetTable[[B2]:[B2]],$K37,BetTable[[Date]:[Date]], "&gt;="&amp;V$5,BetTable[[Date]:[Date]],"&lt;="&amp;EOMONTH(V$5,0))+SUMIFS(BetTable[[AR_per_bookie]:[AR_per_bookie]],BetTable[[B3]:[B3]],$K37,BetTable[[Date]:[Date]], "&gt;="&amp;V$5,BetTable[[Date]:[Date]],"&lt;="&amp;EOMONTH(V$5,0))</f>
        <v>0</v>
      </c>
      <c r="W37" s="186">
        <f>SUMIFS(DWbonus[[Sum]:[Sum]],DWbonus[[Dato]:[Dato]], "&gt;="&amp;W$5,DWbonus[[Dato]:[Dato]],"&lt;="&amp;EOMONTH(W$5,0),DWbonus[[Bookie]:[Bookie]],$K37)+SUMIFS(LayTable[[Faktisk res]:[Faktisk res]],LayTable[[Dato]:[Dato]],"&gt;="&amp;W$5,LayTable[[Dato]:[Dato]],"&lt;="&amp;EOMONTH(W$5,0),LayTable[[Bookmaker]:[Bookmaker]],$K37)+SUMIFS(BetTable[[AR_per_bookie]:[AR_per_bookie]],BetTable[[B1]:[B1]],$K37,BetTable[[Date]:[Date]], "&gt;="&amp;W$5,BetTable[[Date]:[Date]],"&lt;="&amp;EOMONTH(W$5,0))+SUMIFS(BetTable[[AR_per_bookie]:[AR_per_bookie]],BetTable[[B2]:[B2]],$K37,BetTable[[Date]:[Date]], "&gt;="&amp;W$5,BetTable[[Date]:[Date]],"&lt;="&amp;EOMONTH(W$5,0))+SUMIFS(BetTable[[AR_per_bookie]:[AR_per_bookie]],BetTable[[B3]:[B3]],$K37,BetTable[[Date]:[Date]], "&gt;="&amp;W$5,BetTable[[Date]:[Date]],"&lt;="&amp;EOMONTH(W$5,0))</f>
        <v>0</v>
      </c>
    </row>
    <row r="38" spans="11:23">
      <c r="K38" s="174" t="str">
        <f t="array" ref="K38">IFERROR(INDEX(BookieNavn!H$2:H$1251,SMALL(IF(EXACT(LEFT(BookieNavn!H$2:H$1251,2),M$3),ROW(BookieNavn!H$2:H$1251)-ROW(BookieNavn!H$2)+1),ROWS(BookieNavn!H$2:'BookieNavn'!H33))),"")</f>
        <v/>
      </c>
      <c r="L38" s="186">
        <f>SUMIFS(DWbonus[[Sum]:[Sum]],DWbonus[[Dato]:[Dato]], "&gt;="&amp;L$5,DWbonus[[Dato]:[Dato]],"&lt;="&amp;EOMONTH(L$5,0),DWbonus[[Bookie]:[Bookie]],$K38)+SUMIFS(LayTable[[Faktisk res]:[Faktisk res]],LayTable[[Dato]:[Dato]],"&gt;="&amp;L$5,LayTable[[Dato]:[Dato]],"&lt;="&amp;EOMONTH(L$5,0),LayTable[[Bookmaker]:[Bookmaker]],$K38)+SUMIFS(BetTable[[AR_per_bookie]:[AR_per_bookie]],BetTable[[B1]:[B1]],$K38,BetTable[[Date]:[Date]], "&gt;="&amp;L$5,BetTable[[Date]:[Date]],"&lt;="&amp;EOMONTH(L$5,0))+SUMIFS(BetTable[[AR_per_bookie]:[AR_per_bookie]],BetTable[[B2]:[B2]],$K38,BetTable[[Date]:[Date]], "&gt;="&amp;L$5,BetTable[[Date]:[Date]],"&lt;="&amp;EOMONTH(L$5,0))+SUMIFS(BetTable[[AR_per_bookie]:[AR_per_bookie]],BetTable[[B3]:[B3]],$K38,BetTable[[Date]:[Date]], "&gt;="&amp;L$5,BetTable[[Date]:[Date]],"&lt;="&amp;EOMONTH(L$5,0))</f>
        <v>0</v>
      </c>
      <c r="M38" s="186">
        <f>SUMIFS(DWbonus[[Sum]:[Sum]],DWbonus[[Dato]:[Dato]], "&gt;="&amp;M$5,DWbonus[[Dato]:[Dato]],"&lt;="&amp;EOMONTH(M$5,0),DWbonus[[Bookie]:[Bookie]],$K38)+SUMIFS(LayTable[[Faktisk res]:[Faktisk res]],LayTable[[Dato]:[Dato]],"&gt;="&amp;M$5,LayTable[[Dato]:[Dato]],"&lt;="&amp;EOMONTH(M$5,0),LayTable[[Bookmaker]:[Bookmaker]],$K38)+SUMIFS(BetTable[[AR_per_bookie]:[AR_per_bookie]],BetTable[[B1]:[B1]],$K38,BetTable[[Date]:[Date]], "&gt;="&amp;M$5,BetTable[[Date]:[Date]],"&lt;="&amp;EOMONTH(M$5,0))+SUMIFS(BetTable[[AR_per_bookie]:[AR_per_bookie]],BetTable[[B2]:[B2]],$K38,BetTable[[Date]:[Date]], "&gt;="&amp;M$5,BetTable[[Date]:[Date]],"&lt;="&amp;EOMONTH(M$5,0))+SUMIFS(BetTable[[AR_per_bookie]:[AR_per_bookie]],BetTable[[B3]:[B3]],$K38,BetTable[[Date]:[Date]], "&gt;="&amp;M$5,BetTable[[Date]:[Date]],"&lt;="&amp;EOMONTH(M$5,0))</f>
        <v>0</v>
      </c>
      <c r="N38" s="186">
        <f>SUMIFS(DWbonus[[Sum]:[Sum]],DWbonus[[Dato]:[Dato]], "&gt;="&amp;N$5,DWbonus[[Dato]:[Dato]],"&lt;="&amp;EOMONTH(N$5,0),DWbonus[[Bookie]:[Bookie]],$K38)+SUMIFS(LayTable[[Faktisk res]:[Faktisk res]],LayTable[[Dato]:[Dato]],"&gt;="&amp;N$5,LayTable[[Dato]:[Dato]],"&lt;="&amp;EOMONTH(N$5,0),LayTable[[Bookmaker]:[Bookmaker]],$K38)+SUMIFS(BetTable[[AR_per_bookie]:[AR_per_bookie]],BetTable[[B1]:[B1]],$K38,BetTable[[Date]:[Date]], "&gt;="&amp;N$5,BetTable[[Date]:[Date]],"&lt;="&amp;EOMONTH(N$5,0))+SUMIFS(BetTable[[AR_per_bookie]:[AR_per_bookie]],BetTable[[B2]:[B2]],$K38,BetTable[[Date]:[Date]], "&gt;="&amp;N$5,BetTable[[Date]:[Date]],"&lt;="&amp;EOMONTH(N$5,0))+SUMIFS(BetTable[[AR_per_bookie]:[AR_per_bookie]],BetTable[[B3]:[B3]],$K38,BetTable[[Date]:[Date]], "&gt;="&amp;N$5,BetTable[[Date]:[Date]],"&lt;="&amp;EOMONTH(N$5,0))</f>
        <v>0</v>
      </c>
      <c r="O38" s="186">
        <f>SUMIFS(DWbonus[[Sum]:[Sum]],DWbonus[[Dato]:[Dato]], "&gt;="&amp;O$5,DWbonus[[Dato]:[Dato]],"&lt;="&amp;EOMONTH(O$5,0),DWbonus[[Bookie]:[Bookie]],$K38)+SUMIFS(LayTable[[Faktisk res]:[Faktisk res]],LayTable[[Dato]:[Dato]],"&gt;="&amp;O$5,LayTable[[Dato]:[Dato]],"&lt;="&amp;EOMONTH(O$5,0),LayTable[[Bookmaker]:[Bookmaker]],$K38)+SUMIFS(BetTable[[AR_per_bookie]:[AR_per_bookie]],BetTable[[B1]:[B1]],$K38,BetTable[[Date]:[Date]], "&gt;="&amp;O$5,BetTable[[Date]:[Date]],"&lt;="&amp;EOMONTH(O$5,0))+SUMIFS(BetTable[[AR_per_bookie]:[AR_per_bookie]],BetTable[[B2]:[B2]],$K38,BetTable[[Date]:[Date]], "&gt;="&amp;O$5,BetTable[[Date]:[Date]],"&lt;="&amp;EOMONTH(O$5,0))+SUMIFS(BetTable[[AR_per_bookie]:[AR_per_bookie]],BetTable[[B3]:[B3]],$K38,BetTable[[Date]:[Date]], "&gt;="&amp;O$5,BetTable[[Date]:[Date]],"&lt;="&amp;EOMONTH(O$5,0))</f>
        <v>0</v>
      </c>
      <c r="P38" s="186">
        <f>SUMIFS(DWbonus[[Sum]:[Sum]],DWbonus[[Dato]:[Dato]], "&gt;="&amp;P$5,DWbonus[[Dato]:[Dato]],"&lt;="&amp;EOMONTH(P$5,0),DWbonus[[Bookie]:[Bookie]],$K38)+SUMIFS(LayTable[[Faktisk res]:[Faktisk res]],LayTable[[Dato]:[Dato]],"&gt;="&amp;P$5,LayTable[[Dato]:[Dato]],"&lt;="&amp;EOMONTH(P$5,0),LayTable[[Bookmaker]:[Bookmaker]],$K38)+SUMIFS(BetTable[[AR_per_bookie]:[AR_per_bookie]],BetTable[[B1]:[B1]],$K38,BetTable[[Date]:[Date]], "&gt;="&amp;P$5,BetTable[[Date]:[Date]],"&lt;="&amp;EOMONTH(P$5,0))+SUMIFS(BetTable[[AR_per_bookie]:[AR_per_bookie]],BetTable[[B2]:[B2]],$K38,BetTable[[Date]:[Date]], "&gt;="&amp;P$5,BetTable[[Date]:[Date]],"&lt;="&amp;EOMONTH(P$5,0))+SUMIFS(BetTable[[AR_per_bookie]:[AR_per_bookie]],BetTable[[B3]:[B3]],$K38,BetTable[[Date]:[Date]], "&gt;="&amp;P$5,BetTable[[Date]:[Date]],"&lt;="&amp;EOMONTH(P$5,0))</f>
        <v>0</v>
      </c>
      <c r="Q38" s="186">
        <f>SUMIFS(DWbonus[[Sum]:[Sum]],DWbonus[[Dato]:[Dato]], "&gt;="&amp;Q$5,DWbonus[[Dato]:[Dato]],"&lt;="&amp;EOMONTH(Q$5,0),DWbonus[[Bookie]:[Bookie]],$K38)+SUMIFS(LayTable[[Faktisk res]:[Faktisk res]],LayTable[[Dato]:[Dato]],"&gt;="&amp;Q$5,LayTable[[Dato]:[Dato]],"&lt;="&amp;EOMONTH(Q$5,0),LayTable[[Bookmaker]:[Bookmaker]],$K38)+SUMIFS(BetTable[[AR_per_bookie]:[AR_per_bookie]],BetTable[[B1]:[B1]],$K38,BetTable[[Date]:[Date]], "&gt;="&amp;Q$5,BetTable[[Date]:[Date]],"&lt;="&amp;EOMONTH(Q$5,0))+SUMIFS(BetTable[[AR_per_bookie]:[AR_per_bookie]],BetTable[[B2]:[B2]],$K38,BetTable[[Date]:[Date]], "&gt;="&amp;Q$5,BetTable[[Date]:[Date]],"&lt;="&amp;EOMONTH(Q$5,0))+SUMIFS(BetTable[[AR_per_bookie]:[AR_per_bookie]],BetTable[[B3]:[B3]],$K38,BetTable[[Date]:[Date]], "&gt;="&amp;Q$5,BetTable[[Date]:[Date]],"&lt;="&amp;EOMONTH(Q$5,0))</f>
        <v>0</v>
      </c>
      <c r="R38" s="186">
        <f>SUMIFS(DWbonus[[Sum]:[Sum]],DWbonus[[Dato]:[Dato]], "&gt;="&amp;R$5,DWbonus[[Dato]:[Dato]],"&lt;="&amp;EOMONTH(R$5,0),DWbonus[[Bookie]:[Bookie]],$K38)+SUMIFS(LayTable[[Faktisk res]:[Faktisk res]],LayTable[[Dato]:[Dato]],"&gt;="&amp;R$5,LayTable[[Dato]:[Dato]],"&lt;="&amp;EOMONTH(R$5,0),LayTable[[Bookmaker]:[Bookmaker]],$K38)+SUMIFS(BetTable[[AR_per_bookie]:[AR_per_bookie]],BetTable[[B1]:[B1]],$K38,BetTable[[Date]:[Date]], "&gt;="&amp;R$5,BetTable[[Date]:[Date]],"&lt;="&amp;EOMONTH(R$5,0))+SUMIFS(BetTable[[AR_per_bookie]:[AR_per_bookie]],BetTable[[B2]:[B2]],$K38,BetTable[[Date]:[Date]], "&gt;="&amp;R$5,BetTable[[Date]:[Date]],"&lt;="&amp;EOMONTH(R$5,0))+SUMIFS(BetTable[[AR_per_bookie]:[AR_per_bookie]],BetTable[[B3]:[B3]],$K38,BetTable[[Date]:[Date]], "&gt;="&amp;R$5,BetTable[[Date]:[Date]],"&lt;="&amp;EOMONTH(R$5,0))</f>
        <v>0</v>
      </c>
      <c r="S38" s="186">
        <f>SUMIFS(DWbonus[[Sum]:[Sum]],DWbonus[[Dato]:[Dato]], "&gt;="&amp;S$5,DWbonus[[Dato]:[Dato]],"&lt;="&amp;EOMONTH(S$5,0),DWbonus[[Bookie]:[Bookie]],$K38)+SUMIFS(LayTable[[Faktisk res]:[Faktisk res]],LayTable[[Dato]:[Dato]],"&gt;="&amp;S$5,LayTable[[Dato]:[Dato]],"&lt;="&amp;EOMONTH(S$5,0),LayTable[[Bookmaker]:[Bookmaker]],$K38)+SUMIFS(BetTable[[AR_per_bookie]:[AR_per_bookie]],BetTable[[B1]:[B1]],$K38,BetTable[[Date]:[Date]], "&gt;="&amp;S$5,BetTable[[Date]:[Date]],"&lt;="&amp;EOMONTH(S$5,0))+SUMIFS(BetTable[[AR_per_bookie]:[AR_per_bookie]],BetTable[[B2]:[B2]],$K38,BetTable[[Date]:[Date]], "&gt;="&amp;S$5,BetTable[[Date]:[Date]],"&lt;="&amp;EOMONTH(S$5,0))+SUMIFS(BetTable[[AR_per_bookie]:[AR_per_bookie]],BetTable[[B3]:[B3]],$K38,BetTable[[Date]:[Date]], "&gt;="&amp;S$5,BetTable[[Date]:[Date]],"&lt;="&amp;EOMONTH(S$5,0))</f>
        <v>0</v>
      </c>
      <c r="T38" s="186">
        <f>SUMIFS(DWbonus[[Sum]:[Sum]],DWbonus[[Dato]:[Dato]], "&gt;="&amp;T$5,DWbonus[[Dato]:[Dato]],"&lt;="&amp;EOMONTH(T$5,0),DWbonus[[Bookie]:[Bookie]],$K38)+SUMIFS(LayTable[[Faktisk res]:[Faktisk res]],LayTable[[Dato]:[Dato]],"&gt;="&amp;T$5,LayTable[[Dato]:[Dato]],"&lt;="&amp;EOMONTH(T$5,0),LayTable[[Bookmaker]:[Bookmaker]],$K38)+SUMIFS(BetTable[[AR_per_bookie]:[AR_per_bookie]],BetTable[[B1]:[B1]],$K38,BetTable[[Date]:[Date]], "&gt;="&amp;T$5,BetTable[[Date]:[Date]],"&lt;="&amp;EOMONTH(T$5,0))+SUMIFS(BetTable[[AR_per_bookie]:[AR_per_bookie]],BetTable[[B2]:[B2]],$K38,BetTable[[Date]:[Date]], "&gt;="&amp;T$5,BetTable[[Date]:[Date]],"&lt;="&amp;EOMONTH(T$5,0))+SUMIFS(BetTable[[AR_per_bookie]:[AR_per_bookie]],BetTable[[B3]:[B3]],$K38,BetTable[[Date]:[Date]], "&gt;="&amp;T$5,BetTable[[Date]:[Date]],"&lt;="&amp;EOMONTH(T$5,0))</f>
        <v>0</v>
      </c>
      <c r="U38" s="186">
        <f>SUMIFS(DWbonus[[Sum]:[Sum]],DWbonus[[Dato]:[Dato]], "&gt;="&amp;U$5,DWbonus[[Dato]:[Dato]],"&lt;="&amp;EOMONTH(U$5,0),DWbonus[[Bookie]:[Bookie]],$K38)+SUMIFS(LayTable[[Faktisk res]:[Faktisk res]],LayTable[[Dato]:[Dato]],"&gt;="&amp;U$5,LayTable[[Dato]:[Dato]],"&lt;="&amp;EOMONTH(U$5,0),LayTable[[Bookmaker]:[Bookmaker]],$K38)+SUMIFS(BetTable[[AR_per_bookie]:[AR_per_bookie]],BetTable[[B1]:[B1]],$K38,BetTable[[Date]:[Date]], "&gt;="&amp;U$5,BetTable[[Date]:[Date]],"&lt;="&amp;EOMONTH(U$5,0))+SUMIFS(BetTable[[AR_per_bookie]:[AR_per_bookie]],BetTable[[B2]:[B2]],$K38,BetTable[[Date]:[Date]], "&gt;="&amp;U$5,BetTable[[Date]:[Date]],"&lt;="&amp;EOMONTH(U$5,0))+SUMIFS(BetTable[[AR_per_bookie]:[AR_per_bookie]],BetTable[[B3]:[B3]],$K38,BetTable[[Date]:[Date]], "&gt;="&amp;U$5,BetTable[[Date]:[Date]],"&lt;="&amp;EOMONTH(U$5,0))</f>
        <v>0</v>
      </c>
      <c r="V38" s="186">
        <f>SUMIFS(DWbonus[[Sum]:[Sum]],DWbonus[[Dato]:[Dato]], "&gt;="&amp;V$5,DWbonus[[Dato]:[Dato]],"&lt;="&amp;EOMONTH(V$5,0),DWbonus[[Bookie]:[Bookie]],$K38)+SUMIFS(LayTable[[Faktisk res]:[Faktisk res]],LayTable[[Dato]:[Dato]],"&gt;="&amp;V$5,LayTable[[Dato]:[Dato]],"&lt;="&amp;EOMONTH(V$5,0),LayTable[[Bookmaker]:[Bookmaker]],$K38)+SUMIFS(BetTable[[AR_per_bookie]:[AR_per_bookie]],BetTable[[B1]:[B1]],$K38,BetTable[[Date]:[Date]], "&gt;="&amp;V$5,BetTable[[Date]:[Date]],"&lt;="&amp;EOMONTH(V$5,0))+SUMIFS(BetTable[[AR_per_bookie]:[AR_per_bookie]],BetTable[[B2]:[B2]],$K38,BetTable[[Date]:[Date]], "&gt;="&amp;V$5,BetTable[[Date]:[Date]],"&lt;="&amp;EOMONTH(V$5,0))+SUMIFS(BetTable[[AR_per_bookie]:[AR_per_bookie]],BetTable[[B3]:[B3]],$K38,BetTable[[Date]:[Date]], "&gt;="&amp;V$5,BetTable[[Date]:[Date]],"&lt;="&amp;EOMONTH(V$5,0))</f>
        <v>0</v>
      </c>
      <c r="W38" s="186">
        <f>SUMIFS(DWbonus[[Sum]:[Sum]],DWbonus[[Dato]:[Dato]], "&gt;="&amp;W$5,DWbonus[[Dato]:[Dato]],"&lt;="&amp;EOMONTH(W$5,0),DWbonus[[Bookie]:[Bookie]],$K38)+SUMIFS(LayTable[[Faktisk res]:[Faktisk res]],LayTable[[Dato]:[Dato]],"&gt;="&amp;W$5,LayTable[[Dato]:[Dato]],"&lt;="&amp;EOMONTH(W$5,0),LayTable[[Bookmaker]:[Bookmaker]],$K38)+SUMIFS(BetTable[[AR_per_bookie]:[AR_per_bookie]],BetTable[[B1]:[B1]],$K38,BetTable[[Date]:[Date]], "&gt;="&amp;W$5,BetTable[[Date]:[Date]],"&lt;="&amp;EOMONTH(W$5,0))+SUMIFS(BetTable[[AR_per_bookie]:[AR_per_bookie]],BetTable[[B2]:[B2]],$K38,BetTable[[Date]:[Date]], "&gt;="&amp;W$5,BetTable[[Date]:[Date]],"&lt;="&amp;EOMONTH(W$5,0))+SUMIFS(BetTable[[AR_per_bookie]:[AR_per_bookie]],BetTable[[B3]:[B3]],$K38,BetTable[[Date]:[Date]], "&gt;="&amp;W$5,BetTable[[Date]:[Date]],"&lt;="&amp;EOMONTH(W$5,0))</f>
        <v>0</v>
      </c>
    </row>
    <row r="39" spans="11:23">
      <c r="K39" s="174" t="str">
        <f t="array" ref="K39">IFERROR(INDEX(BookieNavn!H$2:H$1251,SMALL(IF(EXACT(LEFT(BookieNavn!H$2:H$1251,2),M$3),ROW(BookieNavn!H$2:H$1251)-ROW(BookieNavn!H$2)+1),ROWS(BookieNavn!H$2:'BookieNavn'!H34))),"")</f>
        <v/>
      </c>
      <c r="L39" s="186">
        <f>SUMIFS(DWbonus[[Sum]:[Sum]],DWbonus[[Dato]:[Dato]], "&gt;="&amp;L$5,DWbonus[[Dato]:[Dato]],"&lt;="&amp;EOMONTH(L$5,0),DWbonus[[Bookie]:[Bookie]],$K39)+SUMIFS(LayTable[[Faktisk res]:[Faktisk res]],LayTable[[Dato]:[Dato]],"&gt;="&amp;L$5,LayTable[[Dato]:[Dato]],"&lt;="&amp;EOMONTH(L$5,0),LayTable[[Bookmaker]:[Bookmaker]],$K39)+SUMIFS(BetTable[[AR_per_bookie]:[AR_per_bookie]],BetTable[[B1]:[B1]],$K39,BetTable[[Date]:[Date]], "&gt;="&amp;L$5,BetTable[[Date]:[Date]],"&lt;="&amp;EOMONTH(L$5,0))+SUMIFS(BetTable[[AR_per_bookie]:[AR_per_bookie]],BetTable[[B2]:[B2]],$K39,BetTable[[Date]:[Date]], "&gt;="&amp;L$5,BetTable[[Date]:[Date]],"&lt;="&amp;EOMONTH(L$5,0))+SUMIFS(BetTable[[AR_per_bookie]:[AR_per_bookie]],BetTable[[B3]:[B3]],$K39,BetTable[[Date]:[Date]], "&gt;="&amp;L$5,BetTable[[Date]:[Date]],"&lt;="&amp;EOMONTH(L$5,0))</f>
        <v>0</v>
      </c>
      <c r="M39" s="186">
        <f>SUMIFS(DWbonus[[Sum]:[Sum]],DWbonus[[Dato]:[Dato]], "&gt;="&amp;M$5,DWbonus[[Dato]:[Dato]],"&lt;="&amp;EOMONTH(M$5,0),DWbonus[[Bookie]:[Bookie]],$K39)+SUMIFS(LayTable[[Faktisk res]:[Faktisk res]],LayTable[[Dato]:[Dato]],"&gt;="&amp;M$5,LayTable[[Dato]:[Dato]],"&lt;="&amp;EOMONTH(M$5,0),LayTable[[Bookmaker]:[Bookmaker]],$K39)+SUMIFS(BetTable[[AR_per_bookie]:[AR_per_bookie]],BetTable[[B1]:[B1]],$K39,BetTable[[Date]:[Date]], "&gt;="&amp;M$5,BetTable[[Date]:[Date]],"&lt;="&amp;EOMONTH(M$5,0))+SUMIFS(BetTable[[AR_per_bookie]:[AR_per_bookie]],BetTable[[B2]:[B2]],$K39,BetTable[[Date]:[Date]], "&gt;="&amp;M$5,BetTable[[Date]:[Date]],"&lt;="&amp;EOMONTH(M$5,0))+SUMIFS(BetTable[[AR_per_bookie]:[AR_per_bookie]],BetTable[[B3]:[B3]],$K39,BetTable[[Date]:[Date]], "&gt;="&amp;M$5,BetTable[[Date]:[Date]],"&lt;="&amp;EOMONTH(M$5,0))</f>
        <v>0</v>
      </c>
      <c r="N39" s="186">
        <f>SUMIFS(DWbonus[[Sum]:[Sum]],DWbonus[[Dato]:[Dato]], "&gt;="&amp;N$5,DWbonus[[Dato]:[Dato]],"&lt;="&amp;EOMONTH(N$5,0),DWbonus[[Bookie]:[Bookie]],$K39)+SUMIFS(LayTable[[Faktisk res]:[Faktisk res]],LayTable[[Dato]:[Dato]],"&gt;="&amp;N$5,LayTable[[Dato]:[Dato]],"&lt;="&amp;EOMONTH(N$5,0),LayTable[[Bookmaker]:[Bookmaker]],$K39)+SUMIFS(BetTable[[AR_per_bookie]:[AR_per_bookie]],BetTable[[B1]:[B1]],$K39,BetTable[[Date]:[Date]], "&gt;="&amp;N$5,BetTable[[Date]:[Date]],"&lt;="&amp;EOMONTH(N$5,0))+SUMIFS(BetTable[[AR_per_bookie]:[AR_per_bookie]],BetTable[[B2]:[B2]],$K39,BetTable[[Date]:[Date]], "&gt;="&amp;N$5,BetTable[[Date]:[Date]],"&lt;="&amp;EOMONTH(N$5,0))+SUMIFS(BetTable[[AR_per_bookie]:[AR_per_bookie]],BetTable[[B3]:[B3]],$K39,BetTable[[Date]:[Date]], "&gt;="&amp;N$5,BetTable[[Date]:[Date]],"&lt;="&amp;EOMONTH(N$5,0))</f>
        <v>0</v>
      </c>
      <c r="O39" s="186">
        <f>SUMIFS(DWbonus[[Sum]:[Sum]],DWbonus[[Dato]:[Dato]], "&gt;="&amp;O$5,DWbonus[[Dato]:[Dato]],"&lt;="&amp;EOMONTH(O$5,0),DWbonus[[Bookie]:[Bookie]],$K39)+SUMIFS(LayTable[[Faktisk res]:[Faktisk res]],LayTable[[Dato]:[Dato]],"&gt;="&amp;O$5,LayTable[[Dato]:[Dato]],"&lt;="&amp;EOMONTH(O$5,0),LayTable[[Bookmaker]:[Bookmaker]],$K39)+SUMIFS(BetTable[[AR_per_bookie]:[AR_per_bookie]],BetTable[[B1]:[B1]],$K39,BetTable[[Date]:[Date]], "&gt;="&amp;O$5,BetTable[[Date]:[Date]],"&lt;="&amp;EOMONTH(O$5,0))+SUMIFS(BetTable[[AR_per_bookie]:[AR_per_bookie]],BetTable[[B2]:[B2]],$K39,BetTable[[Date]:[Date]], "&gt;="&amp;O$5,BetTable[[Date]:[Date]],"&lt;="&amp;EOMONTH(O$5,0))+SUMIFS(BetTable[[AR_per_bookie]:[AR_per_bookie]],BetTable[[B3]:[B3]],$K39,BetTable[[Date]:[Date]], "&gt;="&amp;O$5,BetTable[[Date]:[Date]],"&lt;="&amp;EOMONTH(O$5,0))</f>
        <v>0</v>
      </c>
      <c r="P39" s="186">
        <f>SUMIFS(DWbonus[[Sum]:[Sum]],DWbonus[[Dato]:[Dato]], "&gt;="&amp;P$5,DWbonus[[Dato]:[Dato]],"&lt;="&amp;EOMONTH(P$5,0),DWbonus[[Bookie]:[Bookie]],$K39)+SUMIFS(LayTable[[Faktisk res]:[Faktisk res]],LayTable[[Dato]:[Dato]],"&gt;="&amp;P$5,LayTable[[Dato]:[Dato]],"&lt;="&amp;EOMONTH(P$5,0),LayTable[[Bookmaker]:[Bookmaker]],$K39)+SUMIFS(BetTable[[AR_per_bookie]:[AR_per_bookie]],BetTable[[B1]:[B1]],$K39,BetTable[[Date]:[Date]], "&gt;="&amp;P$5,BetTable[[Date]:[Date]],"&lt;="&amp;EOMONTH(P$5,0))+SUMIFS(BetTable[[AR_per_bookie]:[AR_per_bookie]],BetTable[[B2]:[B2]],$K39,BetTable[[Date]:[Date]], "&gt;="&amp;P$5,BetTable[[Date]:[Date]],"&lt;="&amp;EOMONTH(P$5,0))+SUMIFS(BetTable[[AR_per_bookie]:[AR_per_bookie]],BetTable[[B3]:[B3]],$K39,BetTable[[Date]:[Date]], "&gt;="&amp;P$5,BetTable[[Date]:[Date]],"&lt;="&amp;EOMONTH(P$5,0))</f>
        <v>0</v>
      </c>
      <c r="Q39" s="186">
        <f>SUMIFS(DWbonus[[Sum]:[Sum]],DWbonus[[Dato]:[Dato]], "&gt;="&amp;Q$5,DWbonus[[Dato]:[Dato]],"&lt;="&amp;EOMONTH(Q$5,0),DWbonus[[Bookie]:[Bookie]],$K39)+SUMIFS(LayTable[[Faktisk res]:[Faktisk res]],LayTable[[Dato]:[Dato]],"&gt;="&amp;Q$5,LayTable[[Dato]:[Dato]],"&lt;="&amp;EOMONTH(Q$5,0),LayTable[[Bookmaker]:[Bookmaker]],$K39)+SUMIFS(BetTable[[AR_per_bookie]:[AR_per_bookie]],BetTable[[B1]:[B1]],$K39,BetTable[[Date]:[Date]], "&gt;="&amp;Q$5,BetTable[[Date]:[Date]],"&lt;="&amp;EOMONTH(Q$5,0))+SUMIFS(BetTable[[AR_per_bookie]:[AR_per_bookie]],BetTable[[B2]:[B2]],$K39,BetTable[[Date]:[Date]], "&gt;="&amp;Q$5,BetTable[[Date]:[Date]],"&lt;="&amp;EOMONTH(Q$5,0))+SUMIFS(BetTable[[AR_per_bookie]:[AR_per_bookie]],BetTable[[B3]:[B3]],$K39,BetTable[[Date]:[Date]], "&gt;="&amp;Q$5,BetTable[[Date]:[Date]],"&lt;="&amp;EOMONTH(Q$5,0))</f>
        <v>0</v>
      </c>
      <c r="R39" s="186">
        <f>SUMIFS(DWbonus[[Sum]:[Sum]],DWbonus[[Dato]:[Dato]], "&gt;="&amp;R$5,DWbonus[[Dato]:[Dato]],"&lt;="&amp;EOMONTH(R$5,0),DWbonus[[Bookie]:[Bookie]],$K39)+SUMIFS(LayTable[[Faktisk res]:[Faktisk res]],LayTable[[Dato]:[Dato]],"&gt;="&amp;R$5,LayTable[[Dato]:[Dato]],"&lt;="&amp;EOMONTH(R$5,0),LayTable[[Bookmaker]:[Bookmaker]],$K39)+SUMIFS(BetTable[[AR_per_bookie]:[AR_per_bookie]],BetTable[[B1]:[B1]],$K39,BetTable[[Date]:[Date]], "&gt;="&amp;R$5,BetTable[[Date]:[Date]],"&lt;="&amp;EOMONTH(R$5,0))+SUMIFS(BetTable[[AR_per_bookie]:[AR_per_bookie]],BetTable[[B2]:[B2]],$K39,BetTable[[Date]:[Date]], "&gt;="&amp;R$5,BetTable[[Date]:[Date]],"&lt;="&amp;EOMONTH(R$5,0))+SUMIFS(BetTable[[AR_per_bookie]:[AR_per_bookie]],BetTable[[B3]:[B3]],$K39,BetTable[[Date]:[Date]], "&gt;="&amp;R$5,BetTable[[Date]:[Date]],"&lt;="&amp;EOMONTH(R$5,0))</f>
        <v>0</v>
      </c>
      <c r="S39" s="186">
        <f>SUMIFS(DWbonus[[Sum]:[Sum]],DWbonus[[Dato]:[Dato]], "&gt;="&amp;S$5,DWbonus[[Dato]:[Dato]],"&lt;="&amp;EOMONTH(S$5,0),DWbonus[[Bookie]:[Bookie]],$K39)+SUMIFS(LayTable[[Faktisk res]:[Faktisk res]],LayTable[[Dato]:[Dato]],"&gt;="&amp;S$5,LayTable[[Dato]:[Dato]],"&lt;="&amp;EOMONTH(S$5,0),LayTable[[Bookmaker]:[Bookmaker]],$K39)+SUMIFS(BetTable[[AR_per_bookie]:[AR_per_bookie]],BetTable[[B1]:[B1]],$K39,BetTable[[Date]:[Date]], "&gt;="&amp;S$5,BetTable[[Date]:[Date]],"&lt;="&amp;EOMONTH(S$5,0))+SUMIFS(BetTable[[AR_per_bookie]:[AR_per_bookie]],BetTable[[B2]:[B2]],$K39,BetTable[[Date]:[Date]], "&gt;="&amp;S$5,BetTable[[Date]:[Date]],"&lt;="&amp;EOMONTH(S$5,0))+SUMIFS(BetTable[[AR_per_bookie]:[AR_per_bookie]],BetTable[[B3]:[B3]],$K39,BetTable[[Date]:[Date]], "&gt;="&amp;S$5,BetTable[[Date]:[Date]],"&lt;="&amp;EOMONTH(S$5,0))</f>
        <v>0</v>
      </c>
      <c r="T39" s="186">
        <f>SUMIFS(DWbonus[[Sum]:[Sum]],DWbonus[[Dato]:[Dato]], "&gt;="&amp;T$5,DWbonus[[Dato]:[Dato]],"&lt;="&amp;EOMONTH(T$5,0),DWbonus[[Bookie]:[Bookie]],$K39)+SUMIFS(LayTable[[Faktisk res]:[Faktisk res]],LayTable[[Dato]:[Dato]],"&gt;="&amp;T$5,LayTable[[Dato]:[Dato]],"&lt;="&amp;EOMONTH(T$5,0),LayTable[[Bookmaker]:[Bookmaker]],$K39)+SUMIFS(BetTable[[AR_per_bookie]:[AR_per_bookie]],BetTable[[B1]:[B1]],$K39,BetTable[[Date]:[Date]], "&gt;="&amp;T$5,BetTable[[Date]:[Date]],"&lt;="&amp;EOMONTH(T$5,0))+SUMIFS(BetTable[[AR_per_bookie]:[AR_per_bookie]],BetTable[[B2]:[B2]],$K39,BetTable[[Date]:[Date]], "&gt;="&amp;T$5,BetTable[[Date]:[Date]],"&lt;="&amp;EOMONTH(T$5,0))+SUMIFS(BetTable[[AR_per_bookie]:[AR_per_bookie]],BetTable[[B3]:[B3]],$K39,BetTable[[Date]:[Date]], "&gt;="&amp;T$5,BetTable[[Date]:[Date]],"&lt;="&amp;EOMONTH(T$5,0))</f>
        <v>0</v>
      </c>
      <c r="U39" s="186">
        <f>SUMIFS(DWbonus[[Sum]:[Sum]],DWbonus[[Dato]:[Dato]], "&gt;="&amp;U$5,DWbonus[[Dato]:[Dato]],"&lt;="&amp;EOMONTH(U$5,0),DWbonus[[Bookie]:[Bookie]],$K39)+SUMIFS(LayTable[[Faktisk res]:[Faktisk res]],LayTable[[Dato]:[Dato]],"&gt;="&amp;U$5,LayTable[[Dato]:[Dato]],"&lt;="&amp;EOMONTH(U$5,0),LayTable[[Bookmaker]:[Bookmaker]],$K39)+SUMIFS(BetTable[[AR_per_bookie]:[AR_per_bookie]],BetTable[[B1]:[B1]],$K39,BetTable[[Date]:[Date]], "&gt;="&amp;U$5,BetTable[[Date]:[Date]],"&lt;="&amp;EOMONTH(U$5,0))+SUMIFS(BetTable[[AR_per_bookie]:[AR_per_bookie]],BetTable[[B2]:[B2]],$K39,BetTable[[Date]:[Date]], "&gt;="&amp;U$5,BetTable[[Date]:[Date]],"&lt;="&amp;EOMONTH(U$5,0))+SUMIFS(BetTable[[AR_per_bookie]:[AR_per_bookie]],BetTable[[B3]:[B3]],$K39,BetTable[[Date]:[Date]], "&gt;="&amp;U$5,BetTable[[Date]:[Date]],"&lt;="&amp;EOMONTH(U$5,0))</f>
        <v>0</v>
      </c>
      <c r="V39" s="186">
        <f>SUMIFS(DWbonus[[Sum]:[Sum]],DWbonus[[Dato]:[Dato]], "&gt;="&amp;V$5,DWbonus[[Dato]:[Dato]],"&lt;="&amp;EOMONTH(V$5,0),DWbonus[[Bookie]:[Bookie]],$K39)+SUMIFS(LayTable[[Faktisk res]:[Faktisk res]],LayTable[[Dato]:[Dato]],"&gt;="&amp;V$5,LayTable[[Dato]:[Dato]],"&lt;="&amp;EOMONTH(V$5,0),LayTable[[Bookmaker]:[Bookmaker]],$K39)+SUMIFS(BetTable[[AR_per_bookie]:[AR_per_bookie]],BetTable[[B1]:[B1]],$K39,BetTable[[Date]:[Date]], "&gt;="&amp;V$5,BetTable[[Date]:[Date]],"&lt;="&amp;EOMONTH(V$5,0))+SUMIFS(BetTable[[AR_per_bookie]:[AR_per_bookie]],BetTable[[B2]:[B2]],$K39,BetTable[[Date]:[Date]], "&gt;="&amp;V$5,BetTable[[Date]:[Date]],"&lt;="&amp;EOMONTH(V$5,0))+SUMIFS(BetTable[[AR_per_bookie]:[AR_per_bookie]],BetTable[[B3]:[B3]],$K39,BetTable[[Date]:[Date]], "&gt;="&amp;V$5,BetTable[[Date]:[Date]],"&lt;="&amp;EOMONTH(V$5,0))</f>
        <v>0</v>
      </c>
      <c r="W39" s="186">
        <f>SUMIFS(DWbonus[[Sum]:[Sum]],DWbonus[[Dato]:[Dato]], "&gt;="&amp;W$5,DWbonus[[Dato]:[Dato]],"&lt;="&amp;EOMONTH(W$5,0),DWbonus[[Bookie]:[Bookie]],$K39)+SUMIFS(LayTable[[Faktisk res]:[Faktisk res]],LayTable[[Dato]:[Dato]],"&gt;="&amp;W$5,LayTable[[Dato]:[Dato]],"&lt;="&amp;EOMONTH(W$5,0),LayTable[[Bookmaker]:[Bookmaker]],$K39)+SUMIFS(BetTable[[AR_per_bookie]:[AR_per_bookie]],BetTable[[B1]:[B1]],$K39,BetTable[[Date]:[Date]], "&gt;="&amp;W$5,BetTable[[Date]:[Date]],"&lt;="&amp;EOMONTH(W$5,0))+SUMIFS(BetTable[[AR_per_bookie]:[AR_per_bookie]],BetTable[[B2]:[B2]],$K39,BetTable[[Date]:[Date]], "&gt;="&amp;W$5,BetTable[[Date]:[Date]],"&lt;="&amp;EOMONTH(W$5,0))+SUMIFS(BetTable[[AR_per_bookie]:[AR_per_bookie]],BetTable[[B3]:[B3]],$K39,BetTable[[Date]:[Date]], "&gt;="&amp;W$5,BetTable[[Date]:[Date]],"&lt;="&amp;EOMONTH(W$5,0))</f>
        <v>0</v>
      </c>
    </row>
    <row r="40" spans="11:23">
      <c r="K40" s="174" t="str">
        <f t="array" ref="K40">IFERROR(INDEX(BookieNavn!H$2:H$1251,SMALL(IF(EXACT(LEFT(BookieNavn!H$2:H$1251,2),M$3),ROW(BookieNavn!H$2:H$1251)-ROW(BookieNavn!H$2)+1),ROWS(BookieNavn!H$2:'BookieNavn'!H35))),"")</f>
        <v/>
      </c>
      <c r="L40" s="186">
        <f>SUMIFS(DWbonus[[Sum]:[Sum]],DWbonus[[Dato]:[Dato]], "&gt;="&amp;L$5,DWbonus[[Dato]:[Dato]],"&lt;="&amp;EOMONTH(L$5,0),DWbonus[[Bookie]:[Bookie]],$K40)+SUMIFS(LayTable[[Faktisk res]:[Faktisk res]],LayTable[[Dato]:[Dato]],"&gt;="&amp;L$5,LayTable[[Dato]:[Dato]],"&lt;="&amp;EOMONTH(L$5,0),LayTable[[Bookmaker]:[Bookmaker]],$K40)+SUMIFS(BetTable[[AR_per_bookie]:[AR_per_bookie]],BetTable[[B1]:[B1]],$K40,BetTable[[Date]:[Date]], "&gt;="&amp;L$5,BetTable[[Date]:[Date]],"&lt;="&amp;EOMONTH(L$5,0))+SUMIFS(BetTable[[AR_per_bookie]:[AR_per_bookie]],BetTable[[B2]:[B2]],$K40,BetTable[[Date]:[Date]], "&gt;="&amp;L$5,BetTable[[Date]:[Date]],"&lt;="&amp;EOMONTH(L$5,0))+SUMIFS(BetTable[[AR_per_bookie]:[AR_per_bookie]],BetTable[[B3]:[B3]],$K40,BetTable[[Date]:[Date]], "&gt;="&amp;L$5,BetTable[[Date]:[Date]],"&lt;="&amp;EOMONTH(L$5,0))</f>
        <v>0</v>
      </c>
      <c r="M40" s="186">
        <f>SUMIFS(DWbonus[[Sum]:[Sum]],DWbonus[[Dato]:[Dato]], "&gt;="&amp;M$5,DWbonus[[Dato]:[Dato]],"&lt;="&amp;EOMONTH(M$5,0),DWbonus[[Bookie]:[Bookie]],$K40)+SUMIFS(LayTable[[Faktisk res]:[Faktisk res]],LayTable[[Dato]:[Dato]],"&gt;="&amp;M$5,LayTable[[Dato]:[Dato]],"&lt;="&amp;EOMONTH(M$5,0),LayTable[[Bookmaker]:[Bookmaker]],$K40)+SUMIFS(BetTable[[AR_per_bookie]:[AR_per_bookie]],BetTable[[B1]:[B1]],$K40,BetTable[[Date]:[Date]], "&gt;="&amp;M$5,BetTable[[Date]:[Date]],"&lt;="&amp;EOMONTH(M$5,0))+SUMIFS(BetTable[[AR_per_bookie]:[AR_per_bookie]],BetTable[[B2]:[B2]],$K40,BetTable[[Date]:[Date]], "&gt;="&amp;M$5,BetTable[[Date]:[Date]],"&lt;="&amp;EOMONTH(M$5,0))+SUMIFS(BetTable[[AR_per_bookie]:[AR_per_bookie]],BetTable[[B3]:[B3]],$K40,BetTable[[Date]:[Date]], "&gt;="&amp;M$5,BetTable[[Date]:[Date]],"&lt;="&amp;EOMONTH(M$5,0))</f>
        <v>0</v>
      </c>
      <c r="N40" s="186">
        <f>SUMIFS(DWbonus[[Sum]:[Sum]],DWbonus[[Dato]:[Dato]], "&gt;="&amp;N$5,DWbonus[[Dato]:[Dato]],"&lt;="&amp;EOMONTH(N$5,0),DWbonus[[Bookie]:[Bookie]],$K40)+SUMIFS(LayTable[[Faktisk res]:[Faktisk res]],LayTable[[Dato]:[Dato]],"&gt;="&amp;N$5,LayTable[[Dato]:[Dato]],"&lt;="&amp;EOMONTH(N$5,0),LayTable[[Bookmaker]:[Bookmaker]],$K40)+SUMIFS(BetTable[[AR_per_bookie]:[AR_per_bookie]],BetTable[[B1]:[B1]],$K40,BetTable[[Date]:[Date]], "&gt;="&amp;N$5,BetTable[[Date]:[Date]],"&lt;="&amp;EOMONTH(N$5,0))+SUMIFS(BetTable[[AR_per_bookie]:[AR_per_bookie]],BetTable[[B2]:[B2]],$K40,BetTable[[Date]:[Date]], "&gt;="&amp;N$5,BetTable[[Date]:[Date]],"&lt;="&amp;EOMONTH(N$5,0))+SUMIFS(BetTable[[AR_per_bookie]:[AR_per_bookie]],BetTable[[B3]:[B3]],$K40,BetTable[[Date]:[Date]], "&gt;="&amp;N$5,BetTable[[Date]:[Date]],"&lt;="&amp;EOMONTH(N$5,0))</f>
        <v>0</v>
      </c>
      <c r="O40" s="186">
        <f>SUMIFS(DWbonus[[Sum]:[Sum]],DWbonus[[Dato]:[Dato]], "&gt;="&amp;O$5,DWbonus[[Dato]:[Dato]],"&lt;="&amp;EOMONTH(O$5,0),DWbonus[[Bookie]:[Bookie]],$K40)+SUMIFS(LayTable[[Faktisk res]:[Faktisk res]],LayTable[[Dato]:[Dato]],"&gt;="&amp;O$5,LayTable[[Dato]:[Dato]],"&lt;="&amp;EOMONTH(O$5,0),LayTable[[Bookmaker]:[Bookmaker]],$K40)+SUMIFS(BetTable[[AR_per_bookie]:[AR_per_bookie]],BetTable[[B1]:[B1]],$K40,BetTable[[Date]:[Date]], "&gt;="&amp;O$5,BetTable[[Date]:[Date]],"&lt;="&amp;EOMONTH(O$5,0))+SUMIFS(BetTable[[AR_per_bookie]:[AR_per_bookie]],BetTable[[B2]:[B2]],$K40,BetTable[[Date]:[Date]], "&gt;="&amp;O$5,BetTable[[Date]:[Date]],"&lt;="&amp;EOMONTH(O$5,0))+SUMIFS(BetTable[[AR_per_bookie]:[AR_per_bookie]],BetTable[[B3]:[B3]],$K40,BetTable[[Date]:[Date]], "&gt;="&amp;O$5,BetTable[[Date]:[Date]],"&lt;="&amp;EOMONTH(O$5,0))</f>
        <v>0</v>
      </c>
      <c r="P40" s="186">
        <f>SUMIFS(DWbonus[[Sum]:[Sum]],DWbonus[[Dato]:[Dato]], "&gt;="&amp;P$5,DWbonus[[Dato]:[Dato]],"&lt;="&amp;EOMONTH(P$5,0),DWbonus[[Bookie]:[Bookie]],$K40)+SUMIFS(LayTable[[Faktisk res]:[Faktisk res]],LayTable[[Dato]:[Dato]],"&gt;="&amp;P$5,LayTable[[Dato]:[Dato]],"&lt;="&amp;EOMONTH(P$5,0),LayTable[[Bookmaker]:[Bookmaker]],$K40)+SUMIFS(BetTable[[AR_per_bookie]:[AR_per_bookie]],BetTable[[B1]:[B1]],$K40,BetTable[[Date]:[Date]], "&gt;="&amp;P$5,BetTable[[Date]:[Date]],"&lt;="&amp;EOMONTH(P$5,0))+SUMIFS(BetTable[[AR_per_bookie]:[AR_per_bookie]],BetTable[[B2]:[B2]],$K40,BetTable[[Date]:[Date]], "&gt;="&amp;P$5,BetTable[[Date]:[Date]],"&lt;="&amp;EOMONTH(P$5,0))+SUMIFS(BetTable[[AR_per_bookie]:[AR_per_bookie]],BetTable[[B3]:[B3]],$K40,BetTable[[Date]:[Date]], "&gt;="&amp;P$5,BetTable[[Date]:[Date]],"&lt;="&amp;EOMONTH(P$5,0))</f>
        <v>0</v>
      </c>
      <c r="Q40" s="186">
        <f>SUMIFS(DWbonus[[Sum]:[Sum]],DWbonus[[Dato]:[Dato]], "&gt;="&amp;Q$5,DWbonus[[Dato]:[Dato]],"&lt;="&amp;EOMONTH(Q$5,0),DWbonus[[Bookie]:[Bookie]],$K40)+SUMIFS(LayTable[[Faktisk res]:[Faktisk res]],LayTable[[Dato]:[Dato]],"&gt;="&amp;Q$5,LayTable[[Dato]:[Dato]],"&lt;="&amp;EOMONTH(Q$5,0),LayTable[[Bookmaker]:[Bookmaker]],$K40)+SUMIFS(BetTable[[AR_per_bookie]:[AR_per_bookie]],BetTable[[B1]:[B1]],$K40,BetTable[[Date]:[Date]], "&gt;="&amp;Q$5,BetTable[[Date]:[Date]],"&lt;="&amp;EOMONTH(Q$5,0))+SUMIFS(BetTable[[AR_per_bookie]:[AR_per_bookie]],BetTable[[B2]:[B2]],$K40,BetTable[[Date]:[Date]], "&gt;="&amp;Q$5,BetTable[[Date]:[Date]],"&lt;="&amp;EOMONTH(Q$5,0))+SUMIFS(BetTable[[AR_per_bookie]:[AR_per_bookie]],BetTable[[B3]:[B3]],$K40,BetTable[[Date]:[Date]], "&gt;="&amp;Q$5,BetTable[[Date]:[Date]],"&lt;="&amp;EOMONTH(Q$5,0))</f>
        <v>0</v>
      </c>
      <c r="R40" s="186">
        <f>SUMIFS(DWbonus[[Sum]:[Sum]],DWbonus[[Dato]:[Dato]], "&gt;="&amp;R$5,DWbonus[[Dato]:[Dato]],"&lt;="&amp;EOMONTH(R$5,0),DWbonus[[Bookie]:[Bookie]],$K40)+SUMIFS(LayTable[[Faktisk res]:[Faktisk res]],LayTable[[Dato]:[Dato]],"&gt;="&amp;R$5,LayTable[[Dato]:[Dato]],"&lt;="&amp;EOMONTH(R$5,0),LayTable[[Bookmaker]:[Bookmaker]],$K40)+SUMIFS(BetTable[[AR_per_bookie]:[AR_per_bookie]],BetTable[[B1]:[B1]],$K40,BetTable[[Date]:[Date]], "&gt;="&amp;R$5,BetTable[[Date]:[Date]],"&lt;="&amp;EOMONTH(R$5,0))+SUMIFS(BetTable[[AR_per_bookie]:[AR_per_bookie]],BetTable[[B2]:[B2]],$K40,BetTable[[Date]:[Date]], "&gt;="&amp;R$5,BetTable[[Date]:[Date]],"&lt;="&amp;EOMONTH(R$5,0))+SUMIFS(BetTable[[AR_per_bookie]:[AR_per_bookie]],BetTable[[B3]:[B3]],$K40,BetTable[[Date]:[Date]], "&gt;="&amp;R$5,BetTable[[Date]:[Date]],"&lt;="&amp;EOMONTH(R$5,0))</f>
        <v>0</v>
      </c>
      <c r="S40" s="186">
        <f>SUMIFS(DWbonus[[Sum]:[Sum]],DWbonus[[Dato]:[Dato]], "&gt;="&amp;S$5,DWbonus[[Dato]:[Dato]],"&lt;="&amp;EOMONTH(S$5,0),DWbonus[[Bookie]:[Bookie]],$K40)+SUMIFS(LayTable[[Faktisk res]:[Faktisk res]],LayTable[[Dato]:[Dato]],"&gt;="&amp;S$5,LayTable[[Dato]:[Dato]],"&lt;="&amp;EOMONTH(S$5,0),LayTable[[Bookmaker]:[Bookmaker]],$K40)+SUMIFS(BetTable[[AR_per_bookie]:[AR_per_bookie]],BetTable[[B1]:[B1]],$K40,BetTable[[Date]:[Date]], "&gt;="&amp;S$5,BetTable[[Date]:[Date]],"&lt;="&amp;EOMONTH(S$5,0))+SUMIFS(BetTable[[AR_per_bookie]:[AR_per_bookie]],BetTable[[B2]:[B2]],$K40,BetTable[[Date]:[Date]], "&gt;="&amp;S$5,BetTable[[Date]:[Date]],"&lt;="&amp;EOMONTH(S$5,0))+SUMIFS(BetTable[[AR_per_bookie]:[AR_per_bookie]],BetTable[[B3]:[B3]],$K40,BetTable[[Date]:[Date]], "&gt;="&amp;S$5,BetTable[[Date]:[Date]],"&lt;="&amp;EOMONTH(S$5,0))</f>
        <v>0</v>
      </c>
      <c r="T40" s="186">
        <f>SUMIFS(DWbonus[[Sum]:[Sum]],DWbonus[[Dato]:[Dato]], "&gt;="&amp;T$5,DWbonus[[Dato]:[Dato]],"&lt;="&amp;EOMONTH(T$5,0),DWbonus[[Bookie]:[Bookie]],$K40)+SUMIFS(LayTable[[Faktisk res]:[Faktisk res]],LayTable[[Dato]:[Dato]],"&gt;="&amp;T$5,LayTable[[Dato]:[Dato]],"&lt;="&amp;EOMONTH(T$5,0),LayTable[[Bookmaker]:[Bookmaker]],$K40)+SUMIFS(BetTable[[AR_per_bookie]:[AR_per_bookie]],BetTable[[B1]:[B1]],$K40,BetTable[[Date]:[Date]], "&gt;="&amp;T$5,BetTable[[Date]:[Date]],"&lt;="&amp;EOMONTH(T$5,0))+SUMIFS(BetTable[[AR_per_bookie]:[AR_per_bookie]],BetTable[[B2]:[B2]],$K40,BetTable[[Date]:[Date]], "&gt;="&amp;T$5,BetTable[[Date]:[Date]],"&lt;="&amp;EOMONTH(T$5,0))+SUMIFS(BetTable[[AR_per_bookie]:[AR_per_bookie]],BetTable[[B3]:[B3]],$K40,BetTable[[Date]:[Date]], "&gt;="&amp;T$5,BetTable[[Date]:[Date]],"&lt;="&amp;EOMONTH(T$5,0))</f>
        <v>0</v>
      </c>
      <c r="U40" s="186">
        <f>SUMIFS(DWbonus[[Sum]:[Sum]],DWbonus[[Dato]:[Dato]], "&gt;="&amp;U$5,DWbonus[[Dato]:[Dato]],"&lt;="&amp;EOMONTH(U$5,0),DWbonus[[Bookie]:[Bookie]],$K40)+SUMIFS(LayTable[[Faktisk res]:[Faktisk res]],LayTable[[Dato]:[Dato]],"&gt;="&amp;U$5,LayTable[[Dato]:[Dato]],"&lt;="&amp;EOMONTH(U$5,0),LayTable[[Bookmaker]:[Bookmaker]],$K40)+SUMIFS(BetTable[[AR_per_bookie]:[AR_per_bookie]],BetTable[[B1]:[B1]],$K40,BetTable[[Date]:[Date]], "&gt;="&amp;U$5,BetTable[[Date]:[Date]],"&lt;="&amp;EOMONTH(U$5,0))+SUMIFS(BetTable[[AR_per_bookie]:[AR_per_bookie]],BetTable[[B2]:[B2]],$K40,BetTable[[Date]:[Date]], "&gt;="&amp;U$5,BetTable[[Date]:[Date]],"&lt;="&amp;EOMONTH(U$5,0))+SUMIFS(BetTable[[AR_per_bookie]:[AR_per_bookie]],BetTable[[B3]:[B3]],$K40,BetTable[[Date]:[Date]], "&gt;="&amp;U$5,BetTable[[Date]:[Date]],"&lt;="&amp;EOMONTH(U$5,0))</f>
        <v>0</v>
      </c>
      <c r="V40" s="186">
        <f>SUMIFS(DWbonus[[Sum]:[Sum]],DWbonus[[Dato]:[Dato]], "&gt;="&amp;V$5,DWbonus[[Dato]:[Dato]],"&lt;="&amp;EOMONTH(V$5,0),DWbonus[[Bookie]:[Bookie]],$K40)+SUMIFS(LayTable[[Faktisk res]:[Faktisk res]],LayTable[[Dato]:[Dato]],"&gt;="&amp;V$5,LayTable[[Dato]:[Dato]],"&lt;="&amp;EOMONTH(V$5,0),LayTable[[Bookmaker]:[Bookmaker]],$K40)+SUMIFS(BetTable[[AR_per_bookie]:[AR_per_bookie]],BetTable[[B1]:[B1]],$K40,BetTable[[Date]:[Date]], "&gt;="&amp;V$5,BetTable[[Date]:[Date]],"&lt;="&amp;EOMONTH(V$5,0))+SUMIFS(BetTable[[AR_per_bookie]:[AR_per_bookie]],BetTable[[B2]:[B2]],$K40,BetTable[[Date]:[Date]], "&gt;="&amp;V$5,BetTable[[Date]:[Date]],"&lt;="&amp;EOMONTH(V$5,0))+SUMIFS(BetTable[[AR_per_bookie]:[AR_per_bookie]],BetTable[[B3]:[B3]],$K40,BetTable[[Date]:[Date]], "&gt;="&amp;V$5,BetTable[[Date]:[Date]],"&lt;="&amp;EOMONTH(V$5,0))</f>
        <v>0</v>
      </c>
      <c r="W40" s="186">
        <f>SUMIFS(DWbonus[[Sum]:[Sum]],DWbonus[[Dato]:[Dato]], "&gt;="&amp;W$5,DWbonus[[Dato]:[Dato]],"&lt;="&amp;EOMONTH(W$5,0),DWbonus[[Bookie]:[Bookie]],$K40)+SUMIFS(LayTable[[Faktisk res]:[Faktisk res]],LayTable[[Dato]:[Dato]],"&gt;="&amp;W$5,LayTable[[Dato]:[Dato]],"&lt;="&amp;EOMONTH(W$5,0),LayTable[[Bookmaker]:[Bookmaker]],$K40)+SUMIFS(BetTable[[AR_per_bookie]:[AR_per_bookie]],BetTable[[B1]:[B1]],$K40,BetTable[[Date]:[Date]], "&gt;="&amp;W$5,BetTable[[Date]:[Date]],"&lt;="&amp;EOMONTH(W$5,0))+SUMIFS(BetTable[[AR_per_bookie]:[AR_per_bookie]],BetTable[[B2]:[B2]],$K40,BetTable[[Date]:[Date]], "&gt;="&amp;W$5,BetTable[[Date]:[Date]],"&lt;="&amp;EOMONTH(W$5,0))+SUMIFS(BetTable[[AR_per_bookie]:[AR_per_bookie]],BetTable[[B3]:[B3]],$K40,BetTable[[Date]:[Date]], "&gt;="&amp;W$5,BetTable[[Date]:[Date]],"&lt;="&amp;EOMONTH(W$5,0))</f>
        <v>0</v>
      </c>
    </row>
    <row r="41" spans="11:23">
      <c r="K41" s="174" t="str">
        <f t="array" ref="K41">IFERROR(INDEX(BookieNavn!H$2:H$1251,SMALL(IF(EXACT(LEFT(BookieNavn!H$2:H$1251,2),M$3),ROW(BookieNavn!H$2:H$1251)-ROW(BookieNavn!H$2)+1),ROWS(BookieNavn!H$2:'BookieNavn'!H36))),"")</f>
        <v/>
      </c>
      <c r="L41" s="186">
        <f>SUMIFS(DWbonus[[Sum]:[Sum]],DWbonus[[Dato]:[Dato]], "&gt;="&amp;L$5,DWbonus[[Dato]:[Dato]],"&lt;="&amp;EOMONTH(L$5,0),DWbonus[[Bookie]:[Bookie]],$K41)+SUMIFS(LayTable[[Faktisk res]:[Faktisk res]],LayTable[[Dato]:[Dato]],"&gt;="&amp;L$5,LayTable[[Dato]:[Dato]],"&lt;="&amp;EOMONTH(L$5,0),LayTable[[Bookmaker]:[Bookmaker]],$K41)+SUMIFS(BetTable[[AR_per_bookie]:[AR_per_bookie]],BetTable[[B1]:[B1]],$K41,BetTable[[Date]:[Date]], "&gt;="&amp;L$5,BetTable[[Date]:[Date]],"&lt;="&amp;EOMONTH(L$5,0))+SUMIFS(BetTable[[AR_per_bookie]:[AR_per_bookie]],BetTable[[B2]:[B2]],$K41,BetTable[[Date]:[Date]], "&gt;="&amp;L$5,BetTable[[Date]:[Date]],"&lt;="&amp;EOMONTH(L$5,0))+SUMIFS(BetTable[[AR_per_bookie]:[AR_per_bookie]],BetTable[[B3]:[B3]],$K41,BetTable[[Date]:[Date]], "&gt;="&amp;L$5,BetTable[[Date]:[Date]],"&lt;="&amp;EOMONTH(L$5,0))</f>
        <v>0</v>
      </c>
      <c r="M41" s="186">
        <f>SUMIFS(DWbonus[[Sum]:[Sum]],DWbonus[[Dato]:[Dato]], "&gt;="&amp;M$5,DWbonus[[Dato]:[Dato]],"&lt;="&amp;EOMONTH(M$5,0),DWbonus[[Bookie]:[Bookie]],$K41)+SUMIFS(LayTable[[Faktisk res]:[Faktisk res]],LayTable[[Dato]:[Dato]],"&gt;="&amp;M$5,LayTable[[Dato]:[Dato]],"&lt;="&amp;EOMONTH(M$5,0),LayTable[[Bookmaker]:[Bookmaker]],$K41)+SUMIFS(BetTable[[AR_per_bookie]:[AR_per_bookie]],BetTable[[B1]:[B1]],$K41,BetTable[[Date]:[Date]], "&gt;="&amp;M$5,BetTable[[Date]:[Date]],"&lt;="&amp;EOMONTH(M$5,0))+SUMIFS(BetTable[[AR_per_bookie]:[AR_per_bookie]],BetTable[[B2]:[B2]],$K41,BetTable[[Date]:[Date]], "&gt;="&amp;M$5,BetTable[[Date]:[Date]],"&lt;="&amp;EOMONTH(M$5,0))+SUMIFS(BetTable[[AR_per_bookie]:[AR_per_bookie]],BetTable[[B3]:[B3]],$K41,BetTable[[Date]:[Date]], "&gt;="&amp;M$5,BetTable[[Date]:[Date]],"&lt;="&amp;EOMONTH(M$5,0))</f>
        <v>0</v>
      </c>
      <c r="N41" s="186">
        <f>SUMIFS(DWbonus[[Sum]:[Sum]],DWbonus[[Dato]:[Dato]], "&gt;="&amp;N$5,DWbonus[[Dato]:[Dato]],"&lt;="&amp;EOMONTH(N$5,0),DWbonus[[Bookie]:[Bookie]],$K41)+SUMIFS(LayTable[[Faktisk res]:[Faktisk res]],LayTable[[Dato]:[Dato]],"&gt;="&amp;N$5,LayTable[[Dato]:[Dato]],"&lt;="&amp;EOMONTH(N$5,0),LayTable[[Bookmaker]:[Bookmaker]],$K41)+SUMIFS(BetTable[[AR_per_bookie]:[AR_per_bookie]],BetTable[[B1]:[B1]],$K41,BetTable[[Date]:[Date]], "&gt;="&amp;N$5,BetTable[[Date]:[Date]],"&lt;="&amp;EOMONTH(N$5,0))+SUMIFS(BetTable[[AR_per_bookie]:[AR_per_bookie]],BetTable[[B2]:[B2]],$K41,BetTable[[Date]:[Date]], "&gt;="&amp;N$5,BetTable[[Date]:[Date]],"&lt;="&amp;EOMONTH(N$5,0))+SUMIFS(BetTable[[AR_per_bookie]:[AR_per_bookie]],BetTable[[B3]:[B3]],$K41,BetTable[[Date]:[Date]], "&gt;="&amp;N$5,BetTable[[Date]:[Date]],"&lt;="&amp;EOMONTH(N$5,0))</f>
        <v>0</v>
      </c>
      <c r="O41" s="186">
        <f>SUMIFS(DWbonus[[Sum]:[Sum]],DWbonus[[Dato]:[Dato]], "&gt;="&amp;O$5,DWbonus[[Dato]:[Dato]],"&lt;="&amp;EOMONTH(O$5,0),DWbonus[[Bookie]:[Bookie]],$K41)+SUMIFS(LayTable[[Faktisk res]:[Faktisk res]],LayTable[[Dato]:[Dato]],"&gt;="&amp;O$5,LayTable[[Dato]:[Dato]],"&lt;="&amp;EOMONTH(O$5,0),LayTable[[Bookmaker]:[Bookmaker]],$K41)+SUMIFS(BetTable[[AR_per_bookie]:[AR_per_bookie]],BetTable[[B1]:[B1]],$K41,BetTable[[Date]:[Date]], "&gt;="&amp;O$5,BetTable[[Date]:[Date]],"&lt;="&amp;EOMONTH(O$5,0))+SUMIFS(BetTable[[AR_per_bookie]:[AR_per_bookie]],BetTable[[B2]:[B2]],$K41,BetTable[[Date]:[Date]], "&gt;="&amp;O$5,BetTable[[Date]:[Date]],"&lt;="&amp;EOMONTH(O$5,0))+SUMIFS(BetTable[[AR_per_bookie]:[AR_per_bookie]],BetTable[[B3]:[B3]],$K41,BetTable[[Date]:[Date]], "&gt;="&amp;O$5,BetTable[[Date]:[Date]],"&lt;="&amp;EOMONTH(O$5,0))</f>
        <v>0</v>
      </c>
      <c r="P41" s="186">
        <f>SUMIFS(DWbonus[[Sum]:[Sum]],DWbonus[[Dato]:[Dato]], "&gt;="&amp;P$5,DWbonus[[Dato]:[Dato]],"&lt;="&amp;EOMONTH(P$5,0),DWbonus[[Bookie]:[Bookie]],$K41)+SUMIFS(LayTable[[Faktisk res]:[Faktisk res]],LayTable[[Dato]:[Dato]],"&gt;="&amp;P$5,LayTable[[Dato]:[Dato]],"&lt;="&amp;EOMONTH(P$5,0),LayTable[[Bookmaker]:[Bookmaker]],$K41)+SUMIFS(BetTable[[AR_per_bookie]:[AR_per_bookie]],BetTable[[B1]:[B1]],$K41,BetTable[[Date]:[Date]], "&gt;="&amp;P$5,BetTable[[Date]:[Date]],"&lt;="&amp;EOMONTH(P$5,0))+SUMIFS(BetTable[[AR_per_bookie]:[AR_per_bookie]],BetTable[[B2]:[B2]],$K41,BetTable[[Date]:[Date]], "&gt;="&amp;P$5,BetTable[[Date]:[Date]],"&lt;="&amp;EOMONTH(P$5,0))+SUMIFS(BetTable[[AR_per_bookie]:[AR_per_bookie]],BetTable[[B3]:[B3]],$K41,BetTable[[Date]:[Date]], "&gt;="&amp;P$5,BetTable[[Date]:[Date]],"&lt;="&amp;EOMONTH(P$5,0))</f>
        <v>0</v>
      </c>
      <c r="Q41" s="186">
        <f>SUMIFS(DWbonus[[Sum]:[Sum]],DWbonus[[Dato]:[Dato]], "&gt;="&amp;Q$5,DWbonus[[Dato]:[Dato]],"&lt;="&amp;EOMONTH(Q$5,0),DWbonus[[Bookie]:[Bookie]],$K41)+SUMIFS(LayTable[[Faktisk res]:[Faktisk res]],LayTable[[Dato]:[Dato]],"&gt;="&amp;Q$5,LayTable[[Dato]:[Dato]],"&lt;="&amp;EOMONTH(Q$5,0),LayTable[[Bookmaker]:[Bookmaker]],$K41)+SUMIFS(BetTable[[AR_per_bookie]:[AR_per_bookie]],BetTable[[B1]:[B1]],$K41,BetTable[[Date]:[Date]], "&gt;="&amp;Q$5,BetTable[[Date]:[Date]],"&lt;="&amp;EOMONTH(Q$5,0))+SUMIFS(BetTable[[AR_per_bookie]:[AR_per_bookie]],BetTable[[B2]:[B2]],$K41,BetTable[[Date]:[Date]], "&gt;="&amp;Q$5,BetTable[[Date]:[Date]],"&lt;="&amp;EOMONTH(Q$5,0))+SUMIFS(BetTable[[AR_per_bookie]:[AR_per_bookie]],BetTable[[B3]:[B3]],$K41,BetTable[[Date]:[Date]], "&gt;="&amp;Q$5,BetTable[[Date]:[Date]],"&lt;="&amp;EOMONTH(Q$5,0))</f>
        <v>0</v>
      </c>
      <c r="R41" s="186">
        <f>SUMIFS(DWbonus[[Sum]:[Sum]],DWbonus[[Dato]:[Dato]], "&gt;="&amp;R$5,DWbonus[[Dato]:[Dato]],"&lt;="&amp;EOMONTH(R$5,0),DWbonus[[Bookie]:[Bookie]],$K41)+SUMIFS(LayTable[[Faktisk res]:[Faktisk res]],LayTable[[Dato]:[Dato]],"&gt;="&amp;R$5,LayTable[[Dato]:[Dato]],"&lt;="&amp;EOMONTH(R$5,0),LayTable[[Bookmaker]:[Bookmaker]],$K41)+SUMIFS(BetTable[[AR_per_bookie]:[AR_per_bookie]],BetTable[[B1]:[B1]],$K41,BetTable[[Date]:[Date]], "&gt;="&amp;R$5,BetTable[[Date]:[Date]],"&lt;="&amp;EOMONTH(R$5,0))+SUMIFS(BetTable[[AR_per_bookie]:[AR_per_bookie]],BetTable[[B2]:[B2]],$K41,BetTable[[Date]:[Date]], "&gt;="&amp;R$5,BetTable[[Date]:[Date]],"&lt;="&amp;EOMONTH(R$5,0))+SUMIFS(BetTable[[AR_per_bookie]:[AR_per_bookie]],BetTable[[B3]:[B3]],$K41,BetTable[[Date]:[Date]], "&gt;="&amp;R$5,BetTable[[Date]:[Date]],"&lt;="&amp;EOMONTH(R$5,0))</f>
        <v>0</v>
      </c>
      <c r="S41" s="186">
        <f>SUMIFS(DWbonus[[Sum]:[Sum]],DWbonus[[Dato]:[Dato]], "&gt;="&amp;S$5,DWbonus[[Dato]:[Dato]],"&lt;="&amp;EOMONTH(S$5,0),DWbonus[[Bookie]:[Bookie]],$K41)+SUMIFS(LayTable[[Faktisk res]:[Faktisk res]],LayTable[[Dato]:[Dato]],"&gt;="&amp;S$5,LayTable[[Dato]:[Dato]],"&lt;="&amp;EOMONTH(S$5,0),LayTable[[Bookmaker]:[Bookmaker]],$K41)+SUMIFS(BetTable[[AR_per_bookie]:[AR_per_bookie]],BetTable[[B1]:[B1]],$K41,BetTable[[Date]:[Date]], "&gt;="&amp;S$5,BetTable[[Date]:[Date]],"&lt;="&amp;EOMONTH(S$5,0))+SUMIFS(BetTable[[AR_per_bookie]:[AR_per_bookie]],BetTable[[B2]:[B2]],$K41,BetTable[[Date]:[Date]], "&gt;="&amp;S$5,BetTable[[Date]:[Date]],"&lt;="&amp;EOMONTH(S$5,0))+SUMIFS(BetTable[[AR_per_bookie]:[AR_per_bookie]],BetTable[[B3]:[B3]],$K41,BetTable[[Date]:[Date]], "&gt;="&amp;S$5,BetTable[[Date]:[Date]],"&lt;="&amp;EOMONTH(S$5,0))</f>
        <v>0</v>
      </c>
      <c r="T41" s="186">
        <f>SUMIFS(DWbonus[[Sum]:[Sum]],DWbonus[[Dato]:[Dato]], "&gt;="&amp;T$5,DWbonus[[Dato]:[Dato]],"&lt;="&amp;EOMONTH(T$5,0),DWbonus[[Bookie]:[Bookie]],$K41)+SUMIFS(LayTable[[Faktisk res]:[Faktisk res]],LayTable[[Dato]:[Dato]],"&gt;="&amp;T$5,LayTable[[Dato]:[Dato]],"&lt;="&amp;EOMONTH(T$5,0),LayTable[[Bookmaker]:[Bookmaker]],$K41)+SUMIFS(BetTable[[AR_per_bookie]:[AR_per_bookie]],BetTable[[B1]:[B1]],$K41,BetTable[[Date]:[Date]], "&gt;="&amp;T$5,BetTable[[Date]:[Date]],"&lt;="&amp;EOMONTH(T$5,0))+SUMIFS(BetTable[[AR_per_bookie]:[AR_per_bookie]],BetTable[[B2]:[B2]],$K41,BetTable[[Date]:[Date]], "&gt;="&amp;T$5,BetTable[[Date]:[Date]],"&lt;="&amp;EOMONTH(T$5,0))+SUMIFS(BetTable[[AR_per_bookie]:[AR_per_bookie]],BetTable[[B3]:[B3]],$K41,BetTable[[Date]:[Date]], "&gt;="&amp;T$5,BetTable[[Date]:[Date]],"&lt;="&amp;EOMONTH(T$5,0))</f>
        <v>0</v>
      </c>
      <c r="U41" s="186">
        <f>SUMIFS(DWbonus[[Sum]:[Sum]],DWbonus[[Dato]:[Dato]], "&gt;="&amp;U$5,DWbonus[[Dato]:[Dato]],"&lt;="&amp;EOMONTH(U$5,0),DWbonus[[Bookie]:[Bookie]],$K41)+SUMIFS(LayTable[[Faktisk res]:[Faktisk res]],LayTable[[Dato]:[Dato]],"&gt;="&amp;U$5,LayTable[[Dato]:[Dato]],"&lt;="&amp;EOMONTH(U$5,0),LayTable[[Bookmaker]:[Bookmaker]],$K41)+SUMIFS(BetTable[[AR_per_bookie]:[AR_per_bookie]],BetTable[[B1]:[B1]],$K41,BetTable[[Date]:[Date]], "&gt;="&amp;U$5,BetTable[[Date]:[Date]],"&lt;="&amp;EOMONTH(U$5,0))+SUMIFS(BetTable[[AR_per_bookie]:[AR_per_bookie]],BetTable[[B2]:[B2]],$K41,BetTable[[Date]:[Date]], "&gt;="&amp;U$5,BetTable[[Date]:[Date]],"&lt;="&amp;EOMONTH(U$5,0))+SUMIFS(BetTable[[AR_per_bookie]:[AR_per_bookie]],BetTable[[B3]:[B3]],$K41,BetTable[[Date]:[Date]], "&gt;="&amp;U$5,BetTable[[Date]:[Date]],"&lt;="&amp;EOMONTH(U$5,0))</f>
        <v>0</v>
      </c>
      <c r="V41" s="186">
        <f>SUMIFS(DWbonus[[Sum]:[Sum]],DWbonus[[Dato]:[Dato]], "&gt;="&amp;V$5,DWbonus[[Dato]:[Dato]],"&lt;="&amp;EOMONTH(V$5,0),DWbonus[[Bookie]:[Bookie]],$K41)+SUMIFS(LayTable[[Faktisk res]:[Faktisk res]],LayTable[[Dato]:[Dato]],"&gt;="&amp;V$5,LayTable[[Dato]:[Dato]],"&lt;="&amp;EOMONTH(V$5,0),LayTable[[Bookmaker]:[Bookmaker]],$K41)+SUMIFS(BetTable[[AR_per_bookie]:[AR_per_bookie]],BetTable[[B1]:[B1]],$K41,BetTable[[Date]:[Date]], "&gt;="&amp;V$5,BetTable[[Date]:[Date]],"&lt;="&amp;EOMONTH(V$5,0))+SUMIFS(BetTable[[AR_per_bookie]:[AR_per_bookie]],BetTable[[B2]:[B2]],$K41,BetTable[[Date]:[Date]], "&gt;="&amp;V$5,BetTable[[Date]:[Date]],"&lt;="&amp;EOMONTH(V$5,0))+SUMIFS(BetTable[[AR_per_bookie]:[AR_per_bookie]],BetTable[[B3]:[B3]],$K41,BetTable[[Date]:[Date]], "&gt;="&amp;V$5,BetTable[[Date]:[Date]],"&lt;="&amp;EOMONTH(V$5,0))</f>
        <v>0</v>
      </c>
      <c r="W41" s="186">
        <f>SUMIFS(DWbonus[[Sum]:[Sum]],DWbonus[[Dato]:[Dato]], "&gt;="&amp;W$5,DWbonus[[Dato]:[Dato]],"&lt;="&amp;EOMONTH(W$5,0),DWbonus[[Bookie]:[Bookie]],$K41)+SUMIFS(LayTable[[Faktisk res]:[Faktisk res]],LayTable[[Dato]:[Dato]],"&gt;="&amp;W$5,LayTable[[Dato]:[Dato]],"&lt;="&amp;EOMONTH(W$5,0),LayTable[[Bookmaker]:[Bookmaker]],$K41)+SUMIFS(BetTable[[AR_per_bookie]:[AR_per_bookie]],BetTable[[B1]:[B1]],$K41,BetTable[[Date]:[Date]], "&gt;="&amp;W$5,BetTable[[Date]:[Date]],"&lt;="&amp;EOMONTH(W$5,0))+SUMIFS(BetTable[[AR_per_bookie]:[AR_per_bookie]],BetTable[[B2]:[B2]],$K41,BetTable[[Date]:[Date]], "&gt;="&amp;W$5,BetTable[[Date]:[Date]],"&lt;="&amp;EOMONTH(W$5,0))+SUMIFS(BetTable[[AR_per_bookie]:[AR_per_bookie]],BetTable[[B3]:[B3]],$K41,BetTable[[Date]:[Date]], "&gt;="&amp;W$5,BetTable[[Date]:[Date]],"&lt;="&amp;EOMONTH(W$5,0))</f>
        <v>0</v>
      </c>
    </row>
    <row r="42" spans="11:23">
      <c r="K42" s="174" t="str">
        <f t="array" ref="K42">IFERROR(INDEX(BookieNavn!H$2:H$1251,SMALL(IF(EXACT(LEFT(BookieNavn!H$2:H$1251,2),M$3),ROW(BookieNavn!H$2:H$1251)-ROW(BookieNavn!H$2)+1),ROWS(BookieNavn!H$2:'BookieNavn'!H37))),"")</f>
        <v/>
      </c>
      <c r="L42" s="186">
        <f>SUMIFS(DWbonus[[Sum]:[Sum]],DWbonus[[Dato]:[Dato]], "&gt;="&amp;L$5,DWbonus[[Dato]:[Dato]],"&lt;="&amp;EOMONTH(L$5,0),DWbonus[[Bookie]:[Bookie]],$K42)+SUMIFS(LayTable[[Faktisk res]:[Faktisk res]],LayTable[[Dato]:[Dato]],"&gt;="&amp;L$5,LayTable[[Dato]:[Dato]],"&lt;="&amp;EOMONTH(L$5,0),LayTable[[Bookmaker]:[Bookmaker]],$K42)+SUMIFS(BetTable[[AR_per_bookie]:[AR_per_bookie]],BetTable[[B1]:[B1]],$K42,BetTable[[Date]:[Date]], "&gt;="&amp;L$5,BetTable[[Date]:[Date]],"&lt;="&amp;EOMONTH(L$5,0))+SUMIFS(BetTable[[AR_per_bookie]:[AR_per_bookie]],BetTable[[B2]:[B2]],$K42,BetTable[[Date]:[Date]], "&gt;="&amp;L$5,BetTable[[Date]:[Date]],"&lt;="&amp;EOMONTH(L$5,0))+SUMIFS(BetTable[[AR_per_bookie]:[AR_per_bookie]],BetTable[[B3]:[B3]],$K42,BetTable[[Date]:[Date]], "&gt;="&amp;L$5,BetTable[[Date]:[Date]],"&lt;="&amp;EOMONTH(L$5,0))</f>
        <v>0</v>
      </c>
      <c r="M42" s="186">
        <f>SUMIFS(DWbonus[[Sum]:[Sum]],DWbonus[[Dato]:[Dato]], "&gt;="&amp;M$5,DWbonus[[Dato]:[Dato]],"&lt;="&amp;EOMONTH(M$5,0),DWbonus[[Bookie]:[Bookie]],$K42)+SUMIFS(LayTable[[Faktisk res]:[Faktisk res]],LayTable[[Dato]:[Dato]],"&gt;="&amp;M$5,LayTable[[Dato]:[Dato]],"&lt;="&amp;EOMONTH(M$5,0),LayTable[[Bookmaker]:[Bookmaker]],$K42)+SUMIFS(BetTable[[AR_per_bookie]:[AR_per_bookie]],BetTable[[B1]:[B1]],$K42,BetTable[[Date]:[Date]], "&gt;="&amp;M$5,BetTable[[Date]:[Date]],"&lt;="&amp;EOMONTH(M$5,0))+SUMIFS(BetTable[[AR_per_bookie]:[AR_per_bookie]],BetTable[[B2]:[B2]],$K42,BetTable[[Date]:[Date]], "&gt;="&amp;M$5,BetTable[[Date]:[Date]],"&lt;="&amp;EOMONTH(M$5,0))+SUMIFS(BetTable[[AR_per_bookie]:[AR_per_bookie]],BetTable[[B3]:[B3]],$K42,BetTable[[Date]:[Date]], "&gt;="&amp;M$5,BetTable[[Date]:[Date]],"&lt;="&amp;EOMONTH(M$5,0))</f>
        <v>0</v>
      </c>
      <c r="N42" s="186">
        <f>SUMIFS(DWbonus[[Sum]:[Sum]],DWbonus[[Dato]:[Dato]], "&gt;="&amp;N$5,DWbonus[[Dato]:[Dato]],"&lt;="&amp;EOMONTH(N$5,0),DWbonus[[Bookie]:[Bookie]],$K42)+SUMIFS(LayTable[[Faktisk res]:[Faktisk res]],LayTable[[Dato]:[Dato]],"&gt;="&amp;N$5,LayTable[[Dato]:[Dato]],"&lt;="&amp;EOMONTH(N$5,0),LayTable[[Bookmaker]:[Bookmaker]],$K42)+SUMIFS(BetTable[[AR_per_bookie]:[AR_per_bookie]],BetTable[[B1]:[B1]],$K42,BetTable[[Date]:[Date]], "&gt;="&amp;N$5,BetTable[[Date]:[Date]],"&lt;="&amp;EOMONTH(N$5,0))+SUMIFS(BetTable[[AR_per_bookie]:[AR_per_bookie]],BetTable[[B2]:[B2]],$K42,BetTable[[Date]:[Date]], "&gt;="&amp;N$5,BetTable[[Date]:[Date]],"&lt;="&amp;EOMONTH(N$5,0))+SUMIFS(BetTable[[AR_per_bookie]:[AR_per_bookie]],BetTable[[B3]:[B3]],$K42,BetTable[[Date]:[Date]], "&gt;="&amp;N$5,BetTable[[Date]:[Date]],"&lt;="&amp;EOMONTH(N$5,0))</f>
        <v>0</v>
      </c>
      <c r="O42" s="186">
        <f>SUMIFS(DWbonus[[Sum]:[Sum]],DWbonus[[Dato]:[Dato]], "&gt;="&amp;O$5,DWbonus[[Dato]:[Dato]],"&lt;="&amp;EOMONTH(O$5,0),DWbonus[[Bookie]:[Bookie]],$K42)+SUMIFS(LayTable[[Faktisk res]:[Faktisk res]],LayTable[[Dato]:[Dato]],"&gt;="&amp;O$5,LayTable[[Dato]:[Dato]],"&lt;="&amp;EOMONTH(O$5,0),LayTable[[Bookmaker]:[Bookmaker]],$K42)+SUMIFS(BetTable[[AR_per_bookie]:[AR_per_bookie]],BetTable[[B1]:[B1]],$K42,BetTable[[Date]:[Date]], "&gt;="&amp;O$5,BetTable[[Date]:[Date]],"&lt;="&amp;EOMONTH(O$5,0))+SUMIFS(BetTable[[AR_per_bookie]:[AR_per_bookie]],BetTable[[B2]:[B2]],$K42,BetTable[[Date]:[Date]], "&gt;="&amp;O$5,BetTable[[Date]:[Date]],"&lt;="&amp;EOMONTH(O$5,0))+SUMIFS(BetTable[[AR_per_bookie]:[AR_per_bookie]],BetTable[[B3]:[B3]],$K42,BetTable[[Date]:[Date]], "&gt;="&amp;O$5,BetTable[[Date]:[Date]],"&lt;="&amp;EOMONTH(O$5,0))</f>
        <v>0</v>
      </c>
      <c r="P42" s="186">
        <f>SUMIFS(DWbonus[[Sum]:[Sum]],DWbonus[[Dato]:[Dato]], "&gt;="&amp;P$5,DWbonus[[Dato]:[Dato]],"&lt;="&amp;EOMONTH(P$5,0),DWbonus[[Bookie]:[Bookie]],$K42)+SUMIFS(LayTable[[Faktisk res]:[Faktisk res]],LayTable[[Dato]:[Dato]],"&gt;="&amp;P$5,LayTable[[Dato]:[Dato]],"&lt;="&amp;EOMONTH(P$5,0),LayTable[[Bookmaker]:[Bookmaker]],$K42)+SUMIFS(BetTable[[AR_per_bookie]:[AR_per_bookie]],BetTable[[B1]:[B1]],$K42,BetTable[[Date]:[Date]], "&gt;="&amp;P$5,BetTable[[Date]:[Date]],"&lt;="&amp;EOMONTH(P$5,0))+SUMIFS(BetTable[[AR_per_bookie]:[AR_per_bookie]],BetTable[[B2]:[B2]],$K42,BetTable[[Date]:[Date]], "&gt;="&amp;P$5,BetTable[[Date]:[Date]],"&lt;="&amp;EOMONTH(P$5,0))+SUMIFS(BetTable[[AR_per_bookie]:[AR_per_bookie]],BetTable[[B3]:[B3]],$K42,BetTable[[Date]:[Date]], "&gt;="&amp;P$5,BetTable[[Date]:[Date]],"&lt;="&amp;EOMONTH(P$5,0))</f>
        <v>0</v>
      </c>
      <c r="Q42" s="186">
        <f>SUMIFS(DWbonus[[Sum]:[Sum]],DWbonus[[Dato]:[Dato]], "&gt;="&amp;Q$5,DWbonus[[Dato]:[Dato]],"&lt;="&amp;EOMONTH(Q$5,0),DWbonus[[Bookie]:[Bookie]],$K42)+SUMIFS(LayTable[[Faktisk res]:[Faktisk res]],LayTable[[Dato]:[Dato]],"&gt;="&amp;Q$5,LayTable[[Dato]:[Dato]],"&lt;="&amp;EOMONTH(Q$5,0),LayTable[[Bookmaker]:[Bookmaker]],$K42)+SUMIFS(BetTable[[AR_per_bookie]:[AR_per_bookie]],BetTable[[B1]:[B1]],$K42,BetTable[[Date]:[Date]], "&gt;="&amp;Q$5,BetTable[[Date]:[Date]],"&lt;="&amp;EOMONTH(Q$5,0))+SUMIFS(BetTable[[AR_per_bookie]:[AR_per_bookie]],BetTable[[B2]:[B2]],$K42,BetTable[[Date]:[Date]], "&gt;="&amp;Q$5,BetTable[[Date]:[Date]],"&lt;="&amp;EOMONTH(Q$5,0))+SUMIFS(BetTable[[AR_per_bookie]:[AR_per_bookie]],BetTable[[B3]:[B3]],$K42,BetTable[[Date]:[Date]], "&gt;="&amp;Q$5,BetTable[[Date]:[Date]],"&lt;="&amp;EOMONTH(Q$5,0))</f>
        <v>0</v>
      </c>
      <c r="R42" s="186">
        <f>SUMIFS(DWbonus[[Sum]:[Sum]],DWbonus[[Dato]:[Dato]], "&gt;="&amp;R$5,DWbonus[[Dato]:[Dato]],"&lt;="&amp;EOMONTH(R$5,0),DWbonus[[Bookie]:[Bookie]],$K42)+SUMIFS(LayTable[[Faktisk res]:[Faktisk res]],LayTable[[Dato]:[Dato]],"&gt;="&amp;R$5,LayTable[[Dato]:[Dato]],"&lt;="&amp;EOMONTH(R$5,0),LayTable[[Bookmaker]:[Bookmaker]],$K42)+SUMIFS(BetTable[[AR_per_bookie]:[AR_per_bookie]],BetTable[[B1]:[B1]],$K42,BetTable[[Date]:[Date]], "&gt;="&amp;R$5,BetTable[[Date]:[Date]],"&lt;="&amp;EOMONTH(R$5,0))+SUMIFS(BetTable[[AR_per_bookie]:[AR_per_bookie]],BetTable[[B2]:[B2]],$K42,BetTable[[Date]:[Date]], "&gt;="&amp;R$5,BetTable[[Date]:[Date]],"&lt;="&amp;EOMONTH(R$5,0))+SUMIFS(BetTable[[AR_per_bookie]:[AR_per_bookie]],BetTable[[B3]:[B3]],$K42,BetTable[[Date]:[Date]], "&gt;="&amp;R$5,BetTable[[Date]:[Date]],"&lt;="&amp;EOMONTH(R$5,0))</f>
        <v>0</v>
      </c>
      <c r="S42" s="186">
        <f>SUMIFS(DWbonus[[Sum]:[Sum]],DWbonus[[Dato]:[Dato]], "&gt;="&amp;S$5,DWbonus[[Dato]:[Dato]],"&lt;="&amp;EOMONTH(S$5,0),DWbonus[[Bookie]:[Bookie]],$K42)+SUMIFS(LayTable[[Faktisk res]:[Faktisk res]],LayTable[[Dato]:[Dato]],"&gt;="&amp;S$5,LayTable[[Dato]:[Dato]],"&lt;="&amp;EOMONTH(S$5,0),LayTable[[Bookmaker]:[Bookmaker]],$K42)+SUMIFS(BetTable[[AR_per_bookie]:[AR_per_bookie]],BetTable[[B1]:[B1]],$K42,BetTable[[Date]:[Date]], "&gt;="&amp;S$5,BetTable[[Date]:[Date]],"&lt;="&amp;EOMONTH(S$5,0))+SUMIFS(BetTable[[AR_per_bookie]:[AR_per_bookie]],BetTable[[B2]:[B2]],$K42,BetTable[[Date]:[Date]], "&gt;="&amp;S$5,BetTable[[Date]:[Date]],"&lt;="&amp;EOMONTH(S$5,0))+SUMIFS(BetTable[[AR_per_bookie]:[AR_per_bookie]],BetTable[[B3]:[B3]],$K42,BetTable[[Date]:[Date]], "&gt;="&amp;S$5,BetTable[[Date]:[Date]],"&lt;="&amp;EOMONTH(S$5,0))</f>
        <v>0</v>
      </c>
      <c r="T42" s="186">
        <f>SUMIFS(DWbonus[[Sum]:[Sum]],DWbonus[[Dato]:[Dato]], "&gt;="&amp;T$5,DWbonus[[Dato]:[Dato]],"&lt;="&amp;EOMONTH(T$5,0),DWbonus[[Bookie]:[Bookie]],$K42)+SUMIFS(LayTable[[Faktisk res]:[Faktisk res]],LayTable[[Dato]:[Dato]],"&gt;="&amp;T$5,LayTable[[Dato]:[Dato]],"&lt;="&amp;EOMONTH(T$5,0),LayTable[[Bookmaker]:[Bookmaker]],$K42)+SUMIFS(BetTable[[AR_per_bookie]:[AR_per_bookie]],BetTable[[B1]:[B1]],$K42,BetTable[[Date]:[Date]], "&gt;="&amp;T$5,BetTable[[Date]:[Date]],"&lt;="&amp;EOMONTH(T$5,0))+SUMIFS(BetTable[[AR_per_bookie]:[AR_per_bookie]],BetTable[[B2]:[B2]],$K42,BetTable[[Date]:[Date]], "&gt;="&amp;T$5,BetTable[[Date]:[Date]],"&lt;="&amp;EOMONTH(T$5,0))+SUMIFS(BetTable[[AR_per_bookie]:[AR_per_bookie]],BetTable[[B3]:[B3]],$K42,BetTable[[Date]:[Date]], "&gt;="&amp;T$5,BetTable[[Date]:[Date]],"&lt;="&amp;EOMONTH(T$5,0))</f>
        <v>0</v>
      </c>
      <c r="U42" s="186">
        <f>SUMIFS(DWbonus[[Sum]:[Sum]],DWbonus[[Dato]:[Dato]], "&gt;="&amp;U$5,DWbonus[[Dato]:[Dato]],"&lt;="&amp;EOMONTH(U$5,0),DWbonus[[Bookie]:[Bookie]],$K42)+SUMIFS(LayTable[[Faktisk res]:[Faktisk res]],LayTable[[Dato]:[Dato]],"&gt;="&amp;U$5,LayTable[[Dato]:[Dato]],"&lt;="&amp;EOMONTH(U$5,0),LayTable[[Bookmaker]:[Bookmaker]],$K42)+SUMIFS(BetTable[[AR_per_bookie]:[AR_per_bookie]],BetTable[[B1]:[B1]],$K42,BetTable[[Date]:[Date]], "&gt;="&amp;U$5,BetTable[[Date]:[Date]],"&lt;="&amp;EOMONTH(U$5,0))+SUMIFS(BetTable[[AR_per_bookie]:[AR_per_bookie]],BetTable[[B2]:[B2]],$K42,BetTable[[Date]:[Date]], "&gt;="&amp;U$5,BetTable[[Date]:[Date]],"&lt;="&amp;EOMONTH(U$5,0))+SUMIFS(BetTable[[AR_per_bookie]:[AR_per_bookie]],BetTable[[B3]:[B3]],$K42,BetTable[[Date]:[Date]], "&gt;="&amp;U$5,BetTable[[Date]:[Date]],"&lt;="&amp;EOMONTH(U$5,0))</f>
        <v>0</v>
      </c>
      <c r="V42" s="186">
        <f>SUMIFS(DWbonus[[Sum]:[Sum]],DWbonus[[Dato]:[Dato]], "&gt;="&amp;V$5,DWbonus[[Dato]:[Dato]],"&lt;="&amp;EOMONTH(V$5,0),DWbonus[[Bookie]:[Bookie]],$K42)+SUMIFS(LayTable[[Faktisk res]:[Faktisk res]],LayTable[[Dato]:[Dato]],"&gt;="&amp;V$5,LayTable[[Dato]:[Dato]],"&lt;="&amp;EOMONTH(V$5,0),LayTable[[Bookmaker]:[Bookmaker]],$K42)+SUMIFS(BetTable[[AR_per_bookie]:[AR_per_bookie]],BetTable[[B1]:[B1]],$K42,BetTable[[Date]:[Date]], "&gt;="&amp;V$5,BetTable[[Date]:[Date]],"&lt;="&amp;EOMONTH(V$5,0))+SUMIFS(BetTable[[AR_per_bookie]:[AR_per_bookie]],BetTable[[B2]:[B2]],$K42,BetTable[[Date]:[Date]], "&gt;="&amp;V$5,BetTable[[Date]:[Date]],"&lt;="&amp;EOMONTH(V$5,0))+SUMIFS(BetTable[[AR_per_bookie]:[AR_per_bookie]],BetTable[[B3]:[B3]],$K42,BetTable[[Date]:[Date]], "&gt;="&amp;V$5,BetTable[[Date]:[Date]],"&lt;="&amp;EOMONTH(V$5,0))</f>
        <v>0</v>
      </c>
      <c r="W42" s="186">
        <f>SUMIFS(DWbonus[[Sum]:[Sum]],DWbonus[[Dato]:[Dato]], "&gt;="&amp;W$5,DWbonus[[Dato]:[Dato]],"&lt;="&amp;EOMONTH(W$5,0),DWbonus[[Bookie]:[Bookie]],$K42)+SUMIFS(LayTable[[Faktisk res]:[Faktisk res]],LayTable[[Dato]:[Dato]],"&gt;="&amp;W$5,LayTable[[Dato]:[Dato]],"&lt;="&amp;EOMONTH(W$5,0),LayTable[[Bookmaker]:[Bookmaker]],$K42)+SUMIFS(BetTable[[AR_per_bookie]:[AR_per_bookie]],BetTable[[B1]:[B1]],$K42,BetTable[[Date]:[Date]], "&gt;="&amp;W$5,BetTable[[Date]:[Date]],"&lt;="&amp;EOMONTH(W$5,0))+SUMIFS(BetTable[[AR_per_bookie]:[AR_per_bookie]],BetTable[[B2]:[B2]],$K42,BetTable[[Date]:[Date]], "&gt;="&amp;W$5,BetTable[[Date]:[Date]],"&lt;="&amp;EOMONTH(W$5,0))+SUMIFS(BetTable[[AR_per_bookie]:[AR_per_bookie]],BetTable[[B3]:[B3]],$K42,BetTable[[Date]:[Date]], "&gt;="&amp;W$5,BetTable[[Date]:[Date]],"&lt;="&amp;EOMONTH(W$5,0))</f>
        <v>0</v>
      </c>
    </row>
    <row r="43" spans="11:23">
      <c r="K43" s="174" t="str">
        <f t="array" ref="K43">IFERROR(INDEX(BookieNavn!H$2:H$1251,SMALL(IF(EXACT(LEFT(BookieNavn!H$2:H$1251,2),M$3),ROW(BookieNavn!H$2:H$1251)-ROW(BookieNavn!H$2)+1),ROWS(BookieNavn!H$2:'BookieNavn'!H38))),"")</f>
        <v/>
      </c>
      <c r="L43" s="186">
        <f>SUMIFS(DWbonus[[Sum]:[Sum]],DWbonus[[Dato]:[Dato]], "&gt;="&amp;L$5,DWbonus[[Dato]:[Dato]],"&lt;="&amp;EOMONTH(L$5,0),DWbonus[[Bookie]:[Bookie]],$K43)+SUMIFS(LayTable[[Faktisk res]:[Faktisk res]],LayTable[[Dato]:[Dato]],"&gt;="&amp;L$5,LayTable[[Dato]:[Dato]],"&lt;="&amp;EOMONTH(L$5,0),LayTable[[Bookmaker]:[Bookmaker]],$K43)+SUMIFS(BetTable[[AR_per_bookie]:[AR_per_bookie]],BetTable[[B1]:[B1]],$K43,BetTable[[Date]:[Date]], "&gt;="&amp;L$5,BetTable[[Date]:[Date]],"&lt;="&amp;EOMONTH(L$5,0))+SUMIFS(BetTable[[AR_per_bookie]:[AR_per_bookie]],BetTable[[B2]:[B2]],$K43,BetTable[[Date]:[Date]], "&gt;="&amp;L$5,BetTable[[Date]:[Date]],"&lt;="&amp;EOMONTH(L$5,0))+SUMIFS(BetTable[[AR_per_bookie]:[AR_per_bookie]],BetTable[[B3]:[B3]],$K43,BetTable[[Date]:[Date]], "&gt;="&amp;L$5,BetTable[[Date]:[Date]],"&lt;="&amp;EOMONTH(L$5,0))</f>
        <v>0</v>
      </c>
      <c r="M43" s="186">
        <f>SUMIFS(DWbonus[[Sum]:[Sum]],DWbonus[[Dato]:[Dato]], "&gt;="&amp;M$5,DWbonus[[Dato]:[Dato]],"&lt;="&amp;EOMONTH(M$5,0),DWbonus[[Bookie]:[Bookie]],$K43)+SUMIFS(LayTable[[Faktisk res]:[Faktisk res]],LayTable[[Dato]:[Dato]],"&gt;="&amp;M$5,LayTable[[Dato]:[Dato]],"&lt;="&amp;EOMONTH(M$5,0),LayTable[[Bookmaker]:[Bookmaker]],$K43)+SUMIFS(BetTable[[AR_per_bookie]:[AR_per_bookie]],BetTable[[B1]:[B1]],$K43,BetTable[[Date]:[Date]], "&gt;="&amp;M$5,BetTable[[Date]:[Date]],"&lt;="&amp;EOMONTH(M$5,0))+SUMIFS(BetTable[[AR_per_bookie]:[AR_per_bookie]],BetTable[[B2]:[B2]],$K43,BetTable[[Date]:[Date]], "&gt;="&amp;M$5,BetTable[[Date]:[Date]],"&lt;="&amp;EOMONTH(M$5,0))+SUMIFS(BetTable[[AR_per_bookie]:[AR_per_bookie]],BetTable[[B3]:[B3]],$K43,BetTable[[Date]:[Date]], "&gt;="&amp;M$5,BetTable[[Date]:[Date]],"&lt;="&amp;EOMONTH(M$5,0))</f>
        <v>0</v>
      </c>
      <c r="N43" s="186">
        <f>SUMIFS(DWbonus[[Sum]:[Sum]],DWbonus[[Dato]:[Dato]], "&gt;="&amp;N$5,DWbonus[[Dato]:[Dato]],"&lt;="&amp;EOMONTH(N$5,0),DWbonus[[Bookie]:[Bookie]],$K43)+SUMIFS(LayTable[[Faktisk res]:[Faktisk res]],LayTable[[Dato]:[Dato]],"&gt;="&amp;N$5,LayTable[[Dato]:[Dato]],"&lt;="&amp;EOMONTH(N$5,0),LayTable[[Bookmaker]:[Bookmaker]],$K43)+SUMIFS(BetTable[[AR_per_bookie]:[AR_per_bookie]],BetTable[[B1]:[B1]],$K43,BetTable[[Date]:[Date]], "&gt;="&amp;N$5,BetTable[[Date]:[Date]],"&lt;="&amp;EOMONTH(N$5,0))+SUMIFS(BetTable[[AR_per_bookie]:[AR_per_bookie]],BetTable[[B2]:[B2]],$K43,BetTable[[Date]:[Date]], "&gt;="&amp;N$5,BetTable[[Date]:[Date]],"&lt;="&amp;EOMONTH(N$5,0))+SUMIFS(BetTable[[AR_per_bookie]:[AR_per_bookie]],BetTable[[B3]:[B3]],$K43,BetTable[[Date]:[Date]], "&gt;="&amp;N$5,BetTable[[Date]:[Date]],"&lt;="&amp;EOMONTH(N$5,0))</f>
        <v>0</v>
      </c>
      <c r="O43" s="186">
        <f>SUMIFS(DWbonus[[Sum]:[Sum]],DWbonus[[Dato]:[Dato]], "&gt;="&amp;O$5,DWbonus[[Dato]:[Dato]],"&lt;="&amp;EOMONTH(O$5,0),DWbonus[[Bookie]:[Bookie]],$K43)+SUMIFS(LayTable[[Faktisk res]:[Faktisk res]],LayTable[[Dato]:[Dato]],"&gt;="&amp;O$5,LayTable[[Dato]:[Dato]],"&lt;="&amp;EOMONTH(O$5,0),LayTable[[Bookmaker]:[Bookmaker]],$K43)+SUMIFS(BetTable[[AR_per_bookie]:[AR_per_bookie]],BetTable[[B1]:[B1]],$K43,BetTable[[Date]:[Date]], "&gt;="&amp;O$5,BetTable[[Date]:[Date]],"&lt;="&amp;EOMONTH(O$5,0))+SUMIFS(BetTable[[AR_per_bookie]:[AR_per_bookie]],BetTable[[B2]:[B2]],$K43,BetTable[[Date]:[Date]], "&gt;="&amp;O$5,BetTable[[Date]:[Date]],"&lt;="&amp;EOMONTH(O$5,0))+SUMIFS(BetTable[[AR_per_bookie]:[AR_per_bookie]],BetTable[[B3]:[B3]],$K43,BetTable[[Date]:[Date]], "&gt;="&amp;O$5,BetTable[[Date]:[Date]],"&lt;="&amp;EOMONTH(O$5,0))</f>
        <v>0</v>
      </c>
      <c r="P43" s="186">
        <f>SUMIFS(DWbonus[[Sum]:[Sum]],DWbonus[[Dato]:[Dato]], "&gt;="&amp;P$5,DWbonus[[Dato]:[Dato]],"&lt;="&amp;EOMONTH(P$5,0),DWbonus[[Bookie]:[Bookie]],$K43)+SUMIFS(LayTable[[Faktisk res]:[Faktisk res]],LayTable[[Dato]:[Dato]],"&gt;="&amp;P$5,LayTable[[Dato]:[Dato]],"&lt;="&amp;EOMONTH(P$5,0),LayTable[[Bookmaker]:[Bookmaker]],$K43)+SUMIFS(BetTable[[AR_per_bookie]:[AR_per_bookie]],BetTable[[B1]:[B1]],$K43,BetTable[[Date]:[Date]], "&gt;="&amp;P$5,BetTable[[Date]:[Date]],"&lt;="&amp;EOMONTH(P$5,0))+SUMIFS(BetTable[[AR_per_bookie]:[AR_per_bookie]],BetTable[[B2]:[B2]],$K43,BetTable[[Date]:[Date]], "&gt;="&amp;P$5,BetTable[[Date]:[Date]],"&lt;="&amp;EOMONTH(P$5,0))+SUMIFS(BetTable[[AR_per_bookie]:[AR_per_bookie]],BetTable[[B3]:[B3]],$K43,BetTable[[Date]:[Date]], "&gt;="&amp;P$5,BetTable[[Date]:[Date]],"&lt;="&amp;EOMONTH(P$5,0))</f>
        <v>0</v>
      </c>
      <c r="Q43" s="186">
        <f>SUMIFS(DWbonus[[Sum]:[Sum]],DWbonus[[Dato]:[Dato]], "&gt;="&amp;Q$5,DWbonus[[Dato]:[Dato]],"&lt;="&amp;EOMONTH(Q$5,0),DWbonus[[Bookie]:[Bookie]],$K43)+SUMIFS(LayTable[[Faktisk res]:[Faktisk res]],LayTable[[Dato]:[Dato]],"&gt;="&amp;Q$5,LayTable[[Dato]:[Dato]],"&lt;="&amp;EOMONTH(Q$5,0),LayTable[[Bookmaker]:[Bookmaker]],$K43)+SUMIFS(BetTable[[AR_per_bookie]:[AR_per_bookie]],BetTable[[B1]:[B1]],$K43,BetTable[[Date]:[Date]], "&gt;="&amp;Q$5,BetTable[[Date]:[Date]],"&lt;="&amp;EOMONTH(Q$5,0))+SUMIFS(BetTable[[AR_per_bookie]:[AR_per_bookie]],BetTable[[B2]:[B2]],$K43,BetTable[[Date]:[Date]], "&gt;="&amp;Q$5,BetTable[[Date]:[Date]],"&lt;="&amp;EOMONTH(Q$5,0))+SUMIFS(BetTable[[AR_per_bookie]:[AR_per_bookie]],BetTable[[B3]:[B3]],$K43,BetTable[[Date]:[Date]], "&gt;="&amp;Q$5,BetTable[[Date]:[Date]],"&lt;="&amp;EOMONTH(Q$5,0))</f>
        <v>0</v>
      </c>
      <c r="R43" s="186">
        <f>SUMIFS(DWbonus[[Sum]:[Sum]],DWbonus[[Dato]:[Dato]], "&gt;="&amp;R$5,DWbonus[[Dato]:[Dato]],"&lt;="&amp;EOMONTH(R$5,0),DWbonus[[Bookie]:[Bookie]],$K43)+SUMIFS(LayTable[[Faktisk res]:[Faktisk res]],LayTable[[Dato]:[Dato]],"&gt;="&amp;R$5,LayTable[[Dato]:[Dato]],"&lt;="&amp;EOMONTH(R$5,0),LayTable[[Bookmaker]:[Bookmaker]],$K43)+SUMIFS(BetTable[[AR_per_bookie]:[AR_per_bookie]],BetTable[[B1]:[B1]],$K43,BetTable[[Date]:[Date]], "&gt;="&amp;R$5,BetTable[[Date]:[Date]],"&lt;="&amp;EOMONTH(R$5,0))+SUMIFS(BetTable[[AR_per_bookie]:[AR_per_bookie]],BetTable[[B2]:[B2]],$K43,BetTable[[Date]:[Date]], "&gt;="&amp;R$5,BetTable[[Date]:[Date]],"&lt;="&amp;EOMONTH(R$5,0))+SUMIFS(BetTable[[AR_per_bookie]:[AR_per_bookie]],BetTable[[B3]:[B3]],$K43,BetTable[[Date]:[Date]], "&gt;="&amp;R$5,BetTable[[Date]:[Date]],"&lt;="&amp;EOMONTH(R$5,0))</f>
        <v>0</v>
      </c>
      <c r="S43" s="186">
        <f>SUMIFS(DWbonus[[Sum]:[Sum]],DWbonus[[Dato]:[Dato]], "&gt;="&amp;S$5,DWbonus[[Dato]:[Dato]],"&lt;="&amp;EOMONTH(S$5,0),DWbonus[[Bookie]:[Bookie]],$K43)+SUMIFS(LayTable[[Faktisk res]:[Faktisk res]],LayTable[[Dato]:[Dato]],"&gt;="&amp;S$5,LayTable[[Dato]:[Dato]],"&lt;="&amp;EOMONTH(S$5,0),LayTable[[Bookmaker]:[Bookmaker]],$K43)+SUMIFS(BetTable[[AR_per_bookie]:[AR_per_bookie]],BetTable[[B1]:[B1]],$K43,BetTable[[Date]:[Date]], "&gt;="&amp;S$5,BetTable[[Date]:[Date]],"&lt;="&amp;EOMONTH(S$5,0))+SUMIFS(BetTable[[AR_per_bookie]:[AR_per_bookie]],BetTable[[B2]:[B2]],$K43,BetTable[[Date]:[Date]], "&gt;="&amp;S$5,BetTable[[Date]:[Date]],"&lt;="&amp;EOMONTH(S$5,0))+SUMIFS(BetTable[[AR_per_bookie]:[AR_per_bookie]],BetTable[[B3]:[B3]],$K43,BetTable[[Date]:[Date]], "&gt;="&amp;S$5,BetTable[[Date]:[Date]],"&lt;="&amp;EOMONTH(S$5,0))</f>
        <v>0</v>
      </c>
      <c r="T43" s="186">
        <f>SUMIFS(DWbonus[[Sum]:[Sum]],DWbonus[[Dato]:[Dato]], "&gt;="&amp;T$5,DWbonus[[Dato]:[Dato]],"&lt;="&amp;EOMONTH(T$5,0),DWbonus[[Bookie]:[Bookie]],$K43)+SUMIFS(LayTable[[Faktisk res]:[Faktisk res]],LayTable[[Dato]:[Dato]],"&gt;="&amp;T$5,LayTable[[Dato]:[Dato]],"&lt;="&amp;EOMONTH(T$5,0),LayTable[[Bookmaker]:[Bookmaker]],$K43)+SUMIFS(BetTable[[AR_per_bookie]:[AR_per_bookie]],BetTable[[B1]:[B1]],$K43,BetTable[[Date]:[Date]], "&gt;="&amp;T$5,BetTable[[Date]:[Date]],"&lt;="&amp;EOMONTH(T$5,0))+SUMIFS(BetTable[[AR_per_bookie]:[AR_per_bookie]],BetTable[[B2]:[B2]],$K43,BetTable[[Date]:[Date]], "&gt;="&amp;T$5,BetTable[[Date]:[Date]],"&lt;="&amp;EOMONTH(T$5,0))+SUMIFS(BetTable[[AR_per_bookie]:[AR_per_bookie]],BetTable[[B3]:[B3]],$K43,BetTable[[Date]:[Date]], "&gt;="&amp;T$5,BetTable[[Date]:[Date]],"&lt;="&amp;EOMONTH(T$5,0))</f>
        <v>0</v>
      </c>
      <c r="U43" s="186">
        <f>SUMIFS(DWbonus[[Sum]:[Sum]],DWbonus[[Dato]:[Dato]], "&gt;="&amp;U$5,DWbonus[[Dato]:[Dato]],"&lt;="&amp;EOMONTH(U$5,0),DWbonus[[Bookie]:[Bookie]],$K43)+SUMIFS(LayTable[[Faktisk res]:[Faktisk res]],LayTable[[Dato]:[Dato]],"&gt;="&amp;U$5,LayTable[[Dato]:[Dato]],"&lt;="&amp;EOMONTH(U$5,0),LayTable[[Bookmaker]:[Bookmaker]],$K43)+SUMIFS(BetTable[[AR_per_bookie]:[AR_per_bookie]],BetTable[[B1]:[B1]],$K43,BetTable[[Date]:[Date]], "&gt;="&amp;U$5,BetTable[[Date]:[Date]],"&lt;="&amp;EOMONTH(U$5,0))+SUMIFS(BetTable[[AR_per_bookie]:[AR_per_bookie]],BetTable[[B2]:[B2]],$K43,BetTable[[Date]:[Date]], "&gt;="&amp;U$5,BetTable[[Date]:[Date]],"&lt;="&amp;EOMONTH(U$5,0))+SUMIFS(BetTable[[AR_per_bookie]:[AR_per_bookie]],BetTable[[B3]:[B3]],$K43,BetTable[[Date]:[Date]], "&gt;="&amp;U$5,BetTable[[Date]:[Date]],"&lt;="&amp;EOMONTH(U$5,0))</f>
        <v>0</v>
      </c>
      <c r="V43" s="186">
        <f>SUMIFS(DWbonus[[Sum]:[Sum]],DWbonus[[Dato]:[Dato]], "&gt;="&amp;V$5,DWbonus[[Dato]:[Dato]],"&lt;="&amp;EOMONTH(V$5,0),DWbonus[[Bookie]:[Bookie]],$K43)+SUMIFS(LayTable[[Faktisk res]:[Faktisk res]],LayTable[[Dato]:[Dato]],"&gt;="&amp;V$5,LayTable[[Dato]:[Dato]],"&lt;="&amp;EOMONTH(V$5,0),LayTable[[Bookmaker]:[Bookmaker]],$K43)+SUMIFS(BetTable[[AR_per_bookie]:[AR_per_bookie]],BetTable[[B1]:[B1]],$K43,BetTable[[Date]:[Date]], "&gt;="&amp;V$5,BetTable[[Date]:[Date]],"&lt;="&amp;EOMONTH(V$5,0))+SUMIFS(BetTable[[AR_per_bookie]:[AR_per_bookie]],BetTable[[B2]:[B2]],$K43,BetTable[[Date]:[Date]], "&gt;="&amp;V$5,BetTable[[Date]:[Date]],"&lt;="&amp;EOMONTH(V$5,0))+SUMIFS(BetTable[[AR_per_bookie]:[AR_per_bookie]],BetTable[[B3]:[B3]],$K43,BetTable[[Date]:[Date]], "&gt;="&amp;V$5,BetTable[[Date]:[Date]],"&lt;="&amp;EOMONTH(V$5,0))</f>
        <v>0</v>
      </c>
      <c r="W43" s="186">
        <f>SUMIFS(DWbonus[[Sum]:[Sum]],DWbonus[[Dato]:[Dato]], "&gt;="&amp;W$5,DWbonus[[Dato]:[Dato]],"&lt;="&amp;EOMONTH(W$5,0),DWbonus[[Bookie]:[Bookie]],$K43)+SUMIFS(LayTable[[Faktisk res]:[Faktisk res]],LayTable[[Dato]:[Dato]],"&gt;="&amp;W$5,LayTable[[Dato]:[Dato]],"&lt;="&amp;EOMONTH(W$5,0),LayTable[[Bookmaker]:[Bookmaker]],$K43)+SUMIFS(BetTable[[AR_per_bookie]:[AR_per_bookie]],BetTable[[B1]:[B1]],$K43,BetTable[[Date]:[Date]], "&gt;="&amp;W$5,BetTable[[Date]:[Date]],"&lt;="&amp;EOMONTH(W$5,0))+SUMIFS(BetTable[[AR_per_bookie]:[AR_per_bookie]],BetTable[[B2]:[B2]],$K43,BetTable[[Date]:[Date]], "&gt;="&amp;W$5,BetTable[[Date]:[Date]],"&lt;="&amp;EOMONTH(W$5,0))+SUMIFS(BetTable[[AR_per_bookie]:[AR_per_bookie]],BetTable[[B3]:[B3]],$K43,BetTable[[Date]:[Date]], "&gt;="&amp;W$5,BetTable[[Date]:[Date]],"&lt;="&amp;EOMONTH(W$5,0))</f>
        <v>0</v>
      </c>
    </row>
    <row r="44" spans="11:23">
      <c r="K44" s="174" t="str">
        <f t="array" ref="K44">IFERROR(INDEX(BookieNavn!H$2:H$1251,SMALL(IF(EXACT(LEFT(BookieNavn!H$2:H$1251,2),M$3),ROW(BookieNavn!H$2:H$1251)-ROW(BookieNavn!H$2)+1),ROWS(BookieNavn!H$2:'BookieNavn'!H39))),"")</f>
        <v/>
      </c>
      <c r="L44" s="186">
        <f>SUMIFS(DWbonus[[Sum]:[Sum]],DWbonus[[Dato]:[Dato]], "&gt;="&amp;L$5,DWbonus[[Dato]:[Dato]],"&lt;="&amp;EOMONTH(L$5,0),DWbonus[[Bookie]:[Bookie]],$K44)+SUMIFS(LayTable[[Faktisk res]:[Faktisk res]],LayTable[[Dato]:[Dato]],"&gt;="&amp;L$5,LayTable[[Dato]:[Dato]],"&lt;="&amp;EOMONTH(L$5,0),LayTable[[Bookmaker]:[Bookmaker]],$K44)+SUMIFS(BetTable[[AR_per_bookie]:[AR_per_bookie]],BetTable[[B1]:[B1]],$K44,BetTable[[Date]:[Date]], "&gt;="&amp;L$5,BetTable[[Date]:[Date]],"&lt;="&amp;EOMONTH(L$5,0))+SUMIFS(BetTable[[AR_per_bookie]:[AR_per_bookie]],BetTable[[B2]:[B2]],$K44,BetTable[[Date]:[Date]], "&gt;="&amp;L$5,BetTable[[Date]:[Date]],"&lt;="&amp;EOMONTH(L$5,0))+SUMIFS(BetTable[[AR_per_bookie]:[AR_per_bookie]],BetTable[[B3]:[B3]],$K44,BetTable[[Date]:[Date]], "&gt;="&amp;L$5,BetTable[[Date]:[Date]],"&lt;="&amp;EOMONTH(L$5,0))</f>
        <v>0</v>
      </c>
      <c r="M44" s="186">
        <f>SUMIFS(DWbonus[[Sum]:[Sum]],DWbonus[[Dato]:[Dato]], "&gt;="&amp;M$5,DWbonus[[Dato]:[Dato]],"&lt;="&amp;EOMONTH(M$5,0),DWbonus[[Bookie]:[Bookie]],$K44)+SUMIFS(LayTable[[Faktisk res]:[Faktisk res]],LayTable[[Dato]:[Dato]],"&gt;="&amp;M$5,LayTable[[Dato]:[Dato]],"&lt;="&amp;EOMONTH(M$5,0),LayTable[[Bookmaker]:[Bookmaker]],$K44)+SUMIFS(BetTable[[AR_per_bookie]:[AR_per_bookie]],BetTable[[B1]:[B1]],$K44,BetTable[[Date]:[Date]], "&gt;="&amp;M$5,BetTable[[Date]:[Date]],"&lt;="&amp;EOMONTH(M$5,0))+SUMIFS(BetTable[[AR_per_bookie]:[AR_per_bookie]],BetTable[[B2]:[B2]],$K44,BetTable[[Date]:[Date]], "&gt;="&amp;M$5,BetTable[[Date]:[Date]],"&lt;="&amp;EOMONTH(M$5,0))+SUMIFS(BetTable[[AR_per_bookie]:[AR_per_bookie]],BetTable[[B3]:[B3]],$K44,BetTable[[Date]:[Date]], "&gt;="&amp;M$5,BetTable[[Date]:[Date]],"&lt;="&amp;EOMONTH(M$5,0))</f>
        <v>0</v>
      </c>
      <c r="N44" s="186">
        <f>SUMIFS(DWbonus[[Sum]:[Sum]],DWbonus[[Dato]:[Dato]], "&gt;="&amp;N$5,DWbonus[[Dato]:[Dato]],"&lt;="&amp;EOMONTH(N$5,0),DWbonus[[Bookie]:[Bookie]],$K44)+SUMIFS(LayTable[[Faktisk res]:[Faktisk res]],LayTable[[Dato]:[Dato]],"&gt;="&amp;N$5,LayTable[[Dato]:[Dato]],"&lt;="&amp;EOMONTH(N$5,0),LayTable[[Bookmaker]:[Bookmaker]],$K44)+SUMIFS(BetTable[[AR_per_bookie]:[AR_per_bookie]],BetTable[[B1]:[B1]],$K44,BetTable[[Date]:[Date]], "&gt;="&amp;N$5,BetTable[[Date]:[Date]],"&lt;="&amp;EOMONTH(N$5,0))+SUMIFS(BetTable[[AR_per_bookie]:[AR_per_bookie]],BetTable[[B2]:[B2]],$K44,BetTable[[Date]:[Date]], "&gt;="&amp;N$5,BetTable[[Date]:[Date]],"&lt;="&amp;EOMONTH(N$5,0))+SUMIFS(BetTable[[AR_per_bookie]:[AR_per_bookie]],BetTable[[B3]:[B3]],$K44,BetTable[[Date]:[Date]], "&gt;="&amp;N$5,BetTable[[Date]:[Date]],"&lt;="&amp;EOMONTH(N$5,0))</f>
        <v>0</v>
      </c>
      <c r="O44" s="186">
        <f>SUMIFS(DWbonus[[Sum]:[Sum]],DWbonus[[Dato]:[Dato]], "&gt;="&amp;O$5,DWbonus[[Dato]:[Dato]],"&lt;="&amp;EOMONTH(O$5,0),DWbonus[[Bookie]:[Bookie]],$K44)+SUMIFS(LayTable[[Faktisk res]:[Faktisk res]],LayTable[[Dato]:[Dato]],"&gt;="&amp;O$5,LayTable[[Dato]:[Dato]],"&lt;="&amp;EOMONTH(O$5,0),LayTable[[Bookmaker]:[Bookmaker]],$K44)+SUMIFS(BetTable[[AR_per_bookie]:[AR_per_bookie]],BetTable[[B1]:[B1]],$K44,BetTable[[Date]:[Date]], "&gt;="&amp;O$5,BetTable[[Date]:[Date]],"&lt;="&amp;EOMONTH(O$5,0))+SUMIFS(BetTable[[AR_per_bookie]:[AR_per_bookie]],BetTable[[B2]:[B2]],$K44,BetTable[[Date]:[Date]], "&gt;="&amp;O$5,BetTable[[Date]:[Date]],"&lt;="&amp;EOMONTH(O$5,0))+SUMIFS(BetTable[[AR_per_bookie]:[AR_per_bookie]],BetTable[[B3]:[B3]],$K44,BetTable[[Date]:[Date]], "&gt;="&amp;O$5,BetTable[[Date]:[Date]],"&lt;="&amp;EOMONTH(O$5,0))</f>
        <v>0</v>
      </c>
      <c r="P44" s="186">
        <f>SUMIFS(DWbonus[[Sum]:[Sum]],DWbonus[[Dato]:[Dato]], "&gt;="&amp;P$5,DWbonus[[Dato]:[Dato]],"&lt;="&amp;EOMONTH(P$5,0),DWbonus[[Bookie]:[Bookie]],$K44)+SUMIFS(LayTable[[Faktisk res]:[Faktisk res]],LayTable[[Dato]:[Dato]],"&gt;="&amp;P$5,LayTable[[Dato]:[Dato]],"&lt;="&amp;EOMONTH(P$5,0),LayTable[[Bookmaker]:[Bookmaker]],$K44)+SUMIFS(BetTable[[AR_per_bookie]:[AR_per_bookie]],BetTable[[B1]:[B1]],$K44,BetTable[[Date]:[Date]], "&gt;="&amp;P$5,BetTable[[Date]:[Date]],"&lt;="&amp;EOMONTH(P$5,0))+SUMIFS(BetTable[[AR_per_bookie]:[AR_per_bookie]],BetTable[[B2]:[B2]],$K44,BetTable[[Date]:[Date]], "&gt;="&amp;P$5,BetTable[[Date]:[Date]],"&lt;="&amp;EOMONTH(P$5,0))+SUMIFS(BetTable[[AR_per_bookie]:[AR_per_bookie]],BetTable[[B3]:[B3]],$K44,BetTable[[Date]:[Date]], "&gt;="&amp;P$5,BetTable[[Date]:[Date]],"&lt;="&amp;EOMONTH(P$5,0))</f>
        <v>0</v>
      </c>
      <c r="Q44" s="186">
        <f>SUMIFS(DWbonus[[Sum]:[Sum]],DWbonus[[Dato]:[Dato]], "&gt;="&amp;Q$5,DWbonus[[Dato]:[Dato]],"&lt;="&amp;EOMONTH(Q$5,0),DWbonus[[Bookie]:[Bookie]],$K44)+SUMIFS(LayTable[[Faktisk res]:[Faktisk res]],LayTable[[Dato]:[Dato]],"&gt;="&amp;Q$5,LayTable[[Dato]:[Dato]],"&lt;="&amp;EOMONTH(Q$5,0),LayTable[[Bookmaker]:[Bookmaker]],$K44)+SUMIFS(BetTable[[AR_per_bookie]:[AR_per_bookie]],BetTable[[B1]:[B1]],$K44,BetTable[[Date]:[Date]], "&gt;="&amp;Q$5,BetTable[[Date]:[Date]],"&lt;="&amp;EOMONTH(Q$5,0))+SUMIFS(BetTable[[AR_per_bookie]:[AR_per_bookie]],BetTable[[B2]:[B2]],$K44,BetTable[[Date]:[Date]], "&gt;="&amp;Q$5,BetTable[[Date]:[Date]],"&lt;="&amp;EOMONTH(Q$5,0))+SUMIFS(BetTable[[AR_per_bookie]:[AR_per_bookie]],BetTable[[B3]:[B3]],$K44,BetTable[[Date]:[Date]], "&gt;="&amp;Q$5,BetTable[[Date]:[Date]],"&lt;="&amp;EOMONTH(Q$5,0))</f>
        <v>0</v>
      </c>
      <c r="R44" s="186">
        <f>SUMIFS(DWbonus[[Sum]:[Sum]],DWbonus[[Dato]:[Dato]], "&gt;="&amp;R$5,DWbonus[[Dato]:[Dato]],"&lt;="&amp;EOMONTH(R$5,0),DWbonus[[Bookie]:[Bookie]],$K44)+SUMIFS(LayTable[[Faktisk res]:[Faktisk res]],LayTable[[Dato]:[Dato]],"&gt;="&amp;R$5,LayTable[[Dato]:[Dato]],"&lt;="&amp;EOMONTH(R$5,0),LayTable[[Bookmaker]:[Bookmaker]],$K44)+SUMIFS(BetTable[[AR_per_bookie]:[AR_per_bookie]],BetTable[[B1]:[B1]],$K44,BetTable[[Date]:[Date]], "&gt;="&amp;R$5,BetTable[[Date]:[Date]],"&lt;="&amp;EOMONTH(R$5,0))+SUMIFS(BetTable[[AR_per_bookie]:[AR_per_bookie]],BetTable[[B2]:[B2]],$K44,BetTable[[Date]:[Date]], "&gt;="&amp;R$5,BetTable[[Date]:[Date]],"&lt;="&amp;EOMONTH(R$5,0))+SUMIFS(BetTable[[AR_per_bookie]:[AR_per_bookie]],BetTable[[B3]:[B3]],$K44,BetTable[[Date]:[Date]], "&gt;="&amp;R$5,BetTable[[Date]:[Date]],"&lt;="&amp;EOMONTH(R$5,0))</f>
        <v>0</v>
      </c>
      <c r="S44" s="186">
        <f>SUMIFS(DWbonus[[Sum]:[Sum]],DWbonus[[Dato]:[Dato]], "&gt;="&amp;S$5,DWbonus[[Dato]:[Dato]],"&lt;="&amp;EOMONTH(S$5,0),DWbonus[[Bookie]:[Bookie]],$K44)+SUMIFS(LayTable[[Faktisk res]:[Faktisk res]],LayTable[[Dato]:[Dato]],"&gt;="&amp;S$5,LayTable[[Dato]:[Dato]],"&lt;="&amp;EOMONTH(S$5,0),LayTable[[Bookmaker]:[Bookmaker]],$K44)+SUMIFS(BetTable[[AR_per_bookie]:[AR_per_bookie]],BetTable[[B1]:[B1]],$K44,BetTable[[Date]:[Date]], "&gt;="&amp;S$5,BetTable[[Date]:[Date]],"&lt;="&amp;EOMONTH(S$5,0))+SUMIFS(BetTable[[AR_per_bookie]:[AR_per_bookie]],BetTable[[B2]:[B2]],$K44,BetTable[[Date]:[Date]], "&gt;="&amp;S$5,BetTable[[Date]:[Date]],"&lt;="&amp;EOMONTH(S$5,0))+SUMIFS(BetTable[[AR_per_bookie]:[AR_per_bookie]],BetTable[[B3]:[B3]],$K44,BetTable[[Date]:[Date]], "&gt;="&amp;S$5,BetTable[[Date]:[Date]],"&lt;="&amp;EOMONTH(S$5,0))</f>
        <v>0</v>
      </c>
      <c r="T44" s="186">
        <f>SUMIFS(DWbonus[[Sum]:[Sum]],DWbonus[[Dato]:[Dato]], "&gt;="&amp;T$5,DWbonus[[Dato]:[Dato]],"&lt;="&amp;EOMONTH(T$5,0),DWbonus[[Bookie]:[Bookie]],$K44)+SUMIFS(LayTable[[Faktisk res]:[Faktisk res]],LayTable[[Dato]:[Dato]],"&gt;="&amp;T$5,LayTable[[Dato]:[Dato]],"&lt;="&amp;EOMONTH(T$5,0),LayTable[[Bookmaker]:[Bookmaker]],$K44)+SUMIFS(BetTable[[AR_per_bookie]:[AR_per_bookie]],BetTable[[B1]:[B1]],$K44,BetTable[[Date]:[Date]], "&gt;="&amp;T$5,BetTable[[Date]:[Date]],"&lt;="&amp;EOMONTH(T$5,0))+SUMIFS(BetTable[[AR_per_bookie]:[AR_per_bookie]],BetTable[[B2]:[B2]],$K44,BetTable[[Date]:[Date]], "&gt;="&amp;T$5,BetTable[[Date]:[Date]],"&lt;="&amp;EOMONTH(T$5,0))+SUMIFS(BetTable[[AR_per_bookie]:[AR_per_bookie]],BetTable[[B3]:[B3]],$K44,BetTable[[Date]:[Date]], "&gt;="&amp;T$5,BetTable[[Date]:[Date]],"&lt;="&amp;EOMONTH(T$5,0))</f>
        <v>0</v>
      </c>
      <c r="U44" s="186">
        <f>SUMIFS(DWbonus[[Sum]:[Sum]],DWbonus[[Dato]:[Dato]], "&gt;="&amp;U$5,DWbonus[[Dato]:[Dato]],"&lt;="&amp;EOMONTH(U$5,0),DWbonus[[Bookie]:[Bookie]],$K44)+SUMIFS(LayTable[[Faktisk res]:[Faktisk res]],LayTable[[Dato]:[Dato]],"&gt;="&amp;U$5,LayTable[[Dato]:[Dato]],"&lt;="&amp;EOMONTH(U$5,0),LayTable[[Bookmaker]:[Bookmaker]],$K44)+SUMIFS(BetTable[[AR_per_bookie]:[AR_per_bookie]],BetTable[[B1]:[B1]],$K44,BetTable[[Date]:[Date]], "&gt;="&amp;U$5,BetTable[[Date]:[Date]],"&lt;="&amp;EOMONTH(U$5,0))+SUMIFS(BetTable[[AR_per_bookie]:[AR_per_bookie]],BetTable[[B2]:[B2]],$K44,BetTable[[Date]:[Date]], "&gt;="&amp;U$5,BetTable[[Date]:[Date]],"&lt;="&amp;EOMONTH(U$5,0))+SUMIFS(BetTable[[AR_per_bookie]:[AR_per_bookie]],BetTable[[B3]:[B3]],$K44,BetTable[[Date]:[Date]], "&gt;="&amp;U$5,BetTable[[Date]:[Date]],"&lt;="&amp;EOMONTH(U$5,0))</f>
        <v>0</v>
      </c>
      <c r="V44" s="186">
        <f>SUMIFS(DWbonus[[Sum]:[Sum]],DWbonus[[Dato]:[Dato]], "&gt;="&amp;V$5,DWbonus[[Dato]:[Dato]],"&lt;="&amp;EOMONTH(V$5,0),DWbonus[[Bookie]:[Bookie]],$K44)+SUMIFS(LayTable[[Faktisk res]:[Faktisk res]],LayTable[[Dato]:[Dato]],"&gt;="&amp;V$5,LayTable[[Dato]:[Dato]],"&lt;="&amp;EOMONTH(V$5,0),LayTable[[Bookmaker]:[Bookmaker]],$K44)+SUMIFS(BetTable[[AR_per_bookie]:[AR_per_bookie]],BetTable[[B1]:[B1]],$K44,BetTable[[Date]:[Date]], "&gt;="&amp;V$5,BetTable[[Date]:[Date]],"&lt;="&amp;EOMONTH(V$5,0))+SUMIFS(BetTable[[AR_per_bookie]:[AR_per_bookie]],BetTable[[B2]:[B2]],$K44,BetTable[[Date]:[Date]], "&gt;="&amp;V$5,BetTable[[Date]:[Date]],"&lt;="&amp;EOMONTH(V$5,0))+SUMIFS(BetTable[[AR_per_bookie]:[AR_per_bookie]],BetTable[[B3]:[B3]],$K44,BetTable[[Date]:[Date]], "&gt;="&amp;V$5,BetTable[[Date]:[Date]],"&lt;="&amp;EOMONTH(V$5,0))</f>
        <v>0</v>
      </c>
      <c r="W44" s="186">
        <f>SUMIFS(DWbonus[[Sum]:[Sum]],DWbonus[[Dato]:[Dato]], "&gt;="&amp;W$5,DWbonus[[Dato]:[Dato]],"&lt;="&amp;EOMONTH(W$5,0),DWbonus[[Bookie]:[Bookie]],$K44)+SUMIFS(LayTable[[Faktisk res]:[Faktisk res]],LayTable[[Dato]:[Dato]],"&gt;="&amp;W$5,LayTable[[Dato]:[Dato]],"&lt;="&amp;EOMONTH(W$5,0),LayTable[[Bookmaker]:[Bookmaker]],$K44)+SUMIFS(BetTable[[AR_per_bookie]:[AR_per_bookie]],BetTable[[B1]:[B1]],$K44,BetTable[[Date]:[Date]], "&gt;="&amp;W$5,BetTable[[Date]:[Date]],"&lt;="&amp;EOMONTH(W$5,0))+SUMIFS(BetTable[[AR_per_bookie]:[AR_per_bookie]],BetTable[[B2]:[B2]],$K44,BetTable[[Date]:[Date]], "&gt;="&amp;W$5,BetTable[[Date]:[Date]],"&lt;="&amp;EOMONTH(W$5,0))+SUMIFS(BetTable[[AR_per_bookie]:[AR_per_bookie]],BetTable[[B3]:[B3]],$K44,BetTable[[Date]:[Date]], "&gt;="&amp;W$5,BetTable[[Date]:[Date]],"&lt;="&amp;EOMONTH(W$5,0))</f>
        <v>0</v>
      </c>
    </row>
    <row r="45" spans="11:23">
      <c r="K45" s="174" t="str">
        <f t="array" ref="K45">IFERROR(INDEX(BookieNavn!H$2:H$1251,SMALL(IF(EXACT(LEFT(BookieNavn!H$2:H$1251,2),M$3),ROW(BookieNavn!H$2:H$1251)-ROW(BookieNavn!H$2)+1),ROWS(BookieNavn!H$2:'BookieNavn'!H40))),"")</f>
        <v/>
      </c>
      <c r="L45" s="186">
        <f>SUMIFS(DWbonus[[Sum]:[Sum]],DWbonus[[Dato]:[Dato]], "&gt;="&amp;L$5,DWbonus[[Dato]:[Dato]],"&lt;="&amp;EOMONTH(L$5,0),DWbonus[[Bookie]:[Bookie]],$K45)+SUMIFS(LayTable[[Faktisk res]:[Faktisk res]],LayTable[[Dato]:[Dato]],"&gt;="&amp;L$5,LayTable[[Dato]:[Dato]],"&lt;="&amp;EOMONTH(L$5,0),LayTable[[Bookmaker]:[Bookmaker]],$K45)+SUMIFS(BetTable[[AR_per_bookie]:[AR_per_bookie]],BetTable[[B1]:[B1]],$K45,BetTable[[Date]:[Date]], "&gt;="&amp;L$5,BetTable[[Date]:[Date]],"&lt;="&amp;EOMONTH(L$5,0))+SUMIFS(BetTable[[AR_per_bookie]:[AR_per_bookie]],BetTable[[B2]:[B2]],$K45,BetTable[[Date]:[Date]], "&gt;="&amp;L$5,BetTable[[Date]:[Date]],"&lt;="&amp;EOMONTH(L$5,0))+SUMIFS(BetTable[[AR_per_bookie]:[AR_per_bookie]],BetTable[[B3]:[B3]],$K45,BetTable[[Date]:[Date]], "&gt;="&amp;L$5,BetTable[[Date]:[Date]],"&lt;="&amp;EOMONTH(L$5,0))</f>
        <v>0</v>
      </c>
      <c r="M45" s="186">
        <f>SUMIFS(DWbonus[[Sum]:[Sum]],DWbonus[[Dato]:[Dato]], "&gt;="&amp;M$5,DWbonus[[Dato]:[Dato]],"&lt;="&amp;EOMONTH(M$5,0),DWbonus[[Bookie]:[Bookie]],$K45)+SUMIFS(LayTable[[Faktisk res]:[Faktisk res]],LayTable[[Dato]:[Dato]],"&gt;="&amp;M$5,LayTable[[Dato]:[Dato]],"&lt;="&amp;EOMONTH(M$5,0),LayTable[[Bookmaker]:[Bookmaker]],$K45)+SUMIFS(BetTable[[AR_per_bookie]:[AR_per_bookie]],BetTable[[B1]:[B1]],$K45,BetTable[[Date]:[Date]], "&gt;="&amp;M$5,BetTable[[Date]:[Date]],"&lt;="&amp;EOMONTH(M$5,0))+SUMIFS(BetTable[[AR_per_bookie]:[AR_per_bookie]],BetTable[[B2]:[B2]],$K45,BetTable[[Date]:[Date]], "&gt;="&amp;M$5,BetTable[[Date]:[Date]],"&lt;="&amp;EOMONTH(M$5,0))+SUMIFS(BetTable[[AR_per_bookie]:[AR_per_bookie]],BetTable[[B3]:[B3]],$K45,BetTable[[Date]:[Date]], "&gt;="&amp;M$5,BetTable[[Date]:[Date]],"&lt;="&amp;EOMONTH(M$5,0))</f>
        <v>0</v>
      </c>
      <c r="N45" s="186">
        <f>SUMIFS(DWbonus[[Sum]:[Sum]],DWbonus[[Dato]:[Dato]], "&gt;="&amp;N$5,DWbonus[[Dato]:[Dato]],"&lt;="&amp;EOMONTH(N$5,0),DWbonus[[Bookie]:[Bookie]],$K45)+SUMIFS(LayTable[[Faktisk res]:[Faktisk res]],LayTable[[Dato]:[Dato]],"&gt;="&amp;N$5,LayTable[[Dato]:[Dato]],"&lt;="&amp;EOMONTH(N$5,0),LayTable[[Bookmaker]:[Bookmaker]],$K45)+SUMIFS(BetTable[[AR_per_bookie]:[AR_per_bookie]],BetTable[[B1]:[B1]],$K45,BetTable[[Date]:[Date]], "&gt;="&amp;N$5,BetTable[[Date]:[Date]],"&lt;="&amp;EOMONTH(N$5,0))+SUMIFS(BetTable[[AR_per_bookie]:[AR_per_bookie]],BetTable[[B2]:[B2]],$K45,BetTable[[Date]:[Date]], "&gt;="&amp;N$5,BetTable[[Date]:[Date]],"&lt;="&amp;EOMONTH(N$5,0))+SUMIFS(BetTable[[AR_per_bookie]:[AR_per_bookie]],BetTable[[B3]:[B3]],$K45,BetTable[[Date]:[Date]], "&gt;="&amp;N$5,BetTable[[Date]:[Date]],"&lt;="&amp;EOMONTH(N$5,0))</f>
        <v>0</v>
      </c>
      <c r="O45" s="186">
        <f>SUMIFS(DWbonus[[Sum]:[Sum]],DWbonus[[Dato]:[Dato]], "&gt;="&amp;O$5,DWbonus[[Dato]:[Dato]],"&lt;="&amp;EOMONTH(O$5,0),DWbonus[[Bookie]:[Bookie]],$K45)+SUMIFS(LayTable[[Faktisk res]:[Faktisk res]],LayTable[[Dato]:[Dato]],"&gt;="&amp;O$5,LayTable[[Dato]:[Dato]],"&lt;="&amp;EOMONTH(O$5,0),LayTable[[Bookmaker]:[Bookmaker]],$K45)+SUMIFS(BetTable[[AR_per_bookie]:[AR_per_bookie]],BetTable[[B1]:[B1]],$K45,BetTable[[Date]:[Date]], "&gt;="&amp;O$5,BetTable[[Date]:[Date]],"&lt;="&amp;EOMONTH(O$5,0))+SUMIFS(BetTable[[AR_per_bookie]:[AR_per_bookie]],BetTable[[B2]:[B2]],$K45,BetTable[[Date]:[Date]], "&gt;="&amp;O$5,BetTable[[Date]:[Date]],"&lt;="&amp;EOMONTH(O$5,0))+SUMIFS(BetTable[[AR_per_bookie]:[AR_per_bookie]],BetTable[[B3]:[B3]],$K45,BetTable[[Date]:[Date]], "&gt;="&amp;O$5,BetTable[[Date]:[Date]],"&lt;="&amp;EOMONTH(O$5,0))</f>
        <v>0</v>
      </c>
      <c r="P45" s="186">
        <f>SUMIFS(DWbonus[[Sum]:[Sum]],DWbonus[[Dato]:[Dato]], "&gt;="&amp;P$5,DWbonus[[Dato]:[Dato]],"&lt;="&amp;EOMONTH(P$5,0),DWbonus[[Bookie]:[Bookie]],$K45)+SUMIFS(LayTable[[Faktisk res]:[Faktisk res]],LayTable[[Dato]:[Dato]],"&gt;="&amp;P$5,LayTable[[Dato]:[Dato]],"&lt;="&amp;EOMONTH(P$5,0),LayTable[[Bookmaker]:[Bookmaker]],$K45)+SUMIFS(BetTable[[AR_per_bookie]:[AR_per_bookie]],BetTable[[B1]:[B1]],$K45,BetTable[[Date]:[Date]], "&gt;="&amp;P$5,BetTable[[Date]:[Date]],"&lt;="&amp;EOMONTH(P$5,0))+SUMIFS(BetTable[[AR_per_bookie]:[AR_per_bookie]],BetTable[[B2]:[B2]],$K45,BetTable[[Date]:[Date]], "&gt;="&amp;P$5,BetTable[[Date]:[Date]],"&lt;="&amp;EOMONTH(P$5,0))+SUMIFS(BetTable[[AR_per_bookie]:[AR_per_bookie]],BetTable[[B3]:[B3]],$K45,BetTable[[Date]:[Date]], "&gt;="&amp;P$5,BetTable[[Date]:[Date]],"&lt;="&amp;EOMONTH(P$5,0))</f>
        <v>0</v>
      </c>
      <c r="Q45" s="186">
        <f>SUMIFS(DWbonus[[Sum]:[Sum]],DWbonus[[Dato]:[Dato]], "&gt;="&amp;Q$5,DWbonus[[Dato]:[Dato]],"&lt;="&amp;EOMONTH(Q$5,0),DWbonus[[Bookie]:[Bookie]],$K45)+SUMIFS(LayTable[[Faktisk res]:[Faktisk res]],LayTable[[Dato]:[Dato]],"&gt;="&amp;Q$5,LayTable[[Dato]:[Dato]],"&lt;="&amp;EOMONTH(Q$5,0),LayTable[[Bookmaker]:[Bookmaker]],$K45)+SUMIFS(BetTable[[AR_per_bookie]:[AR_per_bookie]],BetTable[[B1]:[B1]],$K45,BetTable[[Date]:[Date]], "&gt;="&amp;Q$5,BetTable[[Date]:[Date]],"&lt;="&amp;EOMONTH(Q$5,0))+SUMIFS(BetTable[[AR_per_bookie]:[AR_per_bookie]],BetTable[[B2]:[B2]],$K45,BetTable[[Date]:[Date]], "&gt;="&amp;Q$5,BetTable[[Date]:[Date]],"&lt;="&amp;EOMONTH(Q$5,0))+SUMIFS(BetTable[[AR_per_bookie]:[AR_per_bookie]],BetTable[[B3]:[B3]],$K45,BetTable[[Date]:[Date]], "&gt;="&amp;Q$5,BetTable[[Date]:[Date]],"&lt;="&amp;EOMONTH(Q$5,0))</f>
        <v>0</v>
      </c>
      <c r="R45" s="186">
        <f>SUMIFS(DWbonus[[Sum]:[Sum]],DWbonus[[Dato]:[Dato]], "&gt;="&amp;R$5,DWbonus[[Dato]:[Dato]],"&lt;="&amp;EOMONTH(R$5,0),DWbonus[[Bookie]:[Bookie]],$K45)+SUMIFS(LayTable[[Faktisk res]:[Faktisk res]],LayTable[[Dato]:[Dato]],"&gt;="&amp;R$5,LayTable[[Dato]:[Dato]],"&lt;="&amp;EOMONTH(R$5,0),LayTable[[Bookmaker]:[Bookmaker]],$K45)+SUMIFS(BetTable[[AR_per_bookie]:[AR_per_bookie]],BetTable[[B1]:[B1]],$K45,BetTable[[Date]:[Date]], "&gt;="&amp;R$5,BetTable[[Date]:[Date]],"&lt;="&amp;EOMONTH(R$5,0))+SUMIFS(BetTable[[AR_per_bookie]:[AR_per_bookie]],BetTable[[B2]:[B2]],$K45,BetTable[[Date]:[Date]], "&gt;="&amp;R$5,BetTable[[Date]:[Date]],"&lt;="&amp;EOMONTH(R$5,0))+SUMIFS(BetTable[[AR_per_bookie]:[AR_per_bookie]],BetTable[[B3]:[B3]],$K45,BetTable[[Date]:[Date]], "&gt;="&amp;R$5,BetTable[[Date]:[Date]],"&lt;="&amp;EOMONTH(R$5,0))</f>
        <v>0</v>
      </c>
      <c r="S45" s="186">
        <f>SUMIFS(DWbonus[[Sum]:[Sum]],DWbonus[[Dato]:[Dato]], "&gt;="&amp;S$5,DWbonus[[Dato]:[Dato]],"&lt;="&amp;EOMONTH(S$5,0),DWbonus[[Bookie]:[Bookie]],$K45)+SUMIFS(LayTable[[Faktisk res]:[Faktisk res]],LayTable[[Dato]:[Dato]],"&gt;="&amp;S$5,LayTable[[Dato]:[Dato]],"&lt;="&amp;EOMONTH(S$5,0),LayTable[[Bookmaker]:[Bookmaker]],$K45)+SUMIFS(BetTable[[AR_per_bookie]:[AR_per_bookie]],BetTable[[B1]:[B1]],$K45,BetTable[[Date]:[Date]], "&gt;="&amp;S$5,BetTable[[Date]:[Date]],"&lt;="&amp;EOMONTH(S$5,0))+SUMIFS(BetTable[[AR_per_bookie]:[AR_per_bookie]],BetTable[[B2]:[B2]],$K45,BetTable[[Date]:[Date]], "&gt;="&amp;S$5,BetTable[[Date]:[Date]],"&lt;="&amp;EOMONTH(S$5,0))+SUMIFS(BetTable[[AR_per_bookie]:[AR_per_bookie]],BetTable[[B3]:[B3]],$K45,BetTable[[Date]:[Date]], "&gt;="&amp;S$5,BetTable[[Date]:[Date]],"&lt;="&amp;EOMONTH(S$5,0))</f>
        <v>0</v>
      </c>
      <c r="T45" s="186">
        <f>SUMIFS(DWbonus[[Sum]:[Sum]],DWbonus[[Dato]:[Dato]], "&gt;="&amp;T$5,DWbonus[[Dato]:[Dato]],"&lt;="&amp;EOMONTH(T$5,0),DWbonus[[Bookie]:[Bookie]],$K45)+SUMIFS(LayTable[[Faktisk res]:[Faktisk res]],LayTable[[Dato]:[Dato]],"&gt;="&amp;T$5,LayTable[[Dato]:[Dato]],"&lt;="&amp;EOMONTH(T$5,0),LayTable[[Bookmaker]:[Bookmaker]],$K45)+SUMIFS(BetTable[[AR_per_bookie]:[AR_per_bookie]],BetTable[[B1]:[B1]],$K45,BetTable[[Date]:[Date]], "&gt;="&amp;T$5,BetTable[[Date]:[Date]],"&lt;="&amp;EOMONTH(T$5,0))+SUMIFS(BetTable[[AR_per_bookie]:[AR_per_bookie]],BetTable[[B2]:[B2]],$K45,BetTable[[Date]:[Date]], "&gt;="&amp;T$5,BetTable[[Date]:[Date]],"&lt;="&amp;EOMONTH(T$5,0))+SUMIFS(BetTable[[AR_per_bookie]:[AR_per_bookie]],BetTable[[B3]:[B3]],$K45,BetTable[[Date]:[Date]], "&gt;="&amp;T$5,BetTable[[Date]:[Date]],"&lt;="&amp;EOMONTH(T$5,0))</f>
        <v>0</v>
      </c>
      <c r="U45" s="186">
        <f>SUMIFS(DWbonus[[Sum]:[Sum]],DWbonus[[Dato]:[Dato]], "&gt;="&amp;U$5,DWbonus[[Dato]:[Dato]],"&lt;="&amp;EOMONTH(U$5,0),DWbonus[[Bookie]:[Bookie]],$K45)+SUMIFS(LayTable[[Faktisk res]:[Faktisk res]],LayTable[[Dato]:[Dato]],"&gt;="&amp;U$5,LayTable[[Dato]:[Dato]],"&lt;="&amp;EOMONTH(U$5,0),LayTable[[Bookmaker]:[Bookmaker]],$K45)+SUMIFS(BetTable[[AR_per_bookie]:[AR_per_bookie]],BetTable[[B1]:[B1]],$K45,BetTable[[Date]:[Date]], "&gt;="&amp;U$5,BetTable[[Date]:[Date]],"&lt;="&amp;EOMONTH(U$5,0))+SUMIFS(BetTable[[AR_per_bookie]:[AR_per_bookie]],BetTable[[B2]:[B2]],$K45,BetTable[[Date]:[Date]], "&gt;="&amp;U$5,BetTable[[Date]:[Date]],"&lt;="&amp;EOMONTH(U$5,0))+SUMIFS(BetTable[[AR_per_bookie]:[AR_per_bookie]],BetTable[[B3]:[B3]],$K45,BetTable[[Date]:[Date]], "&gt;="&amp;U$5,BetTable[[Date]:[Date]],"&lt;="&amp;EOMONTH(U$5,0))</f>
        <v>0</v>
      </c>
      <c r="V45" s="186">
        <f>SUMIFS(DWbonus[[Sum]:[Sum]],DWbonus[[Dato]:[Dato]], "&gt;="&amp;V$5,DWbonus[[Dato]:[Dato]],"&lt;="&amp;EOMONTH(V$5,0),DWbonus[[Bookie]:[Bookie]],$K45)+SUMIFS(LayTable[[Faktisk res]:[Faktisk res]],LayTable[[Dato]:[Dato]],"&gt;="&amp;V$5,LayTable[[Dato]:[Dato]],"&lt;="&amp;EOMONTH(V$5,0),LayTable[[Bookmaker]:[Bookmaker]],$K45)+SUMIFS(BetTable[[AR_per_bookie]:[AR_per_bookie]],BetTable[[B1]:[B1]],$K45,BetTable[[Date]:[Date]], "&gt;="&amp;V$5,BetTable[[Date]:[Date]],"&lt;="&amp;EOMONTH(V$5,0))+SUMIFS(BetTable[[AR_per_bookie]:[AR_per_bookie]],BetTable[[B2]:[B2]],$K45,BetTable[[Date]:[Date]], "&gt;="&amp;V$5,BetTable[[Date]:[Date]],"&lt;="&amp;EOMONTH(V$5,0))+SUMIFS(BetTable[[AR_per_bookie]:[AR_per_bookie]],BetTable[[B3]:[B3]],$K45,BetTable[[Date]:[Date]], "&gt;="&amp;V$5,BetTable[[Date]:[Date]],"&lt;="&amp;EOMONTH(V$5,0))</f>
        <v>0</v>
      </c>
      <c r="W45" s="186">
        <f>SUMIFS(DWbonus[[Sum]:[Sum]],DWbonus[[Dato]:[Dato]], "&gt;="&amp;W$5,DWbonus[[Dato]:[Dato]],"&lt;="&amp;EOMONTH(W$5,0),DWbonus[[Bookie]:[Bookie]],$K45)+SUMIFS(LayTable[[Faktisk res]:[Faktisk res]],LayTable[[Dato]:[Dato]],"&gt;="&amp;W$5,LayTable[[Dato]:[Dato]],"&lt;="&amp;EOMONTH(W$5,0),LayTable[[Bookmaker]:[Bookmaker]],$K45)+SUMIFS(BetTable[[AR_per_bookie]:[AR_per_bookie]],BetTable[[B1]:[B1]],$K45,BetTable[[Date]:[Date]], "&gt;="&amp;W$5,BetTable[[Date]:[Date]],"&lt;="&amp;EOMONTH(W$5,0))+SUMIFS(BetTable[[AR_per_bookie]:[AR_per_bookie]],BetTable[[B2]:[B2]],$K45,BetTable[[Date]:[Date]], "&gt;="&amp;W$5,BetTable[[Date]:[Date]],"&lt;="&amp;EOMONTH(W$5,0))+SUMIFS(BetTable[[AR_per_bookie]:[AR_per_bookie]],BetTable[[B3]:[B3]],$K45,BetTable[[Date]:[Date]], "&gt;="&amp;W$5,BetTable[[Date]:[Date]],"&lt;="&amp;EOMONTH(W$5,0))</f>
        <v>0</v>
      </c>
    </row>
    <row r="46" spans="11:23">
      <c r="K46" s="174" t="str">
        <f t="array" ref="K46">IFERROR(INDEX(BookieNavn!H$2:H$1251,SMALL(IF(EXACT(LEFT(BookieNavn!H$2:H$1251,2),M$3),ROW(BookieNavn!H$2:H$1251)-ROW(BookieNavn!H$2)+1),ROWS(BookieNavn!H$2:'BookieNavn'!H41))),"")</f>
        <v/>
      </c>
      <c r="L46" s="186">
        <f>SUMIFS(DWbonus[[Sum]:[Sum]],DWbonus[[Dato]:[Dato]], "&gt;="&amp;L$5,DWbonus[[Dato]:[Dato]],"&lt;="&amp;EOMONTH(L$5,0),DWbonus[[Bookie]:[Bookie]],$K46)+SUMIFS(LayTable[[Faktisk res]:[Faktisk res]],LayTable[[Dato]:[Dato]],"&gt;="&amp;L$5,LayTable[[Dato]:[Dato]],"&lt;="&amp;EOMONTH(L$5,0),LayTable[[Bookmaker]:[Bookmaker]],$K46)+SUMIFS(BetTable[[AR_per_bookie]:[AR_per_bookie]],BetTable[[B1]:[B1]],$K46,BetTable[[Date]:[Date]], "&gt;="&amp;L$5,BetTable[[Date]:[Date]],"&lt;="&amp;EOMONTH(L$5,0))+SUMIFS(BetTable[[AR_per_bookie]:[AR_per_bookie]],BetTable[[B2]:[B2]],$K46,BetTable[[Date]:[Date]], "&gt;="&amp;L$5,BetTable[[Date]:[Date]],"&lt;="&amp;EOMONTH(L$5,0))+SUMIFS(BetTable[[AR_per_bookie]:[AR_per_bookie]],BetTable[[B3]:[B3]],$K46,BetTable[[Date]:[Date]], "&gt;="&amp;L$5,BetTable[[Date]:[Date]],"&lt;="&amp;EOMONTH(L$5,0))</f>
        <v>0</v>
      </c>
      <c r="M46" s="186">
        <f>SUMIFS(DWbonus[[Sum]:[Sum]],DWbonus[[Dato]:[Dato]], "&gt;="&amp;M$5,DWbonus[[Dato]:[Dato]],"&lt;="&amp;EOMONTH(M$5,0),DWbonus[[Bookie]:[Bookie]],$K46)+SUMIFS(LayTable[[Faktisk res]:[Faktisk res]],LayTable[[Dato]:[Dato]],"&gt;="&amp;M$5,LayTable[[Dato]:[Dato]],"&lt;="&amp;EOMONTH(M$5,0),LayTable[[Bookmaker]:[Bookmaker]],$K46)+SUMIFS(BetTable[[AR_per_bookie]:[AR_per_bookie]],BetTable[[B1]:[B1]],$K46,BetTable[[Date]:[Date]], "&gt;="&amp;M$5,BetTable[[Date]:[Date]],"&lt;="&amp;EOMONTH(M$5,0))+SUMIFS(BetTable[[AR_per_bookie]:[AR_per_bookie]],BetTable[[B2]:[B2]],$K46,BetTable[[Date]:[Date]], "&gt;="&amp;M$5,BetTable[[Date]:[Date]],"&lt;="&amp;EOMONTH(M$5,0))+SUMIFS(BetTable[[AR_per_bookie]:[AR_per_bookie]],BetTable[[B3]:[B3]],$K46,BetTable[[Date]:[Date]], "&gt;="&amp;M$5,BetTable[[Date]:[Date]],"&lt;="&amp;EOMONTH(M$5,0))</f>
        <v>0</v>
      </c>
      <c r="N46" s="186">
        <f>SUMIFS(DWbonus[[Sum]:[Sum]],DWbonus[[Dato]:[Dato]], "&gt;="&amp;N$5,DWbonus[[Dato]:[Dato]],"&lt;="&amp;EOMONTH(N$5,0),DWbonus[[Bookie]:[Bookie]],$K46)+SUMIFS(LayTable[[Faktisk res]:[Faktisk res]],LayTable[[Dato]:[Dato]],"&gt;="&amp;N$5,LayTable[[Dato]:[Dato]],"&lt;="&amp;EOMONTH(N$5,0),LayTable[[Bookmaker]:[Bookmaker]],$K46)+SUMIFS(BetTable[[AR_per_bookie]:[AR_per_bookie]],BetTable[[B1]:[B1]],$K46,BetTable[[Date]:[Date]], "&gt;="&amp;N$5,BetTable[[Date]:[Date]],"&lt;="&amp;EOMONTH(N$5,0))+SUMIFS(BetTable[[AR_per_bookie]:[AR_per_bookie]],BetTable[[B2]:[B2]],$K46,BetTable[[Date]:[Date]], "&gt;="&amp;N$5,BetTable[[Date]:[Date]],"&lt;="&amp;EOMONTH(N$5,0))+SUMIFS(BetTable[[AR_per_bookie]:[AR_per_bookie]],BetTable[[B3]:[B3]],$K46,BetTable[[Date]:[Date]], "&gt;="&amp;N$5,BetTable[[Date]:[Date]],"&lt;="&amp;EOMONTH(N$5,0))</f>
        <v>0</v>
      </c>
      <c r="O46" s="186">
        <f>SUMIFS(DWbonus[[Sum]:[Sum]],DWbonus[[Dato]:[Dato]], "&gt;="&amp;O$5,DWbonus[[Dato]:[Dato]],"&lt;="&amp;EOMONTH(O$5,0),DWbonus[[Bookie]:[Bookie]],$K46)+SUMIFS(LayTable[[Faktisk res]:[Faktisk res]],LayTable[[Dato]:[Dato]],"&gt;="&amp;O$5,LayTable[[Dato]:[Dato]],"&lt;="&amp;EOMONTH(O$5,0),LayTable[[Bookmaker]:[Bookmaker]],$K46)+SUMIFS(BetTable[[AR_per_bookie]:[AR_per_bookie]],BetTable[[B1]:[B1]],$K46,BetTable[[Date]:[Date]], "&gt;="&amp;O$5,BetTable[[Date]:[Date]],"&lt;="&amp;EOMONTH(O$5,0))+SUMIFS(BetTable[[AR_per_bookie]:[AR_per_bookie]],BetTable[[B2]:[B2]],$K46,BetTable[[Date]:[Date]], "&gt;="&amp;O$5,BetTable[[Date]:[Date]],"&lt;="&amp;EOMONTH(O$5,0))+SUMIFS(BetTable[[AR_per_bookie]:[AR_per_bookie]],BetTable[[B3]:[B3]],$K46,BetTable[[Date]:[Date]], "&gt;="&amp;O$5,BetTable[[Date]:[Date]],"&lt;="&amp;EOMONTH(O$5,0))</f>
        <v>0</v>
      </c>
      <c r="P46" s="186">
        <f>SUMIFS(DWbonus[[Sum]:[Sum]],DWbonus[[Dato]:[Dato]], "&gt;="&amp;P$5,DWbonus[[Dato]:[Dato]],"&lt;="&amp;EOMONTH(P$5,0),DWbonus[[Bookie]:[Bookie]],$K46)+SUMIFS(LayTable[[Faktisk res]:[Faktisk res]],LayTable[[Dato]:[Dato]],"&gt;="&amp;P$5,LayTable[[Dato]:[Dato]],"&lt;="&amp;EOMONTH(P$5,0),LayTable[[Bookmaker]:[Bookmaker]],$K46)+SUMIFS(BetTable[[AR_per_bookie]:[AR_per_bookie]],BetTable[[B1]:[B1]],$K46,BetTable[[Date]:[Date]], "&gt;="&amp;P$5,BetTable[[Date]:[Date]],"&lt;="&amp;EOMONTH(P$5,0))+SUMIFS(BetTable[[AR_per_bookie]:[AR_per_bookie]],BetTable[[B2]:[B2]],$K46,BetTable[[Date]:[Date]], "&gt;="&amp;P$5,BetTable[[Date]:[Date]],"&lt;="&amp;EOMONTH(P$5,0))+SUMIFS(BetTable[[AR_per_bookie]:[AR_per_bookie]],BetTable[[B3]:[B3]],$K46,BetTable[[Date]:[Date]], "&gt;="&amp;P$5,BetTable[[Date]:[Date]],"&lt;="&amp;EOMONTH(P$5,0))</f>
        <v>0</v>
      </c>
      <c r="Q46" s="186">
        <f>SUMIFS(DWbonus[[Sum]:[Sum]],DWbonus[[Dato]:[Dato]], "&gt;="&amp;Q$5,DWbonus[[Dato]:[Dato]],"&lt;="&amp;EOMONTH(Q$5,0),DWbonus[[Bookie]:[Bookie]],$K46)+SUMIFS(LayTable[[Faktisk res]:[Faktisk res]],LayTable[[Dato]:[Dato]],"&gt;="&amp;Q$5,LayTable[[Dato]:[Dato]],"&lt;="&amp;EOMONTH(Q$5,0),LayTable[[Bookmaker]:[Bookmaker]],$K46)+SUMIFS(BetTable[[AR_per_bookie]:[AR_per_bookie]],BetTable[[B1]:[B1]],$K46,BetTable[[Date]:[Date]], "&gt;="&amp;Q$5,BetTable[[Date]:[Date]],"&lt;="&amp;EOMONTH(Q$5,0))+SUMIFS(BetTable[[AR_per_bookie]:[AR_per_bookie]],BetTable[[B2]:[B2]],$K46,BetTable[[Date]:[Date]], "&gt;="&amp;Q$5,BetTable[[Date]:[Date]],"&lt;="&amp;EOMONTH(Q$5,0))+SUMIFS(BetTable[[AR_per_bookie]:[AR_per_bookie]],BetTable[[B3]:[B3]],$K46,BetTable[[Date]:[Date]], "&gt;="&amp;Q$5,BetTable[[Date]:[Date]],"&lt;="&amp;EOMONTH(Q$5,0))</f>
        <v>0</v>
      </c>
      <c r="R46" s="186">
        <f>SUMIFS(DWbonus[[Sum]:[Sum]],DWbonus[[Dato]:[Dato]], "&gt;="&amp;R$5,DWbonus[[Dato]:[Dato]],"&lt;="&amp;EOMONTH(R$5,0),DWbonus[[Bookie]:[Bookie]],$K46)+SUMIFS(LayTable[[Faktisk res]:[Faktisk res]],LayTable[[Dato]:[Dato]],"&gt;="&amp;R$5,LayTable[[Dato]:[Dato]],"&lt;="&amp;EOMONTH(R$5,0),LayTable[[Bookmaker]:[Bookmaker]],$K46)+SUMIFS(BetTable[[AR_per_bookie]:[AR_per_bookie]],BetTable[[B1]:[B1]],$K46,BetTable[[Date]:[Date]], "&gt;="&amp;R$5,BetTable[[Date]:[Date]],"&lt;="&amp;EOMONTH(R$5,0))+SUMIFS(BetTable[[AR_per_bookie]:[AR_per_bookie]],BetTable[[B2]:[B2]],$K46,BetTable[[Date]:[Date]], "&gt;="&amp;R$5,BetTable[[Date]:[Date]],"&lt;="&amp;EOMONTH(R$5,0))+SUMIFS(BetTable[[AR_per_bookie]:[AR_per_bookie]],BetTable[[B3]:[B3]],$K46,BetTable[[Date]:[Date]], "&gt;="&amp;R$5,BetTable[[Date]:[Date]],"&lt;="&amp;EOMONTH(R$5,0))</f>
        <v>0</v>
      </c>
      <c r="S46" s="186">
        <f>SUMIFS(DWbonus[[Sum]:[Sum]],DWbonus[[Dato]:[Dato]], "&gt;="&amp;S$5,DWbonus[[Dato]:[Dato]],"&lt;="&amp;EOMONTH(S$5,0),DWbonus[[Bookie]:[Bookie]],$K46)+SUMIFS(LayTable[[Faktisk res]:[Faktisk res]],LayTable[[Dato]:[Dato]],"&gt;="&amp;S$5,LayTable[[Dato]:[Dato]],"&lt;="&amp;EOMONTH(S$5,0),LayTable[[Bookmaker]:[Bookmaker]],$K46)+SUMIFS(BetTable[[AR_per_bookie]:[AR_per_bookie]],BetTable[[B1]:[B1]],$K46,BetTable[[Date]:[Date]], "&gt;="&amp;S$5,BetTable[[Date]:[Date]],"&lt;="&amp;EOMONTH(S$5,0))+SUMIFS(BetTable[[AR_per_bookie]:[AR_per_bookie]],BetTable[[B2]:[B2]],$K46,BetTable[[Date]:[Date]], "&gt;="&amp;S$5,BetTable[[Date]:[Date]],"&lt;="&amp;EOMONTH(S$5,0))+SUMIFS(BetTable[[AR_per_bookie]:[AR_per_bookie]],BetTable[[B3]:[B3]],$K46,BetTable[[Date]:[Date]], "&gt;="&amp;S$5,BetTable[[Date]:[Date]],"&lt;="&amp;EOMONTH(S$5,0))</f>
        <v>0</v>
      </c>
      <c r="T46" s="186">
        <f>SUMIFS(DWbonus[[Sum]:[Sum]],DWbonus[[Dato]:[Dato]], "&gt;="&amp;T$5,DWbonus[[Dato]:[Dato]],"&lt;="&amp;EOMONTH(T$5,0),DWbonus[[Bookie]:[Bookie]],$K46)+SUMIFS(LayTable[[Faktisk res]:[Faktisk res]],LayTable[[Dato]:[Dato]],"&gt;="&amp;T$5,LayTable[[Dato]:[Dato]],"&lt;="&amp;EOMONTH(T$5,0),LayTable[[Bookmaker]:[Bookmaker]],$K46)+SUMIFS(BetTable[[AR_per_bookie]:[AR_per_bookie]],BetTable[[B1]:[B1]],$K46,BetTable[[Date]:[Date]], "&gt;="&amp;T$5,BetTable[[Date]:[Date]],"&lt;="&amp;EOMONTH(T$5,0))+SUMIFS(BetTable[[AR_per_bookie]:[AR_per_bookie]],BetTable[[B2]:[B2]],$K46,BetTable[[Date]:[Date]], "&gt;="&amp;T$5,BetTable[[Date]:[Date]],"&lt;="&amp;EOMONTH(T$5,0))+SUMIFS(BetTable[[AR_per_bookie]:[AR_per_bookie]],BetTable[[B3]:[B3]],$K46,BetTable[[Date]:[Date]], "&gt;="&amp;T$5,BetTable[[Date]:[Date]],"&lt;="&amp;EOMONTH(T$5,0))</f>
        <v>0</v>
      </c>
      <c r="U46" s="186">
        <f>SUMIFS(DWbonus[[Sum]:[Sum]],DWbonus[[Dato]:[Dato]], "&gt;="&amp;U$5,DWbonus[[Dato]:[Dato]],"&lt;="&amp;EOMONTH(U$5,0),DWbonus[[Bookie]:[Bookie]],$K46)+SUMIFS(LayTable[[Faktisk res]:[Faktisk res]],LayTable[[Dato]:[Dato]],"&gt;="&amp;U$5,LayTable[[Dato]:[Dato]],"&lt;="&amp;EOMONTH(U$5,0),LayTable[[Bookmaker]:[Bookmaker]],$K46)+SUMIFS(BetTable[[AR_per_bookie]:[AR_per_bookie]],BetTable[[B1]:[B1]],$K46,BetTable[[Date]:[Date]], "&gt;="&amp;U$5,BetTable[[Date]:[Date]],"&lt;="&amp;EOMONTH(U$5,0))+SUMIFS(BetTable[[AR_per_bookie]:[AR_per_bookie]],BetTable[[B2]:[B2]],$K46,BetTable[[Date]:[Date]], "&gt;="&amp;U$5,BetTable[[Date]:[Date]],"&lt;="&amp;EOMONTH(U$5,0))+SUMIFS(BetTable[[AR_per_bookie]:[AR_per_bookie]],BetTable[[B3]:[B3]],$K46,BetTable[[Date]:[Date]], "&gt;="&amp;U$5,BetTable[[Date]:[Date]],"&lt;="&amp;EOMONTH(U$5,0))</f>
        <v>0</v>
      </c>
      <c r="V46" s="186">
        <f>SUMIFS(DWbonus[[Sum]:[Sum]],DWbonus[[Dato]:[Dato]], "&gt;="&amp;V$5,DWbonus[[Dato]:[Dato]],"&lt;="&amp;EOMONTH(V$5,0),DWbonus[[Bookie]:[Bookie]],$K46)+SUMIFS(LayTable[[Faktisk res]:[Faktisk res]],LayTable[[Dato]:[Dato]],"&gt;="&amp;V$5,LayTable[[Dato]:[Dato]],"&lt;="&amp;EOMONTH(V$5,0),LayTable[[Bookmaker]:[Bookmaker]],$K46)+SUMIFS(BetTable[[AR_per_bookie]:[AR_per_bookie]],BetTable[[B1]:[B1]],$K46,BetTable[[Date]:[Date]], "&gt;="&amp;V$5,BetTable[[Date]:[Date]],"&lt;="&amp;EOMONTH(V$5,0))+SUMIFS(BetTable[[AR_per_bookie]:[AR_per_bookie]],BetTable[[B2]:[B2]],$K46,BetTable[[Date]:[Date]], "&gt;="&amp;V$5,BetTable[[Date]:[Date]],"&lt;="&amp;EOMONTH(V$5,0))+SUMIFS(BetTable[[AR_per_bookie]:[AR_per_bookie]],BetTable[[B3]:[B3]],$K46,BetTable[[Date]:[Date]], "&gt;="&amp;V$5,BetTable[[Date]:[Date]],"&lt;="&amp;EOMONTH(V$5,0))</f>
        <v>0</v>
      </c>
      <c r="W46" s="186">
        <f>SUMIFS(DWbonus[[Sum]:[Sum]],DWbonus[[Dato]:[Dato]], "&gt;="&amp;W$5,DWbonus[[Dato]:[Dato]],"&lt;="&amp;EOMONTH(W$5,0),DWbonus[[Bookie]:[Bookie]],$K46)+SUMIFS(LayTable[[Faktisk res]:[Faktisk res]],LayTable[[Dato]:[Dato]],"&gt;="&amp;W$5,LayTable[[Dato]:[Dato]],"&lt;="&amp;EOMONTH(W$5,0),LayTable[[Bookmaker]:[Bookmaker]],$K46)+SUMIFS(BetTable[[AR_per_bookie]:[AR_per_bookie]],BetTable[[B1]:[B1]],$K46,BetTable[[Date]:[Date]], "&gt;="&amp;W$5,BetTable[[Date]:[Date]],"&lt;="&amp;EOMONTH(W$5,0))+SUMIFS(BetTable[[AR_per_bookie]:[AR_per_bookie]],BetTable[[B2]:[B2]],$K46,BetTable[[Date]:[Date]], "&gt;="&amp;W$5,BetTable[[Date]:[Date]],"&lt;="&amp;EOMONTH(W$5,0))+SUMIFS(BetTable[[AR_per_bookie]:[AR_per_bookie]],BetTable[[B3]:[B3]],$K46,BetTable[[Date]:[Date]], "&gt;="&amp;W$5,BetTable[[Date]:[Date]],"&lt;="&amp;EOMONTH(W$5,0))</f>
        <v>0</v>
      </c>
    </row>
    <row r="47" spans="11:23">
      <c r="K47" s="174" t="str">
        <f t="array" ref="K47">IFERROR(INDEX(BookieNavn!H$2:H$1251,SMALL(IF(EXACT(LEFT(BookieNavn!H$2:H$1251,2),M$3),ROW(BookieNavn!H$2:H$1251)-ROW(BookieNavn!H$2)+1),ROWS(BookieNavn!H$2:'BookieNavn'!H42))),"")</f>
        <v/>
      </c>
      <c r="L47" s="186">
        <f>SUMIFS(DWbonus[[Sum]:[Sum]],DWbonus[[Dato]:[Dato]], "&gt;="&amp;L$5,DWbonus[[Dato]:[Dato]],"&lt;="&amp;EOMONTH(L$5,0),DWbonus[[Bookie]:[Bookie]],$K47)+SUMIFS(LayTable[[Faktisk res]:[Faktisk res]],LayTable[[Dato]:[Dato]],"&gt;="&amp;L$5,LayTable[[Dato]:[Dato]],"&lt;="&amp;EOMONTH(L$5,0),LayTable[[Bookmaker]:[Bookmaker]],$K47)+SUMIFS(BetTable[[AR_per_bookie]:[AR_per_bookie]],BetTable[[B1]:[B1]],$K47,BetTable[[Date]:[Date]], "&gt;="&amp;L$5,BetTable[[Date]:[Date]],"&lt;="&amp;EOMONTH(L$5,0))+SUMIFS(BetTable[[AR_per_bookie]:[AR_per_bookie]],BetTable[[B2]:[B2]],$K47,BetTable[[Date]:[Date]], "&gt;="&amp;L$5,BetTable[[Date]:[Date]],"&lt;="&amp;EOMONTH(L$5,0))+SUMIFS(BetTable[[AR_per_bookie]:[AR_per_bookie]],BetTable[[B3]:[B3]],$K47,BetTable[[Date]:[Date]], "&gt;="&amp;L$5,BetTable[[Date]:[Date]],"&lt;="&amp;EOMONTH(L$5,0))</f>
        <v>0</v>
      </c>
      <c r="M47" s="186">
        <f>SUMIFS(DWbonus[[Sum]:[Sum]],DWbonus[[Dato]:[Dato]], "&gt;="&amp;M$5,DWbonus[[Dato]:[Dato]],"&lt;="&amp;EOMONTH(M$5,0),DWbonus[[Bookie]:[Bookie]],$K47)+SUMIFS(LayTable[[Faktisk res]:[Faktisk res]],LayTable[[Dato]:[Dato]],"&gt;="&amp;M$5,LayTable[[Dato]:[Dato]],"&lt;="&amp;EOMONTH(M$5,0),LayTable[[Bookmaker]:[Bookmaker]],$K47)+SUMIFS(BetTable[[AR_per_bookie]:[AR_per_bookie]],BetTable[[B1]:[B1]],$K47,BetTable[[Date]:[Date]], "&gt;="&amp;M$5,BetTable[[Date]:[Date]],"&lt;="&amp;EOMONTH(M$5,0))+SUMIFS(BetTable[[AR_per_bookie]:[AR_per_bookie]],BetTable[[B2]:[B2]],$K47,BetTable[[Date]:[Date]], "&gt;="&amp;M$5,BetTable[[Date]:[Date]],"&lt;="&amp;EOMONTH(M$5,0))+SUMIFS(BetTable[[AR_per_bookie]:[AR_per_bookie]],BetTable[[B3]:[B3]],$K47,BetTable[[Date]:[Date]], "&gt;="&amp;M$5,BetTable[[Date]:[Date]],"&lt;="&amp;EOMONTH(M$5,0))</f>
        <v>0</v>
      </c>
      <c r="N47" s="186">
        <f>SUMIFS(DWbonus[[Sum]:[Sum]],DWbonus[[Dato]:[Dato]], "&gt;="&amp;N$5,DWbonus[[Dato]:[Dato]],"&lt;="&amp;EOMONTH(N$5,0),DWbonus[[Bookie]:[Bookie]],$K47)+SUMIFS(LayTable[[Faktisk res]:[Faktisk res]],LayTable[[Dato]:[Dato]],"&gt;="&amp;N$5,LayTable[[Dato]:[Dato]],"&lt;="&amp;EOMONTH(N$5,0),LayTable[[Bookmaker]:[Bookmaker]],$K47)+SUMIFS(BetTable[[AR_per_bookie]:[AR_per_bookie]],BetTable[[B1]:[B1]],$K47,BetTable[[Date]:[Date]], "&gt;="&amp;N$5,BetTable[[Date]:[Date]],"&lt;="&amp;EOMONTH(N$5,0))+SUMIFS(BetTable[[AR_per_bookie]:[AR_per_bookie]],BetTable[[B2]:[B2]],$K47,BetTable[[Date]:[Date]], "&gt;="&amp;N$5,BetTable[[Date]:[Date]],"&lt;="&amp;EOMONTH(N$5,0))+SUMIFS(BetTable[[AR_per_bookie]:[AR_per_bookie]],BetTable[[B3]:[B3]],$K47,BetTable[[Date]:[Date]], "&gt;="&amp;N$5,BetTable[[Date]:[Date]],"&lt;="&amp;EOMONTH(N$5,0))</f>
        <v>0</v>
      </c>
      <c r="O47" s="186">
        <f>SUMIFS(DWbonus[[Sum]:[Sum]],DWbonus[[Dato]:[Dato]], "&gt;="&amp;O$5,DWbonus[[Dato]:[Dato]],"&lt;="&amp;EOMONTH(O$5,0),DWbonus[[Bookie]:[Bookie]],$K47)+SUMIFS(LayTable[[Faktisk res]:[Faktisk res]],LayTable[[Dato]:[Dato]],"&gt;="&amp;O$5,LayTable[[Dato]:[Dato]],"&lt;="&amp;EOMONTH(O$5,0),LayTable[[Bookmaker]:[Bookmaker]],$K47)+SUMIFS(BetTable[[AR_per_bookie]:[AR_per_bookie]],BetTable[[B1]:[B1]],$K47,BetTable[[Date]:[Date]], "&gt;="&amp;O$5,BetTable[[Date]:[Date]],"&lt;="&amp;EOMONTH(O$5,0))+SUMIFS(BetTable[[AR_per_bookie]:[AR_per_bookie]],BetTable[[B2]:[B2]],$K47,BetTable[[Date]:[Date]], "&gt;="&amp;O$5,BetTable[[Date]:[Date]],"&lt;="&amp;EOMONTH(O$5,0))+SUMIFS(BetTable[[AR_per_bookie]:[AR_per_bookie]],BetTable[[B3]:[B3]],$K47,BetTable[[Date]:[Date]], "&gt;="&amp;O$5,BetTable[[Date]:[Date]],"&lt;="&amp;EOMONTH(O$5,0))</f>
        <v>0</v>
      </c>
      <c r="P47" s="186">
        <f>SUMIFS(DWbonus[[Sum]:[Sum]],DWbonus[[Dato]:[Dato]], "&gt;="&amp;P$5,DWbonus[[Dato]:[Dato]],"&lt;="&amp;EOMONTH(P$5,0),DWbonus[[Bookie]:[Bookie]],$K47)+SUMIFS(LayTable[[Faktisk res]:[Faktisk res]],LayTable[[Dato]:[Dato]],"&gt;="&amp;P$5,LayTable[[Dato]:[Dato]],"&lt;="&amp;EOMONTH(P$5,0),LayTable[[Bookmaker]:[Bookmaker]],$K47)+SUMIFS(BetTable[[AR_per_bookie]:[AR_per_bookie]],BetTable[[B1]:[B1]],$K47,BetTable[[Date]:[Date]], "&gt;="&amp;P$5,BetTable[[Date]:[Date]],"&lt;="&amp;EOMONTH(P$5,0))+SUMIFS(BetTable[[AR_per_bookie]:[AR_per_bookie]],BetTable[[B2]:[B2]],$K47,BetTable[[Date]:[Date]], "&gt;="&amp;P$5,BetTable[[Date]:[Date]],"&lt;="&amp;EOMONTH(P$5,0))+SUMIFS(BetTable[[AR_per_bookie]:[AR_per_bookie]],BetTable[[B3]:[B3]],$K47,BetTable[[Date]:[Date]], "&gt;="&amp;P$5,BetTable[[Date]:[Date]],"&lt;="&amp;EOMONTH(P$5,0))</f>
        <v>0</v>
      </c>
      <c r="Q47" s="186">
        <f>SUMIFS(DWbonus[[Sum]:[Sum]],DWbonus[[Dato]:[Dato]], "&gt;="&amp;Q$5,DWbonus[[Dato]:[Dato]],"&lt;="&amp;EOMONTH(Q$5,0),DWbonus[[Bookie]:[Bookie]],$K47)+SUMIFS(LayTable[[Faktisk res]:[Faktisk res]],LayTable[[Dato]:[Dato]],"&gt;="&amp;Q$5,LayTable[[Dato]:[Dato]],"&lt;="&amp;EOMONTH(Q$5,0),LayTable[[Bookmaker]:[Bookmaker]],$K47)+SUMIFS(BetTable[[AR_per_bookie]:[AR_per_bookie]],BetTable[[B1]:[B1]],$K47,BetTable[[Date]:[Date]], "&gt;="&amp;Q$5,BetTable[[Date]:[Date]],"&lt;="&amp;EOMONTH(Q$5,0))+SUMIFS(BetTable[[AR_per_bookie]:[AR_per_bookie]],BetTable[[B2]:[B2]],$K47,BetTable[[Date]:[Date]], "&gt;="&amp;Q$5,BetTable[[Date]:[Date]],"&lt;="&amp;EOMONTH(Q$5,0))+SUMIFS(BetTable[[AR_per_bookie]:[AR_per_bookie]],BetTable[[B3]:[B3]],$K47,BetTable[[Date]:[Date]], "&gt;="&amp;Q$5,BetTable[[Date]:[Date]],"&lt;="&amp;EOMONTH(Q$5,0))</f>
        <v>0</v>
      </c>
      <c r="R47" s="186">
        <f>SUMIFS(DWbonus[[Sum]:[Sum]],DWbonus[[Dato]:[Dato]], "&gt;="&amp;R$5,DWbonus[[Dato]:[Dato]],"&lt;="&amp;EOMONTH(R$5,0),DWbonus[[Bookie]:[Bookie]],$K47)+SUMIFS(LayTable[[Faktisk res]:[Faktisk res]],LayTable[[Dato]:[Dato]],"&gt;="&amp;R$5,LayTable[[Dato]:[Dato]],"&lt;="&amp;EOMONTH(R$5,0),LayTable[[Bookmaker]:[Bookmaker]],$K47)+SUMIFS(BetTable[[AR_per_bookie]:[AR_per_bookie]],BetTable[[B1]:[B1]],$K47,BetTable[[Date]:[Date]], "&gt;="&amp;R$5,BetTable[[Date]:[Date]],"&lt;="&amp;EOMONTH(R$5,0))+SUMIFS(BetTable[[AR_per_bookie]:[AR_per_bookie]],BetTable[[B2]:[B2]],$K47,BetTable[[Date]:[Date]], "&gt;="&amp;R$5,BetTable[[Date]:[Date]],"&lt;="&amp;EOMONTH(R$5,0))+SUMIFS(BetTable[[AR_per_bookie]:[AR_per_bookie]],BetTable[[B3]:[B3]],$K47,BetTable[[Date]:[Date]], "&gt;="&amp;R$5,BetTable[[Date]:[Date]],"&lt;="&amp;EOMONTH(R$5,0))</f>
        <v>0</v>
      </c>
      <c r="S47" s="186">
        <f>SUMIFS(DWbonus[[Sum]:[Sum]],DWbonus[[Dato]:[Dato]], "&gt;="&amp;S$5,DWbonus[[Dato]:[Dato]],"&lt;="&amp;EOMONTH(S$5,0),DWbonus[[Bookie]:[Bookie]],$K47)+SUMIFS(LayTable[[Faktisk res]:[Faktisk res]],LayTable[[Dato]:[Dato]],"&gt;="&amp;S$5,LayTable[[Dato]:[Dato]],"&lt;="&amp;EOMONTH(S$5,0),LayTable[[Bookmaker]:[Bookmaker]],$K47)+SUMIFS(BetTable[[AR_per_bookie]:[AR_per_bookie]],BetTable[[B1]:[B1]],$K47,BetTable[[Date]:[Date]], "&gt;="&amp;S$5,BetTable[[Date]:[Date]],"&lt;="&amp;EOMONTH(S$5,0))+SUMIFS(BetTable[[AR_per_bookie]:[AR_per_bookie]],BetTable[[B2]:[B2]],$K47,BetTable[[Date]:[Date]], "&gt;="&amp;S$5,BetTable[[Date]:[Date]],"&lt;="&amp;EOMONTH(S$5,0))+SUMIFS(BetTable[[AR_per_bookie]:[AR_per_bookie]],BetTable[[B3]:[B3]],$K47,BetTable[[Date]:[Date]], "&gt;="&amp;S$5,BetTable[[Date]:[Date]],"&lt;="&amp;EOMONTH(S$5,0))</f>
        <v>0</v>
      </c>
      <c r="T47" s="186">
        <f>SUMIFS(DWbonus[[Sum]:[Sum]],DWbonus[[Dato]:[Dato]], "&gt;="&amp;T$5,DWbonus[[Dato]:[Dato]],"&lt;="&amp;EOMONTH(T$5,0),DWbonus[[Bookie]:[Bookie]],$K47)+SUMIFS(LayTable[[Faktisk res]:[Faktisk res]],LayTable[[Dato]:[Dato]],"&gt;="&amp;T$5,LayTable[[Dato]:[Dato]],"&lt;="&amp;EOMONTH(T$5,0),LayTable[[Bookmaker]:[Bookmaker]],$K47)+SUMIFS(BetTable[[AR_per_bookie]:[AR_per_bookie]],BetTable[[B1]:[B1]],$K47,BetTable[[Date]:[Date]], "&gt;="&amp;T$5,BetTable[[Date]:[Date]],"&lt;="&amp;EOMONTH(T$5,0))+SUMIFS(BetTable[[AR_per_bookie]:[AR_per_bookie]],BetTable[[B2]:[B2]],$K47,BetTable[[Date]:[Date]], "&gt;="&amp;T$5,BetTable[[Date]:[Date]],"&lt;="&amp;EOMONTH(T$5,0))+SUMIFS(BetTable[[AR_per_bookie]:[AR_per_bookie]],BetTable[[B3]:[B3]],$K47,BetTable[[Date]:[Date]], "&gt;="&amp;T$5,BetTable[[Date]:[Date]],"&lt;="&amp;EOMONTH(T$5,0))</f>
        <v>0</v>
      </c>
      <c r="U47" s="186">
        <f>SUMIFS(DWbonus[[Sum]:[Sum]],DWbonus[[Dato]:[Dato]], "&gt;="&amp;U$5,DWbonus[[Dato]:[Dato]],"&lt;="&amp;EOMONTH(U$5,0),DWbonus[[Bookie]:[Bookie]],$K47)+SUMIFS(LayTable[[Faktisk res]:[Faktisk res]],LayTable[[Dato]:[Dato]],"&gt;="&amp;U$5,LayTable[[Dato]:[Dato]],"&lt;="&amp;EOMONTH(U$5,0),LayTable[[Bookmaker]:[Bookmaker]],$K47)+SUMIFS(BetTable[[AR_per_bookie]:[AR_per_bookie]],BetTable[[B1]:[B1]],$K47,BetTable[[Date]:[Date]], "&gt;="&amp;U$5,BetTable[[Date]:[Date]],"&lt;="&amp;EOMONTH(U$5,0))+SUMIFS(BetTable[[AR_per_bookie]:[AR_per_bookie]],BetTable[[B2]:[B2]],$K47,BetTable[[Date]:[Date]], "&gt;="&amp;U$5,BetTable[[Date]:[Date]],"&lt;="&amp;EOMONTH(U$5,0))+SUMIFS(BetTable[[AR_per_bookie]:[AR_per_bookie]],BetTable[[B3]:[B3]],$K47,BetTable[[Date]:[Date]], "&gt;="&amp;U$5,BetTable[[Date]:[Date]],"&lt;="&amp;EOMONTH(U$5,0))</f>
        <v>0</v>
      </c>
      <c r="V47" s="186">
        <f>SUMIFS(DWbonus[[Sum]:[Sum]],DWbonus[[Dato]:[Dato]], "&gt;="&amp;V$5,DWbonus[[Dato]:[Dato]],"&lt;="&amp;EOMONTH(V$5,0),DWbonus[[Bookie]:[Bookie]],$K47)+SUMIFS(LayTable[[Faktisk res]:[Faktisk res]],LayTable[[Dato]:[Dato]],"&gt;="&amp;V$5,LayTable[[Dato]:[Dato]],"&lt;="&amp;EOMONTH(V$5,0),LayTable[[Bookmaker]:[Bookmaker]],$K47)+SUMIFS(BetTable[[AR_per_bookie]:[AR_per_bookie]],BetTable[[B1]:[B1]],$K47,BetTable[[Date]:[Date]], "&gt;="&amp;V$5,BetTable[[Date]:[Date]],"&lt;="&amp;EOMONTH(V$5,0))+SUMIFS(BetTable[[AR_per_bookie]:[AR_per_bookie]],BetTable[[B2]:[B2]],$K47,BetTable[[Date]:[Date]], "&gt;="&amp;V$5,BetTable[[Date]:[Date]],"&lt;="&amp;EOMONTH(V$5,0))+SUMIFS(BetTable[[AR_per_bookie]:[AR_per_bookie]],BetTable[[B3]:[B3]],$K47,BetTable[[Date]:[Date]], "&gt;="&amp;V$5,BetTable[[Date]:[Date]],"&lt;="&amp;EOMONTH(V$5,0))</f>
        <v>0</v>
      </c>
      <c r="W47" s="186">
        <f>SUMIFS(DWbonus[[Sum]:[Sum]],DWbonus[[Dato]:[Dato]], "&gt;="&amp;W$5,DWbonus[[Dato]:[Dato]],"&lt;="&amp;EOMONTH(W$5,0),DWbonus[[Bookie]:[Bookie]],$K47)+SUMIFS(LayTable[[Faktisk res]:[Faktisk res]],LayTable[[Dato]:[Dato]],"&gt;="&amp;W$5,LayTable[[Dato]:[Dato]],"&lt;="&amp;EOMONTH(W$5,0),LayTable[[Bookmaker]:[Bookmaker]],$K47)+SUMIFS(BetTable[[AR_per_bookie]:[AR_per_bookie]],BetTable[[B1]:[B1]],$K47,BetTable[[Date]:[Date]], "&gt;="&amp;W$5,BetTable[[Date]:[Date]],"&lt;="&amp;EOMONTH(W$5,0))+SUMIFS(BetTable[[AR_per_bookie]:[AR_per_bookie]],BetTable[[B2]:[B2]],$K47,BetTable[[Date]:[Date]], "&gt;="&amp;W$5,BetTable[[Date]:[Date]],"&lt;="&amp;EOMONTH(W$5,0))+SUMIFS(BetTable[[AR_per_bookie]:[AR_per_bookie]],BetTable[[B3]:[B3]],$K47,BetTable[[Date]:[Date]], "&gt;="&amp;W$5,BetTable[[Date]:[Date]],"&lt;="&amp;EOMONTH(W$5,0))</f>
        <v>0</v>
      </c>
    </row>
    <row r="48" spans="11:23">
      <c r="K48" s="174" t="str">
        <f t="array" ref="K48">IFERROR(INDEX(BookieNavn!H$2:H$1251,SMALL(IF(EXACT(LEFT(BookieNavn!H$2:H$1251,2),M$3),ROW(BookieNavn!H$2:H$1251)-ROW(BookieNavn!H$2)+1),ROWS(BookieNavn!H$2:'BookieNavn'!H43))),"")</f>
        <v/>
      </c>
      <c r="L48" s="186">
        <f>SUMIFS(DWbonus[[Sum]:[Sum]],DWbonus[[Dato]:[Dato]], "&gt;="&amp;L$5,DWbonus[[Dato]:[Dato]],"&lt;="&amp;EOMONTH(L$5,0),DWbonus[[Bookie]:[Bookie]],$K48)+SUMIFS(LayTable[[Faktisk res]:[Faktisk res]],LayTable[[Dato]:[Dato]],"&gt;="&amp;L$5,LayTable[[Dato]:[Dato]],"&lt;="&amp;EOMONTH(L$5,0),LayTable[[Bookmaker]:[Bookmaker]],$K48)+SUMIFS(BetTable[[AR_per_bookie]:[AR_per_bookie]],BetTable[[B1]:[B1]],$K48,BetTable[[Date]:[Date]], "&gt;="&amp;L$5,BetTable[[Date]:[Date]],"&lt;="&amp;EOMONTH(L$5,0))+SUMIFS(BetTable[[AR_per_bookie]:[AR_per_bookie]],BetTable[[B2]:[B2]],$K48,BetTable[[Date]:[Date]], "&gt;="&amp;L$5,BetTable[[Date]:[Date]],"&lt;="&amp;EOMONTH(L$5,0))+SUMIFS(BetTable[[AR_per_bookie]:[AR_per_bookie]],BetTable[[B3]:[B3]],$K48,BetTable[[Date]:[Date]], "&gt;="&amp;L$5,BetTable[[Date]:[Date]],"&lt;="&amp;EOMONTH(L$5,0))</f>
        <v>0</v>
      </c>
      <c r="M48" s="186">
        <f>SUMIFS(DWbonus[[Sum]:[Sum]],DWbonus[[Dato]:[Dato]], "&gt;="&amp;M$5,DWbonus[[Dato]:[Dato]],"&lt;="&amp;EOMONTH(M$5,0),DWbonus[[Bookie]:[Bookie]],$K48)+SUMIFS(LayTable[[Faktisk res]:[Faktisk res]],LayTable[[Dato]:[Dato]],"&gt;="&amp;M$5,LayTable[[Dato]:[Dato]],"&lt;="&amp;EOMONTH(M$5,0),LayTable[[Bookmaker]:[Bookmaker]],$K48)+SUMIFS(BetTable[[AR_per_bookie]:[AR_per_bookie]],BetTable[[B1]:[B1]],$K48,BetTable[[Date]:[Date]], "&gt;="&amp;M$5,BetTable[[Date]:[Date]],"&lt;="&amp;EOMONTH(M$5,0))+SUMIFS(BetTable[[AR_per_bookie]:[AR_per_bookie]],BetTable[[B2]:[B2]],$K48,BetTable[[Date]:[Date]], "&gt;="&amp;M$5,BetTable[[Date]:[Date]],"&lt;="&amp;EOMONTH(M$5,0))+SUMIFS(BetTable[[AR_per_bookie]:[AR_per_bookie]],BetTable[[B3]:[B3]],$K48,BetTable[[Date]:[Date]], "&gt;="&amp;M$5,BetTable[[Date]:[Date]],"&lt;="&amp;EOMONTH(M$5,0))</f>
        <v>0</v>
      </c>
      <c r="N48" s="186">
        <f>SUMIFS(DWbonus[[Sum]:[Sum]],DWbonus[[Dato]:[Dato]], "&gt;="&amp;N$5,DWbonus[[Dato]:[Dato]],"&lt;="&amp;EOMONTH(N$5,0),DWbonus[[Bookie]:[Bookie]],$K48)+SUMIFS(LayTable[[Faktisk res]:[Faktisk res]],LayTable[[Dato]:[Dato]],"&gt;="&amp;N$5,LayTable[[Dato]:[Dato]],"&lt;="&amp;EOMONTH(N$5,0),LayTable[[Bookmaker]:[Bookmaker]],$K48)+SUMIFS(BetTable[[AR_per_bookie]:[AR_per_bookie]],BetTable[[B1]:[B1]],$K48,BetTable[[Date]:[Date]], "&gt;="&amp;N$5,BetTable[[Date]:[Date]],"&lt;="&amp;EOMONTH(N$5,0))+SUMIFS(BetTable[[AR_per_bookie]:[AR_per_bookie]],BetTable[[B2]:[B2]],$K48,BetTable[[Date]:[Date]], "&gt;="&amp;N$5,BetTable[[Date]:[Date]],"&lt;="&amp;EOMONTH(N$5,0))+SUMIFS(BetTable[[AR_per_bookie]:[AR_per_bookie]],BetTable[[B3]:[B3]],$K48,BetTable[[Date]:[Date]], "&gt;="&amp;N$5,BetTable[[Date]:[Date]],"&lt;="&amp;EOMONTH(N$5,0))</f>
        <v>0</v>
      </c>
      <c r="O48" s="186">
        <f>SUMIFS(DWbonus[[Sum]:[Sum]],DWbonus[[Dato]:[Dato]], "&gt;="&amp;O$5,DWbonus[[Dato]:[Dato]],"&lt;="&amp;EOMONTH(O$5,0),DWbonus[[Bookie]:[Bookie]],$K48)+SUMIFS(LayTable[[Faktisk res]:[Faktisk res]],LayTable[[Dato]:[Dato]],"&gt;="&amp;O$5,LayTable[[Dato]:[Dato]],"&lt;="&amp;EOMONTH(O$5,0),LayTable[[Bookmaker]:[Bookmaker]],$K48)+SUMIFS(BetTable[[AR_per_bookie]:[AR_per_bookie]],BetTable[[B1]:[B1]],$K48,BetTable[[Date]:[Date]], "&gt;="&amp;O$5,BetTable[[Date]:[Date]],"&lt;="&amp;EOMONTH(O$5,0))+SUMIFS(BetTable[[AR_per_bookie]:[AR_per_bookie]],BetTable[[B2]:[B2]],$K48,BetTable[[Date]:[Date]], "&gt;="&amp;O$5,BetTable[[Date]:[Date]],"&lt;="&amp;EOMONTH(O$5,0))+SUMIFS(BetTable[[AR_per_bookie]:[AR_per_bookie]],BetTable[[B3]:[B3]],$K48,BetTable[[Date]:[Date]], "&gt;="&amp;O$5,BetTable[[Date]:[Date]],"&lt;="&amp;EOMONTH(O$5,0))</f>
        <v>0</v>
      </c>
      <c r="P48" s="186">
        <f>SUMIFS(DWbonus[[Sum]:[Sum]],DWbonus[[Dato]:[Dato]], "&gt;="&amp;P$5,DWbonus[[Dato]:[Dato]],"&lt;="&amp;EOMONTH(P$5,0),DWbonus[[Bookie]:[Bookie]],$K48)+SUMIFS(LayTable[[Faktisk res]:[Faktisk res]],LayTable[[Dato]:[Dato]],"&gt;="&amp;P$5,LayTable[[Dato]:[Dato]],"&lt;="&amp;EOMONTH(P$5,0),LayTable[[Bookmaker]:[Bookmaker]],$K48)+SUMIFS(BetTable[[AR_per_bookie]:[AR_per_bookie]],BetTable[[B1]:[B1]],$K48,BetTable[[Date]:[Date]], "&gt;="&amp;P$5,BetTable[[Date]:[Date]],"&lt;="&amp;EOMONTH(P$5,0))+SUMIFS(BetTable[[AR_per_bookie]:[AR_per_bookie]],BetTable[[B2]:[B2]],$K48,BetTable[[Date]:[Date]], "&gt;="&amp;P$5,BetTable[[Date]:[Date]],"&lt;="&amp;EOMONTH(P$5,0))+SUMIFS(BetTable[[AR_per_bookie]:[AR_per_bookie]],BetTable[[B3]:[B3]],$K48,BetTable[[Date]:[Date]], "&gt;="&amp;P$5,BetTable[[Date]:[Date]],"&lt;="&amp;EOMONTH(P$5,0))</f>
        <v>0</v>
      </c>
      <c r="Q48" s="186">
        <f>SUMIFS(DWbonus[[Sum]:[Sum]],DWbonus[[Dato]:[Dato]], "&gt;="&amp;Q$5,DWbonus[[Dato]:[Dato]],"&lt;="&amp;EOMONTH(Q$5,0),DWbonus[[Bookie]:[Bookie]],$K48)+SUMIFS(LayTable[[Faktisk res]:[Faktisk res]],LayTable[[Dato]:[Dato]],"&gt;="&amp;Q$5,LayTable[[Dato]:[Dato]],"&lt;="&amp;EOMONTH(Q$5,0),LayTable[[Bookmaker]:[Bookmaker]],$K48)+SUMIFS(BetTable[[AR_per_bookie]:[AR_per_bookie]],BetTable[[B1]:[B1]],$K48,BetTable[[Date]:[Date]], "&gt;="&amp;Q$5,BetTable[[Date]:[Date]],"&lt;="&amp;EOMONTH(Q$5,0))+SUMIFS(BetTable[[AR_per_bookie]:[AR_per_bookie]],BetTable[[B2]:[B2]],$K48,BetTable[[Date]:[Date]], "&gt;="&amp;Q$5,BetTable[[Date]:[Date]],"&lt;="&amp;EOMONTH(Q$5,0))+SUMIFS(BetTable[[AR_per_bookie]:[AR_per_bookie]],BetTable[[B3]:[B3]],$K48,BetTable[[Date]:[Date]], "&gt;="&amp;Q$5,BetTable[[Date]:[Date]],"&lt;="&amp;EOMONTH(Q$5,0))</f>
        <v>0</v>
      </c>
      <c r="R48" s="186">
        <f>SUMIFS(DWbonus[[Sum]:[Sum]],DWbonus[[Dato]:[Dato]], "&gt;="&amp;R$5,DWbonus[[Dato]:[Dato]],"&lt;="&amp;EOMONTH(R$5,0),DWbonus[[Bookie]:[Bookie]],$K48)+SUMIFS(LayTable[[Faktisk res]:[Faktisk res]],LayTable[[Dato]:[Dato]],"&gt;="&amp;R$5,LayTable[[Dato]:[Dato]],"&lt;="&amp;EOMONTH(R$5,0),LayTable[[Bookmaker]:[Bookmaker]],$K48)+SUMIFS(BetTable[[AR_per_bookie]:[AR_per_bookie]],BetTable[[B1]:[B1]],$K48,BetTable[[Date]:[Date]], "&gt;="&amp;R$5,BetTable[[Date]:[Date]],"&lt;="&amp;EOMONTH(R$5,0))+SUMIFS(BetTable[[AR_per_bookie]:[AR_per_bookie]],BetTable[[B2]:[B2]],$K48,BetTable[[Date]:[Date]], "&gt;="&amp;R$5,BetTable[[Date]:[Date]],"&lt;="&amp;EOMONTH(R$5,0))+SUMIFS(BetTable[[AR_per_bookie]:[AR_per_bookie]],BetTable[[B3]:[B3]],$K48,BetTable[[Date]:[Date]], "&gt;="&amp;R$5,BetTable[[Date]:[Date]],"&lt;="&amp;EOMONTH(R$5,0))</f>
        <v>0</v>
      </c>
      <c r="S48" s="186">
        <f>SUMIFS(DWbonus[[Sum]:[Sum]],DWbonus[[Dato]:[Dato]], "&gt;="&amp;S$5,DWbonus[[Dato]:[Dato]],"&lt;="&amp;EOMONTH(S$5,0),DWbonus[[Bookie]:[Bookie]],$K48)+SUMIFS(LayTable[[Faktisk res]:[Faktisk res]],LayTable[[Dato]:[Dato]],"&gt;="&amp;S$5,LayTable[[Dato]:[Dato]],"&lt;="&amp;EOMONTH(S$5,0),LayTable[[Bookmaker]:[Bookmaker]],$K48)+SUMIFS(BetTable[[AR_per_bookie]:[AR_per_bookie]],BetTable[[B1]:[B1]],$K48,BetTable[[Date]:[Date]], "&gt;="&amp;S$5,BetTable[[Date]:[Date]],"&lt;="&amp;EOMONTH(S$5,0))+SUMIFS(BetTable[[AR_per_bookie]:[AR_per_bookie]],BetTable[[B2]:[B2]],$K48,BetTable[[Date]:[Date]], "&gt;="&amp;S$5,BetTable[[Date]:[Date]],"&lt;="&amp;EOMONTH(S$5,0))+SUMIFS(BetTable[[AR_per_bookie]:[AR_per_bookie]],BetTable[[B3]:[B3]],$K48,BetTable[[Date]:[Date]], "&gt;="&amp;S$5,BetTable[[Date]:[Date]],"&lt;="&amp;EOMONTH(S$5,0))</f>
        <v>0</v>
      </c>
      <c r="T48" s="186">
        <f>SUMIFS(DWbonus[[Sum]:[Sum]],DWbonus[[Dato]:[Dato]], "&gt;="&amp;T$5,DWbonus[[Dato]:[Dato]],"&lt;="&amp;EOMONTH(T$5,0),DWbonus[[Bookie]:[Bookie]],$K48)+SUMIFS(LayTable[[Faktisk res]:[Faktisk res]],LayTable[[Dato]:[Dato]],"&gt;="&amp;T$5,LayTable[[Dato]:[Dato]],"&lt;="&amp;EOMONTH(T$5,0),LayTable[[Bookmaker]:[Bookmaker]],$K48)+SUMIFS(BetTable[[AR_per_bookie]:[AR_per_bookie]],BetTable[[B1]:[B1]],$K48,BetTable[[Date]:[Date]], "&gt;="&amp;T$5,BetTable[[Date]:[Date]],"&lt;="&amp;EOMONTH(T$5,0))+SUMIFS(BetTable[[AR_per_bookie]:[AR_per_bookie]],BetTable[[B2]:[B2]],$K48,BetTable[[Date]:[Date]], "&gt;="&amp;T$5,BetTable[[Date]:[Date]],"&lt;="&amp;EOMONTH(T$5,0))+SUMIFS(BetTable[[AR_per_bookie]:[AR_per_bookie]],BetTable[[B3]:[B3]],$K48,BetTable[[Date]:[Date]], "&gt;="&amp;T$5,BetTable[[Date]:[Date]],"&lt;="&amp;EOMONTH(T$5,0))</f>
        <v>0</v>
      </c>
      <c r="U48" s="186">
        <f>SUMIFS(DWbonus[[Sum]:[Sum]],DWbonus[[Dato]:[Dato]], "&gt;="&amp;U$5,DWbonus[[Dato]:[Dato]],"&lt;="&amp;EOMONTH(U$5,0),DWbonus[[Bookie]:[Bookie]],$K48)+SUMIFS(LayTable[[Faktisk res]:[Faktisk res]],LayTable[[Dato]:[Dato]],"&gt;="&amp;U$5,LayTable[[Dato]:[Dato]],"&lt;="&amp;EOMONTH(U$5,0),LayTable[[Bookmaker]:[Bookmaker]],$K48)+SUMIFS(BetTable[[AR_per_bookie]:[AR_per_bookie]],BetTable[[B1]:[B1]],$K48,BetTable[[Date]:[Date]], "&gt;="&amp;U$5,BetTable[[Date]:[Date]],"&lt;="&amp;EOMONTH(U$5,0))+SUMIFS(BetTable[[AR_per_bookie]:[AR_per_bookie]],BetTable[[B2]:[B2]],$K48,BetTable[[Date]:[Date]], "&gt;="&amp;U$5,BetTable[[Date]:[Date]],"&lt;="&amp;EOMONTH(U$5,0))+SUMIFS(BetTable[[AR_per_bookie]:[AR_per_bookie]],BetTable[[B3]:[B3]],$K48,BetTable[[Date]:[Date]], "&gt;="&amp;U$5,BetTable[[Date]:[Date]],"&lt;="&amp;EOMONTH(U$5,0))</f>
        <v>0</v>
      </c>
      <c r="V48" s="186">
        <f>SUMIFS(DWbonus[[Sum]:[Sum]],DWbonus[[Dato]:[Dato]], "&gt;="&amp;V$5,DWbonus[[Dato]:[Dato]],"&lt;="&amp;EOMONTH(V$5,0),DWbonus[[Bookie]:[Bookie]],$K48)+SUMIFS(LayTable[[Faktisk res]:[Faktisk res]],LayTable[[Dato]:[Dato]],"&gt;="&amp;V$5,LayTable[[Dato]:[Dato]],"&lt;="&amp;EOMONTH(V$5,0),LayTable[[Bookmaker]:[Bookmaker]],$K48)+SUMIFS(BetTable[[AR_per_bookie]:[AR_per_bookie]],BetTable[[B1]:[B1]],$K48,BetTable[[Date]:[Date]], "&gt;="&amp;V$5,BetTable[[Date]:[Date]],"&lt;="&amp;EOMONTH(V$5,0))+SUMIFS(BetTable[[AR_per_bookie]:[AR_per_bookie]],BetTable[[B2]:[B2]],$K48,BetTable[[Date]:[Date]], "&gt;="&amp;V$5,BetTable[[Date]:[Date]],"&lt;="&amp;EOMONTH(V$5,0))+SUMIFS(BetTable[[AR_per_bookie]:[AR_per_bookie]],BetTable[[B3]:[B3]],$K48,BetTable[[Date]:[Date]], "&gt;="&amp;V$5,BetTable[[Date]:[Date]],"&lt;="&amp;EOMONTH(V$5,0))</f>
        <v>0</v>
      </c>
      <c r="W48" s="186">
        <f>SUMIFS(DWbonus[[Sum]:[Sum]],DWbonus[[Dato]:[Dato]], "&gt;="&amp;W$5,DWbonus[[Dato]:[Dato]],"&lt;="&amp;EOMONTH(W$5,0),DWbonus[[Bookie]:[Bookie]],$K48)+SUMIFS(LayTable[[Faktisk res]:[Faktisk res]],LayTable[[Dato]:[Dato]],"&gt;="&amp;W$5,LayTable[[Dato]:[Dato]],"&lt;="&amp;EOMONTH(W$5,0),LayTable[[Bookmaker]:[Bookmaker]],$K48)+SUMIFS(BetTable[[AR_per_bookie]:[AR_per_bookie]],BetTable[[B1]:[B1]],$K48,BetTable[[Date]:[Date]], "&gt;="&amp;W$5,BetTable[[Date]:[Date]],"&lt;="&amp;EOMONTH(W$5,0))+SUMIFS(BetTable[[AR_per_bookie]:[AR_per_bookie]],BetTable[[B2]:[B2]],$K48,BetTable[[Date]:[Date]], "&gt;="&amp;W$5,BetTable[[Date]:[Date]],"&lt;="&amp;EOMONTH(W$5,0))+SUMIFS(BetTable[[AR_per_bookie]:[AR_per_bookie]],BetTable[[B3]:[B3]],$K48,BetTable[[Date]:[Date]], "&gt;="&amp;W$5,BetTable[[Date]:[Date]],"&lt;="&amp;EOMONTH(W$5,0))</f>
        <v>0</v>
      </c>
    </row>
    <row r="49" spans="1:23">
      <c r="K49" s="174" t="str">
        <f t="array" ref="K49">IFERROR(INDEX(BookieNavn!H$2:H$1251,SMALL(IF(EXACT(LEFT(BookieNavn!H$2:H$1251,2),M$3),ROW(BookieNavn!H$2:H$1251)-ROW(BookieNavn!H$2)+1),ROWS(BookieNavn!H$2:'BookieNavn'!H44))),"")</f>
        <v/>
      </c>
      <c r="L49" s="186">
        <f>SUMIFS(DWbonus[[Sum]:[Sum]],DWbonus[[Dato]:[Dato]], "&gt;="&amp;L$5,DWbonus[[Dato]:[Dato]],"&lt;="&amp;EOMONTH(L$5,0),DWbonus[[Bookie]:[Bookie]],$K49)+SUMIFS(LayTable[[Faktisk res]:[Faktisk res]],LayTable[[Dato]:[Dato]],"&gt;="&amp;L$5,LayTable[[Dato]:[Dato]],"&lt;="&amp;EOMONTH(L$5,0),LayTable[[Bookmaker]:[Bookmaker]],$K49)+SUMIFS(BetTable[[AR_per_bookie]:[AR_per_bookie]],BetTable[[B1]:[B1]],$K49,BetTable[[Date]:[Date]], "&gt;="&amp;L$5,BetTable[[Date]:[Date]],"&lt;="&amp;EOMONTH(L$5,0))+SUMIFS(BetTable[[AR_per_bookie]:[AR_per_bookie]],BetTable[[B2]:[B2]],$K49,BetTable[[Date]:[Date]], "&gt;="&amp;L$5,BetTable[[Date]:[Date]],"&lt;="&amp;EOMONTH(L$5,0))+SUMIFS(BetTable[[AR_per_bookie]:[AR_per_bookie]],BetTable[[B3]:[B3]],$K49,BetTable[[Date]:[Date]], "&gt;="&amp;L$5,BetTable[[Date]:[Date]],"&lt;="&amp;EOMONTH(L$5,0))</f>
        <v>0</v>
      </c>
      <c r="M49" s="186">
        <f>SUMIFS(DWbonus[[Sum]:[Sum]],DWbonus[[Dato]:[Dato]], "&gt;="&amp;M$5,DWbonus[[Dato]:[Dato]],"&lt;="&amp;EOMONTH(M$5,0),DWbonus[[Bookie]:[Bookie]],$K49)+SUMIFS(LayTable[[Faktisk res]:[Faktisk res]],LayTable[[Dato]:[Dato]],"&gt;="&amp;M$5,LayTable[[Dato]:[Dato]],"&lt;="&amp;EOMONTH(M$5,0),LayTable[[Bookmaker]:[Bookmaker]],$K49)+SUMIFS(BetTable[[AR_per_bookie]:[AR_per_bookie]],BetTable[[B1]:[B1]],$K49,BetTable[[Date]:[Date]], "&gt;="&amp;M$5,BetTable[[Date]:[Date]],"&lt;="&amp;EOMONTH(M$5,0))+SUMIFS(BetTable[[AR_per_bookie]:[AR_per_bookie]],BetTable[[B2]:[B2]],$K49,BetTable[[Date]:[Date]], "&gt;="&amp;M$5,BetTable[[Date]:[Date]],"&lt;="&amp;EOMONTH(M$5,0))+SUMIFS(BetTable[[AR_per_bookie]:[AR_per_bookie]],BetTable[[B3]:[B3]],$K49,BetTable[[Date]:[Date]], "&gt;="&amp;M$5,BetTable[[Date]:[Date]],"&lt;="&amp;EOMONTH(M$5,0))</f>
        <v>0</v>
      </c>
      <c r="N49" s="186">
        <f>SUMIFS(DWbonus[[Sum]:[Sum]],DWbonus[[Dato]:[Dato]], "&gt;="&amp;N$5,DWbonus[[Dato]:[Dato]],"&lt;="&amp;EOMONTH(N$5,0),DWbonus[[Bookie]:[Bookie]],$K49)+SUMIFS(LayTable[[Faktisk res]:[Faktisk res]],LayTable[[Dato]:[Dato]],"&gt;="&amp;N$5,LayTable[[Dato]:[Dato]],"&lt;="&amp;EOMONTH(N$5,0),LayTable[[Bookmaker]:[Bookmaker]],$K49)+SUMIFS(BetTable[[AR_per_bookie]:[AR_per_bookie]],BetTable[[B1]:[B1]],$K49,BetTable[[Date]:[Date]], "&gt;="&amp;N$5,BetTable[[Date]:[Date]],"&lt;="&amp;EOMONTH(N$5,0))+SUMIFS(BetTable[[AR_per_bookie]:[AR_per_bookie]],BetTable[[B2]:[B2]],$K49,BetTable[[Date]:[Date]], "&gt;="&amp;N$5,BetTable[[Date]:[Date]],"&lt;="&amp;EOMONTH(N$5,0))+SUMIFS(BetTable[[AR_per_bookie]:[AR_per_bookie]],BetTable[[B3]:[B3]],$K49,BetTable[[Date]:[Date]], "&gt;="&amp;N$5,BetTable[[Date]:[Date]],"&lt;="&amp;EOMONTH(N$5,0))</f>
        <v>0</v>
      </c>
      <c r="O49" s="186">
        <f>SUMIFS(DWbonus[[Sum]:[Sum]],DWbonus[[Dato]:[Dato]], "&gt;="&amp;O$5,DWbonus[[Dato]:[Dato]],"&lt;="&amp;EOMONTH(O$5,0),DWbonus[[Bookie]:[Bookie]],$K49)+SUMIFS(LayTable[[Faktisk res]:[Faktisk res]],LayTable[[Dato]:[Dato]],"&gt;="&amp;O$5,LayTable[[Dato]:[Dato]],"&lt;="&amp;EOMONTH(O$5,0),LayTable[[Bookmaker]:[Bookmaker]],$K49)+SUMIFS(BetTable[[AR_per_bookie]:[AR_per_bookie]],BetTable[[B1]:[B1]],$K49,BetTable[[Date]:[Date]], "&gt;="&amp;O$5,BetTable[[Date]:[Date]],"&lt;="&amp;EOMONTH(O$5,0))+SUMIFS(BetTable[[AR_per_bookie]:[AR_per_bookie]],BetTable[[B2]:[B2]],$K49,BetTable[[Date]:[Date]], "&gt;="&amp;O$5,BetTable[[Date]:[Date]],"&lt;="&amp;EOMONTH(O$5,0))+SUMIFS(BetTable[[AR_per_bookie]:[AR_per_bookie]],BetTable[[B3]:[B3]],$K49,BetTable[[Date]:[Date]], "&gt;="&amp;O$5,BetTable[[Date]:[Date]],"&lt;="&amp;EOMONTH(O$5,0))</f>
        <v>0</v>
      </c>
      <c r="P49" s="186">
        <f>SUMIFS(DWbonus[[Sum]:[Sum]],DWbonus[[Dato]:[Dato]], "&gt;="&amp;P$5,DWbonus[[Dato]:[Dato]],"&lt;="&amp;EOMONTH(P$5,0),DWbonus[[Bookie]:[Bookie]],$K49)+SUMIFS(LayTable[[Faktisk res]:[Faktisk res]],LayTable[[Dato]:[Dato]],"&gt;="&amp;P$5,LayTable[[Dato]:[Dato]],"&lt;="&amp;EOMONTH(P$5,0),LayTable[[Bookmaker]:[Bookmaker]],$K49)+SUMIFS(BetTable[[AR_per_bookie]:[AR_per_bookie]],BetTable[[B1]:[B1]],$K49,BetTable[[Date]:[Date]], "&gt;="&amp;P$5,BetTable[[Date]:[Date]],"&lt;="&amp;EOMONTH(P$5,0))+SUMIFS(BetTable[[AR_per_bookie]:[AR_per_bookie]],BetTable[[B2]:[B2]],$K49,BetTable[[Date]:[Date]], "&gt;="&amp;P$5,BetTable[[Date]:[Date]],"&lt;="&amp;EOMONTH(P$5,0))+SUMIFS(BetTable[[AR_per_bookie]:[AR_per_bookie]],BetTable[[B3]:[B3]],$K49,BetTable[[Date]:[Date]], "&gt;="&amp;P$5,BetTable[[Date]:[Date]],"&lt;="&amp;EOMONTH(P$5,0))</f>
        <v>0</v>
      </c>
      <c r="Q49" s="186">
        <f>SUMIFS(DWbonus[[Sum]:[Sum]],DWbonus[[Dato]:[Dato]], "&gt;="&amp;Q$5,DWbonus[[Dato]:[Dato]],"&lt;="&amp;EOMONTH(Q$5,0),DWbonus[[Bookie]:[Bookie]],$K49)+SUMIFS(LayTable[[Faktisk res]:[Faktisk res]],LayTable[[Dato]:[Dato]],"&gt;="&amp;Q$5,LayTable[[Dato]:[Dato]],"&lt;="&amp;EOMONTH(Q$5,0),LayTable[[Bookmaker]:[Bookmaker]],$K49)+SUMIFS(BetTable[[AR_per_bookie]:[AR_per_bookie]],BetTable[[B1]:[B1]],$K49,BetTable[[Date]:[Date]], "&gt;="&amp;Q$5,BetTable[[Date]:[Date]],"&lt;="&amp;EOMONTH(Q$5,0))+SUMIFS(BetTable[[AR_per_bookie]:[AR_per_bookie]],BetTable[[B2]:[B2]],$K49,BetTable[[Date]:[Date]], "&gt;="&amp;Q$5,BetTable[[Date]:[Date]],"&lt;="&amp;EOMONTH(Q$5,0))+SUMIFS(BetTable[[AR_per_bookie]:[AR_per_bookie]],BetTable[[B3]:[B3]],$K49,BetTable[[Date]:[Date]], "&gt;="&amp;Q$5,BetTable[[Date]:[Date]],"&lt;="&amp;EOMONTH(Q$5,0))</f>
        <v>0</v>
      </c>
      <c r="R49" s="186">
        <f>SUMIFS(DWbonus[[Sum]:[Sum]],DWbonus[[Dato]:[Dato]], "&gt;="&amp;R$5,DWbonus[[Dato]:[Dato]],"&lt;="&amp;EOMONTH(R$5,0),DWbonus[[Bookie]:[Bookie]],$K49)+SUMIFS(LayTable[[Faktisk res]:[Faktisk res]],LayTable[[Dato]:[Dato]],"&gt;="&amp;R$5,LayTable[[Dato]:[Dato]],"&lt;="&amp;EOMONTH(R$5,0),LayTable[[Bookmaker]:[Bookmaker]],$K49)+SUMIFS(BetTable[[AR_per_bookie]:[AR_per_bookie]],BetTable[[B1]:[B1]],$K49,BetTable[[Date]:[Date]], "&gt;="&amp;R$5,BetTable[[Date]:[Date]],"&lt;="&amp;EOMONTH(R$5,0))+SUMIFS(BetTable[[AR_per_bookie]:[AR_per_bookie]],BetTable[[B2]:[B2]],$K49,BetTable[[Date]:[Date]], "&gt;="&amp;R$5,BetTable[[Date]:[Date]],"&lt;="&amp;EOMONTH(R$5,0))+SUMIFS(BetTable[[AR_per_bookie]:[AR_per_bookie]],BetTable[[B3]:[B3]],$K49,BetTable[[Date]:[Date]], "&gt;="&amp;R$5,BetTable[[Date]:[Date]],"&lt;="&amp;EOMONTH(R$5,0))</f>
        <v>0</v>
      </c>
      <c r="S49" s="186">
        <f>SUMIFS(DWbonus[[Sum]:[Sum]],DWbonus[[Dato]:[Dato]], "&gt;="&amp;S$5,DWbonus[[Dato]:[Dato]],"&lt;="&amp;EOMONTH(S$5,0),DWbonus[[Bookie]:[Bookie]],$K49)+SUMIFS(LayTable[[Faktisk res]:[Faktisk res]],LayTable[[Dato]:[Dato]],"&gt;="&amp;S$5,LayTable[[Dato]:[Dato]],"&lt;="&amp;EOMONTH(S$5,0),LayTable[[Bookmaker]:[Bookmaker]],$K49)+SUMIFS(BetTable[[AR_per_bookie]:[AR_per_bookie]],BetTable[[B1]:[B1]],$K49,BetTable[[Date]:[Date]], "&gt;="&amp;S$5,BetTable[[Date]:[Date]],"&lt;="&amp;EOMONTH(S$5,0))+SUMIFS(BetTable[[AR_per_bookie]:[AR_per_bookie]],BetTable[[B2]:[B2]],$K49,BetTable[[Date]:[Date]], "&gt;="&amp;S$5,BetTable[[Date]:[Date]],"&lt;="&amp;EOMONTH(S$5,0))+SUMIFS(BetTable[[AR_per_bookie]:[AR_per_bookie]],BetTable[[B3]:[B3]],$K49,BetTable[[Date]:[Date]], "&gt;="&amp;S$5,BetTable[[Date]:[Date]],"&lt;="&amp;EOMONTH(S$5,0))</f>
        <v>0</v>
      </c>
      <c r="T49" s="186">
        <f>SUMIFS(DWbonus[[Sum]:[Sum]],DWbonus[[Dato]:[Dato]], "&gt;="&amp;T$5,DWbonus[[Dato]:[Dato]],"&lt;="&amp;EOMONTH(T$5,0),DWbonus[[Bookie]:[Bookie]],$K49)+SUMIFS(LayTable[[Faktisk res]:[Faktisk res]],LayTable[[Dato]:[Dato]],"&gt;="&amp;T$5,LayTable[[Dato]:[Dato]],"&lt;="&amp;EOMONTH(T$5,0),LayTable[[Bookmaker]:[Bookmaker]],$K49)+SUMIFS(BetTable[[AR_per_bookie]:[AR_per_bookie]],BetTable[[B1]:[B1]],$K49,BetTable[[Date]:[Date]], "&gt;="&amp;T$5,BetTable[[Date]:[Date]],"&lt;="&amp;EOMONTH(T$5,0))+SUMIFS(BetTable[[AR_per_bookie]:[AR_per_bookie]],BetTable[[B2]:[B2]],$K49,BetTable[[Date]:[Date]], "&gt;="&amp;T$5,BetTable[[Date]:[Date]],"&lt;="&amp;EOMONTH(T$5,0))+SUMIFS(BetTable[[AR_per_bookie]:[AR_per_bookie]],BetTable[[B3]:[B3]],$K49,BetTable[[Date]:[Date]], "&gt;="&amp;T$5,BetTable[[Date]:[Date]],"&lt;="&amp;EOMONTH(T$5,0))</f>
        <v>0</v>
      </c>
      <c r="U49" s="186">
        <f>SUMIFS(DWbonus[[Sum]:[Sum]],DWbonus[[Dato]:[Dato]], "&gt;="&amp;U$5,DWbonus[[Dato]:[Dato]],"&lt;="&amp;EOMONTH(U$5,0),DWbonus[[Bookie]:[Bookie]],$K49)+SUMIFS(LayTable[[Faktisk res]:[Faktisk res]],LayTable[[Dato]:[Dato]],"&gt;="&amp;U$5,LayTable[[Dato]:[Dato]],"&lt;="&amp;EOMONTH(U$5,0),LayTable[[Bookmaker]:[Bookmaker]],$K49)+SUMIFS(BetTable[[AR_per_bookie]:[AR_per_bookie]],BetTable[[B1]:[B1]],$K49,BetTable[[Date]:[Date]], "&gt;="&amp;U$5,BetTable[[Date]:[Date]],"&lt;="&amp;EOMONTH(U$5,0))+SUMIFS(BetTable[[AR_per_bookie]:[AR_per_bookie]],BetTable[[B2]:[B2]],$K49,BetTable[[Date]:[Date]], "&gt;="&amp;U$5,BetTable[[Date]:[Date]],"&lt;="&amp;EOMONTH(U$5,0))+SUMIFS(BetTable[[AR_per_bookie]:[AR_per_bookie]],BetTable[[B3]:[B3]],$K49,BetTable[[Date]:[Date]], "&gt;="&amp;U$5,BetTable[[Date]:[Date]],"&lt;="&amp;EOMONTH(U$5,0))</f>
        <v>0</v>
      </c>
      <c r="V49" s="186">
        <f>SUMIFS(DWbonus[[Sum]:[Sum]],DWbonus[[Dato]:[Dato]], "&gt;="&amp;V$5,DWbonus[[Dato]:[Dato]],"&lt;="&amp;EOMONTH(V$5,0),DWbonus[[Bookie]:[Bookie]],$K49)+SUMIFS(LayTable[[Faktisk res]:[Faktisk res]],LayTable[[Dato]:[Dato]],"&gt;="&amp;V$5,LayTable[[Dato]:[Dato]],"&lt;="&amp;EOMONTH(V$5,0),LayTable[[Bookmaker]:[Bookmaker]],$K49)+SUMIFS(BetTable[[AR_per_bookie]:[AR_per_bookie]],BetTable[[B1]:[B1]],$K49,BetTable[[Date]:[Date]], "&gt;="&amp;V$5,BetTable[[Date]:[Date]],"&lt;="&amp;EOMONTH(V$5,0))+SUMIFS(BetTable[[AR_per_bookie]:[AR_per_bookie]],BetTable[[B2]:[B2]],$K49,BetTable[[Date]:[Date]], "&gt;="&amp;V$5,BetTable[[Date]:[Date]],"&lt;="&amp;EOMONTH(V$5,0))+SUMIFS(BetTable[[AR_per_bookie]:[AR_per_bookie]],BetTable[[B3]:[B3]],$K49,BetTable[[Date]:[Date]], "&gt;="&amp;V$5,BetTable[[Date]:[Date]],"&lt;="&amp;EOMONTH(V$5,0))</f>
        <v>0</v>
      </c>
      <c r="W49" s="186">
        <f>SUMIFS(DWbonus[[Sum]:[Sum]],DWbonus[[Dato]:[Dato]], "&gt;="&amp;W$5,DWbonus[[Dato]:[Dato]],"&lt;="&amp;EOMONTH(W$5,0),DWbonus[[Bookie]:[Bookie]],$K49)+SUMIFS(LayTable[[Faktisk res]:[Faktisk res]],LayTable[[Dato]:[Dato]],"&gt;="&amp;W$5,LayTable[[Dato]:[Dato]],"&lt;="&amp;EOMONTH(W$5,0),LayTable[[Bookmaker]:[Bookmaker]],$K49)+SUMIFS(BetTable[[AR_per_bookie]:[AR_per_bookie]],BetTable[[B1]:[B1]],$K49,BetTable[[Date]:[Date]], "&gt;="&amp;W$5,BetTable[[Date]:[Date]],"&lt;="&amp;EOMONTH(W$5,0))+SUMIFS(BetTable[[AR_per_bookie]:[AR_per_bookie]],BetTable[[B2]:[B2]],$K49,BetTable[[Date]:[Date]], "&gt;="&amp;W$5,BetTable[[Date]:[Date]],"&lt;="&amp;EOMONTH(W$5,0))+SUMIFS(BetTable[[AR_per_bookie]:[AR_per_bookie]],BetTable[[B3]:[B3]],$K49,BetTable[[Date]:[Date]], "&gt;="&amp;W$5,BetTable[[Date]:[Date]],"&lt;="&amp;EOMONTH(W$5,0))</f>
        <v>0</v>
      </c>
    </row>
    <row r="50" spans="1:23">
      <c r="K50" s="174" t="str">
        <f t="array" ref="K50">IFERROR(INDEX(BookieNavn!H$2:H$1251,SMALL(IF(EXACT(LEFT(BookieNavn!H$2:H$1251,2),M$3),ROW(BookieNavn!H$2:H$1251)-ROW(BookieNavn!H$2)+1),ROWS(BookieNavn!H$2:'BookieNavn'!H45))),"")</f>
        <v/>
      </c>
      <c r="L50" s="186">
        <f>SUMIFS(DWbonus[[Sum]:[Sum]],DWbonus[[Dato]:[Dato]], "&gt;="&amp;L$5,DWbonus[[Dato]:[Dato]],"&lt;="&amp;EOMONTH(L$5,0),DWbonus[[Bookie]:[Bookie]],$K50)+SUMIFS(LayTable[[Faktisk res]:[Faktisk res]],LayTable[[Dato]:[Dato]],"&gt;="&amp;L$5,LayTable[[Dato]:[Dato]],"&lt;="&amp;EOMONTH(L$5,0),LayTable[[Bookmaker]:[Bookmaker]],$K50)+SUMIFS(BetTable[[AR_per_bookie]:[AR_per_bookie]],BetTable[[B1]:[B1]],$K50,BetTable[[Date]:[Date]], "&gt;="&amp;L$5,BetTable[[Date]:[Date]],"&lt;="&amp;EOMONTH(L$5,0))+SUMIFS(BetTable[[AR_per_bookie]:[AR_per_bookie]],BetTable[[B2]:[B2]],$K50,BetTable[[Date]:[Date]], "&gt;="&amp;L$5,BetTable[[Date]:[Date]],"&lt;="&amp;EOMONTH(L$5,0))+SUMIFS(BetTable[[AR_per_bookie]:[AR_per_bookie]],BetTable[[B3]:[B3]],$K50,BetTable[[Date]:[Date]], "&gt;="&amp;L$5,BetTable[[Date]:[Date]],"&lt;="&amp;EOMONTH(L$5,0))</f>
        <v>0</v>
      </c>
      <c r="M50" s="186">
        <f>SUMIFS(DWbonus[[Sum]:[Sum]],DWbonus[[Dato]:[Dato]], "&gt;="&amp;M$5,DWbonus[[Dato]:[Dato]],"&lt;="&amp;EOMONTH(M$5,0),DWbonus[[Bookie]:[Bookie]],$K50)+SUMIFS(LayTable[[Faktisk res]:[Faktisk res]],LayTable[[Dato]:[Dato]],"&gt;="&amp;M$5,LayTable[[Dato]:[Dato]],"&lt;="&amp;EOMONTH(M$5,0),LayTable[[Bookmaker]:[Bookmaker]],$K50)+SUMIFS(BetTable[[AR_per_bookie]:[AR_per_bookie]],BetTable[[B1]:[B1]],$K50,BetTable[[Date]:[Date]], "&gt;="&amp;M$5,BetTable[[Date]:[Date]],"&lt;="&amp;EOMONTH(M$5,0))+SUMIFS(BetTable[[AR_per_bookie]:[AR_per_bookie]],BetTable[[B2]:[B2]],$K50,BetTable[[Date]:[Date]], "&gt;="&amp;M$5,BetTable[[Date]:[Date]],"&lt;="&amp;EOMONTH(M$5,0))+SUMIFS(BetTable[[AR_per_bookie]:[AR_per_bookie]],BetTable[[B3]:[B3]],$K50,BetTable[[Date]:[Date]], "&gt;="&amp;M$5,BetTable[[Date]:[Date]],"&lt;="&amp;EOMONTH(M$5,0))</f>
        <v>0</v>
      </c>
      <c r="N50" s="186">
        <f>SUMIFS(DWbonus[[Sum]:[Sum]],DWbonus[[Dato]:[Dato]], "&gt;="&amp;N$5,DWbonus[[Dato]:[Dato]],"&lt;="&amp;EOMONTH(N$5,0),DWbonus[[Bookie]:[Bookie]],$K50)+SUMIFS(LayTable[[Faktisk res]:[Faktisk res]],LayTable[[Dato]:[Dato]],"&gt;="&amp;N$5,LayTable[[Dato]:[Dato]],"&lt;="&amp;EOMONTH(N$5,0),LayTable[[Bookmaker]:[Bookmaker]],$K50)+SUMIFS(BetTable[[AR_per_bookie]:[AR_per_bookie]],BetTable[[B1]:[B1]],$K50,BetTable[[Date]:[Date]], "&gt;="&amp;N$5,BetTable[[Date]:[Date]],"&lt;="&amp;EOMONTH(N$5,0))+SUMIFS(BetTable[[AR_per_bookie]:[AR_per_bookie]],BetTable[[B2]:[B2]],$K50,BetTable[[Date]:[Date]], "&gt;="&amp;N$5,BetTable[[Date]:[Date]],"&lt;="&amp;EOMONTH(N$5,0))+SUMIFS(BetTable[[AR_per_bookie]:[AR_per_bookie]],BetTable[[B3]:[B3]],$K50,BetTable[[Date]:[Date]], "&gt;="&amp;N$5,BetTable[[Date]:[Date]],"&lt;="&amp;EOMONTH(N$5,0))</f>
        <v>0</v>
      </c>
      <c r="O50" s="186">
        <f>SUMIFS(DWbonus[[Sum]:[Sum]],DWbonus[[Dato]:[Dato]], "&gt;="&amp;O$5,DWbonus[[Dato]:[Dato]],"&lt;="&amp;EOMONTH(O$5,0),DWbonus[[Bookie]:[Bookie]],$K50)+SUMIFS(LayTable[[Faktisk res]:[Faktisk res]],LayTable[[Dato]:[Dato]],"&gt;="&amp;O$5,LayTable[[Dato]:[Dato]],"&lt;="&amp;EOMONTH(O$5,0),LayTable[[Bookmaker]:[Bookmaker]],$K50)+SUMIFS(BetTable[[AR_per_bookie]:[AR_per_bookie]],BetTable[[B1]:[B1]],$K50,BetTable[[Date]:[Date]], "&gt;="&amp;O$5,BetTable[[Date]:[Date]],"&lt;="&amp;EOMONTH(O$5,0))+SUMIFS(BetTable[[AR_per_bookie]:[AR_per_bookie]],BetTable[[B2]:[B2]],$K50,BetTable[[Date]:[Date]], "&gt;="&amp;O$5,BetTable[[Date]:[Date]],"&lt;="&amp;EOMONTH(O$5,0))+SUMIFS(BetTable[[AR_per_bookie]:[AR_per_bookie]],BetTable[[B3]:[B3]],$K50,BetTable[[Date]:[Date]], "&gt;="&amp;O$5,BetTable[[Date]:[Date]],"&lt;="&amp;EOMONTH(O$5,0))</f>
        <v>0</v>
      </c>
      <c r="P50" s="186">
        <f>SUMIFS(DWbonus[[Sum]:[Sum]],DWbonus[[Dato]:[Dato]], "&gt;="&amp;P$5,DWbonus[[Dato]:[Dato]],"&lt;="&amp;EOMONTH(P$5,0),DWbonus[[Bookie]:[Bookie]],$K50)+SUMIFS(LayTable[[Faktisk res]:[Faktisk res]],LayTable[[Dato]:[Dato]],"&gt;="&amp;P$5,LayTable[[Dato]:[Dato]],"&lt;="&amp;EOMONTH(P$5,0),LayTable[[Bookmaker]:[Bookmaker]],$K50)+SUMIFS(BetTable[[AR_per_bookie]:[AR_per_bookie]],BetTable[[B1]:[B1]],$K50,BetTable[[Date]:[Date]], "&gt;="&amp;P$5,BetTable[[Date]:[Date]],"&lt;="&amp;EOMONTH(P$5,0))+SUMIFS(BetTable[[AR_per_bookie]:[AR_per_bookie]],BetTable[[B2]:[B2]],$K50,BetTable[[Date]:[Date]], "&gt;="&amp;P$5,BetTable[[Date]:[Date]],"&lt;="&amp;EOMONTH(P$5,0))+SUMIFS(BetTable[[AR_per_bookie]:[AR_per_bookie]],BetTable[[B3]:[B3]],$K50,BetTable[[Date]:[Date]], "&gt;="&amp;P$5,BetTable[[Date]:[Date]],"&lt;="&amp;EOMONTH(P$5,0))</f>
        <v>0</v>
      </c>
      <c r="Q50" s="186">
        <f>SUMIFS(DWbonus[[Sum]:[Sum]],DWbonus[[Dato]:[Dato]], "&gt;="&amp;Q$5,DWbonus[[Dato]:[Dato]],"&lt;="&amp;EOMONTH(Q$5,0),DWbonus[[Bookie]:[Bookie]],$K50)+SUMIFS(LayTable[[Faktisk res]:[Faktisk res]],LayTable[[Dato]:[Dato]],"&gt;="&amp;Q$5,LayTable[[Dato]:[Dato]],"&lt;="&amp;EOMONTH(Q$5,0),LayTable[[Bookmaker]:[Bookmaker]],$K50)+SUMIFS(BetTable[[AR_per_bookie]:[AR_per_bookie]],BetTable[[B1]:[B1]],$K50,BetTable[[Date]:[Date]], "&gt;="&amp;Q$5,BetTable[[Date]:[Date]],"&lt;="&amp;EOMONTH(Q$5,0))+SUMIFS(BetTable[[AR_per_bookie]:[AR_per_bookie]],BetTable[[B2]:[B2]],$K50,BetTable[[Date]:[Date]], "&gt;="&amp;Q$5,BetTable[[Date]:[Date]],"&lt;="&amp;EOMONTH(Q$5,0))+SUMIFS(BetTable[[AR_per_bookie]:[AR_per_bookie]],BetTable[[B3]:[B3]],$K50,BetTable[[Date]:[Date]], "&gt;="&amp;Q$5,BetTable[[Date]:[Date]],"&lt;="&amp;EOMONTH(Q$5,0))</f>
        <v>0</v>
      </c>
      <c r="R50" s="186">
        <f>SUMIFS(DWbonus[[Sum]:[Sum]],DWbonus[[Dato]:[Dato]], "&gt;="&amp;R$5,DWbonus[[Dato]:[Dato]],"&lt;="&amp;EOMONTH(R$5,0),DWbonus[[Bookie]:[Bookie]],$K50)+SUMIFS(LayTable[[Faktisk res]:[Faktisk res]],LayTable[[Dato]:[Dato]],"&gt;="&amp;R$5,LayTable[[Dato]:[Dato]],"&lt;="&amp;EOMONTH(R$5,0),LayTable[[Bookmaker]:[Bookmaker]],$K50)+SUMIFS(BetTable[[AR_per_bookie]:[AR_per_bookie]],BetTable[[B1]:[B1]],$K50,BetTable[[Date]:[Date]], "&gt;="&amp;R$5,BetTable[[Date]:[Date]],"&lt;="&amp;EOMONTH(R$5,0))+SUMIFS(BetTable[[AR_per_bookie]:[AR_per_bookie]],BetTable[[B2]:[B2]],$K50,BetTable[[Date]:[Date]], "&gt;="&amp;R$5,BetTable[[Date]:[Date]],"&lt;="&amp;EOMONTH(R$5,0))+SUMIFS(BetTable[[AR_per_bookie]:[AR_per_bookie]],BetTable[[B3]:[B3]],$K50,BetTable[[Date]:[Date]], "&gt;="&amp;R$5,BetTable[[Date]:[Date]],"&lt;="&amp;EOMONTH(R$5,0))</f>
        <v>0</v>
      </c>
      <c r="S50" s="186">
        <f>SUMIFS(DWbonus[[Sum]:[Sum]],DWbonus[[Dato]:[Dato]], "&gt;="&amp;S$5,DWbonus[[Dato]:[Dato]],"&lt;="&amp;EOMONTH(S$5,0),DWbonus[[Bookie]:[Bookie]],$K50)+SUMIFS(LayTable[[Faktisk res]:[Faktisk res]],LayTable[[Dato]:[Dato]],"&gt;="&amp;S$5,LayTable[[Dato]:[Dato]],"&lt;="&amp;EOMONTH(S$5,0),LayTable[[Bookmaker]:[Bookmaker]],$K50)+SUMIFS(BetTable[[AR_per_bookie]:[AR_per_bookie]],BetTable[[B1]:[B1]],$K50,BetTable[[Date]:[Date]], "&gt;="&amp;S$5,BetTable[[Date]:[Date]],"&lt;="&amp;EOMONTH(S$5,0))+SUMIFS(BetTable[[AR_per_bookie]:[AR_per_bookie]],BetTable[[B2]:[B2]],$K50,BetTable[[Date]:[Date]], "&gt;="&amp;S$5,BetTable[[Date]:[Date]],"&lt;="&amp;EOMONTH(S$5,0))+SUMIFS(BetTable[[AR_per_bookie]:[AR_per_bookie]],BetTable[[B3]:[B3]],$K50,BetTable[[Date]:[Date]], "&gt;="&amp;S$5,BetTable[[Date]:[Date]],"&lt;="&amp;EOMONTH(S$5,0))</f>
        <v>0</v>
      </c>
      <c r="T50" s="186">
        <f>SUMIFS(DWbonus[[Sum]:[Sum]],DWbonus[[Dato]:[Dato]], "&gt;="&amp;T$5,DWbonus[[Dato]:[Dato]],"&lt;="&amp;EOMONTH(T$5,0),DWbonus[[Bookie]:[Bookie]],$K50)+SUMIFS(LayTable[[Faktisk res]:[Faktisk res]],LayTable[[Dato]:[Dato]],"&gt;="&amp;T$5,LayTable[[Dato]:[Dato]],"&lt;="&amp;EOMONTH(T$5,0),LayTable[[Bookmaker]:[Bookmaker]],$K50)+SUMIFS(BetTable[[AR_per_bookie]:[AR_per_bookie]],BetTable[[B1]:[B1]],$K50,BetTable[[Date]:[Date]], "&gt;="&amp;T$5,BetTable[[Date]:[Date]],"&lt;="&amp;EOMONTH(T$5,0))+SUMIFS(BetTable[[AR_per_bookie]:[AR_per_bookie]],BetTable[[B2]:[B2]],$K50,BetTable[[Date]:[Date]], "&gt;="&amp;T$5,BetTable[[Date]:[Date]],"&lt;="&amp;EOMONTH(T$5,0))+SUMIFS(BetTable[[AR_per_bookie]:[AR_per_bookie]],BetTable[[B3]:[B3]],$K50,BetTable[[Date]:[Date]], "&gt;="&amp;T$5,BetTable[[Date]:[Date]],"&lt;="&amp;EOMONTH(T$5,0))</f>
        <v>0</v>
      </c>
      <c r="U50" s="186">
        <f>SUMIFS(DWbonus[[Sum]:[Sum]],DWbonus[[Dato]:[Dato]], "&gt;="&amp;U$5,DWbonus[[Dato]:[Dato]],"&lt;="&amp;EOMONTH(U$5,0),DWbonus[[Bookie]:[Bookie]],$K50)+SUMIFS(LayTable[[Faktisk res]:[Faktisk res]],LayTable[[Dato]:[Dato]],"&gt;="&amp;U$5,LayTable[[Dato]:[Dato]],"&lt;="&amp;EOMONTH(U$5,0),LayTable[[Bookmaker]:[Bookmaker]],$K50)+SUMIFS(BetTable[[AR_per_bookie]:[AR_per_bookie]],BetTable[[B1]:[B1]],$K50,BetTable[[Date]:[Date]], "&gt;="&amp;U$5,BetTable[[Date]:[Date]],"&lt;="&amp;EOMONTH(U$5,0))+SUMIFS(BetTable[[AR_per_bookie]:[AR_per_bookie]],BetTable[[B2]:[B2]],$K50,BetTable[[Date]:[Date]], "&gt;="&amp;U$5,BetTable[[Date]:[Date]],"&lt;="&amp;EOMONTH(U$5,0))+SUMIFS(BetTable[[AR_per_bookie]:[AR_per_bookie]],BetTable[[B3]:[B3]],$K50,BetTable[[Date]:[Date]], "&gt;="&amp;U$5,BetTable[[Date]:[Date]],"&lt;="&amp;EOMONTH(U$5,0))</f>
        <v>0</v>
      </c>
      <c r="V50" s="186">
        <f>SUMIFS(DWbonus[[Sum]:[Sum]],DWbonus[[Dato]:[Dato]], "&gt;="&amp;V$5,DWbonus[[Dato]:[Dato]],"&lt;="&amp;EOMONTH(V$5,0),DWbonus[[Bookie]:[Bookie]],$K50)+SUMIFS(LayTable[[Faktisk res]:[Faktisk res]],LayTable[[Dato]:[Dato]],"&gt;="&amp;V$5,LayTable[[Dato]:[Dato]],"&lt;="&amp;EOMONTH(V$5,0),LayTable[[Bookmaker]:[Bookmaker]],$K50)+SUMIFS(BetTable[[AR_per_bookie]:[AR_per_bookie]],BetTable[[B1]:[B1]],$K50,BetTable[[Date]:[Date]], "&gt;="&amp;V$5,BetTable[[Date]:[Date]],"&lt;="&amp;EOMONTH(V$5,0))+SUMIFS(BetTable[[AR_per_bookie]:[AR_per_bookie]],BetTable[[B2]:[B2]],$K50,BetTable[[Date]:[Date]], "&gt;="&amp;V$5,BetTable[[Date]:[Date]],"&lt;="&amp;EOMONTH(V$5,0))+SUMIFS(BetTable[[AR_per_bookie]:[AR_per_bookie]],BetTable[[B3]:[B3]],$K50,BetTable[[Date]:[Date]], "&gt;="&amp;V$5,BetTable[[Date]:[Date]],"&lt;="&amp;EOMONTH(V$5,0))</f>
        <v>0</v>
      </c>
      <c r="W50" s="186">
        <f>SUMIFS(DWbonus[[Sum]:[Sum]],DWbonus[[Dato]:[Dato]], "&gt;="&amp;W$5,DWbonus[[Dato]:[Dato]],"&lt;="&amp;EOMONTH(W$5,0),DWbonus[[Bookie]:[Bookie]],$K50)+SUMIFS(LayTable[[Faktisk res]:[Faktisk res]],LayTable[[Dato]:[Dato]],"&gt;="&amp;W$5,LayTable[[Dato]:[Dato]],"&lt;="&amp;EOMONTH(W$5,0),LayTable[[Bookmaker]:[Bookmaker]],$K50)+SUMIFS(BetTable[[AR_per_bookie]:[AR_per_bookie]],BetTable[[B1]:[B1]],$K50,BetTable[[Date]:[Date]], "&gt;="&amp;W$5,BetTable[[Date]:[Date]],"&lt;="&amp;EOMONTH(W$5,0))+SUMIFS(BetTable[[AR_per_bookie]:[AR_per_bookie]],BetTable[[B2]:[B2]],$K50,BetTable[[Date]:[Date]], "&gt;="&amp;W$5,BetTable[[Date]:[Date]],"&lt;="&amp;EOMONTH(W$5,0))+SUMIFS(BetTable[[AR_per_bookie]:[AR_per_bookie]],BetTable[[B3]:[B3]],$K50,BetTable[[Date]:[Date]], "&gt;="&amp;W$5,BetTable[[Date]:[Date]],"&lt;="&amp;EOMONTH(W$5,0))</f>
        <v>0</v>
      </c>
    </row>
    <row r="51" spans="1:23">
      <c r="F51" s="174" t="s">
        <v>406</v>
      </c>
      <c r="K51" s="174" t="str">
        <f t="array" ref="K51">IFERROR(INDEX(BookieNavn!H$2:H$1251,SMALL(IF(EXACT(LEFT(BookieNavn!H$2:H$1251,2),M$3),ROW(BookieNavn!H$2:H$1251)-ROW(BookieNavn!H$2)+1),ROWS(BookieNavn!H$2:'BookieNavn'!H46))),"")</f>
        <v/>
      </c>
      <c r="L51" s="186">
        <f>SUMIFS(DWbonus[[Sum]:[Sum]],DWbonus[[Dato]:[Dato]], "&gt;="&amp;L$5,DWbonus[[Dato]:[Dato]],"&lt;="&amp;EOMONTH(L$5,0),DWbonus[[Bookie]:[Bookie]],$K51)+SUMIFS(LayTable[[Faktisk res]:[Faktisk res]],LayTable[[Dato]:[Dato]],"&gt;="&amp;L$5,LayTable[[Dato]:[Dato]],"&lt;="&amp;EOMONTH(L$5,0),LayTable[[Bookmaker]:[Bookmaker]],$K51)+SUMIFS(BetTable[[AR_per_bookie]:[AR_per_bookie]],BetTable[[B1]:[B1]],$K51,BetTable[[Date]:[Date]], "&gt;="&amp;L$5,BetTable[[Date]:[Date]],"&lt;="&amp;EOMONTH(L$5,0))+SUMIFS(BetTable[[AR_per_bookie]:[AR_per_bookie]],BetTable[[B2]:[B2]],$K51,BetTable[[Date]:[Date]], "&gt;="&amp;L$5,BetTable[[Date]:[Date]],"&lt;="&amp;EOMONTH(L$5,0))+SUMIFS(BetTable[[AR_per_bookie]:[AR_per_bookie]],BetTable[[B3]:[B3]],$K51,BetTable[[Date]:[Date]], "&gt;="&amp;L$5,BetTable[[Date]:[Date]],"&lt;="&amp;EOMONTH(L$5,0))</f>
        <v>0</v>
      </c>
      <c r="M51" s="186">
        <f>SUMIFS(DWbonus[[Sum]:[Sum]],DWbonus[[Dato]:[Dato]], "&gt;="&amp;M$5,DWbonus[[Dato]:[Dato]],"&lt;="&amp;EOMONTH(M$5,0),DWbonus[[Bookie]:[Bookie]],$K51)+SUMIFS(LayTable[[Faktisk res]:[Faktisk res]],LayTable[[Dato]:[Dato]],"&gt;="&amp;M$5,LayTable[[Dato]:[Dato]],"&lt;="&amp;EOMONTH(M$5,0),LayTable[[Bookmaker]:[Bookmaker]],$K51)+SUMIFS(BetTable[[AR_per_bookie]:[AR_per_bookie]],BetTable[[B1]:[B1]],$K51,BetTable[[Date]:[Date]], "&gt;="&amp;M$5,BetTable[[Date]:[Date]],"&lt;="&amp;EOMONTH(M$5,0))+SUMIFS(BetTable[[AR_per_bookie]:[AR_per_bookie]],BetTable[[B2]:[B2]],$K51,BetTable[[Date]:[Date]], "&gt;="&amp;M$5,BetTable[[Date]:[Date]],"&lt;="&amp;EOMONTH(M$5,0))+SUMIFS(BetTable[[AR_per_bookie]:[AR_per_bookie]],BetTable[[B3]:[B3]],$K51,BetTable[[Date]:[Date]], "&gt;="&amp;M$5,BetTable[[Date]:[Date]],"&lt;="&amp;EOMONTH(M$5,0))</f>
        <v>0</v>
      </c>
      <c r="N51" s="186">
        <f>SUMIFS(DWbonus[[Sum]:[Sum]],DWbonus[[Dato]:[Dato]], "&gt;="&amp;N$5,DWbonus[[Dato]:[Dato]],"&lt;="&amp;EOMONTH(N$5,0),DWbonus[[Bookie]:[Bookie]],$K51)+SUMIFS(LayTable[[Faktisk res]:[Faktisk res]],LayTable[[Dato]:[Dato]],"&gt;="&amp;N$5,LayTable[[Dato]:[Dato]],"&lt;="&amp;EOMONTH(N$5,0),LayTable[[Bookmaker]:[Bookmaker]],$K51)+SUMIFS(BetTable[[AR_per_bookie]:[AR_per_bookie]],BetTable[[B1]:[B1]],$K51,BetTable[[Date]:[Date]], "&gt;="&amp;N$5,BetTable[[Date]:[Date]],"&lt;="&amp;EOMONTH(N$5,0))+SUMIFS(BetTable[[AR_per_bookie]:[AR_per_bookie]],BetTable[[B2]:[B2]],$K51,BetTable[[Date]:[Date]], "&gt;="&amp;N$5,BetTable[[Date]:[Date]],"&lt;="&amp;EOMONTH(N$5,0))+SUMIFS(BetTable[[AR_per_bookie]:[AR_per_bookie]],BetTable[[B3]:[B3]],$K51,BetTable[[Date]:[Date]], "&gt;="&amp;N$5,BetTable[[Date]:[Date]],"&lt;="&amp;EOMONTH(N$5,0))</f>
        <v>0</v>
      </c>
      <c r="O51" s="186">
        <f>SUMIFS(DWbonus[[Sum]:[Sum]],DWbonus[[Dato]:[Dato]], "&gt;="&amp;O$5,DWbonus[[Dato]:[Dato]],"&lt;="&amp;EOMONTH(O$5,0),DWbonus[[Bookie]:[Bookie]],$K51)+SUMIFS(LayTable[[Faktisk res]:[Faktisk res]],LayTable[[Dato]:[Dato]],"&gt;="&amp;O$5,LayTable[[Dato]:[Dato]],"&lt;="&amp;EOMONTH(O$5,0),LayTable[[Bookmaker]:[Bookmaker]],$K51)+SUMIFS(BetTable[[AR_per_bookie]:[AR_per_bookie]],BetTable[[B1]:[B1]],$K51,BetTable[[Date]:[Date]], "&gt;="&amp;O$5,BetTable[[Date]:[Date]],"&lt;="&amp;EOMONTH(O$5,0))+SUMIFS(BetTable[[AR_per_bookie]:[AR_per_bookie]],BetTable[[B2]:[B2]],$K51,BetTable[[Date]:[Date]], "&gt;="&amp;O$5,BetTable[[Date]:[Date]],"&lt;="&amp;EOMONTH(O$5,0))+SUMIFS(BetTable[[AR_per_bookie]:[AR_per_bookie]],BetTable[[B3]:[B3]],$K51,BetTable[[Date]:[Date]], "&gt;="&amp;O$5,BetTable[[Date]:[Date]],"&lt;="&amp;EOMONTH(O$5,0))</f>
        <v>0</v>
      </c>
      <c r="P51" s="186">
        <f>SUMIFS(DWbonus[[Sum]:[Sum]],DWbonus[[Dato]:[Dato]], "&gt;="&amp;P$5,DWbonus[[Dato]:[Dato]],"&lt;="&amp;EOMONTH(P$5,0),DWbonus[[Bookie]:[Bookie]],$K51)+SUMIFS(LayTable[[Faktisk res]:[Faktisk res]],LayTable[[Dato]:[Dato]],"&gt;="&amp;P$5,LayTable[[Dato]:[Dato]],"&lt;="&amp;EOMONTH(P$5,0),LayTable[[Bookmaker]:[Bookmaker]],$K51)+SUMIFS(BetTable[[AR_per_bookie]:[AR_per_bookie]],BetTable[[B1]:[B1]],$K51,BetTable[[Date]:[Date]], "&gt;="&amp;P$5,BetTable[[Date]:[Date]],"&lt;="&amp;EOMONTH(P$5,0))+SUMIFS(BetTable[[AR_per_bookie]:[AR_per_bookie]],BetTable[[B2]:[B2]],$K51,BetTable[[Date]:[Date]], "&gt;="&amp;P$5,BetTable[[Date]:[Date]],"&lt;="&amp;EOMONTH(P$5,0))+SUMIFS(BetTable[[AR_per_bookie]:[AR_per_bookie]],BetTable[[B3]:[B3]],$K51,BetTable[[Date]:[Date]], "&gt;="&amp;P$5,BetTable[[Date]:[Date]],"&lt;="&amp;EOMONTH(P$5,0))</f>
        <v>0</v>
      </c>
      <c r="Q51" s="186">
        <f>SUMIFS(DWbonus[[Sum]:[Sum]],DWbonus[[Dato]:[Dato]], "&gt;="&amp;Q$5,DWbonus[[Dato]:[Dato]],"&lt;="&amp;EOMONTH(Q$5,0),DWbonus[[Bookie]:[Bookie]],$K51)+SUMIFS(LayTable[[Faktisk res]:[Faktisk res]],LayTable[[Dato]:[Dato]],"&gt;="&amp;Q$5,LayTable[[Dato]:[Dato]],"&lt;="&amp;EOMONTH(Q$5,0),LayTable[[Bookmaker]:[Bookmaker]],$K51)+SUMIFS(BetTable[[AR_per_bookie]:[AR_per_bookie]],BetTable[[B1]:[B1]],$K51,BetTable[[Date]:[Date]], "&gt;="&amp;Q$5,BetTable[[Date]:[Date]],"&lt;="&amp;EOMONTH(Q$5,0))+SUMIFS(BetTable[[AR_per_bookie]:[AR_per_bookie]],BetTable[[B2]:[B2]],$K51,BetTable[[Date]:[Date]], "&gt;="&amp;Q$5,BetTable[[Date]:[Date]],"&lt;="&amp;EOMONTH(Q$5,0))+SUMIFS(BetTable[[AR_per_bookie]:[AR_per_bookie]],BetTable[[B3]:[B3]],$K51,BetTable[[Date]:[Date]], "&gt;="&amp;Q$5,BetTable[[Date]:[Date]],"&lt;="&amp;EOMONTH(Q$5,0))</f>
        <v>0</v>
      </c>
      <c r="R51" s="186">
        <f>SUMIFS(DWbonus[[Sum]:[Sum]],DWbonus[[Dato]:[Dato]], "&gt;="&amp;R$5,DWbonus[[Dato]:[Dato]],"&lt;="&amp;EOMONTH(R$5,0),DWbonus[[Bookie]:[Bookie]],$K51)+SUMIFS(LayTable[[Faktisk res]:[Faktisk res]],LayTable[[Dato]:[Dato]],"&gt;="&amp;R$5,LayTable[[Dato]:[Dato]],"&lt;="&amp;EOMONTH(R$5,0),LayTable[[Bookmaker]:[Bookmaker]],$K51)+SUMIFS(BetTable[[AR_per_bookie]:[AR_per_bookie]],BetTable[[B1]:[B1]],$K51,BetTable[[Date]:[Date]], "&gt;="&amp;R$5,BetTable[[Date]:[Date]],"&lt;="&amp;EOMONTH(R$5,0))+SUMIFS(BetTable[[AR_per_bookie]:[AR_per_bookie]],BetTable[[B2]:[B2]],$K51,BetTable[[Date]:[Date]], "&gt;="&amp;R$5,BetTable[[Date]:[Date]],"&lt;="&amp;EOMONTH(R$5,0))+SUMIFS(BetTable[[AR_per_bookie]:[AR_per_bookie]],BetTable[[B3]:[B3]],$K51,BetTable[[Date]:[Date]], "&gt;="&amp;R$5,BetTable[[Date]:[Date]],"&lt;="&amp;EOMONTH(R$5,0))</f>
        <v>0</v>
      </c>
      <c r="S51" s="186">
        <f>SUMIFS(DWbonus[[Sum]:[Sum]],DWbonus[[Dato]:[Dato]], "&gt;="&amp;S$5,DWbonus[[Dato]:[Dato]],"&lt;="&amp;EOMONTH(S$5,0),DWbonus[[Bookie]:[Bookie]],$K51)+SUMIFS(LayTable[[Faktisk res]:[Faktisk res]],LayTable[[Dato]:[Dato]],"&gt;="&amp;S$5,LayTable[[Dato]:[Dato]],"&lt;="&amp;EOMONTH(S$5,0),LayTable[[Bookmaker]:[Bookmaker]],$K51)+SUMIFS(BetTable[[AR_per_bookie]:[AR_per_bookie]],BetTable[[B1]:[B1]],$K51,BetTable[[Date]:[Date]], "&gt;="&amp;S$5,BetTable[[Date]:[Date]],"&lt;="&amp;EOMONTH(S$5,0))+SUMIFS(BetTable[[AR_per_bookie]:[AR_per_bookie]],BetTable[[B2]:[B2]],$K51,BetTable[[Date]:[Date]], "&gt;="&amp;S$5,BetTable[[Date]:[Date]],"&lt;="&amp;EOMONTH(S$5,0))+SUMIFS(BetTable[[AR_per_bookie]:[AR_per_bookie]],BetTable[[B3]:[B3]],$K51,BetTable[[Date]:[Date]], "&gt;="&amp;S$5,BetTable[[Date]:[Date]],"&lt;="&amp;EOMONTH(S$5,0))</f>
        <v>0</v>
      </c>
      <c r="T51" s="186">
        <f>SUMIFS(DWbonus[[Sum]:[Sum]],DWbonus[[Dato]:[Dato]], "&gt;="&amp;T$5,DWbonus[[Dato]:[Dato]],"&lt;="&amp;EOMONTH(T$5,0),DWbonus[[Bookie]:[Bookie]],$K51)+SUMIFS(LayTable[[Faktisk res]:[Faktisk res]],LayTable[[Dato]:[Dato]],"&gt;="&amp;T$5,LayTable[[Dato]:[Dato]],"&lt;="&amp;EOMONTH(T$5,0),LayTable[[Bookmaker]:[Bookmaker]],$K51)+SUMIFS(BetTable[[AR_per_bookie]:[AR_per_bookie]],BetTable[[B1]:[B1]],$K51,BetTable[[Date]:[Date]], "&gt;="&amp;T$5,BetTable[[Date]:[Date]],"&lt;="&amp;EOMONTH(T$5,0))+SUMIFS(BetTable[[AR_per_bookie]:[AR_per_bookie]],BetTable[[B2]:[B2]],$K51,BetTable[[Date]:[Date]], "&gt;="&amp;T$5,BetTable[[Date]:[Date]],"&lt;="&amp;EOMONTH(T$5,0))+SUMIFS(BetTable[[AR_per_bookie]:[AR_per_bookie]],BetTable[[B3]:[B3]],$K51,BetTable[[Date]:[Date]], "&gt;="&amp;T$5,BetTable[[Date]:[Date]],"&lt;="&amp;EOMONTH(T$5,0))</f>
        <v>0</v>
      </c>
      <c r="U51" s="186">
        <f>SUMIFS(DWbonus[[Sum]:[Sum]],DWbonus[[Dato]:[Dato]], "&gt;="&amp;U$5,DWbonus[[Dato]:[Dato]],"&lt;="&amp;EOMONTH(U$5,0),DWbonus[[Bookie]:[Bookie]],$K51)+SUMIFS(LayTable[[Faktisk res]:[Faktisk res]],LayTable[[Dato]:[Dato]],"&gt;="&amp;U$5,LayTable[[Dato]:[Dato]],"&lt;="&amp;EOMONTH(U$5,0),LayTable[[Bookmaker]:[Bookmaker]],$K51)+SUMIFS(BetTable[[AR_per_bookie]:[AR_per_bookie]],BetTable[[B1]:[B1]],$K51,BetTable[[Date]:[Date]], "&gt;="&amp;U$5,BetTable[[Date]:[Date]],"&lt;="&amp;EOMONTH(U$5,0))+SUMIFS(BetTable[[AR_per_bookie]:[AR_per_bookie]],BetTable[[B2]:[B2]],$K51,BetTable[[Date]:[Date]], "&gt;="&amp;U$5,BetTable[[Date]:[Date]],"&lt;="&amp;EOMONTH(U$5,0))+SUMIFS(BetTable[[AR_per_bookie]:[AR_per_bookie]],BetTable[[B3]:[B3]],$K51,BetTable[[Date]:[Date]], "&gt;="&amp;U$5,BetTable[[Date]:[Date]],"&lt;="&amp;EOMONTH(U$5,0))</f>
        <v>0</v>
      </c>
      <c r="V51" s="186">
        <f>SUMIFS(DWbonus[[Sum]:[Sum]],DWbonus[[Dato]:[Dato]], "&gt;="&amp;V$5,DWbonus[[Dato]:[Dato]],"&lt;="&amp;EOMONTH(V$5,0),DWbonus[[Bookie]:[Bookie]],$K51)+SUMIFS(LayTable[[Faktisk res]:[Faktisk res]],LayTable[[Dato]:[Dato]],"&gt;="&amp;V$5,LayTable[[Dato]:[Dato]],"&lt;="&amp;EOMONTH(V$5,0),LayTable[[Bookmaker]:[Bookmaker]],$K51)+SUMIFS(BetTable[[AR_per_bookie]:[AR_per_bookie]],BetTable[[B1]:[B1]],$K51,BetTable[[Date]:[Date]], "&gt;="&amp;V$5,BetTable[[Date]:[Date]],"&lt;="&amp;EOMONTH(V$5,0))+SUMIFS(BetTable[[AR_per_bookie]:[AR_per_bookie]],BetTable[[B2]:[B2]],$K51,BetTable[[Date]:[Date]], "&gt;="&amp;V$5,BetTable[[Date]:[Date]],"&lt;="&amp;EOMONTH(V$5,0))+SUMIFS(BetTable[[AR_per_bookie]:[AR_per_bookie]],BetTable[[B3]:[B3]],$K51,BetTable[[Date]:[Date]], "&gt;="&amp;V$5,BetTable[[Date]:[Date]],"&lt;="&amp;EOMONTH(V$5,0))</f>
        <v>0</v>
      </c>
      <c r="W51" s="186">
        <f>SUMIFS(DWbonus[[Sum]:[Sum]],DWbonus[[Dato]:[Dato]], "&gt;="&amp;W$5,DWbonus[[Dato]:[Dato]],"&lt;="&amp;EOMONTH(W$5,0),DWbonus[[Bookie]:[Bookie]],$K51)+SUMIFS(LayTable[[Faktisk res]:[Faktisk res]],LayTable[[Dato]:[Dato]],"&gt;="&amp;W$5,LayTable[[Dato]:[Dato]],"&lt;="&amp;EOMONTH(W$5,0),LayTable[[Bookmaker]:[Bookmaker]],$K51)+SUMIFS(BetTable[[AR_per_bookie]:[AR_per_bookie]],BetTable[[B1]:[B1]],$K51,BetTable[[Date]:[Date]], "&gt;="&amp;W$5,BetTable[[Date]:[Date]],"&lt;="&amp;EOMONTH(W$5,0))+SUMIFS(BetTable[[AR_per_bookie]:[AR_per_bookie]],BetTable[[B2]:[B2]],$K51,BetTable[[Date]:[Date]], "&gt;="&amp;W$5,BetTable[[Date]:[Date]],"&lt;="&amp;EOMONTH(W$5,0))+SUMIFS(BetTable[[AR_per_bookie]:[AR_per_bookie]],BetTable[[B3]:[B3]],$K51,BetTable[[Date]:[Date]], "&gt;="&amp;W$5,BetTable[[Date]:[Date]],"&lt;="&amp;EOMONTH(W$5,0))</f>
        <v>0</v>
      </c>
    </row>
    <row r="52" spans="1:23">
      <c r="F52" s="174" t="s">
        <v>407</v>
      </c>
      <c r="K52" s="174" t="str">
        <f t="array" ref="K52">IFERROR(INDEX(BookieNavn!H$2:H$1251,SMALL(IF(EXACT(LEFT(BookieNavn!H$2:H$1251,2),M$3),ROW(BookieNavn!H$2:H$1251)-ROW(BookieNavn!H$2)+1),ROWS(BookieNavn!H$2:'BookieNavn'!H47))),"")</f>
        <v/>
      </c>
      <c r="L52" s="186">
        <f>SUMIFS(DWbonus[[Sum]:[Sum]],DWbonus[[Dato]:[Dato]], "&gt;="&amp;L$5,DWbonus[[Dato]:[Dato]],"&lt;="&amp;EOMONTH(L$5,0),DWbonus[[Bookie]:[Bookie]],$K52)+SUMIFS(LayTable[[Faktisk res]:[Faktisk res]],LayTable[[Dato]:[Dato]],"&gt;="&amp;L$5,LayTable[[Dato]:[Dato]],"&lt;="&amp;EOMONTH(L$5,0),LayTable[[Bookmaker]:[Bookmaker]],$K52)+SUMIFS(BetTable[[AR_per_bookie]:[AR_per_bookie]],BetTable[[B1]:[B1]],$K52,BetTable[[Date]:[Date]], "&gt;="&amp;L$5,BetTable[[Date]:[Date]],"&lt;="&amp;EOMONTH(L$5,0))+SUMIFS(BetTable[[AR_per_bookie]:[AR_per_bookie]],BetTable[[B2]:[B2]],$K52,BetTable[[Date]:[Date]], "&gt;="&amp;L$5,BetTable[[Date]:[Date]],"&lt;="&amp;EOMONTH(L$5,0))+SUMIFS(BetTable[[AR_per_bookie]:[AR_per_bookie]],BetTable[[B3]:[B3]],$K52,BetTable[[Date]:[Date]], "&gt;="&amp;L$5,BetTable[[Date]:[Date]],"&lt;="&amp;EOMONTH(L$5,0))</f>
        <v>0</v>
      </c>
      <c r="M52" s="186">
        <f>SUMIFS(DWbonus[[Sum]:[Sum]],DWbonus[[Dato]:[Dato]], "&gt;="&amp;M$5,DWbonus[[Dato]:[Dato]],"&lt;="&amp;EOMONTH(M$5,0),DWbonus[[Bookie]:[Bookie]],$K52)+SUMIFS(LayTable[[Faktisk res]:[Faktisk res]],LayTable[[Dato]:[Dato]],"&gt;="&amp;M$5,LayTable[[Dato]:[Dato]],"&lt;="&amp;EOMONTH(M$5,0),LayTable[[Bookmaker]:[Bookmaker]],$K52)+SUMIFS(BetTable[[AR_per_bookie]:[AR_per_bookie]],BetTable[[B1]:[B1]],$K52,BetTable[[Date]:[Date]], "&gt;="&amp;M$5,BetTable[[Date]:[Date]],"&lt;="&amp;EOMONTH(M$5,0))+SUMIFS(BetTable[[AR_per_bookie]:[AR_per_bookie]],BetTable[[B2]:[B2]],$K52,BetTable[[Date]:[Date]], "&gt;="&amp;M$5,BetTable[[Date]:[Date]],"&lt;="&amp;EOMONTH(M$5,0))+SUMIFS(BetTable[[AR_per_bookie]:[AR_per_bookie]],BetTable[[B3]:[B3]],$K52,BetTable[[Date]:[Date]], "&gt;="&amp;M$5,BetTable[[Date]:[Date]],"&lt;="&amp;EOMONTH(M$5,0))</f>
        <v>0</v>
      </c>
      <c r="N52" s="186">
        <f>SUMIFS(DWbonus[[Sum]:[Sum]],DWbonus[[Dato]:[Dato]], "&gt;="&amp;N$5,DWbonus[[Dato]:[Dato]],"&lt;="&amp;EOMONTH(N$5,0),DWbonus[[Bookie]:[Bookie]],$K52)+SUMIFS(LayTable[[Faktisk res]:[Faktisk res]],LayTable[[Dato]:[Dato]],"&gt;="&amp;N$5,LayTable[[Dato]:[Dato]],"&lt;="&amp;EOMONTH(N$5,0),LayTable[[Bookmaker]:[Bookmaker]],$K52)+SUMIFS(BetTable[[AR_per_bookie]:[AR_per_bookie]],BetTable[[B1]:[B1]],$K52,BetTable[[Date]:[Date]], "&gt;="&amp;N$5,BetTable[[Date]:[Date]],"&lt;="&amp;EOMONTH(N$5,0))+SUMIFS(BetTable[[AR_per_bookie]:[AR_per_bookie]],BetTable[[B2]:[B2]],$K52,BetTable[[Date]:[Date]], "&gt;="&amp;N$5,BetTable[[Date]:[Date]],"&lt;="&amp;EOMONTH(N$5,0))+SUMIFS(BetTable[[AR_per_bookie]:[AR_per_bookie]],BetTable[[B3]:[B3]],$K52,BetTable[[Date]:[Date]], "&gt;="&amp;N$5,BetTable[[Date]:[Date]],"&lt;="&amp;EOMONTH(N$5,0))</f>
        <v>0</v>
      </c>
      <c r="O52" s="186">
        <f>SUMIFS(DWbonus[[Sum]:[Sum]],DWbonus[[Dato]:[Dato]], "&gt;="&amp;O$5,DWbonus[[Dato]:[Dato]],"&lt;="&amp;EOMONTH(O$5,0),DWbonus[[Bookie]:[Bookie]],$K52)+SUMIFS(LayTable[[Faktisk res]:[Faktisk res]],LayTable[[Dato]:[Dato]],"&gt;="&amp;O$5,LayTable[[Dato]:[Dato]],"&lt;="&amp;EOMONTH(O$5,0),LayTable[[Bookmaker]:[Bookmaker]],$K52)+SUMIFS(BetTable[[AR_per_bookie]:[AR_per_bookie]],BetTable[[B1]:[B1]],$K52,BetTable[[Date]:[Date]], "&gt;="&amp;O$5,BetTable[[Date]:[Date]],"&lt;="&amp;EOMONTH(O$5,0))+SUMIFS(BetTable[[AR_per_bookie]:[AR_per_bookie]],BetTable[[B2]:[B2]],$K52,BetTable[[Date]:[Date]], "&gt;="&amp;O$5,BetTable[[Date]:[Date]],"&lt;="&amp;EOMONTH(O$5,0))+SUMIFS(BetTable[[AR_per_bookie]:[AR_per_bookie]],BetTable[[B3]:[B3]],$K52,BetTable[[Date]:[Date]], "&gt;="&amp;O$5,BetTable[[Date]:[Date]],"&lt;="&amp;EOMONTH(O$5,0))</f>
        <v>0</v>
      </c>
      <c r="P52" s="186">
        <f>SUMIFS(DWbonus[[Sum]:[Sum]],DWbonus[[Dato]:[Dato]], "&gt;="&amp;P$5,DWbonus[[Dato]:[Dato]],"&lt;="&amp;EOMONTH(P$5,0),DWbonus[[Bookie]:[Bookie]],$K52)+SUMIFS(LayTable[[Faktisk res]:[Faktisk res]],LayTable[[Dato]:[Dato]],"&gt;="&amp;P$5,LayTable[[Dato]:[Dato]],"&lt;="&amp;EOMONTH(P$5,0),LayTable[[Bookmaker]:[Bookmaker]],$K52)+SUMIFS(BetTable[[AR_per_bookie]:[AR_per_bookie]],BetTable[[B1]:[B1]],$K52,BetTable[[Date]:[Date]], "&gt;="&amp;P$5,BetTable[[Date]:[Date]],"&lt;="&amp;EOMONTH(P$5,0))+SUMIFS(BetTable[[AR_per_bookie]:[AR_per_bookie]],BetTable[[B2]:[B2]],$K52,BetTable[[Date]:[Date]], "&gt;="&amp;P$5,BetTable[[Date]:[Date]],"&lt;="&amp;EOMONTH(P$5,0))+SUMIFS(BetTable[[AR_per_bookie]:[AR_per_bookie]],BetTable[[B3]:[B3]],$K52,BetTable[[Date]:[Date]], "&gt;="&amp;P$5,BetTable[[Date]:[Date]],"&lt;="&amp;EOMONTH(P$5,0))</f>
        <v>0</v>
      </c>
      <c r="Q52" s="186">
        <f>SUMIFS(DWbonus[[Sum]:[Sum]],DWbonus[[Dato]:[Dato]], "&gt;="&amp;Q$5,DWbonus[[Dato]:[Dato]],"&lt;="&amp;EOMONTH(Q$5,0),DWbonus[[Bookie]:[Bookie]],$K52)+SUMIFS(LayTable[[Faktisk res]:[Faktisk res]],LayTable[[Dato]:[Dato]],"&gt;="&amp;Q$5,LayTable[[Dato]:[Dato]],"&lt;="&amp;EOMONTH(Q$5,0),LayTable[[Bookmaker]:[Bookmaker]],$K52)+SUMIFS(BetTable[[AR_per_bookie]:[AR_per_bookie]],BetTable[[B1]:[B1]],$K52,BetTable[[Date]:[Date]], "&gt;="&amp;Q$5,BetTable[[Date]:[Date]],"&lt;="&amp;EOMONTH(Q$5,0))+SUMIFS(BetTable[[AR_per_bookie]:[AR_per_bookie]],BetTable[[B2]:[B2]],$K52,BetTable[[Date]:[Date]], "&gt;="&amp;Q$5,BetTable[[Date]:[Date]],"&lt;="&amp;EOMONTH(Q$5,0))+SUMIFS(BetTable[[AR_per_bookie]:[AR_per_bookie]],BetTable[[B3]:[B3]],$K52,BetTable[[Date]:[Date]], "&gt;="&amp;Q$5,BetTable[[Date]:[Date]],"&lt;="&amp;EOMONTH(Q$5,0))</f>
        <v>0</v>
      </c>
      <c r="R52" s="186">
        <f>SUMIFS(DWbonus[[Sum]:[Sum]],DWbonus[[Dato]:[Dato]], "&gt;="&amp;R$5,DWbonus[[Dato]:[Dato]],"&lt;="&amp;EOMONTH(R$5,0),DWbonus[[Bookie]:[Bookie]],$K52)+SUMIFS(LayTable[[Faktisk res]:[Faktisk res]],LayTable[[Dato]:[Dato]],"&gt;="&amp;R$5,LayTable[[Dato]:[Dato]],"&lt;="&amp;EOMONTH(R$5,0),LayTable[[Bookmaker]:[Bookmaker]],$K52)+SUMIFS(BetTable[[AR_per_bookie]:[AR_per_bookie]],BetTable[[B1]:[B1]],$K52,BetTable[[Date]:[Date]], "&gt;="&amp;R$5,BetTable[[Date]:[Date]],"&lt;="&amp;EOMONTH(R$5,0))+SUMIFS(BetTable[[AR_per_bookie]:[AR_per_bookie]],BetTable[[B2]:[B2]],$K52,BetTable[[Date]:[Date]], "&gt;="&amp;R$5,BetTable[[Date]:[Date]],"&lt;="&amp;EOMONTH(R$5,0))+SUMIFS(BetTable[[AR_per_bookie]:[AR_per_bookie]],BetTable[[B3]:[B3]],$K52,BetTable[[Date]:[Date]], "&gt;="&amp;R$5,BetTable[[Date]:[Date]],"&lt;="&amp;EOMONTH(R$5,0))</f>
        <v>0</v>
      </c>
      <c r="S52" s="186">
        <f>SUMIFS(DWbonus[[Sum]:[Sum]],DWbonus[[Dato]:[Dato]], "&gt;="&amp;S$5,DWbonus[[Dato]:[Dato]],"&lt;="&amp;EOMONTH(S$5,0),DWbonus[[Bookie]:[Bookie]],$K52)+SUMIFS(LayTable[[Faktisk res]:[Faktisk res]],LayTable[[Dato]:[Dato]],"&gt;="&amp;S$5,LayTable[[Dato]:[Dato]],"&lt;="&amp;EOMONTH(S$5,0),LayTable[[Bookmaker]:[Bookmaker]],$K52)+SUMIFS(BetTable[[AR_per_bookie]:[AR_per_bookie]],BetTable[[B1]:[B1]],$K52,BetTable[[Date]:[Date]], "&gt;="&amp;S$5,BetTable[[Date]:[Date]],"&lt;="&amp;EOMONTH(S$5,0))+SUMIFS(BetTable[[AR_per_bookie]:[AR_per_bookie]],BetTable[[B2]:[B2]],$K52,BetTable[[Date]:[Date]], "&gt;="&amp;S$5,BetTable[[Date]:[Date]],"&lt;="&amp;EOMONTH(S$5,0))+SUMIFS(BetTable[[AR_per_bookie]:[AR_per_bookie]],BetTable[[B3]:[B3]],$K52,BetTable[[Date]:[Date]], "&gt;="&amp;S$5,BetTable[[Date]:[Date]],"&lt;="&amp;EOMONTH(S$5,0))</f>
        <v>0</v>
      </c>
      <c r="T52" s="186">
        <f>SUMIFS(DWbonus[[Sum]:[Sum]],DWbonus[[Dato]:[Dato]], "&gt;="&amp;T$5,DWbonus[[Dato]:[Dato]],"&lt;="&amp;EOMONTH(T$5,0),DWbonus[[Bookie]:[Bookie]],$K52)+SUMIFS(LayTable[[Faktisk res]:[Faktisk res]],LayTable[[Dato]:[Dato]],"&gt;="&amp;T$5,LayTable[[Dato]:[Dato]],"&lt;="&amp;EOMONTH(T$5,0),LayTable[[Bookmaker]:[Bookmaker]],$K52)+SUMIFS(BetTable[[AR_per_bookie]:[AR_per_bookie]],BetTable[[B1]:[B1]],$K52,BetTable[[Date]:[Date]], "&gt;="&amp;T$5,BetTable[[Date]:[Date]],"&lt;="&amp;EOMONTH(T$5,0))+SUMIFS(BetTable[[AR_per_bookie]:[AR_per_bookie]],BetTable[[B2]:[B2]],$K52,BetTable[[Date]:[Date]], "&gt;="&amp;T$5,BetTable[[Date]:[Date]],"&lt;="&amp;EOMONTH(T$5,0))+SUMIFS(BetTable[[AR_per_bookie]:[AR_per_bookie]],BetTable[[B3]:[B3]],$K52,BetTable[[Date]:[Date]], "&gt;="&amp;T$5,BetTable[[Date]:[Date]],"&lt;="&amp;EOMONTH(T$5,0))</f>
        <v>0</v>
      </c>
      <c r="U52" s="186">
        <f>SUMIFS(DWbonus[[Sum]:[Sum]],DWbonus[[Dato]:[Dato]], "&gt;="&amp;U$5,DWbonus[[Dato]:[Dato]],"&lt;="&amp;EOMONTH(U$5,0),DWbonus[[Bookie]:[Bookie]],$K52)+SUMIFS(LayTable[[Faktisk res]:[Faktisk res]],LayTable[[Dato]:[Dato]],"&gt;="&amp;U$5,LayTable[[Dato]:[Dato]],"&lt;="&amp;EOMONTH(U$5,0),LayTable[[Bookmaker]:[Bookmaker]],$K52)+SUMIFS(BetTable[[AR_per_bookie]:[AR_per_bookie]],BetTable[[B1]:[B1]],$K52,BetTable[[Date]:[Date]], "&gt;="&amp;U$5,BetTable[[Date]:[Date]],"&lt;="&amp;EOMONTH(U$5,0))+SUMIFS(BetTable[[AR_per_bookie]:[AR_per_bookie]],BetTable[[B2]:[B2]],$K52,BetTable[[Date]:[Date]], "&gt;="&amp;U$5,BetTable[[Date]:[Date]],"&lt;="&amp;EOMONTH(U$5,0))+SUMIFS(BetTable[[AR_per_bookie]:[AR_per_bookie]],BetTable[[B3]:[B3]],$K52,BetTable[[Date]:[Date]], "&gt;="&amp;U$5,BetTable[[Date]:[Date]],"&lt;="&amp;EOMONTH(U$5,0))</f>
        <v>0</v>
      </c>
      <c r="V52" s="186">
        <f>SUMIFS(DWbonus[[Sum]:[Sum]],DWbonus[[Dato]:[Dato]], "&gt;="&amp;V$5,DWbonus[[Dato]:[Dato]],"&lt;="&amp;EOMONTH(V$5,0),DWbonus[[Bookie]:[Bookie]],$K52)+SUMIFS(LayTable[[Faktisk res]:[Faktisk res]],LayTable[[Dato]:[Dato]],"&gt;="&amp;V$5,LayTable[[Dato]:[Dato]],"&lt;="&amp;EOMONTH(V$5,0),LayTable[[Bookmaker]:[Bookmaker]],$K52)+SUMIFS(BetTable[[AR_per_bookie]:[AR_per_bookie]],BetTable[[B1]:[B1]],$K52,BetTable[[Date]:[Date]], "&gt;="&amp;V$5,BetTable[[Date]:[Date]],"&lt;="&amp;EOMONTH(V$5,0))+SUMIFS(BetTable[[AR_per_bookie]:[AR_per_bookie]],BetTable[[B2]:[B2]],$K52,BetTable[[Date]:[Date]], "&gt;="&amp;V$5,BetTable[[Date]:[Date]],"&lt;="&amp;EOMONTH(V$5,0))+SUMIFS(BetTable[[AR_per_bookie]:[AR_per_bookie]],BetTable[[B3]:[B3]],$K52,BetTable[[Date]:[Date]], "&gt;="&amp;V$5,BetTable[[Date]:[Date]],"&lt;="&amp;EOMONTH(V$5,0))</f>
        <v>0</v>
      </c>
      <c r="W52" s="186">
        <f>SUMIFS(DWbonus[[Sum]:[Sum]],DWbonus[[Dato]:[Dato]], "&gt;="&amp;W$5,DWbonus[[Dato]:[Dato]],"&lt;="&amp;EOMONTH(W$5,0),DWbonus[[Bookie]:[Bookie]],$K52)+SUMIFS(LayTable[[Faktisk res]:[Faktisk res]],LayTable[[Dato]:[Dato]],"&gt;="&amp;W$5,LayTable[[Dato]:[Dato]],"&lt;="&amp;EOMONTH(W$5,0),LayTable[[Bookmaker]:[Bookmaker]],$K52)+SUMIFS(BetTable[[AR_per_bookie]:[AR_per_bookie]],BetTable[[B1]:[B1]],$K52,BetTable[[Date]:[Date]], "&gt;="&amp;W$5,BetTable[[Date]:[Date]],"&lt;="&amp;EOMONTH(W$5,0))+SUMIFS(BetTable[[AR_per_bookie]:[AR_per_bookie]],BetTable[[B2]:[B2]],$K52,BetTable[[Date]:[Date]], "&gt;="&amp;W$5,BetTable[[Date]:[Date]],"&lt;="&amp;EOMONTH(W$5,0))+SUMIFS(BetTable[[AR_per_bookie]:[AR_per_bookie]],BetTable[[B3]:[B3]],$K52,BetTable[[Date]:[Date]], "&gt;="&amp;W$5,BetTable[[Date]:[Date]],"&lt;="&amp;EOMONTH(W$5,0))</f>
        <v>0</v>
      </c>
    </row>
    <row r="53" spans="1:23">
      <c r="F53" s="174" t="s">
        <v>408</v>
      </c>
      <c r="K53" s="174" t="str">
        <f t="array" ref="K53">IFERROR(INDEX(BookieNavn!H$2:H$1251,SMALL(IF(EXACT(LEFT(BookieNavn!H$2:H$1251,2),M$3),ROW(BookieNavn!H$2:H$1251)-ROW(BookieNavn!H$2)+1),ROWS(BookieNavn!H$2:'BookieNavn'!H48))),"")</f>
        <v/>
      </c>
      <c r="L53" s="186">
        <f>SUMIFS(DWbonus[[Sum]:[Sum]],DWbonus[[Dato]:[Dato]], "&gt;="&amp;L$5,DWbonus[[Dato]:[Dato]],"&lt;="&amp;EOMONTH(L$5,0),DWbonus[[Bookie]:[Bookie]],$K53)+SUMIFS(LayTable[[Faktisk res]:[Faktisk res]],LayTable[[Dato]:[Dato]],"&gt;="&amp;L$5,LayTable[[Dato]:[Dato]],"&lt;="&amp;EOMONTH(L$5,0),LayTable[[Bookmaker]:[Bookmaker]],$K53)+SUMIFS(BetTable[[AR_per_bookie]:[AR_per_bookie]],BetTable[[B1]:[B1]],$K53,BetTable[[Date]:[Date]], "&gt;="&amp;L$5,BetTable[[Date]:[Date]],"&lt;="&amp;EOMONTH(L$5,0))+SUMIFS(BetTable[[AR_per_bookie]:[AR_per_bookie]],BetTable[[B2]:[B2]],$K53,BetTable[[Date]:[Date]], "&gt;="&amp;L$5,BetTable[[Date]:[Date]],"&lt;="&amp;EOMONTH(L$5,0))+SUMIFS(BetTable[[AR_per_bookie]:[AR_per_bookie]],BetTable[[B3]:[B3]],$K53,BetTable[[Date]:[Date]], "&gt;="&amp;L$5,BetTable[[Date]:[Date]],"&lt;="&amp;EOMONTH(L$5,0))</f>
        <v>0</v>
      </c>
      <c r="M53" s="186">
        <f>SUMIFS(DWbonus[[Sum]:[Sum]],DWbonus[[Dato]:[Dato]], "&gt;="&amp;M$5,DWbonus[[Dato]:[Dato]],"&lt;="&amp;EOMONTH(M$5,0),DWbonus[[Bookie]:[Bookie]],$K53)+SUMIFS(LayTable[[Faktisk res]:[Faktisk res]],LayTable[[Dato]:[Dato]],"&gt;="&amp;M$5,LayTable[[Dato]:[Dato]],"&lt;="&amp;EOMONTH(M$5,0),LayTable[[Bookmaker]:[Bookmaker]],$K53)+SUMIFS(BetTable[[AR_per_bookie]:[AR_per_bookie]],BetTable[[B1]:[B1]],$K53,BetTable[[Date]:[Date]], "&gt;="&amp;M$5,BetTable[[Date]:[Date]],"&lt;="&amp;EOMONTH(M$5,0))+SUMIFS(BetTable[[AR_per_bookie]:[AR_per_bookie]],BetTable[[B2]:[B2]],$K53,BetTable[[Date]:[Date]], "&gt;="&amp;M$5,BetTable[[Date]:[Date]],"&lt;="&amp;EOMONTH(M$5,0))+SUMIFS(BetTable[[AR_per_bookie]:[AR_per_bookie]],BetTable[[B3]:[B3]],$K53,BetTable[[Date]:[Date]], "&gt;="&amp;M$5,BetTable[[Date]:[Date]],"&lt;="&amp;EOMONTH(M$5,0))</f>
        <v>0</v>
      </c>
      <c r="N53" s="186">
        <f>SUMIFS(DWbonus[[Sum]:[Sum]],DWbonus[[Dato]:[Dato]], "&gt;="&amp;N$5,DWbonus[[Dato]:[Dato]],"&lt;="&amp;EOMONTH(N$5,0),DWbonus[[Bookie]:[Bookie]],$K53)+SUMIFS(LayTable[[Faktisk res]:[Faktisk res]],LayTable[[Dato]:[Dato]],"&gt;="&amp;N$5,LayTable[[Dato]:[Dato]],"&lt;="&amp;EOMONTH(N$5,0),LayTable[[Bookmaker]:[Bookmaker]],$K53)+SUMIFS(BetTable[[AR_per_bookie]:[AR_per_bookie]],BetTable[[B1]:[B1]],$K53,BetTable[[Date]:[Date]], "&gt;="&amp;N$5,BetTable[[Date]:[Date]],"&lt;="&amp;EOMONTH(N$5,0))+SUMIFS(BetTable[[AR_per_bookie]:[AR_per_bookie]],BetTable[[B2]:[B2]],$K53,BetTable[[Date]:[Date]], "&gt;="&amp;N$5,BetTable[[Date]:[Date]],"&lt;="&amp;EOMONTH(N$5,0))+SUMIFS(BetTable[[AR_per_bookie]:[AR_per_bookie]],BetTable[[B3]:[B3]],$K53,BetTable[[Date]:[Date]], "&gt;="&amp;N$5,BetTable[[Date]:[Date]],"&lt;="&amp;EOMONTH(N$5,0))</f>
        <v>0</v>
      </c>
      <c r="O53" s="186">
        <f>SUMIFS(DWbonus[[Sum]:[Sum]],DWbonus[[Dato]:[Dato]], "&gt;="&amp;O$5,DWbonus[[Dato]:[Dato]],"&lt;="&amp;EOMONTH(O$5,0),DWbonus[[Bookie]:[Bookie]],$K53)+SUMIFS(LayTable[[Faktisk res]:[Faktisk res]],LayTable[[Dato]:[Dato]],"&gt;="&amp;O$5,LayTable[[Dato]:[Dato]],"&lt;="&amp;EOMONTH(O$5,0),LayTable[[Bookmaker]:[Bookmaker]],$K53)+SUMIFS(BetTable[[AR_per_bookie]:[AR_per_bookie]],BetTable[[B1]:[B1]],$K53,BetTable[[Date]:[Date]], "&gt;="&amp;O$5,BetTable[[Date]:[Date]],"&lt;="&amp;EOMONTH(O$5,0))+SUMIFS(BetTable[[AR_per_bookie]:[AR_per_bookie]],BetTable[[B2]:[B2]],$K53,BetTable[[Date]:[Date]], "&gt;="&amp;O$5,BetTable[[Date]:[Date]],"&lt;="&amp;EOMONTH(O$5,0))+SUMIFS(BetTable[[AR_per_bookie]:[AR_per_bookie]],BetTable[[B3]:[B3]],$K53,BetTable[[Date]:[Date]], "&gt;="&amp;O$5,BetTable[[Date]:[Date]],"&lt;="&amp;EOMONTH(O$5,0))</f>
        <v>0</v>
      </c>
      <c r="P53" s="186">
        <f>SUMIFS(DWbonus[[Sum]:[Sum]],DWbonus[[Dato]:[Dato]], "&gt;="&amp;P$5,DWbonus[[Dato]:[Dato]],"&lt;="&amp;EOMONTH(P$5,0),DWbonus[[Bookie]:[Bookie]],$K53)+SUMIFS(LayTable[[Faktisk res]:[Faktisk res]],LayTable[[Dato]:[Dato]],"&gt;="&amp;P$5,LayTable[[Dato]:[Dato]],"&lt;="&amp;EOMONTH(P$5,0),LayTable[[Bookmaker]:[Bookmaker]],$K53)+SUMIFS(BetTable[[AR_per_bookie]:[AR_per_bookie]],BetTable[[B1]:[B1]],$K53,BetTable[[Date]:[Date]], "&gt;="&amp;P$5,BetTable[[Date]:[Date]],"&lt;="&amp;EOMONTH(P$5,0))+SUMIFS(BetTable[[AR_per_bookie]:[AR_per_bookie]],BetTable[[B2]:[B2]],$K53,BetTable[[Date]:[Date]], "&gt;="&amp;P$5,BetTable[[Date]:[Date]],"&lt;="&amp;EOMONTH(P$5,0))+SUMIFS(BetTable[[AR_per_bookie]:[AR_per_bookie]],BetTable[[B3]:[B3]],$K53,BetTable[[Date]:[Date]], "&gt;="&amp;P$5,BetTable[[Date]:[Date]],"&lt;="&amp;EOMONTH(P$5,0))</f>
        <v>0</v>
      </c>
      <c r="Q53" s="186">
        <f>SUMIFS(DWbonus[[Sum]:[Sum]],DWbonus[[Dato]:[Dato]], "&gt;="&amp;Q$5,DWbonus[[Dato]:[Dato]],"&lt;="&amp;EOMONTH(Q$5,0),DWbonus[[Bookie]:[Bookie]],$K53)+SUMIFS(LayTable[[Faktisk res]:[Faktisk res]],LayTable[[Dato]:[Dato]],"&gt;="&amp;Q$5,LayTable[[Dato]:[Dato]],"&lt;="&amp;EOMONTH(Q$5,0),LayTable[[Bookmaker]:[Bookmaker]],$K53)+SUMIFS(BetTable[[AR_per_bookie]:[AR_per_bookie]],BetTable[[B1]:[B1]],$K53,BetTable[[Date]:[Date]], "&gt;="&amp;Q$5,BetTable[[Date]:[Date]],"&lt;="&amp;EOMONTH(Q$5,0))+SUMIFS(BetTable[[AR_per_bookie]:[AR_per_bookie]],BetTable[[B2]:[B2]],$K53,BetTable[[Date]:[Date]], "&gt;="&amp;Q$5,BetTable[[Date]:[Date]],"&lt;="&amp;EOMONTH(Q$5,0))+SUMIFS(BetTable[[AR_per_bookie]:[AR_per_bookie]],BetTable[[B3]:[B3]],$K53,BetTable[[Date]:[Date]], "&gt;="&amp;Q$5,BetTable[[Date]:[Date]],"&lt;="&amp;EOMONTH(Q$5,0))</f>
        <v>0</v>
      </c>
      <c r="R53" s="186">
        <f>SUMIFS(DWbonus[[Sum]:[Sum]],DWbonus[[Dato]:[Dato]], "&gt;="&amp;R$5,DWbonus[[Dato]:[Dato]],"&lt;="&amp;EOMONTH(R$5,0),DWbonus[[Bookie]:[Bookie]],$K53)+SUMIFS(LayTable[[Faktisk res]:[Faktisk res]],LayTable[[Dato]:[Dato]],"&gt;="&amp;R$5,LayTable[[Dato]:[Dato]],"&lt;="&amp;EOMONTH(R$5,0),LayTable[[Bookmaker]:[Bookmaker]],$K53)+SUMIFS(BetTable[[AR_per_bookie]:[AR_per_bookie]],BetTable[[B1]:[B1]],$K53,BetTable[[Date]:[Date]], "&gt;="&amp;R$5,BetTable[[Date]:[Date]],"&lt;="&amp;EOMONTH(R$5,0))+SUMIFS(BetTable[[AR_per_bookie]:[AR_per_bookie]],BetTable[[B2]:[B2]],$K53,BetTable[[Date]:[Date]], "&gt;="&amp;R$5,BetTable[[Date]:[Date]],"&lt;="&amp;EOMONTH(R$5,0))+SUMIFS(BetTable[[AR_per_bookie]:[AR_per_bookie]],BetTable[[B3]:[B3]],$K53,BetTable[[Date]:[Date]], "&gt;="&amp;R$5,BetTable[[Date]:[Date]],"&lt;="&amp;EOMONTH(R$5,0))</f>
        <v>0</v>
      </c>
      <c r="S53" s="186">
        <f>SUMIFS(DWbonus[[Sum]:[Sum]],DWbonus[[Dato]:[Dato]], "&gt;="&amp;S$5,DWbonus[[Dato]:[Dato]],"&lt;="&amp;EOMONTH(S$5,0),DWbonus[[Bookie]:[Bookie]],$K53)+SUMIFS(LayTable[[Faktisk res]:[Faktisk res]],LayTable[[Dato]:[Dato]],"&gt;="&amp;S$5,LayTable[[Dato]:[Dato]],"&lt;="&amp;EOMONTH(S$5,0),LayTable[[Bookmaker]:[Bookmaker]],$K53)+SUMIFS(BetTable[[AR_per_bookie]:[AR_per_bookie]],BetTable[[B1]:[B1]],$K53,BetTable[[Date]:[Date]], "&gt;="&amp;S$5,BetTable[[Date]:[Date]],"&lt;="&amp;EOMONTH(S$5,0))+SUMIFS(BetTable[[AR_per_bookie]:[AR_per_bookie]],BetTable[[B2]:[B2]],$K53,BetTable[[Date]:[Date]], "&gt;="&amp;S$5,BetTable[[Date]:[Date]],"&lt;="&amp;EOMONTH(S$5,0))+SUMIFS(BetTable[[AR_per_bookie]:[AR_per_bookie]],BetTable[[B3]:[B3]],$K53,BetTable[[Date]:[Date]], "&gt;="&amp;S$5,BetTable[[Date]:[Date]],"&lt;="&amp;EOMONTH(S$5,0))</f>
        <v>0</v>
      </c>
      <c r="T53" s="186">
        <f>SUMIFS(DWbonus[[Sum]:[Sum]],DWbonus[[Dato]:[Dato]], "&gt;="&amp;T$5,DWbonus[[Dato]:[Dato]],"&lt;="&amp;EOMONTH(T$5,0),DWbonus[[Bookie]:[Bookie]],$K53)+SUMIFS(LayTable[[Faktisk res]:[Faktisk res]],LayTable[[Dato]:[Dato]],"&gt;="&amp;T$5,LayTable[[Dato]:[Dato]],"&lt;="&amp;EOMONTH(T$5,0),LayTable[[Bookmaker]:[Bookmaker]],$K53)+SUMIFS(BetTable[[AR_per_bookie]:[AR_per_bookie]],BetTable[[B1]:[B1]],$K53,BetTable[[Date]:[Date]], "&gt;="&amp;T$5,BetTable[[Date]:[Date]],"&lt;="&amp;EOMONTH(T$5,0))+SUMIFS(BetTable[[AR_per_bookie]:[AR_per_bookie]],BetTable[[B2]:[B2]],$K53,BetTable[[Date]:[Date]], "&gt;="&amp;T$5,BetTable[[Date]:[Date]],"&lt;="&amp;EOMONTH(T$5,0))+SUMIFS(BetTable[[AR_per_bookie]:[AR_per_bookie]],BetTable[[B3]:[B3]],$K53,BetTable[[Date]:[Date]], "&gt;="&amp;T$5,BetTable[[Date]:[Date]],"&lt;="&amp;EOMONTH(T$5,0))</f>
        <v>0</v>
      </c>
      <c r="U53" s="186">
        <f>SUMIFS(DWbonus[[Sum]:[Sum]],DWbonus[[Dato]:[Dato]], "&gt;="&amp;U$5,DWbonus[[Dato]:[Dato]],"&lt;="&amp;EOMONTH(U$5,0),DWbonus[[Bookie]:[Bookie]],$K53)+SUMIFS(LayTable[[Faktisk res]:[Faktisk res]],LayTable[[Dato]:[Dato]],"&gt;="&amp;U$5,LayTable[[Dato]:[Dato]],"&lt;="&amp;EOMONTH(U$5,0),LayTable[[Bookmaker]:[Bookmaker]],$K53)+SUMIFS(BetTable[[AR_per_bookie]:[AR_per_bookie]],BetTable[[B1]:[B1]],$K53,BetTable[[Date]:[Date]], "&gt;="&amp;U$5,BetTable[[Date]:[Date]],"&lt;="&amp;EOMONTH(U$5,0))+SUMIFS(BetTable[[AR_per_bookie]:[AR_per_bookie]],BetTable[[B2]:[B2]],$K53,BetTable[[Date]:[Date]], "&gt;="&amp;U$5,BetTable[[Date]:[Date]],"&lt;="&amp;EOMONTH(U$5,0))+SUMIFS(BetTable[[AR_per_bookie]:[AR_per_bookie]],BetTable[[B3]:[B3]],$K53,BetTable[[Date]:[Date]], "&gt;="&amp;U$5,BetTable[[Date]:[Date]],"&lt;="&amp;EOMONTH(U$5,0))</f>
        <v>0</v>
      </c>
      <c r="V53" s="186">
        <f>SUMIFS(DWbonus[[Sum]:[Sum]],DWbonus[[Dato]:[Dato]], "&gt;="&amp;V$5,DWbonus[[Dato]:[Dato]],"&lt;="&amp;EOMONTH(V$5,0),DWbonus[[Bookie]:[Bookie]],$K53)+SUMIFS(LayTable[[Faktisk res]:[Faktisk res]],LayTable[[Dato]:[Dato]],"&gt;="&amp;V$5,LayTable[[Dato]:[Dato]],"&lt;="&amp;EOMONTH(V$5,0),LayTable[[Bookmaker]:[Bookmaker]],$K53)+SUMIFS(BetTable[[AR_per_bookie]:[AR_per_bookie]],BetTable[[B1]:[B1]],$K53,BetTable[[Date]:[Date]], "&gt;="&amp;V$5,BetTable[[Date]:[Date]],"&lt;="&amp;EOMONTH(V$5,0))+SUMIFS(BetTable[[AR_per_bookie]:[AR_per_bookie]],BetTable[[B2]:[B2]],$K53,BetTable[[Date]:[Date]], "&gt;="&amp;V$5,BetTable[[Date]:[Date]],"&lt;="&amp;EOMONTH(V$5,0))+SUMIFS(BetTable[[AR_per_bookie]:[AR_per_bookie]],BetTable[[B3]:[B3]],$K53,BetTable[[Date]:[Date]], "&gt;="&amp;V$5,BetTable[[Date]:[Date]],"&lt;="&amp;EOMONTH(V$5,0))</f>
        <v>0</v>
      </c>
      <c r="W53" s="186">
        <f>SUMIFS(DWbonus[[Sum]:[Sum]],DWbonus[[Dato]:[Dato]], "&gt;="&amp;W$5,DWbonus[[Dato]:[Dato]],"&lt;="&amp;EOMONTH(W$5,0),DWbonus[[Bookie]:[Bookie]],$K53)+SUMIFS(LayTable[[Faktisk res]:[Faktisk res]],LayTable[[Dato]:[Dato]],"&gt;="&amp;W$5,LayTable[[Dato]:[Dato]],"&lt;="&amp;EOMONTH(W$5,0),LayTable[[Bookmaker]:[Bookmaker]],$K53)+SUMIFS(BetTable[[AR_per_bookie]:[AR_per_bookie]],BetTable[[B1]:[B1]],$K53,BetTable[[Date]:[Date]], "&gt;="&amp;W$5,BetTable[[Date]:[Date]],"&lt;="&amp;EOMONTH(W$5,0))+SUMIFS(BetTable[[AR_per_bookie]:[AR_per_bookie]],BetTable[[B2]:[B2]],$K53,BetTable[[Date]:[Date]], "&gt;="&amp;W$5,BetTable[[Date]:[Date]],"&lt;="&amp;EOMONTH(W$5,0))+SUMIFS(BetTable[[AR_per_bookie]:[AR_per_bookie]],BetTable[[B3]:[B3]],$K53,BetTable[[Date]:[Date]], "&gt;="&amp;W$5,BetTable[[Date]:[Date]],"&lt;="&amp;EOMONTH(W$5,0))</f>
        <v>0</v>
      </c>
    </row>
    <row r="54" spans="1:23">
      <c r="A54" s="70" t="s">
        <v>394</v>
      </c>
      <c r="F54" s="174" t="s">
        <v>409</v>
      </c>
      <c r="K54" s="174" t="str">
        <f t="array" ref="K54">IFERROR(INDEX(BookieNavn!H$2:H$1251,SMALL(IF(EXACT(LEFT(BookieNavn!H$2:H$1251,2),M$3),ROW(BookieNavn!H$2:H$1251)-ROW(BookieNavn!H$2)+1),ROWS(BookieNavn!H$2:'BookieNavn'!H49))),"")</f>
        <v/>
      </c>
      <c r="L54" s="186">
        <f>SUMIFS(DWbonus[[Sum]:[Sum]],DWbonus[[Dato]:[Dato]], "&gt;="&amp;L$5,DWbonus[[Dato]:[Dato]],"&lt;="&amp;EOMONTH(L$5,0),DWbonus[[Bookie]:[Bookie]],$K54)+SUMIFS(LayTable[[Faktisk res]:[Faktisk res]],LayTable[[Dato]:[Dato]],"&gt;="&amp;L$5,LayTable[[Dato]:[Dato]],"&lt;="&amp;EOMONTH(L$5,0),LayTable[[Bookmaker]:[Bookmaker]],$K54)+SUMIFS(BetTable[[AR_per_bookie]:[AR_per_bookie]],BetTable[[B1]:[B1]],$K54,BetTable[[Date]:[Date]], "&gt;="&amp;L$5,BetTable[[Date]:[Date]],"&lt;="&amp;EOMONTH(L$5,0))+SUMIFS(BetTable[[AR_per_bookie]:[AR_per_bookie]],BetTable[[B2]:[B2]],$K54,BetTable[[Date]:[Date]], "&gt;="&amp;L$5,BetTable[[Date]:[Date]],"&lt;="&amp;EOMONTH(L$5,0))+SUMIFS(BetTable[[AR_per_bookie]:[AR_per_bookie]],BetTable[[B3]:[B3]],$K54,BetTable[[Date]:[Date]], "&gt;="&amp;L$5,BetTable[[Date]:[Date]],"&lt;="&amp;EOMONTH(L$5,0))</f>
        <v>0</v>
      </c>
      <c r="M54" s="186">
        <f>SUMIFS(DWbonus[[Sum]:[Sum]],DWbonus[[Dato]:[Dato]], "&gt;="&amp;M$5,DWbonus[[Dato]:[Dato]],"&lt;="&amp;EOMONTH(M$5,0),DWbonus[[Bookie]:[Bookie]],$K54)+SUMIFS(LayTable[[Faktisk res]:[Faktisk res]],LayTable[[Dato]:[Dato]],"&gt;="&amp;M$5,LayTable[[Dato]:[Dato]],"&lt;="&amp;EOMONTH(M$5,0),LayTable[[Bookmaker]:[Bookmaker]],$K54)+SUMIFS(BetTable[[AR_per_bookie]:[AR_per_bookie]],BetTable[[B1]:[B1]],$K54,BetTable[[Date]:[Date]], "&gt;="&amp;M$5,BetTable[[Date]:[Date]],"&lt;="&amp;EOMONTH(M$5,0))+SUMIFS(BetTable[[AR_per_bookie]:[AR_per_bookie]],BetTable[[B2]:[B2]],$K54,BetTable[[Date]:[Date]], "&gt;="&amp;M$5,BetTable[[Date]:[Date]],"&lt;="&amp;EOMONTH(M$5,0))+SUMIFS(BetTable[[AR_per_bookie]:[AR_per_bookie]],BetTable[[B3]:[B3]],$K54,BetTable[[Date]:[Date]], "&gt;="&amp;M$5,BetTable[[Date]:[Date]],"&lt;="&amp;EOMONTH(M$5,0))</f>
        <v>0</v>
      </c>
      <c r="N54" s="186">
        <f>SUMIFS(DWbonus[[Sum]:[Sum]],DWbonus[[Dato]:[Dato]], "&gt;="&amp;N$5,DWbonus[[Dato]:[Dato]],"&lt;="&amp;EOMONTH(N$5,0),DWbonus[[Bookie]:[Bookie]],$K54)+SUMIFS(LayTable[[Faktisk res]:[Faktisk res]],LayTable[[Dato]:[Dato]],"&gt;="&amp;N$5,LayTable[[Dato]:[Dato]],"&lt;="&amp;EOMONTH(N$5,0),LayTable[[Bookmaker]:[Bookmaker]],$K54)+SUMIFS(BetTable[[AR_per_bookie]:[AR_per_bookie]],BetTable[[B1]:[B1]],$K54,BetTable[[Date]:[Date]], "&gt;="&amp;N$5,BetTable[[Date]:[Date]],"&lt;="&amp;EOMONTH(N$5,0))+SUMIFS(BetTable[[AR_per_bookie]:[AR_per_bookie]],BetTable[[B2]:[B2]],$K54,BetTable[[Date]:[Date]], "&gt;="&amp;N$5,BetTable[[Date]:[Date]],"&lt;="&amp;EOMONTH(N$5,0))+SUMIFS(BetTable[[AR_per_bookie]:[AR_per_bookie]],BetTable[[B3]:[B3]],$K54,BetTable[[Date]:[Date]], "&gt;="&amp;N$5,BetTable[[Date]:[Date]],"&lt;="&amp;EOMONTH(N$5,0))</f>
        <v>0</v>
      </c>
      <c r="O54" s="186">
        <f>SUMIFS(DWbonus[[Sum]:[Sum]],DWbonus[[Dato]:[Dato]], "&gt;="&amp;O$5,DWbonus[[Dato]:[Dato]],"&lt;="&amp;EOMONTH(O$5,0),DWbonus[[Bookie]:[Bookie]],$K54)+SUMIFS(LayTable[[Faktisk res]:[Faktisk res]],LayTable[[Dato]:[Dato]],"&gt;="&amp;O$5,LayTable[[Dato]:[Dato]],"&lt;="&amp;EOMONTH(O$5,0),LayTable[[Bookmaker]:[Bookmaker]],$K54)+SUMIFS(BetTable[[AR_per_bookie]:[AR_per_bookie]],BetTable[[B1]:[B1]],$K54,BetTable[[Date]:[Date]], "&gt;="&amp;O$5,BetTable[[Date]:[Date]],"&lt;="&amp;EOMONTH(O$5,0))+SUMIFS(BetTable[[AR_per_bookie]:[AR_per_bookie]],BetTable[[B2]:[B2]],$K54,BetTable[[Date]:[Date]], "&gt;="&amp;O$5,BetTable[[Date]:[Date]],"&lt;="&amp;EOMONTH(O$5,0))+SUMIFS(BetTable[[AR_per_bookie]:[AR_per_bookie]],BetTable[[B3]:[B3]],$K54,BetTable[[Date]:[Date]], "&gt;="&amp;O$5,BetTable[[Date]:[Date]],"&lt;="&amp;EOMONTH(O$5,0))</f>
        <v>0</v>
      </c>
      <c r="P54" s="186">
        <f>SUMIFS(DWbonus[[Sum]:[Sum]],DWbonus[[Dato]:[Dato]], "&gt;="&amp;P$5,DWbonus[[Dato]:[Dato]],"&lt;="&amp;EOMONTH(P$5,0),DWbonus[[Bookie]:[Bookie]],$K54)+SUMIFS(LayTable[[Faktisk res]:[Faktisk res]],LayTable[[Dato]:[Dato]],"&gt;="&amp;P$5,LayTable[[Dato]:[Dato]],"&lt;="&amp;EOMONTH(P$5,0),LayTable[[Bookmaker]:[Bookmaker]],$K54)+SUMIFS(BetTable[[AR_per_bookie]:[AR_per_bookie]],BetTable[[B1]:[B1]],$K54,BetTable[[Date]:[Date]], "&gt;="&amp;P$5,BetTable[[Date]:[Date]],"&lt;="&amp;EOMONTH(P$5,0))+SUMIFS(BetTable[[AR_per_bookie]:[AR_per_bookie]],BetTable[[B2]:[B2]],$K54,BetTable[[Date]:[Date]], "&gt;="&amp;P$5,BetTable[[Date]:[Date]],"&lt;="&amp;EOMONTH(P$5,0))+SUMIFS(BetTable[[AR_per_bookie]:[AR_per_bookie]],BetTable[[B3]:[B3]],$K54,BetTable[[Date]:[Date]], "&gt;="&amp;P$5,BetTable[[Date]:[Date]],"&lt;="&amp;EOMONTH(P$5,0))</f>
        <v>0</v>
      </c>
      <c r="Q54" s="186">
        <f>SUMIFS(DWbonus[[Sum]:[Sum]],DWbonus[[Dato]:[Dato]], "&gt;="&amp;Q$5,DWbonus[[Dato]:[Dato]],"&lt;="&amp;EOMONTH(Q$5,0),DWbonus[[Bookie]:[Bookie]],$K54)+SUMIFS(LayTable[[Faktisk res]:[Faktisk res]],LayTable[[Dato]:[Dato]],"&gt;="&amp;Q$5,LayTable[[Dato]:[Dato]],"&lt;="&amp;EOMONTH(Q$5,0),LayTable[[Bookmaker]:[Bookmaker]],$K54)+SUMIFS(BetTable[[AR_per_bookie]:[AR_per_bookie]],BetTable[[B1]:[B1]],$K54,BetTable[[Date]:[Date]], "&gt;="&amp;Q$5,BetTable[[Date]:[Date]],"&lt;="&amp;EOMONTH(Q$5,0))+SUMIFS(BetTable[[AR_per_bookie]:[AR_per_bookie]],BetTable[[B2]:[B2]],$K54,BetTable[[Date]:[Date]], "&gt;="&amp;Q$5,BetTable[[Date]:[Date]],"&lt;="&amp;EOMONTH(Q$5,0))+SUMIFS(BetTable[[AR_per_bookie]:[AR_per_bookie]],BetTable[[B3]:[B3]],$K54,BetTable[[Date]:[Date]], "&gt;="&amp;Q$5,BetTable[[Date]:[Date]],"&lt;="&amp;EOMONTH(Q$5,0))</f>
        <v>0</v>
      </c>
      <c r="R54" s="186">
        <f>SUMIFS(DWbonus[[Sum]:[Sum]],DWbonus[[Dato]:[Dato]], "&gt;="&amp;R$5,DWbonus[[Dato]:[Dato]],"&lt;="&amp;EOMONTH(R$5,0),DWbonus[[Bookie]:[Bookie]],$K54)+SUMIFS(LayTable[[Faktisk res]:[Faktisk res]],LayTable[[Dato]:[Dato]],"&gt;="&amp;R$5,LayTable[[Dato]:[Dato]],"&lt;="&amp;EOMONTH(R$5,0),LayTable[[Bookmaker]:[Bookmaker]],$K54)+SUMIFS(BetTable[[AR_per_bookie]:[AR_per_bookie]],BetTable[[B1]:[B1]],$K54,BetTable[[Date]:[Date]], "&gt;="&amp;R$5,BetTable[[Date]:[Date]],"&lt;="&amp;EOMONTH(R$5,0))+SUMIFS(BetTable[[AR_per_bookie]:[AR_per_bookie]],BetTable[[B2]:[B2]],$K54,BetTable[[Date]:[Date]], "&gt;="&amp;R$5,BetTable[[Date]:[Date]],"&lt;="&amp;EOMONTH(R$5,0))+SUMIFS(BetTable[[AR_per_bookie]:[AR_per_bookie]],BetTable[[B3]:[B3]],$K54,BetTable[[Date]:[Date]], "&gt;="&amp;R$5,BetTable[[Date]:[Date]],"&lt;="&amp;EOMONTH(R$5,0))</f>
        <v>0</v>
      </c>
      <c r="S54" s="186">
        <f>SUMIFS(DWbonus[[Sum]:[Sum]],DWbonus[[Dato]:[Dato]], "&gt;="&amp;S$5,DWbonus[[Dato]:[Dato]],"&lt;="&amp;EOMONTH(S$5,0),DWbonus[[Bookie]:[Bookie]],$K54)+SUMIFS(LayTable[[Faktisk res]:[Faktisk res]],LayTable[[Dato]:[Dato]],"&gt;="&amp;S$5,LayTable[[Dato]:[Dato]],"&lt;="&amp;EOMONTH(S$5,0),LayTable[[Bookmaker]:[Bookmaker]],$K54)+SUMIFS(BetTable[[AR_per_bookie]:[AR_per_bookie]],BetTable[[B1]:[B1]],$K54,BetTable[[Date]:[Date]], "&gt;="&amp;S$5,BetTable[[Date]:[Date]],"&lt;="&amp;EOMONTH(S$5,0))+SUMIFS(BetTable[[AR_per_bookie]:[AR_per_bookie]],BetTable[[B2]:[B2]],$K54,BetTable[[Date]:[Date]], "&gt;="&amp;S$5,BetTable[[Date]:[Date]],"&lt;="&amp;EOMONTH(S$5,0))+SUMIFS(BetTable[[AR_per_bookie]:[AR_per_bookie]],BetTable[[B3]:[B3]],$K54,BetTable[[Date]:[Date]], "&gt;="&amp;S$5,BetTable[[Date]:[Date]],"&lt;="&amp;EOMONTH(S$5,0))</f>
        <v>0</v>
      </c>
      <c r="T54" s="186">
        <f>SUMIFS(DWbonus[[Sum]:[Sum]],DWbonus[[Dato]:[Dato]], "&gt;="&amp;T$5,DWbonus[[Dato]:[Dato]],"&lt;="&amp;EOMONTH(T$5,0),DWbonus[[Bookie]:[Bookie]],$K54)+SUMIFS(LayTable[[Faktisk res]:[Faktisk res]],LayTable[[Dato]:[Dato]],"&gt;="&amp;T$5,LayTable[[Dato]:[Dato]],"&lt;="&amp;EOMONTH(T$5,0),LayTable[[Bookmaker]:[Bookmaker]],$K54)+SUMIFS(BetTable[[AR_per_bookie]:[AR_per_bookie]],BetTable[[B1]:[B1]],$K54,BetTable[[Date]:[Date]], "&gt;="&amp;T$5,BetTable[[Date]:[Date]],"&lt;="&amp;EOMONTH(T$5,0))+SUMIFS(BetTable[[AR_per_bookie]:[AR_per_bookie]],BetTable[[B2]:[B2]],$K54,BetTable[[Date]:[Date]], "&gt;="&amp;T$5,BetTable[[Date]:[Date]],"&lt;="&amp;EOMONTH(T$5,0))+SUMIFS(BetTable[[AR_per_bookie]:[AR_per_bookie]],BetTable[[B3]:[B3]],$K54,BetTable[[Date]:[Date]], "&gt;="&amp;T$5,BetTable[[Date]:[Date]],"&lt;="&amp;EOMONTH(T$5,0))</f>
        <v>0</v>
      </c>
      <c r="U54" s="186">
        <f>SUMIFS(DWbonus[[Sum]:[Sum]],DWbonus[[Dato]:[Dato]], "&gt;="&amp;U$5,DWbonus[[Dato]:[Dato]],"&lt;="&amp;EOMONTH(U$5,0),DWbonus[[Bookie]:[Bookie]],$K54)+SUMIFS(LayTable[[Faktisk res]:[Faktisk res]],LayTable[[Dato]:[Dato]],"&gt;="&amp;U$5,LayTable[[Dato]:[Dato]],"&lt;="&amp;EOMONTH(U$5,0),LayTable[[Bookmaker]:[Bookmaker]],$K54)+SUMIFS(BetTable[[AR_per_bookie]:[AR_per_bookie]],BetTable[[B1]:[B1]],$K54,BetTable[[Date]:[Date]], "&gt;="&amp;U$5,BetTable[[Date]:[Date]],"&lt;="&amp;EOMONTH(U$5,0))+SUMIFS(BetTable[[AR_per_bookie]:[AR_per_bookie]],BetTable[[B2]:[B2]],$K54,BetTable[[Date]:[Date]], "&gt;="&amp;U$5,BetTable[[Date]:[Date]],"&lt;="&amp;EOMONTH(U$5,0))+SUMIFS(BetTable[[AR_per_bookie]:[AR_per_bookie]],BetTable[[B3]:[B3]],$K54,BetTable[[Date]:[Date]], "&gt;="&amp;U$5,BetTable[[Date]:[Date]],"&lt;="&amp;EOMONTH(U$5,0))</f>
        <v>0</v>
      </c>
      <c r="V54" s="186">
        <f>SUMIFS(DWbonus[[Sum]:[Sum]],DWbonus[[Dato]:[Dato]], "&gt;="&amp;V$5,DWbonus[[Dato]:[Dato]],"&lt;="&amp;EOMONTH(V$5,0),DWbonus[[Bookie]:[Bookie]],$K54)+SUMIFS(LayTable[[Faktisk res]:[Faktisk res]],LayTable[[Dato]:[Dato]],"&gt;="&amp;V$5,LayTable[[Dato]:[Dato]],"&lt;="&amp;EOMONTH(V$5,0),LayTable[[Bookmaker]:[Bookmaker]],$K54)+SUMIFS(BetTable[[AR_per_bookie]:[AR_per_bookie]],BetTable[[B1]:[B1]],$K54,BetTable[[Date]:[Date]], "&gt;="&amp;V$5,BetTable[[Date]:[Date]],"&lt;="&amp;EOMONTH(V$5,0))+SUMIFS(BetTable[[AR_per_bookie]:[AR_per_bookie]],BetTable[[B2]:[B2]],$K54,BetTable[[Date]:[Date]], "&gt;="&amp;V$5,BetTable[[Date]:[Date]],"&lt;="&amp;EOMONTH(V$5,0))+SUMIFS(BetTable[[AR_per_bookie]:[AR_per_bookie]],BetTable[[B3]:[B3]],$K54,BetTable[[Date]:[Date]], "&gt;="&amp;V$5,BetTable[[Date]:[Date]],"&lt;="&amp;EOMONTH(V$5,0))</f>
        <v>0</v>
      </c>
      <c r="W54" s="186">
        <f>SUMIFS(DWbonus[[Sum]:[Sum]],DWbonus[[Dato]:[Dato]], "&gt;="&amp;W$5,DWbonus[[Dato]:[Dato]],"&lt;="&amp;EOMONTH(W$5,0),DWbonus[[Bookie]:[Bookie]],$K54)+SUMIFS(LayTable[[Faktisk res]:[Faktisk res]],LayTable[[Dato]:[Dato]],"&gt;="&amp;W$5,LayTable[[Dato]:[Dato]],"&lt;="&amp;EOMONTH(W$5,0),LayTable[[Bookmaker]:[Bookmaker]],$K54)+SUMIFS(BetTable[[AR_per_bookie]:[AR_per_bookie]],BetTable[[B1]:[B1]],$K54,BetTable[[Date]:[Date]], "&gt;="&amp;W$5,BetTable[[Date]:[Date]],"&lt;="&amp;EOMONTH(W$5,0))+SUMIFS(BetTable[[AR_per_bookie]:[AR_per_bookie]],BetTable[[B2]:[B2]],$K54,BetTable[[Date]:[Date]], "&gt;="&amp;W$5,BetTable[[Date]:[Date]],"&lt;="&amp;EOMONTH(W$5,0))+SUMIFS(BetTable[[AR_per_bookie]:[AR_per_bookie]],BetTable[[B3]:[B3]],$K54,BetTable[[Date]:[Date]], "&gt;="&amp;W$5,BetTable[[Date]:[Date]],"&lt;="&amp;EOMONTH(W$5,0))</f>
        <v>0</v>
      </c>
    </row>
    <row r="55" spans="1:23">
      <c r="F55" s="174" t="s">
        <v>410</v>
      </c>
      <c r="K55" s="174" t="str">
        <f t="array" ref="K55">IFERROR(INDEX(BookieNavn!H$2:H$1251,SMALL(IF(EXACT(LEFT(BookieNavn!H$2:H$1251,2),M$3),ROW(BookieNavn!H$2:H$1251)-ROW(BookieNavn!H$2)+1),ROWS(BookieNavn!H$2:'BookieNavn'!H50))),"")</f>
        <v/>
      </c>
      <c r="L55" s="186">
        <f>SUMIFS(DWbonus[[Sum]:[Sum]],DWbonus[[Dato]:[Dato]], "&gt;="&amp;L$5,DWbonus[[Dato]:[Dato]],"&lt;="&amp;EOMONTH(L$5,0),DWbonus[[Bookie]:[Bookie]],$K55)+SUMIFS(LayTable[[Faktisk res]:[Faktisk res]],LayTable[[Dato]:[Dato]],"&gt;="&amp;L$5,LayTable[[Dato]:[Dato]],"&lt;="&amp;EOMONTH(L$5,0),LayTable[[Bookmaker]:[Bookmaker]],$K55)+SUMIFS(BetTable[[AR_per_bookie]:[AR_per_bookie]],BetTable[[B1]:[B1]],$K55,BetTable[[Date]:[Date]], "&gt;="&amp;L$5,BetTable[[Date]:[Date]],"&lt;="&amp;EOMONTH(L$5,0))+SUMIFS(BetTable[[AR_per_bookie]:[AR_per_bookie]],BetTable[[B2]:[B2]],$K55,BetTable[[Date]:[Date]], "&gt;="&amp;L$5,BetTable[[Date]:[Date]],"&lt;="&amp;EOMONTH(L$5,0))+SUMIFS(BetTable[[AR_per_bookie]:[AR_per_bookie]],BetTable[[B3]:[B3]],$K55,BetTable[[Date]:[Date]], "&gt;="&amp;L$5,BetTable[[Date]:[Date]],"&lt;="&amp;EOMONTH(L$5,0))</f>
        <v>0</v>
      </c>
      <c r="M55" s="186">
        <f>SUMIFS(DWbonus[[Sum]:[Sum]],DWbonus[[Dato]:[Dato]], "&gt;="&amp;M$5,DWbonus[[Dato]:[Dato]],"&lt;="&amp;EOMONTH(M$5,0),DWbonus[[Bookie]:[Bookie]],$K55)+SUMIFS(LayTable[[Faktisk res]:[Faktisk res]],LayTable[[Dato]:[Dato]],"&gt;="&amp;M$5,LayTable[[Dato]:[Dato]],"&lt;="&amp;EOMONTH(M$5,0),LayTable[[Bookmaker]:[Bookmaker]],$K55)+SUMIFS(BetTable[[AR_per_bookie]:[AR_per_bookie]],BetTable[[B1]:[B1]],$K55,BetTable[[Date]:[Date]], "&gt;="&amp;M$5,BetTable[[Date]:[Date]],"&lt;="&amp;EOMONTH(M$5,0))+SUMIFS(BetTable[[AR_per_bookie]:[AR_per_bookie]],BetTable[[B2]:[B2]],$K55,BetTable[[Date]:[Date]], "&gt;="&amp;M$5,BetTable[[Date]:[Date]],"&lt;="&amp;EOMONTH(M$5,0))+SUMIFS(BetTable[[AR_per_bookie]:[AR_per_bookie]],BetTable[[B3]:[B3]],$K55,BetTable[[Date]:[Date]], "&gt;="&amp;M$5,BetTable[[Date]:[Date]],"&lt;="&amp;EOMONTH(M$5,0))</f>
        <v>0</v>
      </c>
      <c r="N55" s="186">
        <f>SUMIFS(DWbonus[[Sum]:[Sum]],DWbonus[[Dato]:[Dato]], "&gt;="&amp;N$5,DWbonus[[Dato]:[Dato]],"&lt;="&amp;EOMONTH(N$5,0),DWbonus[[Bookie]:[Bookie]],$K55)+SUMIFS(LayTable[[Faktisk res]:[Faktisk res]],LayTable[[Dato]:[Dato]],"&gt;="&amp;N$5,LayTable[[Dato]:[Dato]],"&lt;="&amp;EOMONTH(N$5,0),LayTable[[Bookmaker]:[Bookmaker]],$K55)+SUMIFS(BetTable[[AR_per_bookie]:[AR_per_bookie]],BetTable[[B1]:[B1]],$K55,BetTable[[Date]:[Date]], "&gt;="&amp;N$5,BetTable[[Date]:[Date]],"&lt;="&amp;EOMONTH(N$5,0))+SUMIFS(BetTable[[AR_per_bookie]:[AR_per_bookie]],BetTable[[B2]:[B2]],$K55,BetTable[[Date]:[Date]], "&gt;="&amp;N$5,BetTable[[Date]:[Date]],"&lt;="&amp;EOMONTH(N$5,0))+SUMIFS(BetTable[[AR_per_bookie]:[AR_per_bookie]],BetTable[[B3]:[B3]],$K55,BetTable[[Date]:[Date]], "&gt;="&amp;N$5,BetTable[[Date]:[Date]],"&lt;="&amp;EOMONTH(N$5,0))</f>
        <v>0</v>
      </c>
      <c r="O55" s="186">
        <f>SUMIFS(DWbonus[[Sum]:[Sum]],DWbonus[[Dato]:[Dato]], "&gt;="&amp;O$5,DWbonus[[Dato]:[Dato]],"&lt;="&amp;EOMONTH(O$5,0),DWbonus[[Bookie]:[Bookie]],$K55)+SUMIFS(LayTable[[Faktisk res]:[Faktisk res]],LayTable[[Dato]:[Dato]],"&gt;="&amp;O$5,LayTable[[Dato]:[Dato]],"&lt;="&amp;EOMONTH(O$5,0),LayTable[[Bookmaker]:[Bookmaker]],$K55)+SUMIFS(BetTable[[AR_per_bookie]:[AR_per_bookie]],BetTable[[B1]:[B1]],$K55,BetTable[[Date]:[Date]], "&gt;="&amp;O$5,BetTable[[Date]:[Date]],"&lt;="&amp;EOMONTH(O$5,0))+SUMIFS(BetTable[[AR_per_bookie]:[AR_per_bookie]],BetTable[[B2]:[B2]],$K55,BetTable[[Date]:[Date]], "&gt;="&amp;O$5,BetTable[[Date]:[Date]],"&lt;="&amp;EOMONTH(O$5,0))+SUMIFS(BetTable[[AR_per_bookie]:[AR_per_bookie]],BetTable[[B3]:[B3]],$K55,BetTable[[Date]:[Date]], "&gt;="&amp;O$5,BetTable[[Date]:[Date]],"&lt;="&amp;EOMONTH(O$5,0))</f>
        <v>0</v>
      </c>
      <c r="P55" s="186">
        <f>SUMIFS(DWbonus[[Sum]:[Sum]],DWbonus[[Dato]:[Dato]], "&gt;="&amp;P$5,DWbonus[[Dato]:[Dato]],"&lt;="&amp;EOMONTH(P$5,0),DWbonus[[Bookie]:[Bookie]],$K55)+SUMIFS(LayTable[[Faktisk res]:[Faktisk res]],LayTable[[Dato]:[Dato]],"&gt;="&amp;P$5,LayTable[[Dato]:[Dato]],"&lt;="&amp;EOMONTH(P$5,0),LayTable[[Bookmaker]:[Bookmaker]],$K55)+SUMIFS(BetTable[[AR_per_bookie]:[AR_per_bookie]],BetTable[[B1]:[B1]],$K55,BetTable[[Date]:[Date]], "&gt;="&amp;P$5,BetTable[[Date]:[Date]],"&lt;="&amp;EOMONTH(P$5,0))+SUMIFS(BetTable[[AR_per_bookie]:[AR_per_bookie]],BetTable[[B2]:[B2]],$K55,BetTable[[Date]:[Date]], "&gt;="&amp;P$5,BetTable[[Date]:[Date]],"&lt;="&amp;EOMONTH(P$5,0))+SUMIFS(BetTable[[AR_per_bookie]:[AR_per_bookie]],BetTable[[B3]:[B3]],$K55,BetTable[[Date]:[Date]], "&gt;="&amp;P$5,BetTable[[Date]:[Date]],"&lt;="&amp;EOMONTH(P$5,0))</f>
        <v>0</v>
      </c>
      <c r="Q55" s="186">
        <f>SUMIFS(DWbonus[[Sum]:[Sum]],DWbonus[[Dato]:[Dato]], "&gt;="&amp;Q$5,DWbonus[[Dato]:[Dato]],"&lt;="&amp;EOMONTH(Q$5,0),DWbonus[[Bookie]:[Bookie]],$K55)+SUMIFS(LayTable[[Faktisk res]:[Faktisk res]],LayTable[[Dato]:[Dato]],"&gt;="&amp;Q$5,LayTable[[Dato]:[Dato]],"&lt;="&amp;EOMONTH(Q$5,0),LayTable[[Bookmaker]:[Bookmaker]],$K55)+SUMIFS(BetTable[[AR_per_bookie]:[AR_per_bookie]],BetTable[[B1]:[B1]],$K55,BetTable[[Date]:[Date]], "&gt;="&amp;Q$5,BetTable[[Date]:[Date]],"&lt;="&amp;EOMONTH(Q$5,0))+SUMIFS(BetTable[[AR_per_bookie]:[AR_per_bookie]],BetTable[[B2]:[B2]],$K55,BetTable[[Date]:[Date]], "&gt;="&amp;Q$5,BetTable[[Date]:[Date]],"&lt;="&amp;EOMONTH(Q$5,0))+SUMIFS(BetTable[[AR_per_bookie]:[AR_per_bookie]],BetTable[[B3]:[B3]],$K55,BetTable[[Date]:[Date]], "&gt;="&amp;Q$5,BetTable[[Date]:[Date]],"&lt;="&amp;EOMONTH(Q$5,0))</f>
        <v>0</v>
      </c>
      <c r="R55" s="186">
        <f>SUMIFS(DWbonus[[Sum]:[Sum]],DWbonus[[Dato]:[Dato]], "&gt;="&amp;R$5,DWbonus[[Dato]:[Dato]],"&lt;="&amp;EOMONTH(R$5,0),DWbonus[[Bookie]:[Bookie]],$K55)+SUMIFS(LayTable[[Faktisk res]:[Faktisk res]],LayTable[[Dato]:[Dato]],"&gt;="&amp;R$5,LayTable[[Dato]:[Dato]],"&lt;="&amp;EOMONTH(R$5,0),LayTable[[Bookmaker]:[Bookmaker]],$K55)+SUMIFS(BetTable[[AR_per_bookie]:[AR_per_bookie]],BetTable[[B1]:[B1]],$K55,BetTable[[Date]:[Date]], "&gt;="&amp;R$5,BetTable[[Date]:[Date]],"&lt;="&amp;EOMONTH(R$5,0))+SUMIFS(BetTable[[AR_per_bookie]:[AR_per_bookie]],BetTable[[B2]:[B2]],$K55,BetTable[[Date]:[Date]], "&gt;="&amp;R$5,BetTable[[Date]:[Date]],"&lt;="&amp;EOMONTH(R$5,0))+SUMIFS(BetTable[[AR_per_bookie]:[AR_per_bookie]],BetTable[[B3]:[B3]],$K55,BetTable[[Date]:[Date]], "&gt;="&amp;R$5,BetTable[[Date]:[Date]],"&lt;="&amp;EOMONTH(R$5,0))</f>
        <v>0</v>
      </c>
      <c r="S55" s="186">
        <f>SUMIFS(DWbonus[[Sum]:[Sum]],DWbonus[[Dato]:[Dato]], "&gt;="&amp;S$5,DWbonus[[Dato]:[Dato]],"&lt;="&amp;EOMONTH(S$5,0),DWbonus[[Bookie]:[Bookie]],$K55)+SUMIFS(LayTable[[Faktisk res]:[Faktisk res]],LayTable[[Dato]:[Dato]],"&gt;="&amp;S$5,LayTable[[Dato]:[Dato]],"&lt;="&amp;EOMONTH(S$5,0),LayTable[[Bookmaker]:[Bookmaker]],$K55)+SUMIFS(BetTable[[AR_per_bookie]:[AR_per_bookie]],BetTable[[B1]:[B1]],$K55,BetTable[[Date]:[Date]], "&gt;="&amp;S$5,BetTable[[Date]:[Date]],"&lt;="&amp;EOMONTH(S$5,0))+SUMIFS(BetTable[[AR_per_bookie]:[AR_per_bookie]],BetTable[[B2]:[B2]],$K55,BetTable[[Date]:[Date]], "&gt;="&amp;S$5,BetTable[[Date]:[Date]],"&lt;="&amp;EOMONTH(S$5,0))+SUMIFS(BetTable[[AR_per_bookie]:[AR_per_bookie]],BetTable[[B3]:[B3]],$K55,BetTable[[Date]:[Date]], "&gt;="&amp;S$5,BetTable[[Date]:[Date]],"&lt;="&amp;EOMONTH(S$5,0))</f>
        <v>0</v>
      </c>
      <c r="T55" s="186">
        <f>SUMIFS(DWbonus[[Sum]:[Sum]],DWbonus[[Dato]:[Dato]], "&gt;="&amp;T$5,DWbonus[[Dato]:[Dato]],"&lt;="&amp;EOMONTH(T$5,0),DWbonus[[Bookie]:[Bookie]],$K55)+SUMIFS(LayTable[[Faktisk res]:[Faktisk res]],LayTable[[Dato]:[Dato]],"&gt;="&amp;T$5,LayTable[[Dato]:[Dato]],"&lt;="&amp;EOMONTH(T$5,0),LayTable[[Bookmaker]:[Bookmaker]],$K55)+SUMIFS(BetTable[[AR_per_bookie]:[AR_per_bookie]],BetTable[[B1]:[B1]],$K55,BetTable[[Date]:[Date]], "&gt;="&amp;T$5,BetTable[[Date]:[Date]],"&lt;="&amp;EOMONTH(T$5,0))+SUMIFS(BetTable[[AR_per_bookie]:[AR_per_bookie]],BetTable[[B2]:[B2]],$K55,BetTable[[Date]:[Date]], "&gt;="&amp;T$5,BetTable[[Date]:[Date]],"&lt;="&amp;EOMONTH(T$5,0))+SUMIFS(BetTable[[AR_per_bookie]:[AR_per_bookie]],BetTable[[B3]:[B3]],$K55,BetTable[[Date]:[Date]], "&gt;="&amp;T$5,BetTable[[Date]:[Date]],"&lt;="&amp;EOMONTH(T$5,0))</f>
        <v>0</v>
      </c>
      <c r="U55" s="186">
        <f>SUMIFS(DWbonus[[Sum]:[Sum]],DWbonus[[Dato]:[Dato]], "&gt;="&amp;U$5,DWbonus[[Dato]:[Dato]],"&lt;="&amp;EOMONTH(U$5,0),DWbonus[[Bookie]:[Bookie]],$K55)+SUMIFS(LayTable[[Faktisk res]:[Faktisk res]],LayTable[[Dato]:[Dato]],"&gt;="&amp;U$5,LayTable[[Dato]:[Dato]],"&lt;="&amp;EOMONTH(U$5,0),LayTable[[Bookmaker]:[Bookmaker]],$K55)+SUMIFS(BetTable[[AR_per_bookie]:[AR_per_bookie]],BetTable[[B1]:[B1]],$K55,BetTable[[Date]:[Date]], "&gt;="&amp;U$5,BetTable[[Date]:[Date]],"&lt;="&amp;EOMONTH(U$5,0))+SUMIFS(BetTable[[AR_per_bookie]:[AR_per_bookie]],BetTable[[B2]:[B2]],$K55,BetTable[[Date]:[Date]], "&gt;="&amp;U$5,BetTable[[Date]:[Date]],"&lt;="&amp;EOMONTH(U$5,0))+SUMIFS(BetTable[[AR_per_bookie]:[AR_per_bookie]],BetTable[[B3]:[B3]],$K55,BetTable[[Date]:[Date]], "&gt;="&amp;U$5,BetTable[[Date]:[Date]],"&lt;="&amp;EOMONTH(U$5,0))</f>
        <v>0</v>
      </c>
      <c r="V55" s="186">
        <f>SUMIFS(DWbonus[[Sum]:[Sum]],DWbonus[[Dato]:[Dato]], "&gt;="&amp;V$5,DWbonus[[Dato]:[Dato]],"&lt;="&amp;EOMONTH(V$5,0),DWbonus[[Bookie]:[Bookie]],$K55)+SUMIFS(LayTable[[Faktisk res]:[Faktisk res]],LayTable[[Dato]:[Dato]],"&gt;="&amp;V$5,LayTable[[Dato]:[Dato]],"&lt;="&amp;EOMONTH(V$5,0),LayTable[[Bookmaker]:[Bookmaker]],$K55)+SUMIFS(BetTable[[AR_per_bookie]:[AR_per_bookie]],BetTable[[B1]:[B1]],$K55,BetTable[[Date]:[Date]], "&gt;="&amp;V$5,BetTable[[Date]:[Date]],"&lt;="&amp;EOMONTH(V$5,0))+SUMIFS(BetTable[[AR_per_bookie]:[AR_per_bookie]],BetTable[[B2]:[B2]],$K55,BetTable[[Date]:[Date]], "&gt;="&amp;V$5,BetTable[[Date]:[Date]],"&lt;="&amp;EOMONTH(V$5,0))+SUMIFS(BetTable[[AR_per_bookie]:[AR_per_bookie]],BetTable[[B3]:[B3]],$K55,BetTable[[Date]:[Date]], "&gt;="&amp;V$5,BetTable[[Date]:[Date]],"&lt;="&amp;EOMONTH(V$5,0))</f>
        <v>0</v>
      </c>
      <c r="W55" s="186">
        <f>SUMIFS(DWbonus[[Sum]:[Sum]],DWbonus[[Dato]:[Dato]], "&gt;="&amp;W$5,DWbonus[[Dato]:[Dato]],"&lt;="&amp;EOMONTH(W$5,0),DWbonus[[Bookie]:[Bookie]],$K55)+SUMIFS(LayTable[[Faktisk res]:[Faktisk res]],LayTable[[Dato]:[Dato]],"&gt;="&amp;W$5,LayTable[[Dato]:[Dato]],"&lt;="&amp;EOMONTH(W$5,0),LayTable[[Bookmaker]:[Bookmaker]],$K55)+SUMIFS(BetTable[[AR_per_bookie]:[AR_per_bookie]],BetTable[[B1]:[B1]],$K55,BetTable[[Date]:[Date]], "&gt;="&amp;W$5,BetTable[[Date]:[Date]],"&lt;="&amp;EOMONTH(W$5,0))+SUMIFS(BetTable[[AR_per_bookie]:[AR_per_bookie]],BetTable[[B2]:[B2]],$K55,BetTable[[Date]:[Date]], "&gt;="&amp;W$5,BetTable[[Date]:[Date]],"&lt;="&amp;EOMONTH(W$5,0))+SUMIFS(BetTable[[AR_per_bookie]:[AR_per_bookie]],BetTable[[B3]:[B3]],$K55,BetTable[[Date]:[Date]], "&gt;="&amp;W$5,BetTable[[Date]:[Date]],"&lt;="&amp;EOMONTH(W$5,0))</f>
        <v>0</v>
      </c>
    </row>
    <row r="56" spans="1:23">
      <c r="A56" s="174" t="s">
        <v>209</v>
      </c>
      <c r="B56" s="174" t="s">
        <v>352</v>
      </c>
      <c r="C56" s="174">
        <v>1000</v>
      </c>
      <c r="E56" s="174" t="s">
        <v>357</v>
      </c>
      <c r="F56" s="174" t="s">
        <v>411</v>
      </c>
      <c r="K56" s="174" t="str">
        <f t="array" ref="K56">IFERROR(INDEX(BookieNavn!H$2:H$1251,SMALL(IF(EXACT(LEFT(BookieNavn!H$2:H$1251,2),M$3),ROW(BookieNavn!H$2:H$1251)-ROW(BookieNavn!H$2)+1),ROWS(BookieNavn!H$2:'BookieNavn'!H51))),"")</f>
        <v/>
      </c>
      <c r="L56" s="186">
        <f>SUMIFS(DWbonus[[Sum]:[Sum]],DWbonus[[Dato]:[Dato]], "&gt;="&amp;L$5,DWbonus[[Dato]:[Dato]],"&lt;="&amp;EOMONTH(L$5,0),DWbonus[[Bookie]:[Bookie]],$K56)+SUMIFS(LayTable[[Faktisk res]:[Faktisk res]],LayTable[[Dato]:[Dato]],"&gt;="&amp;L$5,LayTable[[Dato]:[Dato]],"&lt;="&amp;EOMONTH(L$5,0),LayTable[[Bookmaker]:[Bookmaker]],$K56)+SUMIFS(BetTable[[AR_per_bookie]:[AR_per_bookie]],BetTable[[B1]:[B1]],$K56,BetTable[[Date]:[Date]], "&gt;="&amp;L$5,BetTable[[Date]:[Date]],"&lt;="&amp;EOMONTH(L$5,0))+SUMIFS(BetTable[[AR_per_bookie]:[AR_per_bookie]],BetTable[[B2]:[B2]],$K56,BetTable[[Date]:[Date]], "&gt;="&amp;L$5,BetTable[[Date]:[Date]],"&lt;="&amp;EOMONTH(L$5,0))+SUMIFS(BetTable[[AR_per_bookie]:[AR_per_bookie]],BetTable[[B3]:[B3]],$K56,BetTable[[Date]:[Date]], "&gt;="&amp;L$5,BetTable[[Date]:[Date]],"&lt;="&amp;EOMONTH(L$5,0))</f>
        <v>0</v>
      </c>
      <c r="M56" s="186">
        <f>SUMIFS(DWbonus[[Sum]:[Sum]],DWbonus[[Dato]:[Dato]], "&gt;="&amp;M$5,DWbonus[[Dato]:[Dato]],"&lt;="&amp;EOMONTH(M$5,0),DWbonus[[Bookie]:[Bookie]],$K56)+SUMIFS(LayTable[[Faktisk res]:[Faktisk res]],LayTable[[Dato]:[Dato]],"&gt;="&amp;M$5,LayTable[[Dato]:[Dato]],"&lt;="&amp;EOMONTH(M$5,0),LayTable[[Bookmaker]:[Bookmaker]],$K56)+SUMIFS(BetTable[[AR_per_bookie]:[AR_per_bookie]],BetTable[[B1]:[B1]],$K56,BetTable[[Date]:[Date]], "&gt;="&amp;M$5,BetTable[[Date]:[Date]],"&lt;="&amp;EOMONTH(M$5,0))+SUMIFS(BetTable[[AR_per_bookie]:[AR_per_bookie]],BetTable[[B2]:[B2]],$K56,BetTable[[Date]:[Date]], "&gt;="&amp;M$5,BetTable[[Date]:[Date]],"&lt;="&amp;EOMONTH(M$5,0))+SUMIFS(BetTable[[AR_per_bookie]:[AR_per_bookie]],BetTable[[B3]:[B3]],$K56,BetTable[[Date]:[Date]], "&gt;="&amp;M$5,BetTable[[Date]:[Date]],"&lt;="&amp;EOMONTH(M$5,0))</f>
        <v>0</v>
      </c>
      <c r="N56" s="186">
        <f>SUMIFS(DWbonus[[Sum]:[Sum]],DWbonus[[Dato]:[Dato]], "&gt;="&amp;N$5,DWbonus[[Dato]:[Dato]],"&lt;="&amp;EOMONTH(N$5,0),DWbonus[[Bookie]:[Bookie]],$K56)+SUMIFS(LayTable[[Faktisk res]:[Faktisk res]],LayTable[[Dato]:[Dato]],"&gt;="&amp;N$5,LayTable[[Dato]:[Dato]],"&lt;="&amp;EOMONTH(N$5,0),LayTable[[Bookmaker]:[Bookmaker]],$K56)+SUMIFS(BetTable[[AR_per_bookie]:[AR_per_bookie]],BetTable[[B1]:[B1]],$K56,BetTable[[Date]:[Date]], "&gt;="&amp;N$5,BetTable[[Date]:[Date]],"&lt;="&amp;EOMONTH(N$5,0))+SUMIFS(BetTable[[AR_per_bookie]:[AR_per_bookie]],BetTable[[B2]:[B2]],$K56,BetTable[[Date]:[Date]], "&gt;="&amp;N$5,BetTable[[Date]:[Date]],"&lt;="&amp;EOMONTH(N$5,0))+SUMIFS(BetTable[[AR_per_bookie]:[AR_per_bookie]],BetTable[[B3]:[B3]],$K56,BetTable[[Date]:[Date]], "&gt;="&amp;N$5,BetTable[[Date]:[Date]],"&lt;="&amp;EOMONTH(N$5,0))</f>
        <v>0</v>
      </c>
      <c r="O56" s="186">
        <f>SUMIFS(DWbonus[[Sum]:[Sum]],DWbonus[[Dato]:[Dato]], "&gt;="&amp;O$5,DWbonus[[Dato]:[Dato]],"&lt;="&amp;EOMONTH(O$5,0),DWbonus[[Bookie]:[Bookie]],$K56)+SUMIFS(LayTable[[Faktisk res]:[Faktisk res]],LayTable[[Dato]:[Dato]],"&gt;="&amp;O$5,LayTable[[Dato]:[Dato]],"&lt;="&amp;EOMONTH(O$5,0),LayTable[[Bookmaker]:[Bookmaker]],$K56)+SUMIFS(BetTable[[AR_per_bookie]:[AR_per_bookie]],BetTable[[B1]:[B1]],$K56,BetTable[[Date]:[Date]], "&gt;="&amp;O$5,BetTable[[Date]:[Date]],"&lt;="&amp;EOMONTH(O$5,0))+SUMIFS(BetTable[[AR_per_bookie]:[AR_per_bookie]],BetTable[[B2]:[B2]],$K56,BetTable[[Date]:[Date]], "&gt;="&amp;O$5,BetTable[[Date]:[Date]],"&lt;="&amp;EOMONTH(O$5,0))+SUMIFS(BetTable[[AR_per_bookie]:[AR_per_bookie]],BetTable[[B3]:[B3]],$K56,BetTable[[Date]:[Date]], "&gt;="&amp;O$5,BetTable[[Date]:[Date]],"&lt;="&amp;EOMONTH(O$5,0))</f>
        <v>0</v>
      </c>
      <c r="P56" s="186">
        <f>SUMIFS(DWbonus[[Sum]:[Sum]],DWbonus[[Dato]:[Dato]], "&gt;="&amp;P$5,DWbonus[[Dato]:[Dato]],"&lt;="&amp;EOMONTH(P$5,0),DWbonus[[Bookie]:[Bookie]],$K56)+SUMIFS(LayTable[[Faktisk res]:[Faktisk res]],LayTable[[Dato]:[Dato]],"&gt;="&amp;P$5,LayTable[[Dato]:[Dato]],"&lt;="&amp;EOMONTH(P$5,0),LayTable[[Bookmaker]:[Bookmaker]],$K56)+SUMIFS(BetTable[[AR_per_bookie]:[AR_per_bookie]],BetTable[[B1]:[B1]],$K56,BetTable[[Date]:[Date]], "&gt;="&amp;P$5,BetTable[[Date]:[Date]],"&lt;="&amp;EOMONTH(P$5,0))+SUMIFS(BetTable[[AR_per_bookie]:[AR_per_bookie]],BetTable[[B2]:[B2]],$K56,BetTable[[Date]:[Date]], "&gt;="&amp;P$5,BetTable[[Date]:[Date]],"&lt;="&amp;EOMONTH(P$5,0))+SUMIFS(BetTable[[AR_per_bookie]:[AR_per_bookie]],BetTable[[B3]:[B3]],$K56,BetTable[[Date]:[Date]], "&gt;="&amp;P$5,BetTable[[Date]:[Date]],"&lt;="&amp;EOMONTH(P$5,0))</f>
        <v>0</v>
      </c>
      <c r="Q56" s="186">
        <f>SUMIFS(DWbonus[[Sum]:[Sum]],DWbonus[[Dato]:[Dato]], "&gt;="&amp;Q$5,DWbonus[[Dato]:[Dato]],"&lt;="&amp;EOMONTH(Q$5,0),DWbonus[[Bookie]:[Bookie]],$K56)+SUMIFS(LayTable[[Faktisk res]:[Faktisk res]],LayTable[[Dato]:[Dato]],"&gt;="&amp;Q$5,LayTable[[Dato]:[Dato]],"&lt;="&amp;EOMONTH(Q$5,0),LayTable[[Bookmaker]:[Bookmaker]],$K56)+SUMIFS(BetTable[[AR_per_bookie]:[AR_per_bookie]],BetTable[[B1]:[B1]],$K56,BetTable[[Date]:[Date]], "&gt;="&amp;Q$5,BetTable[[Date]:[Date]],"&lt;="&amp;EOMONTH(Q$5,0))+SUMIFS(BetTable[[AR_per_bookie]:[AR_per_bookie]],BetTable[[B2]:[B2]],$K56,BetTable[[Date]:[Date]], "&gt;="&amp;Q$5,BetTable[[Date]:[Date]],"&lt;="&amp;EOMONTH(Q$5,0))+SUMIFS(BetTable[[AR_per_bookie]:[AR_per_bookie]],BetTable[[B3]:[B3]],$K56,BetTable[[Date]:[Date]], "&gt;="&amp;Q$5,BetTable[[Date]:[Date]],"&lt;="&amp;EOMONTH(Q$5,0))</f>
        <v>0</v>
      </c>
      <c r="R56" s="186">
        <f>SUMIFS(DWbonus[[Sum]:[Sum]],DWbonus[[Dato]:[Dato]], "&gt;="&amp;R$5,DWbonus[[Dato]:[Dato]],"&lt;="&amp;EOMONTH(R$5,0),DWbonus[[Bookie]:[Bookie]],$K56)+SUMIFS(LayTable[[Faktisk res]:[Faktisk res]],LayTable[[Dato]:[Dato]],"&gt;="&amp;R$5,LayTable[[Dato]:[Dato]],"&lt;="&amp;EOMONTH(R$5,0),LayTable[[Bookmaker]:[Bookmaker]],$K56)+SUMIFS(BetTable[[AR_per_bookie]:[AR_per_bookie]],BetTable[[B1]:[B1]],$K56,BetTable[[Date]:[Date]], "&gt;="&amp;R$5,BetTable[[Date]:[Date]],"&lt;="&amp;EOMONTH(R$5,0))+SUMIFS(BetTable[[AR_per_bookie]:[AR_per_bookie]],BetTable[[B2]:[B2]],$K56,BetTable[[Date]:[Date]], "&gt;="&amp;R$5,BetTable[[Date]:[Date]],"&lt;="&amp;EOMONTH(R$5,0))+SUMIFS(BetTable[[AR_per_bookie]:[AR_per_bookie]],BetTable[[B3]:[B3]],$K56,BetTable[[Date]:[Date]], "&gt;="&amp;R$5,BetTable[[Date]:[Date]],"&lt;="&amp;EOMONTH(R$5,0))</f>
        <v>0</v>
      </c>
      <c r="S56" s="186">
        <f>SUMIFS(DWbonus[[Sum]:[Sum]],DWbonus[[Dato]:[Dato]], "&gt;="&amp;S$5,DWbonus[[Dato]:[Dato]],"&lt;="&amp;EOMONTH(S$5,0),DWbonus[[Bookie]:[Bookie]],$K56)+SUMIFS(LayTable[[Faktisk res]:[Faktisk res]],LayTable[[Dato]:[Dato]],"&gt;="&amp;S$5,LayTable[[Dato]:[Dato]],"&lt;="&amp;EOMONTH(S$5,0),LayTable[[Bookmaker]:[Bookmaker]],$K56)+SUMIFS(BetTable[[AR_per_bookie]:[AR_per_bookie]],BetTable[[B1]:[B1]],$K56,BetTable[[Date]:[Date]], "&gt;="&amp;S$5,BetTable[[Date]:[Date]],"&lt;="&amp;EOMONTH(S$5,0))+SUMIFS(BetTable[[AR_per_bookie]:[AR_per_bookie]],BetTable[[B2]:[B2]],$K56,BetTable[[Date]:[Date]], "&gt;="&amp;S$5,BetTable[[Date]:[Date]],"&lt;="&amp;EOMONTH(S$5,0))+SUMIFS(BetTable[[AR_per_bookie]:[AR_per_bookie]],BetTable[[B3]:[B3]],$K56,BetTable[[Date]:[Date]], "&gt;="&amp;S$5,BetTable[[Date]:[Date]],"&lt;="&amp;EOMONTH(S$5,0))</f>
        <v>0</v>
      </c>
      <c r="T56" s="186">
        <f>SUMIFS(DWbonus[[Sum]:[Sum]],DWbonus[[Dato]:[Dato]], "&gt;="&amp;T$5,DWbonus[[Dato]:[Dato]],"&lt;="&amp;EOMONTH(T$5,0),DWbonus[[Bookie]:[Bookie]],$K56)+SUMIFS(LayTable[[Faktisk res]:[Faktisk res]],LayTable[[Dato]:[Dato]],"&gt;="&amp;T$5,LayTable[[Dato]:[Dato]],"&lt;="&amp;EOMONTH(T$5,0),LayTable[[Bookmaker]:[Bookmaker]],$K56)+SUMIFS(BetTable[[AR_per_bookie]:[AR_per_bookie]],BetTable[[B1]:[B1]],$K56,BetTable[[Date]:[Date]], "&gt;="&amp;T$5,BetTable[[Date]:[Date]],"&lt;="&amp;EOMONTH(T$5,0))+SUMIFS(BetTable[[AR_per_bookie]:[AR_per_bookie]],BetTable[[B2]:[B2]],$K56,BetTable[[Date]:[Date]], "&gt;="&amp;T$5,BetTable[[Date]:[Date]],"&lt;="&amp;EOMONTH(T$5,0))+SUMIFS(BetTable[[AR_per_bookie]:[AR_per_bookie]],BetTable[[B3]:[B3]],$K56,BetTable[[Date]:[Date]], "&gt;="&amp;T$5,BetTable[[Date]:[Date]],"&lt;="&amp;EOMONTH(T$5,0))</f>
        <v>0</v>
      </c>
      <c r="U56" s="186">
        <f>SUMIFS(DWbonus[[Sum]:[Sum]],DWbonus[[Dato]:[Dato]], "&gt;="&amp;U$5,DWbonus[[Dato]:[Dato]],"&lt;="&amp;EOMONTH(U$5,0),DWbonus[[Bookie]:[Bookie]],$K56)+SUMIFS(LayTable[[Faktisk res]:[Faktisk res]],LayTable[[Dato]:[Dato]],"&gt;="&amp;U$5,LayTable[[Dato]:[Dato]],"&lt;="&amp;EOMONTH(U$5,0),LayTable[[Bookmaker]:[Bookmaker]],$K56)+SUMIFS(BetTable[[AR_per_bookie]:[AR_per_bookie]],BetTable[[B1]:[B1]],$K56,BetTable[[Date]:[Date]], "&gt;="&amp;U$5,BetTable[[Date]:[Date]],"&lt;="&amp;EOMONTH(U$5,0))+SUMIFS(BetTable[[AR_per_bookie]:[AR_per_bookie]],BetTable[[B2]:[B2]],$K56,BetTable[[Date]:[Date]], "&gt;="&amp;U$5,BetTable[[Date]:[Date]],"&lt;="&amp;EOMONTH(U$5,0))+SUMIFS(BetTable[[AR_per_bookie]:[AR_per_bookie]],BetTable[[B3]:[B3]],$K56,BetTable[[Date]:[Date]], "&gt;="&amp;U$5,BetTable[[Date]:[Date]],"&lt;="&amp;EOMONTH(U$5,0))</f>
        <v>0</v>
      </c>
      <c r="V56" s="186">
        <f>SUMIFS(DWbonus[[Sum]:[Sum]],DWbonus[[Dato]:[Dato]], "&gt;="&amp;V$5,DWbonus[[Dato]:[Dato]],"&lt;="&amp;EOMONTH(V$5,0),DWbonus[[Bookie]:[Bookie]],$K56)+SUMIFS(LayTable[[Faktisk res]:[Faktisk res]],LayTable[[Dato]:[Dato]],"&gt;="&amp;V$5,LayTable[[Dato]:[Dato]],"&lt;="&amp;EOMONTH(V$5,0),LayTable[[Bookmaker]:[Bookmaker]],$K56)+SUMIFS(BetTable[[AR_per_bookie]:[AR_per_bookie]],BetTable[[B1]:[B1]],$K56,BetTable[[Date]:[Date]], "&gt;="&amp;V$5,BetTable[[Date]:[Date]],"&lt;="&amp;EOMONTH(V$5,0))+SUMIFS(BetTable[[AR_per_bookie]:[AR_per_bookie]],BetTable[[B2]:[B2]],$K56,BetTable[[Date]:[Date]], "&gt;="&amp;V$5,BetTable[[Date]:[Date]],"&lt;="&amp;EOMONTH(V$5,0))+SUMIFS(BetTable[[AR_per_bookie]:[AR_per_bookie]],BetTable[[B3]:[B3]],$K56,BetTable[[Date]:[Date]], "&gt;="&amp;V$5,BetTable[[Date]:[Date]],"&lt;="&amp;EOMONTH(V$5,0))</f>
        <v>0</v>
      </c>
      <c r="W56" s="186">
        <f>SUMIFS(DWbonus[[Sum]:[Sum]],DWbonus[[Dato]:[Dato]], "&gt;="&amp;W$5,DWbonus[[Dato]:[Dato]],"&lt;="&amp;EOMONTH(W$5,0),DWbonus[[Bookie]:[Bookie]],$K56)+SUMIFS(LayTable[[Faktisk res]:[Faktisk res]],LayTable[[Dato]:[Dato]],"&gt;="&amp;W$5,LayTable[[Dato]:[Dato]],"&lt;="&amp;EOMONTH(W$5,0),LayTable[[Bookmaker]:[Bookmaker]],$K56)+SUMIFS(BetTable[[AR_per_bookie]:[AR_per_bookie]],BetTable[[B1]:[B1]],$K56,BetTable[[Date]:[Date]], "&gt;="&amp;W$5,BetTable[[Date]:[Date]],"&lt;="&amp;EOMONTH(W$5,0))+SUMIFS(BetTable[[AR_per_bookie]:[AR_per_bookie]],BetTable[[B2]:[B2]],$K56,BetTable[[Date]:[Date]], "&gt;="&amp;W$5,BetTable[[Date]:[Date]],"&lt;="&amp;EOMONTH(W$5,0))+SUMIFS(BetTable[[AR_per_bookie]:[AR_per_bookie]],BetTable[[B3]:[B3]],$K56,BetTable[[Date]:[Date]], "&gt;="&amp;W$5,BetTable[[Date]:[Date]],"&lt;="&amp;EOMONTH(W$5,0))</f>
        <v>0</v>
      </c>
    </row>
    <row r="57" spans="1:23">
      <c r="A57" s="174" t="s">
        <v>212</v>
      </c>
      <c r="B57" s="209">
        <v>1</v>
      </c>
      <c r="C57" s="174">
        <v>1000</v>
      </c>
      <c r="E57" s="174" t="s">
        <v>357</v>
      </c>
      <c r="F57" s="174" t="s">
        <v>412</v>
      </c>
      <c r="K57" s="174" t="str">
        <f t="array" ref="K57">IFERROR(INDEX(BookieNavn!H$2:H$1251,SMALL(IF(EXACT(LEFT(BookieNavn!H$2:H$1251,2),M$3),ROW(BookieNavn!H$2:H$1251)-ROW(BookieNavn!H$2)+1),ROWS(BookieNavn!H$2:'BookieNavn'!H52))),"")</f>
        <v/>
      </c>
      <c r="L57" s="186">
        <f>SUMIFS(DWbonus[[Sum]:[Sum]],DWbonus[[Dato]:[Dato]], "&gt;="&amp;L$5,DWbonus[[Dato]:[Dato]],"&lt;="&amp;EOMONTH(L$5,0),DWbonus[[Bookie]:[Bookie]],$K57)+SUMIFS(LayTable[[Faktisk res]:[Faktisk res]],LayTable[[Dato]:[Dato]],"&gt;="&amp;L$5,LayTable[[Dato]:[Dato]],"&lt;="&amp;EOMONTH(L$5,0),LayTable[[Bookmaker]:[Bookmaker]],$K57)+SUMIFS(BetTable[[AR_per_bookie]:[AR_per_bookie]],BetTable[[B1]:[B1]],$K57,BetTable[[Date]:[Date]], "&gt;="&amp;L$5,BetTable[[Date]:[Date]],"&lt;="&amp;EOMONTH(L$5,0))+SUMIFS(BetTable[[AR_per_bookie]:[AR_per_bookie]],BetTable[[B2]:[B2]],$K57,BetTable[[Date]:[Date]], "&gt;="&amp;L$5,BetTable[[Date]:[Date]],"&lt;="&amp;EOMONTH(L$5,0))+SUMIFS(BetTable[[AR_per_bookie]:[AR_per_bookie]],BetTable[[B3]:[B3]],$K57,BetTable[[Date]:[Date]], "&gt;="&amp;L$5,BetTable[[Date]:[Date]],"&lt;="&amp;EOMONTH(L$5,0))</f>
        <v>0</v>
      </c>
      <c r="M57" s="186">
        <f>SUMIFS(DWbonus[[Sum]:[Sum]],DWbonus[[Dato]:[Dato]], "&gt;="&amp;M$5,DWbonus[[Dato]:[Dato]],"&lt;="&amp;EOMONTH(M$5,0),DWbonus[[Bookie]:[Bookie]],$K57)+SUMIFS(LayTable[[Faktisk res]:[Faktisk res]],LayTable[[Dato]:[Dato]],"&gt;="&amp;M$5,LayTable[[Dato]:[Dato]],"&lt;="&amp;EOMONTH(M$5,0),LayTable[[Bookmaker]:[Bookmaker]],$K57)+SUMIFS(BetTable[[AR_per_bookie]:[AR_per_bookie]],BetTable[[B1]:[B1]],$K57,BetTable[[Date]:[Date]], "&gt;="&amp;M$5,BetTable[[Date]:[Date]],"&lt;="&amp;EOMONTH(M$5,0))+SUMIFS(BetTable[[AR_per_bookie]:[AR_per_bookie]],BetTable[[B2]:[B2]],$K57,BetTable[[Date]:[Date]], "&gt;="&amp;M$5,BetTable[[Date]:[Date]],"&lt;="&amp;EOMONTH(M$5,0))+SUMIFS(BetTable[[AR_per_bookie]:[AR_per_bookie]],BetTable[[B3]:[B3]],$K57,BetTable[[Date]:[Date]], "&gt;="&amp;M$5,BetTable[[Date]:[Date]],"&lt;="&amp;EOMONTH(M$5,0))</f>
        <v>0</v>
      </c>
      <c r="N57" s="186">
        <f>SUMIFS(DWbonus[[Sum]:[Sum]],DWbonus[[Dato]:[Dato]], "&gt;="&amp;N$5,DWbonus[[Dato]:[Dato]],"&lt;="&amp;EOMONTH(N$5,0),DWbonus[[Bookie]:[Bookie]],$K57)+SUMIFS(LayTable[[Faktisk res]:[Faktisk res]],LayTable[[Dato]:[Dato]],"&gt;="&amp;N$5,LayTable[[Dato]:[Dato]],"&lt;="&amp;EOMONTH(N$5,0),LayTable[[Bookmaker]:[Bookmaker]],$K57)+SUMIFS(BetTable[[AR_per_bookie]:[AR_per_bookie]],BetTable[[B1]:[B1]],$K57,BetTable[[Date]:[Date]], "&gt;="&amp;N$5,BetTable[[Date]:[Date]],"&lt;="&amp;EOMONTH(N$5,0))+SUMIFS(BetTable[[AR_per_bookie]:[AR_per_bookie]],BetTable[[B2]:[B2]],$K57,BetTable[[Date]:[Date]], "&gt;="&amp;N$5,BetTable[[Date]:[Date]],"&lt;="&amp;EOMONTH(N$5,0))+SUMIFS(BetTable[[AR_per_bookie]:[AR_per_bookie]],BetTable[[B3]:[B3]],$K57,BetTable[[Date]:[Date]], "&gt;="&amp;N$5,BetTable[[Date]:[Date]],"&lt;="&amp;EOMONTH(N$5,0))</f>
        <v>0</v>
      </c>
      <c r="O57" s="186">
        <f>SUMIFS(DWbonus[[Sum]:[Sum]],DWbonus[[Dato]:[Dato]], "&gt;="&amp;O$5,DWbonus[[Dato]:[Dato]],"&lt;="&amp;EOMONTH(O$5,0),DWbonus[[Bookie]:[Bookie]],$K57)+SUMIFS(LayTable[[Faktisk res]:[Faktisk res]],LayTable[[Dato]:[Dato]],"&gt;="&amp;O$5,LayTable[[Dato]:[Dato]],"&lt;="&amp;EOMONTH(O$5,0),LayTable[[Bookmaker]:[Bookmaker]],$K57)+SUMIFS(BetTable[[AR_per_bookie]:[AR_per_bookie]],BetTable[[B1]:[B1]],$K57,BetTable[[Date]:[Date]], "&gt;="&amp;O$5,BetTable[[Date]:[Date]],"&lt;="&amp;EOMONTH(O$5,0))+SUMIFS(BetTable[[AR_per_bookie]:[AR_per_bookie]],BetTable[[B2]:[B2]],$K57,BetTable[[Date]:[Date]], "&gt;="&amp;O$5,BetTable[[Date]:[Date]],"&lt;="&amp;EOMONTH(O$5,0))+SUMIFS(BetTable[[AR_per_bookie]:[AR_per_bookie]],BetTable[[B3]:[B3]],$K57,BetTable[[Date]:[Date]], "&gt;="&amp;O$5,BetTable[[Date]:[Date]],"&lt;="&amp;EOMONTH(O$5,0))</f>
        <v>0</v>
      </c>
      <c r="P57" s="186">
        <f>SUMIFS(DWbonus[[Sum]:[Sum]],DWbonus[[Dato]:[Dato]], "&gt;="&amp;P$5,DWbonus[[Dato]:[Dato]],"&lt;="&amp;EOMONTH(P$5,0),DWbonus[[Bookie]:[Bookie]],$K57)+SUMIFS(LayTable[[Faktisk res]:[Faktisk res]],LayTable[[Dato]:[Dato]],"&gt;="&amp;P$5,LayTable[[Dato]:[Dato]],"&lt;="&amp;EOMONTH(P$5,0),LayTable[[Bookmaker]:[Bookmaker]],$K57)+SUMIFS(BetTable[[AR_per_bookie]:[AR_per_bookie]],BetTable[[B1]:[B1]],$K57,BetTable[[Date]:[Date]], "&gt;="&amp;P$5,BetTable[[Date]:[Date]],"&lt;="&amp;EOMONTH(P$5,0))+SUMIFS(BetTable[[AR_per_bookie]:[AR_per_bookie]],BetTable[[B2]:[B2]],$K57,BetTable[[Date]:[Date]], "&gt;="&amp;P$5,BetTable[[Date]:[Date]],"&lt;="&amp;EOMONTH(P$5,0))+SUMIFS(BetTable[[AR_per_bookie]:[AR_per_bookie]],BetTable[[B3]:[B3]],$K57,BetTable[[Date]:[Date]], "&gt;="&amp;P$5,BetTable[[Date]:[Date]],"&lt;="&amp;EOMONTH(P$5,0))</f>
        <v>0</v>
      </c>
      <c r="Q57" s="186">
        <f>SUMIFS(DWbonus[[Sum]:[Sum]],DWbonus[[Dato]:[Dato]], "&gt;="&amp;Q$5,DWbonus[[Dato]:[Dato]],"&lt;="&amp;EOMONTH(Q$5,0),DWbonus[[Bookie]:[Bookie]],$K57)+SUMIFS(LayTable[[Faktisk res]:[Faktisk res]],LayTable[[Dato]:[Dato]],"&gt;="&amp;Q$5,LayTable[[Dato]:[Dato]],"&lt;="&amp;EOMONTH(Q$5,0),LayTable[[Bookmaker]:[Bookmaker]],$K57)+SUMIFS(BetTable[[AR_per_bookie]:[AR_per_bookie]],BetTable[[B1]:[B1]],$K57,BetTable[[Date]:[Date]], "&gt;="&amp;Q$5,BetTable[[Date]:[Date]],"&lt;="&amp;EOMONTH(Q$5,0))+SUMIFS(BetTable[[AR_per_bookie]:[AR_per_bookie]],BetTable[[B2]:[B2]],$K57,BetTable[[Date]:[Date]], "&gt;="&amp;Q$5,BetTable[[Date]:[Date]],"&lt;="&amp;EOMONTH(Q$5,0))+SUMIFS(BetTable[[AR_per_bookie]:[AR_per_bookie]],BetTable[[B3]:[B3]],$K57,BetTable[[Date]:[Date]], "&gt;="&amp;Q$5,BetTable[[Date]:[Date]],"&lt;="&amp;EOMONTH(Q$5,0))</f>
        <v>0</v>
      </c>
      <c r="R57" s="186">
        <f>SUMIFS(DWbonus[[Sum]:[Sum]],DWbonus[[Dato]:[Dato]], "&gt;="&amp;R$5,DWbonus[[Dato]:[Dato]],"&lt;="&amp;EOMONTH(R$5,0),DWbonus[[Bookie]:[Bookie]],$K57)+SUMIFS(LayTable[[Faktisk res]:[Faktisk res]],LayTable[[Dato]:[Dato]],"&gt;="&amp;R$5,LayTable[[Dato]:[Dato]],"&lt;="&amp;EOMONTH(R$5,0),LayTable[[Bookmaker]:[Bookmaker]],$K57)+SUMIFS(BetTable[[AR_per_bookie]:[AR_per_bookie]],BetTable[[B1]:[B1]],$K57,BetTable[[Date]:[Date]], "&gt;="&amp;R$5,BetTable[[Date]:[Date]],"&lt;="&amp;EOMONTH(R$5,0))+SUMIFS(BetTable[[AR_per_bookie]:[AR_per_bookie]],BetTable[[B2]:[B2]],$K57,BetTable[[Date]:[Date]], "&gt;="&amp;R$5,BetTable[[Date]:[Date]],"&lt;="&amp;EOMONTH(R$5,0))+SUMIFS(BetTable[[AR_per_bookie]:[AR_per_bookie]],BetTable[[B3]:[B3]],$K57,BetTable[[Date]:[Date]], "&gt;="&amp;R$5,BetTable[[Date]:[Date]],"&lt;="&amp;EOMONTH(R$5,0))</f>
        <v>0</v>
      </c>
      <c r="S57" s="186">
        <f>SUMIFS(DWbonus[[Sum]:[Sum]],DWbonus[[Dato]:[Dato]], "&gt;="&amp;S$5,DWbonus[[Dato]:[Dato]],"&lt;="&amp;EOMONTH(S$5,0),DWbonus[[Bookie]:[Bookie]],$K57)+SUMIFS(LayTable[[Faktisk res]:[Faktisk res]],LayTable[[Dato]:[Dato]],"&gt;="&amp;S$5,LayTable[[Dato]:[Dato]],"&lt;="&amp;EOMONTH(S$5,0),LayTable[[Bookmaker]:[Bookmaker]],$K57)+SUMIFS(BetTable[[AR_per_bookie]:[AR_per_bookie]],BetTable[[B1]:[B1]],$K57,BetTable[[Date]:[Date]], "&gt;="&amp;S$5,BetTable[[Date]:[Date]],"&lt;="&amp;EOMONTH(S$5,0))+SUMIFS(BetTable[[AR_per_bookie]:[AR_per_bookie]],BetTable[[B2]:[B2]],$K57,BetTable[[Date]:[Date]], "&gt;="&amp;S$5,BetTable[[Date]:[Date]],"&lt;="&amp;EOMONTH(S$5,0))+SUMIFS(BetTable[[AR_per_bookie]:[AR_per_bookie]],BetTable[[B3]:[B3]],$K57,BetTable[[Date]:[Date]], "&gt;="&amp;S$5,BetTable[[Date]:[Date]],"&lt;="&amp;EOMONTH(S$5,0))</f>
        <v>0</v>
      </c>
      <c r="T57" s="186">
        <f>SUMIFS(DWbonus[[Sum]:[Sum]],DWbonus[[Dato]:[Dato]], "&gt;="&amp;T$5,DWbonus[[Dato]:[Dato]],"&lt;="&amp;EOMONTH(T$5,0),DWbonus[[Bookie]:[Bookie]],$K57)+SUMIFS(LayTable[[Faktisk res]:[Faktisk res]],LayTable[[Dato]:[Dato]],"&gt;="&amp;T$5,LayTable[[Dato]:[Dato]],"&lt;="&amp;EOMONTH(T$5,0),LayTable[[Bookmaker]:[Bookmaker]],$K57)+SUMIFS(BetTable[[AR_per_bookie]:[AR_per_bookie]],BetTable[[B1]:[B1]],$K57,BetTable[[Date]:[Date]], "&gt;="&amp;T$5,BetTable[[Date]:[Date]],"&lt;="&amp;EOMONTH(T$5,0))+SUMIFS(BetTable[[AR_per_bookie]:[AR_per_bookie]],BetTable[[B2]:[B2]],$K57,BetTable[[Date]:[Date]], "&gt;="&amp;T$5,BetTable[[Date]:[Date]],"&lt;="&amp;EOMONTH(T$5,0))+SUMIFS(BetTable[[AR_per_bookie]:[AR_per_bookie]],BetTable[[B3]:[B3]],$K57,BetTable[[Date]:[Date]], "&gt;="&amp;T$5,BetTable[[Date]:[Date]],"&lt;="&amp;EOMONTH(T$5,0))</f>
        <v>0</v>
      </c>
      <c r="U57" s="186">
        <f>SUMIFS(DWbonus[[Sum]:[Sum]],DWbonus[[Dato]:[Dato]], "&gt;="&amp;U$5,DWbonus[[Dato]:[Dato]],"&lt;="&amp;EOMONTH(U$5,0),DWbonus[[Bookie]:[Bookie]],$K57)+SUMIFS(LayTable[[Faktisk res]:[Faktisk res]],LayTable[[Dato]:[Dato]],"&gt;="&amp;U$5,LayTable[[Dato]:[Dato]],"&lt;="&amp;EOMONTH(U$5,0),LayTable[[Bookmaker]:[Bookmaker]],$K57)+SUMIFS(BetTable[[AR_per_bookie]:[AR_per_bookie]],BetTable[[B1]:[B1]],$K57,BetTable[[Date]:[Date]], "&gt;="&amp;U$5,BetTable[[Date]:[Date]],"&lt;="&amp;EOMONTH(U$5,0))+SUMIFS(BetTable[[AR_per_bookie]:[AR_per_bookie]],BetTable[[B2]:[B2]],$K57,BetTable[[Date]:[Date]], "&gt;="&amp;U$5,BetTable[[Date]:[Date]],"&lt;="&amp;EOMONTH(U$5,0))+SUMIFS(BetTable[[AR_per_bookie]:[AR_per_bookie]],BetTable[[B3]:[B3]],$K57,BetTable[[Date]:[Date]], "&gt;="&amp;U$5,BetTable[[Date]:[Date]],"&lt;="&amp;EOMONTH(U$5,0))</f>
        <v>0</v>
      </c>
      <c r="V57" s="186">
        <f>SUMIFS(DWbonus[[Sum]:[Sum]],DWbonus[[Dato]:[Dato]], "&gt;="&amp;V$5,DWbonus[[Dato]:[Dato]],"&lt;="&amp;EOMONTH(V$5,0),DWbonus[[Bookie]:[Bookie]],$K57)+SUMIFS(LayTable[[Faktisk res]:[Faktisk res]],LayTable[[Dato]:[Dato]],"&gt;="&amp;V$5,LayTable[[Dato]:[Dato]],"&lt;="&amp;EOMONTH(V$5,0),LayTable[[Bookmaker]:[Bookmaker]],$K57)+SUMIFS(BetTable[[AR_per_bookie]:[AR_per_bookie]],BetTable[[B1]:[B1]],$K57,BetTable[[Date]:[Date]], "&gt;="&amp;V$5,BetTable[[Date]:[Date]],"&lt;="&amp;EOMONTH(V$5,0))+SUMIFS(BetTable[[AR_per_bookie]:[AR_per_bookie]],BetTable[[B2]:[B2]],$K57,BetTable[[Date]:[Date]], "&gt;="&amp;V$5,BetTable[[Date]:[Date]],"&lt;="&amp;EOMONTH(V$5,0))+SUMIFS(BetTable[[AR_per_bookie]:[AR_per_bookie]],BetTable[[B3]:[B3]],$K57,BetTable[[Date]:[Date]], "&gt;="&amp;V$5,BetTable[[Date]:[Date]],"&lt;="&amp;EOMONTH(V$5,0))</f>
        <v>0</v>
      </c>
      <c r="W57" s="186">
        <f>SUMIFS(DWbonus[[Sum]:[Sum]],DWbonus[[Dato]:[Dato]], "&gt;="&amp;W$5,DWbonus[[Dato]:[Dato]],"&lt;="&amp;EOMONTH(W$5,0),DWbonus[[Bookie]:[Bookie]],$K57)+SUMIFS(LayTable[[Faktisk res]:[Faktisk res]],LayTable[[Dato]:[Dato]],"&gt;="&amp;W$5,LayTable[[Dato]:[Dato]],"&lt;="&amp;EOMONTH(W$5,0),LayTable[[Bookmaker]:[Bookmaker]],$K57)+SUMIFS(BetTable[[AR_per_bookie]:[AR_per_bookie]],BetTable[[B1]:[B1]],$K57,BetTable[[Date]:[Date]], "&gt;="&amp;W$5,BetTable[[Date]:[Date]],"&lt;="&amp;EOMONTH(W$5,0))+SUMIFS(BetTable[[AR_per_bookie]:[AR_per_bookie]],BetTable[[B2]:[B2]],$K57,BetTable[[Date]:[Date]], "&gt;="&amp;W$5,BetTable[[Date]:[Date]],"&lt;="&amp;EOMONTH(W$5,0))+SUMIFS(BetTable[[AR_per_bookie]:[AR_per_bookie]],BetTable[[B3]:[B3]],$K57,BetTable[[Date]:[Date]], "&gt;="&amp;W$5,BetTable[[Date]:[Date]],"&lt;="&amp;EOMONTH(W$5,0))</f>
        <v>0</v>
      </c>
    </row>
    <row r="58" spans="1:23">
      <c r="A58" s="174" t="s">
        <v>214</v>
      </c>
      <c r="B58" s="209">
        <v>1</v>
      </c>
      <c r="C58" s="174">
        <v>1000</v>
      </c>
      <c r="E58" s="174" t="s">
        <v>357</v>
      </c>
      <c r="K58" s="174" t="str">
        <f t="array" ref="K58">IFERROR(INDEX(BookieNavn!H$2:H$1251,SMALL(IF(EXACT(LEFT(BookieNavn!H$2:H$1251,2),M$3),ROW(BookieNavn!H$2:H$1251)-ROW(BookieNavn!H$2)+1),ROWS(BookieNavn!H$2:'BookieNavn'!H53))),"")</f>
        <v/>
      </c>
      <c r="L58" s="186">
        <f>SUMIFS(DWbonus[[Sum]:[Sum]],DWbonus[[Dato]:[Dato]], "&gt;="&amp;L$5,DWbonus[[Dato]:[Dato]],"&lt;="&amp;EOMONTH(L$5,0),DWbonus[[Bookie]:[Bookie]],$K58)+SUMIFS(LayTable[[Faktisk res]:[Faktisk res]],LayTable[[Dato]:[Dato]],"&gt;="&amp;L$5,LayTable[[Dato]:[Dato]],"&lt;="&amp;EOMONTH(L$5,0),LayTable[[Bookmaker]:[Bookmaker]],$K58)+SUMIFS(BetTable[[AR_per_bookie]:[AR_per_bookie]],BetTable[[B1]:[B1]],$K58,BetTable[[Date]:[Date]], "&gt;="&amp;L$5,BetTable[[Date]:[Date]],"&lt;="&amp;EOMONTH(L$5,0))+SUMIFS(BetTable[[AR_per_bookie]:[AR_per_bookie]],BetTable[[B2]:[B2]],$K58,BetTable[[Date]:[Date]], "&gt;="&amp;L$5,BetTable[[Date]:[Date]],"&lt;="&amp;EOMONTH(L$5,0))+SUMIFS(BetTable[[AR_per_bookie]:[AR_per_bookie]],BetTable[[B3]:[B3]],$K58,BetTable[[Date]:[Date]], "&gt;="&amp;L$5,BetTable[[Date]:[Date]],"&lt;="&amp;EOMONTH(L$5,0))</f>
        <v>0</v>
      </c>
      <c r="M58" s="186">
        <f>SUMIFS(DWbonus[[Sum]:[Sum]],DWbonus[[Dato]:[Dato]], "&gt;="&amp;M$5,DWbonus[[Dato]:[Dato]],"&lt;="&amp;EOMONTH(M$5,0),DWbonus[[Bookie]:[Bookie]],$K58)+SUMIFS(LayTable[[Faktisk res]:[Faktisk res]],LayTable[[Dato]:[Dato]],"&gt;="&amp;M$5,LayTable[[Dato]:[Dato]],"&lt;="&amp;EOMONTH(M$5,0),LayTable[[Bookmaker]:[Bookmaker]],$K58)+SUMIFS(BetTable[[AR_per_bookie]:[AR_per_bookie]],BetTable[[B1]:[B1]],$K58,BetTable[[Date]:[Date]], "&gt;="&amp;M$5,BetTable[[Date]:[Date]],"&lt;="&amp;EOMONTH(M$5,0))+SUMIFS(BetTable[[AR_per_bookie]:[AR_per_bookie]],BetTable[[B2]:[B2]],$K58,BetTable[[Date]:[Date]], "&gt;="&amp;M$5,BetTable[[Date]:[Date]],"&lt;="&amp;EOMONTH(M$5,0))+SUMIFS(BetTable[[AR_per_bookie]:[AR_per_bookie]],BetTable[[B3]:[B3]],$K58,BetTable[[Date]:[Date]], "&gt;="&amp;M$5,BetTable[[Date]:[Date]],"&lt;="&amp;EOMONTH(M$5,0))</f>
        <v>0</v>
      </c>
      <c r="N58" s="186">
        <f>SUMIFS(DWbonus[[Sum]:[Sum]],DWbonus[[Dato]:[Dato]], "&gt;="&amp;N$5,DWbonus[[Dato]:[Dato]],"&lt;="&amp;EOMONTH(N$5,0),DWbonus[[Bookie]:[Bookie]],$K58)+SUMIFS(LayTable[[Faktisk res]:[Faktisk res]],LayTable[[Dato]:[Dato]],"&gt;="&amp;N$5,LayTable[[Dato]:[Dato]],"&lt;="&amp;EOMONTH(N$5,0),LayTable[[Bookmaker]:[Bookmaker]],$K58)+SUMIFS(BetTable[[AR_per_bookie]:[AR_per_bookie]],BetTable[[B1]:[B1]],$K58,BetTable[[Date]:[Date]], "&gt;="&amp;N$5,BetTable[[Date]:[Date]],"&lt;="&amp;EOMONTH(N$5,0))+SUMIFS(BetTable[[AR_per_bookie]:[AR_per_bookie]],BetTable[[B2]:[B2]],$K58,BetTable[[Date]:[Date]], "&gt;="&amp;N$5,BetTable[[Date]:[Date]],"&lt;="&amp;EOMONTH(N$5,0))+SUMIFS(BetTable[[AR_per_bookie]:[AR_per_bookie]],BetTable[[B3]:[B3]],$K58,BetTable[[Date]:[Date]], "&gt;="&amp;N$5,BetTable[[Date]:[Date]],"&lt;="&amp;EOMONTH(N$5,0))</f>
        <v>0</v>
      </c>
      <c r="O58" s="186">
        <f>SUMIFS(DWbonus[[Sum]:[Sum]],DWbonus[[Dato]:[Dato]], "&gt;="&amp;O$5,DWbonus[[Dato]:[Dato]],"&lt;="&amp;EOMONTH(O$5,0),DWbonus[[Bookie]:[Bookie]],$K58)+SUMIFS(LayTable[[Faktisk res]:[Faktisk res]],LayTable[[Dato]:[Dato]],"&gt;="&amp;O$5,LayTable[[Dato]:[Dato]],"&lt;="&amp;EOMONTH(O$5,0),LayTable[[Bookmaker]:[Bookmaker]],$K58)+SUMIFS(BetTable[[AR_per_bookie]:[AR_per_bookie]],BetTable[[B1]:[B1]],$K58,BetTable[[Date]:[Date]], "&gt;="&amp;O$5,BetTable[[Date]:[Date]],"&lt;="&amp;EOMONTH(O$5,0))+SUMIFS(BetTable[[AR_per_bookie]:[AR_per_bookie]],BetTable[[B2]:[B2]],$K58,BetTable[[Date]:[Date]], "&gt;="&amp;O$5,BetTable[[Date]:[Date]],"&lt;="&amp;EOMONTH(O$5,0))+SUMIFS(BetTable[[AR_per_bookie]:[AR_per_bookie]],BetTable[[B3]:[B3]],$K58,BetTable[[Date]:[Date]], "&gt;="&amp;O$5,BetTable[[Date]:[Date]],"&lt;="&amp;EOMONTH(O$5,0))</f>
        <v>0</v>
      </c>
      <c r="P58" s="186">
        <f>SUMIFS(DWbonus[[Sum]:[Sum]],DWbonus[[Dato]:[Dato]], "&gt;="&amp;P$5,DWbonus[[Dato]:[Dato]],"&lt;="&amp;EOMONTH(P$5,0),DWbonus[[Bookie]:[Bookie]],$K58)+SUMIFS(LayTable[[Faktisk res]:[Faktisk res]],LayTable[[Dato]:[Dato]],"&gt;="&amp;P$5,LayTable[[Dato]:[Dato]],"&lt;="&amp;EOMONTH(P$5,0),LayTable[[Bookmaker]:[Bookmaker]],$K58)+SUMIFS(BetTable[[AR_per_bookie]:[AR_per_bookie]],BetTable[[B1]:[B1]],$K58,BetTable[[Date]:[Date]], "&gt;="&amp;P$5,BetTable[[Date]:[Date]],"&lt;="&amp;EOMONTH(P$5,0))+SUMIFS(BetTable[[AR_per_bookie]:[AR_per_bookie]],BetTable[[B2]:[B2]],$K58,BetTable[[Date]:[Date]], "&gt;="&amp;P$5,BetTable[[Date]:[Date]],"&lt;="&amp;EOMONTH(P$5,0))+SUMIFS(BetTable[[AR_per_bookie]:[AR_per_bookie]],BetTable[[B3]:[B3]],$K58,BetTable[[Date]:[Date]], "&gt;="&amp;P$5,BetTable[[Date]:[Date]],"&lt;="&amp;EOMONTH(P$5,0))</f>
        <v>0</v>
      </c>
      <c r="Q58" s="186">
        <f>SUMIFS(DWbonus[[Sum]:[Sum]],DWbonus[[Dato]:[Dato]], "&gt;="&amp;Q$5,DWbonus[[Dato]:[Dato]],"&lt;="&amp;EOMONTH(Q$5,0),DWbonus[[Bookie]:[Bookie]],$K58)+SUMIFS(LayTable[[Faktisk res]:[Faktisk res]],LayTable[[Dato]:[Dato]],"&gt;="&amp;Q$5,LayTable[[Dato]:[Dato]],"&lt;="&amp;EOMONTH(Q$5,0),LayTable[[Bookmaker]:[Bookmaker]],$K58)+SUMIFS(BetTable[[AR_per_bookie]:[AR_per_bookie]],BetTable[[B1]:[B1]],$K58,BetTable[[Date]:[Date]], "&gt;="&amp;Q$5,BetTable[[Date]:[Date]],"&lt;="&amp;EOMONTH(Q$5,0))+SUMIFS(BetTable[[AR_per_bookie]:[AR_per_bookie]],BetTable[[B2]:[B2]],$K58,BetTable[[Date]:[Date]], "&gt;="&amp;Q$5,BetTable[[Date]:[Date]],"&lt;="&amp;EOMONTH(Q$5,0))+SUMIFS(BetTable[[AR_per_bookie]:[AR_per_bookie]],BetTable[[B3]:[B3]],$K58,BetTable[[Date]:[Date]], "&gt;="&amp;Q$5,BetTable[[Date]:[Date]],"&lt;="&amp;EOMONTH(Q$5,0))</f>
        <v>0</v>
      </c>
      <c r="R58" s="186">
        <f>SUMIFS(DWbonus[[Sum]:[Sum]],DWbonus[[Dato]:[Dato]], "&gt;="&amp;R$5,DWbonus[[Dato]:[Dato]],"&lt;="&amp;EOMONTH(R$5,0),DWbonus[[Bookie]:[Bookie]],$K58)+SUMIFS(LayTable[[Faktisk res]:[Faktisk res]],LayTable[[Dato]:[Dato]],"&gt;="&amp;R$5,LayTable[[Dato]:[Dato]],"&lt;="&amp;EOMONTH(R$5,0),LayTable[[Bookmaker]:[Bookmaker]],$K58)+SUMIFS(BetTable[[AR_per_bookie]:[AR_per_bookie]],BetTable[[B1]:[B1]],$K58,BetTable[[Date]:[Date]], "&gt;="&amp;R$5,BetTable[[Date]:[Date]],"&lt;="&amp;EOMONTH(R$5,0))+SUMIFS(BetTable[[AR_per_bookie]:[AR_per_bookie]],BetTable[[B2]:[B2]],$K58,BetTable[[Date]:[Date]], "&gt;="&amp;R$5,BetTable[[Date]:[Date]],"&lt;="&amp;EOMONTH(R$5,0))+SUMIFS(BetTable[[AR_per_bookie]:[AR_per_bookie]],BetTable[[B3]:[B3]],$K58,BetTable[[Date]:[Date]], "&gt;="&amp;R$5,BetTable[[Date]:[Date]],"&lt;="&amp;EOMONTH(R$5,0))</f>
        <v>0</v>
      </c>
      <c r="S58" s="186">
        <f>SUMIFS(DWbonus[[Sum]:[Sum]],DWbonus[[Dato]:[Dato]], "&gt;="&amp;S$5,DWbonus[[Dato]:[Dato]],"&lt;="&amp;EOMONTH(S$5,0),DWbonus[[Bookie]:[Bookie]],$K58)+SUMIFS(LayTable[[Faktisk res]:[Faktisk res]],LayTable[[Dato]:[Dato]],"&gt;="&amp;S$5,LayTable[[Dato]:[Dato]],"&lt;="&amp;EOMONTH(S$5,0),LayTable[[Bookmaker]:[Bookmaker]],$K58)+SUMIFS(BetTable[[AR_per_bookie]:[AR_per_bookie]],BetTable[[B1]:[B1]],$K58,BetTable[[Date]:[Date]], "&gt;="&amp;S$5,BetTable[[Date]:[Date]],"&lt;="&amp;EOMONTH(S$5,0))+SUMIFS(BetTable[[AR_per_bookie]:[AR_per_bookie]],BetTable[[B2]:[B2]],$K58,BetTable[[Date]:[Date]], "&gt;="&amp;S$5,BetTable[[Date]:[Date]],"&lt;="&amp;EOMONTH(S$5,0))+SUMIFS(BetTable[[AR_per_bookie]:[AR_per_bookie]],BetTable[[B3]:[B3]],$K58,BetTable[[Date]:[Date]], "&gt;="&amp;S$5,BetTable[[Date]:[Date]],"&lt;="&amp;EOMONTH(S$5,0))</f>
        <v>0</v>
      </c>
      <c r="T58" s="186">
        <f>SUMIFS(DWbonus[[Sum]:[Sum]],DWbonus[[Dato]:[Dato]], "&gt;="&amp;T$5,DWbonus[[Dato]:[Dato]],"&lt;="&amp;EOMONTH(T$5,0),DWbonus[[Bookie]:[Bookie]],$K58)+SUMIFS(LayTable[[Faktisk res]:[Faktisk res]],LayTable[[Dato]:[Dato]],"&gt;="&amp;T$5,LayTable[[Dato]:[Dato]],"&lt;="&amp;EOMONTH(T$5,0),LayTable[[Bookmaker]:[Bookmaker]],$K58)+SUMIFS(BetTable[[AR_per_bookie]:[AR_per_bookie]],BetTable[[B1]:[B1]],$K58,BetTable[[Date]:[Date]], "&gt;="&amp;T$5,BetTable[[Date]:[Date]],"&lt;="&amp;EOMONTH(T$5,0))+SUMIFS(BetTable[[AR_per_bookie]:[AR_per_bookie]],BetTable[[B2]:[B2]],$K58,BetTable[[Date]:[Date]], "&gt;="&amp;T$5,BetTable[[Date]:[Date]],"&lt;="&amp;EOMONTH(T$5,0))+SUMIFS(BetTable[[AR_per_bookie]:[AR_per_bookie]],BetTable[[B3]:[B3]],$K58,BetTable[[Date]:[Date]], "&gt;="&amp;T$5,BetTable[[Date]:[Date]],"&lt;="&amp;EOMONTH(T$5,0))</f>
        <v>0</v>
      </c>
      <c r="U58" s="186">
        <f>SUMIFS(DWbonus[[Sum]:[Sum]],DWbonus[[Dato]:[Dato]], "&gt;="&amp;U$5,DWbonus[[Dato]:[Dato]],"&lt;="&amp;EOMONTH(U$5,0),DWbonus[[Bookie]:[Bookie]],$K58)+SUMIFS(LayTable[[Faktisk res]:[Faktisk res]],LayTable[[Dato]:[Dato]],"&gt;="&amp;U$5,LayTable[[Dato]:[Dato]],"&lt;="&amp;EOMONTH(U$5,0),LayTable[[Bookmaker]:[Bookmaker]],$K58)+SUMIFS(BetTable[[AR_per_bookie]:[AR_per_bookie]],BetTable[[B1]:[B1]],$K58,BetTable[[Date]:[Date]], "&gt;="&amp;U$5,BetTable[[Date]:[Date]],"&lt;="&amp;EOMONTH(U$5,0))+SUMIFS(BetTable[[AR_per_bookie]:[AR_per_bookie]],BetTable[[B2]:[B2]],$K58,BetTable[[Date]:[Date]], "&gt;="&amp;U$5,BetTable[[Date]:[Date]],"&lt;="&amp;EOMONTH(U$5,0))+SUMIFS(BetTable[[AR_per_bookie]:[AR_per_bookie]],BetTable[[B3]:[B3]],$K58,BetTable[[Date]:[Date]], "&gt;="&amp;U$5,BetTable[[Date]:[Date]],"&lt;="&amp;EOMONTH(U$5,0))</f>
        <v>0</v>
      </c>
      <c r="V58" s="186">
        <f>SUMIFS(DWbonus[[Sum]:[Sum]],DWbonus[[Dato]:[Dato]], "&gt;="&amp;V$5,DWbonus[[Dato]:[Dato]],"&lt;="&amp;EOMONTH(V$5,0),DWbonus[[Bookie]:[Bookie]],$K58)+SUMIFS(LayTable[[Faktisk res]:[Faktisk res]],LayTable[[Dato]:[Dato]],"&gt;="&amp;V$5,LayTable[[Dato]:[Dato]],"&lt;="&amp;EOMONTH(V$5,0),LayTable[[Bookmaker]:[Bookmaker]],$K58)+SUMIFS(BetTable[[AR_per_bookie]:[AR_per_bookie]],BetTable[[B1]:[B1]],$K58,BetTable[[Date]:[Date]], "&gt;="&amp;V$5,BetTable[[Date]:[Date]],"&lt;="&amp;EOMONTH(V$5,0))+SUMIFS(BetTable[[AR_per_bookie]:[AR_per_bookie]],BetTable[[B2]:[B2]],$K58,BetTable[[Date]:[Date]], "&gt;="&amp;V$5,BetTable[[Date]:[Date]],"&lt;="&amp;EOMONTH(V$5,0))+SUMIFS(BetTable[[AR_per_bookie]:[AR_per_bookie]],BetTable[[B3]:[B3]],$K58,BetTable[[Date]:[Date]], "&gt;="&amp;V$5,BetTable[[Date]:[Date]],"&lt;="&amp;EOMONTH(V$5,0))</f>
        <v>0</v>
      </c>
      <c r="W58" s="186">
        <f>SUMIFS(DWbonus[[Sum]:[Sum]],DWbonus[[Dato]:[Dato]], "&gt;="&amp;W$5,DWbonus[[Dato]:[Dato]],"&lt;="&amp;EOMONTH(W$5,0),DWbonus[[Bookie]:[Bookie]],$K58)+SUMIFS(LayTable[[Faktisk res]:[Faktisk res]],LayTable[[Dato]:[Dato]],"&gt;="&amp;W$5,LayTable[[Dato]:[Dato]],"&lt;="&amp;EOMONTH(W$5,0),LayTable[[Bookmaker]:[Bookmaker]],$K58)+SUMIFS(BetTable[[AR_per_bookie]:[AR_per_bookie]],BetTable[[B1]:[B1]],$K58,BetTable[[Date]:[Date]], "&gt;="&amp;W$5,BetTable[[Date]:[Date]],"&lt;="&amp;EOMONTH(W$5,0))+SUMIFS(BetTable[[AR_per_bookie]:[AR_per_bookie]],BetTable[[B2]:[B2]],$K58,BetTable[[Date]:[Date]], "&gt;="&amp;W$5,BetTable[[Date]:[Date]],"&lt;="&amp;EOMONTH(W$5,0))+SUMIFS(BetTable[[AR_per_bookie]:[AR_per_bookie]],BetTable[[B3]:[B3]],$K58,BetTable[[Date]:[Date]], "&gt;="&amp;W$5,BetTable[[Date]:[Date]],"&lt;="&amp;EOMONTH(W$5,0))</f>
        <v>0</v>
      </c>
    </row>
    <row r="59" spans="1:23">
      <c r="A59" s="174" t="s">
        <v>216</v>
      </c>
      <c r="B59" s="209">
        <v>1</v>
      </c>
      <c r="C59" s="174">
        <v>2000</v>
      </c>
      <c r="E59" s="174" t="s">
        <v>357</v>
      </c>
      <c r="K59" s="174" t="str">
        <f t="array" ref="K59">IFERROR(INDEX(BookieNavn!H$2:H$1251,SMALL(IF(EXACT(LEFT(BookieNavn!H$2:H$1251,2),M$3),ROW(BookieNavn!H$2:H$1251)-ROW(BookieNavn!H$2)+1),ROWS(BookieNavn!H$2:'BookieNavn'!H54))),"")</f>
        <v/>
      </c>
      <c r="L59" s="186">
        <f>SUMIFS(DWbonus[[Sum]:[Sum]],DWbonus[[Dato]:[Dato]], "&gt;="&amp;L$5,DWbonus[[Dato]:[Dato]],"&lt;="&amp;EOMONTH(L$5,0),DWbonus[[Bookie]:[Bookie]],$K59)+SUMIFS(LayTable[[Faktisk res]:[Faktisk res]],LayTable[[Dato]:[Dato]],"&gt;="&amp;L$5,LayTable[[Dato]:[Dato]],"&lt;="&amp;EOMONTH(L$5,0),LayTable[[Bookmaker]:[Bookmaker]],$K59)+SUMIFS(BetTable[[AR_per_bookie]:[AR_per_bookie]],BetTable[[B1]:[B1]],$K59,BetTable[[Date]:[Date]], "&gt;="&amp;L$5,BetTable[[Date]:[Date]],"&lt;="&amp;EOMONTH(L$5,0))+SUMIFS(BetTable[[AR_per_bookie]:[AR_per_bookie]],BetTable[[B2]:[B2]],$K59,BetTable[[Date]:[Date]], "&gt;="&amp;L$5,BetTable[[Date]:[Date]],"&lt;="&amp;EOMONTH(L$5,0))+SUMIFS(BetTable[[AR_per_bookie]:[AR_per_bookie]],BetTable[[B3]:[B3]],$K59,BetTable[[Date]:[Date]], "&gt;="&amp;L$5,BetTable[[Date]:[Date]],"&lt;="&amp;EOMONTH(L$5,0))</f>
        <v>0</v>
      </c>
      <c r="M59" s="186">
        <f>SUMIFS(DWbonus[[Sum]:[Sum]],DWbonus[[Dato]:[Dato]], "&gt;="&amp;M$5,DWbonus[[Dato]:[Dato]],"&lt;="&amp;EOMONTH(M$5,0),DWbonus[[Bookie]:[Bookie]],$K59)+SUMIFS(LayTable[[Faktisk res]:[Faktisk res]],LayTable[[Dato]:[Dato]],"&gt;="&amp;M$5,LayTable[[Dato]:[Dato]],"&lt;="&amp;EOMONTH(M$5,0),LayTable[[Bookmaker]:[Bookmaker]],$K59)+SUMIFS(BetTable[[AR_per_bookie]:[AR_per_bookie]],BetTable[[B1]:[B1]],$K59,BetTable[[Date]:[Date]], "&gt;="&amp;M$5,BetTable[[Date]:[Date]],"&lt;="&amp;EOMONTH(M$5,0))+SUMIFS(BetTable[[AR_per_bookie]:[AR_per_bookie]],BetTable[[B2]:[B2]],$K59,BetTable[[Date]:[Date]], "&gt;="&amp;M$5,BetTable[[Date]:[Date]],"&lt;="&amp;EOMONTH(M$5,0))+SUMIFS(BetTable[[AR_per_bookie]:[AR_per_bookie]],BetTable[[B3]:[B3]],$K59,BetTable[[Date]:[Date]], "&gt;="&amp;M$5,BetTable[[Date]:[Date]],"&lt;="&amp;EOMONTH(M$5,0))</f>
        <v>0</v>
      </c>
      <c r="N59" s="186">
        <f>SUMIFS(DWbonus[[Sum]:[Sum]],DWbonus[[Dato]:[Dato]], "&gt;="&amp;N$5,DWbonus[[Dato]:[Dato]],"&lt;="&amp;EOMONTH(N$5,0),DWbonus[[Bookie]:[Bookie]],$K59)+SUMIFS(LayTable[[Faktisk res]:[Faktisk res]],LayTable[[Dato]:[Dato]],"&gt;="&amp;N$5,LayTable[[Dato]:[Dato]],"&lt;="&amp;EOMONTH(N$5,0),LayTable[[Bookmaker]:[Bookmaker]],$K59)+SUMIFS(BetTable[[AR_per_bookie]:[AR_per_bookie]],BetTable[[B1]:[B1]],$K59,BetTable[[Date]:[Date]], "&gt;="&amp;N$5,BetTable[[Date]:[Date]],"&lt;="&amp;EOMONTH(N$5,0))+SUMIFS(BetTable[[AR_per_bookie]:[AR_per_bookie]],BetTable[[B2]:[B2]],$K59,BetTable[[Date]:[Date]], "&gt;="&amp;N$5,BetTable[[Date]:[Date]],"&lt;="&amp;EOMONTH(N$5,0))+SUMIFS(BetTable[[AR_per_bookie]:[AR_per_bookie]],BetTable[[B3]:[B3]],$K59,BetTable[[Date]:[Date]], "&gt;="&amp;N$5,BetTable[[Date]:[Date]],"&lt;="&amp;EOMONTH(N$5,0))</f>
        <v>0</v>
      </c>
      <c r="O59" s="186">
        <f>SUMIFS(DWbonus[[Sum]:[Sum]],DWbonus[[Dato]:[Dato]], "&gt;="&amp;O$5,DWbonus[[Dato]:[Dato]],"&lt;="&amp;EOMONTH(O$5,0),DWbonus[[Bookie]:[Bookie]],$K59)+SUMIFS(LayTable[[Faktisk res]:[Faktisk res]],LayTable[[Dato]:[Dato]],"&gt;="&amp;O$5,LayTable[[Dato]:[Dato]],"&lt;="&amp;EOMONTH(O$5,0),LayTable[[Bookmaker]:[Bookmaker]],$K59)+SUMIFS(BetTable[[AR_per_bookie]:[AR_per_bookie]],BetTable[[B1]:[B1]],$K59,BetTable[[Date]:[Date]], "&gt;="&amp;O$5,BetTable[[Date]:[Date]],"&lt;="&amp;EOMONTH(O$5,0))+SUMIFS(BetTable[[AR_per_bookie]:[AR_per_bookie]],BetTable[[B2]:[B2]],$K59,BetTable[[Date]:[Date]], "&gt;="&amp;O$5,BetTable[[Date]:[Date]],"&lt;="&amp;EOMONTH(O$5,0))+SUMIFS(BetTable[[AR_per_bookie]:[AR_per_bookie]],BetTable[[B3]:[B3]],$K59,BetTable[[Date]:[Date]], "&gt;="&amp;O$5,BetTable[[Date]:[Date]],"&lt;="&amp;EOMONTH(O$5,0))</f>
        <v>0</v>
      </c>
      <c r="P59" s="186">
        <f>SUMIFS(DWbonus[[Sum]:[Sum]],DWbonus[[Dato]:[Dato]], "&gt;="&amp;P$5,DWbonus[[Dato]:[Dato]],"&lt;="&amp;EOMONTH(P$5,0),DWbonus[[Bookie]:[Bookie]],$K59)+SUMIFS(LayTable[[Faktisk res]:[Faktisk res]],LayTable[[Dato]:[Dato]],"&gt;="&amp;P$5,LayTable[[Dato]:[Dato]],"&lt;="&amp;EOMONTH(P$5,0),LayTable[[Bookmaker]:[Bookmaker]],$K59)+SUMIFS(BetTable[[AR_per_bookie]:[AR_per_bookie]],BetTable[[B1]:[B1]],$K59,BetTable[[Date]:[Date]], "&gt;="&amp;P$5,BetTable[[Date]:[Date]],"&lt;="&amp;EOMONTH(P$5,0))+SUMIFS(BetTable[[AR_per_bookie]:[AR_per_bookie]],BetTable[[B2]:[B2]],$K59,BetTable[[Date]:[Date]], "&gt;="&amp;P$5,BetTable[[Date]:[Date]],"&lt;="&amp;EOMONTH(P$5,0))+SUMIFS(BetTable[[AR_per_bookie]:[AR_per_bookie]],BetTable[[B3]:[B3]],$K59,BetTable[[Date]:[Date]], "&gt;="&amp;P$5,BetTable[[Date]:[Date]],"&lt;="&amp;EOMONTH(P$5,0))</f>
        <v>0</v>
      </c>
      <c r="Q59" s="186">
        <f>SUMIFS(DWbonus[[Sum]:[Sum]],DWbonus[[Dato]:[Dato]], "&gt;="&amp;Q$5,DWbonus[[Dato]:[Dato]],"&lt;="&amp;EOMONTH(Q$5,0),DWbonus[[Bookie]:[Bookie]],$K59)+SUMIFS(LayTable[[Faktisk res]:[Faktisk res]],LayTable[[Dato]:[Dato]],"&gt;="&amp;Q$5,LayTable[[Dato]:[Dato]],"&lt;="&amp;EOMONTH(Q$5,0),LayTable[[Bookmaker]:[Bookmaker]],$K59)+SUMIFS(BetTable[[AR_per_bookie]:[AR_per_bookie]],BetTable[[B1]:[B1]],$K59,BetTable[[Date]:[Date]], "&gt;="&amp;Q$5,BetTable[[Date]:[Date]],"&lt;="&amp;EOMONTH(Q$5,0))+SUMIFS(BetTable[[AR_per_bookie]:[AR_per_bookie]],BetTable[[B2]:[B2]],$K59,BetTable[[Date]:[Date]], "&gt;="&amp;Q$5,BetTable[[Date]:[Date]],"&lt;="&amp;EOMONTH(Q$5,0))+SUMIFS(BetTable[[AR_per_bookie]:[AR_per_bookie]],BetTable[[B3]:[B3]],$K59,BetTable[[Date]:[Date]], "&gt;="&amp;Q$5,BetTable[[Date]:[Date]],"&lt;="&amp;EOMONTH(Q$5,0))</f>
        <v>0</v>
      </c>
      <c r="R59" s="186">
        <f>SUMIFS(DWbonus[[Sum]:[Sum]],DWbonus[[Dato]:[Dato]], "&gt;="&amp;R$5,DWbonus[[Dato]:[Dato]],"&lt;="&amp;EOMONTH(R$5,0),DWbonus[[Bookie]:[Bookie]],$K59)+SUMIFS(LayTable[[Faktisk res]:[Faktisk res]],LayTable[[Dato]:[Dato]],"&gt;="&amp;R$5,LayTable[[Dato]:[Dato]],"&lt;="&amp;EOMONTH(R$5,0),LayTable[[Bookmaker]:[Bookmaker]],$K59)+SUMIFS(BetTable[[AR_per_bookie]:[AR_per_bookie]],BetTable[[B1]:[B1]],$K59,BetTable[[Date]:[Date]], "&gt;="&amp;R$5,BetTable[[Date]:[Date]],"&lt;="&amp;EOMONTH(R$5,0))+SUMIFS(BetTable[[AR_per_bookie]:[AR_per_bookie]],BetTable[[B2]:[B2]],$K59,BetTable[[Date]:[Date]], "&gt;="&amp;R$5,BetTable[[Date]:[Date]],"&lt;="&amp;EOMONTH(R$5,0))+SUMIFS(BetTable[[AR_per_bookie]:[AR_per_bookie]],BetTable[[B3]:[B3]],$K59,BetTable[[Date]:[Date]], "&gt;="&amp;R$5,BetTable[[Date]:[Date]],"&lt;="&amp;EOMONTH(R$5,0))</f>
        <v>0</v>
      </c>
      <c r="S59" s="186">
        <f>SUMIFS(DWbonus[[Sum]:[Sum]],DWbonus[[Dato]:[Dato]], "&gt;="&amp;S$5,DWbonus[[Dato]:[Dato]],"&lt;="&amp;EOMONTH(S$5,0),DWbonus[[Bookie]:[Bookie]],$K59)+SUMIFS(LayTable[[Faktisk res]:[Faktisk res]],LayTable[[Dato]:[Dato]],"&gt;="&amp;S$5,LayTable[[Dato]:[Dato]],"&lt;="&amp;EOMONTH(S$5,0),LayTable[[Bookmaker]:[Bookmaker]],$K59)+SUMIFS(BetTable[[AR_per_bookie]:[AR_per_bookie]],BetTable[[B1]:[B1]],$K59,BetTable[[Date]:[Date]], "&gt;="&amp;S$5,BetTable[[Date]:[Date]],"&lt;="&amp;EOMONTH(S$5,0))+SUMIFS(BetTable[[AR_per_bookie]:[AR_per_bookie]],BetTable[[B2]:[B2]],$K59,BetTable[[Date]:[Date]], "&gt;="&amp;S$5,BetTable[[Date]:[Date]],"&lt;="&amp;EOMONTH(S$5,0))+SUMIFS(BetTable[[AR_per_bookie]:[AR_per_bookie]],BetTable[[B3]:[B3]],$K59,BetTable[[Date]:[Date]], "&gt;="&amp;S$5,BetTable[[Date]:[Date]],"&lt;="&amp;EOMONTH(S$5,0))</f>
        <v>0</v>
      </c>
      <c r="T59" s="186">
        <f>SUMIFS(DWbonus[[Sum]:[Sum]],DWbonus[[Dato]:[Dato]], "&gt;="&amp;T$5,DWbonus[[Dato]:[Dato]],"&lt;="&amp;EOMONTH(T$5,0),DWbonus[[Bookie]:[Bookie]],$K59)+SUMIFS(LayTable[[Faktisk res]:[Faktisk res]],LayTable[[Dato]:[Dato]],"&gt;="&amp;T$5,LayTable[[Dato]:[Dato]],"&lt;="&amp;EOMONTH(T$5,0),LayTable[[Bookmaker]:[Bookmaker]],$K59)+SUMIFS(BetTable[[AR_per_bookie]:[AR_per_bookie]],BetTable[[B1]:[B1]],$K59,BetTable[[Date]:[Date]], "&gt;="&amp;T$5,BetTable[[Date]:[Date]],"&lt;="&amp;EOMONTH(T$5,0))+SUMIFS(BetTable[[AR_per_bookie]:[AR_per_bookie]],BetTable[[B2]:[B2]],$K59,BetTable[[Date]:[Date]], "&gt;="&amp;T$5,BetTable[[Date]:[Date]],"&lt;="&amp;EOMONTH(T$5,0))+SUMIFS(BetTable[[AR_per_bookie]:[AR_per_bookie]],BetTable[[B3]:[B3]],$K59,BetTable[[Date]:[Date]], "&gt;="&amp;T$5,BetTable[[Date]:[Date]],"&lt;="&amp;EOMONTH(T$5,0))</f>
        <v>0</v>
      </c>
      <c r="U59" s="186">
        <f>SUMIFS(DWbonus[[Sum]:[Sum]],DWbonus[[Dato]:[Dato]], "&gt;="&amp;U$5,DWbonus[[Dato]:[Dato]],"&lt;="&amp;EOMONTH(U$5,0),DWbonus[[Bookie]:[Bookie]],$K59)+SUMIFS(LayTable[[Faktisk res]:[Faktisk res]],LayTable[[Dato]:[Dato]],"&gt;="&amp;U$5,LayTable[[Dato]:[Dato]],"&lt;="&amp;EOMONTH(U$5,0),LayTable[[Bookmaker]:[Bookmaker]],$K59)+SUMIFS(BetTable[[AR_per_bookie]:[AR_per_bookie]],BetTable[[B1]:[B1]],$K59,BetTable[[Date]:[Date]], "&gt;="&amp;U$5,BetTable[[Date]:[Date]],"&lt;="&amp;EOMONTH(U$5,0))+SUMIFS(BetTable[[AR_per_bookie]:[AR_per_bookie]],BetTable[[B2]:[B2]],$K59,BetTable[[Date]:[Date]], "&gt;="&amp;U$5,BetTable[[Date]:[Date]],"&lt;="&amp;EOMONTH(U$5,0))+SUMIFS(BetTable[[AR_per_bookie]:[AR_per_bookie]],BetTable[[B3]:[B3]],$K59,BetTable[[Date]:[Date]], "&gt;="&amp;U$5,BetTable[[Date]:[Date]],"&lt;="&amp;EOMONTH(U$5,0))</f>
        <v>0</v>
      </c>
      <c r="V59" s="186">
        <f>SUMIFS(DWbonus[[Sum]:[Sum]],DWbonus[[Dato]:[Dato]], "&gt;="&amp;V$5,DWbonus[[Dato]:[Dato]],"&lt;="&amp;EOMONTH(V$5,0),DWbonus[[Bookie]:[Bookie]],$K59)+SUMIFS(LayTable[[Faktisk res]:[Faktisk res]],LayTable[[Dato]:[Dato]],"&gt;="&amp;V$5,LayTable[[Dato]:[Dato]],"&lt;="&amp;EOMONTH(V$5,0),LayTable[[Bookmaker]:[Bookmaker]],$K59)+SUMIFS(BetTable[[AR_per_bookie]:[AR_per_bookie]],BetTable[[B1]:[B1]],$K59,BetTable[[Date]:[Date]], "&gt;="&amp;V$5,BetTable[[Date]:[Date]],"&lt;="&amp;EOMONTH(V$5,0))+SUMIFS(BetTable[[AR_per_bookie]:[AR_per_bookie]],BetTable[[B2]:[B2]],$K59,BetTable[[Date]:[Date]], "&gt;="&amp;V$5,BetTable[[Date]:[Date]],"&lt;="&amp;EOMONTH(V$5,0))+SUMIFS(BetTable[[AR_per_bookie]:[AR_per_bookie]],BetTable[[B3]:[B3]],$K59,BetTable[[Date]:[Date]], "&gt;="&amp;V$5,BetTable[[Date]:[Date]],"&lt;="&amp;EOMONTH(V$5,0))</f>
        <v>0</v>
      </c>
      <c r="W59" s="186">
        <f>SUMIFS(DWbonus[[Sum]:[Sum]],DWbonus[[Dato]:[Dato]], "&gt;="&amp;W$5,DWbonus[[Dato]:[Dato]],"&lt;="&amp;EOMONTH(W$5,0),DWbonus[[Bookie]:[Bookie]],$K59)+SUMIFS(LayTable[[Faktisk res]:[Faktisk res]],LayTable[[Dato]:[Dato]],"&gt;="&amp;W$5,LayTable[[Dato]:[Dato]],"&lt;="&amp;EOMONTH(W$5,0),LayTable[[Bookmaker]:[Bookmaker]],$K59)+SUMIFS(BetTable[[AR_per_bookie]:[AR_per_bookie]],BetTable[[B1]:[B1]],$K59,BetTable[[Date]:[Date]], "&gt;="&amp;W$5,BetTable[[Date]:[Date]],"&lt;="&amp;EOMONTH(W$5,0))+SUMIFS(BetTable[[AR_per_bookie]:[AR_per_bookie]],BetTable[[B2]:[B2]],$K59,BetTable[[Date]:[Date]], "&gt;="&amp;W$5,BetTable[[Date]:[Date]],"&lt;="&amp;EOMONTH(W$5,0))+SUMIFS(BetTable[[AR_per_bookie]:[AR_per_bookie]],BetTable[[B3]:[B3]],$K59,BetTable[[Date]:[Date]], "&gt;="&amp;W$5,BetTable[[Date]:[Date]],"&lt;="&amp;EOMONTH(W$5,0))</f>
        <v>0</v>
      </c>
    </row>
    <row r="60" spans="1:23">
      <c r="A60" s="174" t="s">
        <v>91</v>
      </c>
      <c r="B60" s="209">
        <v>1</v>
      </c>
      <c r="C60" s="174">
        <v>5000</v>
      </c>
      <c r="D60" s="174" t="s">
        <v>395</v>
      </c>
      <c r="K60" s="174" t="str">
        <f t="array" ref="K60">IFERROR(INDEX(BookieNavn!H$2:H$1251,SMALL(IF(EXACT(LEFT(BookieNavn!H$2:H$1251,2),M$3),ROW(BookieNavn!H$2:H$1251)-ROW(BookieNavn!H$2)+1),ROWS(BookieNavn!H$2:'BookieNavn'!H55))),"")</f>
        <v/>
      </c>
      <c r="L60" s="186">
        <f>SUMIFS(DWbonus[[Sum]:[Sum]],DWbonus[[Dato]:[Dato]], "&gt;="&amp;L$5,DWbonus[[Dato]:[Dato]],"&lt;="&amp;EOMONTH(L$5,0),DWbonus[[Bookie]:[Bookie]],$K60)+SUMIFS(LayTable[[Faktisk res]:[Faktisk res]],LayTable[[Dato]:[Dato]],"&gt;="&amp;L$5,LayTable[[Dato]:[Dato]],"&lt;="&amp;EOMONTH(L$5,0),LayTable[[Bookmaker]:[Bookmaker]],$K60)+SUMIFS(BetTable[[AR_per_bookie]:[AR_per_bookie]],BetTable[[B1]:[B1]],$K60,BetTable[[Date]:[Date]], "&gt;="&amp;L$5,BetTable[[Date]:[Date]],"&lt;="&amp;EOMONTH(L$5,0))+SUMIFS(BetTable[[AR_per_bookie]:[AR_per_bookie]],BetTable[[B2]:[B2]],$K60,BetTable[[Date]:[Date]], "&gt;="&amp;L$5,BetTable[[Date]:[Date]],"&lt;="&amp;EOMONTH(L$5,0))+SUMIFS(BetTable[[AR_per_bookie]:[AR_per_bookie]],BetTable[[B3]:[B3]],$K60,BetTable[[Date]:[Date]], "&gt;="&amp;L$5,BetTable[[Date]:[Date]],"&lt;="&amp;EOMONTH(L$5,0))</f>
        <v>0</v>
      </c>
      <c r="M60" s="186">
        <f>SUMIFS(DWbonus[[Sum]:[Sum]],DWbonus[[Dato]:[Dato]], "&gt;="&amp;M$5,DWbonus[[Dato]:[Dato]],"&lt;="&amp;EOMONTH(M$5,0),DWbonus[[Bookie]:[Bookie]],$K60)+SUMIFS(LayTable[[Faktisk res]:[Faktisk res]],LayTable[[Dato]:[Dato]],"&gt;="&amp;M$5,LayTable[[Dato]:[Dato]],"&lt;="&amp;EOMONTH(M$5,0),LayTable[[Bookmaker]:[Bookmaker]],$K60)+SUMIFS(BetTable[[AR_per_bookie]:[AR_per_bookie]],BetTable[[B1]:[B1]],$K60,BetTable[[Date]:[Date]], "&gt;="&amp;M$5,BetTable[[Date]:[Date]],"&lt;="&amp;EOMONTH(M$5,0))+SUMIFS(BetTable[[AR_per_bookie]:[AR_per_bookie]],BetTable[[B2]:[B2]],$K60,BetTable[[Date]:[Date]], "&gt;="&amp;M$5,BetTable[[Date]:[Date]],"&lt;="&amp;EOMONTH(M$5,0))+SUMIFS(BetTable[[AR_per_bookie]:[AR_per_bookie]],BetTable[[B3]:[B3]],$K60,BetTable[[Date]:[Date]], "&gt;="&amp;M$5,BetTable[[Date]:[Date]],"&lt;="&amp;EOMONTH(M$5,0))</f>
        <v>0</v>
      </c>
      <c r="N60" s="186">
        <f>SUMIFS(DWbonus[[Sum]:[Sum]],DWbonus[[Dato]:[Dato]], "&gt;="&amp;N$5,DWbonus[[Dato]:[Dato]],"&lt;="&amp;EOMONTH(N$5,0),DWbonus[[Bookie]:[Bookie]],$K60)+SUMIFS(LayTable[[Faktisk res]:[Faktisk res]],LayTable[[Dato]:[Dato]],"&gt;="&amp;N$5,LayTable[[Dato]:[Dato]],"&lt;="&amp;EOMONTH(N$5,0),LayTable[[Bookmaker]:[Bookmaker]],$K60)+SUMIFS(BetTable[[AR_per_bookie]:[AR_per_bookie]],BetTable[[B1]:[B1]],$K60,BetTable[[Date]:[Date]], "&gt;="&amp;N$5,BetTable[[Date]:[Date]],"&lt;="&amp;EOMONTH(N$5,0))+SUMIFS(BetTable[[AR_per_bookie]:[AR_per_bookie]],BetTable[[B2]:[B2]],$K60,BetTable[[Date]:[Date]], "&gt;="&amp;N$5,BetTable[[Date]:[Date]],"&lt;="&amp;EOMONTH(N$5,0))+SUMIFS(BetTable[[AR_per_bookie]:[AR_per_bookie]],BetTable[[B3]:[B3]],$K60,BetTable[[Date]:[Date]], "&gt;="&amp;N$5,BetTable[[Date]:[Date]],"&lt;="&amp;EOMONTH(N$5,0))</f>
        <v>0</v>
      </c>
      <c r="O60" s="186">
        <f>SUMIFS(DWbonus[[Sum]:[Sum]],DWbonus[[Dato]:[Dato]], "&gt;="&amp;O$5,DWbonus[[Dato]:[Dato]],"&lt;="&amp;EOMONTH(O$5,0),DWbonus[[Bookie]:[Bookie]],$K60)+SUMIFS(LayTable[[Faktisk res]:[Faktisk res]],LayTable[[Dato]:[Dato]],"&gt;="&amp;O$5,LayTable[[Dato]:[Dato]],"&lt;="&amp;EOMONTH(O$5,0),LayTable[[Bookmaker]:[Bookmaker]],$K60)+SUMIFS(BetTable[[AR_per_bookie]:[AR_per_bookie]],BetTable[[B1]:[B1]],$K60,BetTable[[Date]:[Date]], "&gt;="&amp;O$5,BetTable[[Date]:[Date]],"&lt;="&amp;EOMONTH(O$5,0))+SUMIFS(BetTable[[AR_per_bookie]:[AR_per_bookie]],BetTable[[B2]:[B2]],$K60,BetTable[[Date]:[Date]], "&gt;="&amp;O$5,BetTable[[Date]:[Date]],"&lt;="&amp;EOMONTH(O$5,0))+SUMIFS(BetTable[[AR_per_bookie]:[AR_per_bookie]],BetTable[[B3]:[B3]],$K60,BetTable[[Date]:[Date]], "&gt;="&amp;O$5,BetTable[[Date]:[Date]],"&lt;="&amp;EOMONTH(O$5,0))</f>
        <v>0</v>
      </c>
      <c r="P60" s="186">
        <f>SUMIFS(DWbonus[[Sum]:[Sum]],DWbonus[[Dato]:[Dato]], "&gt;="&amp;P$5,DWbonus[[Dato]:[Dato]],"&lt;="&amp;EOMONTH(P$5,0),DWbonus[[Bookie]:[Bookie]],$K60)+SUMIFS(LayTable[[Faktisk res]:[Faktisk res]],LayTable[[Dato]:[Dato]],"&gt;="&amp;P$5,LayTable[[Dato]:[Dato]],"&lt;="&amp;EOMONTH(P$5,0),LayTable[[Bookmaker]:[Bookmaker]],$K60)+SUMIFS(BetTable[[AR_per_bookie]:[AR_per_bookie]],BetTable[[B1]:[B1]],$K60,BetTable[[Date]:[Date]], "&gt;="&amp;P$5,BetTable[[Date]:[Date]],"&lt;="&amp;EOMONTH(P$5,0))+SUMIFS(BetTable[[AR_per_bookie]:[AR_per_bookie]],BetTable[[B2]:[B2]],$K60,BetTable[[Date]:[Date]], "&gt;="&amp;P$5,BetTable[[Date]:[Date]],"&lt;="&amp;EOMONTH(P$5,0))+SUMIFS(BetTable[[AR_per_bookie]:[AR_per_bookie]],BetTable[[B3]:[B3]],$K60,BetTable[[Date]:[Date]], "&gt;="&amp;P$5,BetTable[[Date]:[Date]],"&lt;="&amp;EOMONTH(P$5,0))</f>
        <v>0</v>
      </c>
      <c r="Q60" s="186">
        <f>SUMIFS(DWbonus[[Sum]:[Sum]],DWbonus[[Dato]:[Dato]], "&gt;="&amp;Q$5,DWbonus[[Dato]:[Dato]],"&lt;="&amp;EOMONTH(Q$5,0),DWbonus[[Bookie]:[Bookie]],$K60)+SUMIFS(LayTable[[Faktisk res]:[Faktisk res]],LayTable[[Dato]:[Dato]],"&gt;="&amp;Q$5,LayTable[[Dato]:[Dato]],"&lt;="&amp;EOMONTH(Q$5,0),LayTable[[Bookmaker]:[Bookmaker]],$K60)+SUMIFS(BetTable[[AR_per_bookie]:[AR_per_bookie]],BetTable[[B1]:[B1]],$K60,BetTable[[Date]:[Date]], "&gt;="&amp;Q$5,BetTable[[Date]:[Date]],"&lt;="&amp;EOMONTH(Q$5,0))+SUMIFS(BetTable[[AR_per_bookie]:[AR_per_bookie]],BetTable[[B2]:[B2]],$K60,BetTable[[Date]:[Date]], "&gt;="&amp;Q$5,BetTable[[Date]:[Date]],"&lt;="&amp;EOMONTH(Q$5,0))+SUMIFS(BetTable[[AR_per_bookie]:[AR_per_bookie]],BetTable[[B3]:[B3]],$K60,BetTable[[Date]:[Date]], "&gt;="&amp;Q$5,BetTable[[Date]:[Date]],"&lt;="&amp;EOMONTH(Q$5,0))</f>
        <v>0</v>
      </c>
      <c r="R60" s="186">
        <f>SUMIFS(DWbonus[[Sum]:[Sum]],DWbonus[[Dato]:[Dato]], "&gt;="&amp;R$5,DWbonus[[Dato]:[Dato]],"&lt;="&amp;EOMONTH(R$5,0),DWbonus[[Bookie]:[Bookie]],$K60)+SUMIFS(LayTable[[Faktisk res]:[Faktisk res]],LayTable[[Dato]:[Dato]],"&gt;="&amp;R$5,LayTable[[Dato]:[Dato]],"&lt;="&amp;EOMONTH(R$5,0),LayTable[[Bookmaker]:[Bookmaker]],$K60)+SUMIFS(BetTable[[AR_per_bookie]:[AR_per_bookie]],BetTable[[B1]:[B1]],$K60,BetTable[[Date]:[Date]], "&gt;="&amp;R$5,BetTable[[Date]:[Date]],"&lt;="&amp;EOMONTH(R$5,0))+SUMIFS(BetTable[[AR_per_bookie]:[AR_per_bookie]],BetTable[[B2]:[B2]],$K60,BetTable[[Date]:[Date]], "&gt;="&amp;R$5,BetTable[[Date]:[Date]],"&lt;="&amp;EOMONTH(R$5,0))+SUMIFS(BetTable[[AR_per_bookie]:[AR_per_bookie]],BetTable[[B3]:[B3]],$K60,BetTable[[Date]:[Date]], "&gt;="&amp;R$5,BetTable[[Date]:[Date]],"&lt;="&amp;EOMONTH(R$5,0))</f>
        <v>0</v>
      </c>
      <c r="S60" s="186">
        <f>SUMIFS(DWbonus[[Sum]:[Sum]],DWbonus[[Dato]:[Dato]], "&gt;="&amp;S$5,DWbonus[[Dato]:[Dato]],"&lt;="&amp;EOMONTH(S$5,0),DWbonus[[Bookie]:[Bookie]],$K60)+SUMIFS(LayTable[[Faktisk res]:[Faktisk res]],LayTable[[Dato]:[Dato]],"&gt;="&amp;S$5,LayTable[[Dato]:[Dato]],"&lt;="&amp;EOMONTH(S$5,0),LayTable[[Bookmaker]:[Bookmaker]],$K60)+SUMIFS(BetTable[[AR_per_bookie]:[AR_per_bookie]],BetTable[[B1]:[B1]],$K60,BetTable[[Date]:[Date]], "&gt;="&amp;S$5,BetTable[[Date]:[Date]],"&lt;="&amp;EOMONTH(S$5,0))+SUMIFS(BetTable[[AR_per_bookie]:[AR_per_bookie]],BetTable[[B2]:[B2]],$K60,BetTable[[Date]:[Date]], "&gt;="&amp;S$5,BetTable[[Date]:[Date]],"&lt;="&amp;EOMONTH(S$5,0))+SUMIFS(BetTable[[AR_per_bookie]:[AR_per_bookie]],BetTable[[B3]:[B3]],$K60,BetTable[[Date]:[Date]], "&gt;="&amp;S$5,BetTable[[Date]:[Date]],"&lt;="&amp;EOMONTH(S$5,0))</f>
        <v>0</v>
      </c>
      <c r="T60" s="186">
        <f>SUMIFS(DWbonus[[Sum]:[Sum]],DWbonus[[Dato]:[Dato]], "&gt;="&amp;T$5,DWbonus[[Dato]:[Dato]],"&lt;="&amp;EOMONTH(T$5,0),DWbonus[[Bookie]:[Bookie]],$K60)+SUMIFS(LayTable[[Faktisk res]:[Faktisk res]],LayTable[[Dato]:[Dato]],"&gt;="&amp;T$5,LayTable[[Dato]:[Dato]],"&lt;="&amp;EOMONTH(T$5,0),LayTable[[Bookmaker]:[Bookmaker]],$K60)+SUMIFS(BetTable[[AR_per_bookie]:[AR_per_bookie]],BetTable[[B1]:[B1]],$K60,BetTable[[Date]:[Date]], "&gt;="&amp;T$5,BetTable[[Date]:[Date]],"&lt;="&amp;EOMONTH(T$5,0))+SUMIFS(BetTable[[AR_per_bookie]:[AR_per_bookie]],BetTable[[B2]:[B2]],$K60,BetTable[[Date]:[Date]], "&gt;="&amp;T$5,BetTable[[Date]:[Date]],"&lt;="&amp;EOMONTH(T$5,0))+SUMIFS(BetTable[[AR_per_bookie]:[AR_per_bookie]],BetTable[[B3]:[B3]],$K60,BetTable[[Date]:[Date]], "&gt;="&amp;T$5,BetTable[[Date]:[Date]],"&lt;="&amp;EOMONTH(T$5,0))</f>
        <v>0</v>
      </c>
      <c r="U60" s="186">
        <f>SUMIFS(DWbonus[[Sum]:[Sum]],DWbonus[[Dato]:[Dato]], "&gt;="&amp;U$5,DWbonus[[Dato]:[Dato]],"&lt;="&amp;EOMONTH(U$5,0),DWbonus[[Bookie]:[Bookie]],$K60)+SUMIFS(LayTable[[Faktisk res]:[Faktisk res]],LayTable[[Dato]:[Dato]],"&gt;="&amp;U$5,LayTable[[Dato]:[Dato]],"&lt;="&amp;EOMONTH(U$5,0),LayTable[[Bookmaker]:[Bookmaker]],$K60)+SUMIFS(BetTable[[AR_per_bookie]:[AR_per_bookie]],BetTable[[B1]:[B1]],$K60,BetTable[[Date]:[Date]], "&gt;="&amp;U$5,BetTable[[Date]:[Date]],"&lt;="&amp;EOMONTH(U$5,0))+SUMIFS(BetTable[[AR_per_bookie]:[AR_per_bookie]],BetTable[[B2]:[B2]],$K60,BetTable[[Date]:[Date]], "&gt;="&amp;U$5,BetTable[[Date]:[Date]],"&lt;="&amp;EOMONTH(U$5,0))+SUMIFS(BetTable[[AR_per_bookie]:[AR_per_bookie]],BetTable[[B3]:[B3]],$K60,BetTable[[Date]:[Date]], "&gt;="&amp;U$5,BetTable[[Date]:[Date]],"&lt;="&amp;EOMONTH(U$5,0))</f>
        <v>0</v>
      </c>
      <c r="V60" s="186">
        <f>SUMIFS(DWbonus[[Sum]:[Sum]],DWbonus[[Dato]:[Dato]], "&gt;="&amp;V$5,DWbonus[[Dato]:[Dato]],"&lt;="&amp;EOMONTH(V$5,0),DWbonus[[Bookie]:[Bookie]],$K60)+SUMIFS(LayTable[[Faktisk res]:[Faktisk res]],LayTable[[Dato]:[Dato]],"&gt;="&amp;V$5,LayTable[[Dato]:[Dato]],"&lt;="&amp;EOMONTH(V$5,0),LayTable[[Bookmaker]:[Bookmaker]],$K60)+SUMIFS(BetTable[[AR_per_bookie]:[AR_per_bookie]],BetTable[[B1]:[B1]],$K60,BetTable[[Date]:[Date]], "&gt;="&amp;V$5,BetTable[[Date]:[Date]],"&lt;="&amp;EOMONTH(V$5,0))+SUMIFS(BetTable[[AR_per_bookie]:[AR_per_bookie]],BetTable[[B2]:[B2]],$K60,BetTable[[Date]:[Date]], "&gt;="&amp;V$5,BetTable[[Date]:[Date]],"&lt;="&amp;EOMONTH(V$5,0))+SUMIFS(BetTable[[AR_per_bookie]:[AR_per_bookie]],BetTable[[B3]:[B3]],$K60,BetTable[[Date]:[Date]], "&gt;="&amp;V$5,BetTable[[Date]:[Date]],"&lt;="&amp;EOMONTH(V$5,0))</f>
        <v>0</v>
      </c>
      <c r="W60" s="186">
        <f>SUMIFS(DWbonus[[Sum]:[Sum]],DWbonus[[Dato]:[Dato]], "&gt;="&amp;W$5,DWbonus[[Dato]:[Dato]],"&lt;="&amp;EOMONTH(W$5,0),DWbonus[[Bookie]:[Bookie]],$K60)+SUMIFS(LayTable[[Faktisk res]:[Faktisk res]],LayTable[[Dato]:[Dato]],"&gt;="&amp;W$5,LayTable[[Dato]:[Dato]],"&lt;="&amp;EOMONTH(W$5,0),LayTable[[Bookmaker]:[Bookmaker]],$K60)+SUMIFS(BetTable[[AR_per_bookie]:[AR_per_bookie]],BetTable[[B1]:[B1]],$K60,BetTable[[Date]:[Date]], "&gt;="&amp;W$5,BetTable[[Date]:[Date]],"&lt;="&amp;EOMONTH(W$5,0))+SUMIFS(BetTable[[AR_per_bookie]:[AR_per_bookie]],BetTable[[B2]:[B2]],$K60,BetTable[[Date]:[Date]], "&gt;="&amp;W$5,BetTable[[Date]:[Date]],"&lt;="&amp;EOMONTH(W$5,0))+SUMIFS(BetTable[[AR_per_bookie]:[AR_per_bookie]],BetTable[[B3]:[B3]],$K60,BetTable[[Date]:[Date]], "&gt;="&amp;W$5,BetTable[[Date]:[Date]],"&lt;="&amp;EOMONTH(W$5,0))</f>
        <v>0</v>
      </c>
    </row>
    <row r="61" spans="1:23">
      <c r="A61" s="174" t="s">
        <v>96</v>
      </c>
      <c r="B61" s="209">
        <v>1</v>
      </c>
      <c r="C61" s="174">
        <v>2000</v>
      </c>
      <c r="K61" s="174" t="str">
        <f t="array" ref="K61">IFERROR(INDEX(BookieNavn!H$2:H$1251,SMALL(IF(EXACT(LEFT(BookieNavn!H$2:H$1251,2),M$3),ROW(BookieNavn!H$2:H$1251)-ROW(BookieNavn!H$2)+1),ROWS(BookieNavn!H$2:'BookieNavn'!H56))),"")</f>
        <v/>
      </c>
      <c r="L61" s="186">
        <f>SUMIFS(DWbonus[[Sum]:[Sum]],DWbonus[[Dato]:[Dato]], "&gt;="&amp;L$5,DWbonus[[Dato]:[Dato]],"&lt;="&amp;EOMONTH(L$5,0),DWbonus[[Bookie]:[Bookie]],$K61)+SUMIFS(LayTable[[Faktisk res]:[Faktisk res]],LayTable[[Dato]:[Dato]],"&gt;="&amp;L$5,LayTable[[Dato]:[Dato]],"&lt;="&amp;EOMONTH(L$5,0),LayTable[[Bookmaker]:[Bookmaker]],$K61)+SUMIFS(BetTable[[AR_per_bookie]:[AR_per_bookie]],BetTable[[B1]:[B1]],$K61,BetTable[[Date]:[Date]], "&gt;="&amp;L$5,BetTable[[Date]:[Date]],"&lt;="&amp;EOMONTH(L$5,0))+SUMIFS(BetTable[[AR_per_bookie]:[AR_per_bookie]],BetTable[[B2]:[B2]],$K61,BetTable[[Date]:[Date]], "&gt;="&amp;L$5,BetTable[[Date]:[Date]],"&lt;="&amp;EOMONTH(L$5,0))+SUMIFS(BetTable[[AR_per_bookie]:[AR_per_bookie]],BetTable[[B3]:[B3]],$K61,BetTable[[Date]:[Date]], "&gt;="&amp;L$5,BetTable[[Date]:[Date]],"&lt;="&amp;EOMONTH(L$5,0))</f>
        <v>0</v>
      </c>
      <c r="M61" s="186">
        <f>SUMIFS(DWbonus[[Sum]:[Sum]],DWbonus[[Dato]:[Dato]], "&gt;="&amp;M$5,DWbonus[[Dato]:[Dato]],"&lt;="&amp;EOMONTH(M$5,0),DWbonus[[Bookie]:[Bookie]],$K61)+SUMIFS(LayTable[[Faktisk res]:[Faktisk res]],LayTable[[Dato]:[Dato]],"&gt;="&amp;M$5,LayTable[[Dato]:[Dato]],"&lt;="&amp;EOMONTH(M$5,0),LayTable[[Bookmaker]:[Bookmaker]],$K61)+SUMIFS(BetTable[[AR_per_bookie]:[AR_per_bookie]],BetTable[[B1]:[B1]],$K61,BetTable[[Date]:[Date]], "&gt;="&amp;M$5,BetTable[[Date]:[Date]],"&lt;="&amp;EOMONTH(M$5,0))+SUMIFS(BetTable[[AR_per_bookie]:[AR_per_bookie]],BetTable[[B2]:[B2]],$K61,BetTable[[Date]:[Date]], "&gt;="&amp;M$5,BetTable[[Date]:[Date]],"&lt;="&amp;EOMONTH(M$5,0))+SUMIFS(BetTable[[AR_per_bookie]:[AR_per_bookie]],BetTable[[B3]:[B3]],$K61,BetTable[[Date]:[Date]], "&gt;="&amp;M$5,BetTable[[Date]:[Date]],"&lt;="&amp;EOMONTH(M$5,0))</f>
        <v>0</v>
      </c>
      <c r="N61" s="186">
        <f>SUMIFS(DWbonus[[Sum]:[Sum]],DWbonus[[Dato]:[Dato]], "&gt;="&amp;N$5,DWbonus[[Dato]:[Dato]],"&lt;="&amp;EOMONTH(N$5,0),DWbonus[[Bookie]:[Bookie]],$K61)+SUMIFS(LayTable[[Faktisk res]:[Faktisk res]],LayTable[[Dato]:[Dato]],"&gt;="&amp;N$5,LayTable[[Dato]:[Dato]],"&lt;="&amp;EOMONTH(N$5,0),LayTable[[Bookmaker]:[Bookmaker]],$K61)+SUMIFS(BetTable[[AR_per_bookie]:[AR_per_bookie]],BetTable[[B1]:[B1]],$K61,BetTable[[Date]:[Date]], "&gt;="&amp;N$5,BetTable[[Date]:[Date]],"&lt;="&amp;EOMONTH(N$5,0))+SUMIFS(BetTable[[AR_per_bookie]:[AR_per_bookie]],BetTable[[B2]:[B2]],$K61,BetTable[[Date]:[Date]], "&gt;="&amp;N$5,BetTable[[Date]:[Date]],"&lt;="&amp;EOMONTH(N$5,0))+SUMIFS(BetTable[[AR_per_bookie]:[AR_per_bookie]],BetTable[[B3]:[B3]],$K61,BetTable[[Date]:[Date]], "&gt;="&amp;N$5,BetTable[[Date]:[Date]],"&lt;="&amp;EOMONTH(N$5,0))</f>
        <v>0</v>
      </c>
      <c r="O61" s="186">
        <f>SUMIFS(DWbonus[[Sum]:[Sum]],DWbonus[[Dato]:[Dato]], "&gt;="&amp;O$5,DWbonus[[Dato]:[Dato]],"&lt;="&amp;EOMONTH(O$5,0),DWbonus[[Bookie]:[Bookie]],$K61)+SUMIFS(LayTable[[Faktisk res]:[Faktisk res]],LayTable[[Dato]:[Dato]],"&gt;="&amp;O$5,LayTable[[Dato]:[Dato]],"&lt;="&amp;EOMONTH(O$5,0),LayTable[[Bookmaker]:[Bookmaker]],$K61)+SUMIFS(BetTable[[AR_per_bookie]:[AR_per_bookie]],BetTable[[B1]:[B1]],$K61,BetTable[[Date]:[Date]], "&gt;="&amp;O$5,BetTable[[Date]:[Date]],"&lt;="&amp;EOMONTH(O$5,0))+SUMIFS(BetTable[[AR_per_bookie]:[AR_per_bookie]],BetTable[[B2]:[B2]],$K61,BetTable[[Date]:[Date]], "&gt;="&amp;O$5,BetTable[[Date]:[Date]],"&lt;="&amp;EOMONTH(O$5,0))+SUMIFS(BetTable[[AR_per_bookie]:[AR_per_bookie]],BetTable[[B3]:[B3]],$K61,BetTable[[Date]:[Date]], "&gt;="&amp;O$5,BetTable[[Date]:[Date]],"&lt;="&amp;EOMONTH(O$5,0))</f>
        <v>0</v>
      </c>
      <c r="P61" s="186">
        <f>SUMIFS(DWbonus[[Sum]:[Sum]],DWbonus[[Dato]:[Dato]], "&gt;="&amp;P$5,DWbonus[[Dato]:[Dato]],"&lt;="&amp;EOMONTH(P$5,0),DWbonus[[Bookie]:[Bookie]],$K61)+SUMIFS(LayTable[[Faktisk res]:[Faktisk res]],LayTable[[Dato]:[Dato]],"&gt;="&amp;P$5,LayTable[[Dato]:[Dato]],"&lt;="&amp;EOMONTH(P$5,0),LayTable[[Bookmaker]:[Bookmaker]],$K61)+SUMIFS(BetTable[[AR_per_bookie]:[AR_per_bookie]],BetTable[[B1]:[B1]],$K61,BetTable[[Date]:[Date]], "&gt;="&amp;P$5,BetTable[[Date]:[Date]],"&lt;="&amp;EOMONTH(P$5,0))+SUMIFS(BetTable[[AR_per_bookie]:[AR_per_bookie]],BetTable[[B2]:[B2]],$K61,BetTable[[Date]:[Date]], "&gt;="&amp;P$5,BetTable[[Date]:[Date]],"&lt;="&amp;EOMONTH(P$5,0))+SUMIFS(BetTable[[AR_per_bookie]:[AR_per_bookie]],BetTable[[B3]:[B3]],$K61,BetTable[[Date]:[Date]], "&gt;="&amp;P$5,BetTable[[Date]:[Date]],"&lt;="&amp;EOMONTH(P$5,0))</f>
        <v>0</v>
      </c>
      <c r="Q61" s="186">
        <f>SUMIFS(DWbonus[[Sum]:[Sum]],DWbonus[[Dato]:[Dato]], "&gt;="&amp;Q$5,DWbonus[[Dato]:[Dato]],"&lt;="&amp;EOMONTH(Q$5,0),DWbonus[[Bookie]:[Bookie]],$K61)+SUMIFS(LayTable[[Faktisk res]:[Faktisk res]],LayTable[[Dato]:[Dato]],"&gt;="&amp;Q$5,LayTable[[Dato]:[Dato]],"&lt;="&amp;EOMONTH(Q$5,0),LayTable[[Bookmaker]:[Bookmaker]],$K61)+SUMIFS(BetTable[[AR_per_bookie]:[AR_per_bookie]],BetTable[[B1]:[B1]],$K61,BetTable[[Date]:[Date]], "&gt;="&amp;Q$5,BetTable[[Date]:[Date]],"&lt;="&amp;EOMONTH(Q$5,0))+SUMIFS(BetTable[[AR_per_bookie]:[AR_per_bookie]],BetTable[[B2]:[B2]],$K61,BetTable[[Date]:[Date]], "&gt;="&amp;Q$5,BetTable[[Date]:[Date]],"&lt;="&amp;EOMONTH(Q$5,0))+SUMIFS(BetTable[[AR_per_bookie]:[AR_per_bookie]],BetTable[[B3]:[B3]],$K61,BetTable[[Date]:[Date]], "&gt;="&amp;Q$5,BetTable[[Date]:[Date]],"&lt;="&amp;EOMONTH(Q$5,0))</f>
        <v>0</v>
      </c>
      <c r="R61" s="186">
        <f>SUMIFS(DWbonus[[Sum]:[Sum]],DWbonus[[Dato]:[Dato]], "&gt;="&amp;R$5,DWbonus[[Dato]:[Dato]],"&lt;="&amp;EOMONTH(R$5,0),DWbonus[[Bookie]:[Bookie]],$K61)+SUMIFS(LayTable[[Faktisk res]:[Faktisk res]],LayTable[[Dato]:[Dato]],"&gt;="&amp;R$5,LayTable[[Dato]:[Dato]],"&lt;="&amp;EOMONTH(R$5,0),LayTable[[Bookmaker]:[Bookmaker]],$K61)+SUMIFS(BetTable[[AR_per_bookie]:[AR_per_bookie]],BetTable[[B1]:[B1]],$K61,BetTable[[Date]:[Date]], "&gt;="&amp;R$5,BetTable[[Date]:[Date]],"&lt;="&amp;EOMONTH(R$5,0))+SUMIFS(BetTable[[AR_per_bookie]:[AR_per_bookie]],BetTable[[B2]:[B2]],$K61,BetTable[[Date]:[Date]], "&gt;="&amp;R$5,BetTable[[Date]:[Date]],"&lt;="&amp;EOMONTH(R$5,0))+SUMIFS(BetTable[[AR_per_bookie]:[AR_per_bookie]],BetTable[[B3]:[B3]],$K61,BetTable[[Date]:[Date]], "&gt;="&amp;R$5,BetTable[[Date]:[Date]],"&lt;="&amp;EOMONTH(R$5,0))</f>
        <v>0</v>
      </c>
      <c r="S61" s="186">
        <f>SUMIFS(DWbonus[[Sum]:[Sum]],DWbonus[[Dato]:[Dato]], "&gt;="&amp;S$5,DWbonus[[Dato]:[Dato]],"&lt;="&amp;EOMONTH(S$5,0),DWbonus[[Bookie]:[Bookie]],$K61)+SUMIFS(LayTable[[Faktisk res]:[Faktisk res]],LayTable[[Dato]:[Dato]],"&gt;="&amp;S$5,LayTable[[Dato]:[Dato]],"&lt;="&amp;EOMONTH(S$5,0),LayTable[[Bookmaker]:[Bookmaker]],$K61)+SUMIFS(BetTable[[AR_per_bookie]:[AR_per_bookie]],BetTable[[B1]:[B1]],$K61,BetTable[[Date]:[Date]], "&gt;="&amp;S$5,BetTable[[Date]:[Date]],"&lt;="&amp;EOMONTH(S$5,0))+SUMIFS(BetTable[[AR_per_bookie]:[AR_per_bookie]],BetTable[[B2]:[B2]],$K61,BetTable[[Date]:[Date]], "&gt;="&amp;S$5,BetTable[[Date]:[Date]],"&lt;="&amp;EOMONTH(S$5,0))+SUMIFS(BetTable[[AR_per_bookie]:[AR_per_bookie]],BetTable[[B3]:[B3]],$K61,BetTable[[Date]:[Date]], "&gt;="&amp;S$5,BetTable[[Date]:[Date]],"&lt;="&amp;EOMONTH(S$5,0))</f>
        <v>0</v>
      </c>
      <c r="T61" s="186">
        <f>SUMIFS(DWbonus[[Sum]:[Sum]],DWbonus[[Dato]:[Dato]], "&gt;="&amp;T$5,DWbonus[[Dato]:[Dato]],"&lt;="&amp;EOMONTH(T$5,0),DWbonus[[Bookie]:[Bookie]],$K61)+SUMIFS(LayTable[[Faktisk res]:[Faktisk res]],LayTable[[Dato]:[Dato]],"&gt;="&amp;T$5,LayTable[[Dato]:[Dato]],"&lt;="&amp;EOMONTH(T$5,0),LayTable[[Bookmaker]:[Bookmaker]],$K61)+SUMIFS(BetTable[[AR_per_bookie]:[AR_per_bookie]],BetTable[[B1]:[B1]],$K61,BetTable[[Date]:[Date]], "&gt;="&amp;T$5,BetTable[[Date]:[Date]],"&lt;="&amp;EOMONTH(T$5,0))+SUMIFS(BetTable[[AR_per_bookie]:[AR_per_bookie]],BetTable[[B2]:[B2]],$K61,BetTable[[Date]:[Date]], "&gt;="&amp;T$5,BetTable[[Date]:[Date]],"&lt;="&amp;EOMONTH(T$5,0))+SUMIFS(BetTable[[AR_per_bookie]:[AR_per_bookie]],BetTable[[B3]:[B3]],$K61,BetTable[[Date]:[Date]], "&gt;="&amp;T$5,BetTable[[Date]:[Date]],"&lt;="&amp;EOMONTH(T$5,0))</f>
        <v>0</v>
      </c>
      <c r="U61" s="186">
        <f>SUMIFS(DWbonus[[Sum]:[Sum]],DWbonus[[Dato]:[Dato]], "&gt;="&amp;U$5,DWbonus[[Dato]:[Dato]],"&lt;="&amp;EOMONTH(U$5,0),DWbonus[[Bookie]:[Bookie]],$K61)+SUMIFS(LayTable[[Faktisk res]:[Faktisk res]],LayTable[[Dato]:[Dato]],"&gt;="&amp;U$5,LayTable[[Dato]:[Dato]],"&lt;="&amp;EOMONTH(U$5,0),LayTable[[Bookmaker]:[Bookmaker]],$K61)+SUMIFS(BetTable[[AR_per_bookie]:[AR_per_bookie]],BetTable[[B1]:[B1]],$K61,BetTable[[Date]:[Date]], "&gt;="&amp;U$5,BetTable[[Date]:[Date]],"&lt;="&amp;EOMONTH(U$5,0))+SUMIFS(BetTable[[AR_per_bookie]:[AR_per_bookie]],BetTable[[B2]:[B2]],$K61,BetTable[[Date]:[Date]], "&gt;="&amp;U$5,BetTable[[Date]:[Date]],"&lt;="&amp;EOMONTH(U$5,0))+SUMIFS(BetTable[[AR_per_bookie]:[AR_per_bookie]],BetTable[[B3]:[B3]],$K61,BetTable[[Date]:[Date]], "&gt;="&amp;U$5,BetTable[[Date]:[Date]],"&lt;="&amp;EOMONTH(U$5,0))</f>
        <v>0</v>
      </c>
      <c r="V61" s="186">
        <f>SUMIFS(DWbonus[[Sum]:[Sum]],DWbonus[[Dato]:[Dato]], "&gt;="&amp;V$5,DWbonus[[Dato]:[Dato]],"&lt;="&amp;EOMONTH(V$5,0),DWbonus[[Bookie]:[Bookie]],$K61)+SUMIFS(LayTable[[Faktisk res]:[Faktisk res]],LayTable[[Dato]:[Dato]],"&gt;="&amp;V$5,LayTable[[Dato]:[Dato]],"&lt;="&amp;EOMONTH(V$5,0),LayTable[[Bookmaker]:[Bookmaker]],$K61)+SUMIFS(BetTable[[AR_per_bookie]:[AR_per_bookie]],BetTable[[B1]:[B1]],$K61,BetTable[[Date]:[Date]], "&gt;="&amp;V$5,BetTable[[Date]:[Date]],"&lt;="&amp;EOMONTH(V$5,0))+SUMIFS(BetTable[[AR_per_bookie]:[AR_per_bookie]],BetTable[[B2]:[B2]],$K61,BetTable[[Date]:[Date]], "&gt;="&amp;V$5,BetTable[[Date]:[Date]],"&lt;="&amp;EOMONTH(V$5,0))+SUMIFS(BetTable[[AR_per_bookie]:[AR_per_bookie]],BetTable[[B3]:[B3]],$K61,BetTable[[Date]:[Date]], "&gt;="&amp;V$5,BetTable[[Date]:[Date]],"&lt;="&amp;EOMONTH(V$5,0))</f>
        <v>0</v>
      </c>
      <c r="W61" s="186">
        <f>SUMIFS(DWbonus[[Sum]:[Sum]],DWbonus[[Dato]:[Dato]], "&gt;="&amp;W$5,DWbonus[[Dato]:[Dato]],"&lt;="&amp;EOMONTH(W$5,0),DWbonus[[Bookie]:[Bookie]],$K61)+SUMIFS(LayTable[[Faktisk res]:[Faktisk res]],LayTable[[Dato]:[Dato]],"&gt;="&amp;W$5,LayTable[[Dato]:[Dato]],"&lt;="&amp;EOMONTH(W$5,0),LayTable[[Bookmaker]:[Bookmaker]],$K61)+SUMIFS(BetTable[[AR_per_bookie]:[AR_per_bookie]],BetTable[[B1]:[B1]],$K61,BetTable[[Date]:[Date]], "&gt;="&amp;W$5,BetTable[[Date]:[Date]],"&lt;="&amp;EOMONTH(W$5,0))+SUMIFS(BetTable[[AR_per_bookie]:[AR_per_bookie]],BetTable[[B2]:[B2]],$K61,BetTable[[Date]:[Date]], "&gt;="&amp;W$5,BetTable[[Date]:[Date]],"&lt;="&amp;EOMONTH(W$5,0))+SUMIFS(BetTable[[AR_per_bookie]:[AR_per_bookie]],BetTable[[B3]:[B3]],$K61,BetTable[[Date]:[Date]], "&gt;="&amp;W$5,BetTable[[Date]:[Date]],"&lt;="&amp;EOMONTH(W$5,0))</f>
        <v>0</v>
      </c>
    </row>
    <row r="62" spans="1:23">
      <c r="A62" s="174" t="s">
        <v>222</v>
      </c>
      <c r="B62" s="209">
        <v>1</v>
      </c>
      <c r="C62" s="174">
        <v>500</v>
      </c>
      <c r="K62" s="174" t="str">
        <f t="array" ref="K62">IFERROR(INDEX(BookieNavn!H$2:H$1251,SMALL(IF(EXACT(LEFT(BookieNavn!H$2:H$1251,2),M$3),ROW(BookieNavn!H$2:H$1251)-ROW(BookieNavn!H$2)+1),ROWS(BookieNavn!H$2:'BookieNavn'!H57))),"")</f>
        <v/>
      </c>
      <c r="L62" s="186">
        <f>SUMIFS(DWbonus[[Sum]:[Sum]],DWbonus[[Dato]:[Dato]], "&gt;="&amp;L$5,DWbonus[[Dato]:[Dato]],"&lt;="&amp;EOMONTH(L$5,0),DWbonus[[Bookie]:[Bookie]],$K62)+SUMIFS(LayTable[[Faktisk res]:[Faktisk res]],LayTable[[Dato]:[Dato]],"&gt;="&amp;L$5,LayTable[[Dato]:[Dato]],"&lt;="&amp;EOMONTH(L$5,0),LayTable[[Bookmaker]:[Bookmaker]],$K62)+SUMIFS(BetTable[[AR_per_bookie]:[AR_per_bookie]],BetTable[[B1]:[B1]],$K62,BetTable[[Date]:[Date]], "&gt;="&amp;L$5,BetTable[[Date]:[Date]],"&lt;="&amp;EOMONTH(L$5,0))+SUMIFS(BetTable[[AR_per_bookie]:[AR_per_bookie]],BetTable[[B2]:[B2]],$K62,BetTable[[Date]:[Date]], "&gt;="&amp;L$5,BetTable[[Date]:[Date]],"&lt;="&amp;EOMONTH(L$5,0))+SUMIFS(BetTable[[AR_per_bookie]:[AR_per_bookie]],BetTable[[B3]:[B3]],$K62,BetTable[[Date]:[Date]], "&gt;="&amp;L$5,BetTable[[Date]:[Date]],"&lt;="&amp;EOMONTH(L$5,0))</f>
        <v>0</v>
      </c>
      <c r="M62" s="186">
        <f>SUMIFS(DWbonus[[Sum]:[Sum]],DWbonus[[Dato]:[Dato]], "&gt;="&amp;M$5,DWbonus[[Dato]:[Dato]],"&lt;="&amp;EOMONTH(M$5,0),DWbonus[[Bookie]:[Bookie]],$K62)+SUMIFS(LayTable[[Faktisk res]:[Faktisk res]],LayTable[[Dato]:[Dato]],"&gt;="&amp;M$5,LayTable[[Dato]:[Dato]],"&lt;="&amp;EOMONTH(M$5,0),LayTable[[Bookmaker]:[Bookmaker]],$K62)+SUMIFS(BetTable[[AR_per_bookie]:[AR_per_bookie]],BetTable[[B1]:[B1]],$K62,BetTable[[Date]:[Date]], "&gt;="&amp;M$5,BetTable[[Date]:[Date]],"&lt;="&amp;EOMONTH(M$5,0))+SUMIFS(BetTable[[AR_per_bookie]:[AR_per_bookie]],BetTable[[B2]:[B2]],$K62,BetTable[[Date]:[Date]], "&gt;="&amp;M$5,BetTable[[Date]:[Date]],"&lt;="&amp;EOMONTH(M$5,0))+SUMIFS(BetTable[[AR_per_bookie]:[AR_per_bookie]],BetTable[[B3]:[B3]],$K62,BetTable[[Date]:[Date]], "&gt;="&amp;M$5,BetTable[[Date]:[Date]],"&lt;="&amp;EOMONTH(M$5,0))</f>
        <v>0</v>
      </c>
      <c r="N62" s="186">
        <f>SUMIFS(DWbonus[[Sum]:[Sum]],DWbonus[[Dato]:[Dato]], "&gt;="&amp;N$5,DWbonus[[Dato]:[Dato]],"&lt;="&amp;EOMONTH(N$5,0),DWbonus[[Bookie]:[Bookie]],$K62)+SUMIFS(LayTable[[Faktisk res]:[Faktisk res]],LayTable[[Dato]:[Dato]],"&gt;="&amp;N$5,LayTable[[Dato]:[Dato]],"&lt;="&amp;EOMONTH(N$5,0),LayTable[[Bookmaker]:[Bookmaker]],$K62)+SUMIFS(BetTable[[AR_per_bookie]:[AR_per_bookie]],BetTable[[B1]:[B1]],$K62,BetTable[[Date]:[Date]], "&gt;="&amp;N$5,BetTable[[Date]:[Date]],"&lt;="&amp;EOMONTH(N$5,0))+SUMIFS(BetTable[[AR_per_bookie]:[AR_per_bookie]],BetTable[[B2]:[B2]],$K62,BetTable[[Date]:[Date]], "&gt;="&amp;N$5,BetTable[[Date]:[Date]],"&lt;="&amp;EOMONTH(N$5,0))+SUMIFS(BetTable[[AR_per_bookie]:[AR_per_bookie]],BetTable[[B3]:[B3]],$K62,BetTable[[Date]:[Date]], "&gt;="&amp;N$5,BetTable[[Date]:[Date]],"&lt;="&amp;EOMONTH(N$5,0))</f>
        <v>0</v>
      </c>
      <c r="O62" s="186">
        <f>SUMIFS(DWbonus[[Sum]:[Sum]],DWbonus[[Dato]:[Dato]], "&gt;="&amp;O$5,DWbonus[[Dato]:[Dato]],"&lt;="&amp;EOMONTH(O$5,0),DWbonus[[Bookie]:[Bookie]],$K62)+SUMIFS(LayTable[[Faktisk res]:[Faktisk res]],LayTable[[Dato]:[Dato]],"&gt;="&amp;O$5,LayTable[[Dato]:[Dato]],"&lt;="&amp;EOMONTH(O$5,0),LayTable[[Bookmaker]:[Bookmaker]],$K62)+SUMIFS(BetTable[[AR_per_bookie]:[AR_per_bookie]],BetTable[[B1]:[B1]],$K62,BetTable[[Date]:[Date]], "&gt;="&amp;O$5,BetTable[[Date]:[Date]],"&lt;="&amp;EOMONTH(O$5,0))+SUMIFS(BetTable[[AR_per_bookie]:[AR_per_bookie]],BetTable[[B2]:[B2]],$K62,BetTable[[Date]:[Date]], "&gt;="&amp;O$5,BetTable[[Date]:[Date]],"&lt;="&amp;EOMONTH(O$5,0))+SUMIFS(BetTable[[AR_per_bookie]:[AR_per_bookie]],BetTable[[B3]:[B3]],$K62,BetTable[[Date]:[Date]], "&gt;="&amp;O$5,BetTable[[Date]:[Date]],"&lt;="&amp;EOMONTH(O$5,0))</f>
        <v>0</v>
      </c>
      <c r="P62" s="186">
        <f>SUMIFS(DWbonus[[Sum]:[Sum]],DWbonus[[Dato]:[Dato]], "&gt;="&amp;P$5,DWbonus[[Dato]:[Dato]],"&lt;="&amp;EOMONTH(P$5,0),DWbonus[[Bookie]:[Bookie]],$K62)+SUMIFS(LayTable[[Faktisk res]:[Faktisk res]],LayTable[[Dato]:[Dato]],"&gt;="&amp;P$5,LayTable[[Dato]:[Dato]],"&lt;="&amp;EOMONTH(P$5,0),LayTable[[Bookmaker]:[Bookmaker]],$K62)+SUMIFS(BetTable[[AR_per_bookie]:[AR_per_bookie]],BetTable[[B1]:[B1]],$K62,BetTable[[Date]:[Date]], "&gt;="&amp;P$5,BetTable[[Date]:[Date]],"&lt;="&amp;EOMONTH(P$5,0))+SUMIFS(BetTable[[AR_per_bookie]:[AR_per_bookie]],BetTable[[B2]:[B2]],$K62,BetTable[[Date]:[Date]], "&gt;="&amp;P$5,BetTable[[Date]:[Date]],"&lt;="&amp;EOMONTH(P$5,0))+SUMIFS(BetTable[[AR_per_bookie]:[AR_per_bookie]],BetTable[[B3]:[B3]],$K62,BetTable[[Date]:[Date]], "&gt;="&amp;P$5,BetTable[[Date]:[Date]],"&lt;="&amp;EOMONTH(P$5,0))</f>
        <v>0</v>
      </c>
      <c r="Q62" s="186">
        <f>SUMIFS(DWbonus[[Sum]:[Sum]],DWbonus[[Dato]:[Dato]], "&gt;="&amp;Q$5,DWbonus[[Dato]:[Dato]],"&lt;="&amp;EOMONTH(Q$5,0),DWbonus[[Bookie]:[Bookie]],$K62)+SUMIFS(LayTable[[Faktisk res]:[Faktisk res]],LayTable[[Dato]:[Dato]],"&gt;="&amp;Q$5,LayTable[[Dato]:[Dato]],"&lt;="&amp;EOMONTH(Q$5,0),LayTable[[Bookmaker]:[Bookmaker]],$K62)+SUMIFS(BetTable[[AR_per_bookie]:[AR_per_bookie]],BetTable[[B1]:[B1]],$K62,BetTable[[Date]:[Date]], "&gt;="&amp;Q$5,BetTable[[Date]:[Date]],"&lt;="&amp;EOMONTH(Q$5,0))+SUMIFS(BetTable[[AR_per_bookie]:[AR_per_bookie]],BetTable[[B2]:[B2]],$K62,BetTable[[Date]:[Date]], "&gt;="&amp;Q$5,BetTable[[Date]:[Date]],"&lt;="&amp;EOMONTH(Q$5,0))+SUMIFS(BetTable[[AR_per_bookie]:[AR_per_bookie]],BetTable[[B3]:[B3]],$K62,BetTable[[Date]:[Date]], "&gt;="&amp;Q$5,BetTable[[Date]:[Date]],"&lt;="&amp;EOMONTH(Q$5,0))</f>
        <v>0</v>
      </c>
      <c r="R62" s="186">
        <f>SUMIFS(DWbonus[[Sum]:[Sum]],DWbonus[[Dato]:[Dato]], "&gt;="&amp;R$5,DWbonus[[Dato]:[Dato]],"&lt;="&amp;EOMONTH(R$5,0),DWbonus[[Bookie]:[Bookie]],$K62)+SUMIFS(LayTable[[Faktisk res]:[Faktisk res]],LayTable[[Dato]:[Dato]],"&gt;="&amp;R$5,LayTable[[Dato]:[Dato]],"&lt;="&amp;EOMONTH(R$5,0),LayTable[[Bookmaker]:[Bookmaker]],$K62)+SUMIFS(BetTable[[AR_per_bookie]:[AR_per_bookie]],BetTable[[B1]:[B1]],$K62,BetTable[[Date]:[Date]], "&gt;="&amp;R$5,BetTable[[Date]:[Date]],"&lt;="&amp;EOMONTH(R$5,0))+SUMIFS(BetTable[[AR_per_bookie]:[AR_per_bookie]],BetTable[[B2]:[B2]],$K62,BetTable[[Date]:[Date]], "&gt;="&amp;R$5,BetTable[[Date]:[Date]],"&lt;="&amp;EOMONTH(R$5,0))+SUMIFS(BetTable[[AR_per_bookie]:[AR_per_bookie]],BetTable[[B3]:[B3]],$K62,BetTable[[Date]:[Date]], "&gt;="&amp;R$5,BetTable[[Date]:[Date]],"&lt;="&amp;EOMONTH(R$5,0))</f>
        <v>0</v>
      </c>
      <c r="S62" s="186">
        <f>SUMIFS(DWbonus[[Sum]:[Sum]],DWbonus[[Dato]:[Dato]], "&gt;="&amp;S$5,DWbonus[[Dato]:[Dato]],"&lt;="&amp;EOMONTH(S$5,0),DWbonus[[Bookie]:[Bookie]],$K62)+SUMIFS(LayTable[[Faktisk res]:[Faktisk res]],LayTable[[Dato]:[Dato]],"&gt;="&amp;S$5,LayTable[[Dato]:[Dato]],"&lt;="&amp;EOMONTH(S$5,0),LayTable[[Bookmaker]:[Bookmaker]],$K62)+SUMIFS(BetTable[[AR_per_bookie]:[AR_per_bookie]],BetTable[[B1]:[B1]],$K62,BetTable[[Date]:[Date]], "&gt;="&amp;S$5,BetTable[[Date]:[Date]],"&lt;="&amp;EOMONTH(S$5,0))+SUMIFS(BetTable[[AR_per_bookie]:[AR_per_bookie]],BetTable[[B2]:[B2]],$K62,BetTable[[Date]:[Date]], "&gt;="&amp;S$5,BetTable[[Date]:[Date]],"&lt;="&amp;EOMONTH(S$5,0))+SUMIFS(BetTable[[AR_per_bookie]:[AR_per_bookie]],BetTable[[B3]:[B3]],$K62,BetTable[[Date]:[Date]], "&gt;="&amp;S$5,BetTable[[Date]:[Date]],"&lt;="&amp;EOMONTH(S$5,0))</f>
        <v>0</v>
      </c>
      <c r="T62" s="186">
        <f>SUMIFS(DWbonus[[Sum]:[Sum]],DWbonus[[Dato]:[Dato]], "&gt;="&amp;T$5,DWbonus[[Dato]:[Dato]],"&lt;="&amp;EOMONTH(T$5,0),DWbonus[[Bookie]:[Bookie]],$K62)+SUMIFS(LayTable[[Faktisk res]:[Faktisk res]],LayTable[[Dato]:[Dato]],"&gt;="&amp;T$5,LayTable[[Dato]:[Dato]],"&lt;="&amp;EOMONTH(T$5,0),LayTable[[Bookmaker]:[Bookmaker]],$K62)+SUMIFS(BetTable[[AR_per_bookie]:[AR_per_bookie]],BetTable[[B1]:[B1]],$K62,BetTable[[Date]:[Date]], "&gt;="&amp;T$5,BetTable[[Date]:[Date]],"&lt;="&amp;EOMONTH(T$5,0))+SUMIFS(BetTable[[AR_per_bookie]:[AR_per_bookie]],BetTable[[B2]:[B2]],$K62,BetTable[[Date]:[Date]], "&gt;="&amp;T$5,BetTable[[Date]:[Date]],"&lt;="&amp;EOMONTH(T$5,0))+SUMIFS(BetTable[[AR_per_bookie]:[AR_per_bookie]],BetTable[[B3]:[B3]],$K62,BetTable[[Date]:[Date]], "&gt;="&amp;T$5,BetTable[[Date]:[Date]],"&lt;="&amp;EOMONTH(T$5,0))</f>
        <v>0</v>
      </c>
      <c r="U62" s="186">
        <f>SUMIFS(DWbonus[[Sum]:[Sum]],DWbonus[[Dato]:[Dato]], "&gt;="&amp;U$5,DWbonus[[Dato]:[Dato]],"&lt;="&amp;EOMONTH(U$5,0),DWbonus[[Bookie]:[Bookie]],$K62)+SUMIFS(LayTable[[Faktisk res]:[Faktisk res]],LayTable[[Dato]:[Dato]],"&gt;="&amp;U$5,LayTable[[Dato]:[Dato]],"&lt;="&amp;EOMONTH(U$5,0),LayTable[[Bookmaker]:[Bookmaker]],$K62)+SUMIFS(BetTable[[AR_per_bookie]:[AR_per_bookie]],BetTable[[B1]:[B1]],$K62,BetTable[[Date]:[Date]], "&gt;="&amp;U$5,BetTable[[Date]:[Date]],"&lt;="&amp;EOMONTH(U$5,0))+SUMIFS(BetTable[[AR_per_bookie]:[AR_per_bookie]],BetTable[[B2]:[B2]],$K62,BetTable[[Date]:[Date]], "&gt;="&amp;U$5,BetTable[[Date]:[Date]],"&lt;="&amp;EOMONTH(U$5,0))+SUMIFS(BetTable[[AR_per_bookie]:[AR_per_bookie]],BetTable[[B3]:[B3]],$K62,BetTable[[Date]:[Date]], "&gt;="&amp;U$5,BetTable[[Date]:[Date]],"&lt;="&amp;EOMONTH(U$5,0))</f>
        <v>0</v>
      </c>
      <c r="V62" s="186">
        <f>SUMIFS(DWbonus[[Sum]:[Sum]],DWbonus[[Dato]:[Dato]], "&gt;="&amp;V$5,DWbonus[[Dato]:[Dato]],"&lt;="&amp;EOMONTH(V$5,0),DWbonus[[Bookie]:[Bookie]],$K62)+SUMIFS(LayTable[[Faktisk res]:[Faktisk res]],LayTable[[Dato]:[Dato]],"&gt;="&amp;V$5,LayTable[[Dato]:[Dato]],"&lt;="&amp;EOMONTH(V$5,0),LayTable[[Bookmaker]:[Bookmaker]],$K62)+SUMIFS(BetTable[[AR_per_bookie]:[AR_per_bookie]],BetTable[[B1]:[B1]],$K62,BetTable[[Date]:[Date]], "&gt;="&amp;V$5,BetTable[[Date]:[Date]],"&lt;="&amp;EOMONTH(V$5,0))+SUMIFS(BetTable[[AR_per_bookie]:[AR_per_bookie]],BetTable[[B2]:[B2]],$K62,BetTable[[Date]:[Date]], "&gt;="&amp;V$5,BetTable[[Date]:[Date]],"&lt;="&amp;EOMONTH(V$5,0))+SUMIFS(BetTable[[AR_per_bookie]:[AR_per_bookie]],BetTable[[B3]:[B3]],$K62,BetTable[[Date]:[Date]], "&gt;="&amp;V$5,BetTable[[Date]:[Date]],"&lt;="&amp;EOMONTH(V$5,0))</f>
        <v>0</v>
      </c>
      <c r="W62" s="186">
        <f>SUMIFS(DWbonus[[Sum]:[Sum]],DWbonus[[Dato]:[Dato]], "&gt;="&amp;W$5,DWbonus[[Dato]:[Dato]],"&lt;="&amp;EOMONTH(W$5,0),DWbonus[[Bookie]:[Bookie]],$K62)+SUMIFS(LayTable[[Faktisk res]:[Faktisk res]],LayTable[[Dato]:[Dato]],"&gt;="&amp;W$5,LayTable[[Dato]:[Dato]],"&lt;="&amp;EOMONTH(W$5,0),LayTable[[Bookmaker]:[Bookmaker]],$K62)+SUMIFS(BetTable[[AR_per_bookie]:[AR_per_bookie]],BetTable[[B1]:[B1]],$K62,BetTable[[Date]:[Date]], "&gt;="&amp;W$5,BetTable[[Date]:[Date]],"&lt;="&amp;EOMONTH(W$5,0))+SUMIFS(BetTable[[AR_per_bookie]:[AR_per_bookie]],BetTable[[B2]:[B2]],$K62,BetTable[[Date]:[Date]], "&gt;="&amp;W$5,BetTable[[Date]:[Date]],"&lt;="&amp;EOMONTH(W$5,0))+SUMIFS(BetTable[[AR_per_bookie]:[AR_per_bookie]],BetTable[[B3]:[B3]],$K62,BetTable[[Date]:[Date]], "&gt;="&amp;W$5,BetTable[[Date]:[Date]],"&lt;="&amp;EOMONTH(W$5,0))</f>
        <v>0</v>
      </c>
    </row>
    <row r="63" spans="1:23">
      <c r="A63" s="174" t="s">
        <v>226</v>
      </c>
      <c r="B63" s="209">
        <v>1</v>
      </c>
      <c r="C63" s="174">
        <v>3000</v>
      </c>
      <c r="E63" s="174" t="s">
        <v>357</v>
      </c>
      <c r="K63" s="174" t="str">
        <f t="array" ref="K63">IFERROR(INDEX(BookieNavn!H$2:H$1251,SMALL(IF(EXACT(LEFT(BookieNavn!H$2:H$1251,2),M$3),ROW(BookieNavn!H$2:H$1251)-ROW(BookieNavn!H$2)+1),ROWS(BookieNavn!H$2:'BookieNavn'!H58))),"")</f>
        <v/>
      </c>
      <c r="L63" s="186">
        <f>SUMIFS(DWbonus[[Sum]:[Sum]],DWbonus[[Dato]:[Dato]], "&gt;="&amp;L$5,DWbonus[[Dato]:[Dato]],"&lt;="&amp;EOMONTH(L$5,0),DWbonus[[Bookie]:[Bookie]],$K63)+SUMIFS(LayTable[[Faktisk res]:[Faktisk res]],LayTable[[Dato]:[Dato]],"&gt;="&amp;L$5,LayTable[[Dato]:[Dato]],"&lt;="&amp;EOMONTH(L$5,0),LayTable[[Bookmaker]:[Bookmaker]],$K63)+SUMIFS(BetTable[[AR_per_bookie]:[AR_per_bookie]],BetTable[[B1]:[B1]],$K63,BetTable[[Date]:[Date]], "&gt;="&amp;L$5,BetTable[[Date]:[Date]],"&lt;="&amp;EOMONTH(L$5,0))+SUMIFS(BetTable[[AR_per_bookie]:[AR_per_bookie]],BetTable[[B2]:[B2]],$K63,BetTable[[Date]:[Date]], "&gt;="&amp;L$5,BetTable[[Date]:[Date]],"&lt;="&amp;EOMONTH(L$5,0))+SUMIFS(BetTable[[AR_per_bookie]:[AR_per_bookie]],BetTable[[B3]:[B3]],$K63,BetTable[[Date]:[Date]], "&gt;="&amp;L$5,BetTable[[Date]:[Date]],"&lt;="&amp;EOMONTH(L$5,0))</f>
        <v>0</v>
      </c>
      <c r="M63" s="186">
        <f>SUMIFS(DWbonus[[Sum]:[Sum]],DWbonus[[Dato]:[Dato]], "&gt;="&amp;M$5,DWbonus[[Dato]:[Dato]],"&lt;="&amp;EOMONTH(M$5,0),DWbonus[[Bookie]:[Bookie]],$K63)+SUMIFS(LayTable[[Faktisk res]:[Faktisk res]],LayTable[[Dato]:[Dato]],"&gt;="&amp;M$5,LayTable[[Dato]:[Dato]],"&lt;="&amp;EOMONTH(M$5,0),LayTable[[Bookmaker]:[Bookmaker]],$K63)+SUMIFS(BetTable[[AR_per_bookie]:[AR_per_bookie]],BetTable[[B1]:[B1]],$K63,BetTable[[Date]:[Date]], "&gt;="&amp;M$5,BetTable[[Date]:[Date]],"&lt;="&amp;EOMONTH(M$5,0))+SUMIFS(BetTable[[AR_per_bookie]:[AR_per_bookie]],BetTable[[B2]:[B2]],$K63,BetTable[[Date]:[Date]], "&gt;="&amp;M$5,BetTable[[Date]:[Date]],"&lt;="&amp;EOMONTH(M$5,0))+SUMIFS(BetTable[[AR_per_bookie]:[AR_per_bookie]],BetTable[[B3]:[B3]],$K63,BetTable[[Date]:[Date]], "&gt;="&amp;M$5,BetTable[[Date]:[Date]],"&lt;="&amp;EOMONTH(M$5,0))</f>
        <v>0</v>
      </c>
      <c r="N63" s="186">
        <f>SUMIFS(DWbonus[[Sum]:[Sum]],DWbonus[[Dato]:[Dato]], "&gt;="&amp;N$5,DWbonus[[Dato]:[Dato]],"&lt;="&amp;EOMONTH(N$5,0),DWbonus[[Bookie]:[Bookie]],$K63)+SUMIFS(LayTable[[Faktisk res]:[Faktisk res]],LayTable[[Dato]:[Dato]],"&gt;="&amp;N$5,LayTable[[Dato]:[Dato]],"&lt;="&amp;EOMONTH(N$5,0),LayTable[[Bookmaker]:[Bookmaker]],$K63)+SUMIFS(BetTable[[AR_per_bookie]:[AR_per_bookie]],BetTable[[B1]:[B1]],$K63,BetTable[[Date]:[Date]], "&gt;="&amp;N$5,BetTable[[Date]:[Date]],"&lt;="&amp;EOMONTH(N$5,0))+SUMIFS(BetTable[[AR_per_bookie]:[AR_per_bookie]],BetTable[[B2]:[B2]],$K63,BetTable[[Date]:[Date]], "&gt;="&amp;N$5,BetTable[[Date]:[Date]],"&lt;="&amp;EOMONTH(N$5,0))+SUMIFS(BetTable[[AR_per_bookie]:[AR_per_bookie]],BetTable[[B3]:[B3]],$K63,BetTable[[Date]:[Date]], "&gt;="&amp;N$5,BetTable[[Date]:[Date]],"&lt;="&amp;EOMONTH(N$5,0))</f>
        <v>0</v>
      </c>
      <c r="O63" s="186">
        <f>SUMIFS(DWbonus[[Sum]:[Sum]],DWbonus[[Dato]:[Dato]], "&gt;="&amp;O$5,DWbonus[[Dato]:[Dato]],"&lt;="&amp;EOMONTH(O$5,0),DWbonus[[Bookie]:[Bookie]],$K63)+SUMIFS(LayTable[[Faktisk res]:[Faktisk res]],LayTable[[Dato]:[Dato]],"&gt;="&amp;O$5,LayTable[[Dato]:[Dato]],"&lt;="&amp;EOMONTH(O$5,0),LayTable[[Bookmaker]:[Bookmaker]],$K63)+SUMIFS(BetTable[[AR_per_bookie]:[AR_per_bookie]],BetTable[[B1]:[B1]],$K63,BetTable[[Date]:[Date]], "&gt;="&amp;O$5,BetTable[[Date]:[Date]],"&lt;="&amp;EOMONTH(O$5,0))+SUMIFS(BetTable[[AR_per_bookie]:[AR_per_bookie]],BetTable[[B2]:[B2]],$K63,BetTable[[Date]:[Date]], "&gt;="&amp;O$5,BetTable[[Date]:[Date]],"&lt;="&amp;EOMONTH(O$5,0))+SUMIFS(BetTable[[AR_per_bookie]:[AR_per_bookie]],BetTable[[B3]:[B3]],$K63,BetTable[[Date]:[Date]], "&gt;="&amp;O$5,BetTable[[Date]:[Date]],"&lt;="&amp;EOMONTH(O$5,0))</f>
        <v>0</v>
      </c>
      <c r="P63" s="186">
        <f>SUMIFS(DWbonus[[Sum]:[Sum]],DWbonus[[Dato]:[Dato]], "&gt;="&amp;P$5,DWbonus[[Dato]:[Dato]],"&lt;="&amp;EOMONTH(P$5,0),DWbonus[[Bookie]:[Bookie]],$K63)+SUMIFS(LayTable[[Faktisk res]:[Faktisk res]],LayTable[[Dato]:[Dato]],"&gt;="&amp;P$5,LayTable[[Dato]:[Dato]],"&lt;="&amp;EOMONTH(P$5,0),LayTable[[Bookmaker]:[Bookmaker]],$K63)+SUMIFS(BetTable[[AR_per_bookie]:[AR_per_bookie]],BetTable[[B1]:[B1]],$K63,BetTable[[Date]:[Date]], "&gt;="&amp;P$5,BetTable[[Date]:[Date]],"&lt;="&amp;EOMONTH(P$5,0))+SUMIFS(BetTable[[AR_per_bookie]:[AR_per_bookie]],BetTable[[B2]:[B2]],$K63,BetTable[[Date]:[Date]], "&gt;="&amp;P$5,BetTable[[Date]:[Date]],"&lt;="&amp;EOMONTH(P$5,0))+SUMIFS(BetTable[[AR_per_bookie]:[AR_per_bookie]],BetTable[[B3]:[B3]],$K63,BetTable[[Date]:[Date]], "&gt;="&amp;P$5,BetTable[[Date]:[Date]],"&lt;="&amp;EOMONTH(P$5,0))</f>
        <v>0</v>
      </c>
      <c r="Q63" s="186">
        <f>SUMIFS(DWbonus[[Sum]:[Sum]],DWbonus[[Dato]:[Dato]], "&gt;="&amp;Q$5,DWbonus[[Dato]:[Dato]],"&lt;="&amp;EOMONTH(Q$5,0),DWbonus[[Bookie]:[Bookie]],$K63)+SUMIFS(LayTable[[Faktisk res]:[Faktisk res]],LayTable[[Dato]:[Dato]],"&gt;="&amp;Q$5,LayTable[[Dato]:[Dato]],"&lt;="&amp;EOMONTH(Q$5,0),LayTable[[Bookmaker]:[Bookmaker]],$K63)+SUMIFS(BetTable[[AR_per_bookie]:[AR_per_bookie]],BetTable[[B1]:[B1]],$K63,BetTable[[Date]:[Date]], "&gt;="&amp;Q$5,BetTable[[Date]:[Date]],"&lt;="&amp;EOMONTH(Q$5,0))+SUMIFS(BetTable[[AR_per_bookie]:[AR_per_bookie]],BetTable[[B2]:[B2]],$K63,BetTable[[Date]:[Date]], "&gt;="&amp;Q$5,BetTable[[Date]:[Date]],"&lt;="&amp;EOMONTH(Q$5,0))+SUMIFS(BetTable[[AR_per_bookie]:[AR_per_bookie]],BetTable[[B3]:[B3]],$K63,BetTable[[Date]:[Date]], "&gt;="&amp;Q$5,BetTable[[Date]:[Date]],"&lt;="&amp;EOMONTH(Q$5,0))</f>
        <v>0</v>
      </c>
      <c r="R63" s="186">
        <f>SUMIFS(DWbonus[[Sum]:[Sum]],DWbonus[[Dato]:[Dato]], "&gt;="&amp;R$5,DWbonus[[Dato]:[Dato]],"&lt;="&amp;EOMONTH(R$5,0),DWbonus[[Bookie]:[Bookie]],$K63)+SUMIFS(LayTable[[Faktisk res]:[Faktisk res]],LayTable[[Dato]:[Dato]],"&gt;="&amp;R$5,LayTable[[Dato]:[Dato]],"&lt;="&amp;EOMONTH(R$5,0),LayTable[[Bookmaker]:[Bookmaker]],$K63)+SUMIFS(BetTable[[AR_per_bookie]:[AR_per_bookie]],BetTable[[B1]:[B1]],$K63,BetTable[[Date]:[Date]], "&gt;="&amp;R$5,BetTable[[Date]:[Date]],"&lt;="&amp;EOMONTH(R$5,0))+SUMIFS(BetTable[[AR_per_bookie]:[AR_per_bookie]],BetTable[[B2]:[B2]],$K63,BetTable[[Date]:[Date]], "&gt;="&amp;R$5,BetTable[[Date]:[Date]],"&lt;="&amp;EOMONTH(R$5,0))+SUMIFS(BetTable[[AR_per_bookie]:[AR_per_bookie]],BetTable[[B3]:[B3]],$K63,BetTable[[Date]:[Date]], "&gt;="&amp;R$5,BetTable[[Date]:[Date]],"&lt;="&amp;EOMONTH(R$5,0))</f>
        <v>0</v>
      </c>
      <c r="S63" s="186">
        <f>SUMIFS(DWbonus[[Sum]:[Sum]],DWbonus[[Dato]:[Dato]], "&gt;="&amp;S$5,DWbonus[[Dato]:[Dato]],"&lt;="&amp;EOMONTH(S$5,0),DWbonus[[Bookie]:[Bookie]],$K63)+SUMIFS(LayTable[[Faktisk res]:[Faktisk res]],LayTable[[Dato]:[Dato]],"&gt;="&amp;S$5,LayTable[[Dato]:[Dato]],"&lt;="&amp;EOMONTH(S$5,0),LayTable[[Bookmaker]:[Bookmaker]],$K63)+SUMIFS(BetTable[[AR_per_bookie]:[AR_per_bookie]],BetTable[[B1]:[B1]],$K63,BetTable[[Date]:[Date]], "&gt;="&amp;S$5,BetTable[[Date]:[Date]],"&lt;="&amp;EOMONTH(S$5,0))+SUMIFS(BetTable[[AR_per_bookie]:[AR_per_bookie]],BetTable[[B2]:[B2]],$K63,BetTable[[Date]:[Date]], "&gt;="&amp;S$5,BetTable[[Date]:[Date]],"&lt;="&amp;EOMONTH(S$5,0))+SUMIFS(BetTable[[AR_per_bookie]:[AR_per_bookie]],BetTable[[B3]:[B3]],$K63,BetTable[[Date]:[Date]], "&gt;="&amp;S$5,BetTable[[Date]:[Date]],"&lt;="&amp;EOMONTH(S$5,0))</f>
        <v>0</v>
      </c>
      <c r="T63" s="186">
        <f>SUMIFS(DWbonus[[Sum]:[Sum]],DWbonus[[Dato]:[Dato]], "&gt;="&amp;T$5,DWbonus[[Dato]:[Dato]],"&lt;="&amp;EOMONTH(T$5,0),DWbonus[[Bookie]:[Bookie]],$K63)+SUMIFS(LayTable[[Faktisk res]:[Faktisk res]],LayTable[[Dato]:[Dato]],"&gt;="&amp;T$5,LayTable[[Dato]:[Dato]],"&lt;="&amp;EOMONTH(T$5,0),LayTable[[Bookmaker]:[Bookmaker]],$K63)+SUMIFS(BetTable[[AR_per_bookie]:[AR_per_bookie]],BetTable[[B1]:[B1]],$K63,BetTable[[Date]:[Date]], "&gt;="&amp;T$5,BetTable[[Date]:[Date]],"&lt;="&amp;EOMONTH(T$5,0))+SUMIFS(BetTable[[AR_per_bookie]:[AR_per_bookie]],BetTable[[B2]:[B2]],$K63,BetTable[[Date]:[Date]], "&gt;="&amp;T$5,BetTable[[Date]:[Date]],"&lt;="&amp;EOMONTH(T$5,0))+SUMIFS(BetTable[[AR_per_bookie]:[AR_per_bookie]],BetTable[[B3]:[B3]],$K63,BetTable[[Date]:[Date]], "&gt;="&amp;T$5,BetTable[[Date]:[Date]],"&lt;="&amp;EOMONTH(T$5,0))</f>
        <v>0</v>
      </c>
      <c r="U63" s="186">
        <f>SUMIFS(DWbonus[[Sum]:[Sum]],DWbonus[[Dato]:[Dato]], "&gt;="&amp;U$5,DWbonus[[Dato]:[Dato]],"&lt;="&amp;EOMONTH(U$5,0),DWbonus[[Bookie]:[Bookie]],$K63)+SUMIFS(LayTable[[Faktisk res]:[Faktisk res]],LayTable[[Dato]:[Dato]],"&gt;="&amp;U$5,LayTable[[Dato]:[Dato]],"&lt;="&amp;EOMONTH(U$5,0),LayTable[[Bookmaker]:[Bookmaker]],$K63)+SUMIFS(BetTable[[AR_per_bookie]:[AR_per_bookie]],BetTable[[B1]:[B1]],$K63,BetTable[[Date]:[Date]], "&gt;="&amp;U$5,BetTable[[Date]:[Date]],"&lt;="&amp;EOMONTH(U$5,0))+SUMIFS(BetTable[[AR_per_bookie]:[AR_per_bookie]],BetTable[[B2]:[B2]],$K63,BetTable[[Date]:[Date]], "&gt;="&amp;U$5,BetTable[[Date]:[Date]],"&lt;="&amp;EOMONTH(U$5,0))+SUMIFS(BetTable[[AR_per_bookie]:[AR_per_bookie]],BetTable[[B3]:[B3]],$K63,BetTable[[Date]:[Date]], "&gt;="&amp;U$5,BetTable[[Date]:[Date]],"&lt;="&amp;EOMONTH(U$5,0))</f>
        <v>0</v>
      </c>
      <c r="V63" s="186">
        <f>SUMIFS(DWbonus[[Sum]:[Sum]],DWbonus[[Dato]:[Dato]], "&gt;="&amp;V$5,DWbonus[[Dato]:[Dato]],"&lt;="&amp;EOMONTH(V$5,0),DWbonus[[Bookie]:[Bookie]],$K63)+SUMIFS(LayTable[[Faktisk res]:[Faktisk res]],LayTable[[Dato]:[Dato]],"&gt;="&amp;V$5,LayTable[[Dato]:[Dato]],"&lt;="&amp;EOMONTH(V$5,0),LayTable[[Bookmaker]:[Bookmaker]],$K63)+SUMIFS(BetTable[[AR_per_bookie]:[AR_per_bookie]],BetTable[[B1]:[B1]],$K63,BetTable[[Date]:[Date]], "&gt;="&amp;V$5,BetTable[[Date]:[Date]],"&lt;="&amp;EOMONTH(V$5,0))+SUMIFS(BetTable[[AR_per_bookie]:[AR_per_bookie]],BetTable[[B2]:[B2]],$K63,BetTable[[Date]:[Date]], "&gt;="&amp;V$5,BetTable[[Date]:[Date]],"&lt;="&amp;EOMONTH(V$5,0))+SUMIFS(BetTable[[AR_per_bookie]:[AR_per_bookie]],BetTable[[B3]:[B3]],$K63,BetTable[[Date]:[Date]], "&gt;="&amp;V$5,BetTable[[Date]:[Date]],"&lt;="&amp;EOMONTH(V$5,0))</f>
        <v>0</v>
      </c>
      <c r="W63" s="186">
        <f>SUMIFS(DWbonus[[Sum]:[Sum]],DWbonus[[Dato]:[Dato]], "&gt;="&amp;W$5,DWbonus[[Dato]:[Dato]],"&lt;="&amp;EOMONTH(W$5,0),DWbonus[[Bookie]:[Bookie]],$K63)+SUMIFS(LayTable[[Faktisk res]:[Faktisk res]],LayTable[[Dato]:[Dato]],"&gt;="&amp;W$5,LayTable[[Dato]:[Dato]],"&lt;="&amp;EOMONTH(W$5,0),LayTable[[Bookmaker]:[Bookmaker]],$K63)+SUMIFS(BetTable[[AR_per_bookie]:[AR_per_bookie]],BetTable[[B1]:[B1]],$K63,BetTable[[Date]:[Date]], "&gt;="&amp;W$5,BetTable[[Date]:[Date]],"&lt;="&amp;EOMONTH(W$5,0))+SUMIFS(BetTable[[AR_per_bookie]:[AR_per_bookie]],BetTable[[B2]:[B2]],$K63,BetTable[[Date]:[Date]], "&gt;="&amp;W$5,BetTable[[Date]:[Date]],"&lt;="&amp;EOMONTH(W$5,0))+SUMIFS(BetTable[[AR_per_bookie]:[AR_per_bookie]],BetTable[[B3]:[B3]],$K63,BetTable[[Date]:[Date]], "&gt;="&amp;W$5,BetTable[[Date]:[Date]],"&lt;="&amp;EOMONTH(W$5,0))</f>
        <v>0</v>
      </c>
    </row>
    <row r="64" spans="1:23">
      <c r="A64" s="174" t="s">
        <v>228</v>
      </c>
      <c r="B64" s="209">
        <v>1</v>
      </c>
      <c r="C64" s="174">
        <v>2000</v>
      </c>
      <c r="K64" s="174" t="str">
        <f t="array" ref="K64">IFERROR(INDEX(BookieNavn!H$2:H$1251,SMALL(IF(EXACT(LEFT(BookieNavn!H$2:H$1251,2),M$3),ROW(BookieNavn!H$2:H$1251)-ROW(BookieNavn!H$2)+1),ROWS(BookieNavn!H$2:'BookieNavn'!H59))),"")</f>
        <v/>
      </c>
      <c r="L64" s="186">
        <f>SUMIFS(DWbonus[[Sum]:[Sum]],DWbonus[[Dato]:[Dato]], "&gt;="&amp;L$5,DWbonus[[Dato]:[Dato]],"&lt;="&amp;EOMONTH(L$5,0),DWbonus[[Bookie]:[Bookie]],$K64)+SUMIFS(LayTable[[Faktisk res]:[Faktisk res]],LayTable[[Dato]:[Dato]],"&gt;="&amp;L$5,LayTable[[Dato]:[Dato]],"&lt;="&amp;EOMONTH(L$5,0),LayTable[[Bookmaker]:[Bookmaker]],$K64)+SUMIFS(BetTable[[AR_per_bookie]:[AR_per_bookie]],BetTable[[B1]:[B1]],$K64,BetTable[[Date]:[Date]], "&gt;="&amp;L$5,BetTable[[Date]:[Date]],"&lt;="&amp;EOMONTH(L$5,0))+SUMIFS(BetTable[[AR_per_bookie]:[AR_per_bookie]],BetTable[[B2]:[B2]],$K64,BetTable[[Date]:[Date]], "&gt;="&amp;L$5,BetTable[[Date]:[Date]],"&lt;="&amp;EOMONTH(L$5,0))+SUMIFS(BetTable[[AR_per_bookie]:[AR_per_bookie]],BetTable[[B3]:[B3]],$K64,BetTable[[Date]:[Date]], "&gt;="&amp;L$5,BetTable[[Date]:[Date]],"&lt;="&amp;EOMONTH(L$5,0))</f>
        <v>0</v>
      </c>
      <c r="M64" s="186">
        <f>SUMIFS(DWbonus[[Sum]:[Sum]],DWbonus[[Dato]:[Dato]], "&gt;="&amp;M$5,DWbonus[[Dato]:[Dato]],"&lt;="&amp;EOMONTH(M$5,0),DWbonus[[Bookie]:[Bookie]],$K64)+SUMIFS(LayTable[[Faktisk res]:[Faktisk res]],LayTable[[Dato]:[Dato]],"&gt;="&amp;M$5,LayTable[[Dato]:[Dato]],"&lt;="&amp;EOMONTH(M$5,0),LayTable[[Bookmaker]:[Bookmaker]],$K64)+SUMIFS(BetTable[[AR_per_bookie]:[AR_per_bookie]],BetTable[[B1]:[B1]],$K64,BetTable[[Date]:[Date]], "&gt;="&amp;M$5,BetTable[[Date]:[Date]],"&lt;="&amp;EOMONTH(M$5,0))+SUMIFS(BetTable[[AR_per_bookie]:[AR_per_bookie]],BetTable[[B2]:[B2]],$K64,BetTable[[Date]:[Date]], "&gt;="&amp;M$5,BetTable[[Date]:[Date]],"&lt;="&amp;EOMONTH(M$5,0))+SUMIFS(BetTable[[AR_per_bookie]:[AR_per_bookie]],BetTable[[B3]:[B3]],$K64,BetTable[[Date]:[Date]], "&gt;="&amp;M$5,BetTable[[Date]:[Date]],"&lt;="&amp;EOMONTH(M$5,0))</f>
        <v>0</v>
      </c>
      <c r="N64" s="186">
        <f>SUMIFS(DWbonus[[Sum]:[Sum]],DWbonus[[Dato]:[Dato]], "&gt;="&amp;N$5,DWbonus[[Dato]:[Dato]],"&lt;="&amp;EOMONTH(N$5,0),DWbonus[[Bookie]:[Bookie]],$K64)+SUMIFS(LayTable[[Faktisk res]:[Faktisk res]],LayTable[[Dato]:[Dato]],"&gt;="&amp;N$5,LayTable[[Dato]:[Dato]],"&lt;="&amp;EOMONTH(N$5,0),LayTable[[Bookmaker]:[Bookmaker]],$K64)+SUMIFS(BetTable[[AR_per_bookie]:[AR_per_bookie]],BetTable[[B1]:[B1]],$K64,BetTable[[Date]:[Date]], "&gt;="&amp;N$5,BetTable[[Date]:[Date]],"&lt;="&amp;EOMONTH(N$5,0))+SUMIFS(BetTable[[AR_per_bookie]:[AR_per_bookie]],BetTable[[B2]:[B2]],$K64,BetTable[[Date]:[Date]], "&gt;="&amp;N$5,BetTable[[Date]:[Date]],"&lt;="&amp;EOMONTH(N$5,0))+SUMIFS(BetTable[[AR_per_bookie]:[AR_per_bookie]],BetTable[[B3]:[B3]],$K64,BetTable[[Date]:[Date]], "&gt;="&amp;N$5,BetTable[[Date]:[Date]],"&lt;="&amp;EOMONTH(N$5,0))</f>
        <v>0</v>
      </c>
      <c r="O64" s="186">
        <f>SUMIFS(DWbonus[[Sum]:[Sum]],DWbonus[[Dato]:[Dato]], "&gt;="&amp;O$5,DWbonus[[Dato]:[Dato]],"&lt;="&amp;EOMONTH(O$5,0),DWbonus[[Bookie]:[Bookie]],$K64)+SUMIFS(LayTable[[Faktisk res]:[Faktisk res]],LayTable[[Dato]:[Dato]],"&gt;="&amp;O$5,LayTable[[Dato]:[Dato]],"&lt;="&amp;EOMONTH(O$5,0),LayTable[[Bookmaker]:[Bookmaker]],$K64)+SUMIFS(BetTable[[AR_per_bookie]:[AR_per_bookie]],BetTable[[B1]:[B1]],$K64,BetTable[[Date]:[Date]], "&gt;="&amp;O$5,BetTable[[Date]:[Date]],"&lt;="&amp;EOMONTH(O$5,0))+SUMIFS(BetTable[[AR_per_bookie]:[AR_per_bookie]],BetTable[[B2]:[B2]],$K64,BetTable[[Date]:[Date]], "&gt;="&amp;O$5,BetTable[[Date]:[Date]],"&lt;="&amp;EOMONTH(O$5,0))+SUMIFS(BetTable[[AR_per_bookie]:[AR_per_bookie]],BetTable[[B3]:[B3]],$K64,BetTable[[Date]:[Date]], "&gt;="&amp;O$5,BetTable[[Date]:[Date]],"&lt;="&amp;EOMONTH(O$5,0))</f>
        <v>0</v>
      </c>
      <c r="P64" s="186">
        <f>SUMIFS(DWbonus[[Sum]:[Sum]],DWbonus[[Dato]:[Dato]], "&gt;="&amp;P$5,DWbonus[[Dato]:[Dato]],"&lt;="&amp;EOMONTH(P$5,0),DWbonus[[Bookie]:[Bookie]],$K64)+SUMIFS(LayTable[[Faktisk res]:[Faktisk res]],LayTable[[Dato]:[Dato]],"&gt;="&amp;P$5,LayTable[[Dato]:[Dato]],"&lt;="&amp;EOMONTH(P$5,0),LayTable[[Bookmaker]:[Bookmaker]],$K64)+SUMIFS(BetTable[[AR_per_bookie]:[AR_per_bookie]],BetTable[[B1]:[B1]],$K64,BetTable[[Date]:[Date]], "&gt;="&amp;P$5,BetTable[[Date]:[Date]],"&lt;="&amp;EOMONTH(P$5,0))+SUMIFS(BetTable[[AR_per_bookie]:[AR_per_bookie]],BetTable[[B2]:[B2]],$K64,BetTable[[Date]:[Date]], "&gt;="&amp;P$5,BetTable[[Date]:[Date]],"&lt;="&amp;EOMONTH(P$5,0))+SUMIFS(BetTable[[AR_per_bookie]:[AR_per_bookie]],BetTable[[B3]:[B3]],$K64,BetTable[[Date]:[Date]], "&gt;="&amp;P$5,BetTable[[Date]:[Date]],"&lt;="&amp;EOMONTH(P$5,0))</f>
        <v>0</v>
      </c>
      <c r="Q64" s="186">
        <f>SUMIFS(DWbonus[[Sum]:[Sum]],DWbonus[[Dato]:[Dato]], "&gt;="&amp;Q$5,DWbonus[[Dato]:[Dato]],"&lt;="&amp;EOMONTH(Q$5,0),DWbonus[[Bookie]:[Bookie]],$K64)+SUMIFS(LayTable[[Faktisk res]:[Faktisk res]],LayTable[[Dato]:[Dato]],"&gt;="&amp;Q$5,LayTable[[Dato]:[Dato]],"&lt;="&amp;EOMONTH(Q$5,0),LayTable[[Bookmaker]:[Bookmaker]],$K64)+SUMIFS(BetTable[[AR_per_bookie]:[AR_per_bookie]],BetTable[[B1]:[B1]],$K64,BetTable[[Date]:[Date]], "&gt;="&amp;Q$5,BetTable[[Date]:[Date]],"&lt;="&amp;EOMONTH(Q$5,0))+SUMIFS(BetTable[[AR_per_bookie]:[AR_per_bookie]],BetTable[[B2]:[B2]],$K64,BetTable[[Date]:[Date]], "&gt;="&amp;Q$5,BetTable[[Date]:[Date]],"&lt;="&amp;EOMONTH(Q$5,0))+SUMIFS(BetTable[[AR_per_bookie]:[AR_per_bookie]],BetTable[[B3]:[B3]],$K64,BetTable[[Date]:[Date]], "&gt;="&amp;Q$5,BetTable[[Date]:[Date]],"&lt;="&amp;EOMONTH(Q$5,0))</f>
        <v>0</v>
      </c>
      <c r="R64" s="186">
        <f>SUMIFS(DWbonus[[Sum]:[Sum]],DWbonus[[Dato]:[Dato]], "&gt;="&amp;R$5,DWbonus[[Dato]:[Dato]],"&lt;="&amp;EOMONTH(R$5,0),DWbonus[[Bookie]:[Bookie]],$K64)+SUMIFS(LayTable[[Faktisk res]:[Faktisk res]],LayTable[[Dato]:[Dato]],"&gt;="&amp;R$5,LayTable[[Dato]:[Dato]],"&lt;="&amp;EOMONTH(R$5,0),LayTable[[Bookmaker]:[Bookmaker]],$K64)+SUMIFS(BetTable[[AR_per_bookie]:[AR_per_bookie]],BetTable[[B1]:[B1]],$K64,BetTable[[Date]:[Date]], "&gt;="&amp;R$5,BetTable[[Date]:[Date]],"&lt;="&amp;EOMONTH(R$5,0))+SUMIFS(BetTable[[AR_per_bookie]:[AR_per_bookie]],BetTable[[B2]:[B2]],$K64,BetTable[[Date]:[Date]], "&gt;="&amp;R$5,BetTable[[Date]:[Date]],"&lt;="&amp;EOMONTH(R$5,0))+SUMIFS(BetTable[[AR_per_bookie]:[AR_per_bookie]],BetTable[[B3]:[B3]],$K64,BetTable[[Date]:[Date]], "&gt;="&amp;R$5,BetTable[[Date]:[Date]],"&lt;="&amp;EOMONTH(R$5,0))</f>
        <v>0</v>
      </c>
      <c r="S64" s="186">
        <f>SUMIFS(DWbonus[[Sum]:[Sum]],DWbonus[[Dato]:[Dato]], "&gt;="&amp;S$5,DWbonus[[Dato]:[Dato]],"&lt;="&amp;EOMONTH(S$5,0),DWbonus[[Bookie]:[Bookie]],$K64)+SUMIFS(LayTable[[Faktisk res]:[Faktisk res]],LayTable[[Dato]:[Dato]],"&gt;="&amp;S$5,LayTable[[Dato]:[Dato]],"&lt;="&amp;EOMONTH(S$5,0),LayTable[[Bookmaker]:[Bookmaker]],$K64)+SUMIFS(BetTable[[AR_per_bookie]:[AR_per_bookie]],BetTable[[B1]:[B1]],$K64,BetTable[[Date]:[Date]], "&gt;="&amp;S$5,BetTable[[Date]:[Date]],"&lt;="&amp;EOMONTH(S$5,0))+SUMIFS(BetTable[[AR_per_bookie]:[AR_per_bookie]],BetTable[[B2]:[B2]],$K64,BetTable[[Date]:[Date]], "&gt;="&amp;S$5,BetTable[[Date]:[Date]],"&lt;="&amp;EOMONTH(S$5,0))+SUMIFS(BetTable[[AR_per_bookie]:[AR_per_bookie]],BetTable[[B3]:[B3]],$K64,BetTable[[Date]:[Date]], "&gt;="&amp;S$5,BetTable[[Date]:[Date]],"&lt;="&amp;EOMONTH(S$5,0))</f>
        <v>0</v>
      </c>
      <c r="T64" s="186">
        <f>SUMIFS(DWbonus[[Sum]:[Sum]],DWbonus[[Dato]:[Dato]], "&gt;="&amp;T$5,DWbonus[[Dato]:[Dato]],"&lt;="&amp;EOMONTH(T$5,0),DWbonus[[Bookie]:[Bookie]],$K64)+SUMIFS(LayTable[[Faktisk res]:[Faktisk res]],LayTable[[Dato]:[Dato]],"&gt;="&amp;T$5,LayTable[[Dato]:[Dato]],"&lt;="&amp;EOMONTH(T$5,0),LayTable[[Bookmaker]:[Bookmaker]],$K64)+SUMIFS(BetTable[[AR_per_bookie]:[AR_per_bookie]],BetTable[[B1]:[B1]],$K64,BetTable[[Date]:[Date]], "&gt;="&amp;T$5,BetTable[[Date]:[Date]],"&lt;="&amp;EOMONTH(T$5,0))+SUMIFS(BetTable[[AR_per_bookie]:[AR_per_bookie]],BetTable[[B2]:[B2]],$K64,BetTable[[Date]:[Date]], "&gt;="&amp;T$5,BetTable[[Date]:[Date]],"&lt;="&amp;EOMONTH(T$5,0))+SUMIFS(BetTable[[AR_per_bookie]:[AR_per_bookie]],BetTable[[B3]:[B3]],$K64,BetTable[[Date]:[Date]], "&gt;="&amp;T$5,BetTable[[Date]:[Date]],"&lt;="&amp;EOMONTH(T$5,0))</f>
        <v>0</v>
      </c>
      <c r="U64" s="186">
        <f>SUMIFS(DWbonus[[Sum]:[Sum]],DWbonus[[Dato]:[Dato]], "&gt;="&amp;U$5,DWbonus[[Dato]:[Dato]],"&lt;="&amp;EOMONTH(U$5,0),DWbonus[[Bookie]:[Bookie]],$K64)+SUMIFS(LayTable[[Faktisk res]:[Faktisk res]],LayTable[[Dato]:[Dato]],"&gt;="&amp;U$5,LayTable[[Dato]:[Dato]],"&lt;="&amp;EOMONTH(U$5,0),LayTable[[Bookmaker]:[Bookmaker]],$K64)+SUMIFS(BetTable[[AR_per_bookie]:[AR_per_bookie]],BetTable[[B1]:[B1]],$K64,BetTable[[Date]:[Date]], "&gt;="&amp;U$5,BetTable[[Date]:[Date]],"&lt;="&amp;EOMONTH(U$5,0))+SUMIFS(BetTable[[AR_per_bookie]:[AR_per_bookie]],BetTable[[B2]:[B2]],$K64,BetTable[[Date]:[Date]], "&gt;="&amp;U$5,BetTable[[Date]:[Date]],"&lt;="&amp;EOMONTH(U$5,0))+SUMIFS(BetTable[[AR_per_bookie]:[AR_per_bookie]],BetTable[[B3]:[B3]],$K64,BetTable[[Date]:[Date]], "&gt;="&amp;U$5,BetTable[[Date]:[Date]],"&lt;="&amp;EOMONTH(U$5,0))</f>
        <v>0</v>
      </c>
      <c r="V64" s="186">
        <f>SUMIFS(DWbonus[[Sum]:[Sum]],DWbonus[[Dato]:[Dato]], "&gt;="&amp;V$5,DWbonus[[Dato]:[Dato]],"&lt;="&amp;EOMONTH(V$5,0),DWbonus[[Bookie]:[Bookie]],$K64)+SUMIFS(LayTable[[Faktisk res]:[Faktisk res]],LayTable[[Dato]:[Dato]],"&gt;="&amp;V$5,LayTable[[Dato]:[Dato]],"&lt;="&amp;EOMONTH(V$5,0),LayTable[[Bookmaker]:[Bookmaker]],$K64)+SUMIFS(BetTable[[AR_per_bookie]:[AR_per_bookie]],BetTable[[B1]:[B1]],$K64,BetTable[[Date]:[Date]], "&gt;="&amp;V$5,BetTable[[Date]:[Date]],"&lt;="&amp;EOMONTH(V$5,0))+SUMIFS(BetTable[[AR_per_bookie]:[AR_per_bookie]],BetTable[[B2]:[B2]],$K64,BetTable[[Date]:[Date]], "&gt;="&amp;V$5,BetTable[[Date]:[Date]],"&lt;="&amp;EOMONTH(V$5,0))+SUMIFS(BetTable[[AR_per_bookie]:[AR_per_bookie]],BetTable[[B3]:[B3]],$K64,BetTable[[Date]:[Date]], "&gt;="&amp;V$5,BetTable[[Date]:[Date]],"&lt;="&amp;EOMONTH(V$5,0))</f>
        <v>0</v>
      </c>
      <c r="W64" s="186">
        <f>SUMIFS(DWbonus[[Sum]:[Sum]],DWbonus[[Dato]:[Dato]], "&gt;="&amp;W$5,DWbonus[[Dato]:[Dato]],"&lt;="&amp;EOMONTH(W$5,0),DWbonus[[Bookie]:[Bookie]],$K64)+SUMIFS(LayTable[[Faktisk res]:[Faktisk res]],LayTable[[Dato]:[Dato]],"&gt;="&amp;W$5,LayTable[[Dato]:[Dato]],"&lt;="&amp;EOMONTH(W$5,0),LayTable[[Bookmaker]:[Bookmaker]],$K64)+SUMIFS(BetTable[[AR_per_bookie]:[AR_per_bookie]],BetTable[[B1]:[B1]],$K64,BetTable[[Date]:[Date]], "&gt;="&amp;W$5,BetTable[[Date]:[Date]],"&lt;="&amp;EOMONTH(W$5,0))+SUMIFS(BetTable[[AR_per_bookie]:[AR_per_bookie]],BetTable[[B2]:[B2]],$K64,BetTable[[Date]:[Date]], "&gt;="&amp;W$5,BetTable[[Date]:[Date]],"&lt;="&amp;EOMONTH(W$5,0))+SUMIFS(BetTable[[AR_per_bookie]:[AR_per_bookie]],BetTable[[B3]:[B3]],$K64,BetTable[[Date]:[Date]], "&gt;="&amp;W$5,BetTable[[Date]:[Date]],"&lt;="&amp;EOMONTH(W$5,0))</f>
        <v>0</v>
      </c>
    </row>
    <row r="65" spans="1:23">
      <c r="A65" s="174" t="s">
        <v>233</v>
      </c>
      <c r="B65" s="209">
        <v>1</v>
      </c>
      <c r="C65" s="174">
        <v>2500</v>
      </c>
      <c r="K65" s="174" t="str">
        <f t="array" ref="K65">IFERROR(INDEX(BookieNavn!H$2:H$1251,SMALL(IF(EXACT(LEFT(BookieNavn!H$2:H$1251,2),M$3),ROW(BookieNavn!H$2:H$1251)-ROW(BookieNavn!H$2)+1),ROWS(BookieNavn!H$2:'BookieNavn'!H60))),"")</f>
        <v/>
      </c>
      <c r="L65" s="186">
        <f>SUMIFS(DWbonus[[Sum]:[Sum]],DWbonus[[Dato]:[Dato]], "&gt;="&amp;L$5,DWbonus[[Dato]:[Dato]],"&lt;="&amp;EOMONTH(L$5,0),DWbonus[[Bookie]:[Bookie]],$K65)+SUMIFS(LayTable[[Faktisk res]:[Faktisk res]],LayTable[[Dato]:[Dato]],"&gt;="&amp;L$5,LayTable[[Dato]:[Dato]],"&lt;="&amp;EOMONTH(L$5,0),LayTable[[Bookmaker]:[Bookmaker]],$K65)+SUMIFS(BetTable[[AR_per_bookie]:[AR_per_bookie]],BetTable[[B1]:[B1]],$K65,BetTable[[Date]:[Date]], "&gt;="&amp;L$5,BetTable[[Date]:[Date]],"&lt;="&amp;EOMONTH(L$5,0))+SUMIFS(BetTable[[AR_per_bookie]:[AR_per_bookie]],BetTable[[B2]:[B2]],$K65,BetTable[[Date]:[Date]], "&gt;="&amp;L$5,BetTable[[Date]:[Date]],"&lt;="&amp;EOMONTH(L$5,0))+SUMIFS(BetTable[[AR_per_bookie]:[AR_per_bookie]],BetTable[[B3]:[B3]],$K65,BetTable[[Date]:[Date]], "&gt;="&amp;L$5,BetTable[[Date]:[Date]],"&lt;="&amp;EOMONTH(L$5,0))</f>
        <v>0</v>
      </c>
      <c r="M65" s="186">
        <f>SUMIFS(DWbonus[[Sum]:[Sum]],DWbonus[[Dato]:[Dato]], "&gt;="&amp;M$5,DWbonus[[Dato]:[Dato]],"&lt;="&amp;EOMONTH(M$5,0),DWbonus[[Bookie]:[Bookie]],$K65)+SUMIFS(LayTable[[Faktisk res]:[Faktisk res]],LayTable[[Dato]:[Dato]],"&gt;="&amp;M$5,LayTable[[Dato]:[Dato]],"&lt;="&amp;EOMONTH(M$5,0),LayTable[[Bookmaker]:[Bookmaker]],$K65)+SUMIFS(BetTable[[AR_per_bookie]:[AR_per_bookie]],BetTable[[B1]:[B1]],$K65,BetTable[[Date]:[Date]], "&gt;="&amp;M$5,BetTable[[Date]:[Date]],"&lt;="&amp;EOMONTH(M$5,0))+SUMIFS(BetTable[[AR_per_bookie]:[AR_per_bookie]],BetTable[[B2]:[B2]],$K65,BetTable[[Date]:[Date]], "&gt;="&amp;M$5,BetTable[[Date]:[Date]],"&lt;="&amp;EOMONTH(M$5,0))+SUMIFS(BetTable[[AR_per_bookie]:[AR_per_bookie]],BetTable[[B3]:[B3]],$K65,BetTable[[Date]:[Date]], "&gt;="&amp;M$5,BetTable[[Date]:[Date]],"&lt;="&amp;EOMONTH(M$5,0))</f>
        <v>0</v>
      </c>
      <c r="N65" s="186">
        <f>SUMIFS(DWbonus[[Sum]:[Sum]],DWbonus[[Dato]:[Dato]], "&gt;="&amp;N$5,DWbonus[[Dato]:[Dato]],"&lt;="&amp;EOMONTH(N$5,0),DWbonus[[Bookie]:[Bookie]],$K65)+SUMIFS(LayTable[[Faktisk res]:[Faktisk res]],LayTable[[Dato]:[Dato]],"&gt;="&amp;N$5,LayTable[[Dato]:[Dato]],"&lt;="&amp;EOMONTH(N$5,0),LayTable[[Bookmaker]:[Bookmaker]],$K65)+SUMIFS(BetTable[[AR_per_bookie]:[AR_per_bookie]],BetTable[[B1]:[B1]],$K65,BetTable[[Date]:[Date]], "&gt;="&amp;N$5,BetTable[[Date]:[Date]],"&lt;="&amp;EOMONTH(N$5,0))+SUMIFS(BetTable[[AR_per_bookie]:[AR_per_bookie]],BetTable[[B2]:[B2]],$K65,BetTable[[Date]:[Date]], "&gt;="&amp;N$5,BetTable[[Date]:[Date]],"&lt;="&amp;EOMONTH(N$5,0))+SUMIFS(BetTable[[AR_per_bookie]:[AR_per_bookie]],BetTable[[B3]:[B3]],$K65,BetTable[[Date]:[Date]], "&gt;="&amp;N$5,BetTable[[Date]:[Date]],"&lt;="&amp;EOMONTH(N$5,0))</f>
        <v>0</v>
      </c>
      <c r="O65" s="186">
        <f>SUMIFS(DWbonus[[Sum]:[Sum]],DWbonus[[Dato]:[Dato]], "&gt;="&amp;O$5,DWbonus[[Dato]:[Dato]],"&lt;="&amp;EOMONTH(O$5,0),DWbonus[[Bookie]:[Bookie]],$K65)+SUMIFS(LayTable[[Faktisk res]:[Faktisk res]],LayTable[[Dato]:[Dato]],"&gt;="&amp;O$5,LayTable[[Dato]:[Dato]],"&lt;="&amp;EOMONTH(O$5,0),LayTable[[Bookmaker]:[Bookmaker]],$K65)+SUMIFS(BetTable[[AR_per_bookie]:[AR_per_bookie]],BetTable[[B1]:[B1]],$K65,BetTable[[Date]:[Date]], "&gt;="&amp;O$5,BetTable[[Date]:[Date]],"&lt;="&amp;EOMONTH(O$5,0))+SUMIFS(BetTable[[AR_per_bookie]:[AR_per_bookie]],BetTable[[B2]:[B2]],$K65,BetTable[[Date]:[Date]], "&gt;="&amp;O$5,BetTable[[Date]:[Date]],"&lt;="&amp;EOMONTH(O$5,0))+SUMIFS(BetTable[[AR_per_bookie]:[AR_per_bookie]],BetTable[[B3]:[B3]],$K65,BetTable[[Date]:[Date]], "&gt;="&amp;O$5,BetTable[[Date]:[Date]],"&lt;="&amp;EOMONTH(O$5,0))</f>
        <v>0</v>
      </c>
      <c r="P65" s="186">
        <f>SUMIFS(DWbonus[[Sum]:[Sum]],DWbonus[[Dato]:[Dato]], "&gt;="&amp;P$5,DWbonus[[Dato]:[Dato]],"&lt;="&amp;EOMONTH(P$5,0),DWbonus[[Bookie]:[Bookie]],$K65)+SUMIFS(LayTable[[Faktisk res]:[Faktisk res]],LayTable[[Dato]:[Dato]],"&gt;="&amp;P$5,LayTable[[Dato]:[Dato]],"&lt;="&amp;EOMONTH(P$5,0),LayTable[[Bookmaker]:[Bookmaker]],$K65)+SUMIFS(BetTable[[AR_per_bookie]:[AR_per_bookie]],BetTable[[B1]:[B1]],$K65,BetTable[[Date]:[Date]], "&gt;="&amp;P$5,BetTable[[Date]:[Date]],"&lt;="&amp;EOMONTH(P$5,0))+SUMIFS(BetTable[[AR_per_bookie]:[AR_per_bookie]],BetTable[[B2]:[B2]],$K65,BetTable[[Date]:[Date]], "&gt;="&amp;P$5,BetTable[[Date]:[Date]],"&lt;="&amp;EOMONTH(P$5,0))+SUMIFS(BetTable[[AR_per_bookie]:[AR_per_bookie]],BetTable[[B3]:[B3]],$K65,BetTable[[Date]:[Date]], "&gt;="&amp;P$5,BetTable[[Date]:[Date]],"&lt;="&amp;EOMONTH(P$5,0))</f>
        <v>0</v>
      </c>
      <c r="Q65" s="186">
        <f>SUMIFS(DWbonus[[Sum]:[Sum]],DWbonus[[Dato]:[Dato]], "&gt;="&amp;Q$5,DWbonus[[Dato]:[Dato]],"&lt;="&amp;EOMONTH(Q$5,0),DWbonus[[Bookie]:[Bookie]],$K65)+SUMIFS(LayTable[[Faktisk res]:[Faktisk res]],LayTable[[Dato]:[Dato]],"&gt;="&amp;Q$5,LayTable[[Dato]:[Dato]],"&lt;="&amp;EOMONTH(Q$5,0),LayTable[[Bookmaker]:[Bookmaker]],$K65)+SUMIFS(BetTable[[AR_per_bookie]:[AR_per_bookie]],BetTable[[B1]:[B1]],$K65,BetTable[[Date]:[Date]], "&gt;="&amp;Q$5,BetTable[[Date]:[Date]],"&lt;="&amp;EOMONTH(Q$5,0))+SUMIFS(BetTable[[AR_per_bookie]:[AR_per_bookie]],BetTable[[B2]:[B2]],$K65,BetTable[[Date]:[Date]], "&gt;="&amp;Q$5,BetTable[[Date]:[Date]],"&lt;="&amp;EOMONTH(Q$5,0))+SUMIFS(BetTable[[AR_per_bookie]:[AR_per_bookie]],BetTable[[B3]:[B3]],$K65,BetTable[[Date]:[Date]], "&gt;="&amp;Q$5,BetTable[[Date]:[Date]],"&lt;="&amp;EOMONTH(Q$5,0))</f>
        <v>0</v>
      </c>
      <c r="R65" s="186">
        <f>SUMIFS(DWbonus[[Sum]:[Sum]],DWbonus[[Dato]:[Dato]], "&gt;="&amp;R$5,DWbonus[[Dato]:[Dato]],"&lt;="&amp;EOMONTH(R$5,0),DWbonus[[Bookie]:[Bookie]],$K65)+SUMIFS(LayTable[[Faktisk res]:[Faktisk res]],LayTable[[Dato]:[Dato]],"&gt;="&amp;R$5,LayTable[[Dato]:[Dato]],"&lt;="&amp;EOMONTH(R$5,0),LayTable[[Bookmaker]:[Bookmaker]],$K65)+SUMIFS(BetTable[[AR_per_bookie]:[AR_per_bookie]],BetTable[[B1]:[B1]],$K65,BetTable[[Date]:[Date]], "&gt;="&amp;R$5,BetTable[[Date]:[Date]],"&lt;="&amp;EOMONTH(R$5,0))+SUMIFS(BetTable[[AR_per_bookie]:[AR_per_bookie]],BetTable[[B2]:[B2]],$K65,BetTable[[Date]:[Date]], "&gt;="&amp;R$5,BetTable[[Date]:[Date]],"&lt;="&amp;EOMONTH(R$5,0))+SUMIFS(BetTable[[AR_per_bookie]:[AR_per_bookie]],BetTable[[B3]:[B3]],$K65,BetTable[[Date]:[Date]], "&gt;="&amp;R$5,BetTable[[Date]:[Date]],"&lt;="&amp;EOMONTH(R$5,0))</f>
        <v>0</v>
      </c>
      <c r="S65" s="186">
        <f>SUMIFS(DWbonus[[Sum]:[Sum]],DWbonus[[Dato]:[Dato]], "&gt;="&amp;S$5,DWbonus[[Dato]:[Dato]],"&lt;="&amp;EOMONTH(S$5,0),DWbonus[[Bookie]:[Bookie]],$K65)+SUMIFS(LayTable[[Faktisk res]:[Faktisk res]],LayTable[[Dato]:[Dato]],"&gt;="&amp;S$5,LayTable[[Dato]:[Dato]],"&lt;="&amp;EOMONTH(S$5,0),LayTable[[Bookmaker]:[Bookmaker]],$K65)+SUMIFS(BetTable[[AR_per_bookie]:[AR_per_bookie]],BetTable[[B1]:[B1]],$K65,BetTable[[Date]:[Date]], "&gt;="&amp;S$5,BetTable[[Date]:[Date]],"&lt;="&amp;EOMONTH(S$5,0))+SUMIFS(BetTable[[AR_per_bookie]:[AR_per_bookie]],BetTable[[B2]:[B2]],$K65,BetTable[[Date]:[Date]], "&gt;="&amp;S$5,BetTable[[Date]:[Date]],"&lt;="&amp;EOMONTH(S$5,0))+SUMIFS(BetTable[[AR_per_bookie]:[AR_per_bookie]],BetTable[[B3]:[B3]],$K65,BetTable[[Date]:[Date]], "&gt;="&amp;S$5,BetTable[[Date]:[Date]],"&lt;="&amp;EOMONTH(S$5,0))</f>
        <v>0</v>
      </c>
      <c r="T65" s="186">
        <f>SUMIFS(DWbonus[[Sum]:[Sum]],DWbonus[[Dato]:[Dato]], "&gt;="&amp;T$5,DWbonus[[Dato]:[Dato]],"&lt;="&amp;EOMONTH(T$5,0),DWbonus[[Bookie]:[Bookie]],$K65)+SUMIFS(LayTable[[Faktisk res]:[Faktisk res]],LayTable[[Dato]:[Dato]],"&gt;="&amp;T$5,LayTable[[Dato]:[Dato]],"&lt;="&amp;EOMONTH(T$5,0),LayTable[[Bookmaker]:[Bookmaker]],$K65)+SUMIFS(BetTable[[AR_per_bookie]:[AR_per_bookie]],BetTable[[B1]:[B1]],$K65,BetTable[[Date]:[Date]], "&gt;="&amp;T$5,BetTable[[Date]:[Date]],"&lt;="&amp;EOMONTH(T$5,0))+SUMIFS(BetTable[[AR_per_bookie]:[AR_per_bookie]],BetTable[[B2]:[B2]],$K65,BetTable[[Date]:[Date]], "&gt;="&amp;T$5,BetTable[[Date]:[Date]],"&lt;="&amp;EOMONTH(T$5,0))+SUMIFS(BetTable[[AR_per_bookie]:[AR_per_bookie]],BetTable[[B3]:[B3]],$K65,BetTable[[Date]:[Date]], "&gt;="&amp;T$5,BetTable[[Date]:[Date]],"&lt;="&amp;EOMONTH(T$5,0))</f>
        <v>0</v>
      </c>
      <c r="U65" s="186">
        <f>SUMIFS(DWbonus[[Sum]:[Sum]],DWbonus[[Dato]:[Dato]], "&gt;="&amp;U$5,DWbonus[[Dato]:[Dato]],"&lt;="&amp;EOMONTH(U$5,0),DWbonus[[Bookie]:[Bookie]],$K65)+SUMIFS(LayTable[[Faktisk res]:[Faktisk res]],LayTable[[Dato]:[Dato]],"&gt;="&amp;U$5,LayTable[[Dato]:[Dato]],"&lt;="&amp;EOMONTH(U$5,0),LayTable[[Bookmaker]:[Bookmaker]],$K65)+SUMIFS(BetTable[[AR_per_bookie]:[AR_per_bookie]],BetTable[[B1]:[B1]],$K65,BetTable[[Date]:[Date]], "&gt;="&amp;U$5,BetTable[[Date]:[Date]],"&lt;="&amp;EOMONTH(U$5,0))+SUMIFS(BetTable[[AR_per_bookie]:[AR_per_bookie]],BetTable[[B2]:[B2]],$K65,BetTable[[Date]:[Date]], "&gt;="&amp;U$5,BetTable[[Date]:[Date]],"&lt;="&amp;EOMONTH(U$5,0))+SUMIFS(BetTable[[AR_per_bookie]:[AR_per_bookie]],BetTable[[B3]:[B3]],$K65,BetTable[[Date]:[Date]], "&gt;="&amp;U$5,BetTable[[Date]:[Date]],"&lt;="&amp;EOMONTH(U$5,0))</f>
        <v>0</v>
      </c>
      <c r="V65" s="186">
        <f>SUMIFS(DWbonus[[Sum]:[Sum]],DWbonus[[Dato]:[Dato]], "&gt;="&amp;V$5,DWbonus[[Dato]:[Dato]],"&lt;="&amp;EOMONTH(V$5,0),DWbonus[[Bookie]:[Bookie]],$K65)+SUMIFS(LayTable[[Faktisk res]:[Faktisk res]],LayTable[[Dato]:[Dato]],"&gt;="&amp;V$5,LayTable[[Dato]:[Dato]],"&lt;="&amp;EOMONTH(V$5,0),LayTable[[Bookmaker]:[Bookmaker]],$K65)+SUMIFS(BetTable[[AR_per_bookie]:[AR_per_bookie]],BetTable[[B1]:[B1]],$K65,BetTable[[Date]:[Date]], "&gt;="&amp;V$5,BetTable[[Date]:[Date]],"&lt;="&amp;EOMONTH(V$5,0))+SUMIFS(BetTable[[AR_per_bookie]:[AR_per_bookie]],BetTable[[B2]:[B2]],$K65,BetTable[[Date]:[Date]], "&gt;="&amp;V$5,BetTable[[Date]:[Date]],"&lt;="&amp;EOMONTH(V$5,0))+SUMIFS(BetTable[[AR_per_bookie]:[AR_per_bookie]],BetTable[[B3]:[B3]],$K65,BetTable[[Date]:[Date]], "&gt;="&amp;V$5,BetTable[[Date]:[Date]],"&lt;="&amp;EOMONTH(V$5,0))</f>
        <v>0</v>
      </c>
      <c r="W65" s="186">
        <f>SUMIFS(DWbonus[[Sum]:[Sum]],DWbonus[[Dato]:[Dato]], "&gt;="&amp;W$5,DWbonus[[Dato]:[Dato]],"&lt;="&amp;EOMONTH(W$5,0),DWbonus[[Bookie]:[Bookie]],$K65)+SUMIFS(LayTable[[Faktisk res]:[Faktisk res]],LayTable[[Dato]:[Dato]],"&gt;="&amp;W$5,LayTable[[Dato]:[Dato]],"&lt;="&amp;EOMONTH(W$5,0),LayTable[[Bookmaker]:[Bookmaker]],$K65)+SUMIFS(BetTable[[AR_per_bookie]:[AR_per_bookie]],BetTable[[B1]:[B1]],$K65,BetTable[[Date]:[Date]], "&gt;="&amp;W$5,BetTable[[Date]:[Date]],"&lt;="&amp;EOMONTH(W$5,0))+SUMIFS(BetTable[[AR_per_bookie]:[AR_per_bookie]],BetTable[[B2]:[B2]],$K65,BetTable[[Date]:[Date]], "&gt;="&amp;W$5,BetTable[[Date]:[Date]],"&lt;="&amp;EOMONTH(W$5,0))+SUMIFS(BetTable[[AR_per_bookie]:[AR_per_bookie]],BetTable[[B3]:[B3]],$K65,BetTable[[Date]:[Date]], "&gt;="&amp;W$5,BetTable[[Date]:[Date]],"&lt;="&amp;EOMONTH(W$5,0))</f>
        <v>0</v>
      </c>
    </row>
    <row r="66" spans="1:23">
      <c r="A66" s="174" t="s">
        <v>93</v>
      </c>
      <c r="B66" s="209">
        <v>1</v>
      </c>
      <c r="C66" s="174">
        <v>1000</v>
      </c>
      <c r="E66" s="174" t="s">
        <v>357</v>
      </c>
      <c r="K66" s="174" t="str">
        <f t="array" ref="K66">IFERROR(INDEX(BookieNavn!H$2:H$1251,SMALL(IF(EXACT(LEFT(BookieNavn!H$2:H$1251,2),M$3),ROW(BookieNavn!H$2:H$1251)-ROW(BookieNavn!H$2)+1),ROWS(BookieNavn!H$2:'BookieNavn'!H61))),"")</f>
        <v/>
      </c>
      <c r="L66" s="186">
        <f>SUMIFS(DWbonus[[Sum]:[Sum]],DWbonus[[Dato]:[Dato]], "&gt;="&amp;L$5,DWbonus[[Dato]:[Dato]],"&lt;="&amp;EOMONTH(L$5,0),DWbonus[[Bookie]:[Bookie]],$K66)+SUMIFS(LayTable[[Faktisk res]:[Faktisk res]],LayTable[[Dato]:[Dato]],"&gt;="&amp;L$5,LayTable[[Dato]:[Dato]],"&lt;="&amp;EOMONTH(L$5,0),LayTable[[Bookmaker]:[Bookmaker]],$K66)+SUMIFS(BetTable[[AR_per_bookie]:[AR_per_bookie]],BetTable[[B1]:[B1]],$K66,BetTable[[Date]:[Date]], "&gt;="&amp;L$5,BetTable[[Date]:[Date]],"&lt;="&amp;EOMONTH(L$5,0))+SUMIFS(BetTable[[AR_per_bookie]:[AR_per_bookie]],BetTable[[B2]:[B2]],$K66,BetTable[[Date]:[Date]], "&gt;="&amp;L$5,BetTable[[Date]:[Date]],"&lt;="&amp;EOMONTH(L$5,0))+SUMIFS(BetTable[[AR_per_bookie]:[AR_per_bookie]],BetTable[[B3]:[B3]],$K66,BetTable[[Date]:[Date]], "&gt;="&amp;L$5,BetTable[[Date]:[Date]],"&lt;="&amp;EOMONTH(L$5,0))</f>
        <v>0</v>
      </c>
      <c r="M66" s="186">
        <f>SUMIFS(DWbonus[[Sum]:[Sum]],DWbonus[[Dato]:[Dato]], "&gt;="&amp;M$5,DWbonus[[Dato]:[Dato]],"&lt;="&amp;EOMONTH(M$5,0),DWbonus[[Bookie]:[Bookie]],$K66)+SUMIFS(LayTable[[Faktisk res]:[Faktisk res]],LayTable[[Dato]:[Dato]],"&gt;="&amp;M$5,LayTable[[Dato]:[Dato]],"&lt;="&amp;EOMONTH(M$5,0),LayTable[[Bookmaker]:[Bookmaker]],$K66)+SUMIFS(BetTable[[AR_per_bookie]:[AR_per_bookie]],BetTable[[B1]:[B1]],$K66,BetTable[[Date]:[Date]], "&gt;="&amp;M$5,BetTable[[Date]:[Date]],"&lt;="&amp;EOMONTH(M$5,0))+SUMIFS(BetTable[[AR_per_bookie]:[AR_per_bookie]],BetTable[[B2]:[B2]],$K66,BetTable[[Date]:[Date]], "&gt;="&amp;M$5,BetTable[[Date]:[Date]],"&lt;="&amp;EOMONTH(M$5,0))+SUMIFS(BetTable[[AR_per_bookie]:[AR_per_bookie]],BetTable[[B3]:[B3]],$K66,BetTable[[Date]:[Date]], "&gt;="&amp;M$5,BetTable[[Date]:[Date]],"&lt;="&amp;EOMONTH(M$5,0))</f>
        <v>0</v>
      </c>
      <c r="N66" s="186">
        <f>SUMIFS(DWbonus[[Sum]:[Sum]],DWbonus[[Dato]:[Dato]], "&gt;="&amp;N$5,DWbonus[[Dato]:[Dato]],"&lt;="&amp;EOMONTH(N$5,0),DWbonus[[Bookie]:[Bookie]],$K66)+SUMIFS(LayTable[[Faktisk res]:[Faktisk res]],LayTable[[Dato]:[Dato]],"&gt;="&amp;N$5,LayTable[[Dato]:[Dato]],"&lt;="&amp;EOMONTH(N$5,0),LayTable[[Bookmaker]:[Bookmaker]],$K66)+SUMIFS(BetTable[[AR_per_bookie]:[AR_per_bookie]],BetTable[[B1]:[B1]],$K66,BetTable[[Date]:[Date]], "&gt;="&amp;N$5,BetTable[[Date]:[Date]],"&lt;="&amp;EOMONTH(N$5,0))+SUMIFS(BetTable[[AR_per_bookie]:[AR_per_bookie]],BetTable[[B2]:[B2]],$K66,BetTable[[Date]:[Date]], "&gt;="&amp;N$5,BetTable[[Date]:[Date]],"&lt;="&amp;EOMONTH(N$5,0))+SUMIFS(BetTable[[AR_per_bookie]:[AR_per_bookie]],BetTable[[B3]:[B3]],$K66,BetTable[[Date]:[Date]], "&gt;="&amp;N$5,BetTable[[Date]:[Date]],"&lt;="&amp;EOMONTH(N$5,0))</f>
        <v>0</v>
      </c>
      <c r="O66" s="186">
        <f>SUMIFS(DWbonus[[Sum]:[Sum]],DWbonus[[Dato]:[Dato]], "&gt;="&amp;O$5,DWbonus[[Dato]:[Dato]],"&lt;="&amp;EOMONTH(O$5,0),DWbonus[[Bookie]:[Bookie]],$K66)+SUMIFS(LayTable[[Faktisk res]:[Faktisk res]],LayTable[[Dato]:[Dato]],"&gt;="&amp;O$5,LayTable[[Dato]:[Dato]],"&lt;="&amp;EOMONTH(O$5,0),LayTable[[Bookmaker]:[Bookmaker]],$K66)+SUMIFS(BetTable[[AR_per_bookie]:[AR_per_bookie]],BetTable[[B1]:[B1]],$K66,BetTable[[Date]:[Date]], "&gt;="&amp;O$5,BetTable[[Date]:[Date]],"&lt;="&amp;EOMONTH(O$5,0))+SUMIFS(BetTable[[AR_per_bookie]:[AR_per_bookie]],BetTable[[B2]:[B2]],$K66,BetTable[[Date]:[Date]], "&gt;="&amp;O$5,BetTable[[Date]:[Date]],"&lt;="&amp;EOMONTH(O$5,0))+SUMIFS(BetTable[[AR_per_bookie]:[AR_per_bookie]],BetTable[[B3]:[B3]],$K66,BetTable[[Date]:[Date]], "&gt;="&amp;O$5,BetTable[[Date]:[Date]],"&lt;="&amp;EOMONTH(O$5,0))</f>
        <v>0</v>
      </c>
      <c r="P66" s="186">
        <f>SUMIFS(DWbonus[[Sum]:[Sum]],DWbonus[[Dato]:[Dato]], "&gt;="&amp;P$5,DWbonus[[Dato]:[Dato]],"&lt;="&amp;EOMONTH(P$5,0),DWbonus[[Bookie]:[Bookie]],$K66)+SUMIFS(LayTable[[Faktisk res]:[Faktisk res]],LayTable[[Dato]:[Dato]],"&gt;="&amp;P$5,LayTable[[Dato]:[Dato]],"&lt;="&amp;EOMONTH(P$5,0),LayTable[[Bookmaker]:[Bookmaker]],$K66)+SUMIFS(BetTable[[AR_per_bookie]:[AR_per_bookie]],BetTable[[B1]:[B1]],$K66,BetTable[[Date]:[Date]], "&gt;="&amp;P$5,BetTable[[Date]:[Date]],"&lt;="&amp;EOMONTH(P$5,0))+SUMIFS(BetTable[[AR_per_bookie]:[AR_per_bookie]],BetTable[[B2]:[B2]],$K66,BetTable[[Date]:[Date]], "&gt;="&amp;P$5,BetTable[[Date]:[Date]],"&lt;="&amp;EOMONTH(P$5,0))+SUMIFS(BetTable[[AR_per_bookie]:[AR_per_bookie]],BetTable[[B3]:[B3]],$K66,BetTable[[Date]:[Date]], "&gt;="&amp;P$5,BetTable[[Date]:[Date]],"&lt;="&amp;EOMONTH(P$5,0))</f>
        <v>0</v>
      </c>
      <c r="Q66" s="186">
        <f>SUMIFS(DWbonus[[Sum]:[Sum]],DWbonus[[Dato]:[Dato]], "&gt;="&amp;Q$5,DWbonus[[Dato]:[Dato]],"&lt;="&amp;EOMONTH(Q$5,0),DWbonus[[Bookie]:[Bookie]],$K66)+SUMIFS(LayTable[[Faktisk res]:[Faktisk res]],LayTable[[Dato]:[Dato]],"&gt;="&amp;Q$5,LayTable[[Dato]:[Dato]],"&lt;="&amp;EOMONTH(Q$5,0),LayTable[[Bookmaker]:[Bookmaker]],$K66)+SUMIFS(BetTable[[AR_per_bookie]:[AR_per_bookie]],BetTable[[B1]:[B1]],$K66,BetTable[[Date]:[Date]], "&gt;="&amp;Q$5,BetTable[[Date]:[Date]],"&lt;="&amp;EOMONTH(Q$5,0))+SUMIFS(BetTable[[AR_per_bookie]:[AR_per_bookie]],BetTable[[B2]:[B2]],$K66,BetTable[[Date]:[Date]], "&gt;="&amp;Q$5,BetTable[[Date]:[Date]],"&lt;="&amp;EOMONTH(Q$5,0))+SUMIFS(BetTable[[AR_per_bookie]:[AR_per_bookie]],BetTable[[B3]:[B3]],$K66,BetTable[[Date]:[Date]], "&gt;="&amp;Q$5,BetTable[[Date]:[Date]],"&lt;="&amp;EOMONTH(Q$5,0))</f>
        <v>0</v>
      </c>
      <c r="R66" s="186">
        <f>SUMIFS(DWbonus[[Sum]:[Sum]],DWbonus[[Dato]:[Dato]], "&gt;="&amp;R$5,DWbonus[[Dato]:[Dato]],"&lt;="&amp;EOMONTH(R$5,0),DWbonus[[Bookie]:[Bookie]],$K66)+SUMIFS(LayTable[[Faktisk res]:[Faktisk res]],LayTable[[Dato]:[Dato]],"&gt;="&amp;R$5,LayTable[[Dato]:[Dato]],"&lt;="&amp;EOMONTH(R$5,0),LayTable[[Bookmaker]:[Bookmaker]],$K66)+SUMIFS(BetTable[[AR_per_bookie]:[AR_per_bookie]],BetTable[[B1]:[B1]],$K66,BetTable[[Date]:[Date]], "&gt;="&amp;R$5,BetTable[[Date]:[Date]],"&lt;="&amp;EOMONTH(R$5,0))+SUMIFS(BetTable[[AR_per_bookie]:[AR_per_bookie]],BetTable[[B2]:[B2]],$K66,BetTable[[Date]:[Date]], "&gt;="&amp;R$5,BetTable[[Date]:[Date]],"&lt;="&amp;EOMONTH(R$5,0))+SUMIFS(BetTable[[AR_per_bookie]:[AR_per_bookie]],BetTable[[B3]:[B3]],$K66,BetTable[[Date]:[Date]], "&gt;="&amp;R$5,BetTable[[Date]:[Date]],"&lt;="&amp;EOMONTH(R$5,0))</f>
        <v>0</v>
      </c>
      <c r="S66" s="186">
        <f>SUMIFS(DWbonus[[Sum]:[Sum]],DWbonus[[Dato]:[Dato]], "&gt;="&amp;S$5,DWbonus[[Dato]:[Dato]],"&lt;="&amp;EOMONTH(S$5,0),DWbonus[[Bookie]:[Bookie]],$K66)+SUMIFS(LayTable[[Faktisk res]:[Faktisk res]],LayTable[[Dato]:[Dato]],"&gt;="&amp;S$5,LayTable[[Dato]:[Dato]],"&lt;="&amp;EOMONTH(S$5,0),LayTable[[Bookmaker]:[Bookmaker]],$K66)+SUMIFS(BetTable[[AR_per_bookie]:[AR_per_bookie]],BetTable[[B1]:[B1]],$K66,BetTable[[Date]:[Date]], "&gt;="&amp;S$5,BetTable[[Date]:[Date]],"&lt;="&amp;EOMONTH(S$5,0))+SUMIFS(BetTable[[AR_per_bookie]:[AR_per_bookie]],BetTable[[B2]:[B2]],$K66,BetTable[[Date]:[Date]], "&gt;="&amp;S$5,BetTable[[Date]:[Date]],"&lt;="&amp;EOMONTH(S$5,0))+SUMIFS(BetTable[[AR_per_bookie]:[AR_per_bookie]],BetTable[[B3]:[B3]],$K66,BetTable[[Date]:[Date]], "&gt;="&amp;S$5,BetTable[[Date]:[Date]],"&lt;="&amp;EOMONTH(S$5,0))</f>
        <v>0</v>
      </c>
      <c r="T66" s="186">
        <f>SUMIFS(DWbonus[[Sum]:[Sum]],DWbonus[[Dato]:[Dato]], "&gt;="&amp;T$5,DWbonus[[Dato]:[Dato]],"&lt;="&amp;EOMONTH(T$5,0),DWbonus[[Bookie]:[Bookie]],$K66)+SUMIFS(LayTable[[Faktisk res]:[Faktisk res]],LayTable[[Dato]:[Dato]],"&gt;="&amp;T$5,LayTable[[Dato]:[Dato]],"&lt;="&amp;EOMONTH(T$5,0),LayTable[[Bookmaker]:[Bookmaker]],$K66)+SUMIFS(BetTable[[AR_per_bookie]:[AR_per_bookie]],BetTable[[B1]:[B1]],$K66,BetTable[[Date]:[Date]], "&gt;="&amp;T$5,BetTable[[Date]:[Date]],"&lt;="&amp;EOMONTH(T$5,0))+SUMIFS(BetTable[[AR_per_bookie]:[AR_per_bookie]],BetTable[[B2]:[B2]],$K66,BetTable[[Date]:[Date]], "&gt;="&amp;T$5,BetTable[[Date]:[Date]],"&lt;="&amp;EOMONTH(T$5,0))+SUMIFS(BetTable[[AR_per_bookie]:[AR_per_bookie]],BetTable[[B3]:[B3]],$K66,BetTable[[Date]:[Date]], "&gt;="&amp;T$5,BetTable[[Date]:[Date]],"&lt;="&amp;EOMONTH(T$5,0))</f>
        <v>0</v>
      </c>
      <c r="U66" s="186">
        <f>SUMIFS(DWbonus[[Sum]:[Sum]],DWbonus[[Dato]:[Dato]], "&gt;="&amp;U$5,DWbonus[[Dato]:[Dato]],"&lt;="&amp;EOMONTH(U$5,0),DWbonus[[Bookie]:[Bookie]],$K66)+SUMIFS(LayTable[[Faktisk res]:[Faktisk res]],LayTable[[Dato]:[Dato]],"&gt;="&amp;U$5,LayTable[[Dato]:[Dato]],"&lt;="&amp;EOMONTH(U$5,0),LayTable[[Bookmaker]:[Bookmaker]],$K66)+SUMIFS(BetTable[[AR_per_bookie]:[AR_per_bookie]],BetTable[[B1]:[B1]],$K66,BetTable[[Date]:[Date]], "&gt;="&amp;U$5,BetTable[[Date]:[Date]],"&lt;="&amp;EOMONTH(U$5,0))+SUMIFS(BetTable[[AR_per_bookie]:[AR_per_bookie]],BetTable[[B2]:[B2]],$K66,BetTable[[Date]:[Date]], "&gt;="&amp;U$5,BetTable[[Date]:[Date]],"&lt;="&amp;EOMONTH(U$5,0))+SUMIFS(BetTable[[AR_per_bookie]:[AR_per_bookie]],BetTable[[B3]:[B3]],$K66,BetTable[[Date]:[Date]], "&gt;="&amp;U$5,BetTable[[Date]:[Date]],"&lt;="&amp;EOMONTH(U$5,0))</f>
        <v>0</v>
      </c>
      <c r="V66" s="186">
        <f>SUMIFS(DWbonus[[Sum]:[Sum]],DWbonus[[Dato]:[Dato]], "&gt;="&amp;V$5,DWbonus[[Dato]:[Dato]],"&lt;="&amp;EOMONTH(V$5,0),DWbonus[[Bookie]:[Bookie]],$K66)+SUMIFS(LayTable[[Faktisk res]:[Faktisk res]],LayTable[[Dato]:[Dato]],"&gt;="&amp;V$5,LayTable[[Dato]:[Dato]],"&lt;="&amp;EOMONTH(V$5,0),LayTable[[Bookmaker]:[Bookmaker]],$K66)+SUMIFS(BetTable[[AR_per_bookie]:[AR_per_bookie]],BetTable[[B1]:[B1]],$K66,BetTable[[Date]:[Date]], "&gt;="&amp;V$5,BetTable[[Date]:[Date]],"&lt;="&amp;EOMONTH(V$5,0))+SUMIFS(BetTable[[AR_per_bookie]:[AR_per_bookie]],BetTable[[B2]:[B2]],$K66,BetTable[[Date]:[Date]], "&gt;="&amp;V$5,BetTable[[Date]:[Date]],"&lt;="&amp;EOMONTH(V$5,0))+SUMIFS(BetTable[[AR_per_bookie]:[AR_per_bookie]],BetTable[[B3]:[B3]],$K66,BetTable[[Date]:[Date]], "&gt;="&amp;V$5,BetTable[[Date]:[Date]],"&lt;="&amp;EOMONTH(V$5,0))</f>
        <v>0</v>
      </c>
      <c r="W66" s="186">
        <f>SUMIFS(DWbonus[[Sum]:[Sum]],DWbonus[[Dato]:[Dato]], "&gt;="&amp;W$5,DWbonus[[Dato]:[Dato]],"&lt;="&amp;EOMONTH(W$5,0),DWbonus[[Bookie]:[Bookie]],$K66)+SUMIFS(LayTable[[Faktisk res]:[Faktisk res]],LayTable[[Dato]:[Dato]],"&gt;="&amp;W$5,LayTable[[Dato]:[Dato]],"&lt;="&amp;EOMONTH(W$5,0),LayTable[[Bookmaker]:[Bookmaker]],$K66)+SUMIFS(BetTable[[AR_per_bookie]:[AR_per_bookie]],BetTable[[B1]:[B1]],$K66,BetTable[[Date]:[Date]], "&gt;="&amp;W$5,BetTable[[Date]:[Date]],"&lt;="&amp;EOMONTH(W$5,0))+SUMIFS(BetTable[[AR_per_bookie]:[AR_per_bookie]],BetTable[[B2]:[B2]],$K66,BetTable[[Date]:[Date]], "&gt;="&amp;W$5,BetTable[[Date]:[Date]],"&lt;="&amp;EOMONTH(W$5,0))+SUMIFS(BetTable[[AR_per_bookie]:[AR_per_bookie]],BetTable[[B3]:[B3]],$K66,BetTable[[Date]:[Date]], "&gt;="&amp;W$5,BetTable[[Date]:[Date]],"&lt;="&amp;EOMONTH(W$5,0))</f>
        <v>0</v>
      </c>
    </row>
    <row r="67" spans="1:23">
      <c r="A67" s="174" t="s">
        <v>306</v>
      </c>
      <c r="B67" s="209">
        <v>1</v>
      </c>
      <c r="C67" s="174">
        <v>3000</v>
      </c>
      <c r="K67" s="174" t="str">
        <f t="array" ref="K67">IFERROR(INDEX(BookieNavn!H$2:H$1251,SMALL(IF(EXACT(LEFT(BookieNavn!H$2:H$1251,2),M$3),ROW(BookieNavn!H$2:H$1251)-ROW(BookieNavn!H$2)+1),ROWS(BookieNavn!H$2:'BookieNavn'!H62))),"")</f>
        <v/>
      </c>
      <c r="L67" s="186">
        <f>SUMIFS(DWbonus[[Sum]:[Sum]],DWbonus[[Dato]:[Dato]], "&gt;="&amp;L$5,DWbonus[[Dato]:[Dato]],"&lt;="&amp;EOMONTH(L$5,0),DWbonus[[Bookie]:[Bookie]],$K67)+SUMIFS(LayTable[[Faktisk res]:[Faktisk res]],LayTable[[Dato]:[Dato]],"&gt;="&amp;L$5,LayTable[[Dato]:[Dato]],"&lt;="&amp;EOMONTH(L$5,0),LayTable[[Bookmaker]:[Bookmaker]],$K67)+SUMIFS(BetTable[[AR_per_bookie]:[AR_per_bookie]],BetTable[[B1]:[B1]],$K67,BetTable[[Date]:[Date]], "&gt;="&amp;L$5,BetTable[[Date]:[Date]],"&lt;="&amp;EOMONTH(L$5,0))+SUMIFS(BetTable[[AR_per_bookie]:[AR_per_bookie]],BetTable[[B2]:[B2]],$K67,BetTable[[Date]:[Date]], "&gt;="&amp;L$5,BetTable[[Date]:[Date]],"&lt;="&amp;EOMONTH(L$5,0))+SUMIFS(BetTable[[AR_per_bookie]:[AR_per_bookie]],BetTable[[B3]:[B3]],$K67,BetTable[[Date]:[Date]], "&gt;="&amp;L$5,BetTable[[Date]:[Date]],"&lt;="&amp;EOMONTH(L$5,0))</f>
        <v>0</v>
      </c>
      <c r="M67" s="186">
        <f>SUMIFS(DWbonus[[Sum]:[Sum]],DWbonus[[Dato]:[Dato]], "&gt;="&amp;M$5,DWbonus[[Dato]:[Dato]],"&lt;="&amp;EOMONTH(M$5,0),DWbonus[[Bookie]:[Bookie]],$K67)+SUMIFS(LayTable[[Faktisk res]:[Faktisk res]],LayTable[[Dato]:[Dato]],"&gt;="&amp;M$5,LayTable[[Dato]:[Dato]],"&lt;="&amp;EOMONTH(M$5,0),LayTable[[Bookmaker]:[Bookmaker]],$K67)+SUMIFS(BetTable[[AR_per_bookie]:[AR_per_bookie]],BetTable[[B1]:[B1]],$K67,BetTable[[Date]:[Date]], "&gt;="&amp;M$5,BetTable[[Date]:[Date]],"&lt;="&amp;EOMONTH(M$5,0))+SUMIFS(BetTable[[AR_per_bookie]:[AR_per_bookie]],BetTable[[B2]:[B2]],$K67,BetTable[[Date]:[Date]], "&gt;="&amp;M$5,BetTable[[Date]:[Date]],"&lt;="&amp;EOMONTH(M$5,0))+SUMIFS(BetTable[[AR_per_bookie]:[AR_per_bookie]],BetTable[[B3]:[B3]],$K67,BetTable[[Date]:[Date]], "&gt;="&amp;M$5,BetTable[[Date]:[Date]],"&lt;="&amp;EOMONTH(M$5,0))</f>
        <v>0</v>
      </c>
      <c r="N67" s="186">
        <f>SUMIFS(DWbonus[[Sum]:[Sum]],DWbonus[[Dato]:[Dato]], "&gt;="&amp;N$5,DWbonus[[Dato]:[Dato]],"&lt;="&amp;EOMONTH(N$5,0),DWbonus[[Bookie]:[Bookie]],$K67)+SUMIFS(LayTable[[Faktisk res]:[Faktisk res]],LayTable[[Dato]:[Dato]],"&gt;="&amp;N$5,LayTable[[Dato]:[Dato]],"&lt;="&amp;EOMONTH(N$5,0),LayTable[[Bookmaker]:[Bookmaker]],$K67)+SUMIFS(BetTable[[AR_per_bookie]:[AR_per_bookie]],BetTable[[B1]:[B1]],$K67,BetTable[[Date]:[Date]], "&gt;="&amp;N$5,BetTable[[Date]:[Date]],"&lt;="&amp;EOMONTH(N$5,0))+SUMIFS(BetTable[[AR_per_bookie]:[AR_per_bookie]],BetTable[[B2]:[B2]],$K67,BetTable[[Date]:[Date]], "&gt;="&amp;N$5,BetTable[[Date]:[Date]],"&lt;="&amp;EOMONTH(N$5,0))+SUMIFS(BetTable[[AR_per_bookie]:[AR_per_bookie]],BetTable[[B3]:[B3]],$K67,BetTable[[Date]:[Date]], "&gt;="&amp;N$5,BetTable[[Date]:[Date]],"&lt;="&amp;EOMONTH(N$5,0))</f>
        <v>0</v>
      </c>
      <c r="O67" s="186">
        <f>SUMIFS(DWbonus[[Sum]:[Sum]],DWbonus[[Dato]:[Dato]], "&gt;="&amp;O$5,DWbonus[[Dato]:[Dato]],"&lt;="&amp;EOMONTH(O$5,0),DWbonus[[Bookie]:[Bookie]],$K67)+SUMIFS(LayTable[[Faktisk res]:[Faktisk res]],LayTable[[Dato]:[Dato]],"&gt;="&amp;O$5,LayTable[[Dato]:[Dato]],"&lt;="&amp;EOMONTH(O$5,0),LayTable[[Bookmaker]:[Bookmaker]],$K67)+SUMIFS(BetTable[[AR_per_bookie]:[AR_per_bookie]],BetTable[[B1]:[B1]],$K67,BetTable[[Date]:[Date]], "&gt;="&amp;O$5,BetTable[[Date]:[Date]],"&lt;="&amp;EOMONTH(O$5,0))+SUMIFS(BetTable[[AR_per_bookie]:[AR_per_bookie]],BetTable[[B2]:[B2]],$K67,BetTable[[Date]:[Date]], "&gt;="&amp;O$5,BetTable[[Date]:[Date]],"&lt;="&amp;EOMONTH(O$5,0))+SUMIFS(BetTable[[AR_per_bookie]:[AR_per_bookie]],BetTable[[B3]:[B3]],$K67,BetTable[[Date]:[Date]], "&gt;="&amp;O$5,BetTable[[Date]:[Date]],"&lt;="&amp;EOMONTH(O$5,0))</f>
        <v>0</v>
      </c>
      <c r="P67" s="186">
        <f>SUMIFS(DWbonus[[Sum]:[Sum]],DWbonus[[Dato]:[Dato]], "&gt;="&amp;P$5,DWbonus[[Dato]:[Dato]],"&lt;="&amp;EOMONTH(P$5,0),DWbonus[[Bookie]:[Bookie]],$K67)+SUMIFS(LayTable[[Faktisk res]:[Faktisk res]],LayTable[[Dato]:[Dato]],"&gt;="&amp;P$5,LayTable[[Dato]:[Dato]],"&lt;="&amp;EOMONTH(P$5,0),LayTable[[Bookmaker]:[Bookmaker]],$K67)+SUMIFS(BetTable[[AR_per_bookie]:[AR_per_bookie]],BetTable[[B1]:[B1]],$K67,BetTable[[Date]:[Date]], "&gt;="&amp;P$5,BetTable[[Date]:[Date]],"&lt;="&amp;EOMONTH(P$5,0))+SUMIFS(BetTable[[AR_per_bookie]:[AR_per_bookie]],BetTable[[B2]:[B2]],$K67,BetTable[[Date]:[Date]], "&gt;="&amp;P$5,BetTable[[Date]:[Date]],"&lt;="&amp;EOMONTH(P$5,0))+SUMIFS(BetTable[[AR_per_bookie]:[AR_per_bookie]],BetTable[[B3]:[B3]],$K67,BetTable[[Date]:[Date]], "&gt;="&amp;P$5,BetTable[[Date]:[Date]],"&lt;="&amp;EOMONTH(P$5,0))</f>
        <v>0</v>
      </c>
      <c r="Q67" s="186">
        <f>SUMIFS(DWbonus[[Sum]:[Sum]],DWbonus[[Dato]:[Dato]], "&gt;="&amp;Q$5,DWbonus[[Dato]:[Dato]],"&lt;="&amp;EOMONTH(Q$5,0),DWbonus[[Bookie]:[Bookie]],$K67)+SUMIFS(LayTable[[Faktisk res]:[Faktisk res]],LayTable[[Dato]:[Dato]],"&gt;="&amp;Q$5,LayTable[[Dato]:[Dato]],"&lt;="&amp;EOMONTH(Q$5,0),LayTable[[Bookmaker]:[Bookmaker]],$K67)+SUMIFS(BetTable[[AR_per_bookie]:[AR_per_bookie]],BetTable[[B1]:[B1]],$K67,BetTable[[Date]:[Date]], "&gt;="&amp;Q$5,BetTable[[Date]:[Date]],"&lt;="&amp;EOMONTH(Q$5,0))+SUMIFS(BetTable[[AR_per_bookie]:[AR_per_bookie]],BetTable[[B2]:[B2]],$K67,BetTable[[Date]:[Date]], "&gt;="&amp;Q$5,BetTable[[Date]:[Date]],"&lt;="&amp;EOMONTH(Q$5,0))+SUMIFS(BetTable[[AR_per_bookie]:[AR_per_bookie]],BetTable[[B3]:[B3]],$K67,BetTable[[Date]:[Date]], "&gt;="&amp;Q$5,BetTable[[Date]:[Date]],"&lt;="&amp;EOMONTH(Q$5,0))</f>
        <v>0</v>
      </c>
      <c r="R67" s="186">
        <f>SUMIFS(DWbonus[[Sum]:[Sum]],DWbonus[[Dato]:[Dato]], "&gt;="&amp;R$5,DWbonus[[Dato]:[Dato]],"&lt;="&amp;EOMONTH(R$5,0),DWbonus[[Bookie]:[Bookie]],$K67)+SUMIFS(LayTable[[Faktisk res]:[Faktisk res]],LayTable[[Dato]:[Dato]],"&gt;="&amp;R$5,LayTable[[Dato]:[Dato]],"&lt;="&amp;EOMONTH(R$5,0),LayTable[[Bookmaker]:[Bookmaker]],$K67)+SUMIFS(BetTable[[AR_per_bookie]:[AR_per_bookie]],BetTable[[B1]:[B1]],$K67,BetTable[[Date]:[Date]], "&gt;="&amp;R$5,BetTable[[Date]:[Date]],"&lt;="&amp;EOMONTH(R$5,0))+SUMIFS(BetTable[[AR_per_bookie]:[AR_per_bookie]],BetTable[[B2]:[B2]],$K67,BetTable[[Date]:[Date]], "&gt;="&amp;R$5,BetTable[[Date]:[Date]],"&lt;="&amp;EOMONTH(R$5,0))+SUMIFS(BetTable[[AR_per_bookie]:[AR_per_bookie]],BetTable[[B3]:[B3]],$K67,BetTable[[Date]:[Date]], "&gt;="&amp;R$5,BetTable[[Date]:[Date]],"&lt;="&amp;EOMONTH(R$5,0))</f>
        <v>0</v>
      </c>
      <c r="S67" s="186">
        <f>SUMIFS(DWbonus[[Sum]:[Sum]],DWbonus[[Dato]:[Dato]], "&gt;="&amp;S$5,DWbonus[[Dato]:[Dato]],"&lt;="&amp;EOMONTH(S$5,0),DWbonus[[Bookie]:[Bookie]],$K67)+SUMIFS(LayTable[[Faktisk res]:[Faktisk res]],LayTable[[Dato]:[Dato]],"&gt;="&amp;S$5,LayTable[[Dato]:[Dato]],"&lt;="&amp;EOMONTH(S$5,0),LayTable[[Bookmaker]:[Bookmaker]],$K67)+SUMIFS(BetTable[[AR_per_bookie]:[AR_per_bookie]],BetTable[[B1]:[B1]],$K67,BetTable[[Date]:[Date]], "&gt;="&amp;S$5,BetTable[[Date]:[Date]],"&lt;="&amp;EOMONTH(S$5,0))+SUMIFS(BetTable[[AR_per_bookie]:[AR_per_bookie]],BetTable[[B2]:[B2]],$K67,BetTable[[Date]:[Date]], "&gt;="&amp;S$5,BetTable[[Date]:[Date]],"&lt;="&amp;EOMONTH(S$5,0))+SUMIFS(BetTable[[AR_per_bookie]:[AR_per_bookie]],BetTable[[B3]:[B3]],$K67,BetTable[[Date]:[Date]], "&gt;="&amp;S$5,BetTable[[Date]:[Date]],"&lt;="&amp;EOMONTH(S$5,0))</f>
        <v>0</v>
      </c>
      <c r="T67" s="186">
        <f>SUMIFS(DWbonus[[Sum]:[Sum]],DWbonus[[Dato]:[Dato]], "&gt;="&amp;T$5,DWbonus[[Dato]:[Dato]],"&lt;="&amp;EOMONTH(T$5,0),DWbonus[[Bookie]:[Bookie]],$K67)+SUMIFS(LayTable[[Faktisk res]:[Faktisk res]],LayTable[[Dato]:[Dato]],"&gt;="&amp;T$5,LayTable[[Dato]:[Dato]],"&lt;="&amp;EOMONTH(T$5,0),LayTable[[Bookmaker]:[Bookmaker]],$K67)+SUMIFS(BetTable[[AR_per_bookie]:[AR_per_bookie]],BetTable[[B1]:[B1]],$K67,BetTable[[Date]:[Date]], "&gt;="&amp;T$5,BetTable[[Date]:[Date]],"&lt;="&amp;EOMONTH(T$5,0))+SUMIFS(BetTable[[AR_per_bookie]:[AR_per_bookie]],BetTable[[B2]:[B2]],$K67,BetTable[[Date]:[Date]], "&gt;="&amp;T$5,BetTable[[Date]:[Date]],"&lt;="&amp;EOMONTH(T$5,0))+SUMIFS(BetTable[[AR_per_bookie]:[AR_per_bookie]],BetTable[[B3]:[B3]],$K67,BetTable[[Date]:[Date]], "&gt;="&amp;T$5,BetTable[[Date]:[Date]],"&lt;="&amp;EOMONTH(T$5,0))</f>
        <v>0</v>
      </c>
      <c r="U67" s="186">
        <f>SUMIFS(DWbonus[[Sum]:[Sum]],DWbonus[[Dato]:[Dato]], "&gt;="&amp;U$5,DWbonus[[Dato]:[Dato]],"&lt;="&amp;EOMONTH(U$5,0),DWbonus[[Bookie]:[Bookie]],$K67)+SUMIFS(LayTable[[Faktisk res]:[Faktisk res]],LayTable[[Dato]:[Dato]],"&gt;="&amp;U$5,LayTable[[Dato]:[Dato]],"&lt;="&amp;EOMONTH(U$5,0),LayTable[[Bookmaker]:[Bookmaker]],$K67)+SUMIFS(BetTable[[AR_per_bookie]:[AR_per_bookie]],BetTable[[B1]:[B1]],$K67,BetTable[[Date]:[Date]], "&gt;="&amp;U$5,BetTable[[Date]:[Date]],"&lt;="&amp;EOMONTH(U$5,0))+SUMIFS(BetTable[[AR_per_bookie]:[AR_per_bookie]],BetTable[[B2]:[B2]],$K67,BetTable[[Date]:[Date]], "&gt;="&amp;U$5,BetTable[[Date]:[Date]],"&lt;="&amp;EOMONTH(U$5,0))+SUMIFS(BetTable[[AR_per_bookie]:[AR_per_bookie]],BetTable[[B3]:[B3]],$K67,BetTable[[Date]:[Date]], "&gt;="&amp;U$5,BetTable[[Date]:[Date]],"&lt;="&amp;EOMONTH(U$5,0))</f>
        <v>0</v>
      </c>
      <c r="V67" s="186">
        <f>SUMIFS(DWbonus[[Sum]:[Sum]],DWbonus[[Dato]:[Dato]], "&gt;="&amp;V$5,DWbonus[[Dato]:[Dato]],"&lt;="&amp;EOMONTH(V$5,0),DWbonus[[Bookie]:[Bookie]],$K67)+SUMIFS(LayTable[[Faktisk res]:[Faktisk res]],LayTable[[Dato]:[Dato]],"&gt;="&amp;V$5,LayTable[[Dato]:[Dato]],"&lt;="&amp;EOMONTH(V$5,0),LayTable[[Bookmaker]:[Bookmaker]],$K67)+SUMIFS(BetTable[[AR_per_bookie]:[AR_per_bookie]],BetTable[[B1]:[B1]],$K67,BetTable[[Date]:[Date]], "&gt;="&amp;V$5,BetTable[[Date]:[Date]],"&lt;="&amp;EOMONTH(V$5,0))+SUMIFS(BetTable[[AR_per_bookie]:[AR_per_bookie]],BetTable[[B2]:[B2]],$K67,BetTable[[Date]:[Date]], "&gt;="&amp;V$5,BetTable[[Date]:[Date]],"&lt;="&amp;EOMONTH(V$5,0))+SUMIFS(BetTable[[AR_per_bookie]:[AR_per_bookie]],BetTable[[B3]:[B3]],$K67,BetTable[[Date]:[Date]], "&gt;="&amp;V$5,BetTable[[Date]:[Date]],"&lt;="&amp;EOMONTH(V$5,0))</f>
        <v>0</v>
      </c>
      <c r="W67" s="186">
        <f>SUMIFS(DWbonus[[Sum]:[Sum]],DWbonus[[Dato]:[Dato]], "&gt;="&amp;W$5,DWbonus[[Dato]:[Dato]],"&lt;="&amp;EOMONTH(W$5,0),DWbonus[[Bookie]:[Bookie]],$K67)+SUMIFS(LayTable[[Faktisk res]:[Faktisk res]],LayTable[[Dato]:[Dato]],"&gt;="&amp;W$5,LayTable[[Dato]:[Dato]],"&lt;="&amp;EOMONTH(W$5,0),LayTable[[Bookmaker]:[Bookmaker]],$K67)+SUMIFS(BetTable[[AR_per_bookie]:[AR_per_bookie]],BetTable[[B1]:[B1]],$K67,BetTable[[Date]:[Date]], "&gt;="&amp;W$5,BetTable[[Date]:[Date]],"&lt;="&amp;EOMONTH(W$5,0))+SUMIFS(BetTable[[AR_per_bookie]:[AR_per_bookie]],BetTable[[B2]:[B2]],$K67,BetTable[[Date]:[Date]], "&gt;="&amp;W$5,BetTable[[Date]:[Date]],"&lt;="&amp;EOMONTH(W$5,0))+SUMIFS(BetTable[[AR_per_bookie]:[AR_per_bookie]],BetTable[[B3]:[B3]],$K67,BetTable[[Date]:[Date]], "&gt;="&amp;W$5,BetTable[[Date]:[Date]],"&lt;="&amp;EOMONTH(W$5,0))</f>
        <v>0</v>
      </c>
    </row>
    <row r="68" spans="1:23">
      <c r="A68" s="174" t="s">
        <v>100</v>
      </c>
      <c r="B68" s="209">
        <v>1</v>
      </c>
      <c r="C68" s="174">
        <v>3000</v>
      </c>
      <c r="E68" s="174" t="s">
        <v>357</v>
      </c>
      <c r="K68" s="174" t="str">
        <f t="array" ref="K68">IFERROR(INDEX(BookieNavn!H$2:H$1251,SMALL(IF(EXACT(LEFT(BookieNavn!H$2:H$1251,2),M$3),ROW(BookieNavn!H$2:H$1251)-ROW(BookieNavn!H$2)+1),ROWS(BookieNavn!H$2:'BookieNavn'!H63))),"")</f>
        <v/>
      </c>
      <c r="L68" s="186">
        <f>SUMIFS(DWbonus[[Sum]:[Sum]],DWbonus[[Dato]:[Dato]], "&gt;="&amp;L$5,DWbonus[[Dato]:[Dato]],"&lt;="&amp;EOMONTH(L$5,0),DWbonus[[Bookie]:[Bookie]],$K68)+SUMIFS(LayTable[[Faktisk res]:[Faktisk res]],LayTable[[Dato]:[Dato]],"&gt;="&amp;L$5,LayTable[[Dato]:[Dato]],"&lt;="&amp;EOMONTH(L$5,0),LayTable[[Bookmaker]:[Bookmaker]],$K68)+SUMIFS(BetTable[[AR_per_bookie]:[AR_per_bookie]],BetTable[[B1]:[B1]],$K68,BetTable[[Date]:[Date]], "&gt;="&amp;L$5,BetTable[[Date]:[Date]],"&lt;="&amp;EOMONTH(L$5,0))+SUMIFS(BetTable[[AR_per_bookie]:[AR_per_bookie]],BetTable[[B2]:[B2]],$K68,BetTable[[Date]:[Date]], "&gt;="&amp;L$5,BetTable[[Date]:[Date]],"&lt;="&amp;EOMONTH(L$5,0))+SUMIFS(BetTable[[AR_per_bookie]:[AR_per_bookie]],BetTable[[B3]:[B3]],$K68,BetTable[[Date]:[Date]], "&gt;="&amp;L$5,BetTable[[Date]:[Date]],"&lt;="&amp;EOMONTH(L$5,0))</f>
        <v>0</v>
      </c>
      <c r="M68" s="186">
        <f>SUMIFS(DWbonus[[Sum]:[Sum]],DWbonus[[Dato]:[Dato]], "&gt;="&amp;M$5,DWbonus[[Dato]:[Dato]],"&lt;="&amp;EOMONTH(M$5,0),DWbonus[[Bookie]:[Bookie]],$K68)+SUMIFS(LayTable[[Faktisk res]:[Faktisk res]],LayTable[[Dato]:[Dato]],"&gt;="&amp;M$5,LayTable[[Dato]:[Dato]],"&lt;="&amp;EOMONTH(M$5,0),LayTable[[Bookmaker]:[Bookmaker]],$K68)+SUMIFS(BetTable[[AR_per_bookie]:[AR_per_bookie]],BetTable[[B1]:[B1]],$K68,BetTable[[Date]:[Date]], "&gt;="&amp;M$5,BetTable[[Date]:[Date]],"&lt;="&amp;EOMONTH(M$5,0))+SUMIFS(BetTable[[AR_per_bookie]:[AR_per_bookie]],BetTable[[B2]:[B2]],$K68,BetTable[[Date]:[Date]], "&gt;="&amp;M$5,BetTable[[Date]:[Date]],"&lt;="&amp;EOMONTH(M$5,0))+SUMIFS(BetTable[[AR_per_bookie]:[AR_per_bookie]],BetTable[[B3]:[B3]],$K68,BetTable[[Date]:[Date]], "&gt;="&amp;M$5,BetTable[[Date]:[Date]],"&lt;="&amp;EOMONTH(M$5,0))</f>
        <v>0</v>
      </c>
      <c r="N68" s="186">
        <f>SUMIFS(DWbonus[[Sum]:[Sum]],DWbonus[[Dato]:[Dato]], "&gt;="&amp;N$5,DWbonus[[Dato]:[Dato]],"&lt;="&amp;EOMONTH(N$5,0),DWbonus[[Bookie]:[Bookie]],$K68)+SUMIFS(LayTable[[Faktisk res]:[Faktisk res]],LayTable[[Dato]:[Dato]],"&gt;="&amp;N$5,LayTable[[Dato]:[Dato]],"&lt;="&amp;EOMONTH(N$5,0),LayTable[[Bookmaker]:[Bookmaker]],$K68)+SUMIFS(BetTable[[AR_per_bookie]:[AR_per_bookie]],BetTable[[B1]:[B1]],$K68,BetTable[[Date]:[Date]], "&gt;="&amp;N$5,BetTable[[Date]:[Date]],"&lt;="&amp;EOMONTH(N$5,0))+SUMIFS(BetTable[[AR_per_bookie]:[AR_per_bookie]],BetTable[[B2]:[B2]],$K68,BetTable[[Date]:[Date]], "&gt;="&amp;N$5,BetTable[[Date]:[Date]],"&lt;="&amp;EOMONTH(N$5,0))+SUMIFS(BetTable[[AR_per_bookie]:[AR_per_bookie]],BetTable[[B3]:[B3]],$K68,BetTable[[Date]:[Date]], "&gt;="&amp;N$5,BetTable[[Date]:[Date]],"&lt;="&amp;EOMONTH(N$5,0))</f>
        <v>0</v>
      </c>
      <c r="O68" s="186">
        <f>SUMIFS(DWbonus[[Sum]:[Sum]],DWbonus[[Dato]:[Dato]], "&gt;="&amp;O$5,DWbonus[[Dato]:[Dato]],"&lt;="&amp;EOMONTH(O$5,0),DWbonus[[Bookie]:[Bookie]],$K68)+SUMIFS(LayTable[[Faktisk res]:[Faktisk res]],LayTable[[Dato]:[Dato]],"&gt;="&amp;O$5,LayTable[[Dato]:[Dato]],"&lt;="&amp;EOMONTH(O$5,0),LayTable[[Bookmaker]:[Bookmaker]],$K68)+SUMIFS(BetTable[[AR_per_bookie]:[AR_per_bookie]],BetTable[[B1]:[B1]],$K68,BetTable[[Date]:[Date]], "&gt;="&amp;O$5,BetTable[[Date]:[Date]],"&lt;="&amp;EOMONTH(O$5,0))+SUMIFS(BetTable[[AR_per_bookie]:[AR_per_bookie]],BetTable[[B2]:[B2]],$K68,BetTable[[Date]:[Date]], "&gt;="&amp;O$5,BetTable[[Date]:[Date]],"&lt;="&amp;EOMONTH(O$5,0))+SUMIFS(BetTable[[AR_per_bookie]:[AR_per_bookie]],BetTable[[B3]:[B3]],$K68,BetTable[[Date]:[Date]], "&gt;="&amp;O$5,BetTable[[Date]:[Date]],"&lt;="&amp;EOMONTH(O$5,0))</f>
        <v>0</v>
      </c>
      <c r="P68" s="186">
        <f>SUMIFS(DWbonus[[Sum]:[Sum]],DWbonus[[Dato]:[Dato]], "&gt;="&amp;P$5,DWbonus[[Dato]:[Dato]],"&lt;="&amp;EOMONTH(P$5,0),DWbonus[[Bookie]:[Bookie]],$K68)+SUMIFS(LayTable[[Faktisk res]:[Faktisk res]],LayTable[[Dato]:[Dato]],"&gt;="&amp;P$5,LayTable[[Dato]:[Dato]],"&lt;="&amp;EOMONTH(P$5,0),LayTable[[Bookmaker]:[Bookmaker]],$K68)+SUMIFS(BetTable[[AR_per_bookie]:[AR_per_bookie]],BetTable[[B1]:[B1]],$K68,BetTable[[Date]:[Date]], "&gt;="&amp;P$5,BetTable[[Date]:[Date]],"&lt;="&amp;EOMONTH(P$5,0))+SUMIFS(BetTable[[AR_per_bookie]:[AR_per_bookie]],BetTable[[B2]:[B2]],$K68,BetTable[[Date]:[Date]], "&gt;="&amp;P$5,BetTable[[Date]:[Date]],"&lt;="&amp;EOMONTH(P$5,0))+SUMIFS(BetTable[[AR_per_bookie]:[AR_per_bookie]],BetTable[[B3]:[B3]],$K68,BetTable[[Date]:[Date]], "&gt;="&amp;P$5,BetTable[[Date]:[Date]],"&lt;="&amp;EOMONTH(P$5,0))</f>
        <v>0</v>
      </c>
      <c r="Q68" s="186">
        <f>SUMIFS(DWbonus[[Sum]:[Sum]],DWbonus[[Dato]:[Dato]], "&gt;="&amp;Q$5,DWbonus[[Dato]:[Dato]],"&lt;="&amp;EOMONTH(Q$5,0),DWbonus[[Bookie]:[Bookie]],$K68)+SUMIFS(LayTable[[Faktisk res]:[Faktisk res]],LayTable[[Dato]:[Dato]],"&gt;="&amp;Q$5,LayTable[[Dato]:[Dato]],"&lt;="&amp;EOMONTH(Q$5,0),LayTable[[Bookmaker]:[Bookmaker]],$K68)+SUMIFS(BetTable[[AR_per_bookie]:[AR_per_bookie]],BetTable[[B1]:[B1]],$K68,BetTable[[Date]:[Date]], "&gt;="&amp;Q$5,BetTable[[Date]:[Date]],"&lt;="&amp;EOMONTH(Q$5,0))+SUMIFS(BetTable[[AR_per_bookie]:[AR_per_bookie]],BetTable[[B2]:[B2]],$K68,BetTable[[Date]:[Date]], "&gt;="&amp;Q$5,BetTable[[Date]:[Date]],"&lt;="&amp;EOMONTH(Q$5,0))+SUMIFS(BetTable[[AR_per_bookie]:[AR_per_bookie]],BetTable[[B3]:[B3]],$K68,BetTable[[Date]:[Date]], "&gt;="&amp;Q$5,BetTable[[Date]:[Date]],"&lt;="&amp;EOMONTH(Q$5,0))</f>
        <v>0</v>
      </c>
      <c r="R68" s="186">
        <f>SUMIFS(DWbonus[[Sum]:[Sum]],DWbonus[[Dato]:[Dato]], "&gt;="&amp;R$5,DWbonus[[Dato]:[Dato]],"&lt;="&amp;EOMONTH(R$5,0),DWbonus[[Bookie]:[Bookie]],$K68)+SUMIFS(LayTable[[Faktisk res]:[Faktisk res]],LayTable[[Dato]:[Dato]],"&gt;="&amp;R$5,LayTable[[Dato]:[Dato]],"&lt;="&amp;EOMONTH(R$5,0),LayTable[[Bookmaker]:[Bookmaker]],$K68)+SUMIFS(BetTable[[AR_per_bookie]:[AR_per_bookie]],BetTable[[B1]:[B1]],$K68,BetTable[[Date]:[Date]], "&gt;="&amp;R$5,BetTable[[Date]:[Date]],"&lt;="&amp;EOMONTH(R$5,0))+SUMIFS(BetTable[[AR_per_bookie]:[AR_per_bookie]],BetTable[[B2]:[B2]],$K68,BetTable[[Date]:[Date]], "&gt;="&amp;R$5,BetTable[[Date]:[Date]],"&lt;="&amp;EOMONTH(R$5,0))+SUMIFS(BetTable[[AR_per_bookie]:[AR_per_bookie]],BetTable[[B3]:[B3]],$K68,BetTable[[Date]:[Date]], "&gt;="&amp;R$5,BetTable[[Date]:[Date]],"&lt;="&amp;EOMONTH(R$5,0))</f>
        <v>0</v>
      </c>
      <c r="S68" s="186">
        <f>SUMIFS(DWbonus[[Sum]:[Sum]],DWbonus[[Dato]:[Dato]], "&gt;="&amp;S$5,DWbonus[[Dato]:[Dato]],"&lt;="&amp;EOMONTH(S$5,0),DWbonus[[Bookie]:[Bookie]],$K68)+SUMIFS(LayTable[[Faktisk res]:[Faktisk res]],LayTable[[Dato]:[Dato]],"&gt;="&amp;S$5,LayTable[[Dato]:[Dato]],"&lt;="&amp;EOMONTH(S$5,0),LayTable[[Bookmaker]:[Bookmaker]],$K68)+SUMIFS(BetTable[[AR_per_bookie]:[AR_per_bookie]],BetTable[[B1]:[B1]],$K68,BetTable[[Date]:[Date]], "&gt;="&amp;S$5,BetTable[[Date]:[Date]],"&lt;="&amp;EOMONTH(S$5,0))+SUMIFS(BetTable[[AR_per_bookie]:[AR_per_bookie]],BetTable[[B2]:[B2]],$K68,BetTable[[Date]:[Date]], "&gt;="&amp;S$5,BetTable[[Date]:[Date]],"&lt;="&amp;EOMONTH(S$5,0))+SUMIFS(BetTable[[AR_per_bookie]:[AR_per_bookie]],BetTable[[B3]:[B3]],$K68,BetTable[[Date]:[Date]], "&gt;="&amp;S$5,BetTable[[Date]:[Date]],"&lt;="&amp;EOMONTH(S$5,0))</f>
        <v>0</v>
      </c>
      <c r="T68" s="186">
        <f>SUMIFS(DWbonus[[Sum]:[Sum]],DWbonus[[Dato]:[Dato]], "&gt;="&amp;T$5,DWbonus[[Dato]:[Dato]],"&lt;="&amp;EOMONTH(T$5,0),DWbonus[[Bookie]:[Bookie]],$K68)+SUMIFS(LayTable[[Faktisk res]:[Faktisk res]],LayTable[[Dato]:[Dato]],"&gt;="&amp;T$5,LayTable[[Dato]:[Dato]],"&lt;="&amp;EOMONTH(T$5,0),LayTable[[Bookmaker]:[Bookmaker]],$K68)+SUMIFS(BetTable[[AR_per_bookie]:[AR_per_bookie]],BetTable[[B1]:[B1]],$K68,BetTable[[Date]:[Date]], "&gt;="&amp;T$5,BetTable[[Date]:[Date]],"&lt;="&amp;EOMONTH(T$5,0))+SUMIFS(BetTable[[AR_per_bookie]:[AR_per_bookie]],BetTable[[B2]:[B2]],$K68,BetTable[[Date]:[Date]], "&gt;="&amp;T$5,BetTable[[Date]:[Date]],"&lt;="&amp;EOMONTH(T$5,0))+SUMIFS(BetTable[[AR_per_bookie]:[AR_per_bookie]],BetTable[[B3]:[B3]],$K68,BetTable[[Date]:[Date]], "&gt;="&amp;T$5,BetTable[[Date]:[Date]],"&lt;="&amp;EOMONTH(T$5,0))</f>
        <v>0</v>
      </c>
      <c r="U68" s="186">
        <f>SUMIFS(DWbonus[[Sum]:[Sum]],DWbonus[[Dato]:[Dato]], "&gt;="&amp;U$5,DWbonus[[Dato]:[Dato]],"&lt;="&amp;EOMONTH(U$5,0),DWbonus[[Bookie]:[Bookie]],$K68)+SUMIFS(LayTable[[Faktisk res]:[Faktisk res]],LayTable[[Dato]:[Dato]],"&gt;="&amp;U$5,LayTable[[Dato]:[Dato]],"&lt;="&amp;EOMONTH(U$5,0),LayTable[[Bookmaker]:[Bookmaker]],$K68)+SUMIFS(BetTable[[AR_per_bookie]:[AR_per_bookie]],BetTable[[B1]:[B1]],$K68,BetTable[[Date]:[Date]], "&gt;="&amp;U$5,BetTable[[Date]:[Date]],"&lt;="&amp;EOMONTH(U$5,0))+SUMIFS(BetTable[[AR_per_bookie]:[AR_per_bookie]],BetTable[[B2]:[B2]],$K68,BetTable[[Date]:[Date]], "&gt;="&amp;U$5,BetTable[[Date]:[Date]],"&lt;="&amp;EOMONTH(U$5,0))+SUMIFS(BetTable[[AR_per_bookie]:[AR_per_bookie]],BetTable[[B3]:[B3]],$K68,BetTable[[Date]:[Date]], "&gt;="&amp;U$5,BetTable[[Date]:[Date]],"&lt;="&amp;EOMONTH(U$5,0))</f>
        <v>0</v>
      </c>
      <c r="V68" s="186">
        <f>SUMIFS(DWbonus[[Sum]:[Sum]],DWbonus[[Dato]:[Dato]], "&gt;="&amp;V$5,DWbonus[[Dato]:[Dato]],"&lt;="&amp;EOMONTH(V$5,0),DWbonus[[Bookie]:[Bookie]],$K68)+SUMIFS(LayTable[[Faktisk res]:[Faktisk res]],LayTable[[Dato]:[Dato]],"&gt;="&amp;V$5,LayTable[[Dato]:[Dato]],"&lt;="&amp;EOMONTH(V$5,0),LayTable[[Bookmaker]:[Bookmaker]],$K68)+SUMIFS(BetTable[[AR_per_bookie]:[AR_per_bookie]],BetTable[[B1]:[B1]],$K68,BetTable[[Date]:[Date]], "&gt;="&amp;V$5,BetTable[[Date]:[Date]],"&lt;="&amp;EOMONTH(V$5,0))+SUMIFS(BetTable[[AR_per_bookie]:[AR_per_bookie]],BetTable[[B2]:[B2]],$K68,BetTable[[Date]:[Date]], "&gt;="&amp;V$5,BetTable[[Date]:[Date]],"&lt;="&amp;EOMONTH(V$5,0))+SUMIFS(BetTable[[AR_per_bookie]:[AR_per_bookie]],BetTable[[B3]:[B3]],$K68,BetTable[[Date]:[Date]], "&gt;="&amp;V$5,BetTable[[Date]:[Date]],"&lt;="&amp;EOMONTH(V$5,0))</f>
        <v>0</v>
      </c>
      <c r="W68" s="186">
        <f>SUMIFS(DWbonus[[Sum]:[Sum]],DWbonus[[Dato]:[Dato]], "&gt;="&amp;W$5,DWbonus[[Dato]:[Dato]],"&lt;="&amp;EOMONTH(W$5,0),DWbonus[[Bookie]:[Bookie]],$K68)+SUMIFS(LayTable[[Faktisk res]:[Faktisk res]],LayTable[[Dato]:[Dato]],"&gt;="&amp;W$5,LayTable[[Dato]:[Dato]],"&lt;="&amp;EOMONTH(W$5,0),LayTable[[Bookmaker]:[Bookmaker]],$K68)+SUMIFS(BetTable[[AR_per_bookie]:[AR_per_bookie]],BetTable[[B1]:[B1]],$K68,BetTable[[Date]:[Date]], "&gt;="&amp;W$5,BetTable[[Date]:[Date]],"&lt;="&amp;EOMONTH(W$5,0))+SUMIFS(BetTable[[AR_per_bookie]:[AR_per_bookie]],BetTable[[B2]:[B2]],$K68,BetTable[[Date]:[Date]], "&gt;="&amp;W$5,BetTable[[Date]:[Date]],"&lt;="&amp;EOMONTH(W$5,0))+SUMIFS(BetTable[[AR_per_bookie]:[AR_per_bookie]],BetTable[[B3]:[B3]],$K68,BetTable[[Date]:[Date]], "&gt;="&amp;W$5,BetTable[[Date]:[Date]],"&lt;="&amp;EOMONTH(W$5,0))</f>
        <v>0</v>
      </c>
    </row>
    <row r="69" spans="1:23">
      <c r="A69" s="174" t="s">
        <v>225</v>
      </c>
      <c r="E69" s="174" t="s">
        <v>357</v>
      </c>
      <c r="K69" s="174" t="str">
        <f t="array" ref="K69">IFERROR(INDEX(BookieNavn!H$2:H$1251,SMALL(IF(EXACT(LEFT(BookieNavn!H$2:H$1251,2),M$3),ROW(BookieNavn!H$2:H$1251)-ROW(BookieNavn!H$2)+1),ROWS(BookieNavn!H$2:'BookieNavn'!H64))),"")</f>
        <v/>
      </c>
    </row>
    <row r="70" spans="1:23">
      <c r="K70" s="174" t="str">
        <f t="array" ref="K70">IFERROR(INDEX(BookieNavn!H$2:H$1251,SMALL(IF(EXACT(LEFT(BookieNavn!H$2:H$1251,2),M$3),ROW(BookieNavn!H$2:H$1251)-ROW(BookieNavn!H$2)+1),ROWS(BookieNavn!H$2:'BookieNavn'!H65))),"")</f>
        <v/>
      </c>
    </row>
    <row r="71" spans="1:23">
      <c r="K71" s="174" t="str">
        <f t="array" ref="K71">IFERROR(INDEX(BookieNavn!H$2:H$1251,SMALL(IF(EXACT(LEFT(BookieNavn!H$2:H$1251,2),M$3),ROW(BookieNavn!H$2:H$1251)-ROW(BookieNavn!H$2)+1),ROWS(BookieNavn!H$2:'BookieNavn'!H66))),"")</f>
        <v/>
      </c>
    </row>
    <row r="72" spans="1:23">
      <c r="K72" s="174" t="str">
        <f t="array" ref="K72">IFERROR(INDEX(BookieNavn!H$2:H$1251,SMALL(IF(EXACT(LEFT(BookieNavn!H$2:H$1251,2),M$3),ROW(BookieNavn!H$2:H$1251)-ROW(BookieNavn!H$2)+1),ROWS(BookieNavn!H$2:'BookieNavn'!H67))),"")</f>
        <v/>
      </c>
    </row>
    <row r="73" spans="1:23">
      <c r="A73" s="174" t="s">
        <v>396</v>
      </c>
      <c r="C73" s="174">
        <f>SUM(C57:C72)</f>
        <v>26000</v>
      </c>
      <c r="K73" s="174" t="str">
        <f t="array" ref="K73">IFERROR(INDEX(BookieNavn!H$2:H$1251,SMALL(IF(EXACT(LEFT(BookieNavn!H$2:H$1251,2),M$3),ROW(BookieNavn!H$2:H$1251)-ROW(BookieNavn!H$2)+1),ROWS(BookieNavn!H$2:'BookieNavn'!H68))),"")</f>
        <v/>
      </c>
    </row>
    <row r="74" spans="1:23">
      <c r="A74" s="174" t="s">
        <v>397</v>
      </c>
      <c r="C74" s="174">
        <f>C73*0.7</f>
        <v>18200</v>
      </c>
      <c r="K74" s="174" t="str">
        <f t="array" ref="K74">IFERROR(INDEX(BookieNavn!H$2:H$1251,SMALL(IF(EXACT(LEFT(BookieNavn!H$2:H$1251,2),M$3),ROW(BookieNavn!H$2:H$1251)-ROW(BookieNavn!H$2)+1),ROWS(BookieNavn!H$2:'BookieNavn'!H69))),"")</f>
        <v/>
      </c>
    </row>
    <row r="75" spans="1:23">
      <c r="A75" s="174" t="s">
        <v>398</v>
      </c>
      <c r="C75" s="174">
        <f>C73*0.3</f>
        <v>7800</v>
      </c>
      <c r="K75" s="174" t="str">
        <f t="array" ref="K75">IFERROR(INDEX(BookieNavn!H$2:H$1251,SMALL(IF(EXACT(LEFT(BookieNavn!H$2:H$1251,2),M$3),ROW(BookieNavn!H$2:H$1251)-ROW(BookieNavn!H$2)+1),ROWS(BookieNavn!H$2:'BookieNavn'!H70))),"")</f>
        <v/>
      </c>
    </row>
    <row r="76" spans="1:23">
      <c r="K76" s="174" t="str">
        <f t="array" ref="K76">IFERROR(INDEX(BookieNavn!H$2:H$1251,SMALL(IF(EXACT(LEFT(BookieNavn!H$2:H$1251,2),M$3),ROW(BookieNavn!H$2:H$1251)-ROW(BookieNavn!H$2)+1),ROWS(BookieNavn!H$2:'BookieNavn'!H71))),"")</f>
        <v/>
      </c>
    </row>
    <row r="77" spans="1:23">
      <c r="K77" s="174" t="str">
        <f t="array" ref="K77">IFERROR(INDEX(BookieNavn!H$2:H$1251,SMALL(IF(EXACT(LEFT(BookieNavn!H$2:H$1251,2),M$3),ROW(BookieNavn!H$2:H$1251)-ROW(BookieNavn!H$2)+1),ROWS(BookieNavn!H$2:'BookieNavn'!H72))),"")</f>
        <v/>
      </c>
    </row>
    <row r="78" spans="1:23">
      <c r="K78" s="174" t="str">
        <f t="array" ref="K78">IFERROR(INDEX(BookieNavn!H$2:H$1251,SMALL(IF(EXACT(LEFT(BookieNavn!H$2:H$1251,2),M$3),ROW(BookieNavn!H$2:H$1251)-ROW(BookieNavn!H$2)+1),ROWS(BookieNavn!H$2:'BookieNavn'!H86))),"")</f>
        <v/>
      </c>
    </row>
    <row r="79" spans="1:23">
      <c r="K79" s="174" t="str">
        <f t="array" ref="K79">IFERROR(INDEX(BookieNavn!H$2:H$1251,SMALL(IF(EXACT(LEFT(BookieNavn!H$2:H$1251,2),M$3),ROW(BookieNavn!H$2:H$1251)-ROW(BookieNavn!H$2)+1),ROWS(BookieNavn!H$2:BookieNavn!#REF!))),"")</f>
        <v/>
      </c>
    </row>
    <row r="80" spans="1:23">
      <c r="K80" s="174" t="str">
        <f t="array" ref="K80">IFERROR(INDEX(BookieNavn!H$2:H$1251,SMALL(IF(EXACT(LEFT(BookieNavn!H$2:H$1251,2),M$3),ROW(BookieNavn!H$2:H$1251)-ROW(BookieNavn!H$2)+1),ROWS(BookieNavn!H$2:'BookieNavn'!H73))),"")</f>
        <v/>
      </c>
    </row>
    <row r="81" spans="11:11">
      <c r="K81" s="174" t="str">
        <f t="array" ref="K81">IFERROR(INDEX(BookieNavn!H$2:H$1251,SMALL(IF(EXACT(LEFT(BookieNavn!H$2:H$1251,2),M$3),ROW(BookieNavn!H$2:H$1251)-ROW(BookieNavn!H$2)+1),ROWS(BookieNavn!H$2:'BookieNavn'!H74))),"")</f>
        <v/>
      </c>
    </row>
    <row r="82" spans="11:11">
      <c r="K82" s="174" t="str">
        <f t="array" ref="K82">IFERROR(INDEX(BookieNavn!H$2:H$1251,SMALL(IF(EXACT(LEFT(BookieNavn!H$2:H$1251,2),M$3),ROW(BookieNavn!H$2:H$1251)-ROW(BookieNavn!H$2)+1),ROWS(BookieNavn!H$2:'BookieNavn'!H75))),"")</f>
        <v/>
      </c>
    </row>
    <row r="83" spans="11:11">
      <c r="K83" s="174" t="str">
        <f t="array" ref="K83">IFERROR(INDEX(BookieNavn!H$2:H$1251,SMALL(IF(EXACT(LEFT(BookieNavn!H$2:H$1251,2),M$3),ROW(BookieNavn!H$2:H$1251)-ROW(BookieNavn!H$2)+1),ROWS(BookieNavn!H$2:'BookieNavn'!H76))),"")</f>
        <v/>
      </c>
    </row>
    <row r="84" spans="11:11">
      <c r="K84" s="174" t="str">
        <f t="array" ref="K84">IFERROR(INDEX(BookieNavn!H$2:H$1251,SMALL(IF(EXACT(LEFT(BookieNavn!H$2:H$1251,2),M$3),ROW(BookieNavn!H$2:H$1251)-ROW(BookieNavn!H$2)+1),ROWS(BookieNavn!H$2:'BookieNavn'!H77))),"")</f>
        <v/>
      </c>
    </row>
    <row r="85" spans="11:11">
      <c r="K85" s="174" t="str">
        <f t="array" ref="K85">IFERROR(INDEX(BookieNavn!H$2:H$1251,SMALL(IF(EXACT(LEFT(BookieNavn!H$2:H$1251,2),M$3),ROW(BookieNavn!H$2:H$1251)-ROW(BookieNavn!H$2)+1),ROWS(BookieNavn!H$2:'BookieNavn'!H78))),"")</f>
        <v/>
      </c>
    </row>
    <row r="86" spans="11:11">
      <c r="K86" s="174" t="str">
        <f t="array" ref="K86">IFERROR(INDEX(BookieNavn!H$2:H$1251,SMALL(IF(EXACT(LEFT(BookieNavn!H$2:H$1251,2),M$3),ROW(BookieNavn!H$2:H$1251)-ROW(BookieNavn!H$2)+1),ROWS(BookieNavn!H$2:'BookieNavn'!H79))),"")</f>
        <v/>
      </c>
    </row>
    <row r="87" spans="11:11">
      <c r="K87" s="174" t="str">
        <f t="array" ref="K87">IFERROR(INDEX(BookieNavn!H$2:H$1251,SMALL(IF(EXACT(LEFT(BookieNavn!H$2:H$1251,2),M$3),ROW(BookieNavn!H$2:H$1251)-ROW(BookieNavn!H$2)+1),ROWS(BookieNavn!H$2:'BookieNavn'!H80))),"")</f>
        <v/>
      </c>
    </row>
    <row r="88" spans="11:11">
      <c r="K88" s="174" t="str">
        <f t="array" ref="K88">IFERROR(INDEX(BookieNavn!H$2:H$1251,SMALL(IF(EXACT(LEFT(BookieNavn!H$2:H$1251,2),M$3),ROW(BookieNavn!H$2:H$1251)-ROW(BookieNavn!H$2)+1),ROWS(BookieNavn!H$2:'BookieNavn'!H81))),"")</f>
        <v/>
      </c>
    </row>
    <row r="89" spans="11:11">
      <c r="K89" s="174" t="str">
        <f t="array" ref="K89">IFERROR(INDEX(BookieNavn!H$2:H$1251,SMALL(IF(EXACT(LEFT(BookieNavn!H$2:H$1251,2),M$3),ROW(BookieNavn!H$2:H$1251)-ROW(BookieNavn!H$2)+1),ROWS(BookieNavn!H$2:'BookieNavn'!H82))),"")</f>
        <v/>
      </c>
    </row>
    <row r="90" spans="11:11">
      <c r="K90" s="174" t="str">
        <f t="array" ref="K90">IFERROR(INDEX(BookieNavn!H$2:H$1251,SMALL(IF(EXACT(LEFT(BookieNavn!H$2:H$1251,2),M$3),ROW(BookieNavn!H$2:H$1251)-ROW(BookieNavn!H$2)+1),ROWS(BookieNavn!H$2:'BookieNavn'!H83))),"")</f>
        <v/>
      </c>
    </row>
    <row r="91" spans="11:11">
      <c r="K91" s="174" t="str">
        <f t="array" ref="K91">IFERROR(INDEX(BookieNavn!H$2:H$1251,SMALL(IF(EXACT(LEFT(BookieNavn!H$2:H$1251,2),M$3),ROW(BookieNavn!H$2:H$1251)-ROW(BookieNavn!H$2)+1),ROWS(BookieNavn!H$2:BookieNavn!#REF!))),"")</f>
        <v/>
      </c>
    </row>
    <row r="92" spans="11:11">
      <c r="K92" s="174" t="str">
        <f t="array" ref="K92">IFERROR(INDEX(BookieNavn!H$2:H$1251,SMALL(IF(EXACT(LEFT(BookieNavn!H$2:H$1251,2),M$3),ROW(BookieNavn!H$2:H$1251)-ROW(BookieNavn!H$2)+1),ROWS(BookieNavn!H$2:BookieNavn!#REF!))),"")</f>
        <v/>
      </c>
    </row>
    <row r="93" spans="11:11">
      <c r="K93" s="174" t="str">
        <f t="array" ref="K93">IFERROR(INDEX(BookieNavn!H$2:H$1251,SMALL(IF(EXACT(LEFT(BookieNavn!H$2:H$1251,2),M$3),ROW(BookieNavn!H$2:H$1251)-ROW(BookieNavn!H$2)+1),ROWS(BookieNavn!H$2:'BookieNavn'!H89))),"")</f>
        <v/>
      </c>
    </row>
    <row r="94" spans="11:11">
      <c r="K94" s="174" t="str">
        <f t="array" ref="K94">IFERROR(INDEX(BookieNavn!H$2:H$1251,SMALL(IF(EXACT(LEFT(BookieNavn!H$2:H$1251,2),M$3),ROW(BookieNavn!H$2:H$1251)-ROW(BookieNavn!H$2)+1),ROWS(BookieNavn!H$2:'BookieNavn'!H90))),"")</f>
        <v/>
      </c>
    </row>
    <row r="95" spans="11:11">
      <c r="K95" s="174" t="str">
        <f t="array" ref="K95">IFERROR(INDEX(BookieNavn!H$2:H$1251,SMALL(IF(EXACT(LEFT(BookieNavn!H$2:H$1251,2),M$3),ROW(BookieNavn!H$2:H$1251)-ROW(BookieNavn!H$2)+1),ROWS(BookieNavn!H$2:'BookieNavn'!H91))),"")</f>
        <v/>
      </c>
    </row>
    <row r="96" spans="11:11">
      <c r="K96" s="174" t="str">
        <f t="array" ref="K96">IFERROR(INDEX(BookieNavn!H$2:H$1251,SMALL(IF(EXACT(LEFT(BookieNavn!H$2:H$1251,2),M$3),ROW(BookieNavn!H$2:H$1251)-ROW(BookieNavn!H$2)+1),ROWS(BookieNavn!H$2:'BookieNavn'!H92))),"")</f>
        <v/>
      </c>
    </row>
    <row r="97" spans="11:11">
      <c r="K97" s="174" t="str">
        <f t="array" ref="K97">IFERROR(INDEX(BookieNavn!H$2:H$1251,SMALL(IF(EXACT(LEFT(BookieNavn!H$2:H$1251,2),M$3),ROW(BookieNavn!H$2:H$1251)-ROW(BookieNavn!H$2)+1),ROWS(BookieNavn!H$2:'BookieNavn'!H93))),"")</f>
        <v/>
      </c>
    </row>
    <row r="98" spans="11:11">
      <c r="K98" s="174" t="str">
        <f t="array" ref="K98">IFERROR(INDEX(BookieNavn!H$2:H$1251,SMALL(IF(EXACT(LEFT(BookieNavn!H$2:H$1251,2),M$3),ROW(BookieNavn!H$2:H$1251)-ROW(BookieNavn!H$2)+1),ROWS(BookieNavn!H$2:'BookieNavn'!H94))),"")</f>
        <v/>
      </c>
    </row>
    <row r="99" spans="11:11">
      <c r="K99" s="174" t="str">
        <f t="array" ref="K99">IFERROR(INDEX(BookieNavn!H$2:H$1251,SMALL(IF(EXACT(LEFT(BookieNavn!H$2:H$1251,2),M$3),ROW(BookieNavn!H$2:H$1251)-ROW(BookieNavn!H$2)+1),ROWS(BookieNavn!H$2:'BookieNavn'!H95))),"")</f>
        <v/>
      </c>
    </row>
    <row r="100" spans="11:11">
      <c r="K100" s="174" t="str">
        <f t="array" ref="K100">IFERROR(INDEX(BookieNavn!H$2:H$1251,SMALL(IF(EXACT(LEFT(BookieNavn!H$2:H$1251,2),M$3),ROW(BookieNavn!H$2:H$1251)-ROW(BookieNavn!H$2)+1),ROWS(BookieNavn!H$2:'BookieNavn'!H96))),"")</f>
        <v/>
      </c>
    </row>
    <row r="101" spans="11:11">
      <c r="K101" s="174" t="str">
        <f t="array" ref="K101">IFERROR(INDEX(BookieNavn!H$2:H$1251,SMALL(IF(EXACT(LEFT(BookieNavn!H$2:H$1251,2),M$3),ROW(BookieNavn!H$2:H$1251)-ROW(BookieNavn!H$2)+1),ROWS(BookieNavn!H$2:BookieNavn!#REF!))),"")</f>
        <v/>
      </c>
    </row>
    <row r="102" spans="11:11">
      <c r="K102" s="174" t="str">
        <f t="array" ref="K102">IFERROR(INDEX(BookieNavn!H$2:H$1251,SMALL(IF(EXACT(LEFT(BookieNavn!H$2:H$1251,2),M$3),ROW(BookieNavn!H$2:H$1251)-ROW(BookieNavn!H$2)+1),ROWS(BookieNavn!H$2:'BookieNavn'!H97))),"")</f>
        <v/>
      </c>
    </row>
    <row r="103" spans="11:11">
      <c r="K103" s="174" t="str">
        <f t="array" ref="K103">IFERROR(INDEX(BookieNavn!H$2:H$1251,SMALL(IF(EXACT(LEFT(BookieNavn!H$2:H$1251,2),M$3),ROW(BookieNavn!H$2:H$1251)-ROW(BookieNavn!H$2)+1),ROWS(BookieNavn!H$2:'BookieNavn'!H98))),"")</f>
        <v/>
      </c>
    </row>
    <row r="104" spans="11:11">
      <c r="K104" s="174" t="str">
        <f t="array" ref="K104">IFERROR(INDEX(BookieNavn!H$2:H$1251,SMALL(IF(EXACT(LEFT(BookieNavn!H$2:H$1251,2),M$3),ROW(BookieNavn!H$2:H$1251)-ROW(BookieNavn!H$2)+1),ROWS(BookieNavn!H$2:'BookieNavn'!H99))),"")</f>
        <v/>
      </c>
    </row>
    <row r="105" spans="11:11">
      <c r="K105" s="174" t="str">
        <f t="array" ref="K105">IFERROR(INDEX(BookieNavn!H$2:H$1251,SMALL(IF(EXACT(LEFT(BookieNavn!H$2:H$1251,2),M$3),ROW(BookieNavn!H$2:H$1251)-ROW(BookieNavn!H$2)+1),ROWS(BookieNavn!H$2:'BookieNavn'!H100))),"")</f>
        <v/>
      </c>
    </row>
    <row r="106" spans="11:11">
      <c r="K106" s="174" t="str">
        <f t="array" ref="K106">IFERROR(INDEX(BookieNavn!H$2:H$1251,SMALL(IF(EXACT(LEFT(BookieNavn!H$2:H$1251,2),M$3),ROW(BookieNavn!H$2:H$1251)-ROW(BookieNavn!H$2)+1),ROWS(BookieNavn!H$2:'BookieNavn'!H101))),"")</f>
        <v/>
      </c>
    </row>
    <row r="107" spans="11:11">
      <c r="K107" s="174" t="str">
        <f t="array" ref="K107">IFERROR(INDEX(BookieNavn!H$2:H$1251,SMALL(IF(EXACT(LEFT(BookieNavn!H$2:H$1251,2),M$3),ROW(BookieNavn!H$2:H$1251)-ROW(BookieNavn!H$2)+1),ROWS(BookieNavn!H$2:'BookieNavn'!H102))),"")</f>
        <v/>
      </c>
    </row>
    <row r="108" spans="11:11">
      <c r="K108" s="174" t="str">
        <f t="array" ref="K108">IFERROR(INDEX(BookieNavn!H$2:H$1251,SMALL(IF(EXACT(LEFT(BookieNavn!H$2:H$1251,2),M$3),ROW(BookieNavn!H$2:H$1251)-ROW(BookieNavn!H$2)+1),ROWS(BookieNavn!H$2:'BookieNavn'!H103))),"")</f>
        <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W133"/>
  <sheetViews>
    <sheetView showGridLines="0" topLeftCell="D69" zoomScale="116" zoomScaleNormal="116" workbookViewId="0">
      <selection activeCell="I102" sqref="I102"/>
    </sheetView>
  </sheetViews>
  <sheetFormatPr baseColWidth="10" defaultColWidth="8.83203125" defaultRowHeight="15"/>
  <cols>
    <col min="1" max="1" width="9.1640625" hidden="1" customWidth="1"/>
    <col min="2" max="2" width="1.83203125" hidden="1" customWidth="1"/>
    <col min="3" max="3" width="4.33203125" hidden="1" customWidth="1"/>
    <col min="4" max="4" width="8" bestFit="1" customWidth="1"/>
    <col min="5" max="5" width="17.5" bestFit="1" customWidth="1"/>
    <col min="6" max="6" width="2" customWidth="1"/>
    <col min="7" max="7" width="4.33203125" hidden="1" customWidth="1"/>
    <col min="8" max="8" width="19.83203125" customWidth="1"/>
    <col min="9" max="9" width="19.33203125" bestFit="1" customWidth="1"/>
    <col min="10" max="10" width="2.1640625" hidden="1" customWidth="1"/>
    <col min="11" max="11" width="11.33203125" hidden="1" customWidth="1"/>
    <col min="12" max="12" width="1.5" hidden="1" customWidth="1"/>
    <col min="13" max="13" width="9.1640625" hidden="1" customWidth="1"/>
    <col min="14" max="14" width="1.5" hidden="1" customWidth="1"/>
    <col min="15" max="15" width="17.5" hidden="1" customWidth="1"/>
    <col min="16" max="16" width="16.5" hidden="1" customWidth="1"/>
    <col min="17" max="17" width="13.1640625" customWidth="1"/>
  </cols>
  <sheetData>
    <row r="1" spans="1:23">
      <c r="A1" t="s">
        <v>17</v>
      </c>
      <c r="C1" t="s">
        <v>22</v>
      </c>
      <c r="D1" t="s">
        <v>16</v>
      </c>
      <c r="E1" t="s">
        <v>261</v>
      </c>
      <c r="G1" t="s">
        <v>22</v>
      </c>
      <c r="H1" t="s">
        <v>15</v>
      </c>
      <c r="I1" t="s">
        <v>261</v>
      </c>
      <c r="K1" t="s">
        <v>23</v>
      </c>
      <c r="M1" t="s">
        <v>23</v>
      </c>
      <c r="O1" t="s">
        <v>33</v>
      </c>
      <c r="Q1" s="174"/>
      <c r="R1" s="174"/>
      <c r="S1" s="174"/>
      <c r="T1" s="174"/>
      <c r="U1" s="174"/>
      <c r="V1" s="174"/>
      <c r="W1" s="174"/>
    </row>
    <row r="2" spans="1:23">
      <c r="A2" s="1"/>
      <c r="C2">
        <f>ROW()-1</f>
        <v>1</v>
      </c>
      <c r="D2" t="s">
        <v>12</v>
      </c>
      <c r="E2" t="s">
        <v>97</v>
      </c>
      <c r="G2">
        <f t="shared" ref="G2:G33" si="0">ROW()-1</f>
        <v>1</v>
      </c>
      <c r="H2" s="174" t="s">
        <v>92</v>
      </c>
      <c r="I2" s="174" t="s">
        <v>92</v>
      </c>
      <c r="K2" t="s">
        <v>24</v>
      </c>
      <c r="M2" t="s">
        <v>27</v>
      </c>
      <c r="Q2" s="174"/>
      <c r="R2" s="174"/>
      <c r="S2" s="174"/>
      <c r="T2" s="174"/>
      <c r="U2" s="174"/>
      <c r="V2" s="174"/>
      <c r="W2" s="174"/>
    </row>
    <row r="3" spans="1:23" ht="15" customHeight="1">
      <c r="A3" s="1"/>
      <c r="C3">
        <f t="shared" ref="C3:C8" si="1">ROW()-1</f>
        <v>2</v>
      </c>
      <c r="D3" t="s">
        <v>117</v>
      </c>
      <c r="E3" t="s">
        <v>118</v>
      </c>
      <c r="G3">
        <f t="shared" si="0"/>
        <v>2</v>
      </c>
      <c r="H3" s="174" t="s">
        <v>208</v>
      </c>
      <c r="I3" s="174" t="s">
        <v>208</v>
      </c>
      <c r="K3" t="s">
        <v>25</v>
      </c>
      <c r="M3" t="s">
        <v>28</v>
      </c>
      <c r="Q3" s="174"/>
      <c r="R3" s="174"/>
      <c r="S3" s="174"/>
      <c r="T3" s="174"/>
      <c r="U3" s="174"/>
      <c r="V3" s="174"/>
      <c r="W3" s="174"/>
    </row>
    <row r="4" spans="1:23" ht="15" customHeight="1">
      <c r="A4" s="1"/>
      <c r="C4">
        <f t="shared" si="1"/>
        <v>3</v>
      </c>
      <c r="D4" t="s">
        <v>119</v>
      </c>
      <c r="E4" t="s">
        <v>120</v>
      </c>
      <c r="G4">
        <f t="shared" si="0"/>
        <v>3</v>
      </c>
      <c r="H4" s="174" t="s">
        <v>266</v>
      </c>
      <c r="I4" s="174" t="s">
        <v>266</v>
      </c>
      <c r="Q4" s="174"/>
      <c r="R4" s="174"/>
      <c r="S4" s="174"/>
      <c r="T4" s="174"/>
      <c r="U4" s="174"/>
      <c r="V4" s="174"/>
      <c r="W4" s="174"/>
    </row>
    <row r="5" spans="1:23">
      <c r="A5" s="1"/>
      <c r="C5">
        <f t="shared" si="1"/>
        <v>4</v>
      </c>
      <c r="D5" t="s">
        <v>121</v>
      </c>
      <c r="E5" t="s">
        <v>122</v>
      </c>
      <c r="G5">
        <f t="shared" si="0"/>
        <v>4</v>
      </c>
      <c r="H5" s="174" t="s">
        <v>209</v>
      </c>
      <c r="I5" s="174" t="s">
        <v>209</v>
      </c>
      <c r="Q5" s="174"/>
      <c r="R5" s="174"/>
      <c r="S5" s="174"/>
      <c r="T5" s="174"/>
      <c r="U5" s="174"/>
      <c r="V5" s="174"/>
      <c r="W5" s="174"/>
    </row>
    <row r="6" spans="1:23">
      <c r="A6" s="1"/>
      <c r="C6">
        <f t="shared" si="1"/>
        <v>5</v>
      </c>
      <c r="D6" t="s">
        <v>148</v>
      </c>
      <c r="E6" t="s">
        <v>149</v>
      </c>
      <c r="G6">
        <f t="shared" si="0"/>
        <v>5</v>
      </c>
      <c r="H6" s="174" t="s">
        <v>265</v>
      </c>
      <c r="I6" s="174" t="s">
        <v>265</v>
      </c>
      <c r="Q6" s="174"/>
      <c r="R6" s="174"/>
      <c r="S6" s="174"/>
      <c r="T6" s="174"/>
      <c r="U6" s="174"/>
      <c r="V6" s="174"/>
      <c r="W6" s="174"/>
    </row>
    <row r="7" spans="1:23">
      <c r="A7" s="1"/>
      <c r="C7">
        <f t="shared" si="1"/>
        <v>6</v>
      </c>
      <c r="D7" t="s">
        <v>150</v>
      </c>
      <c r="E7" t="s">
        <v>151</v>
      </c>
      <c r="G7">
        <f t="shared" si="0"/>
        <v>6</v>
      </c>
      <c r="H7" s="174" t="s">
        <v>210</v>
      </c>
      <c r="I7" s="174" t="s">
        <v>210</v>
      </c>
      <c r="Q7" s="174"/>
      <c r="R7" s="174"/>
      <c r="S7" s="174"/>
      <c r="T7" s="174"/>
      <c r="U7" s="174"/>
      <c r="V7" s="174"/>
      <c r="W7" s="174"/>
    </row>
    <row r="8" spans="1:23">
      <c r="A8" s="1"/>
      <c r="C8">
        <f t="shared" si="1"/>
        <v>7</v>
      </c>
      <c r="D8" t="s">
        <v>353</v>
      </c>
      <c r="E8" t="s">
        <v>354</v>
      </c>
      <c r="G8">
        <f t="shared" si="0"/>
        <v>7</v>
      </c>
      <c r="H8" s="174" t="s">
        <v>262</v>
      </c>
      <c r="I8" s="174" t="s">
        <v>262</v>
      </c>
      <c r="Q8" s="174"/>
      <c r="R8" s="174"/>
      <c r="S8" s="174"/>
      <c r="T8" s="174"/>
      <c r="U8" s="174"/>
      <c r="V8" s="174"/>
      <c r="W8" s="174"/>
    </row>
    <row r="9" spans="1:23">
      <c r="A9" s="1"/>
      <c r="C9">
        <f t="shared" ref="C9:C19" si="2">ROW()-1</f>
        <v>8</v>
      </c>
      <c r="D9" t="s">
        <v>355</v>
      </c>
      <c r="E9" t="s">
        <v>356</v>
      </c>
      <c r="G9">
        <f t="shared" si="0"/>
        <v>8</v>
      </c>
      <c r="H9" s="174" t="s">
        <v>263</v>
      </c>
      <c r="I9" s="174" t="s">
        <v>263</v>
      </c>
      <c r="Q9" s="174"/>
      <c r="R9" s="174"/>
      <c r="S9" s="174"/>
      <c r="T9" s="174"/>
      <c r="U9" s="174"/>
      <c r="V9" s="174"/>
      <c r="W9" s="174"/>
    </row>
    <row r="10" spans="1:23">
      <c r="A10" s="1"/>
      <c r="C10">
        <f t="shared" si="2"/>
        <v>9</v>
      </c>
      <c r="D10" t="s">
        <v>487</v>
      </c>
      <c r="E10" t="s">
        <v>486</v>
      </c>
      <c r="G10">
        <f t="shared" si="0"/>
        <v>9</v>
      </c>
      <c r="H10" s="174" t="s">
        <v>211</v>
      </c>
      <c r="I10" s="174" t="s">
        <v>211</v>
      </c>
      <c r="Q10" s="174"/>
      <c r="R10" s="174"/>
      <c r="S10" s="174"/>
      <c r="T10" s="174"/>
      <c r="U10" s="174"/>
      <c r="V10" s="174"/>
      <c r="W10" s="174"/>
    </row>
    <row r="11" spans="1:23">
      <c r="A11" s="1"/>
      <c r="C11">
        <f t="shared" si="2"/>
        <v>10</v>
      </c>
      <c r="G11">
        <f t="shared" si="0"/>
        <v>10</v>
      </c>
      <c r="H11" s="174" t="s">
        <v>212</v>
      </c>
      <c r="I11" s="174" t="s">
        <v>212</v>
      </c>
      <c r="Q11" s="174"/>
      <c r="R11" s="174"/>
      <c r="S11" s="174"/>
      <c r="T11" s="174"/>
      <c r="U11" s="174"/>
      <c r="V11" s="174"/>
      <c r="W11" s="174"/>
    </row>
    <row r="12" spans="1:23">
      <c r="A12" s="1"/>
      <c r="C12">
        <f t="shared" si="2"/>
        <v>11</v>
      </c>
      <c r="G12">
        <f t="shared" si="0"/>
        <v>11</v>
      </c>
      <c r="H12" s="174" t="s">
        <v>213</v>
      </c>
      <c r="I12" s="174" t="s">
        <v>213</v>
      </c>
      <c r="O12" t="s">
        <v>73</v>
      </c>
      <c r="Q12" s="174"/>
      <c r="R12" s="174"/>
      <c r="S12" s="174"/>
      <c r="T12" s="174"/>
      <c r="U12" s="174"/>
      <c r="V12" s="174"/>
      <c r="W12" s="174"/>
    </row>
    <row r="13" spans="1:23">
      <c r="A13" t="s">
        <v>73</v>
      </c>
      <c r="C13">
        <f t="shared" si="2"/>
        <v>12</v>
      </c>
      <c r="G13">
        <f t="shared" si="0"/>
        <v>12</v>
      </c>
      <c r="H13" s="174" t="s">
        <v>214</v>
      </c>
      <c r="I13" s="174" t="s">
        <v>214</v>
      </c>
      <c r="O13" t="s">
        <v>74</v>
      </c>
      <c r="Q13" s="174"/>
      <c r="R13" s="174"/>
      <c r="S13" s="174"/>
      <c r="T13" s="174"/>
      <c r="U13" s="174"/>
      <c r="V13" s="174"/>
      <c r="W13" s="174"/>
    </row>
    <row r="14" spans="1:23">
      <c r="A14" t="s">
        <v>74</v>
      </c>
      <c r="C14">
        <f t="shared" si="2"/>
        <v>13</v>
      </c>
      <c r="G14">
        <f t="shared" si="0"/>
        <v>13</v>
      </c>
      <c r="H14" s="174" t="s">
        <v>215</v>
      </c>
      <c r="I14" s="174" t="s">
        <v>215</v>
      </c>
      <c r="O14" t="s">
        <v>75</v>
      </c>
      <c r="Q14" s="174"/>
      <c r="R14" s="174"/>
      <c r="S14" s="174"/>
      <c r="T14" s="174"/>
      <c r="U14" s="174"/>
      <c r="V14" s="174"/>
      <c r="W14" s="174"/>
    </row>
    <row r="15" spans="1:23">
      <c r="A15" t="s">
        <v>75</v>
      </c>
      <c r="C15">
        <f t="shared" si="2"/>
        <v>14</v>
      </c>
      <c r="G15">
        <f t="shared" si="0"/>
        <v>14</v>
      </c>
      <c r="H15" s="174" t="s">
        <v>216</v>
      </c>
      <c r="I15" s="174" t="s">
        <v>216</v>
      </c>
      <c r="Q15" s="174"/>
      <c r="R15" s="174"/>
      <c r="S15" s="174"/>
      <c r="T15" s="174"/>
      <c r="U15" s="174"/>
      <c r="V15" s="174"/>
      <c r="W15" s="174"/>
    </row>
    <row r="16" spans="1:23">
      <c r="C16">
        <f t="shared" si="2"/>
        <v>15</v>
      </c>
      <c r="G16">
        <f t="shared" si="0"/>
        <v>15</v>
      </c>
      <c r="H16" s="174" t="s">
        <v>268</v>
      </c>
      <c r="I16" s="174" t="s">
        <v>268</v>
      </c>
      <c r="Q16" s="174"/>
      <c r="R16" s="174"/>
      <c r="S16" s="174"/>
      <c r="T16" s="174"/>
      <c r="U16" s="174"/>
      <c r="V16" s="174"/>
      <c r="W16" s="174"/>
    </row>
    <row r="17" spans="3:23">
      <c r="C17">
        <f t="shared" si="2"/>
        <v>16</v>
      </c>
      <c r="G17">
        <f t="shared" si="0"/>
        <v>16</v>
      </c>
      <c r="H17" s="174" t="s">
        <v>217</v>
      </c>
      <c r="I17" s="174" t="s">
        <v>217</v>
      </c>
      <c r="Q17" s="174"/>
      <c r="R17" s="174"/>
      <c r="S17" s="174"/>
      <c r="T17" s="174"/>
      <c r="U17" s="174"/>
      <c r="V17" s="174"/>
      <c r="W17" s="174"/>
    </row>
    <row r="18" spans="3:23">
      <c r="C18">
        <f t="shared" si="2"/>
        <v>17</v>
      </c>
      <c r="G18">
        <f t="shared" si="0"/>
        <v>17</v>
      </c>
      <c r="H18" s="174" t="s">
        <v>218</v>
      </c>
      <c r="I18" s="174" t="s">
        <v>218</v>
      </c>
      <c r="Q18" s="174"/>
      <c r="R18" s="174"/>
      <c r="S18" s="174"/>
      <c r="T18" s="174"/>
      <c r="U18" s="174"/>
      <c r="V18" s="174"/>
      <c r="W18" s="174"/>
    </row>
    <row r="19" spans="3:23">
      <c r="C19">
        <f t="shared" si="2"/>
        <v>18</v>
      </c>
      <c r="G19">
        <f t="shared" si="0"/>
        <v>18</v>
      </c>
      <c r="H19" s="174" t="s">
        <v>219</v>
      </c>
      <c r="I19" s="174" t="s">
        <v>219</v>
      </c>
      <c r="Q19" s="174"/>
      <c r="R19" s="174"/>
      <c r="S19" s="174"/>
      <c r="T19" s="174"/>
      <c r="U19" s="174"/>
      <c r="V19" s="174"/>
      <c r="W19" s="174"/>
    </row>
    <row r="20" spans="3:23">
      <c r="C20">
        <f>ROW()-1</f>
        <v>19</v>
      </c>
      <c r="G20">
        <f t="shared" si="0"/>
        <v>19</v>
      </c>
      <c r="H20" s="174" t="s">
        <v>292</v>
      </c>
      <c r="I20" s="174" t="s">
        <v>292</v>
      </c>
      <c r="Q20" s="174"/>
      <c r="R20" s="174"/>
      <c r="S20" s="174"/>
      <c r="T20" s="174"/>
      <c r="U20" s="174"/>
      <c r="V20" s="174"/>
      <c r="W20" s="174"/>
    </row>
    <row r="21" spans="3:23">
      <c r="C21">
        <f>ROW()-1</f>
        <v>20</v>
      </c>
      <c r="G21">
        <f t="shared" si="0"/>
        <v>20</v>
      </c>
      <c r="H21" s="174" t="s">
        <v>220</v>
      </c>
      <c r="I21" s="174" t="s">
        <v>220</v>
      </c>
      <c r="Q21" s="174"/>
      <c r="R21" s="174"/>
      <c r="S21" s="174"/>
      <c r="T21" s="174"/>
      <c r="U21" s="174"/>
      <c r="V21" s="174"/>
      <c r="W21" s="174"/>
    </row>
    <row r="22" spans="3:23" ht="15" customHeight="1">
      <c r="C22">
        <f>ROW()-1</f>
        <v>21</v>
      </c>
      <c r="G22">
        <f t="shared" si="0"/>
        <v>21</v>
      </c>
      <c r="H22" s="174" t="s">
        <v>267</v>
      </c>
      <c r="I22" s="174" t="s">
        <v>267</v>
      </c>
      <c r="Q22" s="174"/>
      <c r="R22" s="174"/>
      <c r="S22" s="174"/>
      <c r="T22" s="174"/>
      <c r="U22" s="174"/>
      <c r="V22" s="174"/>
      <c r="W22" s="174"/>
    </row>
    <row r="23" spans="3:23" ht="15" customHeight="1">
      <c r="C23">
        <f>ROW()-1</f>
        <v>22</v>
      </c>
      <c r="G23">
        <f t="shared" si="0"/>
        <v>22</v>
      </c>
      <c r="H23" s="174" t="s">
        <v>91</v>
      </c>
      <c r="I23" s="174" t="s">
        <v>91</v>
      </c>
      <c r="Q23" s="174"/>
      <c r="R23" s="174"/>
      <c r="S23" s="174"/>
      <c r="T23" s="174"/>
      <c r="U23" s="174"/>
      <c r="V23" s="174"/>
      <c r="W23" s="174"/>
    </row>
    <row r="24" spans="3:23">
      <c r="C24">
        <f>ROW()-1</f>
        <v>23</v>
      </c>
      <c r="G24">
        <f t="shared" si="0"/>
        <v>23</v>
      </c>
      <c r="H24" s="174" t="s">
        <v>96</v>
      </c>
      <c r="I24" s="174" t="s">
        <v>96</v>
      </c>
      <c r="Q24" s="174"/>
      <c r="R24" s="174"/>
      <c r="S24" s="174"/>
      <c r="T24" s="174"/>
      <c r="U24" s="174"/>
      <c r="V24" s="174"/>
      <c r="W24" s="174"/>
    </row>
    <row r="25" spans="3:23">
      <c r="G25">
        <f t="shared" si="0"/>
        <v>24</v>
      </c>
      <c r="H25" s="174" t="s">
        <v>221</v>
      </c>
      <c r="I25" s="174" t="s">
        <v>221</v>
      </c>
    </row>
    <row r="26" spans="3:23">
      <c r="G26">
        <f t="shared" si="0"/>
        <v>25</v>
      </c>
      <c r="H26" s="174" t="s">
        <v>222</v>
      </c>
      <c r="I26" s="174" t="s">
        <v>222</v>
      </c>
    </row>
    <row r="27" spans="3:23">
      <c r="G27">
        <f t="shared" si="0"/>
        <v>26</v>
      </c>
      <c r="H27" s="174" t="s">
        <v>223</v>
      </c>
      <c r="I27" s="174" t="s">
        <v>223</v>
      </c>
    </row>
    <row r="28" spans="3:23">
      <c r="G28">
        <f t="shared" si="0"/>
        <v>27</v>
      </c>
      <c r="H28" s="174" t="s">
        <v>224</v>
      </c>
      <c r="I28" s="174" t="s">
        <v>224</v>
      </c>
    </row>
    <row r="29" spans="3:23">
      <c r="G29">
        <f t="shared" si="0"/>
        <v>28</v>
      </c>
      <c r="H29" s="174" t="s">
        <v>95</v>
      </c>
      <c r="I29" s="174" t="s">
        <v>95</v>
      </c>
    </row>
    <row r="30" spans="3:23">
      <c r="G30">
        <f t="shared" si="0"/>
        <v>29</v>
      </c>
      <c r="H30" s="174" t="s">
        <v>269</v>
      </c>
      <c r="I30" s="174" t="s">
        <v>269</v>
      </c>
    </row>
    <row r="31" spans="3:23">
      <c r="G31">
        <f t="shared" si="0"/>
        <v>30</v>
      </c>
      <c r="H31" s="174" t="s">
        <v>225</v>
      </c>
      <c r="I31" s="174" t="s">
        <v>225</v>
      </c>
    </row>
    <row r="32" spans="3:23">
      <c r="G32">
        <f t="shared" si="0"/>
        <v>31</v>
      </c>
      <c r="H32" s="174" t="s">
        <v>289</v>
      </c>
      <c r="I32" s="174" t="s">
        <v>289</v>
      </c>
    </row>
    <row r="33" spans="7:9">
      <c r="G33">
        <f t="shared" si="0"/>
        <v>32</v>
      </c>
      <c r="H33" s="174" t="s">
        <v>282</v>
      </c>
      <c r="I33" s="174" t="s">
        <v>282</v>
      </c>
    </row>
    <row r="34" spans="7:9">
      <c r="G34">
        <f t="shared" ref="G34:G65" si="3">ROW()-1</f>
        <v>33</v>
      </c>
      <c r="H34" s="174" t="s">
        <v>226</v>
      </c>
      <c r="I34" s="174" t="s">
        <v>226</v>
      </c>
    </row>
    <row r="35" spans="7:9">
      <c r="G35">
        <f t="shared" si="3"/>
        <v>34</v>
      </c>
      <c r="H35" s="174" t="s">
        <v>227</v>
      </c>
      <c r="I35" s="174" t="s">
        <v>227</v>
      </c>
    </row>
    <row r="36" spans="7:9">
      <c r="G36">
        <f t="shared" si="3"/>
        <v>35</v>
      </c>
      <c r="H36" s="174" t="s">
        <v>281</v>
      </c>
      <c r="I36" s="174" t="s">
        <v>281</v>
      </c>
    </row>
    <row r="37" spans="7:9">
      <c r="G37">
        <f t="shared" si="3"/>
        <v>36</v>
      </c>
      <c r="H37" s="174" t="s">
        <v>228</v>
      </c>
      <c r="I37" s="174" t="s">
        <v>228</v>
      </c>
    </row>
    <row r="38" spans="7:9">
      <c r="G38">
        <f t="shared" si="3"/>
        <v>37</v>
      </c>
      <c r="H38" s="174" t="s">
        <v>229</v>
      </c>
      <c r="I38" s="174" t="s">
        <v>229</v>
      </c>
    </row>
    <row r="39" spans="7:9">
      <c r="G39">
        <f t="shared" si="3"/>
        <v>38</v>
      </c>
      <c r="H39" s="174" t="s">
        <v>230</v>
      </c>
      <c r="I39" s="174" t="s">
        <v>230</v>
      </c>
    </row>
    <row r="40" spans="7:9">
      <c r="G40">
        <f t="shared" si="3"/>
        <v>39</v>
      </c>
      <c r="H40" s="174" t="s">
        <v>231</v>
      </c>
      <c r="I40" s="174" t="s">
        <v>231</v>
      </c>
    </row>
    <row r="41" spans="7:9">
      <c r="G41">
        <f t="shared" si="3"/>
        <v>40</v>
      </c>
      <c r="H41" s="174" t="s">
        <v>295</v>
      </c>
      <c r="I41" s="174" t="s">
        <v>295</v>
      </c>
    </row>
    <row r="42" spans="7:9">
      <c r="G42">
        <f t="shared" si="3"/>
        <v>41</v>
      </c>
      <c r="H42" s="174" t="s">
        <v>317</v>
      </c>
      <c r="I42" s="174" t="s">
        <v>317</v>
      </c>
    </row>
    <row r="43" spans="7:9">
      <c r="G43">
        <f t="shared" si="3"/>
        <v>42</v>
      </c>
      <c r="H43" s="174" t="s">
        <v>318</v>
      </c>
      <c r="I43" s="174" t="s">
        <v>318</v>
      </c>
    </row>
    <row r="44" spans="7:9">
      <c r="G44">
        <f t="shared" si="3"/>
        <v>43</v>
      </c>
      <c r="H44" s="174" t="s">
        <v>232</v>
      </c>
      <c r="I44" s="174" t="s">
        <v>232</v>
      </c>
    </row>
    <row r="45" spans="7:9">
      <c r="G45">
        <f t="shared" si="3"/>
        <v>44</v>
      </c>
      <c r="H45" s="174" t="s">
        <v>233</v>
      </c>
      <c r="I45" s="174" t="s">
        <v>233</v>
      </c>
    </row>
    <row r="46" spans="7:9">
      <c r="G46">
        <f t="shared" si="3"/>
        <v>45</v>
      </c>
      <c r="H46" s="175" t="s">
        <v>234</v>
      </c>
      <c r="I46" s="175" t="s">
        <v>234</v>
      </c>
    </row>
    <row r="47" spans="7:9">
      <c r="G47">
        <f t="shared" si="3"/>
        <v>46</v>
      </c>
      <c r="H47" s="174" t="s">
        <v>235</v>
      </c>
      <c r="I47" s="174" t="s">
        <v>235</v>
      </c>
    </row>
    <row r="48" spans="7:9">
      <c r="G48">
        <f t="shared" si="3"/>
        <v>47</v>
      </c>
      <c r="H48" s="174" t="s">
        <v>236</v>
      </c>
      <c r="I48" s="174" t="s">
        <v>236</v>
      </c>
    </row>
    <row r="49" spans="7:9">
      <c r="G49">
        <f t="shared" si="3"/>
        <v>48</v>
      </c>
      <c r="H49" s="174" t="s">
        <v>237</v>
      </c>
      <c r="I49" s="174" t="s">
        <v>237</v>
      </c>
    </row>
    <row r="50" spans="7:9">
      <c r="G50">
        <f t="shared" si="3"/>
        <v>49</v>
      </c>
      <c r="H50" s="174" t="s">
        <v>238</v>
      </c>
      <c r="I50" s="174" t="s">
        <v>238</v>
      </c>
    </row>
    <row r="51" spans="7:9">
      <c r="G51">
        <f t="shared" si="3"/>
        <v>50</v>
      </c>
      <c r="H51" s="174" t="s">
        <v>239</v>
      </c>
      <c r="I51" s="174" t="s">
        <v>239</v>
      </c>
    </row>
    <row r="52" spans="7:9">
      <c r="G52">
        <f t="shared" si="3"/>
        <v>51</v>
      </c>
      <c r="H52" s="174" t="s">
        <v>240</v>
      </c>
      <c r="I52" s="174" t="s">
        <v>240</v>
      </c>
    </row>
    <row r="53" spans="7:9">
      <c r="G53">
        <f t="shared" si="3"/>
        <v>52</v>
      </c>
      <c r="H53" s="174" t="s">
        <v>241</v>
      </c>
      <c r="I53" s="174" t="s">
        <v>241</v>
      </c>
    </row>
    <row r="54" spans="7:9">
      <c r="G54">
        <f t="shared" si="3"/>
        <v>53</v>
      </c>
      <c r="H54" s="174" t="s">
        <v>242</v>
      </c>
      <c r="I54" s="174" t="s">
        <v>242</v>
      </c>
    </row>
    <row r="55" spans="7:9">
      <c r="G55">
        <f t="shared" si="3"/>
        <v>54</v>
      </c>
      <c r="H55" s="174" t="s">
        <v>101</v>
      </c>
      <c r="I55" s="174" t="s">
        <v>101</v>
      </c>
    </row>
    <row r="56" spans="7:9">
      <c r="G56">
        <f t="shared" si="3"/>
        <v>55</v>
      </c>
      <c r="H56" s="174" t="s">
        <v>243</v>
      </c>
      <c r="I56" s="174" t="s">
        <v>243</v>
      </c>
    </row>
    <row r="57" spans="7:9">
      <c r="G57">
        <f t="shared" si="3"/>
        <v>56</v>
      </c>
      <c r="H57" s="174" t="s">
        <v>99</v>
      </c>
      <c r="I57" s="174" t="s">
        <v>99</v>
      </c>
    </row>
    <row r="58" spans="7:9">
      <c r="G58">
        <f t="shared" si="3"/>
        <v>57</v>
      </c>
      <c r="H58" s="174" t="s">
        <v>244</v>
      </c>
      <c r="I58" s="174" t="s">
        <v>244</v>
      </c>
    </row>
    <row r="59" spans="7:9">
      <c r="G59">
        <f t="shared" si="3"/>
        <v>58</v>
      </c>
      <c r="H59" s="174" t="s">
        <v>93</v>
      </c>
      <c r="I59" s="174" t="s">
        <v>93</v>
      </c>
    </row>
    <row r="60" spans="7:9">
      <c r="G60">
        <f t="shared" si="3"/>
        <v>59</v>
      </c>
      <c r="H60" s="174" t="s">
        <v>245</v>
      </c>
      <c r="I60" s="174" t="s">
        <v>245</v>
      </c>
    </row>
    <row r="61" spans="7:9">
      <c r="G61">
        <f t="shared" si="3"/>
        <v>60</v>
      </c>
      <c r="H61" s="174" t="s">
        <v>246</v>
      </c>
      <c r="I61" s="174" t="s">
        <v>246</v>
      </c>
    </row>
    <row r="62" spans="7:9">
      <c r="G62">
        <f t="shared" si="3"/>
        <v>61</v>
      </c>
      <c r="H62" s="174" t="s">
        <v>247</v>
      </c>
      <c r="I62" s="174" t="s">
        <v>247</v>
      </c>
    </row>
    <row r="63" spans="7:9">
      <c r="G63">
        <f t="shared" si="3"/>
        <v>62</v>
      </c>
      <c r="H63" s="174" t="s">
        <v>306</v>
      </c>
      <c r="I63" s="174" t="s">
        <v>306</v>
      </c>
    </row>
    <row r="64" spans="7:9">
      <c r="G64">
        <f t="shared" si="3"/>
        <v>63</v>
      </c>
      <c r="H64" s="174" t="s">
        <v>248</v>
      </c>
      <c r="I64" s="174" t="s">
        <v>248</v>
      </c>
    </row>
    <row r="65" spans="7:9">
      <c r="G65">
        <f t="shared" si="3"/>
        <v>64</v>
      </c>
      <c r="H65" s="174" t="s">
        <v>290</v>
      </c>
      <c r="I65" s="174" t="s">
        <v>290</v>
      </c>
    </row>
    <row r="66" spans="7:9">
      <c r="G66">
        <f t="shared" ref="G66:G97" si="4">ROW()-1</f>
        <v>65</v>
      </c>
      <c r="H66" s="174" t="s">
        <v>249</v>
      </c>
      <c r="I66" s="174" t="s">
        <v>249</v>
      </c>
    </row>
    <row r="67" spans="7:9">
      <c r="G67">
        <f t="shared" si="4"/>
        <v>66</v>
      </c>
      <c r="H67" s="174" t="s">
        <v>250</v>
      </c>
      <c r="I67" s="174" t="s">
        <v>250</v>
      </c>
    </row>
    <row r="68" spans="7:9">
      <c r="G68">
        <f t="shared" si="4"/>
        <v>67</v>
      </c>
      <c r="H68" s="174" t="s">
        <v>251</v>
      </c>
      <c r="I68" s="174" t="s">
        <v>251</v>
      </c>
    </row>
    <row r="69" spans="7:9">
      <c r="G69">
        <f t="shared" si="4"/>
        <v>68</v>
      </c>
      <c r="H69" s="174" t="s">
        <v>100</v>
      </c>
      <c r="I69" s="174" t="s">
        <v>100</v>
      </c>
    </row>
    <row r="70" spans="7:9">
      <c r="G70">
        <f t="shared" si="4"/>
        <v>69</v>
      </c>
      <c r="H70" s="174" t="s">
        <v>291</v>
      </c>
      <c r="I70" s="174" t="s">
        <v>291</v>
      </c>
    </row>
    <row r="71" spans="7:9">
      <c r="G71">
        <f t="shared" si="4"/>
        <v>70</v>
      </c>
      <c r="H71" s="174" t="s">
        <v>252</v>
      </c>
      <c r="I71" s="174" t="s">
        <v>252</v>
      </c>
    </row>
    <row r="72" spans="7:9">
      <c r="G72">
        <f t="shared" si="4"/>
        <v>71</v>
      </c>
      <c r="H72" s="174" t="s">
        <v>253</v>
      </c>
      <c r="I72" s="174" t="s">
        <v>253</v>
      </c>
    </row>
    <row r="73" spans="7:9">
      <c r="G73">
        <f t="shared" si="4"/>
        <v>72</v>
      </c>
      <c r="H73" t="s">
        <v>439</v>
      </c>
      <c r="I73" t="s">
        <v>439</v>
      </c>
    </row>
    <row r="74" spans="7:9">
      <c r="G74">
        <f t="shared" si="4"/>
        <v>73</v>
      </c>
      <c r="H74" t="s">
        <v>451</v>
      </c>
      <c r="I74" t="s">
        <v>451</v>
      </c>
    </row>
    <row r="75" spans="7:9">
      <c r="G75">
        <f t="shared" si="4"/>
        <v>74</v>
      </c>
      <c r="H75" t="s">
        <v>452</v>
      </c>
      <c r="I75" t="s">
        <v>452</v>
      </c>
    </row>
    <row r="76" spans="7:9">
      <c r="G76">
        <f t="shared" si="4"/>
        <v>75</v>
      </c>
      <c r="H76" t="s">
        <v>453</v>
      </c>
      <c r="I76" t="s">
        <v>453</v>
      </c>
    </row>
    <row r="77" spans="7:9">
      <c r="G77">
        <f t="shared" si="4"/>
        <v>76</v>
      </c>
      <c r="H77" t="s">
        <v>454</v>
      </c>
      <c r="I77" s="174" t="s">
        <v>454</v>
      </c>
    </row>
    <row r="78" spans="7:9">
      <c r="G78">
        <f t="shared" si="4"/>
        <v>77</v>
      </c>
      <c r="H78" t="s">
        <v>455</v>
      </c>
      <c r="I78" s="174" t="s">
        <v>455</v>
      </c>
    </row>
    <row r="79" spans="7:9">
      <c r="G79">
        <f t="shared" si="4"/>
        <v>78</v>
      </c>
      <c r="H79" t="s">
        <v>456</v>
      </c>
      <c r="I79" t="s">
        <v>456</v>
      </c>
    </row>
    <row r="80" spans="7:9">
      <c r="G80">
        <f t="shared" si="4"/>
        <v>79</v>
      </c>
      <c r="H80" t="s">
        <v>457</v>
      </c>
      <c r="I80" t="s">
        <v>457</v>
      </c>
    </row>
    <row r="81" spans="7:9">
      <c r="G81">
        <f t="shared" si="4"/>
        <v>80</v>
      </c>
      <c r="H81" t="s">
        <v>465</v>
      </c>
      <c r="I81" t="s">
        <v>465</v>
      </c>
    </row>
    <row r="82" spans="7:9">
      <c r="G82">
        <f t="shared" si="4"/>
        <v>81</v>
      </c>
      <c r="H82" t="s">
        <v>466</v>
      </c>
      <c r="I82" t="s">
        <v>466</v>
      </c>
    </row>
    <row r="83" spans="7:9">
      <c r="G83">
        <f t="shared" si="4"/>
        <v>82</v>
      </c>
      <c r="H83" t="s">
        <v>467</v>
      </c>
      <c r="I83" t="s">
        <v>467</v>
      </c>
    </row>
    <row r="84" spans="7:9">
      <c r="G84">
        <f t="shared" si="4"/>
        <v>83</v>
      </c>
      <c r="H84" t="s">
        <v>484</v>
      </c>
      <c r="I84" t="s">
        <v>484</v>
      </c>
    </row>
    <row r="85" spans="7:9">
      <c r="G85">
        <f t="shared" si="4"/>
        <v>84</v>
      </c>
      <c r="H85" t="s">
        <v>469</v>
      </c>
      <c r="I85" t="s">
        <v>469</v>
      </c>
    </row>
    <row r="86" spans="7:9">
      <c r="G86">
        <f t="shared" si="4"/>
        <v>85</v>
      </c>
      <c r="H86" s="2" t="s">
        <v>470</v>
      </c>
      <c r="I86" s="175" t="s">
        <v>470</v>
      </c>
    </row>
    <row r="87" spans="7:9">
      <c r="G87">
        <f t="shared" si="4"/>
        <v>86</v>
      </c>
      <c r="H87" t="s">
        <v>471</v>
      </c>
      <c r="I87" t="s">
        <v>471</v>
      </c>
    </row>
    <row r="88" spans="7:9">
      <c r="G88">
        <f t="shared" si="4"/>
        <v>87</v>
      </c>
      <c r="H88" s="174" t="s">
        <v>472</v>
      </c>
      <c r="I88" s="174" t="s">
        <v>472</v>
      </c>
    </row>
    <row r="89" spans="7:9">
      <c r="G89">
        <f t="shared" si="4"/>
        <v>88</v>
      </c>
      <c r="H89" s="174" t="s">
        <v>473</v>
      </c>
      <c r="I89" s="174" t="s">
        <v>473</v>
      </c>
    </row>
    <row r="90" spans="7:9">
      <c r="G90">
        <f t="shared" si="4"/>
        <v>89</v>
      </c>
      <c r="H90" s="174" t="s">
        <v>474</v>
      </c>
      <c r="I90" s="174" t="s">
        <v>474</v>
      </c>
    </row>
    <row r="91" spans="7:9">
      <c r="G91">
        <f t="shared" si="4"/>
        <v>90</v>
      </c>
      <c r="H91" s="174" t="s">
        <v>475</v>
      </c>
      <c r="I91" s="174" t="s">
        <v>475</v>
      </c>
    </row>
    <row r="92" spans="7:9">
      <c r="G92">
        <f t="shared" si="4"/>
        <v>91</v>
      </c>
      <c r="H92" s="174" t="s">
        <v>476</v>
      </c>
      <c r="I92" s="174" t="s">
        <v>476</v>
      </c>
    </row>
    <row r="93" spans="7:9">
      <c r="G93">
        <f t="shared" si="4"/>
        <v>92</v>
      </c>
      <c r="H93" s="174" t="s">
        <v>477</v>
      </c>
      <c r="I93" s="174" t="s">
        <v>477</v>
      </c>
    </row>
    <row r="94" spans="7:9">
      <c r="G94">
        <f t="shared" si="4"/>
        <v>93</v>
      </c>
      <c r="H94" s="174" t="s">
        <v>478</v>
      </c>
      <c r="I94" s="174" t="s">
        <v>478</v>
      </c>
    </row>
    <row r="95" spans="7:9">
      <c r="G95">
        <f t="shared" si="4"/>
        <v>94</v>
      </c>
      <c r="H95" s="174" t="s">
        <v>479</v>
      </c>
      <c r="I95" s="174" t="s">
        <v>479</v>
      </c>
    </row>
    <row r="96" spans="7:9">
      <c r="G96">
        <f t="shared" si="4"/>
        <v>95</v>
      </c>
      <c r="H96" t="s">
        <v>483</v>
      </c>
      <c r="I96" t="s">
        <v>483</v>
      </c>
    </row>
    <row r="97" spans="7:9">
      <c r="G97">
        <f t="shared" si="4"/>
        <v>96</v>
      </c>
      <c r="H97" t="s">
        <v>489</v>
      </c>
      <c r="I97" t="s">
        <v>489</v>
      </c>
    </row>
    <row r="98" spans="7:9">
      <c r="G98">
        <f t="shared" ref="G98:G115" si="5">ROW()-1</f>
        <v>97</v>
      </c>
      <c r="H98" t="s">
        <v>488</v>
      </c>
      <c r="I98" t="s">
        <v>488</v>
      </c>
    </row>
    <row r="99" spans="7:9">
      <c r="G99" s="136">
        <f>ROW()-1</f>
        <v>98</v>
      </c>
      <c r="H99" t="s">
        <v>493</v>
      </c>
      <c r="I99" t="s">
        <v>493</v>
      </c>
    </row>
    <row r="100" spans="7:9">
      <c r="G100" s="136">
        <f>ROW()-1</f>
        <v>99</v>
      </c>
      <c r="H100" t="s">
        <v>494</v>
      </c>
      <c r="I100" t="s">
        <v>494</v>
      </c>
    </row>
    <row r="101" spans="7:9">
      <c r="G101" s="136">
        <f t="shared" si="5"/>
        <v>100</v>
      </c>
      <c r="H101" t="s">
        <v>498</v>
      </c>
      <c r="I101" s="174" t="s">
        <v>498</v>
      </c>
    </row>
    <row r="102" spans="7:9">
      <c r="G102" s="136">
        <f t="shared" si="5"/>
        <v>101</v>
      </c>
    </row>
    <row r="103" spans="7:9">
      <c r="G103" s="136">
        <f t="shared" si="5"/>
        <v>102</v>
      </c>
    </row>
    <row r="104" spans="7:9">
      <c r="G104" s="136">
        <f t="shared" si="5"/>
        <v>103</v>
      </c>
    </row>
    <row r="105" spans="7:9">
      <c r="G105" s="136">
        <f t="shared" si="5"/>
        <v>104</v>
      </c>
    </row>
    <row r="106" spans="7:9">
      <c r="G106" s="136">
        <f t="shared" si="5"/>
        <v>105</v>
      </c>
    </row>
    <row r="107" spans="7:9">
      <c r="G107" s="136">
        <f t="shared" si="5"/>
        <v>106</v>
      </c>
    </row>
    <row r="108" spans="7:9">
      <c r="G108" s="136">
        <f t="shared" si="5"/>
        <v>107</v>
      </c>
    </row>
    <row r="109" spans="7:9">
      <c r="G109" s="136">
        <f t="shared" si="5"/>
        <v>108</v>
      </c>
    </row>
    <row r="110" spans="7:9">
      <c r="G110" s="136">
        <f t="shared" si="5"/>
        <v>109</v>
      </c>
    </row>
    <row r="111" spans="7:9">
      <c r="G111" s="136">
        <f t="shared" si="5"/>
        <v>110</v>
      </c>
    </row>
    <row r="112" spans="7:9">
      <c r="G112" s="136">
        <f t="shared" si="5"/>
        <v>111</v>
      </c>
    </row>
    <row r="113" spans="7:7">
      <c r="G113" s="185">
        <f t="shared" si="5"/>
        <v>112</v>
      </c>
    </row>
    <row r="114" spans="7:7">
      <c r="G114" s="185">
        <f t="shared" si="5"/>
        <v>113</v>
      </c>
    </row>
    <row r="115" spans="7:7">
      <c r="G115" s="185">
        <f t="shared" si="5"/>
        <v>114</v>
      </c>
    </row>
    <row r="116" spans="7:7">
      <c r="G116" s="185">
        <f t="shared" ref="G116:G133" si="6">ROW()-1</f>
        <v>115</v>
      </c>
    </row>
    <row r="117" spans="7:7">
      <c r="G117" s="185">
        <f t="shared" si="6"/>
        <v>116</v>
      </c>
    </row>
    <row r="118" spans="7:7">
      <c r="G118" s="185">
        <f t="shared" si="6"/>
        <v>117</v>
      </c>
    </row>
    <row r="119" spans="7:7">
      <c r="G119" s="185">
        <f t="shared" si="6"/>
        <v>118</v>
      </c>
    </row>
    <row r="120" spans="7:7">
      <c r="G120" s="185">
        <f t="shared" si="6"/>
        <v>119</v>
      </c>
    </row>
    <row r="121" spans="7:7">
      <c r="G121" s="185">
        <f t="shared" si="6"/>
        <v>120</v>
      </c>
    </row>
    <row r="122" spans="7:7">
      <c r="G122" s="185">
        <f t="shared" si="6"/>
        <v>121</v>
      </c>
    </row>
    <row r="123" spans="7:7">
      <c r="G123" s="185">
        <f t="shared" si="6"/>
        <v>122</v>
      </c>
    </row>
    <row r="124" spans="7:7">
      <c r="G124" s="185">
        <f t="shared" si="6"/>
        <v>123</v>
      </c>
    </row>
    <row r="125" spans="7:7">
      <c r="G125" s="185">
        <f t="shared" si="6"/>
        <v>124</v>
      </c>
    </row>
    <row r="126" spans="7:7">
      <c r="G126" s="185">
        <f t="shared" si="6"/>
        <v>125</v>
      </c>
    </row>
    <row r="127" spans="7:7">
      <c r="G127" s="185">
        <f t="shared" si="6"/>
        <v>126</v>
      </c>
    </row>
    <row r="128" spans="7:7">
      <c r="G128" s="185">
        <f t="shared" si="6"/>
        <v>127</v>
      </c>
    </row>
    <row r="129" spans="7:7">
      <c r="G129" s="185">
        <f t="shared" si="6"/>
        <v>128</v>
      </c>
    </row>
    <row r="130" spans="7:7">
      <c r="G130" s="185">
        <f t="shared" si="6"/>
        <v>129</v>
      </c>
    </row>
    <row r="131" spans="7:7">
      <c r="G131" s="185">
        <f t="shared" si="6"/>
        <v>130</v>
      </c>
    </row>
    <row r="132" spans="7:7">
      <c r="G132" s="185">
        <f t="shared" si="6"/>
        <v>131</v>
      </c>
    </row>
    <row r="133" spans="7:7">
      <c r="G133" s="185">
        <f t="shared" si="6"/>
        <v>132</v>
      </c>
    </row>
  </sheetData>
  <pageMargins left="0.7" right="0.7" top="0.75" bottom="0.75" header="0.3" footer="0.3"/>
  <pageSetup orientation="portrait"/>
  <drawing r:id="rId1"/>
  <legacyDrawing r:id="rId2"/>
  <tableParts count="6">
    <tablePart r:id="rId3"/>
    <tablePart r:id="rId4"/>
    <tablePart r:id="rId5"/>
    <tablePart r:id="rId6"/>
    <tablePart r:id="rId7"/>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4EFF0-EF71-DB45-9F03-3094C827AFD1}">
  <dimension ref="A4:AQ49"/>
  <sheetViews>
    <sheetView topLeftCell="A3" zoomScale="81" workbookViewId="0">
      <selection activeCell="Q15" sqref="Q15"/>
    </sheetView>
  </sheetViews>
  <sheetFormatPr baseColWidth="10" defaultColWidth="10.83203125" defaultRowHeight="15"/>
  <cols>
    <col min="7" max="7" width="18.1640625" customWidth="1"/>
    <col min="9" max="9" width="10.83203125" style="174"/>
    <col min="10" max="10" width="17.1640625" customWidth="1"/>
    <col min="12" max="12" width="15.5" customWidth="1"/>
    <col min="13" max="13" width="14.33203125" customWidth="1"/>
    <col min="14" max="14" width="17" customWidth="1"/>
    <col min="16" max="16" width="15" customWidth="1"/>
    <col min="24" max="25" width="10.83203125" style="174"/>
    <col min="27" max="27" width="16.83203125" customWidth="1"/>
    <col min="29" max="29" width="23.83203125" customWidth="1"/>
    <col min="30" max="30" width="11.6640625" customWidth="1"/>
    <col min="31" max="31" width="16.5" customWidth="1"/>
    <col min="32" max="32" width="13.5" customWidth="1"/>
    <col min="33" max="33" width="16.6640625" customWidth="1"/>
    <col min="34" max="34" width="23.33203125" style="174" customWidth="1"/>
    <col min="35" max="35" width="13.83203125" customWidth="1"/>
    <col min="38" max="38" width="18.83203125" customWidth="1"/>
    <col min="39" max="39" width="16.5" customWidth="1"/>
    <col min="41" max="41" width="24" customWidth="1"/>
  </cols>
  <sheetData>
    <row r="4" spans="1:42" ht="15" customHeight="1">
      <c r="A4" s="232"/>
      <c r="B4" s="232"/>
      <c r="C4" s="331" t="s">
        <v>306</v>
      </c>
      <c r="D4" s="331"/>
      <c r="E4" s="331"/>
      <c r="F4" s="331"/>
      <c r="G4" s="331"/>
      <c r="H4" s="331"/>
      <c r="I4" s="331"/>
      <c r="J4" s="331"/>
      <c r="K4" s="331"/>
      <c r="L4" s="331"/>
      <c r="M4" s="331"/>
      <c r="N4" s="331"/>
      <c r="O4" s="331"/>
      <c r="P4" s="331"/>
      <c r="Q4" s="331"/>
    </row>
    <row r="5" spans="1:42" ht="15" customHeight="1">
      <c r="A5" s="232"/>
      <c r="B5" s="232"/>
      <c r="C5" s="331"/>
      <c r="D5" s="331"/>
      <c r="E5" s="331"/>
      <c r="F5" s="331"/>
      <c r="G5" s="331"/>
      <c r="H5" s="331"/>
      <c r="I5" s="331"/>
      <c r="J5" s="331"/>
      <c r="K5" s="331"/>
      <c r="L5" s="331"/>
      <c r="M5" s="331"/>
      <c r="N5" s="331"/>
      <c r="O5" s="331"/>
      <c r="P5" s="331"/>
      <c r="Q5" s="331"/>
    </row>
    <row r="6" spans="1:42" ht="15" customHeight="1">
      <c r="A6" s="232"/>
      <c r="B6" s="232"/>
      <c r="C6" s="331"/>
      <c r="D6" s="331"/>
      <c r="E6" s="331"/>
      <c r="F6" s="331"/>
      <c r="G6" s="331"/>
      <c r="H6" s="331"/>
      <c r="I6" s="331"/>
      <c r="J6" s="331"/>
      <c r="K6" s="331"/>
      <c r="L6" s="331"/>
      <c r="M6" s="331"/>
      <c r="N6" s="331"/>
      <c r="O6" s="331"/>
      <c r="P6" s="331"/>
      <c r="Q6" s="331"/>
      <c r="W6" s="273" t="s">
        <v>417</v>
      </c>
      <c r="X6" s="273"/>
      <c r="Y6" s="273"/>
      <c r="Z6" s="273">
        <v>1.8</v>
      </c>
      <c r="AA6" s="287" t="s">
        <v>432</v>
      </c>
    </row>
    <row r="7" spans="1:42" ht="15" customHeight="1">
      <c r="A7" s="208"/>
      <c r="C7" s="331"/>
      <c r="D7" s="331"/>
      <c r="E7" s="331"/>
      <c r="F7" s="331"/>
      <c r="G7" s="331"/>
      <c r="H7" s="331"/>
      <c r="I7" s="331"/>
      <c r="J7" s="331"/>
      <c r="K7" s="331"/>
      <c r="L7" s="331"/>
      <c r="M7" s="331"/>
      <c r="N7" s="331"/>
      <c r="O7" s="331"/>
      <c r="P7" s="331"/>
      <c r="Q7" s="331"/>
      <c r="W7" s="273" t="s">
        <v>418</v>
      </c>
      <c r="X7" s="273"/>
      <c r="Y7" s="273"/>
      <c r="Z7" s="273">
        <v>5</v>
      </c>
      <c r="AA7" t="s">
        <v>430</v>
      </c>
    </row>
    <row r="8" spans="1:42">
      <c r="A8" s="208"/>
      <c r="C8" s="209"/>
    </row>
    <row r="9" spans="1:42">
      <c r="D9" s="333" t="s">
        <v>414</v>
      </c>
      <c r="E9" s="333"/>
      <c r="F9" s="333"/>
      <c r="G9" s="333"/>
      <c r="H9" s="333"/>
      <c r="I9" s="333"/>
      <c r="J9" s="333"/>
      <c r="K9" s="333"/>
      <c r="L9" s="333"/>
      <c r="M9" s="333"/>
      <c r="N9" s="333"/>
      <c r="O9" s="333"/>
      <c r="P9" s="333"/>
      <c r="Q9" s="333"/>
      <c r="S9" s="334" t="s">
        <v>422</v>
      </c>
      <c r="T9" s="334"/>
      <c r="U9" s="334"/>
      <c r="V9" s="334"/>
      <c r="W9" s="334"/>
      <c r="X9" s="334"/>
      <c r="Y9" s="334"/>
      <c r="Z9" s="334"/>
      <c r="AA9" s="334"/>
      <c r="AB9" s="334"/>
      <c r="AC9" s="334"/>
      <c r="AD9" s="334"/>
      <c r="AE9" s="334"/>
      <c r="AF9" s="334"/>
      <c r="AG9" s="334"/>
      <c r="AH9" s="334"/>
      <c r="AI9" s="334"/>
    </row>
    <row r="10" spans="1:42" ht="16" thickBot="1">
      <c r="D10" s="333"/>
      <c r="E10" s="333"/>
      <c r="F10" s="333"/>
      <c r="G10" s="333"/>
      <c r="H10" s="333"/>
      <c r="I10" s="333"/>
      <c r="J10" s="333"/>
      <c r="K10" s="333"/>
      <c r="L10" s="333"/>
      <c r="M10" s="333"/>
      <c r="N10" s="333"/>
      <c r="O10" s="333"/>
      <c r="P10" s="333"/>
      <c r="Q10" s="333"/>
      <c r="S10" s="334"/>
      <c r="T10" s="334"/>
      <c r="U10" s="334"/>
      <c r="V10" s="334"/>
      <c r="W10" s="334"/>
      <c r="X10" s="334"/>
      <c r="Y10" s="334"/>
      <c r="Z10" s="334"/>
      <c r="AA10" s="334"/>
      <c r="AB10" s="334"/>
      <c r="AC10" s="334"/>
      <c r="AD10" s="334"/>
      <c r="AE10" s="334"/>
      <c r="AF10" s="334"/>
      <c r="AG10" s="334"/>
      <c r="AH10" s="334"/>
      <c r="AI10" s="334"/>
    </row>
    <row r="11" spans="1:42" ht="16" thickBot="1">
      <c r="R11" s="3"/>
      <c r="S11" s="270" t="s">
        <v>29</v>
      </c>
      <c r="T11" s="271" t="s">
        <v>102</v>
      </c>
      <c r="U11" s="271" t="s">
        <v>415</v>
      </c>
      <c r="V11" s="271" t="s">
        <v>362</v>
      </c>
      <c r="W11" s="271" t="s">
        <v>364</v>
      </c>
      <c r="X11" s="271" t="s">
        <v>433</v>
      </c>
      <c r="Y11" s="271" t="s">
        <v>434</v>
      </c>
      <c r="Z11" s="271" t="s">
        <v>416</v>
      </c>
      <c r="AA11" s="280" t="s">
        <v>419</v>
      </c>
      <c r="AB11" s="271" t="s">
        <v>390</v>
      </c>
      <c r="AC11" s="272" t="s">
        <v>368</v>
      </c>
      <c r="AF11" s="241" t="s">
        <v>363</v>
      </c>
      <c r="AG11" s="235" t="s">
        <v>370</v>
      </c>
      <c r="AH11" s="235" t="s">
        <v>435</v>
      </c>
      <c r="AI11" s="236" t="s">
        <v>375</v>
      </c>
      <c r="AL11" s="220" t="s">
        <v>358</v>
      </c>
      <c r="AM11" s="221">
        <f>SUM(U12:U48)</f>
        <v>7100</v>
      </c>
    </row>
    <row r="12" spans="1:42">
      <c r="C12" s="210"/>
      <c r="D12" s="211" t="s">
        <v>358</v>
      </c>
      <c r="E12" s="211"/>
      <c r="F12" s="211" t="s">
        <v>362</v>
      </c>
      <c r="G12" s="211" t="s">
        <v>364</v>
      </c>
      <c r="H12" s="211"/>
      <c r="I12" s="211" t="s">
        <v>390</v>
      </c>
      <c r="J12" s="230" t="s">
        <v>368</v>
      </c>
      <c r="L12" s="241" t="s">
        <v>363</v>
      </c>
      <c r="M12" s="235" t="s">
        <v>370</v>
      </c>
      <c r="N12" s="236" t="s">
        <v>375</v>
      </c>
      <c r="P12" s="220" t="s">
        <v>358</v>
      </c>
      <c r="Q12" s="221">
        <f>SUM(E13:E49)</f>
        <v>46870</v>
      </c>
      <c r="S12" s="210">
        <v>100</v>
      </c>
      <c r="T12" s="281">
        <v>43998</v>
      </c>
      <c r="U12" s="211">
        <v>1000</v>
      </c>
      <c r="V12" s="211" t="s">
        <v>357</v>
      </c>
      <c r="W12" s="211" t="s">
        <v>357</v>
      </c>
      <c r="X12" s="211">
        <v>1.8</v>
      </c>
      <c r="Y12" s="211">
        <v>5</v>
      </c>
      <c r="Z12" s="211">
        <f>U12*Y12</f>
        <v>5000</v>
      </c>
      <c r="AA12" s="235">
        <f>Z12</f>
        <v>5000</v>
      </c>
      <c r="AB12" s="282">
        <f>AA12-AM16</f>
        <v>219913.59</v>
      </c>
      <c r="AC12" s="283"/>
      <c r="AF12" s="212"/>
      <c r="AG12" s="215"/>
      <c r="AH12" s="215"/>
      <c r="AI12" s="214"/>
      <c r="AL12" s="222" t="s">
        <v>359</v>
      </c>
      <c r="AM12" s="223">
        <f>AM11*5+AP17</f>
        <v>35500</v>
      </c>
    </row>
    <row r="13" spans="1:42">
      <c r="C13" s="219">
        <v>1</v>
      </c>
      <c r="D13" s="213">
        <v>43886</v>
      </c>
      <c r="E13" s="215">
        <v>2000</v>
      </c>
      <c r="F13" s="215" t="s">
        <v>357</v>
      </c>
      <c r="G13" s="215" t="s">
        <v>357</v>
      </c>
      <c r="H13" s="215">
        <f>E13*5</f>
        <v>10000</v>
      </c>
      <c r="I13" s="215"/>
      <c r="J13" s="214"/>
      <c r="L13" s="212"/>
      <c r="M13" s="231"/>
      <c r="N13" s="214"/>
      <c r="P13" s="222" t="s">
        <v>359</v>
      </c>
      <c r="Q13" s="223">
        <f>Q12*5</f>
        <v>234350</v>
      </c>
      <c r="S13" s="212">
        <v>100</v>
      </c>
      <c r="T13" s="213">
        <v>43999</v>
      </c>
      <c r="U13" s="215">
        <v>1000</v>
      </c>
      <c r="V13" s="215" t="s">
        <v>357</v>
      </c>
      <c r="W13" s="215" t="s">
        <v>357</v>
      </c>
      <c r="X13" s="226">
        <v>1.8</v>
      </c>
      <c r="Y13" s="226">
        <v>5</v>
      </c>
      <c r="Z13" s="215">
        <f t="shared" ref="Z13:Z49" si="0">U13*Y13</f>
        <v>5000</v>
      </c>
      <c r="AA13" s="215">
        <f>Z13+AA12</f>
        <v>10000</v>
      </c>
      <c r="AB13" s="259">
        <f>AA13-AM16</f>
        <v>224913.59</v>
      </c>
      <c r="AC13" s="214"/>
      <c r="AF13" s="212" t="s">
        <v>423</v>
      </c>
      <c r="AG13" s="259">
        <f>AA12-AM16+8000</f>
        <v>227913.59</v>
      </c>
      <c r="AH13" s="259">
        <f>AA12-AM14+AP17</f>
        <v>219913.59</v>
      </c>
      <c r="AI13" s="214"/>
      <c r="AL13" s="222"/>
      <c r="AM13" s="223"/>
      <c r="AO13" s="329" t="s">
        <v>420</v>
      </c>
      <c r="AP13" s="330"/>
    </row>
    <row r="14" spans="1:42">
      <c r="C14" s="219">
        <v>1</v>
      </c>
      <c r="D14" s="213">
        <v>43886</v>
      </c>
      <c r="E14" s="215">
        <v>250</v>
      </c>
      <c r="F14" s="215" t="s">
        <v>357</v>
      </c>
      <c r="G14" s="215" t="s">
        <v>357</v>
      </c>
      <c r="H14" s="215">
        <f t="shared" ref="H14:H37" si="1">E14*5+H13</f>
        <v>11250</v>
      </c>
      <c r="I14" s="215"/>
      <c r="J14" s="214"/>
      <c r="L14" s="212" t="s">
        <v>369</v>
      </c>
      <c r="M14" s="242">
        <f>H20-Q17</f>
        <v>-153663.59</v>
      </c>
      <c r="N14" s="237">
        <f>M14</f>
        <v>-153663.59</v>
      </c>
      <c r="P14" s="222"/>
      <c r="Q14" s="223"/>
      <c r="S14" s="212">
        <v>100</v>
      </c>
      <c r="T14" s="213">
        <v>43999</v>
      </c>
      <c r="U14" s="215">
        <v>2500</v>
      </c>
      <c r="V14" s="226" t="s">
        <v>357</v>
      </c>
      <c r="W14" s="226" t="s">
        <v>357</v>
      </c>
      <c r="X14" s="215">
        <v>1.8</v>
      </c>
      <c r="Y14" s="215">
        <v>5</v>
      </c>
      <c r="Z14" s="215">
        <f t="shared" si="0"/>
        <v>12500</v>
      </c>
      <c r="AA14" s="215">
        <f t="shared" ref="AA14:AA49" si="2">Z14+AA13</f>
        <v>22500</v>
      </c>
      <c r="AB14" s="259">
        <f>AA14-AM16</f>
        <v>237413.59</v>
      </c>
      <c r="AC14" s="214"/>
      <c r="AF14" s="212" t="s">
        <v>424</v>
      </c>
      <c r="AG14" s="259">
        <f>AA15-AM16+8000</f>
        <v>257913.59</v>
      </c>
      <c r="AH14" s="259">
        <f>AA15-AM14+AP17</f>
        <v>249913.59</v>
      </c>
      <c r="AI14" s="237">
        <f>AG13-AG14</f>
        <v>-30000</v>
      </c>
      <c r="AL14" s="222" t="s">
        <v>365</v>
      </c>
      <c r="AM14" s="227">
        <f>SUMIFS(LayTable[BookieInnsats],LayTable[Bookmaker],"Spinsports")-SUMIFS(LayTable[BookieInnsats],LayTable[Bookmaker],"Spinsports",LayTable[Kommentarer],"Freebet")-AP14-AP20</f>
        <v>-214913.59</v>
      </c>
      <c r="AO14" s="210" t="s">
        <v>360</v>
      </c>
      <c r="AP14" s="278">
        <v>193436.59</v>
      </c>
    </row>
    <row r="15" spans="1:42">
      <c r="C15" s="219">
        <v>1</v>
      </c>
      <c r="D15" s="213">
        <v>43887</v>
      </c>
      <c r="E15" s="215">
        <v>1000</v>
      </c>
      <c r="F15" s="215" t="s">
        <v>357</v>
      </c>
      <c r="G15" s="215" t="s">
        <v>357</v>
      </c>
      <c r="H15" s="215">
        <f t="shared" si="1"/>
        <v>16250</v>
      </c>
      <c r="I15" s="215"/>
      <c r="J15" s="214"/>
      <c r="L15" s="212"/>
      <c r="M15" s="231"/>
      <c r="N15" s="214"/>
      <c r="P15" s="222" t="s">
        <v>365</v>
      </c>
      <c r="Q15" s="227">
        <f>SUMIFS(LayTable[BookieInnsats],LayTable[Bookmaker],"Spinsports")-SUMIFS(LayTable[BookieInnsats],LayTable[Bookmaker],"Spinsports",LayTable[Kommentarer],"Freebet")-AM14</f>
        <v>214913.59</v>
      </c>
      <c r="S15" s="212">
        <v>100</v>
      </c>
      <c r="T15" s="213">
        <v>43999</v>
      </c>
      <c r="U15" s="215">
        <v>2500</v>
      </c>
      <c r="V15" s="226" t="s">
        <v>357</v>
      </c>
      <c r="W15" s="226" t="s">
        <v>357</v>
      </c>
      <c r="X15" s="226">
        <v>1.8</v>
      </c>
      <c r="Y15" s="226">
        <v>5</v>
      </c>
      <c r="Z15" s="215">
        <f t="shared" si="0"/>
        <v>12500</v>
      </c>
      <c r="AA15" s="231">
        <f t="shared" si="2"/>
        <v>35000</v>
      </c>
      <c r="AB15" s="259">
        <f>AA15-AM16</f>
        <v>249913.59</v>
      </c>
      <c r="AC15" s="214"/>
      <c r="AF15" s="212" t="s">
        <v>425</v>
      </c>
      <c r="AG15" s="215"/>
      <c r="AH15" s="215"/>
      <c r="AI15" s="214"/>
      <c r="AL15" s="228" t="s">
        <v>79</v>
      </c>
      <c r="AM15" s="227">
        <f>SUMIFS(LayTable[BookieInnsats],LayTable[Bookmaker],"Spinsports",LayTable[Utfall bookie],"")-SUMIFS(LayTable[BookieInnsats],LayTable[Bookmaker],"Spinsports",LayTable[Kommentarer],"Freebet",LayTable[Utfall bookie],"")</f>
        <v>0</v>
      </c>
      <c r="AO15" s="212" t="s">
        <v>421</v>
      </c>
      <c r="AP15" s="214">
        <v>36295.849600000001</v>
      </c>
    </row>
    <row r="16" spans="1:42">
      <c r="C16" s="219">
        <v>0.7</v>
      </c>
      <c r="D16" s="213">
        <v>43887</v>
      </c>
      <c r="E16" s="226">
        <v>400</v>
      </c>
      <c r="F16" s="226" t="s">
        <v>357</v>
      </c>
      <c r="G16" s="215" t="s">
        <v>357</v>
      </c>
      <c r="H16" s="215">
        <f t="shared" si="1"/>
        <v>18250</v>
      </c>
      <c r="I16" s="215"/>
      <c r="J16" s="214"/>
      <c r="L16" s="212" t="s">
        <v>371</v>
      </c>
      <c r="M16" s="242">
        <f>H22-Q17</f>
        <v>-146663.59</v>
      </c>
      <c r="N16" s="237">
        <f>M16-N14</f>
        <v>7000</v>
      </c>
      <c r="P16" s="228" t="s">
        <v>79</v>
      </c>
      <c r="Q16" s="227">
        <f>SUMIFS(LayTable[BookieInnsats],LayTable[Bookmaker],"Spinsports",LayTable[Utfall bookie],"")-SUMIFS(LayTable[BookieInnsats],LayTable[Bookmaker],"Spinsports",LayTable[Kommentarer],"Freebet",LayTable[Utfall bookie],"")-AM15</f>
        <v>0</v>
      </c>
      <c r="S16" s="212">
        <v>15</v>
      </c>
      <c r="T16" s="213">
        <v>44002</v>
      </c>
      <c r="U16" s="226">
        <v>100</v>
      </c>
      <c r="V16" s="226" t="s">
        <v>357</v>
      </c>
      <c r="W16" s="226" t="s">
        <v>357</v>
      </c>
      <c r="X16" s="215">
        <v>1.8</v>
      </c>
      <c r="Y16" s="215">
        <v>5</v>
      </c>
      <c r="Z16" s="215">
        <f t="shared" si="0"/>
        <v>500</v>
      </c>
      <c r="AA16" s="215">
        <f t="shared" si="2"/>
        <v>35500</v>
      </c>
      <c r="AB16" s="259">
        <f>AA16-AM16</f>
        <v>250413.59</v>
      </c>
      <c r="AC16" s="214"/>
      <c r="AF16" s="212" t="s">
        <v>426</v>
      </c>
      <c r="AG16" s="215"/>
      <c r="AH16" s="215"/>
      <c r="AI16" s="214"/>
      <c r="AL16" s="228" t="s">
        <v>360</v>
      </c>
      <c r="AM16" s="227">
        <f>AM14-AM15</f>
        <v>-214913.59</v>
      </c>
      <c r="AO16" s="212" t="s">
        <v>98</v>
      </c>
      <c r="AP16" s="214">
        <v>-5227.8</v>
      </c>
    </row>
    <row r="17" spans="3:43">
      <c r="C17" s="219">
        <v>1</v>
      </c>
      <c r="D17" s="213">
        <v>43888</v>
      </c>
      <c r="E17" s="226">
        <v>1000</v>
      </c>
      <c r="F17" s="226" t="s">
        <v>357</v>
      </c>
      <c r="G17" s="215" t="s">
        <v>357</v>
      </c>
      <c r="H17" s="215">
        <f t="shared" si="1"/>
        <v>23250</v>
      </c>
      <c r="I17" s="215"/>
      <c r="J17" s="214"/>
      <c r="L17" s="212"/>
      <c r="M17" s="231"/>
      <c r="N17" s="214"/>
      <c r="P17" s="228" t="s">
        <v>360</v>
      </c>
      <c r="Q17" s="227">
        <f>Q15-Q16-1000-2000</f>
        <v>211913.59</v>
      </c>
      <c r="S17" s="212"/>
      <c r="T17" s="215"/>
      <c r="U17" s="215"/>
      <c r="V17" s="215"/>
      <c r="W17" s="215"/>
      <c r="X17" s="226">
        <v>1.8</v>
      </c>
      <c r="Y17" s="215"/>
      <c r="Z17" s="215">
        <f t="shared" si="0"/>
        <v>0</v>
      </c>
      <c r="AA17" s="215">
        <f t="shared" si="2"/>
        <v>35500</v>
      </c>
      <c r="AB17" s="259">
        <f>AA17-AM16</f>
        <v>250413.59</v>
      </c>
      <c r="AC17" s="214"/>
      <c r="AF17" s="212" t="s">
        <v>427</v>
      </c>
      <c r="AG17" s="215"/>
      <c r="AH17" s="215"/>
      <c r="AI17" s="214"/>
      <c r="AL17" s="222"/>
      <c r="AM17" s="223"/>
      <c r="AO17" s="285" t="s">
        <v>431</v>
      </c>
      <c r="AP17" s="286">
        <f>8000-8000</f>
        <v>0</v>
      </c>
      <c r="AQ17" t="s">
        <v>436</v>
      </c>
    </row>
    <row r="18" spans="3:43" ht="16" thickBot="1">
      <c r="C18" s="219">
        <v>0.75</v>
      </c>
      <c r="D18" s="213">
        <v>43890</v>
      </c>
      <c r="E18" s="226">
        <v>1350</v>
      </c>
      <c r="F18" s="226" t="s">
        <v>357</v>
      </c>
      <c r="G18" s="215" t="s">
        <v>357</v>
      </c>
      <c r="H18" s="215">
        <f t="shared" si="1"/>
        <v>30000</v>
      </c>
      <c r="I18" s="215"/>
      <c r="J18" s="214"/>
      <c r="L18" s="212" t="s">
        <v>372</v>
      </c>
      <c r="M18" s="242">
        <f>H25-Q17</f>
        <v>-115028.59</v>
      </c>
      <c r="N18" s="237">
        <f>M18-M16</f>
        <v>31635</v>
      </c>
      <c r="P18" s="222"/>
      <c r="Q18" s="223"/>
      <c r="S18" s="212"/>
      <c r="T18" s="215"/>
      <c r="U18" s="215"/>
      <c r="V18" s="215"/>
      <c r="W18" s="215"/>
      <c r="X18" s="215">
        <v>1.8</v>
      </c>
      <c r="Y18" s="215"/>
      <c r="Z18" s="215">
        <f t="shared" si="0"/>
        <v>0</v>
      </c>
      <c r="AA18" s="215">
        <f t="shared" si="2"/>
        <v>35500</v>
      </c>
      <c r="AB18" s="259">
        <f>AA18-AM16</f>
        <v>250413.59</v>
      </c>
      <c r="AC18" s="214"/>
      <c r="AF18" s="212" t="s">
        <v>428</v>
      </c>
      <c r="AG18" s="215"/>
      <c r="AH18" s="215"/>
      <c r="AI18" s="214"/>
      <c r="AL18" s="224" t="s">
        <v>361</v>
      </c>
      <c r="AM18" s="229">
        <f>AM12-AM14</f>
        <v>250413.59</v>
      </c>
    </row>
    <row r="19" spans="3:43" ht="16" thickBot="1">
      <c r="C19" s="219">
        <v>0.8</v>
      </c>
      <c r="D19" s="213">
        <v>43890</v>
      </c>
      <c r="E19" s="226">
        <v>3150</v>
      </c>
      <c r="F19" s="226" t="s">
        <v>357</v>
      </c>
      <c r="G19" s="215" t="s">
        <v>357</v>
      </c>
      <c r="H19" s="215">
        <f t="shared" si="1"/>
        <v>45750</v>
      </c>
      <c r="I19" s="215"/>
      <c r="J19" s="214"/>
      <c r="L19" s="212"/>
      <c r="M19" s="231"/>
      <c r="N19" s="214"/>
      <c r="P19" s="224" t="s">
        <v>361</v>
      </c>
      <c r="Q19" s="225">
        <f>Q13-Q15</f>
        <v>19436.410000000003</v>
      </c>
      <c r="S19" s="212"/>
      <c r="T19" s="215"/>
      <c r="U19" s="215"/>
      <c r="V19" s="215"/>
      <c r="W19" s="215"/>
      <c r="X19" s="226">
        <v>1.8</v>
      </c>
      <c r="Y19" s="215"/>
      <c r="Z19" s="215">
        <f t="shared" si="0"/>
        <v>0</v>
      </c>
      <c r="AA19" s="215">
        <f t="shared" si="2"/>
        <v>35500</v>
      </c>
      <c r="AB19" s="259">
        <f>AA19-AM16</f>
        <v>250413.59</v>
      </c>
      <c r="AC19" s="214"/>
      <c r="AF19" s="216" t="s">
        <v>429</v>
      </c>
      <c r="AG19" s="217"/>
      <c r="AH19" s="217"/>
      <c r="AI19" s="218"/>
      <c r="AL19" s="174"/>
      <c r="AM19" s="174"/>
    </row>
    <row r="20" spans="3:43">
      <c r="C20" s="219">
        <v>1</v>
      </c>
      <c r="D20" s="213">
        <v>43890</v>
      </c>
      <c r="E20" s="226">
        <v>2500</v>
      </c>
      <c r="F20" s="226" t="s">
        <v>357</v>
      </c>
      <c r="G20" s="215" t="s">
        <v>357</v>
      </c>
      <c r="H20" s="231">
        <f t="shared" si="1"/>
        <v>58250</v>
      </c>
      <c r="I20" s="231"/>
      <c r="J20" s="214"/>
      <c r="L20" s="212" t="s">
        <v>374</v>
      </c>
      <c r="M20" s="242">
        <f>H28-Q15</f>
        <v>-88028.59</v>
      </c>
      <c r="N20" s="237">
        <f>M20-M18</f>
        <v>27000</v>
      </c>
      <c r="S20" s="212"/>
      <c r="T20" s="215"/>
      <c r="U20" s="215"/>
      <c r="V20" s="215"/>
      <c r="W20" s="215"/>
      <c r="X20" s="215">
        <v>1.8</v>
      </c>
      <c r="Y20" s="215"/>
      <c r="Z20" s="215">
        <f t="shared" si="0"/>
        <v>0</v>
      </c>
      <c r="AA20" s="215">
        <f t="shared" si="2"/>
        <v>35500</v>
      </c>
      <c r="AB20" s="259"/>
      <c r="AC20" s="214"/>
      <c r="AL20" s="174"/>
      <c r="AM20" s="174"/>
      <c r="AO20" t="s">
        <v>437</v>
      </c>
      <c r="AP20">
        <v>21477</v>
      </c>
    </row>
    <row r="21" spans="3:43">
      <c r="C21" s="219">
        <v>0.75</v>
      </c>
      <c r="D21" s="213">
        <v>43891</v>
      </c>
      <c r="E21" s="226">
        <v>1300</v>
      </c>
      <c r="F21" s="226" t="s">
        <v>357</v>
      </c>
      <c r="G21" s="215" t="s">
        <v>357</v>
      </c>
      <c r="H21" s="215">
        <f t="shared" si="1"/>
        <v>64750</v>
      </c>
      <c r="I21" s="215"/>
      <c r="J21" s="214"/>
      <c r="L21" s="212"/>
      <c r="M21" s="231"/>
      <c r="N21" s="214"/>
      <c r="S21" s="212"/>
      <c r="T21" s="215"/>
      <c r="U21" s="215"/>
      <c r="V21" s="215"/>
      <c r="W21" s="215"/>
      <c r="X21" s="226">
        <v>1.8</v>
      </c>
      <c r="Y21" s="215"/>
      <c r="Z21" s="215">
        <f t="shared" si="0"/>
        <v>0</v>
      </c>
      <c r="AA21" s="215">
        <f t="shared" si="2"/>
        <v>35500</v>
      </c>
      <c r="AB21" s="259"/>
      <c r="AC21" s="214"/>
      <c r="AL21" s="174"/>
      <c r="AM21" s="174"/>
    </row>
    <row r="22" spans="3:43" ht="16" thickBot="1">
      <c r="C22" s="219">
        <v>0.35</v>
      </c>
      <c r="D22" s="213">
        <v>43891</v>
      </c>
      <c r="E22" s="226">
        <v>100</v>
      </c>
      <c r="F22" s="226" t="s">
        <v>357</v>
      </c>
      <c r="G22" s="215" t="s">
        <v>357</v>
      </c>
      <c r="H22" s="231">
        <f t="shared" si="1"/>
        <v>65250</v>
      </c>
      <c r="I22" s="231"/>
      <c r="J22" s="214"/>
      <c r="L22" s="212" t="s">
        <v>373</v>
      </c>
      <c r="M22" s="242">
        <f>H29-Q17</f>
        <v>-80028.59</v>
      </c>
      <c r="N22" s="237">
        <f>M22-M20</f>
        <v>8000</v>
      </c>
      <c r="S22" s="212"/>
      <c r="T22" s="215"/>
      <c r="U22" s="215"/>
      <c r="V22" s="215"/>
      <c r="W22" s="215"/>
      <c r="X22" s="215">
        <v>1.8</v>
      </c>
      <c r="Y22" s="215"/>
      <c r="Z22" s="215">
        <f t="shared" si="0"/>
        <v>0</v>
      </c>
      <c r="AA22" s="215">
        <f t="shared" si="2"/>
        <v>35500</v>
      </c>
      <c r="AB22" s="259"/>
      <c r="AC22" s="214"/>
      <c r="AL22" s="174"/>
      <c r="AM22" s="174"/>
    </row>
    <row r="23" spans="3:43" ht="16" thickBot="1">
      <c r="C23" s="219">
        <v>0.75</v>
      </c>
      <c r="D23" s="213">
        <v>43892</v>
      </c>
      <c r="E23" s="226">
        <v>1330</v>
      </c>
      <c r="F23" s="226" t="s">
        <v>357</v>
      </c>
      <c r="G23" s="215" t="s">
        <v>357</v>
      </c>
      <c r="H23" s="215">
        <f t="shared" si="1"/>
        <v>71900</v>
      </c>
      <c r="I23" s="215"/>
      <c r="J23" s="214"/>
      <c r="L23" s="212"/>
      <c r="M23" s="233"/>
      <c r="N23" s="239"/>
      <c r="S23" s="212"/>
      <c r="T23" s="215"/>
      <c r="U23" s="215"/>
      <c r="V23" s="215"/>
      <c r="W23" s="215"/>
      <c r="X23" s="226">
        <v>1.8</v>
      </c>
      <c r="Y23" s="215"/>
      <c r="Z23" s="215">
        <f t="shared" si="0"/>
        <v>0</v>
      </c>
      <c r="AA23" s="215">
        <f t="shared" si="2"/>
        <v>35500</v>
      </c>
      <c r="AB23" s="259"/>
      <c r="AC23" s="214"/>
      <c r="AL23" s="220" t="s">
        <v>366</v>
      </c>
      <c r="AM23" s="279">
        <f>SUMIFS(LayTable[Faktisk res],LayTable[Bookmaker],"Spinsports",LayTable[Kommentarer],"Freebet")-AP15</f>
        <v>-36295.849600000001</v>
      </c>
    </row>
    <row r="24" spans="3:43">
      <c r="C24" s="219">
        <v>1</v>
      </c>
      <c r="D24" s="213">
        <v>43892</v>
      </c>
      <c r="E24" s="226">
        <v>2499</v>
      </c>
      <c r="F24" s="226" t="s">
        <v>357</v>
      </c>
      <c r="G24" s="226" t="s">
        <v>357</v>
      </c>
      <c r="H24" s="215">
        <f t="shared" si="1"/>
        <v>84395</v>
      </c>
      <c r="I24" s="215"/>
      <c r="J24" s="214"/>
      <c r="L24" s="212" t="s">
        <v>376</v>
      </c>
      <c r="M24" s="242">
        <f>H32-Q17</f>
        <v>-50063.59</v>
      </c>
      <c r="N24" s="238">
        <f>M24-M22</f>
        <v>29965</v>
      </c>
      <c r="P24" s="220" t="s">
        <v>366</v>
      </c>
      <c r="Q24" s="279">
        <f>SUMIFS(LayTable[Faktisk res],LayTable[Bookmaker],"Spinsports",LayTable[Kommentarer],"Freebet")-AM23</f>
        <v>36295.849600000001</v>
      </c>
      <c r="S24" s="212"/>
      <c r="T24" s="215"/>
      <c r="U24" s="215"/>
      <c r="V24" s="215"/>
      <c r="W24" s="215"/>
      <c r="X24" s="215">
        <v>1.8</v>
      </c>
      <c r="Y24" s="215"/>
      <c r="Z24" s="215">
        <f t="shared" si="0"/>
        <v>0</v>
      </c>
      <c r="AA24" s="215">
        <f t="shared" si="2"/>
        <v>35500</v>
      </c>
      <c r="AB24" s="259"/>
      <c r="AC24" s="214"/>
      <c r="AL24" s="222" t="s">
        <v>98</v>
      </c>
      <c r="AM24" s="227">
        <f>-(SUMIFS(LayTable[Faktisk res],LayTable[Bookmaker],"Spinsports",LayTable[Kommentarer],"Freebet")-SUMIFS(LayTable[Faktisk res],LayTable[Bookmaker],"Spinsports"))-AP16</f>
        <v>5227.8</v>
      </c>
    </row>
    <row r="25" spans="3:43">
      <c r="C25" s="219">
        <v>1</v>
      </c>
      <c r="D25" s="213">
        <v>43892</v>
      </c>
      <c r="E25" s="226">
        <v>2498</v>
      </c>
      <c r="F25" s="226" t="s">
        <v>357</v>
      </c>
      <c r="G25" s="226" t="s">
        <v>357</v>
      </c>
      <c r="H25" s="231">
        <f t="shared" si="1"/>
        <v>96885</v>
      </c>
      <c r="I25" s="231"/>
      <c r="J25" s="214"/>
      <c r="L25" s="212"/>
      <c r="M25" s="233"/>
      <c r="N25" s="239"/>
      <c r="P25" s="222" t="s">
        <v>98</v>
      </c>
      <c r="Q25" s="227">
        <f>-(SUMIFS(LayTable[Faktisk res],LayTable[Bookmaker],"Spinsports",LayTable[Kommentarer],"Freebet")-SUMIFS(LayTable[Faktisk res],LayTable[Bookmaker],"Spinsports"))-AM24</f>
        <v>-5227.8</v>
      </c>
      <c r="S25" s="212"/>
      <c r="T25" s="215"/>
      <c r="U25" s="215"/>
      <c r="V25" s="215"/>
      <c r="W25" s="215"/>
      <c r="X25" s="215"/>
      <c r="Y25" s="215"/>
      <c r="Z25" s="215">
        <f t="shared" si="0"/>
        <v>0</v>
      </c>
      <c r="AA25" s="215">
        <f t="shared" si="2"/>
        <v>35500</v>
      </c>
      <c r="AB25" s="259"/>
      <c r="AC25" s="214"/>
      <c r="AL25" s="222"/>
      <c r="AM25" s="223"/>
    </row>
    <row r="26" spans="3:43" ht="16" thickBot="1">
      <c r="C26" s="219">
        <v>1</v>
      </c>
      <c r="D26" s="213">
        <v>43893</v>
      </c>
      <c r="E26" s="226">
        <v>1000</v>
      </c>
      <c r="F26" s="226" t="s">
        <v>357</v>
      </c>
      <c r="G26" s="226" t="s">
        <v>357</v>
      </c>
      <c r="H26" s="215">
        <f t="shared" si="1"/>
        <v>101885</v>
      </c>
      <c r="I26" s="215"/>
      <c r="J26" s="214"/>
      <c r="L26" s="212" t="s">
        <v>377</v>
      </c>
      <c r="M26" s="242">
        <f>H35-Q17</f>
        <v>-20063.589999999997</v>
      </c>
      <c r="N26" s="238">
        <f>M26-M24</f>
        <v>30000</v>
      </c>
      <c r="P26" s="222"/>
      <c r="Q26" s="223"/>
      <c r="S26" s="212"/>
      <c r="T26" s="215"/>
      <c r="U26" s="215"/>
      <c r="V26" s="215"/>
      <c r="W26" s="215"/>
      <c r="X26" s="215"/>
      <c r="Y26" s="215"/>
      <c r="Z26" s="215">
        <f t="shared" si="0"/>
        <v>0</v>
      </c>
      <c r="AA26" s="215">
        <f t="shared" si="2"/>
        <v>35500</v>
      </c>
      <c r="AB26" s="259"/>
      <c r="AC26" s="214"/>
      <c r="AL26" s="224" t="s">
        <v>438</v>
      </c>
      <c r="AM26" s="229">
        <f>AM23+AM24</f>
        <v>-31068.049600000002</v>
      </c>
    </row>
    <row r="27" spans="3:43" ht="16" thickBot="1">
      <c r="C27" s="219">
        <v>1</v>
      </c>
      <c r="D27" s="213">
        <v>43893</v>
      </c>
      <c r="E27" s="226">
        <v>2500</v>
      </c>
      <c r="F27" s="226" t="s">
        <v>357</v>
      </c>
      <c r="G27" s="226" t="s">
        <v>357</v>
      </c>
      <c r="H27" s="215">
        <f t="shared" si="1"/>
        <v>114385</v>
      </c>
      <c r="I27" s="215"/>
      <c r="J27" s="214"/>
      <c r="L27" s="212"/>
      <c r="M27" s="233"/>
      <c r="N27" s="239"/>
      <c r="P27" s="224" t="s">
        <v>367</v>
      </c>
      <c r="Q27" s="229">
        <f>Q24+Q25</f>
        <v>31068.049600000002</v>
      </c>
      <c r="S27" s="212"/>
      <c r="T27" s="215"/>
      <c r="U27" s="215"/>
      <c r="V27" s="215"/>
      <c r="W27" s="215"/>
      <c r="X27" s="215"/>
      <c r="Y27" s="215"/>
      <c r="Z27" s="215">
        <f t="shared" si="0"/>
        <v>0</v>
      </c>
      <c r="AA27" s="215">
        <f t="shared" si="2"/>
        <v>35500</v>
      </c>
      <c r="AB27" s="259"/>
      <c r="AC27" s="214"/>
    </row>
    <row r="28" spans="3:43">
      <c r="C28" s="219">
        <v>1</v>
      </c>
      <c r="D28" s="213">
        <v>43893</v>
      </c>
      <c r="E28" s="226">
        <v>2500</v>
      </c>
      <c r="F28" s="226" t="s">
        <v>357</v>
      </c>
      <c r="G28" s="226" t="s">
        <v>357</v>
      </c>
      <c r="H28" s="231">
        <f t="shared" si="1"/>
        <v>126885</v>
      </c>
      <c r="I28" s="231"/>
      <c r="J28" s="214" t="s">
        <v>333</v>
      </c>
      <c r="L28" s="212"/>
      <c r="M28" s="233"/>
      <c r="N28" s="239"/>
      <c r="S28" s="212"/>
      <c r="T28" s="215"/>
      <c r="U28" s="215"/>
      <c r="V28" s="215"/>
      <c r="W28" s="215"/>
      <c r="X28" s="215"/>
      <c r="Y28" s="215"/>
      <c r="Z28" s="215">
        <f t="shared" si="0"/>
        <v>0</v>
      </c>
      <c r="AA28" s="215">
        <f t="shared" si="2"/>
        <v>35500</v>
      </c>
      <c r="AB28" s="259"/>
      <c r="AC28" s="214"/>
    </row>
    <row r="29" spans="3:43">
      <c r="C29" s="219">
        <v>1</v>
      </c>
      <c r="D29" s="213">
        <v>43894</v>
      </c>
      <c r="E29" s="226">
        <v>1000</v>
      </c>
      <c r="F29" s="226" t="s">
        <v>357</v>
      </c>
      <c r="G29" s="226" t="s">
        <v>357</v>
      </c>
      <c r="H29" s="231">
        <f t="shared" si="1"/>
        <v>131885</v>
      </c>
      <c r="I29" s="231"/>
      <c r="J29" s="214"/>
      <c r="L29" s="212"/>
      <c r="M29" s="233"/>
      <c r="N29" s="239"/>
      <c r="S29" s="212"/>
      <c r="T29" s="215"/>
      <c r="U29" s="215"/>
      <c r="V29" s="215"/>
      <c r="W29" s="215"/>
      <c r="X29" s="215"/>
      <c r="Y29" s="215"/>
      <c r="Z29" s="215">
        <f t="shared" si="0"/>
        <v>0</v>
      </c>
      <c r="AA29" s="215">
        <f t="shared" si="2"/>
        <v>35500</v>
      </c>
      <c r="AB29" s="259"/>
      <c r="AC29" s="214"/>
    </row>
    <row r="30" spans="3:43">
      <c r="C30" s="219">
        <v>1</v>
      </c>
      <c r="D30" s="213">
        <v>43895</v>
      </c>
      <c r="E30" s="226">
        <v>1000</v>
      </c>
      <c r="F30" s="226" t="s">
        <v>357</v>
      </c>
      <c r="G30" s="226" t="s">
        <v>357</v>
      </c>
      <c r="H30" s="215">
        <f t="shared" si="1"/>
        <v>136885</v>
      </c>
      <c r="I30" s="215"/>
      <c r="J30" s="214"/>
      <c r="L30" s="216"/>
      <c r="M30" s="234"/>
      <c r="N30" s="240"/>
      <c r="S30" s="212"/>
      <c r="T30" s="215"/>
      <c r="U30" s="215"/>
      <c r="V30" s="215"/>
      <c r="W30" s="215"/>
      <c r="X30" s="215"/>
      <c r="Y30" s="215"/>
      <c r="Z30" s="215">
        <f t="shared" si="0"/>
        <v>0</v>
      </c>
      <c r="AA30" s="215">
        <f t="shared" si="2"/>
        <v>35500</v>
      </c>
      <c r="AB30" s="259"/>
      <c r="AC30" s="214"/>
    </row>
    <row r="31" spans="3:43">
      <c r="C31" s="219">
        <v>1</v>
      </c>
      <c r="D31" s="213">
        <v>43895</v>
      </c>
      <c r="E31" s="226">
        <v>2497</v>
      </c>
      <c r="F31" s="226" t="s">
        <v>357</v>
      </c>
      <c r="G31" s="226" t="s">
        <v>357</v>
      </c>
      <c r="H31" s="215">
        <f t="shared" si="1"/>
        <v>149370</v>
      </c>
      <c r="I31" s="215"/>
      <c r="J31" s="214" t="s">
        <v>333</v>
      </c>
      <c r="S31" s="212"/>
      <c r="T31" s="215"/>
      <c r="U31" s="215"/>
      <c r="V31" s="215"/>
      <c r="W31" s="215"/>
      <c r="X31" s="215"/>
      <c r="Y31" s="215"/>
      <c r="Z31" s="215">
        <f t="shared" si="0"/>
        <v>0</v>
      </c>
      <c r="AA31" s="215">
        <f t="shared" si="2"/>
        <v>35500</v>
      </c>
      <c r="AB31" s="259"/>
      <c r="AC31" s="214"/>
    </row>
    <row r="32" spans="3:43">
      <c r="C32" s="219">
        <v>1</v>
      </c>
      <c r="D32" s="213">
        <v>43895</v>
      </c>
      <c r="E32" s="226">
        <v>2496</v>
      </c>
      <c r="F32" s="226" t="s">
        <v>357</v>
      </c>
      <c r="G32" s="226" t="s">
        <v>357</v>
      </c>
      <c r="H32" s="231">
        <f t="shared" si="1"/>
        <v>161850</v>
      </c>
      <c r="I32" s="231"/>
      <c r="J32" s="214"/>
      <c r="S32" s="212"/>
      <c r="T32" s="215"/>
      <c r="U32" s="215"/>
      <c r="V32" s="215"/>
      <c r="W32" s="215"/>
      <c r="X32" s="215"/>
      <c r="Y32" s="215"/>
      <c r="Z32" s="215">
        <f t="shared" si="0"/>
        <v>0</v>
      </c>
      <c r="AA32" s="215">
        <f t="shared" si="2"/>
        <v>35500</v>
      </c>
      <c r="AB32" s="259"/>
      <c r="AC32" s="214"/>
    </row>
    <row r="33" spans="3:29">
      <c r="C33" s="219">
        <v>1</v>
      </c>
      <c r="D33" s="213">
        <v>43896</v>
      </c>
      <c r="E33" s="226">
        <v>1000</v>
      </c>
      <c r="F33" s="226" t="s">
        <v>357</v>
      </c>
      <c r="G33" s="226" t="s">
        <v>357</v>
      </c>
      <c r="H33" s="243">
        <f t="shared" si="1"/>
        <v>166850</v>
      </c>
      <c r="I33" s="243"/>
      <c r="J33" s="214"/>
      <c r="S33" s="212"/>
      <c r="T33" s="215"/>
      <c r="U33" s="215"/>
      <c r="V33" s="215"/>
      <c r="W33" s="215"/>
      <c r="X33" s="215"/>
      <c r="Y33" s="215"/>
      <c r="Z33" s="215">
        <f t="shared" si="0"/>
        <v>0</v>
      </c>
      <c r="AA33" s="215">
        <f t="shared" si="2"/>
        <v>35500</v>
      </c>
      <c r="AB33" s="259"/>
      <c r="AC33" s="214"/>
    </row>
    <row r="34" spans="3:29">
      <c r="C34" s="219">
        <v>1</v>
      </c>
      <c r="D34" s="213">
        <v>43896</v>
      </c>
      <c r="E34" s="226">
        <v>2500</v>
      </c>
      <c r="F34" s="226" t="s">
        <v>357</v>
      </c>
      <c r="G34" s="226" t="s">
        <v>357</v>
      </c>
      <c r="H34" s="243">
        <f t="shared" si="1"/>
        <v>179350</v>
      </c>
      <c r="I34" s="243"/>
      <c r="J34" s="214"/>
      <c r="S34" s="212"/>
      <c r="T34" s="215"/>
      <c r="U34" s="215"/>
      <c r="V34" s="215"/>
      <c r="W34" s="215"/>
      <c r="X34" s="215"/>
      <c r="Y34" s="215"/>
      <c r="Z34" s="215">
        <f t="shared" si="0"/>
        <v>0</v>
      </c>
      <c r="AA34" s="215">
        <f t="shared" si="2"/>
        <v>35500</v>
      </c>
      <c r="AB34" s="259"/>
      <c r="AC34" s="214"/>
    </row>
    <row r="35" spans="3:29">
      <c r="C35" s="219">
        <v>1</v>
      </c>
      <c r="D35" s="213">
        <v>43896</v>
      </c>
      <c r="E35" s="226">
        <v>2500</v>
      </c>
      <c r="F35" s="226" t="s">
        <v>357</v>
      </c>
      <c r="G35" s="226" t="s">
        <v>357</v>
      </c>
      <c r="H35" s="231">
        <f t="shared" si="1"/>
        <v>191850</v>
      </c>
      <c r="I35" s="231"/>
      <c r="J35" s="214"/>
      <c r="L35" s="332" t="s">
        <v>387</v>
      </c>
      <c r="M35" s="332"/>
      <c r="N35" s="332"/>
      <c r="O35" s="332"/>
      <c r="P35" s="332"/>
      <c r="S35" s="212"/>
      <c r="T35" s="215"/>
      <c r="U35" s="215"/>
      <c r="V35" s="215"/>
      <c r="W35" s="215"/>
      <c r="X35" s="215"/>
      <c r="Y35" s="215"/>
      <c r="Z35" s="215">
        <f t="shared" si="0"/>
        <v>0</v>
      </c>
      <c r="AA35" s="215">
        <f t="shared" si="2"/>
        <v>35500</v>
      </c>
      <c r="AB35" s="259"/>
      <c r="AC35" s="214"/>
    </row>
    <row r="36" spans="3:29">
      <c r="C36" s="219">
        <v>1</v>
      </c>
      <c r="D36" s="213">
        <v>43897</v>
      </c>
      <c r="E36" s="226">
        <v>1000</v>
      </c>
      <c r="F36" s="226" t="s">
        <v>357</v>
      </c>
      <c r="G36" s="226" t="s">
        <v>357</v>
      </c>
      <c r="H36" s="243">
        <f t="shared" si="1"/>
        <v>196850</v>
      </c>
      <c r="I36" s="243"/>
      <c r="J36" s="214"/>
      <c r="L36" s="332"/>
      <c r="M36" s="332"/>
      <c r="N36" s="332"/>
      <c r="O36" s="332"/>
      <c r="P36" s="332"/>
      <c r="S36" s="212"/>
      <c r="T36" s="215"/>
      <c r="U36" s="215"/>
      <c r="V36" s="215"/>
      <c r="W36" s="215"/>
      <c r="X36" s="215"/>
      <c r="Y36" s="215"/>
      <c r="Z36" s="215">
        <f t="shared" si="0"/>
        <v>0</v>
      </c>
      <c r="AA36" s="215">
        <f t="shared" si="2"/>
        <v>35500</v>
      </c>
      <c r="AB36" s="259"/>
      <c r="AC36" s="214"/>
    </row>
    <row r="37" spans="3:29">
      <c r="C37" s="219">
        <v>1</v>
      </c>
      <c r="D37" s="213">
        <v>43898</v>
      </c>
      <c r="E37" s="226">
        <v>1000</v>
      </c>
      <c r="F37" s="226" t="s">
        <v>357</v>
      </c>
      <c r="G37" s="226" t="s">
        <v>357</v>
      </c>
      <c r="H37" s="243">
        <f t="shared" si="1"/>
        <v>201850</v>
      </c>
      <c r="I37" s="243"/>
      <c r="J37" s="214"/>
      <c r="L37" s="332" t="s">
        <v>388</v>
      </c>
      <c r="M37" s="332"/>
      <c r="N37" s="332"/>
      <c r="O37" s="332"/>
      <c r="P37" s="332"/>
      <c r="S37" s="212"/>
      <c r="T37" s="215"/>
      <c r="U37" s="215"/>
      <c r="V37" s="215"/>
      <c r="W37" s="215"/>
      <c r="X37" s="215"/>
      <c r="Y37" s="215"/>
      <c r="Z37" s="215">
        <f t="shared" si="0"/>
        <v>0</v>
      </c>
      <c r="AA37" s="215">
        <f t="shared" si="2"/>
        <v>35500</v>
      </c>
      <c r="AB37" s="259"/>
      <c r="AC37" s="214"/>
    </row>
    <row r="38" spans="3:29">
      <c r="C38" s="219">
        <v>1</v>
      </c>
      <c r="D38" s="213">
        <v>43899</v>
      </c>
      <c r="E38" s="226">
        <v>1000</v>
      </c>
      <c r="F38" s="226" t="s">
        <v>400</v>
      </c>
      <c r="G38" s="226" t="s">
        <v>400</v>
      </c>
      <c r="H38" s="252">
        <f>E38*5+161936</f>
        <v>166936</v>
      </c>
      <c r="I38" s="253">
        <f>H38-Q17</f>
        <v>-44977.59</v>
      </c>
      <c r="J38" s="214" t="s">
        <v>393</v>
      </c>
      <c r="L38" s="332"/>
      <c r="M38" s="332"/>
      <c r="N38" s="332"/>
      <c r="O38" s="332"/>
      <c r="P38" s="332"/>
      <c r="S38" s="212"/>
      <c r="T38" s="215"/>
      <c r="U38" s="215"/>
      <c r="V38" s="215"/>
      <c r="W38" s="215"/>
      <c r="X38" s="215"/>
      <c r="Y38" s="215"/>
      <c r="Z38" s="215">
        <f t="shared" si="0"/>
        <v>0</v>
      </c>
      <c r="AA38" s="215">
        <f t="shared" si="2"/>
        <v>35500</v>
      </c>
      <c r="AB38" s="259"/>
      <c r="AC38" s="214"/>
    </row>
    <row r="39" spans="3:29">
      <c r="C39" s="219">
        <v>1</v>
      </c>
      <c r="D39" s="213">
        <v>43899</v>
      </c>
      <c r="E39" s="226">
        <v>2500</v>
      </c>
      <c r="F39" s="226" t="s">
        <v>357</v>
      </c>
      <c r="G39" s="226" t="s">
        <v>357</v>
      </c>
      <c r="H39" s="252">
        <f>E39*5+H38</f>
        <v>179436</v>
      </c>
      <c r="I39" s="253">
        <f>H39-Q17</f>
        <v>-32477.589999999997</v>
      </c>
      <c r="J39" s="214"/>
      <c r="L39" t="s">
        <v>389</v>
      </c>
      <c r="S39" s="212"/>
      <c r="T39" s="215"/>
      <c r="U39" s="215"/>
      <c r="V39" s="215"/>
      <c r="W39" s="215"/>
      <c r="X39" s="215"/>
      <c r="Y39" s="215"/>
      <c r="Z39" s="215">
        <f t="shared" si="0"/>
        <v>0</v>
      </c>
      <c r="AA39" s="215">
        <f t="shared" si="2"/>
        <v>35500</v>
      </c>
      <c r="AB39" s="259"/>
      <c r="AC39" s="214"/>
    </row>
    <row r="40" spans="3:29">
      <c r="C40" s="219">
        <v>1</v>
      </c>
      <c r="D40" s="213">
        <v>43900</v>
      </c>
      <c r="E40" s="226">
        <v>1000</v>
      </c>
      <c r="F40" s="226" t="s">
        <v>357</v>
      </c>
      <c r="G40" s="226" t="s">
        <v>357</v>
      </c>
      <c r="H40" s="257">
        <f>5*1000+177436.59</f>
        <v>182436.59</v>
      </c>
      <c r="I40" s="253">
        <f>H40-Q17</f>
        <v>-29477</v>
      </c>
      <c r="J40" s="214"/>
      <c r="S40" s="212"/>
      <c r="T40" s="215"/>
      <c r="U40" s="215"/>
      <c r="V40" s="215"/>
      <c r="W40" s="215"/>
      <c r="X40" s="215"/>
      <c r="Y40" s="215"/>
      <c r="Z40" s="215">
        <f t="shared" si="0"/>
        <v>0</v>
      </c>
      <c r="AA40" s="215">
        <f t="shared" si="2"/>
        <v>35500</v>
      </c>
      <c r="AB40" s="259"/>
      <c r="AC40" s="214"/>
    </row>
    <row r="41" spans="3:29">
      <c r="C41" s="219">
        <v>1</v>
      </c>
      <c r="D41" s="213">
        <v>43901</v>
      </c>
      <c r="E41" s="226">
        <v>1000</v>
      </c>
      <c r="F41" s="226" t="s">
        <v>357</v>
      </c>
      <c r="G41" s="226" t="s">
        <v>357</v>
      </c>
      <c r="H41" s="257">
        <f>5*1000+H40</f>
        <v>187436.59</v>
      </c>
      <c r="I41" s="253">
        <f>H41-Q17</f>
        <v>-24477</v>
      </c>
      <c r="J41" s="214"/>
      <c r="L41" t="s">
        <v>392</v>
      </c>
      <c r="S41" s="212"/>
      <c r="T41" s="215"/>
      <c r="U41" s="215"/>
      <c r="V41" s="215"/>
      <c r="W41" s="215"/>
      <c r="X41" s="215"/>
      <c r="Y41" s="215"/>
      <c r="Z41" s="215">
        <f t="shared" si="0"/>
        <v>0</v>
      </c>
      <c r="AA41" s="215">
        <f t="shared" si="2"/>
        <v>35500</v>
      </c>
      <c r="AB41" s="259"/>
      <c r="AC41" s="214"/>
    </row>
    <row r="42" spans="3:29">
      <c r="C42" s="219">
        <v>1</v>
      </c>
      <c r="D42" s="213">
        <v>43902</v>
      </c>
      <c r="E42" s="226">
        <v>1000</v>
      </c>
      <c r="F42" s="226" t="s">
        <v>399</v>
      </c>
      <c r="G42" s="226" t="s">
        <v>399</v>
      </c>
      <c r="H42" s="258">
        <f>H41+5000</f>
        <v>192436.59</v>
      </c>
      <c r="I42" s="259">
        <f>H42-Q17</f>
        <v>-19477</v>
      </c>
      <c r="J42" s="214"/>
      <c r="S42" s="212"/>
      <c r="T42" s="215"/>
      <c r="U42" s="215"/>
      <c r="V42" s="215"/>
      <c r="W42" s="215"/>
      <c r="X42" s="215"/>
      <c r="Y42" s="215"/>
      <c r="Z42" s="215">
        <f t="shared" si="0"/>
        <v>0</v>
      </c>
      <c r="AA42" s="215">
        <f t="shared" si="2"/>
        <v>35500</v>
      </c>
      <c r="AB42" s="259"/>
      <c r="AC42" s="214"/>
    </row>
    <row r="43" spans="3:29">
      <c r="C43" s="212"/>
      <c r="D43" s="215"/>
      <c r="E43" s="215"/>
      <c r="F43" s="215"/>
      <c r="G43" s="215"/>
      <c r="H43" s="215"/>
      <c r="I43" s="215"/>
      <c r="J43" s="214"/>
      <c r="S43" s="212"/>
      <c r="T43" s="215"/>
      <c r="U43" s="215"/>
      <c r="V43" s="215"/>
      <c r="W43" s="215"/>
      <c r="X43" s="215"/>
      <c r="Y43" s="215"/>
      <c r="Z43" s="215">
        <f t="shared" si="0"/>
        <v>0</v>
      </c>
      <c r="AA43" s="215">
        <f t="shared" si="2"/>
        <v>35500</v>
      </c>
      <c r="AB43" s="259"/>
      <c r="AC43" s="214"/>
    </row>
    <row r="44" spans="3:29">
      <c r="C44" s="212"/>
      <c r="D44" s="215"/>
      <c r="E44" s="215"/>
      <c r="F44" s="215"/>
      <c r="G44" s="215"/>
      <c r="H44" s="215"/>
      <c r="I44" s="215"/>
      <c r="J44" s="214"/>
      <c r="S44" s="212"/>
      <c r="T44" s="215"/>
      <c r="U44" s="215"/>
      <c r="V44" s="215"/>
      <c r="W44" s="215"/>
      <c r="X44" s="215"/>
      <c r="Y44" s="215"/>
      <c r="Z44" s="215">
        <f t="shared" si="0"/>
        <v>0</v>
      </c>
      <c r="AA44" s="215">
        <f t="shared" si="2"/>
        <v>35500</v>
      </c>
      <c r="AB44" s="259"/>
      <c r="AC44" s="214"/>
    </row>
    <row r="45" spans="3:29">
      <c r="C45" s="212"/>
      <c r="D45" s="215"/>
      <c r="E45" s="215"/>
      <c r="F45" s="215"/>
      <c r="G45" s="215"/>
      <c r="H45" s="215"/>
      <c r="I45" s="215"/>
      <c r="J45" s="214"/>
      <c r="S45" s="212"/>
      <c r="T45" s="215"/>
      <c r="U45" s="215"/>
      <c r="V45" s="215"/>
      <c r="W45" s="215"/>
      <c r="X45" s="215"/>
      <c r="Y45" s="215"/>
      <c r="Z45" s="215">
        <f t="shared" si="0"/>
        <v>0</v>
      </c>
      <c r="AA45" s="215">
        <f t="shared" si="2"/>
        <v>35500</v>
      </c>
      <c r="AB45" s="259"/>
      <c r="AC45" s="214"/>
    </row>
    <row r="46" spans="3:29">
      <c r="C46" s="212"/>
      <c r="D46" s="215"/>
      <c r="E46" s="215"/>
      <c r="F46" s="215"/>
      <c r="G46" s="215"/>
      <c r="H46" s="215"/>
      <c r="I46" s="215"/>
      <c r="J46" s="214"/>
      <c r="S46" s="212"/>
      <c r="T46" s="215"/>
      <c r="U46" s="215"/>
      <c r="V46" s="215"/>
      <c r="W46" s="215"/>
      <c r="X46" s="215"/>
      <c r="Y46" s="215"/>
      <c r="Z46" s="215">
        <f t="shared" si="0"/>
        <v>0</v>
      </c>
      <c r="AA46" s="215">
        <f t="shared" si="2"/>
        <v>35500</v>
      </c>
      <c r="AB46" s="259"/>
      <c r="AC46" s="214"/>
    </row>
    <row r="47" spans="3:29">
      <c r="C47" s="212"/>
      <c r="D47" s="215"/>
      <c r="E47" s="215"/>
      <c r="F47" s="215"/>
      <c r="G47" s="215"/>
      <c r="H47" s="215"/>
      <c r="I47" s="215"/>
      <c r="J47" s="214"/>
      <c r="S47" s="212"/>
      <c r="T47" s="215"/>
      <c r="U47" s="215"/>
      <c r="V47" s="215"/>
      <c r="W47" s="215"/>
      <c r="X47" s="215"/>
      <c r="Y47" s="215"/>
      <c r="Z47" s="215">
        <f t="shared" si="0"/>
        <v>0</v>
      </c>
      <c r="AA47" s="215">
        <f t="shared" si="2"/>
        <v>35500</v>
      </c>
      <c r="AB47" s="259"/>
      <c r="AC47" s="214"/>
    </row>
    <row r="48" spans="3:29">
      <c r="C48" s="212"/>
      <c r="D48" s="215"/>
      <c r="E48" s="215"/>
      <c r="F48" s="215"/>
      <c r="G48" s="215"/>
      <c r="H48" s="215"/>
      <c r="I48" s="215"/>
      <c r="J48" s="214"/>
      <c r="S48" s="212"/>
      <c r="T48" s="215"/>
      <c r="U48" s="215"/>
      <c r="V48" s="215"/>
      <c r="W48" s="215"/>
      <c r="X48" s="215"/>
      <c r="Y48" s="215"/>
      <c r="Z48" s="215">
        <f t="shared" si="0"/>
        <v>0</v>
      </c>
      <c r="AA48" s="215">
        <f t="shared" si="2"/>
        <v>35500</v>
      </c>
      <c r="AB48" s="259"/>
      <c r="AC48" s="214"/>
    </row>
    <row r="49" spans="3:29">
      <c r="C49" s="216"/>
      <c r="D49" s="217"/>
      <c r="E49" s="217"/>
      <c r="F49" s="217"/>
      <c r="G49" s="217"/>
      <c r="H49" s="217"/>
      <c r="I49" s="217"/>
      <c r="J49" s="218"/>
      <c r="S49" s="216"/>
      <c r="T49" s="217"/>
      <c r="U49" s="217"/>
      <c r="V49" s="217"/>
      <c r="W49" s="217"/>
      <c r="X49" s="217"/>
      <c r="Y49" s="217"/>
      <c r="Z49" s="217">
        <f t="shared" si="0"/>
        <v>0</v>
      </c>
      <c r="AA49" s="217">
        <f t="shared" si="2"/>
        <v>35500</v>
      </c>
      <c r="AB49" s="284"/>
      <c r="AC49" s="218"/>
    </row>
  </sheetData>
  <mergeCells count="6">
    <mergeCell ref="AO13:AP13"/>
    <mergeCell ref="C4:Q7"/>
    <mergeCell ref="L35:P36"/>
    <mergeCell ref="L37:P38"/>
    <mergeCell ref="D9:Q10"/>
    <mergeCell ref="S9:AI10"/>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C2AC-E76C-5D46-8DEF-DC6495EAEBDA}">
  <dimension ref="A1:J92"/>
  <sheetViews>
    <sheetView tabSelected="1" workbookViewId="0">
      <selection activeCell="G13" sqref="G13"/>
    </sheetView>
  </sheetViews>
  <sheetFormatPr baseColWidth="10" defaultColWidth="10.83203125" defaultRowHeight="15"/>
  <cols>
    <col min="6" max="6" width="15.33203125" customWidth="1"/>
    <col min="7" max="7" width="30.5" customWidth="1"/>
    <col min="8" max="8" width="17.1640625" customWidth="1"/>
    <col min="9" max="9" width="23" customWidth="1"/>
  </cols>
  <sheetData>
    <row r="1" spans="1:10">
      <c r="A1" s="196" t="s">
        <v>102</v>
      </c>
      <c r="B1" s="70" t="s">
        <v>23</v>
      </c>
      <c r="C1" s="70" t="s">
        <v>337</v>
      </c>
      <c r="D1" s="70" t="s">
        <v>338</v>
      </c>
      <c r="E1" s="70" t="s">
        <v>339</v>
      </c>
      <c r="F1" s="70" t="s">
        <v>340</v>
      </c>
      <c r="G1" s="70" t="s">
        <v>341</v>
      </c>
      <c r="H1" s="70" t="s">
        <v>342</v>
      </c>
      <c r="I1" s="70" t="s">
        <v>343</v>
      </c>
      <c r="J1" s="70" t="s">
        <v>344</v>
      </c>
    </row>
    <row r="2" spans="1:10">
      <c r="A2" s="134">
        <v>43848</v>
      </c>
      <c r="B2" s="174"/>
      <c r="C2" s="174" t="s">
        <v>345</v>
      </c>
      <c r="D2" s="174" t="s">
        <v>333</v>
      </c>
      <c r="E2" s="174">
        <v>5000</v>
      </c>
      <c r="F2" s="174" t="s">
        <v>346</v>
      </c>
      <c r="G2" s="174" t="s">
        <v>347</v>
      </c>
      <c r="H2" s="174"/>
      <c r="I2" s="197" t="s">
        <v>348</v>
      </c>
      <c r="J2" s="174"/>
    </row>
    <row r="3" spans="1:10">
      <c r="A3" s="134"/>
      <c r="B3" s="174"/>
      <c r="C3" s="174"/>
      <c r="D3" s="174"/>
      <c r="E3" s="174"/>
      <c r="F3" s="174"/>
      <c r="G3" s="174"/>
      <c r="H3" s="174"/>
      <c r="I3" s="174"/>
      <c r="J3" s="174"/>
    </row>
    <row r="4" spans="1:10">
      <c r="A4" s="134"/>
      <c r="B4" s="174"/>
      <c r="C4" s="174"/>
      <c r="D4" s="174"/>
      <c r="E4" s="174"/>
      <c r="F4" s="174"/>
      <c r="G4" s="174"/>
      <c r="H4" s="174"/>
      <c r="I4" s="174"/>
      <c r="J4" s="174"/>
    </row>
    <row r="5" spans="1:10">
      <c r="A5" s="134"/>
      <c r="B5" s="174"/>
      <c r="C5" s="174"/>
      <c r="D5" s="174"/>
      <c r="E5" s="174"/>
      <c r="F5" s="174"/>
      <c r="G5" s="174"/>
      <c r="H5" s="174"/>
      <c r="I5" s="174"/>
      <c r="J5" s="174"/>
    </row>
    <row r="6" spans="1:10">
      <c r="A6" s="134"/>
      <c r="B6" s="174"/>
      <c r="C6" s="174"/>
      <c r="D6" s="174"/>
      <c r="E6" s="174"/>
      <c r="F6" s="174"/>
      <c r="G6" s="174"/>
      <c r="H6" s="174"/>
    </row>
    <row r="7" spans="1:10">
      <c r="A7" s="134"/>
    </row>
    <row r="8" spans="1:10">
      <c r="A8" s="134"/>
    </row>
    <row r="9" spans="1:10">
      <c r="A9" s="134"/>
    </row>
    <row r="10" spans="1:10">
      <c r="A10" s="134"/>
      <c r="H10" s="174"/>
    </row>
    <row r="11" spans="1:10">
      <c r="A11" s="134"/>
    </row>
    <row r="12" spans="1:10">
      <c r="A12" s="134"/>
    </row>
    <row r="13" spans="1:10">
      <c r="A13" s="134"/>
      <c r="G13" s="174"/>
      <c r="H13" s="174"/>
    </row>
    <row r="14" spans="1:10">
      <c r="A14" s="134"/>
    </row>
    <row r="15" spans="1:10">
      <c r="A15" s="134"/>
    </row>
    <row r="16" spans="1:10">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row r="45" spans="1:1">
      <c r="A45" s="134"/>
    </row>
    <row r="46" spans="1:1">
      <c r="A46" s="134"/>
    </row>
    <row r="47" spans="1:1">
      <c r="A47" s="134"/>
    </row>
    <row r="48" spans="1:1">
      <c r="A48" s="134"/>
    </row>
    <row r="49" spans="1:1">
      <c r="A49" s="134"/>
    </row>
    <row r="50" spans="1:1">
      <c r="A50" s="134"/>
    </row>
    <row r="51" spans="1:1">
      <c r="A51" s="134"/>
    </row>
    <row r="52" spans="1:1">
      <c r="A52" s="134"/>
    </row>
    <row r="53" spans="1:1">
      <c r="A53" s="134"/>
    </row>
    <row r="54" spans="1:1">
      <c r="A54" s="134"/>
    </row>
    <row r="55" spans="1:1">
      <c r="A55" s="134"/>
    </row>
    <row r="56" spans="1:1">
      <c r="A56" s="134"/>
    </row>
    <row r="57" spans="1:1">
      <c r="A57" s="134"/>
    </row>
    <row r="58" spans="1:1">
      <c r="A58" s="134"/>
    </row>
    <row r="59" spans="1:1">
      <c r="A59" s="134"/>
    </row>
    <row r="60" spans="1:1">
      <c r="A60" s="134"/>
    </row>
    <row r="61" spans="1:1">
      <c r="A61" s="134"/>
    </row>
    <row r="62" spans="1:1">
      <c r="A62" s="134"/>
    </row>
    <row r="63" spans="1:1">
      <c r="A63" s="134"/>
    </row>
    <row r="64" spans="1:1">
      <c r="A64" s="134"/>
    </row>
    <row r="65" spans="1:1">
      <c r="A65" s="134"/>
    </row>
    <row r="66" spans="1:1">
      <c r="A66" s="134"/>
    </row>
    <row r="67" spans="1:1">
      <c r="A67" s="134"/>
    </row>
    <row r="68" spans="1:1">
      <c r="A68" s="134"/>
    </row>
    <row r="69" spans="1:1">
      <c r="A69" s="134"/>
    </row>
    <row r="70" spans="1:1">
      <c r="A70" s="134"/>
    </row>
    <row r="71" spans="1:1">
      <c r="A71" s="134"/>
    </row>
    <row r="72" spans="1:1">
      <c r="A72" s="134"/>
    </row>
    <row r="73" spans="1:1">
      <c r="A73" s="134"/>
    </row>
    <row r="74" spans="1:1">
      <c r="A74" s="134"/>
    </row>
    <row r="75" spans="1:1">
      <c r="A75" s="134"/>
    </row>
    <row r="76" spans="1:1">
      <c r="A76" s="134"/>
    </row>
    <row r="77" spans="1:1">
      <c r="A77" s="134"/>
    </row>
    <row r="78" spans="1:1">
      <c r="A78" s="134"/>
    </row>
    <row r="79" spans="1:1">
      <c r="A79" s="134"/>
    </row>
    <row r="80" spans="1:1">
      <c r="A80" s="134"/>
    </row>
    <row r="81" spans="1:1">
      <c r="A81" s="134"/>
    </row>
    <row r="82" spans="1:1">
      <c r="A82" s="134"/>
    </row>
    <row r="83" spans="1:1">
      <c r="A83" s="134"/>
    </row>
    <row r="84" spans="1:1">
      <c r="A84" s="134"/>
    </row>
    <row r="85" spans="1:1">
      <c r="A85" s="134"/>
    </row>
    <row r="86" spans="1:1">
      <c r="A86" s="134"/>
    </row>
    <row r="87" spans="1:1">
      <c r="A87" s="134"/>
    </row>
    <row r="88" spans="1:1">
      <c r="A88" s="134"/>
    </row>
    <row r="89" spans="1:1">
      <c r="A89" s="134"/>
    </row>
    <row r="90" spans="1:1">
      <c r="A90" s="134"/>
    </row>
    <row r="91" spans="1:1">
      <c r="A91" s="134"/>
    </row>
    <row r="92" spans="1:1">
      <c r="A92" s="134"/>
    </row>
  </sheetData>
  <hyperlinks>
    <hyperlink ref="I2" r:id="rId1" xr:uid="{78C9CD1B-0AD6-8243-B4DC-E96B56C53840}"/>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4470-6003-4CF1-AAB8-A44B0D76253D}">
  <dimension ref="A1:S311"/>
  <sheetViews>
    <sheetView workbookViewId="0">
      <pane xSplit="1" topLeftCell="E1" activePane="topRight" state="frozen"/>
      <selection activeCell="A5" sqref="A5"/>
      <selection pane="topRight" activeCell="A81" sqref="A81"/>
    </sheetView>
  </sheetViews>
  <sheetFormatPr baseColWidth="10" defaultColWidth="11.5" defaultRowHeight="15"/>
  <cols>
    <col min="1" max="1" width="32.1640625" bestFit="1" customWidth="1"/>
    <col min="2" max="2" width="27.33203125" customWidth="1"/>
    <col min="3" max="3" width="19.5" customWidth="1"/>
    <col min="4" max="4" width="20.1640625" customWidth="1"/>
    <col min="5" max="5" width="24" customWidth="1"/>
    <col min="6" max="6" width="13.5" customWidth="1"/>
    <col min="8" max="8" width="13.6640625" bestFit="1" customWidth="1"/>
    <col min="9" max="10" width="12.5" bestFit="1" customWidth="1"/>
    <col min="11" max="11" width="12.5" customWidth="1"/>
    <col min="12" max="12" width="13.5" bestFit="1" customWidth="1"/>
    <col min="13" max="14" width="12.5" bestFit="1" customWidth="1"/>
    <col min="15" max="16" width="13.5" bestFit="1" customWidth="1"/>
    <col min="17" max="19" width="12.5" bestFit="1" customWidth="1"/>
  </cols>
  <sheetData>
    <row r="1" spans="1:19" ht="19">
      <c r="A1" s="116" t="s">
        <v>270</v>
      </c>
      <c r="B1" s="122">
        <f>SUM(Spill!L1:L9821)</f>
        <v>2172.16</v>
      </c>
      <c r="D1" s="70" t="s">
        <v>271</v>
      </c>
      <c r="E1" t="s">
        <v>272</v>
      </c>
      <c r="F1" s="123">
        <f>MEDIAN(Spill!L1:L49821)</f>
        <v>1086.08</v>
      </c>
    </row>
    <row r="2" spans="1:19" ht="19">
      <c r="A2" s="116" t="s">
        <v>273</v>
      </c>
      <c r="B2" s="122">
        <f>SUM(Spill!K1:K9821)</f>
        <v>2200</v>
      </c>
      <c r="D2" s="70" t="s">
        <v>271</v>
      </c>
      <c r="E2" t="s">
        <v>274</v>
      </c>
      <c r="F2" s="117">
        <f>MEDIAN(Spill!J1:J49821)</f>
        <v>3.3650000000000002</v>
      </c>
    </row>
    <row r="3" spans="1:19" ht="20" thickBot="1">
      <c r="A3" s="127"/>
      <c r="B3" s="128"/>
    </row>
    <row r="4" spans="1:19" ht="20" thickBot="1">
      <c r="A4" s="129" t="s">
        <v>275</v>
      </c>
      <c r="B4" s="130">
        <f>SUM(B1:B3)</f>
        <v>4372.16</v>
      </c>
      <c r="D4" s="70" t="s">
        <v>276</v>
      </c>
      <c r="E4" t="s">
        <v>272</v>
      </c>
      <c r="F4" s="123">
        <f>MEDIAN(Spill!K1:K49821)</f>
        <v>1100</v>
      </c>
    </row>
    <row r="5" spans="1:19" ht="19">
      <c r="A5" s="118"/>
      <c r="B5" s="119"/>
      <c r="D5" s="70" t="s">
        <v>276</v>
      </c>
      <c r="E5" t="s">
        <v>274</v>
      </c>
      <c r="F5" s="117">
        <f>MEDIAN(Spill!I1:I49823)</f>
        <v>3.4249999999999998</v>
      </c>
    </row>
    <row r="6" spans="1:19" ht="19">
      <c r="A6" s="118"/>
      <c r="B6" s="119"/>
    </row>
    <row r="7" spans="1:19">
      <c r="H7" s="70">
        <v>2020</v>
      </c>
    </row>
    <row r="8" spans="1:19" ht="20" thickBot="1">
      <c r="A8" s="131"/>
      <c r="B8" s="132" t="s">
        <v>277</v>
      </c>
      <c r="C8" s="132" t="s">
        <v>278</v>
      </c>
      <c r="D8" s="132" t="s">
        <v>279</v>
      </c>
      <c r="E8" s="132" t="s">
        <v>280</v>
      </c>
      <c r="F8" s="132" t="s">
        <v>264</v>
      </c>
      <c r="H8" s="138">
        <v>43831</v>
      </c>
      <c r="I8" s="171">
        <v>43862</v>
      </c>
      <c r="J8" s="138">
        <v>43891</v>
      </c>
      <c r="K8" s="171">
        <v>43922</v>
      </c>
      <c r="L8" s="138">
        <v>43952</v>
      </c>
      <c r="M8" s="171">
        <v>43983</v>
      </c>
      <c r="N8" s="138">
        <v>44013</v>
      </c>
      <c r="O8" s="171">
        <v>44044</v>
      </c>
      <c r="P8" s="138">
        <v>44075</v>
      </c>
      <c r="Q8" s="171">
        <v>44105</v>
      </c>
      <c r="R8" s="138">
        <v>44136</v>
      </c>
      <c r="S8" s="171">
        <v>44166</v>
      </c>
    </row>
    <row r="9" spans="1:19" ht="19">
      <c r="A9" s="81" t="s">
        <v>275</v>
      </c>
      <c r="B9" s="124">
        <f>SUM(B10:B144)</f>
        <v>600</v>
      </c>
      <c r="C9" s="124">
        <f>SUM(C10:C144)</f>
        <v>693.5</v>
      </c>
      <c r="D9" s="125">
        <f ca="1">SUM(D10:D144)</f>
        <v>862.41219999999998</v>
      </c>
      <c r="E9" s="124">
        <f>SUM(E10:E144)</f>
        <v>168.91219999999998</v>
      </c>
      <c r="F9" s="120">
        <f ca="1">D9/C9</f>
        <v>1.2435648161499639</v>
      </c>
      <c r="H9">
        <f>SUM(H10:H159)</f>
        <v>862.41219999999998</v>
      </c>
      <c r="I9">
        <f>SUM(I10:I159)</f>
        <v>0</v>
      </c>
      <c r="J9">
        <f t="shared" ref="J9:S9" si="0">SUM(J10:J159)</f>
        <v>0</v>
      </c>
      <c r="K9">
        <f t="shared" si="0"/>
        <v>0</v>
      </c>
      <c r="L9">
        <f t="shared" si="0"/>
        <v>0</v>
      </c>
      <c r="M9">
        <f t="shared" si="0"/>
        <v>0</v>
      </c>
      <c r="N9">
        <f t="shared" si="0"/>
        <v>0</v>
      </c>
      <c r="O9">
        <f t="shared" si="0"/>
        <v>0</v>
      </c>
      <c r="P9">
        <f t="shared" si="0"/>
        <v>0</v>
      </c>
      <c r="Q9">
        <f t="shared" si="0"/>
        <v>0</v>
      </c>
      <c r="R9">
        <f t="shared" si="0"/>
        <v>0</v>
      </c>
      <c r="S9">
        <f t="shared" si="0"/>
        <v>0</v>
      </c>
    </row>
    <row r="10" spans="1:19">
      <c r="A10" s="115" t="str">
        <f>BookieNavn!I2</f>
        <v>Smarkets</v>
      </c>
      <c r="B10" s="126">
        <f>SUMIF(Penger!D$1:D$50072,A10,Penger!F$1:F$50072)</f>
        <v>0</v>
      </c>
      <c r="C10" s="126">
        <f>SUMIF(Penger!T$1:T$50072,A10,Penger!U$1:U$50072)</f>
        <v>0</v>
      </c>
      <c r="D10" s="126">
        <f ca="1">SUMIF(Spill!C$1:C$499895,A10,Spill!T$1:T$49895)+C10</f>
        <v>0</v>
      </c>
      <c r="E10" s="126">
        <f>SUMIF(Spill!C$1:C$49895,A10,Spill!T$1:T$49895)</f>
        <v>0</v>
      </c>
      <c r="F10" s="121" t="e">
        <f ca="1">D10/C10</f>
        <v>#DIV/0!</v>
      </c>
      <c r="H10" s="126">
        <f>SUMIFS(DWbonus[[Sum]:[Sum]],DWbonus[[Dato]:[Dato]], "&gt;="&amp;H$8,DWbonus[[Dato]:[Dato]],"&lt;="&amp;EOMONTH(H$8,0),DWbonus[[Bookie]:[Bookie]],$A10)+SUMIFS(LayTable[[Faktisk res]:[Faktisk res]],LayTable[[Dato]:[Dato]],"&gt;="&amp;H$8,LayTable[[Dato]:[Dato]],"&lt;="&amp;EOMONTH(H$8,0),LayTable[[Bookmaker]:[Bookmaker]],$A10)+SUMIFS(BetTable[[AR_per_bookie]:[AR_per_bookie]],BetTable[[B1]:[B1]],$A10,BetTable[[Date]:[Date]], "&gt;="&amp;H$8,BetTable[[Date]:[Date]],"&lt;="&amp;EOMONTH(H$8,0))+SUMIFS(BetTable[[AR_per_bookie]:[AR_per_bookie]],BetTable[[B2]:[B2]],$A10,BetTable[[Date]:[Date]], "&gt;="&amp;H$8,BetTable[[Date]:[Date]],"&lt;="&amp;EOMONTH(H$8,0))+SUMIFS(BetTable[[AR_per_bookie]:[AR_per_bookie]],BetTable[[B3]:[B3]],$A10,BetTable[[Date]:[Date]], "&gt;="&amp;H$8,BetTable[[Date]:[Date]],"&lt;="&amp;EOMONTH(H$8,0))</f>
        <v>0</v>
      </c>
      <c r="I10" s="126">
        <f>SUMIFS(DWbonus[[Sum]:[Sum]],DWbonus[[Dato]:[Dato]], "&gt;="&amp;I$8,DWbonus[[Dato]:[Dato]],"&lt;="&amp;EOMONTH(I$8,0),DWbonus[[Bookie]:[Bookie]],$A10)+SUMIFS(LayTable[[Faktisk res]:[Faktisk res]],LayTable[[Dato]:[Dato]],"&gt;="&amp;I$8,LayTable[[Dato]:[Dato]],"&lt;="&amp;EOMONTH(I$8,0),LayTable[[Bookmaker]:[Bookmaker]],$A10)+SUMIFS(BetTable[[AR_per_bookie]:[AR_per_bookie]],BetTable[[B1]:[B1]],$A10,BetTable[[Date]:[Date]], "&gt;="&amp;I$8,BetTable[[Date]:[Date]],"&lt;="&amp;EOMONTH(I$8,0))+SUMIFS(BetTable[[AR_per_bookie]:[AR_per_bookie]],BetTable[[B2]:[B2]],$A10,BetTable[[Date]:[Date]], "&gt;="&amp;I$8,BetTable[[Date]:[Date]],"&lt;="&amp;EOMONTH(I$8,0))+SUMIFS(BetTable[[AR_per_bookie]:[AR_per_bookie]],BetTable[[B3]:[B3]],$A10,BetTable[[Date]:[Date]], "&gt;="&amp;I$8,BetTable[[Date]:[Date]],"&lt;="&amp;EOMONTH(I$8,0))</f>
        <v>0</v>
      </c>
      <c r="J10" s="126">
        <f>SUMIFS(DWbonus[[Sum]:[Sum]],DWbonus[[Dato]:[Dato]], "&gt;="&amp;J$8,DWbonus[[Dato]:[Dato]],"&lt;="&amp;EOMONTH(J$8,0),DWbonus[[Bookie]:[Bookie]],$A10)+SUMIFS(LayTable[[Faktisk res]:[Faktisk res]],LayTable[[Dato]:[Dato]],"&gt;="&amp;J$8,LayTable[[Dato]:[Dato]],"&lt;="&amp;EOMONTH(J$8,0),LayTable[[Bookmaker]:[Bookmaker]],$A10)+SUMIFS(BetTable[[AR_per_bookie]:[AR_per_bookie]],BetTable[[B1]:[B1]],$A10,BetTable[[Date]:[Date]], "&gt;="&amp;J$8,BetTable[[Date]:[Date]],"&lt;="&amp;EOMONTH(J$8,0))+SUMIFS(BetTable[[AR_per_bookie]:[AR_per_bookie]],BetTable[[B2]:[B2]],$A10,BetTable[[Date]:[Date]], "&gt;="&amp;J$8,BetTable[[Date]:[Date]],"&lt;="&amp;EOMONTH(J$8,0))+SUMIFS(BetTable[[AR_per_bookie]:[AR_per_bookie]],BetTable[[B3]:[B3]],$A10,BetTable[[Date]:[Date]], "&gt;="&amp;J$8,BetTable[[Date]:[Date]],"&lt;="&amp;EOMONTH(J$8,0))</f>
        <v>0</v>
      </c>
      <c r="K10" s="126">
        <f>SUMIFS(DWbonus[[Sum]:[Sum]],DWbonus[[Dato]:[Dato]], "&gt;="&amp;K$8,DWbonus[[Dato]:[Dato]],"&lt;="&amp;EOMONTH(K$8,0),DWbonus[[Bookie]:[Bookie]],$A10)+SUMIFS(LayTable[[Faktisk res]:[Faktisk res]],LayTable[[Dato]:[Dato]],"&gt;="&amp;K$8,LayTable[[Dato]:[Dato]],"&lt;="&amp;EOMONTH(K$8,0),LayTable[[Bookmaker]:[Bookmaker]],$A10)+SUMIFS(BetTable[[AR_per_bookie]:[AR_per_bookie]],BetTable[[B1]:[B1]],$A10,BetTable[[Date]:[Date]], "&gt;="&amp;K$8,BetTable[[Date]:[Date]],"&lt;="&amp;EOMONTH(K$8,0))+SUMIFS(BetTable[[AR_per_bookie]:[AR_per_bookie]],BetTable[[B2]:[B2]],$A10,BetTable[[Date]:[Date]], "&gt;="&amp;K$8,BetTable[[Date]:[Date]],"&lt;="&amp;EOMONTH(K$8,0))+SUMIFS(BetTable[[AR_per_bookie]:[AR_per_bookie]],BetTable[[B3]:[B3]],$A10,BetTable[[Date]:[Date]], "&gt;="&amp;K$8,BetTable[[Date]:[Date]],"&lt;="&amp;EOMONTH(K$8,0))</f>
        <v>0</v>
      </c>
      <c r="L10" s="126">
        <f>SUMIFS(DWbonus[[Sum]:[Sum]],DWbonus[[Dato]:[Dato]], "&gt;="&amp;L$8,DWbonus[[Dato]:[Dato]],"&lt;="&amp;EOMONTH(L$8,0),DWbonus[[Bookie]:[Bookie]],$A10)+SUMIFS(LayTable[[Faktisk res]:[Faktisk res]],LayTable[[Dato]:[Dato]],"&gt;="&amp;L$8,LayTable[[Dato]:[Dato]],"&lt;="&amp;EOMONTH(L$8,0),LayTable[[Bookmaker]:[Bookmaker]],$A10)+SUMIFS(BetTable[[AR_per_bookie]:[AR_per_bookie]],BetTable[[B1]:[B1]],$A10,BetTable[[Date]:[Date]], "&gt;="&amp;L$8,BetTable[[Date]:[Date]],"&lt;="&amp;EOMONTH(L$8,0))+SUMIFS(BetTable[[AR_per_bookie]:[AR_per_bookie]],BetTable[[B2]:[B2]],$A10,BetTable[[Date]:[Date]], "&gt;="&amp;L$8,BetTable[[Date]:[Date]],"&lt;="&amp;EOMONTH(L$8,0))+SUMIFS(BetTable[[AR_per_bookie]:[AR_per_bookie]],BetTable[[B3]:[B3]],$A10,BetTable[[Date]:[Date]], "&gt;="&amp;L$8,BetTable[[Date]:[Date]],"&lt;="&amp;EOMONTH(L$8,0))</f>
        <v>0</v>
      </c>
      <c r="M10" s="126">
        <f>SUMIFS(DWbonus[[Sum]:[Sum]],DWbonus[[Dato]:[Dato]], "&gt;="&amp;M$8,DWbonus[[Dato]:[Dato]],"&lt;="&amp;EOMONTH(M$8,0),DWbonus[[Bookie]:[Bookie]],$A10)+SUMIFS(LayTable[[Faktisk res]:[Faktisk res]],LayTable[[Dato]:[Dato]],"&gt;="&amp;M$8,LayTable[[Dato]:[Dato]],"&lt;="&amp;EOMONTH(M$8,0),LayTable[[Bookmaker]:[Bookmaker]],$A10)+SUMIFS(BetTable[[AR_per_bookie]:[AR_per_bookie]],BetTable[[B1]:[B1]],$A10,BetTable[[Date]:[Date]], "&gt;="&amp;M$8,BetTable[[Date]:[Date]],"&lt;="&amp;EOMONTH(M$8,0))+SUMIFS(BetTable[[AR_per_bookie]:[AR_per_bookie]],BetTable[[B2]:[B2]],$A10,BetTable[[Date]:[Date]], "&gt;="&amp;M$8,BetTable[[Date]:[Date]],"&lt;="&amp;EOMONTH(M$8,0))+SUMIFS(BetTable[[AR_per_bookie]:[AR_per_bookie]],BetTable[[B3]:[B3]],$A10,BetTable[[Date]:[Date]], "&gt;="&amp;M$8,BetTable[[Date]:[Date]],"&lt;="&amp;EOMONTH(M$8,0))</f>
        <v>0</v>
      </c>
      <c r="N10" s="126">
        <f>SUMIFS(DWbonus[[Sum]:[Sum]],DWbonus[[Dato]:[Dato]], "&gt;="&amp;N$8,DWbonus[[Dato]:[Dato]],"&lt;="&amp;EOMONTH(N$8,0),DWbonus[[Bookie]:[Bookie]],$A10)+SUMIFS(LayTable[[Faktisk res]:[Faktisk res]],LayTable[[Dato]:[Dato]],"&gt;="&amp;N$8,LayTable[[Dato]:[Dato]],"&lt;="&amp;EOMONTH(N$8,0),LayTable[[Bookmaker]:[Bookmaker]],$A10)+SUMIFS(BetTable[[AR_per_bookie]:[AR_per_bookie]],BetTable[[B1]:[B1]],$A10,BetTable[[Date]:[Date]], "&gt;="&amp;N$8,BetTable[[Date]:[Date]],"&lt;="&amp;EOMONTH(N$8,0))+SUMIFS(BetTable[[AR_per_bookie]:[AR_per_bookie]],BetTable[[B2]:[B2]],$A10,BetTable[[Date]:[Date]], "&gt;="&amp;N$8,BetTable[[Date]:[Date]],"&lt;="&amp;EOMONTH(N$8,0))+SUMIFS(BetTable[[AR_per_bookie]:[AR_per_bookie]],BetTable[[B3]:[B3]],$A10,BetTable[[Date]:[Date]], "&gt;="&amp;N$8,BetTable[[Date]:[Date]],"&lt;="&amp;EOMONTH(N$8,0))</f>
        <v>0</v>
      </c>
      <c r="O10" s="126">
        <f>SUMIFS(DWbonus[[Sum]:[Sum]],DWbonus[[Dato]:[Dato]], "&gt;="&amp;O$8,DWbonus[[Dato]:[Dato]],"&lt;="&amp;EOMONTH(O$8,0),DWbonus[[Bookie]:[Bookie]],$A10)+SUMIFS(LayTable[[Faktisk res]:[Faktisk res]],LayTable[[Dato]:[Dato]],"&gt;="&amp;O$8,LayTable[[Dato]:[Dato]],"&lt;="&amp;EOMONTH(O$8,0),LayTable[[Bookmaker]:[Bookmaker]],$A10)+SUMIFS(BetTable[[AR_per_bookie]:[AR_per_bookie]],BetTable[[B1]:[B1]],$A10,BetTable[[Date]:[Date]], "&gt;="&amp;O$8,BetTable[[Date]:[Date]],"&lt;="&amp;EOMONTH(O$8,0))+SUMIFS(BetTable[[AR_per_bookie]:[AR_per_bookie]],BetTable[[B2]:[B2]],$A10,BetTable[[Date]:[Date]], "&gt;="&amp;O$8,BetTable[[Date]:[Date]],"&lt;="&amp;EOMONTH(O$8,0))+SUMIFS(BetTable[[AR_per_bookie]:[AR_per_bookie]],BetTable[[B3]:[B3]],$A10,BetTable[[Date]:[Date]], "&gt;="&amp;O$8,BetTable[[Date]:[Date]],"&lt;="&amp;EOMONTH(O$8,0))</f>
        <v>0</v>
      </c>
      <c r="P10" s="126">
        <f>SUMIFS(DWbonus[[Sum]:[Sum]],DWbonus[[Dato]:[Dato]], "&gt;="&amp;P$8,DWbonus[[Dato]:[Dato]],"&lt;="&amp;EOMONTH(P$8,0),DWbonus[[Bookie]:[Bookie]],$A10)+SUMIFS(LayTable[[Faktisk res]:[Faktisk res]],LayTable[[Dato]:[Dato]],"&gt;="&amp;P$8,LayTable[[Dato]:[Dato]],"&lt;="&amp;EOMONTH(P$8,0),LayTable[[Bookmaker]:[Bookmaker]],$A10)+SUMIFS(BetTable[[AR_per_bookie]:[AR_per_bookie]],BetTable[[B1]:[B1]],$A10,BetTable[[Date]:[Date]], "&gt;="&amp;P$8,BetTable[[Date]:[Date]],"&lt;="&amp;EOMONTH(P$8,0))+SUMIFS(BetTable[[AR_per_bookie]:[AR_per_bookie]],BetTable[[B2]:[B2]],$A10,BetTable[[Date]:[Date]], "&gt;="&amp;P$8,BetTable[[Date]:[Date]],"&lt;="&amp;EOMONTH(P$8,0))+SUMIFS(BetTable[[AR_per_bookie]:[AR_per_bookie]],BetTable[[B3]:[B3]],$A10,BetTable[[Date]:[Date]], "&gt;="&amp;P$8,BetTable[[Date]:[Date]],"&lt;="&amp;EOMONTH(P$8,0))</f>
        <v>0</v>
      </c>
      <c r="Q10" s="126">
        <f>SUMIFS(DWbonus[[Sum]:[Sum]],DWbonus[[Dato]:[Dato]], "&gt;="&amp;Q$8,DWbonus[[Dato]:[Dato]],"&lt;="&amp;EOMONTH(Q$8,0),DWbonus[[Bookie]:[Bookie]],$A10)+SUMIFS(LayTable[[Faktisk res]:[Faktisk res]],LayTable[[Dato]:[Dato]],"&gt;="&amp;Q$8,LayTable[[Dato]:[Dato]],"&lt;="&amp;EOMONTH(Q$8,0),LayTable[[Bookmaker]:[Bookmaker]],$A10)+SUMIFS(BetTable[[AR_per_bookie]:[AR_per_bookie]],BetTable[[B1]:[B1]],$A10,BetTable[[Date]:[Date]], "&gt;="&amp;Q$8,BetTable[[Date]:[Date]],"&lt;="&amp;EOMONTH(Q$8,0))+SUMIFS(BetTable[[AR_per_bookie]:[AR_per_bookie]],BetTable[[B2]:[B2]],$A10,BetTable[[Date]:[Date]], "&gt;="&amp;Q$8,BetTable[[Date]:[Date]],"&lt;="&amp;EOMONTH(Q$8,0))+SUMIFS(BetTable[[AR_per_bookie]:[AR_per_bookie]],BetTable[[B3]:[B3]],$A10,BetTable[[Date]:[Date]], "&gt;="&amp;Q$8,BetTable[[Date]:[Date]],"&lt;="&amp;EOMONTH(Q$8,0))</f>
        <v>0</v>
      </c>
      <c r="R10" s="126">
        <f>SUMIFS(DWbonus[[Sum]:[Sum]],DWbonus[[Dato]:[Dato]], "&gt;="&amp;R$8,DWbonus[[Dato]:[Dato]],"&lt;="&amp;EOMONTH(R$8,0),DWbonus[[Bookie]:[Bookie]],$A10)+SUMIFS(LayTable[[Faktisk res]:[Faktisk res]],LayTable[[Dato]:[Dato]],"&gt;="&amp;R$8,LayTable[[Dato]:[Dato]],"&lt;="&amp;EOMONTH(R$8,0),LayTable[[Bookmaker]:[Bookmaker]],$A10)+SUMIFS(BetTable[[AR_per_bookie]:[AR_per_bookie]],BetTable[[B1]:[B1]],$A10,BetTable[[Date]:[Date]], "&gt;="&amp;R$8,BetTable[[Date]:[Date]],"&lt;="&amp;EOMONTH(R$8,0))+SUMIFS(BetTable[[AR_per_bookie]:[AR_per_bookie]],BetTable[[B2]:[B2]],$A10,BetTable[[Date]:[Date]], "&gt;="&amp;R$8,BetTable[[Date]:[Date]],"&lt;="&amp;EOMONTH(R$8,0))+SUMIFS(BetTable[[AR_per_bookie]:[AR_per_bookie]],BetTable[[B3]:[B3]],$A10,BetTable[[Date]:[Date]], "&gt;="&amp;R$8,BetTable[[Date]:[Date]],"&lt;="&amp;EOMONTH(R$8,0))</f>
        <v>0</v>
      </c>
      <c r="S10" s="126">
        <f>SUMIFS(DWbonus[[Sum]:[Sum]],DWbonus[[Dato]:[Dato]], "&gt;="&amp;S$8,DWbonus[[Dato]:[Dato]],"&lt;="&amp;EOMONTH(S$8,0),DWbonus[[Bookie]:[Bookie]],$A10)+SUMIFS(LayTable[[Faktisk res]:[Faktisk res]],LayTable[[Dato]:[Dato]],"&gt;="&amp;S$8,LayTable[[Dato]:[Dato]],"&lt;="&amp;EOMONTH(S$8,0),LayTable[[Bookmaker]:[Bookmaker]],$A10)+SUMIFS(BetTable[[AR_per_bookie]:[AR_per_bookie]],BetTable[[B1]:[B1]],$A10,BetTable[[Date]:[Date]], "&gt;="&amp;S$8,BetTable[[Date]:[Date]],"&lt;="&amp;EOMONTH(S$8,0))+SUMIFS(BetTable[[AR_per_bookie]:[AR_per_bookie]],BetTable[[B2]:[B2]],$A10,BetTable[[Date]:[Date]], "&gt;="&amp;S$8,BetTable[[Date]:[Date]],"&lt;="&amp;EOMONTH(S$8,0))+SUMIFS(BetTable[[AR_per_bookie]:[AR_per_bookie]],BetTable[[B3]:[B3]],$A10,BetTable[[Date]:[Date]], "&gt;="&amp;S$8,BetTable[[Date]:[Date]],"&lt;="&amp;EOMONTH(S$8,0))</f>
        <v>0</v>
      </c>
    </row>
    <row r="11" spans="1:19">
      <c r="A11" s="115" t="str">
        <f>BookieNavn!I3</f>
        <v>888Sports</v>
      </c>
      <c r="B11" s="126">
        <f>SUMIF(Penger!D$1:D$50072,A11,Penger!F$1:F$50072)</f>
        <v>0</v>
      </c>
      <c r="C11" s="126">
        <f>SUMIF(Penger!T$1:T$50072,A11,Penger!U$1:U$50072)</f>
        <v>0</v>
      </c>
      <c r="D11" s="126">
        <f ca="1">SUMIF(Spill!C$1:C$499895,A11,Spill!T$1:T$49895)+C11</f>
        <v>0</v>
      </c>
      <c r="E11" s="126">
        <f>SUMIF(Spill!C$1:C$49895,A11,Spill!T$1:T$49895)</f>
        <v>0</v>
      </c>
      <c r="F11" s="121" t="e">
        <f ca="1">D11/C11</f>
        <v>#DIV/0!</v>
      </c>
      <c r="H11" s="126">
        <f>SUMIFS(DWbonus[[Sum]:[Sum]],DWbonus[[Dato]:[Dato]], "&gt;="&amp;H$8,DWbonus[[Dato]:[Dato]],"&lt;="&amp;EOMONTH(H$8,0),DWbonus[[Bookie]:[Bookie]],$A11)+SUMIFS(LayTable[[Faktisk res]:[Faktisk res]],LayTable[[Dato]:[Dato]],"&gt;="&amp;H$8,LayTable[[Dato]:[Dato]],"&lt;="&amp;EOMONTH(H$8,0),LayTable[[Bookmaker]:[Bookmaker]],$A11)+SUMIFS(BetTable[[AR_per_bookie]:[AR_per_bookie]],BetTable[[B1]:[B1]],$A11,BetTable[[Date]:[Date]], "&gt;="&amp;H$8,BetTable[[Date]:[Date]],"&lt;="&amp;EOMONTH(H$8,0))+SUMIFS(BetTable[[AR_per_bookie]:[AR_per_bookie]],BetTable[[B2]:[B2]],$A11,BetTable[[Date]:[Date]], "&gt;="&amp;H$8,BetTable[[Date]:[Date]],"&lt;="&amp;EOMONTH(H$8,0))+SUMIFS(BetTable[[AR_per_bookie]:[AR_per_bookie]],BetTable[[B3]:[B3]],$A11,BetTable[[Date]:[Date]], "&gt;="&amp;H$8,BetTable[[Date]:[Date]],"&lt;="&amp;EOMONTH(H$8,0))</f>
        <v>0</v>
      </c>
      <c r="I11" s="126">
        <f>SUMIFS(DWbonus[[Sum]:[Sum]],DWbonus[[Dato]:[Dato]], "&gt;="&amp;I$8,DWbonus[[Dato]:[Dato]],"&lt;="&amp;EOMONTH(I$8,0),DWbonus[[Bookie]:[Bookie]],$A11)+SUMIFS(LayTable[[Faktisk res]:[Faktisk res]],LayTable[[Dato]:[Dato]],"&gt;="&amp;I$8,LayTable[[Dato]:[Dato]],"&lt;="&amp;EOMONTH(I$8,0),LayTable[[Bookmaker]:[Bookmaker]],$A11)+SUMIFS(BetTable[[AR_per_bookie]:[AR_per_bookie]],BetTable[[B1]:[B1]],$A11,BetTable[[Date]:[Date]], "&gt;="&amp;I$8,BetTable[[Date]:[Date]],"&lt;="&amp;EOMONTH(I$8,0))+SUMIFS(BetTable[[AR_per_bookie]:[AR_per_bookie]],BetTable[[B2]:[B2]],$A11,BetTable[[Date]:[Date]], "&gt;="&amp;I$8,BetTable[[Date]:[Date]],"&lt;="&amp;EOMONTH(I$8,0))+SUMIFS(BetTable[[AR_per_bookie]:[AR_per_bookie]],BetTable[[B3]:[B3]],$A11,BetTable[[Date]:[Date]], "&gt;="&amp;I$8,BetTable[[Date]:[Date]],"&lt;="&amp;EOMONTH(I$8,0))</f>
        <v>0</v>
      </c>
      <c r="J11" s="126">
        <f>SUMIFS(DWbonus[[Sum]:[Sum]],DWbonus[[Dato]:[Dato]], "&gt;="&amp;J$8,DWbonus[[Dato]:[Dato]],"&lt;="&amp;EOMONTH(J$8,0),DWbonus[[Bookie]:[Bookie]],$A11)+SUMIFS(LayTable[[Faktisk res]:[Faktisk res]],LayTable[[Dato]:[Dato]],"&gt;="&amp;J$8,LayTable[[Dato]:[Dato]],"&lt;="&amp;EOMONTH(J$8,0),LayTable[[Bookmaker]:[Bookmaker]],$A11)+SUMIFS(BetTable[[AR_per_bookie]:[AR_per_bookie]],BetTable[[B1]:[B1]],$A11,BetTable[[Date]:[Date]], "&gt;="&amp;J$8,BetTable[[Date]:[Date]],"&lt;="&amp;EOMONTH(J$8,0))+SUMIFS(BetTable[[AR_per_bookie]:[AR_per_bookie]],BetTable[[B2]:[B2]],$A11,BetTable[[Date]:[Date]], "&gt;="&amp;J$8,BetTable[[Date]:[Date]],"&lt;="&amp;EOMONTH(J$8,0))+SUMIFS(BetTable[[AR_per_bookie]:[AR_per_bookie]],BetTable[[B3]:[B3]],$A11,BetTable[[Date]:[Date]], "&gt;="&amp;J$8,BetTable[[Date]:[Date]],"&lt;="&amp;EOMONTH(J$8,0))</f>
        <v>0</v>
      </c>
      <c r="K11" s="126">
        <f>SUMIFS(DWbonus[[Sum]:[Sum]],DWbonus[[Dato]:[Dato]], "&gt;="&amp;K$8,DWbonus[[Dato]:[Dato]],"&lt;="&amp;EOMONTH(K$8,0),DWbonus[[Bookie]:[Bookie]],$A11)+SUMIFS(LayTable[[Faktisk res]:[Faktisk res]],LayTable[[Dato]:[Dato]],"&gt;="&amp;K$8,LayTable[[Dato]:[Dato]],"&lt;="&amp;EOMONTH(K$8,0),LayTable[[Bookmaker]:[Bookmaker]],$A11)+SUMIFS(BetTable[[AR_per_bookie]:[AR_per_bookie]],BetTable[[B1]:[B1]],$A11,BetTable[[Date]:[Date]], "&gt;="&amp;K$8,BetTable[[Date]:[Date]],"&lt;="&amp;EOMONTH(K$8,0))+SUMIFS(BetTable[[AR_per_bookie]:[AR_per_bookie]],BetTable[[B2]:[B2]],$A11,BetTable[[Date]:[Date]], "&gt;="&amp;K$8,BetTable[[Date]:[Date]],"&lt;="&amp;EOMONTH(K$8,0))+SUMIFS(BetTable[[AR_per_bookie]:[AR_per_bookie]],BetTable[[B3]:[B3]],$A11,BetTable[[Date]:[Date]], "&gt;="&amp;K$8,BetTable[[Date]:[Date]],"&lt;="&amp;EOMONTH(K$8,0))</f>
        <v>0</v>
      </c>
      <c r="L11" s="126">
        <f>SUMIFS(DWbonus[[Sum]:[Sum]],DWbonus[[Dato]:[Dato]], "&gt;="&amp;L$8,DWbonus[[Dato]:[Dato]],"&lt;="&amp;EOMONTH(L$8,0),DWbonus[[Bookie]:[Bookie]],$A11)+SUMIFS(LayTable[[Faktisk res]:[Faktisk res]],LayTable[[Dato]:[Dato]],"&gt;="&amp;L$8,LayTable[[Dato]:[Dato]],"&lt;="&amp;EOMONTH(L$8,0),LayTable[[Bookmaker]:[Bookmaker]],$A11)+SUMIFS(BetTable[[AR_per_bookie]:[AR_per_bookie]],BetTable[[B1]:[B1]],$A11,BetTable[[Date]:[Date]], "&gt;="&amp;L$8,BetTable[[Date]:[Date]],"&lt;="&amp;EOMONTH(L$8,0))+SUMIFS(BetTable[[AR_per_bookie]:[AR_per_bookie]],BetTable[[B2]:[B2]],$A11,BetTable[[Date]:[Date]], "&gt;="&amp;L$8,BetTable[[Date]:[Date]],"&lt;="&amp;EOMONTH(L$8,0))+SUMIFS(BetTable[[AR_per_bookie]:[AR_per_bookie]],BetTable[[B3]:[B3]],$A11,BetTable[[Date]:[Date]], "&gt;="&amp;L$8,BetTable[[Date]:[Date]],"&lt;="&amp;EOMONTH(L$8,0))</f>
        <v>0</v>
      </c>
      <c r="M11" s="126">
        <f>SUMIFS(DWbonus[[Sum]:[Sum]],DWbonus[[Dato]:[Dato]], "&gt;="&amp;M$8,DWbonus[[Dato]:[Dato]],"&lt;="&amp;EOMONTH(M$8,0),DWbonus[[Bookie]:[Bookie]],$A11)+SUMIFS(LayTable[[Faktisk res]:[Faktisk res]],LayTable[[Dato]:[Dato]],"&gt;="&amp;M$8,LayTable[[Dato]:[Dato]],"&lt;="&amp;EOMONTH(M$8,0),LayTable[[Bookmaker]:[Bookmaker]],$A11)+SUMIFS(BetTable[[AR_per_bookie]:[AR_per_bookie]],BetTable[[B1]:[B1]],$A11,BetTable[[Date]:[Date]], "&gt;="&amp;M$8,BetTable[[Date]:[Date]],"&lt;="&amp;EOMONTH(M$8,0))+SUMIFS(BetTable[[AR_per_bookie]:[AR_per_bookie]],BetTable[[B2]:[B2]],$A11,BetTable[[Date]:[Date]], "&gt;="&amp;M$8,BetTable[[Date]:[Date]],"&lt;="&amp;EOMONTH(M$8,0))+SUMIFS(BetTable[[AR_per_bookie]:[AR_per_bookie]],BetTable[[B3]:[B3]],$A11,BetTable[[Date]:[Date]], "&gt;="&amp;M$8,BetTable[[Date]:[Date]],"&lt;="&amp;EOMONTH(M$8,0))</f>
        <v>0</v>
      </c>
      <c r="N11" s="126">
        <f>SUMIFS(DWbonus[[Sum]:[Sum]],DWbonus[[Dato]:[Dato]], "&gt;="&amp;N$8,DWbonus[[Dato]:[Dato]],"&lt;="&amp;EOMONTH(N$8,0),DWbonus[[Bookie]:[Bookie]],$A11)+SUMIFS(LayTable[[Faktisk res]:[Faktisk res]],LayTable[[Dato]:[Dato]],"&gt;="&amp;N$8,LayTable[[Dato]:[Dato]],"&lt;="&amp;EOMONTH(N$8,0),LayTable[[Bookmaker]:[Bookmaker]],$A11)+SUMIFS(BetTable[[AR_per_bookie]:[AR_per_bookie]],BetTable[[B1]:[B1]],$A11,BetTable[[Date]:[Date]], "&gt;="&amp;N$8,BetTable[[Date]:[Date]],"&lt;="&amp;EOMONTH(N$8,0))+SUMIFS(BetTable[[AR_per_bookie]:[AR_per_bookie]],BetTable[[B2]:[B2]],$A11,BetTable[[Date]:[Date]], "&gt;="&amp;N$8,BetTable[[Date]:[Date]],"&lt;="&amp;EOMONTH(N$8,0))+SUMIFS(BetTable[[AR_per_bookie]:[AR_per_bookie]],BetTable[[B3]:[B3]],$A11,BetTable[[Date]:[Date]], "&gt;="&amp;N$8,BetTable[[Date]:[Date]],"&lt;="&amp;EOMONTH(N$8,0))</f>
        <v>0</v>
      </c>
      <c r="O11" s="126">
        <f>SUMIFS(DWbonus[[Sum]:[Sum]],DWbonus[[Dato]:[Dato]], "&gt;="&amp;O$8,DWbonus[[Dato]:[Dato]],"&lt;="&amp;EOMONTH(O$8,0),DWbonus[[Bookie]:[Bookie]],$A11)+SUMIFS(LayTable[[Faktisk res]:[Faktisk res]],LayTable[[Dato]:[Dato]],"&gt;="&amp;O$8,LayTable[[Dato]:[Dato]],"&lt;="&amp;EOMONTH(O$8,0),LayTable[[Bookmaker]:[Bookmaker]],$A11)+SUMIFS(BetTable[[AR_per_bookie]:[AR_per_bookie]],BetTable[[B1]:[B1]],$A11,BetTable[[Date]:[Date]], "&gt;="&amp;O$8,BetTable[[Date]:[Date]],"&lt;="&amp;EOMONTH(O$8,0))+SUMIFS(BetTable[[AR_per_bookie]:[AR_per_bookie]],BetTable[[B2]:[B2]],$A11,BetTable[[Date]:[Date]], "&gt;="&amp;O$8,BetTable[[Date]:[Date]],"&lt;="&amp;EOMONTH(O$8,0))+SUMIFS(BetTable[[AR_per_bookie]:[AR_per_bookie]],BetTable[[B3]:[B3]],$A11,BetTable[[Date]:[Date]], "&gt;="&amp;O$8,BetTable[[Date]:[Date]],"&lt;="&amp;EOMONTH(O$8,0))</f>
        <v>0</v>
      </c>
      <c r="P11" s="126">
        <f>SUMIFS(DWbonus[[Sum]:[Sum]],DWbonus[[Dato]:[Dato]], "&gt;="&amp;P$8,DWbonus[[Dato]:[Dato]],"&lt;="&amp;EOMONTH(P$8,0),DWbonus[[Bookie]:[Bookie]],$A11)+SUMIFS(LayTable[[Faktisk res]:[Faktisk res]],LayTable[[Dato]:[Dato]],"&gt;="&amp;P$8,LayTable[[Dato]:[Dato]],"&lt;="&amp;EOMONTH(P$8,0),LayTable[[Bookmaker]:[Bookmaker]],$A11)+SUMIFS(BetTable[[AR_per_bookie]:[AR_per_bookie]],BetTable[[B1]:[B1]],$A11,BetTable[[Date]:[Date]], "&gt;="&amp;P$8,BetTable[[Date]:[Date]],"&lt;="&amp;EOMONTH(P$8,0))+SUMIFS(BetTable[[AR_per_bookie]:[AR_per_bookie]],BetTable[[B2]:[B2]],$A11,BetTable[[Date]:[Date]], "&gt;="&amp;P$8,BetTable[[Date]:[Date]],"&lt;="&amp;EOMONTH(P$8,0))+SUMIFS(BetTable[[AR_per_bookie]:[AR_per_bookie]],BetTable[[B3]:[B3]],$A11,BetTable[[Date]:[Date]], "&gt;="&amp;P$8,BetTable[[Date]:[Date]],"&lt;="&amp;EOMONTH(P$8,0))</f>
        <v>0</v>
      </c>
      <c r="Q11" s="126">
        <f>SUMIFS(DWbonus[[Sum]:[Sum]],DWbonus[[Dato]:[Dato]], "&gt;="&amp;Q$8,DWbonus[[Dato]:[Dato]],"&lt;="&amp;EOMONTH(Q$8,0),DWbonus[[Bookie]:[Bookie]],$A11)+SUMIFS(LayTable[[Faktisk res]:[Faktisk res]],LayTable[[Dato]:[Dato]],"&gt;="&amp;Q$8,LayTable[[Dato]:[Dato]],"&lt;="&amp;EOMONTH(Q$8,0),LayTable[[Bookmaker]:[Bookmaker]],$A11)+SUMIFS(BetTable[[AR_per_bookie]:[AR_per_bookie]],BetTable[[B1]:[B1]],$A11,BetTable[[Date]:[Date]], "&gt;="&amp;Q$8,BetTable[[Date]:[Date]],"&lt;="&amp;EOMONTH(Q$8,0))+SUMIFS(BetTable[[AR_per_bookie]:[AR_per_bookie]],BetTable[[B2]:[B2]],$A11,BetTable[[Date]:[Date]], "&gt;="&amp;Q$8,BetTable[[Date]:[Date]],"&lt;="&amp;EOMONTH(Q$8,0))+SUMIFS(BetTable[[AR_per_bookie]:[AR_per_bookie]],BetTable[[B3]:[B3]],$A11,BetTable[[Date]:[Date]], "&gt;="&amp;Q$8,BetTable[[Date]:[Date]],"&lt;="&amp;EOMONTH(Q$8,0))</f>
        <v>0</v>
      </c>
      <c r="R11" s="126">
        <f>SUMIFS(DWbonus[[Sum]:[Sum]],DWbonus[[Dato]:[Dato]], "&gt;="&amp;R$8,DWbonus[[Dato]:[Dato]],"&lt;="&amp;EOMONTH(R$8,0),DWbonus[[Bookie]:[Bookie]],$A11)+SUMIFS(LayTable[[Faktisk res]:[Faktisk res]],LayTable[[Dato]:[Dato]],"&gt;="&amp;R$8,LayTable[[Dato]:[Dato]],"&lt;="&amp;EOMONTH(R$8,0),LayTable[[Bookmaker]:[Bookmaker]],$A11)+SUMIFS(BetTable[[AR_per_bookie]:[AR_per_bookie]],BetTable[[B1]:[B1]],$A11,BetTable[[Date]:[Date]], "&gt;="&amp;R$8,BetTable[[Date]:[Date]],"&lt;="&amp;EOMONTH(R$8,0))+SUMIFS(BetTable[[AR_per_bookie]:[AR_per_bookie]],BetTable[[B2]:[B2]],$A11,BetTable[[Date]:[Date]], "&gt;="&amp;R$8,BetTable[[Date]:[Date]],"&lt;="&amp;EOMONTH(R$8,0))+SUMIFS(BetTable[[AR_per_bookie]:[AR_per_bookie]],BetTable[[B3]:[B3]],$A11,BetTable[[Date]:[Date]], "&gt;="&amp;R$8,BetTable[[Date]:[Date]],"&lt;="&amp;EOMONTH(R$8,0))</f>
        <v>0</v>
      </c>
      <c r="S11" s="126">
        <f>SUMIFS(DWbonus[[Sum]:[Sum]],DWbonus[[Dato]:[Dato]], "&gt;="&amp;S$8,DWbonus[[Dato]:[Dato]],"&lt;="&amp;EOMONTH(S$8,0),DWbonus[[Bookie]:[Bookie]],$A11)+SUMIFS(LayTable[[Faktisk res]:[Faktisk res]],LayTable[[Dato]:[Dato]],"&gt;="&amp;S$8,LayTable[[Dato]:[Dato]],"&lt;="&amp;EOMONTH(S$8,0),LayTable[[Bookmaker]:[Bookmaker]],$A11)+SUMIFS(BetTable[[AR_per_bookie]:[AR_per_bookie]],BetTable[[B1]:[B1]],$A11,BetTable[[Date]:[Date]], "&gt;="&amp;S$8,BetTable[[Date]:[Date]],"&lt;="&amp;EOMONTH(S$8,0))+SUMIFS(BetTable[[AR_per_bookie]:[AR_per_bookie]],BetTable[[B2]:[B2]],$A11,BetTable[[Date]:[Date]], "&gt;="&amp;S$8,BetTable[[Date]:[Date]],"&lt;="&amp;EOMONTH(S$8,0))+SUMIFS(BetTable[[AR_per_bookie]:[AR_per_bookie]],BetTable[[B3]:[B3]],$A11,BetTable[[Date]:[Date]], "&gt;="&amp;S$8,BetTable[[Date]:[Date]],"&lt;="&amp;EOMONTH(S$8,0))</f>
        <v>0</v>
      </c>
    </row>
    <row r="12" spans="1:19">
      <c r="A12" s="115" t="str">
        <f>BookieNavn!I4</f>
        <v>Bet21</v>
      </c>
      <c r="B12" s="126">
        <f>SUMIF(Penger!D$1:D$50072,A12,Penger!F$1:F$50072)</f>
        <v>0</v>
      </c>
      <c r="C12" s="126">
        <f>SUMIF(Penger!T$1:T$50072,A12,Penger!U$1:U$50072)</f>
        <v>0</v>
      </c>
      <c r="D12" s="126">
        <f ca="1">SUMIF(Spill!C$1:C$499895,A12,Spill!T$1:T$49895)+C12</f>
        <v>0</v>
      </c>
      <c r="E12" s="126">
        <f>SUMIF(Spill!C$1:C$49895,A12,Spill!T$1:T$49895)</f>
        <v>0</v>
      </c>
      <c r="F12" s="121" t="e">
        <f t="shared" ref="F12:F75" ca="1" si="1">D12/C12</f>
        <v>#DIV/0!</v>
      </c>
      <c r="H12" s="126">
        <f>SUMIFS(DWbonus[[Sum]:[Sum]],DWbonus[[Dato]:[Dato]], "&gt;="&amp;H$8,DWbonus[[Dato]:[Dato]],"&lt;="&amp;EOMONTH(H$8,0),DWbonus[[Bookie]:[Bookie]],$A12)+SUMIFS(LayTable[[Faktisk res]:[Faktisk res]],LayTable[[Dato]:[Dato]],"&gt;="&amp;H$8,LayTable[[Dato]:[Dato]],"&lt;="&amp;EOMONTH(H$8,0),LayTable[[Bookmaker]:[Bookmaker]],$A12)+SUMIFS(BetTable[[AR_per_bookie]:[AR_per_bookie]],BetTable[[B1]:[B1]],$A12,BetTable[[Date]:[Date]], "&gt;="&amp;H$8,BetTable[[Date]:[Date]],"&lt;="&amp;EOMONTH(H$8,0))+SUMIFS(BetTable[[AR_per_bookie]:[AR_per_bookie]],BetTable[[B2]:[B2]],$A12,BetTable[[Date]:[Date]], "&gt;="&amp;H$8,BetTable[[Date]:[Date]],"&lt;="&amp;EOMONTH(H$8,0))+SUMIFS(BetTable[[AR_per_bookie]:[AR_per_bookie]],BetTable[[B3]:[B3]],$A12,BetTable[[Date]:[Date]], "&gt;="&amp;H$8,BetTable[[Date]:[Date]],"&lt;="&amp;EOMONTH(H$8,0))</f>
        <v>0</v>
      </c>
      <c r="I12" s="126">
        <f>SUMIFS(DWbonus[[Sum]:[Sum]],DWbonus[[Dato]:[Dato]], "&gt;="&amp;I$8,DWbonus[[Dato]:[Dato]],"&lt;="&amp;EOMONTH(I$8,0),DWbonus[[Bookie]:[Bookie]],$A12)+SUMIFS(LayTable[[Faktisk res]:[Faktisk res]],LayTable[[Dato]:[Dato]],"&gt;="&amp;I$8,LayTable[[Dato]:[Dato]],"&lt;="&amp;EOMONTH(I$8,0),LayTable[[Bookmaker]:[Bookmaker]],$A12)+SUMIFS(BetTable[[AR_per_bookie]:[AR_per_bookie]],BetTable[[B1]:[B1]],$A12,BetTable[[Date]:[Date]], "&gt;="&amp;I$8,BetTable[[Date]:[Date]],"&lt;="&amp;EOMONTH(I$8,0))+SUMIFS(BetTable[[AR_per_bookie]:[AR_per_bookie]],BetTable[[B2]:[B2]],$A12,BetTable[[Date]:[Date]], "&gt;="&amp;I$8,BetTable[[Date]:[Date]],"&lt;="&amp;EOMONTH(I$8,0))+SUMIFS(BetTable[[AR_per_bookie]:[AR_per_bookie]],BetTable[[B3]:[B3]],$A12,BetTable[[Date]:[Date]], "&gt;="&amp;I$8,BetTable[[Date]:[Date]],"&lt;="&amp;EOMONTH(I$8,0))</f>
        <v>0</v>
      </c>
      <c r="J12" s="126">
        <f>SUMIFS(DWbonus[[Sum]:[Sum]],DWbonus[[Dato]:[Dato]], "&gt;="&amp;J$8,DWbonus[[Dato]:[Dato]],"&lt;="&amp;EOMONTH(J$8,0),DWbonus[[Bookie]:[Bookie]],$A12)+SUMIFS(LayTable[[Faktisk res]:[Faktisk res]],LayTable[[Dato]:[Dato]],"&gt;="&amp;J$8,LayTable[[Dato]:[Dato]],"&lt;="&amp;EOMONTH(J$8,0),LayTable[[Bookmaker]:[Bookmaker]],$A12)+SUMIFS(BetTable[[AR_per_bookie]:[AR_per_bookie]],BetTable[[B1]:[B1]],$A12,BetTable[[Date]:[Date]], "&gt;="&amp;J$8,BetTable[[Date]:[Date]],"&lt;="&amp;EOMONTH(J$8,0))+SUMIFS(BetTable[[AR_per_bookie]:[AR_per_bookie]],BetTable[[B2]:[B2]],$A12,BetTable[[Date]:[Date]], "&gt;="&amp;J$8,BetTable[[Date]:[Date]],"&lt;="&amp;EOMONTH(J$8,0))+SUMIFS(BetTable[[AR_per_bookie]:[AR_per_bookie]],BetTable[[B3]:[B3]],$A12,BetTable[[Date]:[Date]], "&gt;="&amp;J$8,BetTable[[Date]:[Date]],"&lt;="&amp;EOMONTH(J$8,0))</f>
        <v>0</v>
      </c>
      <c r="K12" s="126">
        <f>SUMIFS(DWbonus[[Sum]:[Sum]],DWbonus[[Dato]:[Dato]], "&gt;="&amp;K$8,DWbonus[[Dato]:[Dato]],"&lt;="&amp;EOMONTH(K$8,0),DWbonus[[Bookie]:[Bookie]],$A12)+SUMIFS(LayTable[[Faktisk res]:[Faktisk res]],LayTable[[Dato]:[Dato]],"&gt;="&amp;K$8,LayTable[[Dato]:[Dato]],"&lt;="&amp;EOMONTH(K$8,0),LayTable[[Bookmaker]:[Bookmaker]],$A12)+SUMIFS(BetTable[[AR_per_bookie]:[AR_per_bookie]],BetTable[[B1]:[B1]],$A12,BetTable[[Date]:[Date]], "&gt;="&amp;K$8,BetTable[[Date]:[Date]],"&lt;="&amp;EOMONTH(K$8,0))+SUMIFS(BetTable[[AR_per_bookie]:[AR_per_bookie]],BetTable[[B2]:[B2]],$A12,BetTable[[Date]:[Date]], "&gt;="&amp;K$8,BetTable[[Date]:[Date]],"&lt;="&amp;EOMONTH(K$8,0))+SUMIFS(BetTable[[AR_per_bookie]:[AR_per_bookie]],BetTable[[B3]:[B3]],$A12,BetTable[[Date]:[Date]], "&gt;="&amp;K$8,BetTable[[Date]:[Date]],"&lt;="&amp;EOMONTH(K$8,0))</f>
        <v>0</v>
      </c>
      <c r="L12" s="126">
        <f>SUMIFS(DWbonus[[Sum]:[Sum]],DWbonus[[Dato]:[Dato]], "&gt;="&amp;L$8,DWbonus[[Dato]:[Dato]],"&lt;="&amp;EOMONTH(L$8,0),DWbonus[[Bookie]:[Bookie]],$A12)+SUMIFS(LayTable[[Faktisk res]:[Faktisk res]],LayTable[[Dato]:[Dato]],"&gt;="&amp;L$8,LayTable[[Dato]:[Dato]],"&lt;="&amp;EOMONTH(L$8,0),LayTable[[Bookmaker]:[Bookmaker]],$A12)+SUMIFS(BetTable[[AR_per_bookie]:[AR_per_bookie]],BetTable[[B1]:[B1]],$A12,BetTable[[Date]:[Date]], "&gt;="&amp;L$8,BetTable[[Date]:[Date]],"&lt;="&amp;EOMONTH(L$8,0))+SUMIFS(BetTable[[AR_per_bookie]:[AR_per_bookie]],BetTable[[B2]:[B2]],$A12,BetTable[[Date]:[Date]], "&gt;="&amp;L$8,BetTable[[Date]:[Date]],"&lt;="&amp;EOMONTH(L$8,0))+SUMIFS(BetTable[[AR_per_bookie]:[AR_per_bookie]],BetTable[[B3]:[B3]],$A12,BetTable[[Date]:[Date]], "&gt;="&amp;L$8,BetTable[[Date]:[Date]],"&lt;="&amp;EOMONTH(L$8,0))</f>
        <v>0</v>
      </c>
      <c r="M12" s="126">
        <f>SUMIFS(DWbonus[[Sum]:[Sum]],DWbonus[[Dato]:[Dato]], "&gt;="&amp;M$8,DWbonus[[Dato]:[Dato]],"&lt;="&amp;EOMONTH(M$8,0),DWbonus[[Bookie]:[Bookie]],$A12)+SUMIFS(LayTable[[Faktisk res]:[Faktisk res]],LayTable[[Dato]:[Dato]],"&gt;="&amp;M$8,LayTable[[Dato]:[Dato]],"&lt;="&amp;EOMONTH(M$8,0),LayTable[[Bookmaker]:[Bookmaker]],$A12)+SUMIFS(BetTable[[AR_per_bookie]:[AR_per_bookie]],BetTable[[B1]:[B1]],$A12,BetTable[[Date]:[Date]], "&gt;="&amp;M$8,BetTable[[Date]:[Date]],"&lt;="&amp;EOMONTH(M$8,0))+SUMIFS(BetTable[[AR_per_bookie]:[AR_per_bookie]],BetTable[[B2]:[B2]],$A12,BetTable[[Date]:[Date]], "&gt;="&amp;M$8,BetTable[[Date]:[Date]],"&lt;="&amp;EOMONTH(M$8,0))+SUMIFS(BetTable[[AR_per_bookie]:[AR_per_bookie]],BetTable[[B3]:[B3]],$A12,BetTable[[Date]:[Date]], "&gt;="&amp;M$8,BetTable[[Date]:[Date]],"&lt;="&amp;EOMONTH(M$8,0))</f>
        <v>0</v>
      </c>
      <c r="N12" s="126">
        <f>SUMIFS(DWbonus[[Sum]:[Sum]],DWbonus[[Dato]:[Dato]], "&gt;="&amp;N$8,DWbonus[[Dato]:[Dato]],"&lt;="&amp;EOMONTH(N$8,0),DWbonus[[Bookie]:[Bookie]],$A12)+SUMIFS(LayTable[[Faktisk res]:[Faktisk res]],LayTable[[Dato]:[Dato]],"&gt;="&amp;N$8,LayTable[[Dato]:[Dato]],"&lt;="&amp;EOMONTH(N$8,0),LayTable[[Bookmaker]:[Bookmaker]],$A12)+SUMIFS(BetTable[[AR_per_bookie]:[AR_per_bookie]],BetTable[[B1]:[B1]],$A12,BetTable[[Date]:[Date]], "&gt;="&amp;N$8,BetTable[[Date]:[Date]],"&lt;="&amp;EOMONTH(N$8,0))+SUMIFS(BetTable[[AR_per_bookie]:[AR_per_bookie]],BetTable[[B2]:[B2]],$A12,BetTable[[Date]:[Date]], "&gt;="&amp;N$8,BetTable[[Date]:[Date]],"&lt;="&amp;EOMONTH(N$8,0))+SUMIFS(BetTable[[AR_per_bookie]:[AR_per_bookie]],BetTable[[B3]:[B3]],$A12,BetTable[[Date]:[Date]], "&gt;="&amp;N$8,BetTable[[Date]:[Date]],"&lt;="&amp;EOMONTH(N$8,0))</f>
        <v>0</v>
      </c>
      <c r="O12" s="126">
        <f>SUMIFS(DWbonus[[Sum]:[Sum]],DWbonus[[Dato]:[Dato]], "&gt;="&amp;O$8,DWbonus[[Dato]:[Dato]],"&lt;="&amp;EOMONTH(O$8,0),DWbonus[[Bookie]:[Bookie]],$A12)+SUMIFS(LayTable[[Faktisk res]:[Faktisk res]],LayTable[[Dato]:[Dato]],"&gt;="&amp;O$8,LayTable[[Dato]:[Dato]],"&lt;="&amp;EOMONTH(O$8,0),LayTable[[Bookmaker]:[Bookmaker]],$A12)+SUMIFS(BetTable[[AR_per_bookie]:[AR_per_bookie]],BetTable[[B1]:[B1]],$A12,BetTable[[Date]:[Date]], "&gt;="&amp;O$8,BetTable[[Date]:[Date]],"&lt;="&amp;EOMONTH(O$8,0))+SUMIFS(BetTable[[AR_per_bookie]:[AR_per_bookie]],BetTable[[B2]:[B2]],$A12,BetTable[[Date]:[Date]], "&gt;="&amp;O$8,BetTable[[Date]:[Date]],"&lt;="&amp;EOMONTH(O$8,0))+SUMIFS(BetTable[[AR_per_bookie]:[AR_per_bookie]],BetTable[[B3]:[B3]],$A12,BetTable[[Date]:[Date]], "&gt;="&amp;O$8,BetTable[[Date]:[Date]],"&lt;="&amp;EOMONTH(O$8,0))</f>
        <v>0</v>
      </c>
      <c r="P12" s="126">
        <f>SUMIFS(DWbonus[[Sum]:[Sum]],DWbonus[[Dato]:[Dato]], "&gt;="&amp;P$8,DWbonus[[Dato]:[Dato]],"&lt;="&amp;EOMONTH(P$8,0),DWbonus[[Bookie]:[Bookie]],$A12)+SUMIFS(LayTable[[Faktisk res]:[Faktisk res]],LayTable[[Dato]:[Dato]],"&gt;="&amp;P$8,LayTable[[Dato]:[Dato]],"&lt;="&amp;EOMONTH(P$8,0),LayTable[[Bookmaker]:[Bookmaker]],$A12)+SUMIFS(BetTable[[AR_per_bookie]:[AR_per_bookie]],BetTable[[B1]:[B1]],$A12,BetTable[[Date]:[Date]], "&gt;="&amp;P$8,BetTable[[Date]:[Date]],"&lt;="&amp;EOMONTH(P$8,0))+SUMIFS(BetTable[[AR_per_bookie]:[AR_per_bookie]],BetTable[[B2]:[B2]],$A12,BetTable[[Date]:[Date]], "&gt;="&amp;P$8,BetTable[[Date]:[Date]],"&lt;="&amp;EOMONTH(P$8,0))+SUMIFS(BetTable[[AR_per_bookie]:[AR_per_bookie]],BetTable[[B3]:[B3]],$A12,BetTable[[Date]:[Date]], "&gt;="&amp;P$8,BetTable[[Date]:[Date]],"&lt;="&amp;EOMONTH(P$8,0))</f>
        <v>0</v>
      </c>
      <c r="Q12" s="126">
        <f>SUMIFS(DWbonus[[Sum]:[Sum]],DWbonus[[Dato]:[Dato]], "&gt;="&amp;Q$8,DWbonus[[Dato]:[Dato]],"&lt;="&amp;EOMONTH(Q$8,0),DWbonus[[Bookie]:[Bookie]],$A12)+SUMIFS(LayTable[[Faktisk res]:[Faktisk res]],LayTable[[Dato]:[Dato]],"&gt;="&amp;Q$8,LayTable[[Dato]:[Dato]],"&lt;="&amp;EOMONTH(Q$8,0),LayTable[[Bookmaker]:[Bookmaker]],$A12)+SUMIFS(BetTable[[AR_per_bookie]:[AR_per_bookie]],BetTable[[B1]:[B1]],$A12,BetTable[[Date]:[Date]], "&gt;="&amp;Q$8,BetTable[[Date]:[Date]],"&lt;="&amp;EOMONTH(Q$8,0))+SUMIFS(BetTable[[AR_per_bookie]:[AR_per_bookie]],BetTable[[B2]:[B2]],$A12,BetTable[[Date]:[Date]], "&gt;="&amp;Q$8,BetTable[[Date]:[Date]],"&lt;="&amp;EOMONTH(Q$8,0))+SUMIFS(BetTable[[AR_per_bookie]:[AR_per_bookie]],BetTable[[B3]:[B3]],$A12,BetTable[[Date]:[Date]], "&gt;="&amp;Q$8,BetTable[[Date]:[Date]],"&lt;="&amp;EOMONTH(Q$8,0))</f>
        <v>0</v>
      </c>
      <c r="R12" s="126">
        <f>SUMIFS(DWbonus[[Sum]:[Sum]],DWbonus[[Dato]:[Dato]], "&gt;="&amp;R$8,DWbonus[[Dato]:[Dato]],"&lt;="&amp;EOMONTH(R$8,0),DWbonus[[Bookie]:[Bookie]],$A12)+SUMIFS(LayTable[[Faktisk res]:[Faktisk res]],LayTable[[Dato]:[Dato]],"&gt;="&amp;R$8,LayTable[[Dato]:[Dato]],"&lt;="&amp;EOMONTH(R$8,0),LayTable[[Bookmaker]:[Bookmaker]],$A12)+SUMIFS(BetTable[[AR_per_bookie]:[AR_per_bookie]],BetTable[[B1]:[B1]],$A12,BetTable[[Date]:[Date]], "&gt;="&amp;R$8,BetTable[[Date]:[Date]],"&lt;="&amp;EOMONTH(R$8,0))+SUMIFS(BetTable[[AR_per_bookie]:[AR_per_bookie]],BetTable[[B2]:[B2]],$A12,BetTable[[Date]:[Date]], "&gt;="&amp;R$8,BetTable[[Date]:[Date]],"&lt;="&amp;EOMONTH(R$8,0))+SUMIFS(BetTable[[AR_per_bookie]:[AR_per_bookie]],BetTable[[B3]:[B3]],$A12,BetTable[[Date]:[Date]], "&gt;="&amp;R$8,BetTable[[Date]:[Date]],"&lt;="&amp;EOMONTH(R$8,0))</f>
        <v>0</v>
      </c>
      <c r="S12" s="126">
        <f>SUMIFS(DWbonus[[Sum]:[Sum]],DWbonus[[Dato]:[Dato]], "&gt;="&amp;S$8,DWbonus[[Dato]:[Dato]],"&lt;="&amp;EOMONTH(S$8,0),DWbonus[[Bookie]:[Bookie]],$A12)+SUMIFS(LayTable[[Faktisk res]:[Faktisk res]],LayTable[[Dato]:[Dato]],"&gt;="&amp;S$8,LayTable[[Dato]:[Dato]],"&lt;="&amp;EOMONTH(S$8,0),LayTable[[Bookmaker]:[Bookmaker]],$A12)+SUMIFS(BetTable[[AR_per_bookie]:[AR_per_bookie]],BetTable[[B1]:[B1]],$A12,BetTable[[Date]:[Date]], "&gt;="&amp;S$8,BetTable[[Date]:[Date]],"&lt;="&amp;EOMONTH(S$8,0))+SUMIFS(BetTable[[AR_per_bookie]:[AR_per_bookie]],BetTable[[B2]:[B2]],$A12,BetTable[[Date]:[Date]], "&gt;="&amp;S$8,BetTable[[Date]:[Date]],"&lt;="&amp;EOMONTH(S$8,0))+SUMIFS(BetTable[[AR_per_bookie]:[AR_per_bookie]],BetTable[[B3]:[B3]],$A12,BetTable[[Date]:[Date]], "&gt;="&amp;S$8,BetTable[[Date]:[Date]],"&lt;="&amp;EOMONTH(S$8,0))</f>
        <v>0</v>
      </c>
    </row>
    <row r="13" spans="1:19">
      <c r="A13" s="115" t="str">
        <f>BookieNavn!I5</f>
        <v>Bet365</v>
      </c>
      <c r="B13" s="126">
        <f>SUMIF(Penger!D$1:D$50072,A13,Penger!F$1:F$50072)</f>
        <v>0</v>
      </c>
      <c r="C13" s="126">
        <f>SUMIF(Penger!T$1:T$50072,A13,Penger!U$1:U$50072)</f>
        <v>0</v>
      </c>
      <c r="D13" s="126">
        <f ca="1">SUMIF(Spill!C$1:C$499895,A13,Spill!T$1:T$49895)+C13</f>
        <v>0</v>
      </c>
      <c r="E13" s="126">
        <f>SUMIF(Spill!C$1:C$49895,A13,Spill!T$1:T$49895)</f>
        <v>0</v>
      </c>
      <c r="F13" s="121" t="e">
        <f t="shared" ca="1" si="1"/>
        <v>#DIV/0!</v>
      </c>
      <c r="H13" s="126">
        <f>SUMIFS(DWbonus[[Sum]:[Sum]],DWbonus[[Dato]:[Dato]], "&gt;="&amp;H$8,DWbonus[[Dato]:[Dato]],"&lt;="&amp;EOMONTH(H$8,0),DWbonus[[Bookie]:[Bookie]],$A13)+SUMIFS(LayTable[[Faktisk res]:[Faktisk res]],LayTable[[Dato]:[Dato]],"&gt;="&amp;H$8,LayTable[[Dato]:[Dato]],"&lt;="&amp;EOMONTH(H$8,0),LayTable[[Bookmaker]:[Bookmaker]],$A13)+SUMIFS(BetTable[[AR_per_bookie]:[AR_per_bookie]],BetTable[[B1]:[B1]],$A13,BetTable[[Date]:[Date]], "&gt;="&amp;H$8,BetTable[[Date]:[Date]],"&lt;="&amp;EOMONTH(H$8,0))+SUMIFS(BetTable[[AR_per_bookie]:[AR_per_bookie]],BetTable[[B2]:[B2]],$A13,BetTable[[Date]:[Date]], "&gt;="&amp;H$8,BetTable[[Date]:[Date]],"&lt;="&amp;EOMONTH(H$8,0))+SUMIFS(BetTable[[AR_per_bookie]:[AR_per_bookie]],BetTable[[B3]:[B3]],$A13,BetTable[[Date]:[Date]], "&gt;="&amp;H$8,BetTable[[Date]:[Date]],"&lt;="&amp;EOMONTH(H$8,0))</f>
        <v>0</v>
      </c>
      <c r="I13" s="126">
        <f>SUMIFS(DWbonus[[Sum]:[Sum]],DWbonus[[Dato]:[Dato]], "&gt;="&amp;I$8,DWbonus[[Dato]:[Dato]],"&lt;="&amp;EOMONTH(I$8,0),DWbonus[[Bookie]:[Bookie]],$A13)+SUMIFS(LayTable[[Faktisk res]:[Faktisk res]],LayTable[[Dato]:[Dato]],"&gt;="&amp;I$8,LayTable[[Dato]:[Dato]],"&lt;="&amp;EOMONTH(I$8,0),LayTable[[Bookmaker]:[Bookmaker]],$A13)+SUMIFS(BetTable[[AR_per_bookie]:[AR_per_bookie]],BetTable[[B1]:[B1]],$A13,BetTable[[Date]:[Date]], "&gt;="&amp;I$8,BetTable[[Date]:[Date]],"&lt;="&amp;EOMONTH(I$8,0))+SUMIFS(BetTable[[AR_per_bookie]:[AR_per_bookie]],BetTable[[B2]:[B2]],$A13,BetTable[[Date]:[Date]], "&gt;="&amp;I$8,BetTable[[Date]:[Date]],"&lt;="&amp;EOMONTH(I$8,0))+SUMIFS(BetTable[[AR_per_bookie]:[AR_per_bookie]],BetTable[[B3]:[B3]],$A13,BetTable[[Date]:[Date]], "&gt;="&amp;I$8,BetTable[[Date]:[Date]],"&lt;="&amp;EOMONTH(I$8,0))</f>
        <v>0</v>
      </c>
      <c r="J13" s="126">
        <f>SUMIFS(DWbonus[[Sum]:[Sum]],DWbonus[[Dato]:[Dato]], "&gt;="&amp;J$8,DWbonus[[Dato]:[Dato]],"&lt;="&amp;EOMONTH(J$8,0),DWbonus[[Bookie]:[Bookie]],$A13)+SUMIFS(LayTable[[Faktisk res]:[Faktisk res]],LayTable[[Dato]:[Dato]],"&gt;="&amp;J$8,LayTable[[Dato]:[Dato]],"&lt;="&amp;EOMONTH(J$8,0),LayTable[[Bookmaker]:[Bookmaker]],$A13)+SUMIFS(BetTable[[AR_per_bookie]:[AR_per_bookie]],BetTable[[B1]:[B1]],$A13,BetTable[[Date]:[Date]], "&gt;="&amp;J$8,BetTable[[Date]:[Date]],"&lt;="&amp;EOMONTH(J$8,0))+SUMIFS(BetTable[[AR_per_bookie]:[AR_per_bookie]],BetTable[[B2]:[B2]],$A13,BetTable[[Date]:[Date]], "&gt;="&amp;J$8,BetTable[[Date]:[Date]],"&lt;="&amp;EOMONTH(J$8,0))+SUMIFS(BetTable[[AR_per_bookie]:[AR_per_bookie]],BetTable[[B3]:[B3]],$A13,BetTable[[Date]:[Date]], "&gt;="&amp;J$8,BetTable[[Date]:[Date]],"&lt;="&amp;EOMONTH(J$8,0))</f>
        <v>0</v>
      </c>
      <c r="K13" s="126">
        <f>SUMIFS(DWbonus[[Sum]:[Sum]],DWbonus[[Dato]:[Dato]], "&gt;="&amp;K$8,DWbonus[[Dato]:[Dato]],"&lt;="&amp;EOMONTH(K$8,0),DWbonus[[Bookie]:[Bookie]],$A13)+SUMIFS(LayTable[[Faktisk res]:[Faktisk res]],LayTable[[Dato]:[Dato]],"&gt;="&amp;K$8,LayTable[[Dato]:[Dato]],"&lt;="&amp;EOMONTH(K$8,0),LayTable[[Bookmaker]:[Bookmaker]],$A13)+SUMIFS(BetTable[[AR_per_bookie]:[AR_per_bookie]],BetTable[[B1]:[B1]],$A13,BetTable[[Date]:[Date]], "&gt;="&amp;K$8,BetTable[[Date]:[Date]],"&lt;="&amp;EOMONTH(K$8,0))+SUMIFS(BetTable[[AR_per_bookie]:[AR_per_bookie]],BetTable[[B2]:[B2]],$A13,BetTable[[Date]:[Date]], "&gt;="&amp;K$8,BetTable[[Date]:[Date]],"&lt;="&amp;EOMONTH(K$8,0))+SUMIFS(BetTable[[AR_per_bookie]:[AR_per_bookie]],BetTable[[B3]:[B3]],$A13,BetTable[[Date]:[Date]], "&gt;="&amp;K$8,BetTable[[Date]:[Date]],"&lt;="&amp;EOMONTH(K$8,0))</f>
        <v>0</v>
      </c>
      <c r="L13" s="126">
        <f>SUMIFS(DWbonus[[Sum]:[Sum]],DWbonus[[Dato]:[Dato]], "&gt;="&amp;L$8,DWbonus[[Dato]:[Dato]],"&lt;="&amp;EOMONTH(L$8,0),DWbonus[[Bookie]:[Bookie]],$A13)+SUMIFS(LayTable[[Faktisk res]:[Faktisk res]],LayTable[[Dato]:[Dato]],"&gt;="&amp;L$8,LayTable[[Dato]:[Dato]],"&lt;="&amp;EOMONTH(L$8,0),LayTable[[Bookmaker]:[Bookmaker]],$A13)+SUMIFS(BetTable[[AR_per_bookie]:[AR_per_bookie]],BetTable[[B1]:[B1]],$A13,BetTable[[Date]:[Date]], "&gt;="&amp;L$8,BetTable[[Date]:[Date]],"&lt;="&amp;EOMONTH(L$8,0))+SUMIFS(BetTable[[AR_per_bookie]:[AR_per_bookie]],BetTable[[B2]:[B2]],$A13,BetTable[[Date]:[Date]], "&gt;="&amp;L$8,BetTable[[Date]:[Date]],"&lt;="&amp;EOMONTH(L$8,0))+SUMIFS(BetTable[[AR_per_bookie]:[AR_per_bookie]],BetTable[[B3]:[B3]],$A13,BetTable[[Date]:[Date]], "&gt;="&amp;L$8,BetTable[[Date]:[Date]],"&lt;="&amp;EOMONTH(L$8,0))</f>
        <v>0</v>
      </c>
      <c r="M13" s="126">
        <f>SUMIFS(DWbonus[[Sum]:[Sum]],DWbonus[[Dato]:[Dato]], "&gt;="&amp;M$8,DWbonus[[Dato]:[Dato]],"&lt;="&amp;EOMONTH(M$8,0),DWbonus[[Bookie]:[Bookie]],$A13)+SUMIFS(LayTable[[Faktisk res]:[Faktisk res]],LayTable[[Dato]:[Dato]],"&gt;="&amp;M$8,LayTable[[Dato]:[Dato]],"&lt;="&amp;EOMONTH(M$8,0),LayTable[[Bookmaker]:[Bookmaker]],$A13)+SUMIFS(BetTable[[AR_per_bookie]:[AR_per_bookie]],BetTable[[B1]:[B1]],$A13,BetTable[[Date]:[Date]], "&gt;="&amp;M$8,BetTable[[Date]:[Date]],"&lt;="&amp;EOMONTH(M$8,0))+SUMIFS(BetTable[[AR_per_bookie]:[AR_per_bookie]],BetTable[[B2]:[B2]],$A13,BetTable[[Date]:[Date]], "&gt;="&amp;M$8,BetTable[[Date]:[Date]],"&lt;="&amp;EOMONTH(M$8,0))+SUMIFS(BetTable[[AR_per_bookie]:[AR_per_bookie]],BetTable[[B3]:[B3]],$A13,BetTable[[Date]:[Date]], "&gt;="&amp;M$8,BetTable[[Date]:[Date]],"&lt;="&amp;EOMONTH(M$8,0))</f>
        <v>0</v>
      </c>
      <c r="N13" s="126">
        <f>SUMIFS(DWbonus[[Sum]:[Sum]],DWbonus[[Dato]:[Dato]], "&gt;="&amp;N$8,DWbonus[[Dato]:[Dato]],"&lt;="&amp;EOMONTH(N$8,0),DWbonus[[Bookie]:[Bookie]],$A13)+SUMIFS(LayTable[[Faktisk res]:[Faktisk res]],LayTable[[Dato]:[Dato]],"&gt;="&amp;N$8,LayTable[[Dato]:[Dato]],"&lt;="&amp;EOMONTH(N$8,0),LayTable[[Bookmaker]:[Bookmaker]],$A13)+SUMIFS(BetTable[[AR_per_bookie]:[AR_per_bookie]],BetTable[[B1]:[B1]],$A13,BetTable[[Date]:[Date]], "&gt;="&amp;N$8,BetTable[[Date]:[Date]],"&lt;="&amp;EOMONTH(N$8,0))+SUMIFS(BetTable[[AR_per_bookie]:[AR_per_bookie]],BetTable[[B2]:[B2]],$A13,BetTable[[Date]:[Date]], "&gt;="&amp;N$8,BetTable[[Date]:[Date]],"&lt;="&amp;EOMONTH(N$8,0))+SUMIFS(BetTable[[AR_per_bookie]:[AR_per_bookie]],BetTable[[B3]:[B3]],$A13,BetTable[[Date]:[Date]], "&gt;="&amp;N$8,BetTable[[Date]:[Date]],"&lt;="&amp;EOMONTH(N$8,0))</f>
        <v>0</v>
      </c>
      <c r="O13" s="126">
        <f>SUMIFS(DWbonus[[Sum]:[Sum]],DWbonus[[Dato]:[Dato]], "&gt;="&amp;O$8,DWbonus[[Dato]:[Dato]],"&lt;="&amp;EOMONTH(O$8,0),DWbonus[[Bookie]:[Bookie]],$A13)+SUMIFS(LayTable[[Faktisk res]:[Faktisk res]],LayTable[[Dato]:[Dato]],"&gt;="&amp;O$8,LayTable[[Dato]:[Dato]],"&lt;="&amp;EOMONTH(O$8,0),LayTable[[Bookmaker]:[Bookmaker]],$A13)+SUMIFS(BetTable[[AR_per_bookie]:[AR_per_bookie]],BetTable[[B1]:[B1]],$A13,BetTable[[Date]:[Date]], "&gt;="&amp;O$8,BetTable[[Date]:[Date]],"&lt;="&amp;EOMONTH(O$8,0))+SUMIFS(BetTable[[AR_per_bookie]:[AR_per_bookie]],BetTable[[B2]:[B2]],$A13,BetTable[[Date]:[Date]], "&gt;="&amp;O$8,BetTable[[Date]:[Date]],"&lt;="&amp;EOMONTH(O$8,0))+SUMIFS(BetTable[[AR_per_bookie]:[AR_per_bookie]],BetTable[[B3]:[B3]],$A13,BetTable[[Date]:[Date]], "&gt;="&amp;O$8,BetTable[[Date]:[Date]],"&lt;="&amp;EOMONTH(O$8,0))</f>
        <v>0</v>
      </c>
      <c r="P13" s="126">
        <f>SUMIFS(DWbonus[[Sum]:[Sum]],DWbonus[[Dato]:[Dato]], "&gt;="&amp;P$8,DWbonus[[Dato]:[Dato]],"&lt;="&amp;EOMONTH(P$8,0),DWbonus[[Bookie]:[Bookie]],$A13)+SUMIFS(LayTable[[Faktisk res]:[Faktisk res]],LayTable[[Dato]:[Dato]],"&gt;="&amp;P$8,LayTable[[Dato]:[Dato]],"&lt;="&amp;EOMONTH(P$8,0),LayTable[[Bookmaker]:[Bookmaker]],$A13)+SUMIFS(BetTable[[AR_per_bookie]:[AR_per_bookie]],BetTable[[B1]:[B1]],$A13,BetTable[[Date]:[Date]], "&gt;="&amp;P$8,BetTable[[Date]:[Date]],"&lt;="&amp;EOMONTH(P$8,0))+SUMIFS(BetTable[[AR_per_bookie]:[AR_per_bookie]],BetTable[[B2]:[B2]],$A13,BetTable[[Date]:[Date]], "&gt;="&amp;P$8,BetTable[[Date]:[Date]],"&lt;="&amp;EOMONTH(P$8,0))+SUMIFS(BetTable[[AR_per_bookie]:[AR_per_bookie]],BetTable[[B3]:[B3]],$A13,BetTable[[Date]:[Date]], "&gt;="&amp;P$8,BetTable[[Date]:[Date]],"&lt;="&amp;EOMONTH(P$8,0))</f>
        <v>0</v>
      </c>
      <c r="Q13" s="126">
        <f>SUMIFS(DWbonus[[Sum]:[Sum]],DWbonus[[Dato]:[Dato]], "&gt;="&amp;Q$8,DWbonus[[Dato]:[Dato]],"&lt;="&amp;EOMONTH(Q$8,0),DWbonus[[Bookie]:[Bookie]],$A13)+SUMIFS(LayTable[[Faktisk res]:[Faktisk res]],LayTable[[Dato]:[Dato]],"&gt;="&amp;Q$8,LayTable[[Dato]:[Dato]],"&lt;="&amp;EOMONTH(Q$8,0),LayTable[[Bookmaker]:[Bookmaker]],$A13)+SUMIFS(BetTable[[AR_per_bookie]:[AR_per_bookie]],BetTable[[B1]:[B1]],$A13,BetTable[[Date]:[Date]], "&gt;="&amp;Q$8,BetTable[[Date]:[Date]],"&lt;="&amp;EOMONTH(Q$8,0))+SUMIFS(BetTable[[AR_per_bookie]:[AR_per_bookie]],BetTable[[B2]:[B2]],$A13,BetTable[[Date]:[Date]], "&gt;="&amp;Q$8,BetTable[[Date]:[Date]],"&lt;="&amp;EOMONTH(Q$8,0))+SUMIFS(BetTable[[AR_per_bookie]:[AR_per_bookie]],BetTable[[B3]:[B3]],$A13,BetTable[[Date]:[Date]], "&gt;="&amp;Q$8,BetTable[[Date]:[Date]],"&lt;="&amp;EOMONTH(Q$8,0))</f>
        <v>0</v>
      </c>
      <c r="R13" s="126">
        <f>SUMIFS(DWbonus[[Sum]:[Sum]],DWbonus[[Dato]:[Dato]], "&gt;="&amp;R$8,DWbonus[[Dato]:[Dato]],"&lt;="&amp;EOMONTH(R$8,0),DWbonus[[Bookie]:[Bookie]],$A13)+SUMIFS(LayTable[[Faktisk res]:[Faktisk res]],LayTable[[Dato]:[Dato]],"&gt;="&amp;R$8,LayTable[[Dato]:[Dato]],"&lt;="&amp;EOMONTH(R$8,0),LayTable[[Bookmaker]:[Bookmaker]],$A13)+SUMIFS(BetTable[[AR_per_bookie]:[AR_per_bookie]],BetTable[[B1]:[B1]],$A13,BetTable[[Date]:[Date]], "&gt;="&amp;R$8,BetTable[[Date]:[Date]],"&lt;="&amp;EOMONTH(R$8,0))+SUMIFS(BetTable[[AR_per_bookie]:[AR_per_bookie]],BetTable[[B2]:[B2]],$A13,BetTable[[Date]:[Date]], "&gt;="&amp;R$8,BetTable[[Date]:[Date]],"&lt;="&amp;EOMONTH(R$8,0))+SUMIFS(BetTable[[AR_per_bookie]:[AR_per_bookie]],BetTable[[B3]:[B3]],$A13,BetTable[[Date]:[Date]], "&gt;="&amp;R$8,BetTable[[Date]:[Date]],"&lt;="&amp;EOMONTH(R$8,0))</f>
        <v>0</v>
      </c>
      <c r="S13" s="126">
        <f>SUMIFS(DWbonus[[Sum]:[Sum]],DWbonus[[Dato]:[Dato]], "&gt;="&amp;S$8,DWbonus[[Dato]:[Dato]],"&lt;="&amp;EOMONTH(S$8,0),DWbonus[[Bookie]:[Bookie]],$A13)+SUMIFS(LayTable[[Faktisk res]:[Faktisk res]],LayTable[[Dato]:[Dato]],"&gt;="&amp;S$8,LayTable[[Dato]:[Dato]],"&lt;="&amp;EOMONTH(S$8,0),LayTable[[Bookmaker]:[Bookmaker]],$A13)+SUMIFS(BetTable[[AR_per_bookie]:[AR_per_bookie]],BetTable[[B1]:[B1]],$A13,BetTable[[Date]:[Date]], "&gt;="&amp;S$8,BetTable[[Date]:[Date]],"&lt;="&amp;EOMONTH(S$8,0))+SUMIFS(BetTable[[AR_per_bookie]:[AR_per_bookie]],BetTable[[B2]:[B2]],$A13,BetTable[[Date]:[Date]], "&gt;="&amp;S$8,BetTable[[Date]:[Date]],"&lt;="&amp;EOMONTH(S$8,0))+SUMIFS(BetTable[[AR_per_bookie]:[AR_per_bookie]],BetTable[[B3]:[B3]],$A13,BetTable[[Date]:[Date]], "&gt;="&amp;S$8,BetTable[[Date]:[Date]],"&lt;="&amp;EOMONTH(S$8,0))</f>
        <v>0</v>
      </c>
    </row>
    <row r="14" spans="1:19">
      <c r="A14" s="115" t="str">
        <f>BookieNavn!I6</f>
        <v>Bet777</v>
      </c>
      <c r="B14" s="126">
        <f>SUMIF(Penger!D$1:D$50072,A14,Penger!F$1:F$50072)</f>
        <v>0</v>
      </c>
      <c r="C14" s="126">
        <f>SUMIF(Penger!T$1:T$50072,A14,Penger!U$1:U$50072)</f>
        <v>0</v>
      </c>
      <c r="D14" s="126">
        <f ca="1">SUMIF(Spill!C$1:C$499895,A14,Spill!T$1:T$49895)+C14</f>
        <v>0</v>
      </c>
      <c r="E14" s="126">
        <f>SUMIF(Spill!C$1:C$49895,A14,Spill!T$1:T$49895)</f>
        <v>0</v>
      </c>
      <c r="F14" s="121" t="e">
        <f t="shared" ca="1" si="1"/>
        <v>#DIV/0!</v>
      </c>
      <c r="H14" s="126">
        <f>SUMIFS(DWbonus[[Sum]:[Sum]],DWbonus[[Dato]:[Dato]], "&gt;="&amp;H$8,DWbonus[[Dato]:[Dato]],"&lt;="&amp;EOMONTH(H$8,0),DWbonus[[Bookie]:[Bookie]],$A14)+SUMIFS(LayTable[[Faktisk res]:[Faktisk res]],LayTable[[Dato]:[Dato]],"&gt;="&amp;H$8,LayTable[[Dato]:[Dato]],"&lt;="&amp;EOMONTH(H$8,0),LayTable[[Bookmaker]:[Bookmaker]],$A14)+SUMIFS(BetTable[[AR_per_bookie]:[AR_per_bookie]],BetTable[[B1]:[B1]],$A14,BetTable[[Date]:[Date]], "&gt;="&amp;H$8,BetTable[[Date]:[Date]],"&lt;="&amp;EOMONTH(H$8,0))+SUMIFS(BetTable[[AR_per_bookie]:[AR_per_bookie]],BetTable[[B2]:[B2]],$A14,BetTable[[Date]:[Date]], "&gt;="&amp;H$8,BetTable[[Date]:[Date]],"&lt;="&amp;EOMONTH(H$8,0))+SUMIFS(BetTable[[AR_per_bookie]:[AR_per_bookie]],BetTable[[B3]:[B3]],$A14,BetTable[[Date]:[Date]], "&gt;="&amp;H$8,BetTable[[Date]:[Date]],"&lt;="&amp;EOMONTH(H$8,0))</f>
        <v>0</v>
      </c>
      <c r="I14" s="126">
        <f>SUMIFS(DWbonus[[Sum]:[Sum]],DWbonus[[Dato]:[Dato]], "&gt;="&amp;I$8,DWbonus[[Dato]:[Dato]],"&lt;="&amp;EOMONTH(I$8,0),DWbonus[[Bookie]:[Bookie]],$A14)+SUMIFS(LayTable[[Faktisk res]:[Faktisk res]],LayTable[[Dato]:[Dato]],"&gt;="&amp;I$8,LayTable[[Dato]:[Dato]],"&lt;="&amp;EOMONTH(I$8,0),LayTable[[Bookmaker]:[Bookmaker]],$A14)+SUMIFS(BetTable[[AR_per_bookie]:[AR_per_bookie]],BetTable[[B1]:[B1]],$A14,BetTable[[Date]:[Date]], "&gt;="&amp;I$8,BetTable[[Date]:[Date]],"&lt;="&amp;EOMONTH(I$8,0))+SUMIFS(BetTable[[AR_per_bookie]:[AR_per_bookie]],BetTable[[B2]:[B2]],$A14,BetTable[[Date]:[Date]], "&gt;="&amp;I$8,BetTable[[Date]:[Date]],"&lt;="&amp;EOMONTH(I$8,0))+SUMIFS(BetTable[[AR_per_bookie]:[AR_per_bookie]],BetTable[[B3]:[B3]],$A14,BetTable[[Date]:[Date]], "&gt;="&amp;I$8,BetTable[[Date]:[Date]],"&lt;="&amp;EOMONTH(I$8,0))</f>
        <v>0</v>
      </c>
      <c r="J14" s="126">
        <f>SUMIFS(DWbonus[[Sum]:[Sum]],DWbonus[[Dato]:[Dato]], "&gt;="&amp;J$8,DWbonus[[Dato]:[Dato]],"&lt;="&amp;EOMONTH(J$8,0),DWbonus[[Bookie]:[Bookie]],$A14)+SUMIFS(LayTable[[Faktisk res]:[Faktisk res]],LayTable[[Dato]:[Dato]],"&gt;="&amp;J$8,LayTable[[Dato]:[Dato]],"&lt;="&amp;EOMONTH(J$8,0),LayTable[[Bookmaker]:[Bookmaker]],$A14)+SUMIFS(BetTable[[AR_per_bookie]:[AR_per_bookie]],BetTable[[B1]:[B1]],$A14,BetTable[[Date]:[Date]], "&gt;="&amp;J$8,BetTable[[Date]:[Date]],"&lt;="&amp;EOMONTH(J$8,0))+SUMIFS(BetTable[[AR_per_bookie]:[AR_per_bookie]],BetTable[[B2]:[B2]],$A14,BetTable[[Date]:[Date]], "&gt;="&amp;J$8,BetTable[[Date]:[Date]],"&lt;="&amp;EOMONTH(J$8,0))+SUMIFS(BetTable[[AR_per_bookie]:[AR_per_bookie]],BetTable[[B3]:[B3]],$A14,BetTable[[Date]:[Date]], "&gt;="&amp;J$8,BetTable[[Date]:[Date]],"&lt;="&amp;EOMONTH(J$8,0))</f>
        <v>0</v>
      </c>
      <c r="K14" s="126">
        <f>SUMIFS(DWbonus[[Sum]:[Sum]],DWbonus[[Dato]:[Dato]], "&gt;="&amp;K$8,DWbonus[[Dato]:[Dato]],"&lt;="&amp;EOMONTH(K$8,0),DWbonus[[Bookie]:[Bookie]],$A14)+SUMIFS(LayTable[[Faktisk res]:[Faktisk res]],LayTable[[Dato]:[Dato]],"&gt;="&amp;K$8,LayTable[[Dato]:[Dato]],"&lt;="&amp;EOMONTH(K$8,0),LayTable[[Bookmaker]:[Bookmaker]],$A14)+SUMIFS(BetTable[[AR_per_bookie]:[AR_per_bookie]],BetTable[[B1]:[B1]],$A14,BetTable[[Date]:[Date]], "&gt;="&amp;K$8,BetTable[[Date]:[Date]],"&lt;="&amp;EOMONTH(K$8,0))+SUMIFS(BetTable[[AR_per_bookie]:[AR_per_bookie]],BetTable[[B2]:[B2]],$A14,BetTable[[Date]:[Date]], "&gt;="&amp;K$8,BetTable[[Date]:[Date]],"&lt;="&amp;EOMONTH(K$8,0))+SUMIFS(BetTable[[AR_per_bookie]:[AR_per_bookie]],BetTable[[B3]:[B3]],$A14,BetTable[[Date]:[Date]], "&gt;="&amp;K$8,BetTable[[Date]:[Date]],"&lt;="&amp;EOMONTH(K$8,0))</f>
        <v>0</v>
      </c>
      <c r="L14" s="126">
        <f>SUMIFS(DWbonus[[Sum]:[Sum]],DWbonus[[Dato]:[Dato]], "&gt;="&amp;L$8,DWbonus[[Dato]:[Dato]],"&lt;="&amp;EOMONTH(L$8,0),DWbonus[[Bookie]:[Bookie]],$A14)+SUMIFS(LayTable[[Faktisk res]:[Faktisk res]],LayTable[[Dato]:[Dato]],"&gt;="&amp;L$8,LayTable[[Dato]:[Dato]],"&lt;="&amp;EOMONTH(L$8,0),LayTable[[Bookmaker]:[Bookmaker]],$A14)+SUMIFS(BetTable[[AR_per_bookie]:[AR_per_bookie]],BetTable[[B1]:[B1]],$A14,BetTable[[Date]:[Date]], "&gt;="&amp;L$8,BetTable[[Date]:[Date]],"&lt;="&amp;EOMONTH(L$8,0))+SUMIFS(BetTable[[AR_per_bookie]:[AR_per_bookie]],BetTable[[B2]:[B2]],$A14,BetTable[[Date]:[Date]], "&gt;="&amp;L$8,BetTable[[Date]:[Date]],"&lt;="&amp;EOMONTH(L$8,0))+SUMIFS(BetTable[[AR_per_bookie]:[AR_per_bookie]],BetTable[[B3]:[B3]],$A14,BetTable[[Date]:[Date]], "&gt;="&amp;L$8,BetTable[[Date]:[Date]],"&lt;="&amp;EOMONTH(L$8,0))</f>
        <v>0</v>
      </c>
      <c r="M14" s="126">
        <f>SUMIFS(DWbonus[[Sum]:[Sum]],DWbonus[[Dato]:[Dato]], "&gt;="&amp;M$8,DWbonus[[Dato]:[Dato]],"&lt;="&amp;EOMONTH(M$8,0),DWbonus[[Bookie]:[Bookie]],$A14)+SUMIFS(LayTable[[Faktisk res]:[Faktisk res]],LayTable[[Dato]:[Dato]],"&gt;="&amp;M$8,LayTable[[Dato]:[Dato]],"&lt;="&amp;EOMONTH(M$8,0),LayTable[[Bookmaker]:[Bookmaker]],$A14)+SUMIFS(BetTable[[AR_per_bookie]:[AR_per_bookie]],BetTable[[B1]:[B1]],$A14,BetTable[[Date]:[Date]], "&gt;="&amp;M$8,BetTable[[Date]:[Date]],"&lt;="&amp;EOMONTH(M$8,0))+SUMIFS(BetTable[[AR_per_bookie]:[AR_per_bookie]],BetTable[[B2]:[B2]],$A14,BetTable[[Date]:[Date]], "&gt;="&amp;M$8,BetTable[[Date]:[Date]],"&lt;="&amp;EOMONTH(M$8,0))+SUMIFS(BetTable[[AR_per_bookie]:[AR_per_bookie]],BetTable[[B3]:[B3]],$A14,BetTable[[Date]:[Date]], "&gt;="&amp;M$8,BetTable[[Date]:[Date]],"&lt;="&amp;EOMONTH(M$8,0))</f>
        <v>0</v>
      </c>
      <c r="N14" s="126">
        <f>SUMIFS(DWbonus[[Sum]:[Sum]],DWbonus[[Dato]:[Dato]], "&gt;="&amp;N$8,DWbonus[[Dato]:[Dato]],"&lt;="&amp;EOMONTH(N$8,0),DWbonus[[Bookie]:[Bookie]],$A14)+SUMIFS(LayTable[[Faktisk res]:[Faktisk res]],LayTable[[Dato]:[Dato]],"&gt;="&amp;N$8,LayTable[[Dato]:[Dato]],"&lt;="&amp;EOMONTH(N$8,0),LayTable[[Bookmaker]:[Bookmaker]],$A14)+SUMIFS(BetTable[[AR_per_bookie]:[AR_per_bookie]],BetTable[[B1]:[B1]],$A14,BetTable[[Date]:[Date]], "&gt;="&amp;N$8,BetTable[[Date]:[Date]],"&lt;="&amp;EOMONTH(N$8,0))+SUMIFS(BetTable[[AR_per_bookie]:[AR_per_bookie]],BetTable[[B2]:[B2]],$A14,BetTable[[Date]:[Date]], "&gt;="&amp;N$8,BetTable[[Date]:[Date]],"&lt;="&amp;EOMONTH(N$8,0))+SUMIFS(BetTable[[AR_per_bookie]:[AR_per_bookie]],BetTable[[B3]:[B3]],$A14,BetTable[[Date]:[Date]], "&gt;="&amp;N$8,BetTable[[Date]:[Date]],"&lt;="&amp;EOMONTH(N$8,0))</f>
        <v>0</v>
      </c>
      <c r="O14" s="126">
        <f>SUMIFS(DWbonus[[Sum]:[Sum]],DWbonus[[Dato]:[Dato]], "&gt;="&amp;O$8,DWbonus[[Dato]:[Dato]],"&lt;="&amp;EOMONTH(O$8,0),DWbonus[[Bookie]:[Bookie]],$A14)+SUMIFS(LayTable[[Faktisk res]:[Faktisk res]],LayTable[[Dato]:[Dato]],"&gt;="&amp;O$8,LayTable[[Dato]:[Dato]],"&lt;="&amp;EOMONTH(O$8,0),LayTable[[Bookmaker]:[Bookmaker]],$A14)+SUMIFS(BetTable[[AR_per_bookie]:[AR_per_bookie]],BetTable[[B1]:[B1]],$A14,BetTable[[Date]:[Date]], "&gt;="&amp;O$8,BetTable[[Date]:[Date]],"&lt;="&amp;EOMONTH(O$8,0))+SUMIFS(BetTable[[AR_per_bookie]:[AR_per_bookie]],BetTable[[B2]:[B2]],$A14,BetTable[[Date]:[Date]], "&gt;="&amp;O$8,BetTable[[Date]:[Date]],"&lt;="&amp;EOMONTH(O$8,0))+SUMIFS(BetTable[[AR_per_bookie]:[AR_per_bookie]],BetTable[[B3]:[B3]],$A14,BetTable[[Date]:[Date]], "&gt;="&amp;O$8,BetTable[[Date]:[Date]],"&lt;="&amp;EOMONTH(O$8,0))</f>
        <v>0</v>
      </c>
      <c r="P14" s="126">
        <f>SUMIFS(DWbonus[[Sum]:[Sum]],DWbonus[[Dato]:[Dato]], "&gt;="&amp;P$8,DWbonus[[Dato]:[Dato]],"&lt;="&amp;EOMONTH(P$8,0),DWbonus[[Bookie]:[Bookie]],$A14)+SUMIFS(LayTable[[Faktisk res]:[Faktisk res]],LayTable[[Dato]:[Dato]],"&gt;="&amp;P$8,LayTable[[Dato]:[Dato]],"&lt;="&amp;EOMONTH(P$8,0),LayTable[[Bookmaker]:[Bookmaker]],$A14)+SUMIFS(BetTable[[AR_per_bookie]:[AR_per_bookie]],BetTable[[B1]:[B1]],$A14,BetTable[[Date]:[Date]], "&gt;="&amp;P$8,BetTable[[Date]:[Date]],"&lt;="&amp;EOMONTH(P$8,0))+SUMIFS(BetTable[[AR_per_bookie]:[AR_per_bookie]],BetTable[[B2]:[B2]],$A14,BetTable[[Date]:[Date]], "&gt;="&amp;P$8,BetTable[[Date]:[Date]],"&lt;="&amp;EOMONTH(P$8,0))+SUMIFS(BetTable[[AR_per_bookie]:[AR_per_bookie]],BetTable[[B3]:[B3]],$A14,BetTable[[Date]:[Date]], "&gt;="&amp;P$8,BetTable[[Date]:[Date]],"&lt;="&amp;EOMONTH(P$8,0))</f>
        <v>0</v>
      </c>
      <c r="Q14" s="126">
        <f>SUMIFS(DWbonus[[Sum]:[Sum]],DWbonus[[Dato]:[Dato]], "&gt;="&amp;Q$8,DWbonus[[Dato]:[Dato]],"&lt;="&amp;EOMONTH(Q$8,0),DWbonus[[Bookie]:[Bookie]],$A14)+SUMIFS(LayTable[[Faktisk res]:[Faktisk res]],LayTable[[Dato]:[Dato]],"&gt;="&amp;Q$8,LayTable[[Dato]:[Dato]],"&lt;="&amp;EOMONTH(Q$8,0),LayTable[[Bookmaker]:[Bookmaker]],$A14)+SUMIFS(BetTable[[AR_per_bookie]:[AR_per_bookie]],BetTable[[B1]:[B1]],$A14,BetTable[[Date]:[Date]], "&gt;="&amp;Q$8,BetTable[[Date]:[Date]],"&lt;="&amp;EOMONTH(Q$8,0))+SUMIFS(BetTable[[AR_per_bookie]:[AR_per_bookie]],BetTable[[B2]:[B2]],$A14,BetTable[[Date]:[Date]], "&gt;="&amp;Q$8,BetTable[[Date]:[Date]],"&lt;="&amp;EOMONTH(Q$8,0))+SUMIFS(BetTable[[AR_per_bookie]:[AR_per_bookie]],BetTable[[B3]:[B3]],$A14,BetTable[[Date]:[Date]], "&gt;="&amp;Q$8,BetTable[[Date]:[Date]],"&lt;="&amp;EOMONTH(Q$8,0))</f>
        <v>0</v>
      </c>
      <c r="R14" s="126">
        <f>SUMIFS(DWbonus[[Sum]:[Sum]],DWbonus[[Dato]:[Dato]], "&gt;="&amp;R$8,DWbonus[[Dato]:[Dato]],"&lt;="&amp;EOMONTH(R$8,0),DWbonus[[Bookie]:[Bookie]],$A14)+SUMIFS(LayTable[[Faktisk res]:[Faktisk res]],LayTable[[Dato]:[Dato]],"&gt;="&amp;R$8,LayTable[[Dato]:[Dato]],"&lt;="&amp;EOMONTH(R$8,0),LayTable[[Bookmaker]:[Bookmaker]],$A14)+SUMIFS(BetTable[[AR_per_bookie]:[AR_per_bookie]],BetTable[[B1]:[B1]],$A14,BetTable[[Date]:[Date]], "&gt;="&amp;R$8,BetTable[[Date]:[Date]],"&lt;="&amp;EOMONTH(R$8,0))+SUMIFS(BetTable[[AR_per_bookie]:[AR_per_bookie]],BetTable[[B2]:[B2]],$A14,BetTable[[Date]:[Date]], "&gt;="&amp;R$8,BetTable[[Date]:[Date]],"&lt;="&amp;EOMONTH(R$8,0))+SUMIFS(BetTable[[AR_per_bookie]:[AR_per_bookie]],BetTable[[B3]:[B3]],$A14,BetTable[[Date]:[Date]], "&gt;="&amp;R$8,BetTable[[Date]:[Date]],"&lt;="&amp;EOMONTH(R$8,0))</f>
        <v>0</v>
      </c>
      <c r="S14" s="126">
        <f>SUMIFS(DWbonus[[Sum]:[Sum]],DWbonus[[Dato]:[Dato]], "&gt;="&amp;S$8,DWbonus[[Dato]:[Dato]],"&lt;="&amp;EOMONTH(S$8,0),DWbonus[[Bookie]:[Bookie]],$A14)+SUMIFS(LayTable[[Faktisk res]:[Faktisk res]],LayTable[[Dato]:[Dato]],"&gt;="&amp;S$8,LayTable[[Dato]:[Dato]],"&lt;="&amp;EOMONTH(S$8,0),LayTable[[Bookmaker]:[Bookmaker]],$A14)+SUMIFS(BetTable[[AR_per_bookie]:[AR_per_bookie]],BetTable[[B1]:[B1]],$A14,BetTable[[Date]:[Date]], "&gt;="&amp;S$8,BetTable[[Date]:[Date]],"&lt;="&amp;EOMONTH(S$8,0))+SUMIFS(BetTable[[AR_per_bookie]:[AR_per_bookie]],BetTable[[B2]:[B2]],$A14,BetTable[[Date]:[Date]], "&gt;="&amp;S$8,BetTable[[Date]:[Date]],"&lt;="&amp;EOMONTH(S$8,0))+SUMIFS(BetTable[[AR_per_bookie]:[AR_per_bookie]],BetTable[[B3]:[B3]],$A14,BetTable[[Date]:[Date]], "&gt;="&amp;S$8,BetTable[[Date]:[Date]],"&lt;="&amp;EOMONTH(S$8,0))</f>
        <v>0</v>
      </c>
    </row>
    <row r="15" spans="1:19">
      <c r="A15" s="115" t="str">
        <f>BookieNavn!I7</f>
        <v>Bet90</v>
      </c>
      <c r="B15" s="126">
        <f>SUMIF(Penger!D$1:D$50072,A15,Penger!F$1:F$50072)</f>
        <v>0</v>
      </c>
      <c r="C15" s="126">
        <f>SUMIF(Penger!T$1:T$50072,A15,Penger!U$1:U$50072)</f>
        <v>0</v>
      </c>
      <c r="D15" s="126">
        <f ca="1">SUMIF(Spill!C$1:C$499895,A15,Spill!T$1:T$49895)+C15</f>
        <v>0</v>
      </c>
      <c r="E15" s="126">
        <f>SUMIF(Spill!C$1:C$49895,A15,Spill!T$1:T$49895)</f>
        <v>0</v>
      </c>
      <c r="F15" s="121" t="e">
        <f t="shared" ca="1" si="1"/>
        <v>#DIV/0!</v>
      </c>
      <c r="H15" s="126">
        <f>SUMIFS(DWbonus[[Sum]:[Sum]],DWbonus[[Dato]:[Dato]], "&gt;="&amp;H$8,DWbonus[[Dato]:[Dato]],"&lt;="&amp;EOMONTH(H$8,0),DWbonus[[Bookie]:[Bookie]],$A15)+SUMIFS(LayTable[[Faktisk res]:[Faktisk res]],LayTable[[Dato]:[Dato]],"&gt;="&amp;H$8,LayTable[[Dato]:[Dato]],"&lt;="&amp;EOMONTH(H$8,0),LayTable[[Bookmaker]:[Bookmaker]],$A15)+SUMIFS(BetTable[[AR_per_bookie]:[AR_per_bookie]],BetTable[[B1]:[B1]],$A15,BetTable[[Date]:[Date]], "&gt;="&amp;H$8,BetTable[[Date]:[Date]],"&lt;="&amp;EOMONTH(H$8,0))+SUMIFS(BetTable[[AR_per_bookie]:[AR_per_bookie]],BetTable[[B2]:[B2]],$A15,BetTable[[Date]:[Date]], "&gt;="&amp;H$8,BetTable[[Date]:[Date]],"&lt;="&amp;EOMONTH(H$8,0))+SUMIFS(BetTable[[AR_per_bookie]:[AR_per_bookie]],BetTable[[B3]:[B3]],$A15,BetTable[[Date]:[Date]], "&gt;="&amp;H$8,BetTable[[Date]:[Date]],"&lt;="&amp;EOMONTH(H$8,0))</f>
        <v>0</v>
      </c>
      <c r="I15" s="126">
        <f>SUMIFS(DWbonus[[Sum]:[Sum]],DWbonus[[Dato]:[Dato]], "&gt;="&amp;I$8,DWbonus[[Dato]:[Dato]],"&lt;="&amp;EOMONTH(I$8,0),DWbonus[[Bookie]:[Bookie]],$A15)+SUMIFS(LayTable[[Faktisk res]:[Faktisk res]],LayTable[[Dato]:[Dato]],"&gt;="&amp;I$8,LayTable[[Dato]:[Dato]],"&lt;="&amp;EOMONTH(I$8,0),LayTable[[Bookmaker]:[Bookmaker]],$A15)+SUMIFS(BetTable[[AR_per_bookie]:[AR_per_bookie]],BetTable[[B1]:[B1]],$A15,BetTable[[Date]:[Date]], "&gt;="&amp;I$8,BetTable[[Date]:[Date]],"&lt;="&amp;EOMONTH(I$8,0))+SUMIFS(BetTable[[AR_per_bookie]:[AR_per_bookie]],BetTable[[B2]:[B2]],$A15,BetTable[[Date]:[Date]], "&gt;="&amp;I$8,BetTable[[Date]:[Date]],"&lt;="&amp;EOMONTH(I$8,0))+SUMIFS(BetTable[[AR_per_bookie]:[AR_per_bookie]],BetTable[[B3]:[B3]],$A15,BetTable[[Date]:[Date]], "&gt;="&amp;I$8,BetTable[[Date]:[Date]],"&lt;="&amp;EOMONTH(I$8,0))</f>
        <v>0</v>
      </c>
      <c r="J15" s="126">
        <f>SUMIFS(DWbonus[[Sum]:[Sum]],DWbonus[[Dato]:[Dato]], "&gt;="&amp;J$8,DWbonus[[Dato]:[Dato]],"&lt;="&amp;EOMONTH(J$8,0),DWbonus[[Bookie]:[Bookie]],$A15)+SUMIFS(LayTable[[Faktisk res]:[Faktisk res]],LayTable[[Dato]:[Dato]],"&gt;="&amp;J$8,LayTable[[Dato]:[Dato]],"&lt;="&amp;EOMONTH(J$8,0),LayTable[[Bookmaker]:[Bookmaker]],$A15)+SUMIFS(BetTable[[AR_per_bookie]:[AR_per_bookie]],BetTable[[B1]:[B1]],$A15,BetTable[[Date]:[Date]], "&gt;="&amp;J$8,BetTable[[Date]:[Date]],"&lt;="&amp;EOMONTH(J$8,0))+SUMIFS(BetTable[[AR_per_bookie]:[AR_per_bookie]],BetTable[[B2]:[B2]],$A15,BetTable[[Date]:[Date]], "&gt;="&amp;J$8,BetTable[[Date]:[Date]],"&lt;="&amp;EOMONTH(J$8,0))+SUMIFS(BetTable[[AR_per_bookie]:[AR_per_bookie]],BetTable[[B3]:[B3]],$A15,BetTable[[Date]:[Date]], "&gt;="&amp;J$8,BetTable[[Date]:[Date]],"&lt;="&amp;EOMONTH(J$8,0))</f>
        <v>0</v>
      </c>
      <c r="K15" s="126">
        <f>SUMIFS(DWbonus[[Sum]:[Sum]],DWbonus[[Dato]:[Dato]], "&gt;="&amp;K$8,DWbonus[[Dato]:[Dato]],"&lt;="&amp;EOMONTH(K$8,0),DWbonus[[Bookie]:[Bookie]],$A15)+SUMIFS(LayTable[[Faktisk res]:[Faktisk res]],LayTable[[Dato]:[Dato]],"&gt;="&amp;K$8,LayTable[[Dato]:[Dato]],"&lt;="&amp;EOMONTH(K$8,0),LayTable[[Bookmaker]:[Bookmaker]],$A15)+SUMIFS(BetTable[[AR_per_bookie]:[AR_per_bookie]],BetTable[[B1]:[B1]],$A15,BetTable[[Date]:[Date]], "&gt;="&amp;K$8,BetTable[[Date]:[Date]],"&lt;="&amp;EOMONTH(K$8,0))+SUMIFS(BetTable[[AR_per_bookie]:[AR_per_bookie]],BetTable[[B2]:[B2]],$A15,BetTable[[Date]:[Date]], "&gt;="&amp;K$8,BetTable[[Date]:[Date]],"&lt;="&amp;EOMONTH(K$8,0))+SUMIFS(BetTable[[AR_per_bookie]:[AR_per_bookie]],BetTable[[B3]:[B3]],$A15,BetTable[[Date]:[Date]], "&gt;="&amp;K$8,BetTable[[Date]:[Date]],"&lt;="&amp;EOMONTH(K$8,0))</f>
        <v>0</v>
      </c>
      <c r="L15" s="126">
        <f>SUMIFS(DWbonus[[Sum]:[Sum]],DWbonus[[Dato]:[Dato]], "&gt;="&amp;L$8,DWbonus[[Dato]:[Dato]],"&lt;="&amp;EOMONTH(L$8,0),DWbonus[[Bookie]:[Bookie]],$A15)+SUMIFS(LayTable[[Faktisk res]:[Faktisk res]],LayTable[[Dato]:[Dato]],"&gt;="&amp;L$8,LayTable[[Dato]:[Dato]],"&lt;="&amp;EOMONTH(L$8,0),LayTable[[Bookmaker]:[Bookmaker]],$A15)+SUMIFS(BetTable[[AR_per_bookie]:[AR_per_bookie]],BetTable[[B1]:[B1]],$A15,BetTable[[Date]:[Date]], "&gt;="&amp;L$8,BetTable[[Date]:[Date]],"&lt;="&amp;EOMONTH(L$8,0))+SUMIFS(BetTable[[AR_per_bookie]:[AR_per_bookie]],BetTable[[B2]:[B2]],$A15,BetTable[[Date]:[Date]], "&gt;="&amp;L$8,BetTable[[Date]:[Date]],"&lt;="&amp;EOMONTH(L$8,0))+SUMIFS(BetTable[[AR_per_bookie]:[AR_per_bookie]],BetTable[[B3]:[B3]],$A15,BetTable[[Date]:[Date]], "&gt;="&amp;L$8,BetTable[[Date]:[Date]],"&lt;="&amp;EOMONTH(L$8,0))</f>
        <v>0</v>
      </c>
      <c r="M15" s="126">
        <f>SUMIFS(DWbonus[[Sum]:[Sum]],DWbonus[[Dato]:[Dato]], "&gt;="&amp;M$8,DWbonus[[Dato]:[Dato]],"&lt;="&amp;EOMONTH(M$8,0),DWbonus[[Bookie]:[Bookie]],$A15)+SUMIFS(LayTable[[Faktisk res]:[Faktisk res]],LayTable[[Dato]:[Dato]],"&gt;="&amp;M$8,LayTable[[Dato]:[Dato]],"&lt;="&amp;EOMONTH(M$8,0),LayTable[[Bookmaker]:[Bookmaker]],$A15)+SUMIFS(BetTable[[AR_per_bookie]:[AR_per_bookie]],BetTable[[B1]:[B1]],$A15,BetTable[[Date]:[Date]], "&gt;="&amp;M$8,BetTable[[Date]:[Date]],"&lt;="&amp;EOMONTH(M$8,0))+SUMIFS(BetTable[[AR_per_bookie]:[AR_per_bookie]],BetTable[[B2]:[B2]],$A15,BetTable[[Date]:[Date]], "&gt;="&amp;M$8,BetTable[[Date]:[Date]],"&lt;="&amp;EOMONTH(M$8,0))+SUMIFS(BetTable[[AR_per_bookie]:[AR_per_bookie]],BetTable[[B3]:[B3]],$A15,BetTable[[Date]:[Date]], "&gt;="&amp;M$8,BetTable[[Date]:[Date]],"&lt;="&amp;EOMONTH(M$8,0))</f>
        <v>0</v>
      </c>
      <c r="N15" s="126">
        <f>SUMIFS(DWbonus[[Sum]:[Sum]],DWbonus[[Dato]:[Dato]], "&gt;="&amp;N$8,DWbonus[[Dato]:[Dato]],"&lt;="&amp;EOMONTH(N$8,0),DWbonus[[Bookie]:[Bookie]],$A15)+SUMIFS(LayTable[[Faktisk res]:[Faktisk res]],LayTable[[Dato]:[Dato]],"&gt;="&amp;N$8,LayTable[[Dato]:[Dato]],"&lt;="&amp;EOMONTH(N$8,0),LayTable[[Bookmaker]:[Bookmaker]],$A15)+SUMIFS(BetTable[[AR_per_bookie]:[AR_per_bookie]],BetTable[[B1]:[B1]],$A15,BetTable[[Date]:[Date]], "&gt;="&amp;N$8,BetTable[[Date]:[Date]],"&lt;="&amp;EOMONTH(N$8,0))+SUMIFS(BetTable[[AR_per_bookie]:[AR_per_bookie]],BetTable[[B2]:[B2]],$A15,BetTable[[Date]:[Date]], "&gt;="&amp;N$8,BetTable[[Date]:[Date]],"&lt;="&amp;EOMONTH(N$8,0))+SUMIFS(BetTable[[AR_per_bookie]:[AR_per_bookie]],BetTable[[B3]:[B3]],$A15,BetTable[[Date]:[Date]], "&gt;="&amp;N$8,BetTable[[Date]:[Date]],"&lt;="&amp;EOMONTH(N$8,0))</f>
        <v>0</v>
      </c>
      <c r="O15" s="126">
        <f>SUMIFS(DWbonus[[Sum]:[Sum]],DWbonus[[Dato]:[Dato]], "&gt;="&amp;O$8,DWbonus[[Dato]:[Dato]],"&lt;="&amp;EOMONTH(O$8,0),DWbonus[[Bookie]:[Bookie]],$A15)+SUMIFS(LayTable[[Faktisk res]:[Faktisk res]],LayTable[[Dato]:[Dato]],"&gt;="&amp;O$8,LayTable[[Dato]:[Dato]],"&lt;="&amp;EOMONTH(O$8,0),LayTable[[Bookmaker]:[Bookmaker]],$A15)+SUMIFS(BetTable[[AR_per_bookie]:[AR_per_bookie]],BetTable[[B1]:[B1]],$A15,BetTable[[Date]:[Date]], "&gt;="&amp;O$8,BetTable[[Date]:[Date]],"&lt;="&amp;EOMONTH(O$8,0))+SUMIFS(BetTable[[AR_per_bookie]:[AR_per_bookie]],BetTable[[B2]:[B2]],$A15,BetTable[[Date]:[Date]], "&gt;="&amp;O$8,BetTable[[Date]:[Date]],"&lt;="&amp;EOMONTH(O$8,0))+SUMIFS(BetTable[[AR_per_bookie]:[AR_per_bookie]],BetTable[[B3]:[B3]],$A15,BetTable[[Date]:[Date]], "&gt;="&amp;O$8,BetTable[[Date]:[Date]],"&lt;="&amp;EOMONTH(O$8,0))</f>
        <v>0</v>
      </c>
      <c r="P15" s="126">
        <f>SUMIFS(DWbonus[[Sum]:[Sum]],DWbonus[[Dato]:[Dato]], "&gt;="&amp;P$8,DWbonus[[Dato]:[Dato]],"&lt;="&amp;EOMONTH(P$8,0),DWbonus[[Bookie]:[Bookie]],$A15)+SUMIFS(LayTable[[Faktisk res]:[Faktisk res]],LayTable[[Dato]:[Dato]],"&gt;="&amp;P$8,LayTable[[Dato]:[Dato]],"&lt;="&amp;EOMONTH(P$8,0),LayTable[[Bookmaker]:[Bookmaker]],$A15)+SUMIFS(BetTable[[AR_per_bookie]:[AR_per_bookie]],BetTable[[B1]:[B1]],$A15,BetTable[[Date]:[Date]], "&gt;="&amp;P$8,BetTable[[Date]:[Date]],"&lt;="&amp;EOMONTH(P$8,0))+SUMIFS(BetTable[[AR_per_bookie]:[AR_per_bookie]],BetTable[[B2]:[B2]],$A15,BetTable[[Date]:[Date]], "&gt;="&amp;P$8,BetTable[[Date]:[Date]],"&lt;="&amp;EOMONTH(P$8,0))+SUMIFS(BetTable[[AR_per_bookie]:[AR_per_bookie]],BetTable[[B3]:[B3]],$A15,BetTable[[Date]:[Date]], "&gt;="&amp;P$8,BetTable[[Date]:[Date]],"&lt;="&amp;EOMONTH(P$8,0))</f>
        <v>0</v>
      </c>
      <c r="Q15" s="126">
        <f>SUMIFS(DWbonus[[Sum]:[Sum]],DWbonus[[Dato]:[Dato]], "&gt;="&amp;Q$8,DWbonus[[Dato]:[Dato]],"&lt;="&amp;EOMONTH(Q$8,0),DWbonus[[Bookie]:[Bookie]],$A15)+SUMIFS(LayTable[[Faktisk res]:[Faktisk res]],LayTable[[Dato]:[Dato]],"&gt;="&amp;Q$8,LayTable[[Dato]:[Dato]],"&lt;="&amp;EOMONTH(Q$8,0),LayTable[[Bookmaker]:[Bookmaker]],$A15)+SUMIFS(BetTable[[AR_per_bookie]:[AR_per_bookie]],BetTable[[B1]:[B1]],$A15,BetTable[[Date]:[Date]], "&gt;="&amp;Q$8,BetTable[[Date]:[Date]],"&lt;="&amp;EOMONTH(Q$8,0))+SUMIFS(BetTable[[AR_per_bookie]:[AR_per_bookie]],BetTable[[B2]:[B2]],$A15,BetTable[[Date]:[Date]], "&gt;="&amp;Q$8,BetTable[[Date]:[Date]],"&lt;="&amp;EOMONTH(Q$8,0))+SUMIFS(BetTable[[AR_per_bookie]:[AR_per_bookie]],BetTable[[B3]:[B3]],$A15,BetTable[[Date]:[Date]], "&gt;="&amp;Q$8,BetTable[[Date]:[Date]],"&lt;="&amp;EOMONTH(Q$8,0))</f>
        <v>0</v>
      </c>
      <c r="R15" s="126">
        <f>SUMIFS(DWbonus[[Sum]:[Sum]],DWbonus[[Dato]:[Dato]], "&gt;="&amp;R$8,DWbonus[[Dato]:[Dato]],"&lt;="&amp;EOMONTH(R$8,0),DWbonus[[Bookie]:[Bookie]],$A15)+SUMIFS(LayTable[[Faktisk res]:[Faktisk res]],LayTable[[Dato]:[Dato]],"&gt;="&amp;R$8,LayTable[[Dato]:[Dato]],"&lt;="&amp;EOMONTH(R$8,0),LayTable[[Bookmaker]:[Bookmaker]],$A15)+SUMIFS(BetTable[[AR_per_bookie]:[AR_per_bookie]],BetTable[[B1]:[B1]],$A15,BetTable[[Date]:[Date]], "&gt;="&amp;R$8,BetTable[[Date]:[Date]],"&lt;="&amp;EOMONTH(R$8,0))+SUMIFS(BetTable[[AR_per_bookie]:[AR_per_bookie]],BetTable[[B2]:[B2]],$A15,BetTable[[Date]:[Date]], "&gt;="&amp;R$8,BetTable[[Date]:[Date]],"&lt;="&amp;EOMONTH(R$8,0))+SUMIFS(BetTable[[AR_per_bookie]:[AR_per_bookie]],BetTable[[B3]:[B3]],$A15,BetTable[[Date]:[Date]], "&gt;="&amp;R$8,BetTable[[Date]:[Date]],"&lt;="&amp;EOMONTH(R$8,0))</f>
        <v>0</v>
      </c>
      <c r="S15" s="126">
        <f>SUMIFS(DWbonus[[Sum]:[Sum]],DWbonus[[Dato]:[Dato]], "&gt;="&amp;S$8,DWbonus[[Dato]:[Dato]],"&lt;="&amp;EOMONTH(S$8,0),DWbonus[[Bookie]:[Bookie]],$A15)+SUMIFS(LayTable[[Faktisk res]:[Faktisk res]],LayTable[[Dato]:[Dato]],"&gt;="&amp;S$8,LayTable[[Dato]:[Dato]],"&lt;="&amp;EOMONTH(S$8,0),LayTable[[Bookmaker]:[Bookmaker]],$A15)+SUMIFS(BetTable[[AR_per_bookie]:[AR_per_bookie]],BetTable[[B1]:[B1]],$A15,BetTable[[Date]:[Date]], "&gt;="&amp;S$8,BetTable[[Date]:[Date]],"&lt;="&amp;EOMONTH(S$8,0))+SUMIFS(BetTable[[AR_per_bookie]:[AR_per_bookie]],BetTable[[B2]:[B2]],$A15,BetTable[[Date]:[Date]], "&gt;="&amp;S$8,BetTable[[Date]:[Date]],"&lt;="&amp;EOMONTH(S$8,0))+SUMIFS(BetTable[[AR_per_bookie]:[AR_per_bookie]],BetTable[[B3]:[B3]],$A15,BetTable[[Date]:[Date]], "&gt;="&amp;S$8,BetTable[[Date]:[Date]],"&lt;="&amp;EOMONTH(S$8,0))</f>
        <v>0</v>
      </c>
    </row>
    <row r="16" spans="1:19">
      <c r="A16" s="115" t="str">
        <f>BookieNavn!I8</f>
        <v>Betboro</v>
      </c>
      <c r="B16" s="126">
        <f>SUMIF(Penger!D$1:D$50072,A16,Penger!F$1:F$50072)</f>
        <v>0</v>
      </c>
      <c r="C16" s="126">
        <f>SUMIF(Penger!T$1:T$50072,A16,Penger!U$1:U$50072)</f>
        <v>0</v>
      </c>
      <c r="D16" s="126">
        <f ca="1">SUMIF(Spill!C$1:C$499895,A16,Spill!T$1:T$49895)+C16</f>
        <v>0</v>
      </c>
      <c r="E16" s="126">
        <f>SUMIF(Spill!C$1:C$49895,A16,Spill!T$1:T$49895)</f>
        <v>0</v>
      </c>
      <c r="F16" s="121" t="e">
        <f t="shared" ca="1" si="1"/>
        <v>#DIV/0!</v>
      </c>
      <c r="H16" s="126">
        <f>SUMIFS(DWbonus[[Sum]:[Sum]],DWbonus[[Dato]:[Dato]], "&gt;="&amp;H$8,DWbonus[[Dato]:[Dato]],"&lt;="&amp;EOMONTH(H$8,0),DWbonus[[Bookie]:[Bookie]],$A16)+SUMIFS(LayTable[[Faktisk res]:[Faktisk res]],LayTable[[Dato]:[Dato]],"&gt;="&amp;H$8,LayTable[[Dato]:[Dato]],"&lt;="&amp;EOMONTH(H$8,0),LayTable[[Bookmaker]:[Bookmaker]],$A16)+SUMIFS(BetTable[[AR_per_bookie]:[AR_per_bookie]],BetTable[[B1]:[B1]],$A16,BetTable[[Date]:[Date]], "&gt;="&amp;H$8,BetTable[[Date]:[Date]],"&lt;="&amp;EOMONTH(H$8,0))+SUMIFS(BetTable[[AR_per_bookie]:[AR_per_bookie]],BetTable[[B2]:[B2]],$A16,BetTable[[Date]:[Date]], "&gt;="&amp;H$8,BetTable[[Date]:[Date]],"&lt;="&amp;EOMONTH(H$8,0))+SUMIFS(BetTable[[AR_per_bookie]:[AR_per_bookie]],BetTable[[B3]:[B3]],$A16,BetTable[[Date]:[Date]], "&gt;="&amp;H$8,BetTable[[Date]:[Date]],"&lt;="&amp;EOMONTH(H$8,0))</f>
        <v>0</v>
      </c>
      <c r="I16" s="126">
        <f>SUMIFS(DWbonus[[Sum]:[Sum]],DWbonus[[Dato]:[Dato]], "&gt;="&amp;I$8,DWbonus[[Dato]:[Dato]],"&lt;="&amp;EOMONTH(I$8,0),DWbonus[[Bookie]:[Bookie]],$A16)+SUMIFS(LayTable[[Faktisk res]:[Faktisk res]],LayTable[[Dato]:[Dato]],"&gt;="&amp;I$8,LayTable[[Dato]:[Dato]],"&lt;="&amp;EOMONTH(I$8,0),LayTable[[Bookmaker]:[Bookmaker]],$A16)+SUMIFS(BetTable[[AR_per_bookie]:[AR_per_bookie]],BetTable[[B1]:[B1]],$A16,BetTable[[Date]:[Date]], "&gt;="&amp;I$8,BetTable[[Date]:[Date]],"&lt;="&amp;EOMONTH(I$8,0))+SUMIFS(BetTable[[AR_per_bookie]:[AR_per_bookie]],BetTable[[B2]:[B2]],$A16,BetTable[[Date]:[Date]], "&gt;="&amp;I$8,BetTable[[Date]:[Date]],"&lt;="&amp;EOMONTH(I$8,0))+SUMIFS(BetTable[[AR_per_bookie]:[AR_per_bookie]],BetTable[[B3]:[B3]],$A16,BetTable[[Date]:[Date]], "&gt;="&amp;I$8,BetTable[[Date]:[Date]],"&lt;="&amp;EOMONTH(I$8,0))</f>
        <v>0</v>
      </c>
      <c r="J16" s="126">
        <f>SUMIFS(DWbonus[[Sum]:[Sum]],DWbonus[[Dato]:[Dato]], "&gt;="&amp;J$8,DWbonus[[Dato]:[Dato]],"&lt;="&amp;EOMONTH(J$8,0),DWbonus[[Bookie]:[Bookie]],$A16)+SUMIFS(LayTable[[Faktisk res]:[Faktisk res]],LayTable[[Dato]:[Dato]],"&gt;="&amp;J$8,LayTable[[Dato]:[Dato]],"&lt;="&amp;EOMONTH(J$8,0),LayTable[[Bookmaker]:[Bookmaker]],$A16)+SUMIFS(BetTable[[AR_per_bookie]:[AR_per_bookie]],BetTable[[B1]:[B1]],$A16,BetTable[[Date]:[Date]], "&gt;="&amp;J$8,BetTable[[Date]:[Date]],"&lt;="&amp;EOMONTH(J$8,0))+SUMIFS(BetTable[[AR_per_bookie]:[AR_per_bookie]],BetTable[[B2]:[B2]],$A16,BetTable[[Date]:[Date]], "&gt;="&amp;J$8,BetTable[[Date]:[Date]],"&lt;="&amp;EOMONTH(J$8,0))+SUMIFS(BetTable[[AR_per_bookie]:[AR_per_bookie]],BetTable[[B3]:[B3]],$A16,BetTable[[Date]:[Date]], "&gt;="&amp;J$8,BetTable[[Date]:[Date]],"&lt;="&amp;EOMONTH(J$8,0))</f>
        <v>0</v>
      </c>
      <c r="K16" s="126">
        <f>SUMIFS(DWbonus[[Sum]:[Sum]],DWbonus[[Dato]:[Dato]], "&gt;="&amp;K$8,DWbonus[[Dato]:[Dato]],"&lt;="&amp;EOMONTH(K$8,0),DWbonus[[Bookie]:[Bookie]],$A16)+SUMIFS(LayTable[[Faktisk res]:[Faktisk res]],LayTable[[Dato]:[Dato]],"&gt;="&amp;K$8,LayTable[[Dato]:[Dato]],"&lt;="&amp;EOMONTH(K$8,0),LayTable[[Bookmaker]:[Bookmaker]],$A16)+SUMIFS(BetTable[[AR_per_bookie]:[AR_per_bookie]],BetTable[[B1]:[B1]],$A16,BetTable[[Date]:[Date]], "&gt;="&amp;K$8,BetTable[[Date]:[Date]],"&lt;="&amp;EOMONTH(K$8,0))+SUMIFS(BetTable[[AR_per_bookie]:[AR_per_bookie]],BetTable[[B2]:[B2]],$A16,BetTable[[Date]:[Date]], "&gt;="&amp;K$8,BetTable[[Date]:[Date]],"&lt;="&amp;EOMONTH(K$8,0))+SUMIFS(BetTable[[AR_per_bookie]:[AR_per_bookie]],BetTable[[B3]:[B3]],$A16,BetTable[[Date]:[Date]], "&gt;="&amp;K$8,BetTable[[Date]:[Date]],"&lt;="&amp;EOMONTH(K$8,0))</f>
        <v>0</v>
      </c>
      <c r="L16" s="126">
        <f>SUMIFS(DWbonus[[Sum]:[Sum]],DWbonus[[Dato]:[Dato]], "&gt;="&amp;L$8,DWbonus[[Dato]:[Dato]],"&lt;="&amp;EOMONTH(L$8,0),DWbonus[[Bookie]:[Bookie]],$A16)+SUMIFS(LayTable[[Faktisk res]:[Faktisk res]],LayTable[[Dato]:[Dato]],"&gt;="&amp;L$8,LayTable[[Dato]:[Dato]],"&lt;="&amp;EOMONTH(L$8,0),LayTable[[Bookmaker]:[Bookmaker]],$A16)+SUMIFS(BetTable[[AR_per_bookie]:[AR_per_bookie]],BetTable[[B1]:[B1]],$A16,BetTable[[Date]:[Date]], "&gt;="&amp;L$8,BetTable[[Date]:[Date]],"&lt;="&amp;EOMONTH(L$8,0))+SUMIFS(BetTable[[AR_per_bookie]:[AR_per_bookie]],BetTable[[B2]:[B2]],$A16,BetTable[[Date]:[Date]], "&gt;="&amp;L$8,BetTable[[Date]:[Date]],"&lt;="&amp;EOMONTH(L$8,0))+SUMIFS(BetTable[[AR_per_bookie]:[AR_per_bookie]],BetTable[[B3]:[B3]],$A16,BetTable[[Date]:[Date]], "&gt;="&amp;L$8,BetTable[[Date]:[Date]],"&lt;="&amp;EOMONTH(L$8,0))</f>
        <v>0</v>
      </c>
      <c r="M16" s="126">
        <f>SUMIFS(DWbonus[[Sum]:[Sum]],DWbonus[[Dato]:[Dato]], "&gt;="&amp;M$8,DWbonus[[Dato]:[Dato]],"&lt;="&amp;EOMONTH(M$8,0),DWbonus[[Bookie]:[Bookie]],$A16)+SUMIFS(LayTable[[Faktisk res]:[Faktisk res]],LayTable[[Dato]:[Dato]],"&gt;="&amp;M$8,LayTable[[Dato]:[Dato]],"&lt;="&amp;EOMONTH(M$8,0),LayTable[[Bookmaker]:[Bookmaker]],$A16)+SUMIFS(BetTable[[AR_per_bookie]:[AR_per_bookie]],BetTable[[B1]:[B1]],$A16,BetTable[[Date]:[Date]], "&gt;="&amp;M$8,BetTable[[Date]:[Date]],"&lt;="&amp;EOMONTH(M$8,0))+SUMIFS(BetTable[[AR_per_bookie]:[AR_per_bookie]],BetTable[[B2]:[B2]],$A16,BetTable[[Date]:[Date]], "&gt;="&amp;M$8,BetTable[[Date]:[Date]],"&lt;="&amp;EOMONTH(M$8,0))+SUMIFS(BetTable[[AR_per_bookie]:[AR_per_bookie]],BetTable[[B3]:[B3]],$A16,BetTable[[Date]:[Date]], "&gt;="&amp;M$8,BetTable[[Date]:[Date]],"&lt;="&amp;EOMONTH(M$8,0))</f>
        <v>0</v>
      </c>
      <c r="N16" s="126">
        <f>SUMIFS(DWbonus[[Sum]:[Sum]],DWbonus[[Dato]:[Dato]], "&gt;="&amp;N$8,DWbonus[[Dato]:[Dato]],"&lt;="&amp;EOMONTH(N$8,0),DWbonus[[Bookie]:[Bookie]],$A16)+SUMIFS(LayTable[[Faktisk res]:[Faktisk res]],LayTable[[Dato]:[Dato]],"&gt;="&amp;N$8,LayTable[[Dato]:[Dato]],"&lt;="&amp;EOMONTH(N$8,0),LayTable[[Bookmaker]:[Bookmaker]],$A16)+SUMIFS(BetTable[[AR_per_bookie]:[AR_per_bookie]],BetTable[[B1]:[B1]],$A16,BetTable[[Date]:[Date]], "&gt;="&amp;N$8,BetTable[[Date]:[Date]],"&lt;="&amp;EOMONTH(N$8,0))+SUMIFS(BetTable[[AR_per_bookie]:[AR_per_bookie]],BetTable[[B2]:[B2]],$A16,BetTable[[Date]:[Date]], "&gt;="&amp;N$8,BetTable[[Date]:[Date]],"&lt;="&amp;EOMONTH(N$8,0))+SUMIFS(BetTable[[AR_per_bookie]:[AR_per_bookie]],BetTable[[B3]:[B3]],$A16,BetTable[[Date]:[Date]], "&gt;="&amp;N$8,BetTable[[Date]:[Date]],"&lt;="&amp;EOMONTH(N$8,0))</f>
        <v>0</v>
      </c>
      <c r="O16" s="126">
        <f>SUMIFS(DWbonus[[Sum]:[Sum]],DWbonus[[Dato]:[Dato]], "&gt;="&amp;O$8,DWbonus[[Dato]:[Dato]],"&lt;="&amp;EOMONTH(O$8,0),DWbonus[[Bookie]:[Bookie]],$A16)+SUMIFS(LayTable[[Faktisk res]:[Faktisk res]],LayTable[[Dato]:[Dato]],"&gt;="&amp;O$8,LayTable[[Dato]:[Dato]],"&lt;="&amp;EOMONTH(O$8,0),LayTable[[Bookmaker]:[Bookmaker]],$A16)+SUMIFS(BetTable[[AR_per_bookie]:[AR_per_bookie]],BetTable[[B1]:[B1]],$A16,BetTable[[Date]:[Date]], "&gt;="&amp;O$8,BetTable[[Date]:[Date]],"&lt;="&amp;EOMONTH(O$8,0))+SUMIFS(BetTable[[AR_per_bookie]:[AR_per_bookie]],BetTable[[B2]:[B2]],$A16,BetTable[[Date]:[Date]], "&gt;="&amp;O$8,BetTable[[Date]:[Date]],"&lt;="&amp;EOMONTH(O$8,0))+SUMIFS(BetTable[[AR_per_bookie]:[AR_per_bookie]],BetTable[[B3]:[B3]],$A16,BetTable[[Date]:[Date]], "&gt;="&amp;O$8,BetTable[[Date]:[Date]],"&lt;="&amp;EOMONTH(O$8,0))</f>
        <v>0</v>
      </c>
      <c r="P16" s="126">
        <f>SUMIFS(DWbonus[[Sum]:[Sum]],DWbonus[[Dato]:[Dato]], "&gt;="&amp;P$8,DWbonus[[Dato]:[Dato]],"&lt;="&amp;EOMONTH(P$8,0),DWbonus[[Bookie]:[Bookie]],$A16)+SUMIFS(LayTable[[Faktisk res]:[Faktisk res]],LayTable[[Dato]:[Dato]],"&gt;="&amp;P$8,LayTable[[Dato]:[Dato]],"&lt;="&amp;EOMONTH(P$8,0),LayTable[[Bookmaker]:[Bookmaker]],$A16)+SUMIFS(BetTable[[AR_per_bookie]:[AR_per_bookie]],BetTable[[B1]:[B1]],$A16,BetTable[[Date]:[Date]], "&gt;="&amp;P$8,BetTable[[Date]:[Date]],"&lt;="&amp;EOMONTH(P$8,0))+SUMIFS(BetTable[[AR_per_bookie]:[AR_per_bookie]],BetTable[[B2]:[B2]],$A16,BetTable[[Date]:[Date]], "&gt;="&amp;P$8,BetTable[[Date]:[Date]],"&lt;="&amp;EOMONTH(P$8,0))+SUMIFS(BetTable[[AR_per_bookie]:[AR_per_bookie]],BetTable[[B3]:[B3]],$A16,BetTable[[Date]:[Date]], "&gt;="&amp;P$8,BetTable[[Date]:[Date]],"&lt;="&amp;EOMONTH(P$8,0))</f>
        <v>0</v>
      </c>
      <c r="Q16" s="126">
        <f>SUMIFS(DWbonus[[Sum]:[Sum]],DWbonus[[Dato]:[Dato]], "&gt;="&amp;Q$8,DWbonus[[Dato]:[Dato]],"&lt;="&amp;EOMONTH(Q$8,0),DWbonus[[Bookie]:[Bookie]],$A16)+SUMIFS(LayTable[[Faktisk res]:[Faktisk res]],LayTable[[Dato]:[Dato]],"&gt;="&amp;Q$8,LayTable[[Dato]:[Dato]],"&lt;="&amp;EOMONTH(Q$8,0),LayTable[[Bookmaker]:[Bookmaker]],$A16)+SUMIFS(BetTable[[AR_per_bookie]:[AR_per_bookie]],BetTable[[B1]:[B1]],$A16,BetTable[[Date]:[Date]], "&gt;="&amp;Q$8,BetTable[[Date]:[Date]],"&lt;="&amp;EOMONTH(Q$8,0))+SUMIFS(BetTable[[AR_per_bookie]:[AR_per_bookie]],BetTable[[B2]:[B2]],$A16,BetTable[[Date]:[Date]], "&gt;="&amp;Q$8,BetTable[[Date]:[Date]],"&lt;="&amp;EOMONTH(Q$8,0))+SUMIFS(BetTable[[AR_per_bookie]:[AR_per_bookie]],BetTable[[B3]:[B3]],$A16,BetTable[[Date]:[Date]], "&gt;="&amp;Q$8,BetTable[[Date]:[Date]],"&lt;="&amp;EOMONTH(Q$8,0))</f>
        <v>0</v>
      </c>
      <c r="R16" s="126">
        <f>SUMIFS(DWbonus[[Sum]:[Sum]],DWbonus[[Dato]:[Dato]], "&gt;="&amp;R$8,DWbonus[[Dato]:[Dato]],"&lt;="&amp;EOMONTH(R$8,0),DWbonus[[Bookie]:[Bookie]],$A16)+SUMIFS(LayTable[[Faktisk res]:[Faktisk res]],LayTable[[Dato]:[Dato]],"&gt;="&amp;R$8,LayTable[[Dato]:[Dato]],"&lt;="&amp;EOMONTH(R$8,0),LayTable[[Bookmaker]:[Bookmaker]],$A16)+SUMIFS(BetTable[[AR_per_bookie]:[AR_per_bookie]],BetTable[[B1]:[B1]],$A16,BetTable[[Date]:[Date]], "&gt;="&amp;R$8,BetTable[[Date]:[Date]],"&lt;="&amp;EOMONTH(R$8,0))+SUMIFS(BetTable[[AR_per_bookie]:[AR_per_bookie]],BetTable[[B2]:[B2]],$A16,BetTable[[Date]:[Date]], "&gt;="&amp;R$8,BetTable[[Date]:[Date]],"&lt;="&amp;EOMONTH(R$8,0))+SUMIFS(BetTable[[AR_per_bookie]:[AR_per_bookie]],BetTable[[B3]:[B3]],$A16,BetTable[[Date]:[Date]], "&gt;="&amp;R$8,BetTable[[Date]:[Date]],"&lt;="&amp;EOMONTH(R$8,0))</f>
        <v>0</v>
      </c>
      <c r="S16" s="126">
        <f>SUMIFS(DWbonus[[Sum]:[Sum]],DWbonus[[Dato]:[Dato]], "&gt;="&amp;S$8,DWbonus[[Dato]:[Dato]],"&lt;="&amp;EOMONTH(S$8,0),DWbonus[[Bookie]:[Bookie]],$A16)+SUMIFS(LayTable[[Faktisk res]:[Faktisk res]],LayTable[[Dato]:[Dato]],"&gt;="&amp;S$8,LayTable[[Dato]:[Dato]],"&lt;="&amp;EOMONTH(S$8,0),LayTable[[Bookmaker]:[Bookmaker]],$A16)+SUMIFS(BetTable[[AR_per_bookie]:[AR_per_bookie]],BetTable[[B1]:[B1]],$A16,BetTable[[Date]:[Date]], "&gt;="&amp;S$8,BetTable[[Date]:[Date]],"&lt;="&amp;EOMONTH(S$8,0))+SUMIFS(BetTable[[AR_per_bookie]:[AR_per_bookie]],BetTable[[B2]:[B2]],$A16,BetTable[[Date]:[Date]], "&gt;="&amp;S$8,BetTable[[Date]:[Date]],"&lt;="&amp;EOMONTH(S$8,0))+SUMIFS(BetTable[[AR_per_bookie]:[AR_per_bookie]],BetTable[[B3]:[B3]],$A16,BetTable[[Date]:[Date]], "&gt;="&amp;S$8,BetTable[[Date]:[Date]],"&lt;="&amp;EOMONTH(S$8,0))</f>
        <v>0</v>
      </c>
    </row>
    <row r="17" spans="1:19">
      <c r="A17" s="115" t="str">
        <f>BookieNavn!I9</f>
        <v>Betfair</v>
      </c>
      <c r="B17" s="126">
        <f>SUMIF(Penger!D$1:D$50072,A17,Penger!F$1:F$50072)</f>
        <v>0</v>
      </c>
      <c r="C17" s="126">
        <f>SUMIF(Penger!T$1:T$50072,A17,Penger!U$1:U$50072)</f>
        <v>0</v>
      </c>
      <c r="D17" s="126">
        <f ca="1">SUMIF(Spill!C$1:C$499895,A17,Spill!T$1:T$49895)+C17</f>
        <v>0</v>
      </c>
      <c r="E17" s="126">
        <f>SUMIF(Spill!C$1:C$49895,A17,Spill!T$1:T$49895)</f>
        <v>0</v>
      </c>
      <c r="F17" s="121" t="e">
        <f t="shared" ca="1" si="1"/>
        <v>#DIV/0!</v>
      </c>
      <c r="H17" s="126">
        <f>SUMIFS(DWbonus[[Sum]:[Sum]],DWbonus[[Dato]:[Dato]], "&gt;="&amp;H$8,DWbonus[[Dato]:[Dato]],"&lt;="&amp;EOMONTH(H$8,0),DWbonus[[Bookie]:[Bookie]],$A17)+SUMIFS(LayTable[[Faktisk res]:[Faktisk res]],LayTable[[Dato]:[Dato]],"&gt;="&amp;H$8,LayTable[[Dato]:[Dato]],"&lt;="&amp;EOMONTH(H$8,0),LayTable[[Bookmaker]:[Bookmaker]],$A17)+SUMIFS(BetTable[[AR_per_bookie]:[AR_per_bookie]],BetTable[[B1]:[B1]],$A17,BetTable[[Date]:[Date]], "&gt;="&amp;H$8,BetTable[[Date]:[Date]],"&lt;="&amp;EOMONTH(H$8,0))+SUMIFS(BetTable[[AR_per_bookie]:[AR_per_bookie]],BetTable[[B2]:[B2]],$A17,BetTable[[Date]:[Date]], "&gt;="&amp;H$8,BetTable[[Date]:[Date]],"&lt;="&amp;EOMONTH(H$8,0))+SUMIFS(BetTable[[AR_per_bookie]:[AR_per_bookie]],BetTable[[B3]:[B3]],$A17,BetTable[[Date]:[Date]], "&gt;="&amp;H$8,BetTable[[Date]:[Date]],"&lt;="&amp;EOMONTH(H$8,0))</f>
        <v>0</v>
      </c>
      <c r="I17" s="126">
        <f>SUMIFS(DWbonus[[Sum]:[Sum]],DWbonus[[Dato]:[Dato]], "&gt;="&amp;I$8,DWbonus[[Dato]:[Dato]],"&lt;="&amp;EOMONTH(I$8,0),DWbonus[[Bookie]:[Bookie]],$A17)+SUMIFS(LayTable[[Faktisk res]:[Faktisk res]],LayTable[[Dato]:[Dato]],"&gt;="&amp;I$8,LayTable[[Dato]:[Dato]],"&lt;="&amp;EOMONTH(I$8,0),LayTable[[Bookmaker]:[Bookmaker]],$A17)+SUMIFS(BetTable[[AR_per_bookie]:[AR_per_bookie]],BetTable[[B1]:[B1]],$A17,BetTable[[Date]:[Date]], "&gt;="&amp;I$8,BetTable[[Date]:[Date]],"&lt;="&amp;EOMONTH(I$8,0))+SUMIFS(BetTable[[AR_per_bookie]:[AR_per_bookie]],BetTable[[B2]:[B2]],$A17,BetTable[[Date]:[Date]], "&gt;="&amp;I$8,BetTable[[Date]:[Date]],"&lt;="&amp;EOMONTH(I$8,0))+SUMIFS(BetTable[[AR_per_bookie]:[AR_per_bookie]],BetTable[[B3]:[B3]],$A17,BetTable[[Date]:[Date]], "&gt;="&amp;I$8,BetTable[[Date]:[Date]],"&lt;="&amp;EOMONTH(I$8,0))</f>
        <v>0</v>
      </c>
      <c r="J17" s="126">
        <f>SUMIFS(DWbonus[[Sum]:[Sum]],DWbonus[[Dato]:[Dato]], "&gt;="&amp;J$8,DWbonus[[Dato]:[Dato]],"&lt;="&amp;EOMONTH(J$8,0),DWbonus[[Bookie]:[Bookie]],$A17)+SUMIFS(LayTable[[Faktisk res]:[Faktisk res]],LayTable[[Dato]:[Dato]],"&gt;="&amp;J$8,LayTable[[Dato]:[Dato]],"&lt;="&amp;EOMONTH(J$8,0),LayTable[[Bookmaker]:[Bookmaker]],$A17)+SUMIFS(BetTable[[AR_per_bookie]:[AR_per_bookie]],BetTable[[B1]:[B1]],$A17,BetTable[[Date]:[Date]], "&gt;="&amp;J$8,BetTable[[Date]:[Date]],"&lt;="&amp;EOMONTH(J$8,0))+SUMIFS(BetTable[[AR_per_bookie]:[AR_per_bookie]],BetTable[[B2]:[B2]],$A17,BetTable[[Date]:[Date]], "&gt;="&amp;J$8,BetTable[[Date]:[Date]],"&lt;="&amp;EOMONTH(J$8,0))+SUMIFS(BetTable[[AR_per_bookie]:[AR_per_bookie]],BetTable[[B3]:[B3]],$A17,BetTable[[Date]:[Date]], "&gt;="&amp;J$8,BetTable[[Date]:[Date]],"&lt;="&amp;EOMONTH(J$8,0))</f>
        <v>0</v>
      </c>
      <c r="K17" s="126">
        <f>SUMIFS(DWbonus[[Sum]:[Sum]],DWbonus[[Dato]:[Dato]], "&gt;="&amp;K$8,DWbonus[[Dato]:[Dato]],"&lt;="&amp;EOMONTH(K$8,0),DWbonus[[Bookie]:[Bookie]],$A17)+SUMIFS(LayTable[[Faktisk res]:[Faktisk res]],LayTable[[Dato]:[Dato]],"&gt;="&amp;K$8,LayTable[[Dato]:[Dato]],"&lt;="&amp;EOMONTH(K$8,0),LayTable[[Bookmaker]:[Bookmaker]],$A17)+SUMIFS(BetTable[[AR_per_bookie]:[AR_per_bookie]],BetTable[[B1]:[B1]],$A17,BetTable[[Date]:[Date]], "&gt;="&amp;K$8,BetTable[[Date]:[Date]],"&lt;="&amp;EOMONTH(K$8,0))+SUMIFS(BetTable[[AR_per_bookie]:[AR_per_bookie]],BetTable[[B2]:[B2]],$A17,BetTable[[Date]:[Date]], "&gt;="&amp;K$8,BetTable[[Date]:[Date]],"&lt;="&amp;EOMONTH(K$8,0))+SUMIFS(BetTable[[AR_per_bookie]:[AR_per_bookie]],BetTable[[B3]:[B3]],$A17,BetTable[[Date]:[Date]], "&gt;="&amp;K$8,BetTable[[Date]:[Date]],"&lt;="&amp;EOMONTH(K$8,0))</f>
        <v>0</v>
      </c>
      <c r="L17" s="126">
        <f>SUMIFS(DWbonus[[Sum]:[Sum]],DWbonus[[Dato]:[Dato]], "&gt;="&amp;L$8,DWbonus[[Dato]:[Dato]],"&lt;="&amp;EOMONTH(L$8,0),DWbonus[[Bookie]:[Bookie]],$A17)+SUMIFS(LayTable[[Faktisk res]:[Faktisk res]],LayTable[[Dato]:[Dato]],"&gt;="&amp;L$8,LayTable[[Dato]:[Dato]],"&lt;="&amp;EOMONTH(L$8,0),LayTable[[Bookmaker]:[Bookmaker]],$A17)+SUMIFS(BetTable[[AR_per_bookie]:[AR_per_bookie]],BetTable[[B1]:[B1]],$A17,BetTable[[Date]:[Date]], "&gt;="&amp;L$8,BetTable[[Date]:[Date]],"&lt;="&amp;EOMONTH(L$8,0))+SUMIFS(BetTable[[AR_per_bookie]:[AR_per_bookie]],BetTable[[B2]:[B2]],$A17,BetTable[[Date]:[Date]], "&gt;="&amp;L$8,BetTable[[Date]:[Date]],"&lt;="&amp;EOMONTH(L$8,0))+SUMIFS(BetTable[[AR_per_bookie]:[AR_per_bookie]],BetTable[[B3]:[B3]],$A17,BetTable[[Date]:[Date]], "&gt;="&amp;L$8,BetTable[[Date]:[Date]],"&lt;="&amp;EOMONTH(L$8,0))</f>
        <v>0</v>
      </c>
      <c r="M17" s="126">
        <f>SUMIFS(DWbonus[[Sum]:[Sum]],DWbonus[[Dato]:[Dato]], "&gt;="&amp;M$8,DWbonus[[Dato]:[Dato]],"&lt;="&amp;EOMONTH(M$8,0),DWbonus[[Bookie]:[Bookie]],$A17)+SUMIFS(LayTable[[Faktisk res]:[Faktisk res]],LayTable[[Dato]:[Dato]],"&gt;="&amp;M$8,LayTable[[Dato]:[Dato]],"&lt;="&amp;EOMONTH(M$8,0),LayTable[[Bookmaker]:[Bookmaker]],$A17)+SUMIFS(BetTable[[AR_per_bookie]:[AR_per_bookie]],BetTable[[B1]:[B1]],$A17,BetTable[[Date]:[Date]], "&gt;="&amp;M$8,BetTable[[Date]:[Date]],"&lt;="&amp;EOMONTH(M$8,0))+SUMIFS(BetTable[[AR_per_bookie]:[AR_per_bookie]],BetTable[[B2]:[B2]],$A17,BetTable[[Date]:[Date]], "&gt;="&amp;M$8,BetTable[[Date]:[Date]],"&lt;="&amp;EOMONTH(M$8,0))+SUMIFS(BetTable[[AR_per_bookie]:[AR_per_bookie]],BetTable[[B3]:[B3]],$A17,BetTable[[Date]:[Date]], "&gt;="&amp;M$8,BetTable[[Date]:[Date]],"&lt;="&amp;EOMONTH(M$8,0))</f>
        <v>0</v>
      </c>
      <c r="N17" s="126">
        <f>SUMIFS(DWbonus[[Sum]:[Sum]],DWbonus[[Dato]:[Dato]], "&gt;="&amp;N$8,DWbonus[[Dato]:[Dato]],"&lt;="&amp;EOMONTH(N$8,0),DWbonus[[Bookie]:[Bookie]],$A17)+SUMIFS(LayTable[[Faktisk res]:[Faktisk res]],LayTable[[Dato]:[Dato]],"&gt;="&amp;N$8,LayTable[[Dato]:[Dato]],"&lt;="&amp;EOMONTH(N$8,0),LayTable[[Bookmaker]:[Bookmaker]],$A17)+SUMIFS(BetTable[[AR_per_bookie]:[AR_per_bookie]],BetTable[[B1]:[B1]],$A17,BetTable[[Date]:[Date]], "&gt;="&amp;N$8,BetTable[[Date]:[Date]],"&lt;="&amp;EOMONTH(N$8,0))+SUMIFS(BetTable[[AR_per_bookie]:[AR_per_bookie]],BetTable[[B2]:[B2]],$A17,BetTable[[Date]:[Date]], "&gt;="&amp;N$8,BetTable[[Date]:[Date]],"&lt;="&amp;EOMONTH(N$8,0))+SUMIFS(BetTable[[AR_per_bookie]:[AR_per_bookie]],BetTable[[B3]:[B3]],$A17,BetTable[[Date]:[Date]], "&gt;="&amp;N$8,BetTable[[Date]:[Date]],"&lt;="&amp;EOMONTH(N$8,0))</f>
        <v>0</v>
      </c>
      <c r="O17" s="126">
        <f>SUMIFS(DWbonus[[Sum]:[Sum]],DWbonus[[Dato]:[Dato]], "&gt;="&amp;O$8,DWbonus[[Dato]:[Dato]],"&lt;="&amp;EOMONTH(O$8,0),DWbonus[[Bookie]:[Bookie]],$A17)+SUMIFS(LayTable[[Faktisk res]:[Faktisk res]],LayTable[[Dato]:[Dato]],"&gt;="&amp;O$8,LayTable[[Dato]:[Dato]],"&lt;="&amp;EOMONTH(O$8,0),LayTable[[Bookmaker]:[Bookmaker]],$A17)+SUMIFS(BetTable[[AR_per_bookie]:[AR_per_bookie]],BetTable[[B1]:[B1]],$A17,BetTable[[Date]:[Date]], "&gt;="&amp;O$8,BetTable[[Date]:[Date]],"&lt;="&amp;EOMONTH(O$8,0))+SUMIFS(BetTable[[AR_per_bookie]:[AR_per_bookie]],BetTable[[B2]:[B2]],$A17,BetTable[[Date]:[Date]], "&gt;="&amp;O$8,BetTable[[Date]:[Date]],"&lt;="&amp;EOMONTH(O$8,0))+SUMIFS(BetTable[[AR_per_bookie]:[AR_per_bookie]],BetTable[[B3]:[B3]],$A17,BetTable[[Date]:[Date]], "&gt;="&amp;O$8,BetTable[[Date]:[Date]],"&lt;="&amp;EOMONTH(O$8,0))</f>
        <v>0</v>
      </c>
      <c r="P17" s="126">
        <f>SUMIFS(DWbonus[[Sum]:[Sum]],DWbonus[[Dato]:[Dato]], "&gt;="&amp;P$8,DWbonus[[Dato]:[Dato]],"&lt;="&amp;EOMONTH(P$8,0),DWbonus[[Bookie]:[Bookie]],$A17)+SUMIFS(LayTable[[Faktisk res]:[Faktisk res]],LayTable[[Dato]:[Dato]],"&gt;="&amp;P$8,LayTable[[Dato]:[Dato]],"&lt;="&amp;EOMONTH(P$8,0),LayTable[[Bookmaker]:[Bookmaker]],$A17)+SUMIFS(BetTable[[AR_per_bookie]:[AR_per_bookie]],BetTable[[B1]:[B1]],$A17,BetTable[[Date]:[Date]], "&gt;="&amp;P$8,BetTable[[Date]:[Date]],"&lt;="&amp;EOMONTH(P$8,0))+SUMIFS(BetTable[[AR_per_bookie]:[AR_per_bookie]],BetTable[[B2]:[B2]],$A17,BetTable[[Date]:[Date]], "&gt;="&amp;P$8,BetTable[[Date]:[Date]],"&lt;="&amp;EOMONTH(P$8,0))+SUMIFS(BetTable[[AR_per_bookie]:[AR_per_bookie]],BetTable[[B3]:[B3]],$A17,BetTable[[Date]:[Date]], "&gt;="&amp;P$8,BetTable[[Date]:[Date]],"&lt;="&amp;EOMONTH(P$8,0))</f>
        <v>0</v>
      </c>
      <c r="Q17" s="126">
        <f>SUMIFS(DWbonus[[Sum]:[Sum]],DWbonus[[Dato]:[Dato]], "&gt;="&amp;Q$8,DWbonus[[Dato]:[Dato]],"&lt;="&amp;EOMONTH(Q$8,0),DWbonus[[Bookie]:[Bookie]],$A17)+SUMIFS(LayTable[[Faktisk res]:[Faktisk res]],LayTable[[Dato]:[Dato]],"&gt;="&amp;Q$8,LayTable[[Dato]:[Dato]],"&lt;="&amp;EOMONTH(Q$8,0),LayTable[[Bookmaker]:[Bookmaker]],$A17)+SUMIFS(BetTable[[AR_per_bookie]:[AR_per_bookie]],BetTable[[B1]:[B1]],$A17,BetTable[[Date]:[Date]], "&gt;="&amp;Q$8,BetTable[[Date]:[Date]],"&lt;="&amp;EOMONTH(Q$8,0))+SUMIFS(BetTable[[AR_per_bookie]:[AR_per_bookie]],BetTable[[B2]:[B2]],$A17,BetTable[[Date]:[Date]], "&gt;="&amp;Q$8,BetTable[[Date]:[Date]],"&lt;="&amp;EOMONTH(Q$8,0))+SUMIFS(BetTable[[AR_per_bookie]:[AR_per_bookie]],BetTable[[B3]:[B3]],$A17,BetTable[[Date]:[Date]], "&gt;="&amp;Q$8,BetTable[[Date]:[Date]],"&lt;="&amp;EOMONTH(Q$8,0))</f>
        <v>0</v>
      </c>
      <c r="R17" s="126">
        <f>SUMIFS(DWbonus[[Sum]:[Sum]],DWbonus[[Dato]:[Dato]], "&gt;="&amp;R$8,DWbonus[[Dato]:[Dato]],"&lt;="&amp;EOMONTH(R$8,0),DWbonus[[Bookie]:[Bookie]],$A17)+SUMIFS(LayTable[[Faktisk res]:[Faktisk res]],LayTable[[Dato]:[Dato]],"&gt;="&amp;R$8,LayTable[[Dato]:[Dato]],"&lt;="&amp;EOMONTH(R$8,0),LayTable[[Bookmaker]:[Bookmaker]],$A17)+SUMIFS(BetTable[[AR_per_bookie]:[AR_per_bookie]],BetTable[[B1]:[B1]],$A17,BetTable[[Date]:[Date]], "&gt;="&amp;R$8,BetTable[[Date]:[Date]],"&lt;="&amp;EOMONTH(R$8,0))+SUMIFS(BetTable[[AR_per_bookie]:[AR_per_bookie]],BetTable[[B2]:[B2]],$A17,BetTable[[Date]:[Date]], "&gt;="&amp;R$8,BetTable[[Date]:[Date]],"&lt;="&amp;EOMONTH(R$8,0))+SUMIFS(BetTable[[AR_per_bookie]:[AR_per_bookie]],BetTable[[B3]:[B3]],$A17,BetTable[[Date]:[Date]], "&gt;="&amp;R$8,BetTable[[Date]:[Date]],"&lt;="&amp;EOMONTH(R$8,0))</f>
        <v>0</v>
      </c>
      <c r="S17" s="126">
        <f>SUMIFS(DWbonus[[Sum]:[Sum]],DWbonus[[Dato]:[Dato]], "&gt;="&amp;S$8,DWbonus[[Dato]:[Dato]],"&lt;="&amp;EOMONTH(S$8,0),DWbonus[[Bookie]:[Bookie]],$A17)+SUMIFS(LayTable[[Faktisk res]:[Faktisk res]],LayTable[[Dato]:[Dato]],"&gt;="&amp;S$8,LayTable[[Dato]:[Dato]],"&lt;="&amp;EOMONTH(S$8,0),LayTable[[Bookmaker]:[Bookmaker]],$A17)+SUMIFS(BetTable[[AR_per_bookie]:[AR_per_bookie]],BetTable[[B1]:[B1]],$A17,BetTable[[Date]:[Date]], "&gt;="&amp;S$8,BetTable[[Date]:[Date]],"&lt;="&amp;EOMONTH(S$8,0))+SUMIFS(BetTable[[AR_per_bookie]:[AR_per_bookie]],BetTable[[B2]:[B2]],$A17,BetTable[[Date]:[Date]], "&gt;="&amp;S$8,BetTable[[Date]:[Date]],"&lt;="&amp;EOMONTH(S$8,0))+SUMIFS(BetTable[[AR_per_bookie]:[AR_per_bookie]],BetTable[[B3]:[B3]],$A17,BetTable[[Date]:[Date]], "&gt;="&amp;S$8,BetTable[[Date]:[Date]],"&lt;="&amp;EOMONTH(S$8,0))</f>
        <v>0</v>
      </c>
    </row>
    <row r="18" spans="1:19">
      <c r="A18" s="115" t="str">
        <f>BookieNavn!I10</f>
        <v>Betfinal</v>
      </c>
      <c r="B18" s="126">
        <f>SUMIF(Penger!D$1:D$50072,A18,Penger!F$1:F$50072)</f>
        <v>0</v>
      </c>
      <c r="C18" s="126">
        <f>SUMIF(Penger!T$1:T$50072,A18,Penger!U$1:U$50072)</f>
        <v>0</v>
      </c>
      <c r="D18" s="126">
        <f ca="1">SUMIF(Spill!C$1:C$499895,A18,Spill!T$1:T$49895)+C18</f>
        <v>0</v>
      </c>
      <c r="E18" s="126">
        <f>SUMIF(Spill!C$1:C$49895,A18,Spill!T$1:T$49895)</f>
        <v>0</v>
      </c>
      <c r="F18" s="121" t="e">
        <f t="shared" ca="1" si="1"/>
        <v>#DIV/0!</v>
      </c>
      <c r="H18" s="126">
        <f>SUMIFS(DWbonus[[Sum]:[Sum]],DWbonus[[Dato]:[Dato]], "&gt;="&amp;H$8,DWbonus[[Dato]:[Dato]],"&lt;="&amp;EOMONTH(H$8,0),DWbonus[[Bookie]:[Bookie]],$A18)+SUMIFS(LayTable[[Faktisk res]:[Faktisk res]],LayTable[[Dato]:[Dato]],"&gt;="&amp;H$8,LayTable[[Dato]:[Dato]],"&lt;="&amp;EOMONTH(H$8,0),LayTable[[Bookmaker]:[Bookmaker]],$A18)+SUMIFS(BetTable[[AR_per_bookie]:[AR_per_bookie]],BetTable[[B1]:[B1]],$A18,BetTable[[Date]:[Date]], "&gt;="&amp;H$8,BetTable[[Date]:[Date]],"&lt;="&amp;EOMONTH(H$8,0))+SUMIFS(BetTable[[AR_per_bookie]:[AR_per_bookie]],BetTable[[B2]:[B2]],$A18,BetTable[[Date]:[Date]], "&gt;="&amp;H$8,BetTable[[Date]:[Date]],"&lt;="&amp;EOMONTH(H$8,0))+SUMIFS(BetTable[[AR_per_bookie]:[AR_per_bookie]],BetTable[[B3]:[B3]],$A18,BetTable[[Date]:[Date]], "&gt;="&amp;H$8,BetTable[[Date]:[Date]],"&lt;="&amp;EOMONTH(H$8,0))</f>
        <v>0</v>
      </c>
      <c r="I18" s="126">
        <f>SUMIFS(DWbonus[[Sum]:[Sum]],DWbonus[[Dato]:[Dato]], "&gt;="&amp;I$8,DWbonus[[Dato]:[Dato]],"&lt;="&amp;EOMONTH(I$8,0),DWbonus[[Bookie]:[Bookie]],$A18)+SUMIFS(LayTable[[Faktisk res]:[Faktisk res]],LayTable[[Dato]:[Dato]],"&gt;="&amp;I$8,LayTable[[Dato]:[Dato]],"&lt;="&amp;EOMONTH(I$8,0),LayTable[[Bookmaker]:[Bookmaker]],$A18)+SUMIFS(BetTable[[AR_per_bookie]:[AR_per_bookie]],BetTable[[B1]:[B1]],$A18,BetTable[[Date]:[Date]], "&gt;="&amp;I$8,BetTable[[Date]:[Date]],"&lt;="&amp;EOMONTH(I$8,0))+SUMIFS(BetTable[[AR_per_bookie]:[AR_per_bookie]],BetTable[[B2]:[B2]],$A18,BetTable[[Date]:[Date]], "&gt;="&amp;I$8,BetTable[[Date]:[Date]],"&lt;="&amp;EOMONTH(I$8,0))+SUMIFS(BetTable[[AR_per_bookie]:[AR_per_bookie]],BetTable[[B3]:[B3]],$A18,BetTable[[Date]:[Date]], "&gt;="&amp;I$8,BetTable[[Date]:[Date]],"&lt;="&amp;EOMONTH(I$8,0))</f>
        <v>0</v>
      </c>
      <c r="J18" s="126">
        <f>SUMIFS(DWbonus[[Sum]:[Sum]],DWbonus[[Dato]:[Dato]], "&gt;="&amp;J$8,DWbonus[[Dato]:[Dato]],"&lt;="&amp;EOMONTH(J$8,0),DWbonus[[Bookie]:[Bookie]],$A18)+SUMIFS(LayTable[[Faktisk res]:[Faktisk res]],LayTable[[Dato]:[Dato]],"&gt;="&amp;J$8,LayTable[[Dato]:[Dato]],"&lt;="&amp;EOMONTH(J$8,0),LayTable[[Bookmaker]:[Bookmaker]],$A18)+SUMIFS(BetTable[[AR_per_bookie]:[AR_per_bookie]],BetTable[[B1]:[B1]],$A18,BetTable[[Date]:[Date]], "&gt;="&amp;J$8,BetTable[[Date]:[Date]],"&lt;="&amp;EOMONTH(J$8,0))+SUMIFS(BetTable[[AR_per_bookie]:[AR_per_bookie]],BetTable[[B2]:[B2]],$A18,BetTable[[Date]:[Date]], "&gt;="&amp;J$8,BetTable[[Date]:[Date]],"&lt;="&amp;EOMONTH(J$8,0))+SUMIFS(BetTable[[AR_per_bookie]:[AR_per_bookie]],BetTable[[B3]:[B3]],$A18,BetTable[[Date]:[Date]], "&gt;="&amp;J$8,BetTable[[Date]:[Date]],"&lt;="&amp;EOMONTH(J$8,0))</f>
        <v>0</v>
      </c>
      <c r="K18" s="126">
        <f>SUMIFS(DWbonus[[Sum]:[Sum]],DWbonus[[Dato]:[Dato]], "&gt;="&amp;K$8,DWbonus[[Dato]:[Dato]],"&lt;="&amp;EOMONTH(K$8,0),DWbonus[[Bookie]:[Bookie]],$A18)+SUMIFS(LayTable[[Faktisk res]:[Faktisk res]],LayTable[[Dato]:[Dato]],"&gt;="&amp;K$8,LayTable[[Dato]:[Dato]],"&lt;="&amp;EOMONTH(K$8,0),LayTable[[Bookmaker]:[Bookmaker]],$A18)+SUMIFS(BetTable[[AR_per_bookie]:[AR_per_bookie]],BetTable[[B1]:[B1]],$A18,BetTable[[Date]:[Date]], "&gt;="&amp;K$8,BetTable[[Date]:[Date]],"&lt;="&amp;EOMONTH(K$8,0))+SUMIFS(BetTable[[AR_per_bookie]:[AR_per_bookie]],BetTable[[B2]:[B2]],$A18,BetTable[[Date]:[Date]], "&gt;="&amp;K$8,BetTable[[Date]:[Date]],"&lt;="&amp;EOMONTH(K$8,0))+SUMIFS(BetTable[[AR_per_bookie]:[AR_per_bookie]],BetTable[[B3]:[B3]],$A18,BetTable[[Date]:[Date]], "&gt;="&amp;K$8,BetTable[[Date]:[Date]],"&lt;="&amp;EOMONTH(K$8,0))</f>
        <v>0</v>
      </c>
      <c r="L18" s="126">
        <f>SUMIFS(DWbonus[[Sum]:[Sum]],DWbonus[[Dato]:[Dato]], "&gt;="&amp;L$8,DWbonus[[Dato]:[Dato]],"&lt;="&amp;EOMONTH(L$8,0),DWbonus[[Bookie]:[Bookie]],$A18)+SUMIFS(LayTable[[Faktisk res]:[Faktisk res]],LayTable[[Dato]:[Dato]],"&gt;="&amp;L$8,LayTable[[Dato]:[Dato]],"&lt;="&amp;EOMONTH(L$8,0),LayTable[[Bookmaker]:[Bookmaker]],$A18)+SUMIFS(BetTable[[AR_per_bookie]:[AR_per_bookie]],BetTable[[B1]:[B1]],$A18,BetTable[[Date]:[Date]], "&gt;="&amp;L$8,BetTable[[Date]:[Date]],"&lt;="&amp;EOMONTH(L$8,0))+SUMIFS(BetTable[[AR_per_bookie]:[AR_per_bookie]],BetTable[[B2]:[B2]],$A18,BetTable[[Date]:[Date]], "&gt;="&amp;L$8,BetTable[[Date]:[Date]],"&lt;="&amp;EOMONTH(L$8,0))+SUMIFS(BetTable[[AR_per_bookie]:[AR_per_bookie]],BetTable[[B3]:[B3]],$A18,BetTable[[Date]:[Date]], "&gt;="&amp;L$8,BetTable[[Date]:[Date]],"&lt;="&amp;EOMONTH(L$8,0))</f>
        <v>0</v>
      </c>
      <c r="M18" s="126">
        <f>SUMIFS(DWbonus[[Sum]:[Sum]],DWbonus[[Dato]:[Dato]], "&gt;="&amp;M$8,DWbonus[[Dato]:[Dato]],"&lt;="&amp;EOMONTH(M$8,0),DWbonus[[Bookie]:[Bookie]],$A18)+SUMIFS(LayTable[[Faktisk res]:[Faktisk res]],LayTable[[Dato]:[Dato]],"&gt;="&amp;M$8,LayTable[[Dato]:[Dato]],"&lt;="&amp;EOMONTH(M$8,0),LayTable[[Bookmaker]:[Bookmaker]],$A18)+SUMIFS(BetTable[[AR_per_bookie]:[AR_per_bookie]],BetTable[[B1]:[B1]],$A18,BetTable[[Date]:[Date]], "&gt;="&amp;M$8,BetTable[[Date]:[Date]],"&lt;="&amp;EOMONTH(M$8,0))+SUMIFS(BetTable[[AR_per_bookie]:[AR_per_bookie]],BetTable[[B2]:[B2]],$A18,BetTable[[Date]:[Date]], "&gt;="&amp;M$8,BetTable[[Date]:[Date]],"&lt;="&amp;EOMONTH(M$8,0))+SUMIFS(BetTable[[AR_per_bookie]:[AR_per_bookie]],BetTable[[B3]:[B3]],$A18,BetTable[[Date]:[Date]], "&gt;="&amp;M$8,BetTable[[Date]:[Date]],"&lt;="&amp;EOMONTH(M$8,0))</f>
        <v>0</v>
      </c>
      <c r="N18" s="126">
        <f>SUMIFS(DWbonus[[Sum]:[Sum]],DWbonus[[Dato]:[Dato]], "&gt;="&amp;N$8,DWbonus[[Dato]:[Dato]],"&lt;="&amp;EOMONTH(N$8,0),DWbonus[[Bookie]:[Bookie]],$A18)+SUMIFS(LayTable[[Faktisk res]:[Faktisk res]],LayTable[[Dato]:[Dato]],"&gt;="&amp;N$8,LayTable[[Dato]:[Dato]],"&lt;="&amp;EOMONTH(N$8,0),LayTable[[Bookmaker]:[Bookmaker]],$A18)+SUMIFS(BetTable[[AR_per_bookie]:[AR_per_bookie]],BetTable[[B1]:[B1]],$A18,BetTable[[Date]:[Date]], "&gt;="&amp;N$8,BetTable[[Date]:[Date]],"&lt;="&amp;EOMONTH(N$8,0))+SUMIFS(BetTable[[AR_per_bookie]:[AR_per_bookie]],BetTable[[B2]:[B2]],$A18,BetTable[[Date]:[Date]], "&gt;="&amp;N$8,BetTable[[Date]:[Date]],"&lt;="&amp;EOMONTH(N$8,0))+SUMIFS(BetTable[[AR_per_bookie]:[AR_per_bookie]],BetTable[[B3]:[B3]],$A18,BetTable[[Date]:[Date]], "&gt;="&amp;N$8,BetTable[[Date]:[Date]],"&lt;="&amp;EOMONTH(N$8,0))</f>
        <v>0</v>
      </c>
      <c r="O18" s="126">
        <f>SUMIFS(DWbonus[[Sum]:[Sum]],DWbonus[[Dato]:[Dato]], "&gt;="&amp;O$8,DWbonus[[Dato]:[Dato]],"&lt;="&amp;EOMONTH(O$8,0),DWbonus[[Bookie]:[Bookie]],$A18)+SUMIFS(LayTable[[Faktisk res]:[Faktisk res]],LayTable[[Dato]:[Dato]],"&gt;="&amp;O$8,LayTable[[Dato]:[Dato]],"&lt;="&amp;EOMONTH(O$8,0),LayTable[[Bookmaker]:[Bookmaker]],$A18)+SUMIFS(BetTable[[AR_per_bookie]:[AR_per_bookie]],BetTable[[B1]:[B1]],$A18,BetTable[[Date]:[Date]], "&gt;="&amp;O$8,BetTable[[Date]:[Date]],"&lt;="&amp;EOMONTH(O$8,0))+SUMIFS(BetTable[[AR_per_bookie]:[AR_per_bookie]],BetTable[[B2]:[B2]],$A18,BetTable[[Date]:[Date]], "&gt;="&amp;O$8,BetTable[[Date]:[Date]],"&lt;="&amp;EOMONTH(O$8,0))+SUMIFS(BetTable[[AR_per_bookie]:[AR_per_bookie]],BetTable[[B3]:[B3]],$A18,BetTable[[Date]:[Date]], "&gt;="&amp;O$8,BetTable[[Date]:[Date]],"&lt;="&amp;EOMONTH(O$8,0))</f>
        <v>0</v>
      </c>
      <c r="P18" s="126">
        <f>SUMIFS(DWbonus[[Sum]:[Sum]],DWbonus[[Dato]:[Dato]], "&gt;="&amp;P$8,DWbonus[[Dato]:[Dato]],"&lt;="&amp;EOMONTH(P$8,0),DWbonus[[Bookie]:[Bookie]],$A18)+SUMIFS(LayTable[[Faktisk res]:[Faktisk res]],LayTable[[Dato]:[Dato]],"&gt;="&amp;P$8,LayTable[[Dato]:[Dato]],"&lt;="&amp;EOMONTH(P$8,0),LayTable[[Bookmaker]:[Bookmaker]],$A18)+SUMIFS(BetTable[[AR_per_bookie]:[AR_per_bookie]],BetTable[[B1]:[B1]],$A18,BetTable[[Date]:[Date]], "&gt;="&amp;P$8,BetTable[[Date]:[Date]],"&lt;="&amp;EOMONTH(P$8,0))+SUMIFS(BetTable[[AR_per_bookie]:[AR_per_bookie]],BetTable[[B2]:[B2]],$A18,BetTable[[Date]:[Date]], "&gt;="&amp;P$8,BetTable[[Date]:[Date]],"&lt;="&amp;EOMONTH(P$8,0))+SUMIFS(BetTable[[AR_per_bookie]:[AR_per_bookie]],BetTable[[B3]:[B3]],$A18,BetTable[[Date]:[Date]], "&gt;="&amp;P$8,BetTable[[Date]:[Date]],"&lt;="&amp;EOMONTH(P$8,0))</f>
        <v>0</v>
      </c>
      <c r="Q18" s="126">
        <f>SUMIFS(DWbonus[[Sum]:[Sum]],DWbonus[[Dato]:[Dato]], "&gt;="&amp;Q$8,DWbonus[[Dato]:[Dato]],"&lt;="&amp;EOMONTH(Q$8,0),DWbonus[[Bookie]:[Bookie]],$A18)+SUMIFS(LayTable[[Faktisk res]:[Faktisk res]],LayTable[[Dato]:[Dato]],"&gt;="&amp;Q$8,LayTable[[Dato]:[Dato]],"&lt;="&amp;EOMONTH(Q$8,0),LayTable[[Bookmaker]:[Bookmaker]],$A18)+SUMIFS(BetTable[[AR_per_bookie]:[AR_per_bookie]],BetTable[[B1]:[B1]],$A18,BetTable[[Date]:[Date]], "&gt;="&amp;Q$8,BetTable[[Date]:[Date]],"&lt;="&amp;EOMONTH(Q$8,0))+SUMIFS(BetTable[[AR_per_bookie]:[AR_per_bookie]],BetTable[[B2]:[B2]],$A18,BetTable[[Date]:[Date]], "&gt;="&amp;Q$8,BetTable[[Date]:[Date]],"&lt;="&amp;EOMONTH(Q$8,0))+SUMIFS(BetTable[[AR_per_bookie]:[AR_per_bookie]],BetTable[[B3]:[B3]],$A18,BetTable[[Date]:[Date]], "&gt;="&amp;Q$8,BetTable[[Date]:[Date]],"&lt;="&amp;EOMONTH(Q$8,0))</f>
        <v>0</v>
      </c>
      <c r="R18" s="126">
        <f>SUMIFS(DWbonus[[Sum]:[Sum]],DWbonus[[Dato]:[Dato]], "&gt;="&amp;R$8,DWbonus[[Dato]:[Dato]],"&lt;="&amp;EOMONTH(R$8,0),DWbonus[[Bookie]:[Bookie]],$A18)+SUMIFS(LayTable[[Faktisk res]:[Faktisk res]],LayTable[[Dato]:[Dato]],"&gt;="&amp;R$8,LayTable[[Dato]:[Dato]],"&lt;="&amp;EOMONTH(R$8,0),LayTable[[Bookmaker]:[Bookmaker]],$A18)+SUMIFS(BetTable[[AR_per_bookie]:[AR_per_bookie]],BetTable[[B1]:[B1]],$A18,BetTable[[Date]:[Date]], "&gt;="&amp;R$8,BetTable[[Date]:[Date]],"&lt;="&amp;EOMONTH(R$8,0))+SUMIFS(BetTable[[AR_per_bookie]:[AR_per_bookie]],BetTable[[B2]:[B2]],$A18,BetTable[[Date]:[Date]], "&gt;="&amp;R$8,BetTable[[Date]:[Date]],"&lt;="&amp;EOMONTH(R$8,0))+SUMIFS(BetTable[[AR_per_bookie]:[AR_per_bookie]],BetTable[[B3]:[B3]],$A18,BetTable[[Date]:[Date]], "&gt;="&amp;R$8,BetTable[[Date]:[Date]],"&lt;="&amp;EOMONTH(R$8,0))</f>
        <v>0</v>
      </c>
      <c r="S18" s="126">
        <f>SUMIFS(DWbonus[[Sum]:[Sum]],DWbonus[[Dato]:[Dato]], "&gt;="&amp;S$8,DWbonus[[Dato]:[Dato]],"&lt;="&amp;EOMONTH(S$8,0),DWbonus[[Bookie]:[Bookie]],$A18)+SUMIFS(LayTable[[Faktisk res]:[Faktisk res]],LayTable[[Dato]:[Dato]],"&gt;="&amp;S$8,LayTable[[Dato]:[Dato]],"&lt;="&amp;EOMONTH(S$8,0),LayTable[[Bookmaker]:[Bookmaker]],$A18)+SUMIFS(BetTable[[AR_per_bookie]:[AR_per_bookie]],BetTable[[B1]:[B1]],$A18,BetTable[[Date]:[Date]], "&gt;="&amp;S$8,BetTable[[Date]:[Date]],"&lt;="&amp;EOMONTH(S$8,0))+SUMIFS(BetTable[[AR_per_bookie]:[AR_per_bookie]],BetTable[[B2]:[B2]],$A18,BetTable[[Date]:[Date]], "&gt;="&amp;S$8,BetTable[[Date]:[Date]],"&lt;="&amp;EOMONTH(S$8,0))+SUMIFS(BetTable[[AR_per_bookie]:[AR_per_bookie]],BetTable[[B3]:[B3]],$A18,BetTable[[Date]:[Date]], "&gt;="&amp;S$8,BetTable[[Date]:[Date]],"&lt;="&amp;EOMONTH(S$8,0))</f>
        <v>0</v>
      </c>
    </row>
    <row r="19" spans="1:19">
      <c r="A19" s="115" t="str">
        <f>BookieNavn!I11</f>
        <v>Bethard</v>
      </c>
      <c r="B19" s="126">
        <f>SUMIF(Penger!D$1:D$50072,A19,Penger!F$1:F$50072)</f>
        <v>0</v>
      </c>
      <c r="C19" s="126">
        <f>SUMIF(Penger!T$1:T$50072,A19,Penger!U$1:U$50072)</f>
        <v>0</v>
      </c>
      <c r="D19" s="126">
        <f ca="1">SUMIF(Spill!C$1:C$499895,A19,Spill!T$1:T$49895)+C19</f>
        <v>0</v>
      </c>
      <c r="E19" s="126">
        <f>SUMIF(Spill!C$1:C$49895,A19,Spill!T$1:T$49895)</f>
        <v>0</v>
      </c>
      <c r="F19" s="121" t="e">
        <f t="shared" ca="1" si="1"/>
        <v>#DIV/0!</v>
      </c>
      <c r="H19" s="126">
        <f>SUMIFS(DWbonus[[Sum]:[Sum]],DWbonus[[Dato]:[Dato]], "&gt;="&amp;H$8,DWbonus[[Dato]:[Dato]],"&lt;="&amp;EOMONTH(H$8,0),DWbonus[[Bookie]:[Bookie]],$A19)+SUMIFS(LayTable[[Faktisk res]:[Faktisk res]],LayTable[[Dato]:[Dato]],"&gt;="&amp;H$8,LayTable[[Dato]:[Dato]],"&lt;="&amp;EOMONTH(H$8,0),LayTable[[Bookmaker]:[Bookmaker]],$A19)+SUMIFS(BetTable[[AR_per_bookie]:[AR_per_bookie]],BetTable[[B1]:[B1]],$A19,BetTable[[Date]:[Date]], "&gt;="&amp;H$8,BetTable[[Date]:[Date]],"&lt;="&amp;EOMONTH(H$8,0))+SUMIFS(BetTable[[AR_per_bookie]:[AR_per_bookie]],BetTable[[B2]:[B2]],$A19,BetTable[[Date]:[Date]], "&gt;="&amp;H$8,BetTable[[Date]:[Date]],"&lt;="&amp;EOMONTH(H$8,0))+SUMIFS(BetTable[[AR_per_bookie]:[AR_per_bookie]],BetTable[[B3]:[B3]],$A19,BetTable[[Date]:[Date]], "&gt;="&amp;H$8,BetTable[[Date]:[Date]],"&lt;="&amp;EOMONTH(H$8,0))</f>
        <v>0</v>
      </c>
      <c r="I19" s="126">
        <f>SUMIFS(DWbonus[[Sum]:[Sum]],DWbonus[[Dato]:[Dato]], "&gt;="&amp;I$8,DWbonus[[Dato]:[Dato]],"&lt;="&amp;EOMONTH(I$8,0),DWbonus[[Bookie]:[Bookie]],$A19)+SUMIFS(LayTable[[Faktisk res]:[Faktisk res]],LayTable[[Dato]:[Dato]],"&gt;="&amp;I$8,LayTable[[Dato]:[Dato]],"&lt;="&amp;EOMONTH(I$8,0),LayTable[[Bookmaker]:[Bookmaker]],$A19)+SUMIFS(BetTable[[AR_per_bookie]:[AR_per_bookie]],BetTable[[B1]:[B1]],$A19,BetTable[[Date]:[Date]], "&gt;="&amp;I$8,BetTable[[Date]:[Date]],"&lt;="&amp;EOMONTH(I$8,0))+SUMIFS(BetTable[[AR_per_bookie]:[AR_per_bookie]],BetTable[[B2]:[B2]],$A19,BetTable[[Date]:[Date]], "&gt;="&amp;I$8,BetTable[[Date]:[Date]],"&lt;="&amp;EOMONTH(I$8,0))+SUMIFS(BetTable[[AR_per_bookie]:[AR_per_bookie]],BetTable[[B3]:[B3]],$A19,BetTable[[Date]:[Date]], "&gt;="&amp;I$8,BetTable[[Date]:[Date]],"&lt;="&amp;EOMONTH(I$8,0))</f>
        <v>0</v>
      </c>
      <c r="J19" s="126">
        <f>SUMIFS(DWbonus[[Sum]:[Sum]],DWbonus[[Dato]:[Dato]], "&gt;="&amp;J$8,DWbonus[[Dato]:[Dato]],"&lt;="&amp;EOMONTH(J$8,0),DWbonus[[Bookie]:[Bookie]],$A19)+SUMIFS(LayTable[[Faktisk res]:[Faktisk res]],LayTable[[Dato]:[Dato]],"&gt;="&amp;J$8,LayTable[[Dato]:[Dato]],"&lt;="&amp;EOMONTH(J$8,0),LayTable[[Bookmaker]:[Bookmaker]],$A19)+SUMIFS(BetTable[[AR_per_bookie]:[AR_per_bookie]],BetTable[[B1]:[B1]],$A19,BetTable[[Date]:[Date]], "&gt;="&amp;J$8,BetTable[[Date]:[Date]],"&lt;="&amp;EOMONTH(J$8,0))+SUMIFS(BetTable[[AR_per_bookie]:[AR_per_bookie]],BetTable[[B2]:[B2]],$A19,BetTable[[Date]:[Date]], "&gt;="&amp;J$8,BetTable[[Date]:[Date]],"&lt;="&amp;EOMONTH(J$8,0))+SUMIFS(BetTable[[AR_per_bookie]:[AR_per_bookie]],BetTable[[B3]:[B3]],$A19,BetTable[[Date]:[Date]], "&gt;="&amp;J$8,BetTable[[Date]:[Date]],"&lt;="&amp;EOMONTH(J$8,0))</f>
        <v>0</v>
      </c>
      <c r="K19" s="126">
        <f>SUMIFS(DWbonus[[Sum]:[Sum]],DWbonus[[Dato]:[Dato]], "&gt;="&amp;K$8,DWbonus[[Dato]:[Dato]],"&lt;="&amp;EOMONTH(K$8,0),DWbonus[[Bookie]:[Bookie]],$A19)+SUMIFS(LayTable[[Faktisk res]:[Faktisk res]],LayTable[[Dato]:[Dato]],"&gt;="&amp;K$8,LayTable[[Dato]:[Dato]],"&lt;="&amp;EOMONTH(K$8,0),LayTable[[Bookmaker]:[Bookmaker]],$A19)+SUMIFS(BetTable[[AR_per_bookie]:[AR_per_bookie]],BetTable[[B1]:[B1]],$A19,BetTable[[Date]:[Date]], "&gt;="&amp;K$8,BetTable[[Date]:[Date]],"&lt;="&amp;EOMONTH(K$8,0))+SUMIFS(BetTable[[AR_per_bookie]:[AR_per_bookie]],BetTable[[B2]:[B2]],$A19,BetTable[[Date]:[Date]], "&gt;="&amp;K$8,BetTable[[Date]:[Date]],"&lt;="&amp;EOMONTH(K$8,0))+SUMIFS(BetTable[[AR_per_bookie]:[AR_per_bookie]],BetTable[[B3]:[B3]],$A19,BetTable[[Date]:[Date]], "&gt;="&amp;K$8,BetTable[[Date]:[Date]],"&lt;="&amp;EOMONTH(K$8,0))</f>
        <v>0</v>
      </c>
      <c r="L19" s="126">
        <f>SUMIFS(DWbonus[[Sum]:[Sum]],DWbonus[[Dato]:[Dato]], "&gt;="&amp;L$8,DWbonus[[Dato]:[Dato]],"&lt;="&amp;EOMONTH(L$8,0),DWbonus[[Bookie]:[Bookie]],$A19)+SUMIFS(LayTable[[Faktisk res]:[Faktisk res]],LayTable[[Dato]:[Dato]],"&gt;="&amp;L$8,LayTable[[Dato]:[Dato]],"&lt;="&amp;EOMONTH(L$8,0),LayTable[[Bookmaker]:[Bookmaker]],$A19)+SUMIFS(BetTable[[AR_per_bookie]:[AR_per_bookie]],BetTable[[B1]:[B1]],$A19,BetTable[[Date]:[Date]], "&gt;="&amp;L$8,BetTable[[Date]:[Date]],"&lt;="&amp;EOMONTH(L$8,0))+SUMIFS(BetTable[[AR_per_bookie]:[AR_per_bookie]],BetTable[[B2]:[B2]],$A19,BetTable[[Date]:[Date]], "&gt;="&amp;L$8,BetTable[[Date]:[Date]],"&lt;="&amp;EOMONTH(L$8,0))+SUMIFS(BetTable[[AR_per_bookie]:[AR_per_bookie]],BetTable[[B3]:[B3]],$A19,BetTable[[Date]:[Date]], "&gt;="&amp;L$8,BetTable[[Date]:[Date]],"&lt;="&amp;EOMONTH(L$8,0))</f>
        <v>0</v>
      </c>
      <c r="M19" s="126">
        <f>SUMIFS(DWbonus[[Sum]:[Sum]],DWbonus[[Dato]:[Dato]], "&gt;="&amp;M$8,DWbonus[[Dato]:[Dato]],"&lt;="&amp;EOMONTH(M$8,0),DWbonus[[Bookie]:[Bookie]],$A19)+SUMIFS(LayTable[[Faktisk res]:[Faktisk res]],LayTable[[Dato]:[Dato]],"&gt;="&amp;M$8,LayTable[[Dato]:[Dato]],"&lt;="&amp;EOMONTH(M$8,0),LayTable[[Bookmaker]:[Bookmaker]],$A19)+SUMIFS(BetTable[[AR_per_bookie]:[AR_per_bookie]],BetTable[[B1]:[B1]],$A19,BetTable[[Date]:[Date]], "&gt;="&amp;M$8,BetTable[[Date]:[Date]],"&lt;="&amp;EOMONTH(M$8,0))+SUMIFS(BetTable[[AR_per_bookie]:[AR_per_bookie]],BetTable[[B2]:[B2]],$A19,BetTable[[Date]:[Date]], "&gt;="&amp;M$8,BetTable[[Date]:[Date]],"&lt;="&amp;EOMONTH(M$8,0))+SUMIFS(BetTable[[AR_per_bookie]:[AR_per_bookie]],BetTable[[B3]:[B3]],$A19,BetTable[[Date]:[Date]], "&gt;="&amp;M$8,BetTable[[Date]:[Date]],"&lt;="&amp;EOMONTH(M$8,0))</f>
        <v>0</v>
      </c>
      <c r="N19" s="126">
        <f>SUMIFS(DWbonus[[Sum]:[Sum]],DWbonus[[Dato]:[Dato]], "&gt;="&amp;N$8,DWbonus[[Dato]:[Dato]],"&lt;="&amp;EOMONTH(N$8,0),DWbonus[[Bookie]:[Bookie]],$A19)+SUMIFS(LayTable[[Faktisk res]:[Faktisk res]],LayTable[[Dato]:[Dato]],"&gt;="&amp;N$8,LayTable[[Dato]:[Dato]],"&lt;="&amp;EOMONTH(N$8,0),LayTable[[Bookmaker]:[Bookmaker]],$A19)+SUMIFS(BetTable[[AR_per_bookie]:[AR_per_bookie]],BetTable[[B1]:[B1]],$A19,BetTable[[Date]:[Date]], "&gt;="&amp;N$8,BetTable[[Date]:[Date]],"&lt;="&amp;EOMONTH(N$8,0))+SUMIFS(BetTable[[AR_per_bookie]:[AR_per_bookie]],BetTable[[B2]:[B2]],$A19,BetTable[[Date]:[Date]], "&gt;="&amp;N$8,BetTable[[Date]:[Date]],"&lt;="&amp;EOMONTH(N$8,0))+SUMIFS(BetTable[[AR_per_bookie]:[AR_per_bookie]],BetTable[[B3]:[B3]],$A19,BetTable[[Date]:[Date]], "&gt;="&amp;N$8,BetTable[[Date]:[Date]],"&lt;="&amp;EOMONTH(N$8,0))</f>
        <v>0</v>
      </c>
      <c r="O19" s="126">
        <f>SUMIFS(DWbonus[[Sum]:[Sum]],DWbonus[[Dato]:[Dato]], "&gt;="&amp;O$8,DWbonus[[Dato]:[Dato]],"&lt;="&amp;EOMONTH(O$8,0),DWbonus[[Bookie]:[Bookie]],$A19)+SUMIFS(LayTable[[Faktisk res]:[Faktisk res]],LayTable[[Dato]:[Dato]],"&gt;="&amp;O$8,LayTable[[Dato]:[Dato]],"&lt;="&amp;EOMONTH(O$8,0),LayTable[[Bookmaker]:[Bookmaker]],$A19)+SUMIFS(BetTable[[AR_per_bookie]:[AR_per_bookie]],BetTable[[B1]:[B1]],$A19,BetTable[[Date]:[Date]], "&gt;="&amp;O$8,BetTable[[Date]:[Date]],"&lt;="&amp;EOMONTH(O$8,0))+SUMIFS(BetTable[[AR_per_bookie]:[AR_per_bookie]],BetTable[[B2]:[B2]],$A19,BetTable[[Date]:[Date]], "&gt;="&amp;O$8,BetTable[[Date]:[Date]],"&lt;="&amp;EOMONTH(O$8,0))+SUMIFS(BetTable[[AR_per_bookie]:[AR_per_bookie]],BetTable[[B3]:[B3]],$A19,BetTable[[Date]:[Date]], "&gt;="&amp;O$8,BetTable[[Date]:[Date]],"&lt;="&amp;EOMONTH(O$8,0))</f>
        <v>0</v>
      </c>
      <c r="P19" s="126">
        <f>SUMIFS(DWbonus[[Sum]:[Sum]],DWbonus[[Dato]:[Dato]], "&gt;="&amp;P$8,DWbonus[[Dato]:[Dato]],"&lt;="&amp;EOMONTH(P$8,0),DWbonus[[Bookie]:[Bookie]],$A19)+SUMIFS(LayTable[[Faktisk res]:[Faktisk res]],LayTable[[Dato]:[Dato]],"&gt;="&amp;P$8,LayTable[[Dato]:[Dato]],"&lt;="&amp;EOMONTH(P$8,0),LayTable[[Bookmaker]:[Bookmaker]],$A19)+SUMIFS(BetTable[[AR_per_bookie]:[AR_per_bookie]],BetTable[[B1]:[B1]],$A19,BetTable[[Date]:[Date]], "&gt;="&amp;P$8,BetTable[[Date]:[Date]],"&lt;="&amp;EOMONTH(P$8,0))+SUMIFS(BetTable[[AR_per_bookie]:[AR_per_bookie]],BetTable[[B2]:[B2]],$A19,BetTable[[Date]:[Date]], "&gt;="&amp;P$8,BetTable[[Date]:[Date]],"&lt;="&amp;EOMONTH(P$8,0))+SUMIFS(BetTable[[AR_per_bookie]:[AR_per_bookie]],BetTable[[B3]:[B3]],$A19,BetTable[[Date]:[Date]], "&gt;="&amp;P$8,BetTable[[Date]:[Date]],"&lt;="&amp;EOMONTH(P$8,0))</f>
        <v>0</v>
      </c>
      <c r="Q19" s="126">
        <f>SUMIFS(DWbonus[[Sum]:[Sum]],DWbonus[[Dato]:[Dato]], "&gt;="&amp;Q$8,DWbonus[[Dato]:[Dato]],"&lt;="&amp;EOMONTH(Q$8,0),DWbonus[[Bookie]:[Bookie]],$A19)+SUMIFS(LayTable[[Faktisk res]:[Faktisk res]],LayTable[[Dato]:[Dato]],"&gt;="&amp;Q$8,LayTable[[Dato]:[Dato]],"&lt;="&amp;EOMONTH(Q$8,0),LayTable[[Bookmaker]:[Bookmaker]],$A19)+SUMIFS(BetTable[[AR_per_bookie]:[AR_per_bookie]],BetTable[[B1]:[B1]],$A19,BetTable[[Date]:[Date]], "&gt;="&amp;Q$8,BetTable[[Date]:[Date]],"&lt;="&amp;EOMONTH(Q$8,0))+SUMIFS(BetTable[[AR_per_bookie]:[AR_per_bookie]],BetTable[[B2]:[B2]],$A19,BetTable[[Date]:[Date]], "&gt;="&amp;Q$8,BetTable[[Date]:[Date]],"&lt;="&amp;EOMONTH(Q$8,0))+SUMIFS(BetTable[[AR_per_bookie]:[AR_per_bookie]],BetTable[[B3]:[B3]],$A19,BetTable[[Date]:[Date]], "&gt;="&amp;Q$8,BetTable[[Date]:[Date]],"&lt;="&amp;EOMONTH(Q$8,0))</f>
        <v>0</v>
      </c>
      <c r="R19" s="126">
        <f>SUMIFS(DWbonus[[Sum]:[Sum]],DWbonus[[Dato]:[Dato]], "&gt;="&amp;R$8,DWbonus[[Dato]:[Dato]],"&lt;="&amp;EOMONTH(R$8,0),DWbonus[[Bookie]:[Bookie]],$A19)+SUMIFS(LayTable[[Faktisk res]:[Faktisk res]],LayTable[[Dato]:[Dato]],"&gt;="&amp;R$8,LayTable[[Dato]:[Dato]],"&lt;="&amp;EOMONTH(R$8,0),LayTable[[Bookmaker]:[Bookmaker]],$A19)+SUMIFS(BetTable[[AR_per_bookie]:[AR_per_bookie]],BetTable[[B1]:[B1]],$A19,BetTable[[Date]:[Date]], "&gt;="&amp;R$8,BetTable[[Date]:[Date]],"&lt;="&amp;EOMONTH(R$8,0))+SUMIFS(BetTable[[AR_per_bookie]:[AR_per_bookie]],BetTable[[B2]:[B2]],$A19,BetTable[[Date]:[Date]], "&gt;="&amp;R$8,BetTable[[Date]:[Date]],"&lt;="&amp;EOMONTH(R$8,0))+SUMIFS(BetTable[[AR_per_bookie]:[AR_per_bookie]],BetTable[[B3]:[B3]],$A19,BetTable[[Date]:[Date]], "&gt;="&amp;R$8,BetTable[[Date]:[Date]],"&lt;="&amp;EOMONTH(R$8,0))</f>
        <v>0</v>
      </c>
      <c r="S19" s="126">
        <f>SUMIFS(DWbonus[[Sum]:[Sum]],DWbonus[[Dato]:[Dato]], "&gt;="&amp;S$8,DWbonus[[Dato]:[Dato]],"&lt;="&amp;EOMONTH(S$8,0),DWbonus[[Bookie]:[Bookie]],$A19)+SUMIFS(LayTable[[Faktisk res]:[Faktisk res]],LayTable[[Dato]:[Dato]],"&gt;="&amp;S$8,LayTable[[Dato]:[Dato]],"&lt;="&amp;EOMONTH(S$8,0),LayTable[[Bookmaker]:[Bookmaker]],$A19)+SUMIFS(BetTable[[AR_per_bookie]:[AR_per_bookie]],BetTable[[B1]:[B1]],$A19,BetTable[[Date]:[Date]], "&gt;="&amp;S$8,BetTable[[Date]:[Date]],"&lt;="&amp;EOMONTH(S$8,0))+SUMIFS(BetTable[[AR_per_bookie]:[AR_per_bookie]],BetTable[[B2]:[B2]],$A19,BetTable[[Date]:[Date]], "&gt;="&amp;S$8,BetTable[[Date]:[Date]],"&lt;="&amp;EOMONTH(S$8,0))+SUMIFS(BetTable[[AR_per_bookie]:[AR_per_bookie]],BetTable[[B3]:[B3]],$A19,BetTable[[Date]:[Date]], "&gt;="&amp;S$8,BetTable[[Date]:[Date]],"&lt;="&amp;EOMONTH(S$8,0))</f>
        <v>0</v>
      </c>
    </row>
    <row r="20" spans="1:19">
      <c r="A20" s="115" t="str">
        <f>BookieNavn!I12</f>
        <v>Betive</v>
      </c>
      <c r="B20" s="126">
        <f>SUMIF(Penger!D$1:D$50072,A20,Penger!F$1:F$50072)</f>
        <v>0</v>
      </c>
      <c r="C20" s="126">
        <f>SUMIF(Penger!T$1:T$50072,A20,Penger!U$1:U$50072)</f>
        <v>0</v>
      </c>
      <c r="D20" s="126">
        <f ca="1">SUMIF(Spill!C$1:C$499895,A20,Spill!T$1:T$49895)+C20</f>
        <v>0</v>
      </c>
      <c r="E20" s="126">
        <f>SUMIF(Spill!C$1:C$49895,A20,Spill!T$1:T$49895)</f>
        <v>0</v>
      </c>
      <c r="F20" s="121" t="e">
        <f t="shared" ca="1" si="1"/>
        <v>#DIV/0!</v>
      </c>
      <c r="H20" s="126">
        <f>SUMIFS(DWbonus[[Sum]:[Sum]],DWbonus[[Dato]:[Dato]], "&gt;="&amp;H$8,DWbonus[[Dato]:[Dato]],"&lt;="&amp;EOMONTH(H$8,0),DWbonus[[Bookie]:[Bookie]],$A20)+SUMIFS(LayTable[[Faktisk res]:[Faktisk res]],LayTable[[Dato]:[Dato]],"&gt;="&amp;H$8,LayTable[[Dato]:[Dato]],"&lt;="&amp;EOMONTH(H$8,0),LayTable[[Bookmaker]:[Bookmaker]],$A20)+SUMIFS(BetTable[[AR_per_bookie]:[AR_per_bookie]],BetTable[[B1]:[B1]],$A20,BetTable[[Date]:[Date]], "&gt;="&amp;H$8,BetTable[[Date]:[Date]],"&lt;="&amp;EOMONTH(H$8,0))+SUMIFS(BetTable[[AR_per_bookie]:[AR_per_bookie]],BetTable[[B2]:[B2]],$A20,BetTable[[Date]:[Date]], "&gt;="&amp;H$8,BetTable[[Date]:[Date]],"&lt;="&amp;EOMONTH(H$8,0))+SUMIFS(BetTable[[AR_per_bookie]:[AR_per_bookie]],BetTable[[B3]:[B3]],$A20,BetTable[[Date]:[Date]], "&gt;="&amp;H$8,BetTable[[Date]:[Date]],"&lt;="&amp;EOMONTH(H$8,0))</f>
        <v>0</v>
      </c>
      <c r="I20" s="126">
        <f>SUMIFS(DWbonus[[Sum]:[Sum]],DWbonus[[Dato]:[Dato]], "&gt;="&amp;I$8,DWbonus[[Dato]:[Dato]],"&lt;="&amp;EOMONTH(I$8,0),DWbonus[[Bookie]:[Bookie]],$A20)+SUMIFS(LayTable[[Faktisk res]:[Faktisk res]],LayTable[[Dato]:[Dato]],"&gt;="&amp;I$8,LayTable[[Dato]:[Dato]],"&lt;="&amp;EOMONTH(I$8,0),LayTable[[Bookmaker]:[Bookmaker]],$A20)+SUMIFS(BetTable[[AR_per_bookie]:[AR_per_bookie]],BetTable[[B1]:[B1]],$A20,BetTable[[Date]:[Date]], "&gt;="&amp;I$8,BetTable[[Date]:[Date]],"&lt;="&amp;EOMONTH(I$8,0))+SUMIFS(BetTable[[AR_per_bookie]:[AR_per_bookie]],BetTable[[B2]:[B2]],$A20,BetTable[[Date]:[Date]], "&gt;="&amp;I$8,BetTable[[Date]:[Date]],"&lt;="&amp;EOMONTH(I$8,0))+SUMIFS(BetTable[[AR_per_bookie]:[AR_per_bookie]],BetTable[[B3]:[B3]],$A20,BetTable[[Date]:[Date]], "&gt;="&amp;I$8,BetTable[[Date]:[Date]],"&lt;="&amp;EOMONTH(I$8,0))</f>
        <v>0</v>
      </c>
      <c r="J20" s="126">
        <f>SUMIFS(DWbonus[[Sum]:[Sum]],DWbonus[[Dato]:[Dato]], "&gt;="&amp;J$8,DWbonus[[Dato]:[Dato]],"&lt;="&amp;EOMONTH(J$8,0),DWbonus[[Bookie]:[Bookie]],$A20)+SUMIFS(LayTable[[Faktisk res]:[Faktisk res]],LayTable[[Dato]:[Dato]],"&gt;="&amp;J$8,LayTable[[Dato]:[Dato]],"&lt;="&amp;EOMONTH(J$8,0),LayTable[[Bookmaker]:[Bookmaker]],$A20)+SUMIFS(BetTable[[AR_per_bookie]:[AR_per_bookie]],BetTable[[B1]:[B1]],$A20,BetTable[[Date]:[Date]], "&gt;="&amp;J$8,BetTable[[Date]:[Date]],"&lt;="&amp;EOMONTH(J$8,0))+SUMIFS(BetTable[[AR_per_bookie]:[AR_per_bookie]],BetTable[[B2]:[B2]],$A20,BetTable[[Date]:[Date]], "&gt;="&amp;J$8,BetTable[[Date]:[Date]],"&lt;="&amp;EOMONTH(J$8,0))+SUMIFS(BetTable[[AR_per_bookie]:[AR_per_bookie]],BetTable[[B3]:[B3]],$A20,BetTable[[Date]:[Date]], "&gt;="&amp;J$8,BetTable[[Date]:[Date]],"&lt;="&amp;EOMONTH(J$8,0))</f>
        <v>0</v>
      </c>
      <c r="K20" s="126">
        <f>SUMIFS(DWbonus[[Sum]:[Sum]],DWbonus[[Dato]:[Dato]], "&gt;="&amp;K$8,DWbonus[[Dato]:[Dato]],"&lt;="&amp;EOMONTH(K$8,0),DWbonus[[Bookie]:[Bookie]],$A20)+SUMIFS(LayTable[[Faktisk res]:[Faktisk res]],LayTable[[Dato]:[Dato]],"&gt;="&amp;K$8,LayTable[[Dato]:[Dato]],"&lt;="&amp;EOMONTH(K$8,0),LayTable[[Bookmaker]:[Bookmaker]],$A20)+SUMIFS(BetTable[[AR_per_bookie]:[AR_per_bookie]],BetTable[[B1]:[B1]],$A20,BetTable[[Date]:[Date]], "&gt;="&amp;K$8,BetTable[[Date]:[Date]],"&lt;="&amp;EOMONTH(K$8,0))+SUMIFS(BetTable[[AR_per_bookie]:[AR_per_bookie]],BetTable[[B2]:[B2]],$A20,BetTable[[Date]:[Date]], "&gt;="&amp;K$8,BetTable[[Date]:[Date]],"&lt;="&amp;EOMONTH(K$8,0))+SUMIFS(BetTable[[AR_per_bookie]:[AR_per_bookie]],BetTable[[B3]:[B3]],$A20,BetTable[[Date]:[Date]], "&gt;="&amp;K$8,BetTable[[Date]:[Date]],"&lt;="&amp;EOMONTH(K$8,0))</f>
        <v>0</v>
      </c>
      <c r="L20" s="126">
        <f>SUMIFS(DWbonus[[Sum]:[Sum]],DWbonus[[Dato]:[Dato]], "&gt;="&amp;L$8,DWbonus[[Dato]:[Dato]],"&lt;="&amp;EOMONTH(L$8,0),DWbonus[[Bookie]:[Bookie]],$A20)+SUMIFS(LayTable[[Faktisk res]:[Faktisk res]],LayTable[[Dato]:[Dato]],"&gt;="&amp;L$8,LayTable[[Dato]:[Dato]],"&lt;="&amp;EOMONTH(L$8,0),LayTable[[Bookmaker]:[Bookmaker]],$A20)+SUMIFS(BetTable[[AR_per_bookie]:[AR_per_bookie]],BetTable[[B1]:[B1]],$A20,BetTable[[Date]:[Date]], "&gt;="&amp;L$8,BetTable[[Date]:[Date]],"&lt;="&amp;EOMONTH(L$8,0))+SUMIFS(BetTable[[AR_per_bookie]:[AR_per_bookie]],BetTable[[B2]:[B2]],$A20,BetTable[[Date]:[Date]], "&gt;="&amp;L$8,BetTable[[Date]:[Date]],"&lt;="&amp;EOMONTH(L$8,0))+SUMIFS(BetTable[[AR_per_bookie]:[AR_per_bookie]],BetTable[[B3]:[B3]],$A20,BetTable[[Date]:[Date]], "&gt;="&amp;L$8,BetTable[[Date]:[Date]],"&lt;="&amp;EOMONTH(L$8,0))</f>
        <v>0</v>
      </c>
      <c r="M20" s="126">
        <f>SUMIFS(DWbonus[[Sum]:[Sum]],DWbonus[[Dato]:[Dato]], "&gt;="&amp;M$8,DWbonus[[Dato]:[Dato]],"&lt;="&amp;EOMONTH(M$8,0),DWbonus[[Bookie]:[Bookie]],$A20)+SUMIFS(LayTable[[Faktisk res]:[Faktisk res]],LayTable[[Dato]:[Dato]],"&gt;="&amp;M$8,LayTable[[Dato]:[Dato]],"&lt;="&amp;EOMONTH(M$8,0),LayTable[[Bookmaker]:[Bookmaker]],$A20)+SUMIFS(BetTable[[AR_per_bookie]:[AR_per_bookie]],BetTable[[B1]:[B1]],$A20,BetTable[[Date]:[Date]], "&gt;="&amp;M$8,BetTable[[Date]:[Date]],"&lt;="&amp;EOMONTH(M$8,0))+SUMIFS(BetTable[[AR_per_bookie]:[AR_per_bookie]],BetTable[[B2]:[B2]],$A20,BetTable[[Date]:[Date]], "&gt;="&amp;M$8,BetTable[[Date]:[Date]],"&lt;="&amp;EOMONTH(M$8,0))+SUMIFS(BetTable[[AR_per_bookie]:[AR_per_bookie]],BetTable[[B3]:[B3]],$A20,BetTable[[Date]:[Date]], "&gt;="&amp;M$8,BetTable[[Date]:[Date]],"&lt;="&amp;EOMONTH(M$8,0))</f>
        <v>0</v>
      </c>
      <c r="N20" s="126">
        <f>SUMIFS(DWbonus[[Sum]:[Sum]],DWbonus[[Dato]:[Dato]], "&gt;="&amp;N$8,DWbonus[[Dato]:[Dato]],"&lt;="&amp;EOMONTH(N$8,0),DWbonus[[Bookie]:[Bookie]],$A20)+SUMIFS(LayTable[[Faktisk res]:[Faktisk res]],LayTable[[Dato]:[Dato]],"&gt;="&amp;N$8,LayTable[[Dato]:[Dato]],"&lt;="&amp;EOMONTH(N$8,0),LayTable[[Bookmaker]:[Bookmaker]],$A20)+SUMIFS(BetTable[[AR_per_bookie]:[AR_per_bookie]],BetTable[[B1]:[B1]],$A20,BetTable[[Date]:[Date]], "&gt;="&amp;N$8,BetTable[[Date]:[Date]],"&lt;="&amp;EOMONTH(N$8,0))+SUMIFS(BetTable[[AR_per_bookie]:[AR_per_bookie]],BetTable[[B2]:[B2]],$A20,BetTable[[Date]:[Date]], "&gt;="&amp;N$8,BetTable[[Date]:[Date]],"&lt;="&amp;EOMONTH(N$8,0))+SUMIFS(BetTable[[AR_per_bookie]:[AR_per_bookie]],BetTable[[B3]:[B3]],$A20,BetTable[[Date]:[Date]], "&gt;="&amp;N$8,BetTable[[Date]:[Date]],"&lt;="&amp;EOMONTH(N$8,0))</f>
        <v>0</v>
      </c>
      <c r="O20" s="126">
        <f>SUMIFS(DWbonus[[Sum]:[Sum]],DWbonus[[Dato]:[Dato]], "&gt;="&amp;O$8,DWbonus[[Dato]:[Dato]],"&lt;="&amp;EOMONTH(O$8,0),DWbonus[[Bookie]:[Bookie]],$A20)+SUMIFS(LayTable[[Faktisk res]:[Faktisk res]],LayTable[[Dato]:[Dato]],"&gt;="&amp;O$8,LayTable[[Dato]:[Dato]],"&lt;="&amp;EOMONTH(O$8,0),LayTable[[Bookmaker]:[Bookmaker]],$A20)+SUMIFS(BetTable[[AR_per_bookie]:[AR_per_bookie]],BetTable[[B1]:[B1]],$A20,BetTable[[Date]:[Date]], "&gt;="&amp;O$8,BetTable[[Date]:[Date]],"&lt;="&amp;EOMONTH(O$8,0))+SUMIFS(BetTable[[AR_per_bookie]:[AR_per_bookie]],BetTable[[B2]:[B2]],$A20,BetTable[[Date]:[Date]], "&gt;="&amp;O$8,BetTable[[Date]:[Date]],"&lt;="&amp;EOMONTH(O$8,0))+SUMIFS(BetTable[[AR_per_bookie]:[AR_per_bookie]],BetTable[[B3]:[B3]],$A20,BetTable[[Date]:[Date]], "&gt;="&amp;O$8,BetTable[[Date]:[Date]],"&lt;="&amp;EOMONTH(O$8,0))</f>
        <v>0</v>
      </c>
      <c r="P20" s="126">
        <f>SUMIFS(DWbonus[[Sum]:[Sum]],DWbonus[[Dato]:[Dato]], "&gt;="&amp;P$8,DWbonus[[Dato]:[Dato]],"&lt;="&amp;EOMONTH(P$8,0),DWbonus[[Bookie]:[Bookie]],$A20)+SUMIFS(LayTable[[Faktisk res]:[Faktisk res]],LayTable[[Dato]:[Dato]],"&gt;="&amp;P$8,LayTable[[Dato]:[Dato]],"&lt;="&amp;EOMONTH(P$8,0),LayTable[[Bookmaker]:[Bookmaker]],$A20)+SUMIFS(BetTable[[AR_per_bookie]:[AR_per_bookie]],BetTable[[B1]:[B1]],$A20,BetTable[[Date]:[Date]], "&gt;="&amp;P$8,BetTable[[Date]:[Date]],"&lt;="&amp;EOMONTH(P$8,0))+SUMIFS(BetTable[[AR_per_bookie]:[AR_per_bookie]],BetTable[[B2]:[B2]],$A20,BetTable[[Date]:[Date]], "&gt;="&amp;P$8,BetTable[[Date]:[Date]],"&lt;="&amp;EOMONTH(P$8,0))+SUMIFS(BetTable[[AR_per_bookie]:[AR_per_bookie]],BetTable[[B3]:[B3]],$A20,BetTable[[Date]:[Date]], "&gt;="&amp;P$8,BetTable[[Date]:[Date]],"&lt;="&amp;EOMONTH(P$8,0))</f>
        <v>0</v>
      </c>
      <c r="Q20" s="126">
        <f>SUMIFS(DWbonus[[Sum]:[Sum]],DWbonus[[Dato]:[Dato]], "&gt;="&amp;Q$8,DWbonus[[Dato]:[Dato]],"&lt;="&amp;EOMONTH(Q$8,0),DWbonus[[Bookie]:[Bookie]],$A20)+SUMIFS(LayTable[[Faktisk res]:[Faktisk res]],LayTable[[Dato]:[Dato]],"&gt;="&amp;Q$8,LayTable[[Dato]:[Dato]],"&lt;="&amp;EOMONTH(Q$8,0),LayTable[[Bookmaker]:[Bookmaker]],$A20)+SUMIFS(BetTable[[AR_per_bookie]:[AR_per_bookie]],BetTable[[B1]:[B1]],$A20,BetTable[[Date]:[Date]], "&gt;="&amp;Q$8,BetTable[[Date]:[Date]],"&lt;="&amp;EOMONTH(Q$8,0))+SUMIFS(BetTable[[AR_per_bookie]:[AR_per_bookie]],BetTable[[B2]:[B2]],$A20,BetTable[[Date]:[Date]], "&gt;="&amp;Q$8,BetTable[[Date]:[Date]],"&lt;="&amp;EOMONTH(Q$8,0))+SUMIFS(BetTable[[AR_per_bookie]:[AR_per_bookie]],BetTable[[B3]:[B3]],$A20,BetTable[[Date]:[Date]], "&gt;="&amp;Q$8,BetTable[[Date]:[Date]],"&lt;="&amp;EOMONTH(Q$8,0))</f>
        <v>0</v>
      </c>
      <c r="R20" s="126">
        <f>SUMIFS(DWbonus[[Sum]:[Sum]],DWbonus[[Dato]:[Dato]], "&gt;="&amp;R$8,DWbonus[[Dato]:[Dato]],"&lt;="&amp;EOMONTH(R$8,0),DWbonus[[Bookie]:[Bookie]],$A20)+SUMIFS(LayTable[[Faktisk res]:[Faktisk res]],LayTable[[Dato]:[Dato]],"&gt;="&amp;R$8,LayTable[[Dato]:[Dato]],"&lt;="&amp;EOMONTH(R$8,0),LayTable[[Bookmaker]:[Bookmaker]],$A20)+SUMIFS(BetTable[[AR_per_bookie]:[AR_per_bookie]],BetTable[[B1]:[B1]],$A20,BetTable[[Date]:[Date]], "&gt;="&amp;R$8,BetTable[[Date]:[Date]],"&lt;="&amp;EOMONTH(R$8,0))+SUMIFS(BetTable[[AR_per_bookie]:[AR_per_bookie]],BetTable[[B2]:[B2]],$A20,BetTable[[Date]:[Date]], "&gt;="&amp;R$8,BetTable[[Date]:[Date]],"&lt;="&amp;EOMONTH(R$8,0))+SUMIFS(BetTable[[AR_per_bookie]:[AR_per_bookie]],BetTable[[B3]:[B3]],$A20,BetTable[[Date]:[Date]], "&gt;="&amp;R$8,BetTable[[Date]:[Date]],"&lt;="&amp;EOMONTH(R$8,0))</f>
        <v>0</v>
      </c>
      <c r="S20" s="126">
        <f>SUMIFS(DWbonus[[Sum]:[Sum]],DWbonus[[Dato]:[Dato]], "&gt;="&amp;S$8,DWbonus[[Dato]:[Dato]],"&lt;="&amp;EOMONTH(S$8,0),DWbonus[[Bookie]:[Bookie]],$A20)+SUMIFS(LayTable[[Faktisk res]:[Faktisk res]],LayTable[[Dato]:[Dato]],"&gt;="&amp;S$8,LayTable[[Dato]:[Dato]],"&lt;="&amp;EOMONTH(S$8,0),LayTable[[Bookmaker]:[Bookmaker]],$A20)+SUMIFS(BetTable[[AR_per_bookie]:[AR_per_bookie]],BetTable[[B1]:[B1]],$A20,BetTable[[Date]:[Date]], "&gt;="&amp;S$8,BetTable[[Date]:[Date]],"&lt;="&amp;EOMONTH(S$8,0))+SUMIFS(BetTable[[AR_per_bookie]:[AR_per_bookie]],BetTable[[B2]:[B2]],$A20,BetTable[[Date]:[Date]], "&gt;="&amp;S$8,BetTable[[Date]:[Date]],"&lt;="&amp;EOMONTH(S$8,0))+SUMIFS(BetTable[[AR_per_bookie]:[AR_per_bookie]],BetTable[[B3]:[B3]],$A20,BetTable[[Date]:[Date]], "&gt;="&amp;S$8,BetTable[[Date]:[Date]],"&lt;="&amp;EOMONTH(S$8,0))</f>
        <v>0</v>
      </c>
    </row>
    <row r="21" spans="1:19">
      <c r="A21" s="115" t="str">
        <f>BookieNavn!I13</f>
        <v>Betsafe</v>
      </c>
      <c r="B21" s="126">
        <f>SUMIF(Penger!D$1:D$50072,A21,Penger!F$1:F$50072)</f>
        <v>200</v>
      </c>
      <c r="C21" s="126">
        <f>SUMIF(Penger!T$1:T$50072,A21,Penger!U$1:U$50072)</f>
        <v>0</v>
      </c>
      <c r="D21" s="126">
        <f ca="1">SUMIF(Spill!C$1:C$499895,A21,Spill!T$1:T$49895)+C21</f>
        <v>0</v>
      </c>
      <c r="E21" s="126">
        <f>SUMIF(Spill!C$1:C$49895,A21,Spill!T$1:T$49895)</f>
        <v>0</v>
      </c>
      <c r="F21" s="121" t="e">
        <f t="shared" ca="1" si="1"/>
        <v>#DIV/0!</v>
      </c>
      <c r="H21" s="126">
        <f>SUMIFS(DWbonus[[Sum]:[Sum]],DWbonus[[Dato]:[Dato]], "&gt;="&amp;H$8,DWbonus[[Dato]:[Dato]],"&lt;="&amp;EOMONTH(H$8,0),DWbonus[[Bookie]:[Bookie]],$A21)+SUMIFS(LayTable[[Faktisk res]:[Faktisk res]],LayTable[[Dato]:[Dato]],"&gt;="&amp;H$8,LayTable[[Dato]:[Dato]],"&lt;="&amp;EOMONTH(H$8,0),LayTable[[Bookmaker]:[Bookmaker]],$A21)+SUMIFS(BetTable[[AR_per_bookie]:[AR_per_bookie]],BetTable[[B1]:[B1]],$A21,BetTable[[Date]:[Date]], "&gt;="&amp;H$8,BetTable[[Date]:[Date]],"&lt;="&amp;EOMONTH(H$8,0))+SUMIFS(BetTable[[AR_per_bookie]:[AR_per_bookie]],BetTable[[B2]:[B2]],$A21,BetTable[[Date]:[Date]], "&gt;="&amp;H$8,BetTable[[Date]:[Date]],"&lt;="&amp;EOMONTH(H$8,0))+SUMIFS(BetTable[[AR_per_bookie]:[AR_per_bookie]],BetTable[[B3]:[B3]],$A21,BetTable[[Date]:[Date]], "&gt;="&amp;H$8,BetTable[[Date]:[Date]],"&lt;="&amp;EOMONTH(H$8,0))</f>
        <v>0</v>
      </c>
      <c r="I21" s="126">
        <f>SUMIFS(DWbonus[[Sum]:[Sum]],DWbonus[[Dato]:[Dato]], "&gt;="&amp;I$8,DWbonus[[Dato]:[Dato]],"&lt;="&amp;EOMONTH(I$8,0),DWbonus[[Bookie]:[Bookie]],$A21)+SUMIFS(LayTable[[Faktisk res]:[Faktisk res]],LayTable[[Dato]:[Dato]],"&gt;="&amp;I$8,LayTable[[Dato]:[Dato]],"&lt;="&amp;EOMONTH(I$8,0),LayTable[[Bookmaker]:[Bookmaker]],$A21)+SUMIFS(BetTable[[AR_per_bookie]:[AR_per_bookie]],BetTable[[B1]:[B1]],$A21,BetTable[[Date]:[Date]], "&gt;="&amp;I$8,BetTable[[Date]:[Date]],"&lt;="&amp;EOMONTH(I$8,0))+SUMIFS(BetTable[[AR_per_bookie]:[AR_per_bookie]],BetTable[[B2]:[B2]],$A21,BetTable[[Date]:[Date]], "&gt;="&amp;I$8,BetTable[[Date]:[Date]],"&lt;="&amp;EOMONTH(I$8,0))+SUMIFS(BetTable[[AR_per_bookie]:[AR_per_bookie]],BetTable[[B3]:[B3]],$A21,BetTable[[Date]:[Date]], "&gt;="&amp;I$8,BetTable[[Date]:[Date]],"&lt;="&amp;EOMONTH(I$8,0))</f>
        <v>0</v>
      </c>
      <c r="J21" s="126">
        <f>SUMIFS(DWbonus[[Sum]:[Sum]],DWbonus[[Dato]:[Dato]], "&gt;="&amp;J$8,DWbonus[[Dato]:[Dato]],"&lt;="&amp;EOMONTH(J$8,0),DWbonus[[Bookie]:[Bookie]],$A21)+SUMIFS(LayTable[[Faktisk res]:[Faktisk res]],LayTable[[Dato]:[Dato]],"&gt;="&amp;J$8,LayTable[[Dato]:[Dato]],"&lt;="&amp;EOMONTH(J$8,0),LayTable[[Bookmaker]:[Bookmaker]],$A21)+SUMIFS(BetTable[[AR_per_bookie]:[AR_per_bookie]],BetTable[[B1]:[B1]],$A21,BetTable[[Date]:[Date]], "&gt;="&amp;J$8,BetTable[[Date]:[Date]],"&lt;="&amp;EOMONTH(J$8,0))+SUMIFS(BetTable[[AR_per_bookie]:[AR_per_bookie]],BetTable[[B2]:[B2]],$A21,BetTable[[Date]:[Date]], "&gt;="&amp;J$8,BetTable[[Date]:[Date]],"&lt;="&amp;EOMONTH(J$8,0))+SUMIFS(BetTable[[AR_per_bookie]:[AR_per_bookie]],BetTable[[B3]:[B3]],$A21,BetTable[[Date]:[Date]], "&gt;="&amp;J$8,BetTable[[Date]:[Date]],"&lt;="&amp;EOMONTH(J$8,0))</f>
        <v>0</v>
      </c>
      <c r="K21" s="126">
        <f>SUMIFS(DWbonus[[Sum]:[Sum]],DWbonus[[Dato]:[Dato]], "&gt;="&amp;K$8,DWbonus[[Dato]:[Dato]],"&lt;="&amp;EOMONTH(K$8,0),DWbonus[[Bookie]:[Bookie]],$A21)+SUMIFS(LayTable[[Faktisk res]:[Faktisk res]],LayTable[[Dato]:[Dato]],"&gt;="&amp;K$8,LayTable[[Dato]:[Dato]],"&lt;="&amp;EOMONTH(K$8,0),LayTable[[Bookmaker]:[Bookmaker]],$A21)+SUMIFS(BetTable[[AR_per_bookie]:[AR_per_bookie]],BetTable[[B1]:[B1]],$A21,BetTable[[Date]:[Date]], "&gt;="&amp;K$8,BetTable[[Date]:[Date]],"&lt;="&amp;EOMONTH(K$8,0))+SUMIFS(BetTable[[AR_per_bookie]:[AR_per_bookie]],BetTable[[B2]:[B2]],$A21,BetTable[[Date]:[Date]], "&gt;="&amp;K$8,BetTable[[Date]:[Date]],"&lt;="&amp;EOMONTH(K$8,0))+SUMIFS(BetTable[[AR_per_bookie]:[AR_per_bookie]],BetTable[[B3]:[B3]],$A21,BetTable[[Date]:[Date]], "&gt;="&amp;K$8,BetTable[[Date]:[Date]],"&lt;="&amp;EOMONTH(K$8,0))</f>
        <v>0</v>
      </c>
      <c r="L21" s="126">
        <f>SUMIFS(DWbonus[[Sum]:[Sum]],DWbonus[[Dato]:[Dato]], "&gt;="&amp;L$8,DWbonus[[Dato]:[Dato]],"&lt;="&amp;EOMONTH(L$8,0),DWbonus[[Bookie]:[Bookie]],$A21)+SUMIFS(LayTable[[Faktisk res]:[Faktisk res]],LayTable[[Dato]:[Dato]],"&gt;="&amp;L$8,LayTable[[Dato]:[Dato]],"&lt;="&amp;EOMONTH(L$8,0),LayTable[[Bookmaker]:[Bookmaker]],$A21)+SUMIFS(BetTable[[AR_per_bookie]:[AR_per_bookie]],BetTable[[B1]:[B1]],$A21,BetTable[[Date]:[Date]], "&gt;="&amp;L$8,BetTable[[Date]:[Date]],"&lt;="&amp;EOMONTH(L$8,0))+SUMIFS(BetTable[[AR_per_bookie]:[AR_per_bookie]],BetTable[[B2]:[B2]],$A21,BetTable[[Date]:[Date]], "&gt;="&amp;L$8,BetTable[[Date]:[Date]],"&lt;="&amp;EOMONTH(L$8,0))+SUMIFS(BetTable[[AR_per_bookie]:[AR_per_bookie]],BetTable[[B3]:[B3]],$A21,BetTable[[Date]:[Date]], "&gt;="&amp;L$8,BetTable[[Date]:[Date]],"&lt;="&amp;EOMONTH(L$8,0))</f>
        <v>0</v>
      </c>
      <c r="M21" s="126">
        <f>SUMIFS(DWbonus[[Sum]:[Sum]],DWbonus[[Dato]:[Dato]], "&gt;="&amp;M$8,DWbonus[[Dato]:[Dato]],"&lt;="&amp;EOMONTH(M$8,0),DWbonus[[Bookie]:[Bookie]],$A21)+SUMIFS(LayTable[[Faktisk res]:[Faktisk res]],LayTable[[Dato]:[Dato]],"&gt;="&amp;M$8,LayTable[[Dato]:[Dato]],"&lt;="&amp;EOMONTH(M$8,0),LayTable[[Bookmaker]:[Bookmaker]],$A21)+SUMIFS(BetTable[[AR_per_bookie]:[AR_per_bookie]],BetTable[[B1]:[B1]],$A21,BetTable[[Date]:[Date]], "&gt;="&amp;M$8,BetTable[[Date]:[Date]],"&lt;="&amp;EOMONTH(M$8,0))+SUMIFS(BetTable[[AR_per_bookie]:[AR_per_bookie]],BetTable[[B2]:[B2]],$A21,BetTable[[Date]:[Date]], "&gt;="&amp;M$8,BetTable[[Date]:[Date]],"&lt;="&amp;EOMONTH(M$8,0))+SUMIFS(BetTable[[AR_per_bookie]:[AR_per_bookie]],BetTable[[B3]:[B3]],$A21,BetTable[[Date]:[Date]], "&gt;="&amp;M$8,BetTable[[Date]:[Date]],"&lt;="&amp;EOMONTH(M$8,0))</f>
        <v>0</v>
      </c>
      <c r="N21" s="126">
        <f>SUMIFS(DWbonus[[Sum]:[Sum]],DWbonus[[Dato]:[Dato]], "&gt;="&amp;N$8,DWbonus[[Dato]:[Dato]],"&lt;="&amp;EOMONTH(N$8,0),DWbonus[[Bookie]:[Bookie]],$A21)+SUMIFS(LayTable[[Faktisk res]:[Faktisk res]],LayTable[[Dato]:[Dato]],"&gt;="&amp;N$8,LayTable[[Dato]:[Dato]],"&lt;="&amp;EOMONTH(N$8,0),LayTable[[Bookmaker]:[Bookmaker]],$A21)+SUMIFS(BetTable[[AR_per_bookie]:[AR_per_bookie]],BetTable[[B1]:[B1]],$A21,BetTable[[Date]:[Date]], "&gt;="&amp;N$8,BetTable[[Date]:[Date]],"&lt;="&amp;EOMONTH(N$8,0))+SUMIFS(BetTable[[AR_per_bookie]:[AR_per_bookie]],BetTable[[B2]:[B2]],$A21,BetTable[[Date]:[Date]], "&gt;="&amp;N$8,BetTable[[Date]:[Date]],"&lt;="&amp;EOMONTH(N$8,0))+SUMIFS(BetTable[[AR_per_bookie]:[AR_per_bookie]],BetTable[[B3]:[B3]],$A21,BetTable[[Date]:[Date]], "&gt;="&amp;N$8,BetTable[[Date]:[Date]],"&lt;="&amp;EOMONTH(N$8,0))</f>
        <v>0</v>
      </c>
      <c r="O21" s="126">
        <f>SUMIFS(DWbonus[[Sum]:[Sum]],DWbonus[[Dato]:[Dato]], "&gt;="&amp;O$8,DWbonus[[Dato]:[Dato]],"&lt;="&amp;EOMONTH(O$8,0),DWbonus[[Bookie]:[Bookie]],$A21)+SUMIFS(LayTable[[Faktisk res]:[Faktisk res]],LayTable[[Dato]:[Dato]],"&gt;="&amp;O$8,LayTable[[Dato]:[Dato]],"&lt;="&amp;EOMONTH(O$8,0),LayTable[[Bookmaker]:[Bookmaker]],$A21)+SUMIFS(BetTable[[AR_per_bookie]:[AR_per_bookie]],BetTable[[B1]:[B1]],$A21,BetTable[[Date]:[Date]], "&gt;="&amp;O$8,BetTable[[Date]:[Date]],"&lt;="&amp;EOMONTH(O$8,0))+SUMIFS(BetTable[[AR_per_bookie]:[AR_per_bookie]],BetTable[[B2]:[B2]],$A21,BetTable[[Date]:[Date]], "&gt;="&amp;O$8,BetTable[[Date]:[Date]],"&lt;="&amp;EOMONTH(O$8,0))+SUMIFS(BetTable[[AR_per_bookie]:[AR_per_bookie]],BetTable[[B3]:[B3]],$A21,BetTable[[Date]:[Date]], "&gt;="&amp;O$8,BetTable[[Date]:[Date]],"&lt;="&amp;EOMONTH(O$8,0))</f>
        <v>0</v>
      </c>
      <c r="P21" s="126">
        <f>SUMIFS(DWbonus[[Sum]:[Sum]],DWbonus[[Dato]:[Dato]], "&gt;="&amp;P$8,DWbonus[[Dato]:[Dato]],"&lt;="&amp;EOMONTH(P$8,0),DWbonus[[Bookie]:[Bookie]],$A21)+SUMIFS(LayTable[[Faktisk res]:[Faktisk res]],LayTable[[Dato]:[Dato]],"&gt;="&amp;P$8,LayTable[[Dato]:[Dato]],"&lt;="&amp;EOMONTH(P$8,0),LayTable[[Bookmaker]:[Bookmaker]],$A21)+SUMIFS(BetTable[[AR_per_bookie]:[AR_per_bookie]],BetTable[[B1]:[B1]],$A21,BetTable[[Date]:[Date]], "&gt;="&amp;P$8,BetTable[[Date]:[Date]],"&lt;="&amp;EOMONTH(P$8,0))+SUMIFS(BetTable[[AR_per_bookie]:[AR_per_bookie]],BetTable[[B2]:[B2]],$A21,BetTable[[Date]:[Date]], "&gt;="&amp;P$8,BetTable[[Date]:[Date]],"&lt;="&amp;EOMONTH(P$8,0))+SUMIFS(BetTable[[AR_per_bookie]:[AR_per_bookie]],BetTable[[B3]:[B3]],$A21,BetTable[[Date]:[Date]], "&gt;="&amp;P$8,BetTable[[Date]:[Date]],"&lt;="&amp;EOMONTH(P$8,0))</f>
        <v>0</v>
      </c>
      <c r="Q21" s="126">
        <f>SUMIFS(DWbonus[[Sum]:[Sum]],DWbonus[[Dato]:[Dato]], "&gt;="&amp;Q$8,DWbonus[[Dato]:[Dato]],"&lt;="&amp;EOMONTH(Q$8,0),DWbonus[[Bookie]:[Bookie]],$A21)+SUMIFS(LayTable[[Faktisk res]:[Faktisk res]],LayTable[[Dato]:[Dato]],"&gt;="&amp;Q$8,LayTable[[Dato]:[Dato]],"&lt;="&amp;EOMONTH(Q$8,0),LayTable[[Bookmaker]:[Bookmaker]],$A21)+SUMIFS(BetTable[[AR_per_bookie]:[AR_per_bookie]],BetTable[[B1]:[B1]],$A21,BetTable[[Date]:[Date]], "&gt;="&amp;Q$8,BetTable[[Date]:[Date]],"&lt;="&amp;EOMONTH(Q$8,0))+SUMIFS(BetTable[[AR_per_bookie]:[AR_per_bookie]],BetTable[[B2]:[B2]],$A21,BetTable[[Date]:[Date]], "&gt;="&amp;Q$8,BetTable[[Date]:[Date]],"&lt;="&amp;EOMONTH(Q$8,0))+SUMIFS(BetTable[[AR_per_bookie]:[AR_per_bookie]],BetTable[[B3]:[B3]],$A21,BetTable[[Date]:[Date]], "&gt;="&amp;Q$8,BetTable[[Date]:[Date]],"&lt;="&amp;EOMONTH(Q$8,0))</f>
        <v>0</v>
      </c>
      <c r="R21" s="126">
        <f>SUMIFS(DWbonus[[Sum]:[Sum]],DWbonus[[Dato]:[Dato]], "&gt;="&amp;R$8,DWbonus[[Dato]:[Dato]],"&lt;="&amp;EOMONTH(R$8,0),DWbonus[[Bookie]:[Bookie]],$A21)+SUMIFS(LayTable[[Faktisk res]:[Faktisk res]],LayTable[[Dato]:[Dato]],"&gt;="&amp;R$8,LayTable[[Dato]:[Dato]],"&lt;="&amp;EOMONTH(R$8,0),LayTable[[Bookmaker]:[Bookmaker]],$A21)+SUMIFS(BetTable[[AR_per_bookie]:[AR_per_bookie]],BetTable[[B1]:[B1]],$A21,BetTable[[Date]:[Date]], "&gt;="&amp;R$8,BetTable[[Date]:[Date]],"&lt;="&amp;EOMONTH(R$8,0))+SUMIFS(BetTable[[AR_per_bookie]:[AR_per_bookie]],BetTable[[B2]:[B2]],$A21,BetTable[[Date]:[Date]], "&gt;="&amp;R$8,BetTable[[Date]:[Date]],"&lt;="&amp;EOMONTH(R$8,0))+SUMIFS(BetTable[[AR_per_bookie]:[AR_per_bookie]],BetTable[[B3]:[B3]],$A21,BetTable[[Date]:[Date]], "&gt;="&amp;R$8,BetTable[[Date]:[Date]],"&lt;="&amp;EOMONTH(R$8,0))</f>
        <v>0</v>
      </c>
      <c r="S21" s="126">
        <f>SUMIFS(DWbonus[[Sum]:[Sum]],DWbonus[[Dato]:[Dato]], "&gt;="&amp;S$8,DWbonus[[Dato]:[Dato]],"&lt;="&amp;EOMONTH(S$8,0),DWbonus[[Bookie]:[Bookie]],$A21)+SUMIFS(LayTable[[Faktisk res]:[Faktisk res]],LayTable[[Dato]:[Dato]],"&gt;="&amp;S$8,LayTable[[Dato]:[Dato]],"&lt;="&amp;EOMONTH(S$8,0),LayTable[[Bookmaker]:[Bookmaker]],$A21)+SUMIFS(BetTable[[AR_per_bookie]:[AR_per_bookie]],BetTable[[B1]:[B1]],$A21,BetTable[[Date]:[Date]], "&gt;="&amp;S$8,BetTable[[Date]:[Date]],"&lt;="&amp;EOMONTH(S$8,0))+SUMIFS(BetTable[[AR_per_bookie]:[AR_per_bookie]],BetTable[[B2]:[B2]],$A21,BetTable[[Date]:[Date]], "&gt;="&amp;S$8,BetTable[[Date]:[Date]],"&lt;="&amp;EOMONTH(S$8,0))+SUMIFS(BetTable[[AR_per_bookie]:[AR_per_bookie]],BetTable[[B3]:[B3]],$A21,BetTable[[Date]:[Date]], "&gt;="&amp;S$8,BetTable[[Date]:[Date]],"&lt;="&amp;EOMONTH(S$8,0))</f>
        <v>0</v>
      </c>
    </row>
    <row r="22" spans="1:19">
      <c r="A22" s="115" t="str">
        <f>BookieNavn!I14</f>
        <v>Betser</v>
      </c>
      <c r="B22" s="126">
        <f>SUMIF(Penger!D$1:D$50072,A22,Penger!F$1:F$50072)</f>
        <v>0</v>
      </c>
      <c r="C22" s="126">
        <f>SUMIF(Penger!T$1:T$50072,A22,Penger!U$1:U$50072)</f>
        <v>0</v>
      </c>
      <c r="D22" s="126">
        <f ca="1">SUMIF(Spill!C$1:C$499895,A22,Spill!T$1:T$49895)+C22</f>
        <v>0</v>
      </c>
      <c r="E22" s="126">
        <f>SUMIF(Spill!C$1:C$49895,A22,Spill!T$1:T$49895)</f>
        <v>0</v>
      </c>
      <c r="F22" s="121" t="e">
        <f t="shared" ca="1" si="1"/>
        <v>#DIV/0!</v>
      </c>
      <c r="H22" s="126">
        <f>SUMIFS(DWbonus[[Sum]:[Sum]],DWbonus[[Dato]:[Dato]], "&gt;="&amp;H$8,DWbonus[[Dato]:[Dato]],"&lt;="&amp;EOMONTH(H$8,0),DWbonus[[Bookie]:[Bookie]],$A22)+SUMIFS(LayTable[[Faktisk res]:[Faktisk res]],LayTable[[Dato]:[Dato]],"&gt;="&amp;H$8,LayTable[[Dato]:[Dato]],"&lt;="&amp;EOMONTH(H$8,0),LayTable[[Bookmaker]:[Bookmaker]],$A22)+SUMIFS(BetTable[[AR_per_bookie]:[AR_per_bookie]],BetTable[[B1]:[B1]],$A22,BetTable[[Date]:[Date]], "&gt;="&amp;H$8,BetTable[[Date]:[Date]],"&lt;="&amp;EOMONTH(H$8,0))+SUMIFS(BetTable[[AR_per_bookie]:[AR_per_bookie]],BetTable[[B2]:[B2]],$A22,BetTable[[Date]:[Date]], "&gt;="&amp;H$8,BetTable[[Date]:[Date]],"&lt;="&amp;EOMONTH(H$8,0))+SUMIFS(BetTable[[AR_per_bookie]:[AR_per_bookie]],BetTable[[B3]:[B3]],$A22,BetTable[[Date]:[Date]], "&gt;="&amp;H$8,BetTable[[Date]:[Date]],"&lt;="&amp;EOMONTH(H$8,0))</f>
        <v>0</v>
      </c>
      <c r="I22" s="126">
        <f>SUMIFS(DWbonus[[Sum]:[Sum]],DWbonus[[Dato]:[Dato]], "&gt;="&amp;I$8,DWbonus[[Dato]:[Dato]],"&lt;="&amp;EOMONTH(I$8,0),DWbonus[[Bookie]:[Bookie]],$A22)+SUMIFS(LayTable[[Faktisk res]:[Faktisk res]],LayTable[[Dato]:[Dato]],"&gt;="&amp;I$8,LayTable[[Dato]:[Dato]],"&lt;="&amp;EOMONTH(I$8,0),LayTable[[Bookmaker]:[Bookmaker]],$A22)+SUMIFS(BetTable[[AR_per_bookie]:[AR_per_bookie]],BetTable[[B1]:[B1]],$A22,BetTable[[Date]:[Date]], "&gt;="&amp;I$8,BetTable[[Date]:[Date]],"&lt;="&amp;EOMONTH(I$8,0))+SUMIFS(BetTable[[AR_per_bookie]:[AR_per_bookie]],BetTable[[B2]:[B2]],$A22,BetTable[[Date]:[Date]], "&gt;="&amp;I$8,BetTable[[Date]:[Date]],"&lt;="&amp;EOMONTH(I$8,0))+SUMIFS(BetTable[[AR_per_bookie]:[AR_per_bookie]],BetTable[[B3]:[B3]],$A22,BetTable[[Date]:[Date]], "&gt;="&amp;I$8,BetTable[[Date]:[Date]],"&lt;="&amp;EOMONTH(I$8,0))</f>
        <v>0</v>
      </c>
      <c r="J22" s="126">
        <f>SUMIFS(DWbonus[[Sum]:[Sum]],DWbonus[[Dato]:[Dato]], "&gt;="&amp;J$8,DWbonus[[Dato]:[Dato]],"&lt;="&amp;EOMONTH(J$8,0),DWbonus[[Bookie]:[Bookie]],$A22)+SUMIFS(LayTable[[Faktisk res]:[Faktisk res]],LayTable[[Dato]:[Dato]],"&gt;="&amp;J$8,LayTable[[Dato]:[Dato]],"&lt;="&amp;EOMONTH(J$8,0),LayTable[[Bookmaker]:[Bookmaker]],$A22)+SUMIFS(BetTable[[AR_per_bookie]:[AR_per_bookie]],BetTable[[B1]:[B1]],$A22,BetTable[[Date]:[Date]], "&gt;="&amp;J$8,BetTable[[Date]:[Date]],"&lt;="&amp;EOMONTH(J$8,0))+SUMIFS(BetTable[[AR_per_bookie]:[AR_per_bookie]],BetTable[[B2]:[B2]],$A22,BetTable[[Date]:[Date]], "&gt;="&amp;J$8,BetTable[[Date]:[Date]],"&lt;="&amp;EOMONTH(J$8,0))+SUMIFS(BetTable[[AR_per_bookie]:[AR_per_bookie]],BetTable[[B3]:[B3]],$A22,BetTable[[Date]:[Date]], "&gt;="&amp;J$8,BetTable[[Date]:[Date]],"&lt;="&amp;EOMONTH(J$8,0))</f>
        <v>0</v>
      </c>
      <c r="K22" s="126">
        <f>SUMIFS(DWbonus[[Sum]:[Sum]],DWbonus[[Dato]:[Dato]], "&gt;="&amp;K$8,DWbonus[[Dato]:[Dato]],"&lt;="&amp;EOMONTH(K$8,0),DWbonus[[Bookie]:[Bookie]],$A22)+SUMIFS(LayTable[[Faktisk res]:[Faktisk res]],LayTable[[Dato]:[Dato]],"&gt;="&amp;K$8,LayTable[[Dato]:[Dato]],"&lt;="&amp;EOMONTH(K$8,0),LayTable[[Bookmaker]:[Bookmaker]],$A22)+SUMIFS(BetTable[[AR_per_bookie]:[AR_per_bookie]],BetTable[[B1]:[B1]],$A22,BetTable[[Date]:[Date]], "&gt;="&amp;K$8,BetTable[[Date]:[Date]],"&lt;="&amp;EOMONTH(K$8,0))+SUMIFS(BetTable[[AR_per_bookie]:[AR_per_bookie]],BetTable[[B2]:[B2]],$A22,BetTable[[Date]:[Date]], "&gt;="&amp;K$8,BetTable[[Date]:[Date]],"&lt;="&amp;EOMONTH(K$8,0))+SUMIFS(BetTable[[AR_per_bookie]:[AR_per_bookie]],BetTable[[B3]:[B3]],$A22,BetTable[[Date]:[Date]], "&gt;="&amp;K$8,BetTable[[Date]:[Date]],"&lt;="&amp;EOMONTH(K$8,0))</f>
        <v>0</v>
      </c>
      <c r="L22" s="126">
        <f>SUMIFS(DWbonus[[Sum]:[Sum]],DWbonus[[Dato]:[Dato]], "&gt;="&amp;L$8,DWbonus[[Dato]:[Dato]],"&lt;="&amp;EOMONTH(L$8,0),DWbonus[[Bookie]:[Bookie]],$A22)+SUMIFS(LayTable[[Faktisk res]:[Faktisk res]],LayTable[[Dato]:[Dato]],"&gt;="&amp;L$8,LayTable[[Dato]:[Dato]],"&lt;="&amp;EOMONTH(L$8,0),LayTable[[Bookmaker]:[Bookmaker]],$A22)+SUMIFS(BetTable[[AR_per_bookie]:[AR_per_bookie]],BetTable[[B1]:[B1]],$A22,BetTable[[Date]:[Date]], "&gt;="&amp;L$8,BetTable[[Date]:[Date]],"&lt;="&amp;EOMONTH(L$8,0))+SUMIFS(BetTable[[AR_per_bookie]:[AR_per_bookie]],BetTable[[B2]:[B2]],$A22,BetTable[[Date]:[Date]], "&gt;="&amp;L$8,BetTable[[Date]:[Date]],"&lt;="&amp;EOMONTH(L$8,0))+SUMIFS(BetTable[[AR_per_bookie]:[AR_per_bookie]],BetTable[[B3]:[B3]],$A22,BetTable[[Date]:[Date]], "&gt;="&amp;L$8,BetTable[[Date]:[Date]],"&lt;="&amp;EOMONTH(L$8,0))</f>
        <v>0</v>
      </c>
      <c r="M22" s="126">
        <f>SUMIFS(DWbonus[[Sum]:[Sum]],DWbonus[[Dato]:[Dato]], "&gt;="&amp;M$8,DWbonus[[Dato]:[Dato]],"&lt;="&amp;EOMONTH(M$8,0),DWbonus[[Bookie]:[Bookie]],$A22)+SUMIFS(LayTable[[Faktisk res]:[Faktisk res]],LayTable[[Dato]:[Dato]],"&gt;="&amp;M$8,LayTable[[Dato]:[Dato]],"&lt;="&amp;EOMONTH(M$8,0),LayTable[[Bookmaker]:[Bookmaker]],$A22)+SUMIFS(BetTable[[AR_per_bookie]:[AR_per_bookie]],BetTable[[B1]:[B1]],$A22,BetTable[[Date]:[Date]], "&gt;="&amp;M$8,BetTable[[Date]:[Date]],"&lt;="&amp;EOMONTH(M$8,0))+SUMIFS(BetTable[[AR_per_bookie]:[AR_per_bookie]],BetTable[[B2]:[B2]],$A22,BetTable[[Date]:[Date]], "&gt;="&amp;M$8,BetTable[[Date]:[Date]],"&lt;="&amp;EOMONTH(M$8,0))+SUMIFS(BetTable[[AR_per_bookie]:[AR_per_bookie]],BetTable[[B3]:[B3]],$A22,BetTable[[Date]:[Date]], "&gt;="&amp;M$8,BetTable[[Date]:[Date]],"&lt;="&amp;EOMONTH(M$8,0))</f>
        <v>0</v>
      </c>
      <c r="N22" s="126">
        <f>SUMIFS(DWbonus[[Sum]:[Sum]],DWbonus[[Dato]:[Dato]], "&gt;="&amp;N$8,DWbonus[[Dato]:[Dato]],"&lt;="&amp;EOMONTH(N$8,0),DWbonus[[Bookie]:[Bookie]],$A22)+SUMIFS(LayTable[[Faktisk res]:[Faktisk res]],LayTable[[Dato]:[Dato]],"&gt;="&amp;N$8,LayTable[[Dato]:[Dato]],"&lt;="&amp;EOMONTH(N$8,0),LayTable[[Bookmaker]:[Bookmaker]],$A22)+SUMIFS(BetTable[[AR_per_bookie]:[AR_per_bookie]],BetTable[[B1]:[B1]],$A22,BetTable[[Date]:[Date]], "&gt;="&amp;N$8,BetTable[[Date]:[Date]],"&lt;="&amp;EOMONTH(N$8,0))+SUMIFS(BetTable[[AR_per_bookie]:[AR_per_bookie]],BetTable[[B2]:[B2]],$A22,BetTable[[Date]:[Date]], "&gt;="&amp;N$8,BetTable[[Date]:[Date]],"&lt;="&amp;EOMONTH(N$8,0))+SUMIFS(BetTable[[AR_per_bookie]:[AR_per_bookie]],BetTable[[B3]:[B3]],$A22,BetTable[[Date]:[Date]], "&gt;="&amp;N$8,BetTable[[Date]:[Date]],"&lt;="&amp;EOMONTH(N$8,0))</f>
        <v>0</v>
      </c>
      <c r="O22" s="126">
        <f>SUMIFS(DWbonus[[Sum]:[Sum]],DWbonus[[Dato]:[Dato]], "&gt;="&amp;O$8,DWbonus[[Dato]:[Dato]],"&lt;="&amp;EOMONTH(O$8,0),DWbonus[[Bookie]:[Bookie]],$A22)+SUMIFS(LayTable[[Faktisk res]:[Faktisk res]],LayTable[[Dato]:[Dato]],"&gt;="&amp;O$8,LayTable[[Dato]:[Dato]],"&lt;="&amp;EOMONTH(O$8,0),LayTable[[Bookmaker]:[Bookmaker]],$A22)+SUMIFS(BetTable[[AR_per_bookie]:[AR_per_bookie]],BetTable[[B1]:[B1]],$A22,BetTable[[Date]:[Date]], "&gt;="&amp;O$8,BetTable[[Date]:[Date]],"&lt;="&amp;EOMONTH(O$8,0))+SUMIFS(BetTable[[AR_per_bookie]:[AR_per_bookie]],BetTable[[B2]:[B2]],$A22,BetTable[[Date]:[Date]], "&gt;="&amp;O$8,BetTable[[Date]:[Date]],"&lt;="&amp;EOMONTH(O$8,0))+SUMIFS(BetTable[[AR_per_bookie]:[AR_per_bookie]],BetTable[[B3]:[B3]],$A22,BetTable[[Date]:[Date]], "&gt;="&amp;O$8,BetTable[[Date]:[Date]],"&lt;="&amp;EOMONTH(O$8,0))</f>
        <v>0</v>
      </c>
      <c r="P22" s="126">
        <f>SUMIFS(DWbonus[[Sum]:[Sum]],DWbonus[[Dato]:[Dato]], "&gt;="&amp;P$8,DWbonus[[Dato]:[Dato]],"&lt;="&amp;EOMONTH(P$8,0),DWbonus[[Bookie]:[Bookie]],$A22)+SUMIFS(LayTable[[Faktisk res]:[Faktisk res]],LayTable[[Dato]:[Dato]],"&gt;="&amp;P$8,LayTable[[Dato]:[Dato]],"&lt;="&amp;EOMONTH(P$8,0),LayTable[[Bookmaker]:[Bookmaker]],$A22)+SUMIFS(BetTable[[AR_per_bookie]:[AR_per_bookie]],BetTable[[B1]:[B1]],$A22,BetTable[[Date]:[Date]], "&gt;="&amp;P$8,BetTable[[Date]:[Date]],"&lt;="&amp;EOMONTH(P$8,0))+SUMIFS(BetTable[[AR_per_bookie]:[AR_per_bookie]],BetTable[[B2]:[B2]],$A22,BetTable[[Date]:[Date]], "&gt;="&amp;P$8,BetTable[[Date]:[Date]],"&lt;="&amp;EOMONTH(P$8,0))+SUMIFS(BetTable[[AR_per_bookie]:[AR_per_bookie]],BetTable[[B3]:[B3]],$A22,BetTable[[Date]:[Date]], "&gt;="&amp;P$8,BetTable[[Date]:[Date]],"&lt;="&amp;EOMONTH(P$8,0))</f>
        <v>0</v>
      </c>
      <c r="Q22" s="126">
        <f>SUMIFS(DWbonus[[Sum]:[Sum]],DWbonus[[Dato]:[Dato]], "&gt;="&amp;Q$8,DWbonus[[Dato]:[Dato]],"&lt;="&amp;EOMONTH(Q$8,0),DWbonus[[Bookie]:[Bookie]],$A22)+SUMIFS(LayTable[[Faktisk res]:[Faktisk res]],LayTable[[Dato]:[Dato]],"&gt;="&amp;Q$8,LayTable[[Dato]:[Dato]],"&lt;="&amp;EOMONTH(Q$8,0),LayTable[[Bookmaker]:[Bookmaker]],$A22)+SUMIFS(BetTable[[AR_per_bookie]:[AR_per_bookie]],BetTable[[B1]:[B1]],$A22,BetTable[[Date]:[Date]], "&gt;="&amp;Q$8,BetTable[[Date]:[Date]],"&lt;="&amp;EOMONTH(Q$8,0))+SUMIFS(BetTable[[AR_per_bookie]:[AR_per_bookie]],BetTable[[B2]:[B2]],$A22,BetTable[[Date]:[Date]], "&gt;="&amp;Q$8,BetTable[[Date]:[Date]],"&lt;="&amp;EOMONTH(Q$8,0))+SUMIFS(BetTable[[AR_per_bookie]:[AR_per_bookie]],BetTable[[B3]:[B3]],$A22,BetTable[[Date]:[Date]], "&gt;="&amp;Q$8,BetTable[[Date]:[Date]],"&lt;="&amp;EOMONTH(Q$8,0))</f>
        <v>0</v>
      </c>
      <c r="R22" s="126">
        <f>SUMIFS(DWbonus[[Sum]:[Sum]],DWbonus[[Dato]:[Dato]], "&gt;="&amp;R$8,DWbonus[[Dato]:[Dato]],"&lt;="&amp;EOMONTH(R$8,0),DWbonus[[Bookie]:[Bookie]],$A22)+SUMIFS(LayTable[[Faktisk res]:[Faktisk res]],LayTable[[Dato]:[Dato]],"&gt;="&amp;R$8,LayTable[[Dato]:[Dato]],"&lt;="&amp;EOMONTH(R$8,0),LayTable[[Bookmaker]:[Bookmaker]],$A22)+SUMIFS(BetTable[[AR_per_bookie]:[AR_per_bookie]],BetTable[[B1]:[B1]],$A22,BetTable[[Date]:[Date]], "&gt;="&amp;R$8,BetTable[[Date]:[Date]],"&lt;="&amp;EOMONTH(R$8,0))+SUMIFS(BetTable[[AR_per_bookie]:[AR_per_bookie]],BetTable[[B2]:[B2]],$A22,BetTable[[Date]:[Date]], "&gt;="&amp;R$8,BetTable[[Date]:[Date]],"&lt;="&amp;EOMONTH(R$8,0))+SUMIFS(BetTable[[AR_per_bookie]:[AR_per_bookie]],BetTable[[B3]:[B3]],$A22,BetTable[[Date]:[Date]], "&gt;="&amp;R$8,BetTable[[Date]:[Date]],"&lt;="&amp;EOMONTH(R$8,0))</f>
        <v>0</v>
      </c>
      <c r="S22" s="126">
        <f>SUMIFS(DWbonus[[Sum]:[Sum]],DWbonus[[Dato]:[Dato]], "&gt;="&amp;S$8,DWbonus[[Dato]:[Dato]],"&lt;="&amp;EOMONTH(S$8,0),DWbonus[[Bookie]:[Bookie]],$A22)+SUMIFS(LayTable[[Faktisk res]:[Faktisk res]],LayTable[[Dato]:[Dato]],"&gt;="&amp;S$8,LayTable[[Dato]:[Dato]],"&lt;="&amp;EOMONTH(S$8,0),LayTable[[Bookmaker]:[Bookmaker]],$A22)+SUMIFS(BetTable[[AR_per_bookie]:[AR_per_bookie]],BetTable[[B1]:[B1]],$A22,BetTable[[Date]:[Date]], "&gt;="&amp;S$8,BetTable[[Date]:[Date]],"&lt;="&amp;EOMONTH(S$8,0))+SUMIFS(BetTable[[AR_per_bookie]:[AR_per_bookie]],BetTable[[B2]:[B2]],$A22,BetTable[[Date]:[Date]], "&gt;="&amp;S$8,BetTable[[Date]:[Date]],"&lt;="&amp;EOMONTH(S$8,0))+SUMIFS(BetTable[[AR_per_bookie]:[AR_per_bookie]],BetTable[[B3]:[B3]],$A22,BetTable[[Date]:[Date]], "&gt;="&amp;S$8,BetTable[[Date]:[Date]],"&lt;="&amp;EOMONTH(S$8,0))</f>
        <v>0</v>
      </c>
    </row>
    <row r="23" spans="1:19">
      <c r="A23" s="115" t="str">
        <f>BookieNavn!I15</f>
        <v>Betsson</v>
      </c>
      <c r="B23" s="126">
        <f>SUMIF(Penger!D$1:D$50072,A23,Penger!F$1:F$50072)</f>
        <v>0</v>
      </c>
      <c r="C23" s="126">
        <f>SUMIF(Penger!T$1:T$50072,A23,Penger!U$1:U$50072)</f>
        <v>0</v>
      </c>
      <c r="D23" s="126">
        <f ca="1">SUMIF(Spill!C$1:C$499895,A23,Spill!T$1:T$49895)+C23</f>
        <v>0</v>
      </c>
      <c r="E23" s="126">
        <f>SUMIF(Spill!C$1:C$49895,A23,Spill!T$1:T$49895)</f>
        <v>0</v>
      </c>
      <c r="F23" s="121" t="e">
        <f t="shared" ca="1" si="1"/>
        <v>#DIV/0!</v>
      </c>
      <c r="H23" s="126">
        <f>SUMIFS(DWbonus[[Sum]:[Sum]],DWbonus[[Dato]:[Dato]], "&gt;="&amp;H$8,DWbonus[[Dato]:[Dato]],"&lt;="&amp;EOMONTH(H$8,0),DWbonus[[Bookie]:[Bookie]],$A23)+SUMIFS(LayTable[[Faktisk res]:[Faktisk res]],LayTable[[Dato]:[Dato]],"&gt;="&amp;H$8,LayTable[[Dato]:[Dato]],"&lt;="&amp;EOMONTH(H$8,0),LayTable[[Bookmaker]:[Bookmaker]],$A23)+SUMIFS(BetTable[[AR_per_bookie]:[AR_per_bookie]],BetTable[[B1]:[B1]],$A23,BetTable[[Date]:[Date]], "&gt;="&amp;H$8,BetTable[[Date]:[Date]],"&lt;="&amp;EOMONTH(H$8,0))+SUMIFS(BetTable[[AR_per_bookie]:[AR_per_bookie]],BetTable[[B2]:[B2]],$A23,BetTable[[Date]:[Date]], "&gt;="&amp;H$8,BetTable[[Date]:[Date]],"&lt;="&amp;EOMONTH(H$8,0))+SUMIFS(BetTable[[AR_per_bookie]:[AR_per_bookie]],BetTable[[B3]:[B3]],$A23,BetTable[[Date]:[Date]], "&gt;="&amp;H$8,BetTable[[Date]:[Date]],"&lt;="&amp;EOMONTH(H$8,0))</f>
        <v>0</v>
      </c>
      <c r="I23" s="126">
        <f>SUMIFS(DWbonus[[Sum]:[Sum]],DWbonus[[Dato]:[Dato]], "&gt;="&amp;I$8,DWbonus[[Dato]:[Dato]],"&lt;="&amp;EOMONTH(I$8,0),DWbonus[[Bookie]:[Bookie]],$A23)+SUMIFS(LayTable[[Faktisk res]:[Faktisk res]],LayTable[[Dato]:[Dato]],"&gt;="&amp;I$8,LayTable[[Dato]:[Dato]],"&lt;="&amp;EOMONTH(I$8,0),LayTable[[Bookmaker]:[Bookmaker]],$A23)+SUMIFS(BetTable[[AR_per_bookie]:[AR_per_bookie]],BetTable[[B1]:[B1]],$A23,BetTable[[Date]:[Date]], "&gt;="&amp;I$8,BetTable[[Date]:[Date]],"&lt;="&amp;EOMONTH(I$8,0))+SUMIFS(BetTable[[AR_per_bookie]:[AR_per_bookie]],BetTable[[B2]:[B2]],$A23,BetTable[[Date]:[Date]], "&gt;="&amp;I$8,BetTable[[Date]:[Date]],"&lt;="&amp;EOMONTH(I$8,0))+SUMIFS(BetTable[[AR_per_bookie]:[AR_per_bookie]],BetTable[[B3]:[B3]],$A23,BetTable[[Date]:[Date]], "&gt;="&amp;I$8,BetTable[[Date]:[Date]],"&lt;="&amp;EOMONTH(I$8,0))</f>
        <v>0</v>
      </c>
      <c r="J23" s="126">
        <f>SUMIFS(DWbonus[[Sum]:[Sum]],DWbonus[[Dato]:[Dato]], "&gt;="&amp;J$8,DWbonus[[Dato]:[Dato]],"&lt;="&amp;EOMONTH(J$8,0),DWbonus[[Bookie]:[Bookie]],$A23)+SUMIFS(LayTable[[Faktisk res]:[Faktisk res]],LayTable[[Dato]:[Dato]],"&gt;="&amp;J$8,LayTable[[Dato]:[Dato]],"&lt;="&amp;EOMONTH(J$8,0),LayTable[[Bookmaker]:[Bookmaker]],$A23)+SUMIFS(BetTable[[AR_per_bookie]:[AR_per_bookie]],BetTable[[B1]:[B1]],$A23,BetTable[[Date]:[Date]], "&gt;="&amp;J$8,BetTable[[Date]:[Date]],"&lt;="&amp;EOMONTH(J$8,0))+SUMIFS(BetTable[[AR_per_bookie]:[AR_per_bookie]],BetTable[[B2]:[B2]],$A23,BetTable[[Date]:[Date]], "&gt;="&amp;J$8,BetTable[[Date]:[Date]],"&lt;="&amp;EOMONTH(J$8,0))+SUMIFS(BetTable[[AR_per_bookie]:[AR_per_bookie]],BetTable[[B3]:[B3]],$A23,BetTable[[Date]:[Date]], "&gt;="&amp;J$8,BetTable[[Date]:[Date]],"&lt;="&amp;EOMONTH(J$8,0))</f>
        <v>0</v>
      </c>
      <c r="K23" s="126">
        <f>SUMIFS(DWbonus[[Sum]:[Sum]],DWbonus[[Dato]:[Dato]], "&gt;="&amp;K$8,DWbonus[[Dato]:[Dato]],"&lt;="&amp;EOMONTH(K$8,0),DWbonus[[Bookie]:[Bookie]],$A23)+SUMIFS(LayTable[[Faktisk res]:[Faktisk res]],LayTable[[Dato]:[Dato]],"&gt;="&amp;K$8,LayTable[[Dato]:[Dato]],"&lt;="&amp;EOMONTH(K$8,0),LayTable[[Bookmaker]:[Bookmaker]],$A23)+SUMIFS(BetTable[[AR_per_bookie]:[AR_per_bookie]],BetTable[[B1]:[B1]],$A23,BetTable[[Date]:[Date]], "&gt;="&amp;K$8,BetTable[[Date]:[Date]],"&lt;="&amp;EOMONTH(K$8,0))+SUMIFS(BetTable[[AR_per_bookie]:[AR_per_bookie]],BetTable[[B2]:[B2]],$A23,BetTable[[Date]:[Date]], "&gt;="&amp;K$8,BetTable[[Date]:[Date]],"&lt;="&amp;EOMONTH(K$8,0))+SUMIFS(BetTable[[AR_per_bookie]:[AR_per_bookie]],BetTable[[B3]:[B3]],$A23,BetTable[[Date]:[Date]], "&gt;="&amp;K$8,BetTable[[Date]:[Date]],"&lt;="&amp;EOMONTH(K$8,0))</f>
        <v>0</v>
      </c>
      <c r="L23" s="126">
        <f>SUMIFS(DWbonus[[Sum]:[Sum]],DWbonus[[Dato]:[Dato]], "&gt;="&amp;L$8,DWbonus[[Dato]:[Dato]],"&lt;="&amp;EOMONTH(L$8,0),DWbonus[[Bookie]:[Bookie]],$A23)+SUMIFS(LayTable[[Faktisk res]:[Faktisk res]],LayTable[[Dato]:[Dato]],"&gt;="&amp;L$8,LayTable[[Dato]:[Dato]],"&lt;="&amp;EOMONTH(L$8,0),LayTable[[Bookmaker]:[Bookmaker]],$A23)+SUMIFS(BetTable[[AR_per_bookie]:[AR_per_bookie]],BetTable[[B1]:[B1]],$A23,BetTable[[Date]:[Date]], "&gt;="&amp;L$8,BetTable[[Date]:[Date]],"&lt;="&amp;EOMONTH(L$8,0))+SUMIFS(BetTable[[AR_per_bookie]:[AR_per_bookie]],BetTable[[B2]:[B2]],$A23,BetTable[[Date]:[Date]], "&gt;="&amp;L$8,BetTable[[Date]:[Date]],"&lt;="&amp;EOMONTH(L$8,0))+SUMIFS(BetTable[[AR_per_bookie]:[AR_per_bookie]],BetTable[[B3]:[B3]],$A23,BetTable[[Date]:[Date]], "&gt;="&amp;L$8,BetTable[[Date]:[Date]],"&lt;="&amp;EOMONTH(L$8,0))</f>
        <v>0</v>
      </c>
      <c r="M23" s="126">
        <f>SUMIFS(DWbonus[[Sum]:[Sum]],DWbonus[[Dato]:[Dato]], "&gt;="&amp;M$8,DWbonus[[Dato]:[Dato]],"&lt;="&amp;EOMONTH(M$8,0),DWbonus[[Bookie]:[Bookie]],$A23)+SUMIFS(LayTable[[Faktisk res]:[Faktisk res]],LayTable[[Dato]:[Dato]],"&gt;="&amp;M$8,LayTable[[Dato]:[Dato]],"&lt;="&amp;EOMONTH(M$8,0),LayTable[[Bookmaker]:[Bookmaker]],$A23)+SUMIFS(BetTable[[AR_per_bookie]:[AR_per_bookie]],BetTable[[B1]:[B1]],$A23,BetTable[[Date]:[Date]], "&gt;="&amp;M$8,BetTable[[Date]:[Date]],"&lt;="&amp;EOMONTH(M$8,0))+SUMIFS(BetTable[[AR_per_bookie]:[AR_per_bookie]],BetTable[[B2]:[B2]],$A23,BetTable[[Date]:[Date]], "&gt;="&amp;M$8,BetTable[[Date]:[Date]],"&lt;="&amp;EOMONTH(M$8,0))+SUMIFS(BetTable[[AR_per_bookie]:[AR_per_bookie]],BetTable[[B3]:[B3]],$A23,BetTable[[Date]:[Date]], "&gt;="&amp;M$8,BetTable[[Date]:[Date]],"&lt;="&amp;EOMONTH(M$8,0))</f>
        <v>0</v>
      </c>
      <c r="N23" s="126">
        <f>SUMIFS(DWbonus[[Sum]:[Sum]],DWbonus[[Dato]:[Dato]], "&gt;="&amp;N$8,DWbonus[[Dato]:[Dato]],"&lt;="&amp;EOMONTH(N$8,0),DWbonus[[Bookie]:[Bookie]],$A23)+SUMIFS(LayTable[[Faktisk res]:[Faktisk res]],LayTable[[Dato]:[Dato]],"&gt;="&amp;N$8,LayTable[[Dato]:[Dato]],"&lt;="&amp;EOMONTH(N$8,0),LayTable[[Bookmaker]:[Bookmaker]],$A23)+SUMIFS(BetTable[[AR_per_bookie]:[AR_per_bookie]],BetTable[[B1]:[B1]],$A23,BetTable[[Date]:[Date]], "&gt;="&amp;N$8,BetTable[[Date]:[Date]],"&lt;="&amp;EOMONTH(N$8,0))+SUMIFS(BetTable[[AR_per_bookie]:[AR_per_bookie]],BetTable[[B2]:[B2]],$A23,BetTable[[Date]:[Date]], "&gt;="&amp;N$8,BetTable[[Date]:[Date]],"&lt;="&amp;EOMONTH(N$8,0))+SUMIFS(BetTable[[AR_per_bookie]:[AR_per_bookie]],BetTable[[B3]:[B3]],$A23,BetTable[[Date]:[Date]], "&gt;="&amp;N$8,BetTable[[Date]:[Date]],"&lt;="&amp;EOMONTH(N$8,0))</f>
        <v>0</v>
      </c>
      <c r="O23" s="126">
        <f>SUMIFS(DWbonus[[Sum]:[Sum]],DWbonus[[Dato]:[Dato]], "&gt;="&amp;O$8,DWbonus[[Dato]:[Dato]],"&lt;="&amp;EOMONTH(O$8,0),DWbonus[[Bookie]:[Bookie]],$A23)+SUMIFS(LayTable[[Faktisk res]:[Faktisk res]],LayTable[[Dato]:[Dato]],"&gt;="&amp;O$8,LayTable[[Dato]:[Dato]],"&lt;="&amp;EOMONTH(O$8,0),LayTable[[Bookmaker]:[Bookmaker]],$A23)+SUMIFS(BetTable[[AR_per_bookie]:[AR_per_bookie]],BetTable[[B1]:[B1]],$A23,BetTable[[Date]:[Date]], "&gt;="&amp;O$8,BetTable[[Date]:[Date]],"&lt;="&amp;EOMONTH(O$8,0))+SUMIFS(BetTable[[AR_per_bookie]:[AR_per_bookie]],BetTable[[B2]:[B2]],$A23,BetTable[[Date]:[Date]], "&gt;="&amp;O$8,BetTable[[Date]:[Date]],"&lt;="&amp;EOMONTH(O$8,0))+SUMIFS(BetTable[[AR_per_bookie]:[AR_per_bookie]],BetTable[[B3]:[B3]],$A23,BetTable[[Date]:[Date]], "&gt;="&amp;O$8,BetTable[[Date]:[Date]],"&lt;="&amp;EOMONTH(O$8,0))</f>
        <v>0</v>
      </c>
      <c r="P23" s="126">
        <f>SUMIFS(DWbonus[[Sum]:[Sum]],DWbonus[[Dato]:[Dato]], "&gt;="&amp;P$8,DWbonus[[Dato]:[Dato]],"&lt;="&amp;EOMONTH(P$8,0),DWbonus[[Bookie]:[Bookie]],$A23)+SUMIFS(LayTable[[Faktisk res]:[Faktisk res]],LayTable[[Dato]:[Dato]],"&gt;="&amp;P$8,LayTable[[Dato]:[Dato]],"&lt;="&amp;EOMONTH(P$8,0),LayTable[[Bookmaker]:[Bookmaker]],$A23)+SUMIFS(BetTable[[AR_per_bookie]:[AR_per_bookie]],BetTable[[B1]:[B1]],$A23,BetTable[[Date]:[Date]], "&gt;="&amp;P$8,BetTable[[Date]:[Date]],"&lt;="&amp;EOMONTH(P$8,0))+SUMIFS(BetTable[[AR_per_bookie]:[AR_per_bookie]],BetTable[[B2]:[B2]],$A23,BetTable[[Date]:[Date]], "&gt;="&amp;P$8,BetTable[[Date]:[Date]],"&lt;="&amp;EOMONTH(P$8,0))+SUMIFS(BetTable[[AR_per_bookie]:[AR_per_bookie]],BetTable[[B3]:[B3]],$A23,BetTable[[Date]:[Date]], "&gt;="&amp;P$8,BetTable[[Date]:[Date]],"&lt;="&amp;EOMONTH(P$8,0))</f>
        <v>0</v>
      </c>
      <c r="Q23" s="126">
        <f>SUMIFS(DWbonus[[Sum]:[Sum]],DWbonus[[Dato]:[Dato]], "&gt;="&amp;Q$8,DWbonus[[Dato]:[Dato]],"&lt;="&amp;EOMONTH(Q$8,0),DWbonus[[Bookie]:[Bookie]],$A23)+SUMIFS(LayTable[[Faktisk res]:[Faktisk res]],LayTable[[Dato]:[Dato]],"&gt;="&amp;Q$8,LayTable[[Dato]:[Dato]],"&lt;="&amp;EOMONTH(Q$8,0),LayTable[[Bookmaker]:[Bookmaker]],$A23)+SUMIFS(BetTable[[AR_per_bookie]:[AR_per_bookie]],BetTable[[B1]:[B1]],$A23,BetTable[[Date]:[Date]], "&gt;="&amp;Q$8,BetTable[[Date]:[Date]],"&lt;="&amp;EOMONTH(Q$8,0))+SUMIFS(BetTable[[AR_per_bookie]:[AR_per_bookie]],BetTable[[B2]:[B2]],$A23,BetTable[[Date]:[Date]], "&gt;="&amp;Q$8,BetTable[[Date]:[Date]],"&lt;="&amp;EOMONTH(Q$8,0))+SUMIFS(BetTable[[AR_per_bookie]:[AR_per_bookie]],BetTable[[B3]:[B3]],$A23,BetTable[[Date]:[Date]], "&gt;="&amp;Q$8,BetTable[[Date]:[Date]],"&lt;="&amp;EOMONTH(Q$8,0))</f>
        <v>0</v>
      </c>
      <c r="R23" s="126">
        <f>SUMIFS(DWbonus[[Sum]:[Sum]],DWbonus[[Dato]:[Dato]], "&gt;="&amp;R$8,DWbonus[[Dato]:[Dato]],"&lt;="&amp;EOMONTH(R$8,0),DWbonus[[Bookie]:[Bookie]],$A23)+SUMIFS(LayTable[[Faktisk res]:[Faktisk res]],LayTable[[Dato]:[Dato]],"&gt;="&amp;R$8,LayTable[[Dato]:[Dato]],"&lt;="&amp;EOMONTH(R$8,0),LayTable[[Bookmaker]:[Bookmaker]],$A23)+SUMIFS(BetTable[[AR_per_bookie]:[AR_per_bookie]],BetTable[[B1]:[B1]],$A23,BetTable[[Date]:[Date]], "&gt;="&amp;R$8,BetTable[[Date]:[Date]],"&lt;="&amp;EOMONTH(R$8,0))+SUMIFS(BetTable[[AR_per_bookie]:[AR_per_bookie]],BetTable[[B2]:[B2]],$A23,BetTable[[Date]:[Date]], "&gt;="&amp;R$8,BetTable[[Date]:[Date]],"&lt;="&amp;EOMONTH(R$8,0))+SUMIFS(BetTable[[AR_per_bookie]:[AR_per_bookie]],BetTable[[B3]:[B3]],$A23,BetTable[[Date]:[Date]], "&gt;="&amp;R$8,BetTable[[Date]:[Date]],"&lt;="&amp;EOMONTH(R$8,0))</f>
        <v>0</v>
      </c>
      <c r="S23" s="126">
        <f>SUMIFS(DWbonus[[Sum]:[Sum]],DWbonus[[Dato]:[Dato]], "&gt;="&amp;S$8,DWbonus[[Dato]:[Dato]],"&lt;="&amp;EOMONTH(S$8,0),DWbonus[[Bookie]:[Bookie]],$A23)+SUMIFS(LayTable[[Faktisk res]:[Faktisk res]],LayTable[[Dato]:[Dato]],"&gt;="&amp;S$8,LayTable[[Dato]:[Dato]],"&lt;="&amp;EOMONTH(S$8,0),LayTable[[Bookmaker]:[Bookmaker]],$A23)+SUMIFS(BetTable[[AR_per_bookie]:[AR_per_bookie]],BetTable[[B1]:[B1]],$A23,BetTable[[Date]:[Date]], "&gt;="&amp;S$8,BetTable[[Date]:[Date]],"&lt;="&amp;EOMONTH(S$8,0))+SUMIFS(BetTable[[AR_per_bookie]:[AR_per_bookie]],BetTable[[B2]:[B2]],$A23,BetTable[[Date]:[Date]], "&gt;="&amp;S$8,BetTable[[Date]:[Date]],"&lt;="&amp;EOMONTH(S$8,0))+SUMIFS(BetTable[[AR_per_bookie]:[AR_per_bookie]],BetTable[[B3]:[B3]],$A23,BetTable[[Date]:[Date]], "&gt;="&amp;S$8,BetTable[[Date]:[Date]],"&lt;="&amp;EOMONTH(S$8,0))</f>
        <v>0</v>
      </c>
    </row>
    <row r="24" spans="1:19">
      <c r="A24" s="115" t="str">
        <f>BookieNavn!I16</f>
        <v>Betus</v>
      </c>
      <c r="B24" s="126">
        <f>SUMIF(Penger!D$1:D$50072,A24,Penger!F$1:F$50072)</f>
        <v>0</v>
      </c>
      <c r="C24" s="126">
        <f>SUMIF(Penger!T$1:T$50072,A24,Penger!U$1:U$50072)</f>
        <v>0</v>
      </c>
      <c r="D24" s="126">
        <f ca="1">SUMIF(Spill!C$1:C$499895,A24,Spill!T$1:T$49895)+C24</f>
        <v>0</v>
      </c>
      <c r="E24" s="126">
        <f>SUMIF(Spill!C$1:C$49895,A24,Spill!T$1:T$49895)</f>
        <v>0</v>
      </c>
      <c r="F24" s="121" t="e">
        <f t="shared" ca="1" si="1"/>
        <v>#DIV/0!</v>
      </c>
      <c r="H24" s="126">
        <f>SUMIFS(DWbonus[[Sum]:[Sum]],DWbonus[[Dato]:[Dato]], "&gt;="&amp;H$8,DWbonus[[Dato]:[Dato]],"&lt;="&amp;EOMONTH(H$8,0),DWbonus[[Bookie]:[Bookie]],$A24)+SUMIFS(LayTable[[Faktisk res]:[Faktisk res]],LayTable[[Dato]:[Dato]],"&gt;="&amp;H$8,LayTable[[Dato]:[Dato]],"&lt;="&amp;EOMONTH(H$8,0),LayTable[[Bookmaker]:[Bookmaker]],$A24)+SUMIFS(BetTable[[AR_per_bookie]:[AR_per_bookie]],BetTable[[B1]:[B1]],$A24,BetTable[[Date]:[Date]], "&gt;="&amp;H$8,BetTable[[Date]:[Date]],"&lt;="&amp;EOMONTH(H$8,0))+SUMIFS(BetTable[[AR_per_bookie]:[AR_per_bookie]],BetTable[[B2]:[B2]],$A24,BetTable[[Date]:[Date]], "&gt;="&amp;H$8,BetTable[[Date]:[Date]],"&lt;="&amp;EOMONTH(H$8,0))+SUMIFS(BetTable[[AR_per_bookie]:[AR_per_bookie]],BetTable[[B3]:[B3]],$A24,BetTable[[Date]:[Date]], "&gt;="&amp;H$8,BetTable[[Date]:[Date]],"&lt;="&amp;EOMONTH(H$8,0))</f>
        <v>0</v>
      </c>
      <c r="I24" s="126">
        <f>SUMIFS(DWbonus[[Sum]:[Sum]],DWbonus[[Dato]:[Dato]], "&gt;="&amp;I$8,DWbonus[[Dato]:[Dato]],"&lt;="&amp;EOMONTH(I$8,0),DWbonus[[Bookie]:[Bookie]],$A24)+SUMIFS(LayTable[[Faktisk res]:[Faktisk res]],LayTable[[Dato]:[Dato]],"&gt;="&amp;I$8,LayTable[[Dato]:[Dato]],"&lt;="&amp;EOMONTH(I$8,0),LayTable[[Bookmaker]:[Bookmaker]],$A24)+SUMIFS(BetTable[[AR_per_bookie]:[AR_per_bookie]],BetTable[[B1]:[B1]],$A24,BetTable[[Date]:[Date]], "&gt;="&amp;I$8,BetTable[[Date]:[Date]],"&lt;="&amp;EOMONTH(I$8,0))+SUMIFS(BetTable[[AR_per_bookie]:[AR_per_bookie]],BetTable[[B2]:[B2]],$A24,BetTable[[Date]:[Date]], "&gt;="&amp;I$8,BetTable[[Date]:[Date]],"&lt;="&amp;EOMONTH(I$8,0))+SUMIFS(BetTable[[AR_per_bookie]:[AR_per_bookie]],BetTable[[B3]:[B3]],$A24,BetTable[[Date]:[Date]], "&gt;="&amp;I$8,BetTable[[Date]:[Date]],"&lt;="&amp;EOMONTH(I$8,0))</f>
        <v>0</v>
      </c>
      <c r="J24" s="126">
        <f>SUMIFS(DWbonus[[Sum]:[Sum]],DWbonus[[Dato]:[Dato]], "&gt;="&amp;J$8,DWbonus[[Dato]:[Dato]],"&lt;="&amp;EOMONTH(J$8,0),DWbonus[[Bookie]:[Bookie]],$A24)+SUMIFS(LayTable[[Faktisk res]:[Faktisk res]],LayTable[[Dato]:[Dato]],"&gt;="&amp;J$8,LayTable[[Dato]:[Dato]],"&lt;="&amp;EOMONTH(J$8,0),LayTable[[Bookmaker]:[Bookmaker]],$A24)+SUMIFS(BetTable[[AR_per_bookie]:[AR_per_bookie]],BetTable[[B1]:[B1]],$A24,BetTable[[Date]:[Date]], "&gt;="&amp;J$8,BetTable[[Date]:[Date]],"&lt;="&amp;EOMONTH(J$8,0))+SUMIFS(BetTable[[AR_per_bookie]:[AR_per_bookie]],BetTable[[B2]:[B2]],$A24,BetTable[[Date]:[Date]], "&gt;="&amp;J$8,BetTable[[Date]:[Date]],"&lt;="&amp;EOMONTH(J$8,0))+SUMIFS(BetTable[[AR_per_bookie]:[AR_per_bookie]],BetTable[[B3]:[B3]],$A24,BetTable[[Date]:[Date]], "&gt;="&amp;J$8,BetTable[[Date]:[Date]],"&lt;="&amp;EOMONTH(J$8,0))</f>
        <v>0</v>
      </c>
      <c r="K24" s="126">
        <f>SUMIFS(DWbonus[[Sum]:[Sum]],DWbonus[[Dato]:[Dato]], "&gt;="&amp;K$8,DWbonus[[Dato]:[Dato]],"&lt;="&amp;EOMONTH(K$8,0),DWbonus[[Bookie]:[Bookie]],$A24)+SUMIFS(LayTable[[Faktisk res]:[Faktisk res]],LayTable[[Dato]:[Dato]],"&gt;="&amp;K$8,LayTable[[Dato]:[Dato]],"&lt;="&amp;EOMONTH(K$8,0),LayTable[[Bookmaker]:[Bookmaker]],$A24)+SUMIFS(BetTable[[AR_per_bookie]:[AR_per_bookie]],BetTable[[B1]:[B1]],$A24,BetTable[[Date]:[Date]], "&gt;="&amp;K$8,BetTable[[Date]:[Date]],"&lt;="&amp;EOMONTH(K$8,0))+SUMIFS(BetTable[[AR_per_bookie]:[AR_per_bookie]],BetTable[[B2]:[B2]],$A24,BetTable[[Date]:[Date]], "&gt;="&amp;K$8,BetTable[[Date]:[Date]],"&lt;="&amp;EOMONTH(K$8,0))+SUMIFS(BetTable[[AR_per_bookie]:[AR_per_bookie]],BetTable[[B3]:[B3]],$A24,BetTable[[Date]:[Date]], "&gt;="&amp;K$8,BetTable[[Date]:[Date]],"&lt;="&amp;EOMONTH(K$8,0))</f>
        <v>0</v>
      </c>
      <c r="L24" s="126">
        <f>SUMIFS(DWbonus[[Sum]:[Sum]],DWbonus[[Dato]:[Dato]], "&gt;="&amp;L$8,DWbonus[[Dato]:[Dato]],"&lt;="&amp;EOMONTH(L$8,0),DWbonus[[Bookie]:[Bookie]],$A24)+SUMIFS(LayTable[[Faktisk res]:[Faktisk res]],LayTable[[Dato]:[Dato]],"&gt;="&amp;L$8,LayTable[[Dato]:[Dato]],"&lt;="&amp;EOMONTH(L$8,0),LayTable[[Bookmaker]:[Bookmaker]],$A24)+SUMIFS(BetTable[[AR_per_bookie]:[AR_per_bookie]],BetTable[[B1]:[B1]],$A24,BetTable[[Date]:[Date]], "&gt;="&amp;L$8,BetTable[[Date]:[Date]],"&lt;="&amp;EOMONTH(L$8,0))+SUMIFS(BetTable[[AR_per_bookie]:[AR_per_bookie]],BetTable[[B2]:[B2]],$A24,BetTable[[Date]:[Date]], "&gt;="&amp;L$8,BetTable[[Date]:[Date]],"&lt;="&amp;EOMONTH(L$8,0))+SUMIFS(BetTable[[AR_per_bookie]:[AR_per_bookie]],BetTable[[B3]:[B3]],$A24,BetTable[[Date]:[Date]], "&gt;="&amp;L$8,BetTable[[Date]:[Date]],"&lt;="&amp;EOMONTH(L$8,0))</f>
        <v>0</v>
      </c>
      <c r="M24" s="126">
        <f>SUMIFS(DWbonus[[Sum]:[Sum]],DWbonus[[Dato]:[Dato]], "&gt;="&amp;M$8,DWbonus[[Dato]:[Dato]],"&lt;="&amp;EOMONTH(M$8,0),DWbonus[[Bookie]:[Bookie]],$A24)+SUMIFS(LayTable[[Faktisk res]:[Faktisk res]],LayTable[[Dato]:[Dato]],"&gt;="&amp;M$8,LayTable[[Dato]:[Dato]],"&lt;="&amp;EOMONTH(M$8,0),LayTable[[Bookmaker]:[Bookmaker]],$A24)+SUMIFS(BetTable[[AR_per_bookie]:[AR_per_bookie]],BetTable[[B1]:[B1]],$A24,BetTable[[Date]:[Date]], "&gt;="&amp;M$8,BetTable[[Date]:[Date]],"&lt;="&amp;EOMONTH(M$8,0))+SUMIFS(BetTable[[AR_per_bookie]:[AR_per_bookie]],BetTable[[B2]:[B2]],$A24,BetTable[[Date]:[Date]], "&gt;="&amp;M$8,BetTable[[Date]:[Date]],"&lt;="&amp;EOMONTH(M$8,0))+SUMIFS(BetTable[[AR_per_bookie]:[AR_per_bookie]],BetTable[[B3]:[B3]],$A24,BetTable[[Date]:[Date]], "&gt;="&amp;M$8,BetTable[[Date]:[Date]],"&lt;="&amp;EOMONTH(M$8,0))</f>
        <v>0</v>
      </c>
      <c r="N24" s="126">
        <f>SUMIFS(DWbonus[[Sum]:[Sum]],DWbonus[[Dato]:[Dato]], "&gt;="&amp;N$8,DWbonus[[Dato]:[Dato]],"&lt;="&amp;EOMONTH(N$8,0),DWbonus[[Bookie]:[Bookie]],$A24)+SUMIFS(LayTable[[Faktisk res]:[Faktisk res]],LayTable[[Dato]:[Dato]],"&gt;="&amp;N$8,LayTable[[Dato]:[Dato]],"&lt;="&amp;EOMONTH(N$8,0),LayTable[[Bookmaker]:[Bookmaker]],$A24)+SUMIFS(BetTable[[AR_per_bookie]:[AR_per_bookie]],BetTable[[B1]:[B1]],$A24,BetTable[[Date]:[Date]], "&gt;="&amp;N$8,BetTable[[Date]:[Date]],"&lt;="&amp;EOMONTH(N$8,0))+SUMIFS(BetTable[[AR_per_bookie]:[AR_per_bookie]],BetTable[[B2]:[B2]],$A24,BetTable[[Date]:[Date]], "&gt;="&amp;N$8,BetTable[[Date]:[Date]],"&lt;="&amp;EOMONTH(N$8,0))+SUMIFS(BetTable[[AR_per_bookie]:[AR_per_bookie]],BetTable[[B3]:[B3]],$A24,BetTable[[Date]:[Date]], "&gt;="&amp;N$8,BetTable[[Date]:[Date]],"&lt;="&amp;EOMONTH(N$8,0))</f>
        <v>0</v>
      </c>
      <c r="O24" s="126">
        <f>SUMIFS(DWbonus[[Sum]:[Sum]],DWbonus[[Dato]:[Dato]], "&gt;="&amp;O$8,DWbonus[[Dato]:[Dato]],"&lt;="&amp;EOMONTH(O$8,0),DWbonus[[Bookie]:[Bookie]],$A24)+SUMIFS(LayTable[[Faktisk res]:[Faktisk res]],LayTable[[Dato]:[Dato]],"&gt;="&amp;O$8,LayTable[[Dato]:[Dato]],"&lt;="&amp;EOMONTH(O$8,0),LayTable[[Bookmaker]:[Bookmaker]],$A24)+SUMIFS(BetTable[[AR_per_bookie]:[AR_per_bookie]],BetTable[[B1]:[B1]],$A24,BetTable[[Date]:[Date]], "&gt;="&amp;O$8,BetTable[[Date]:[Date]],"&lt;="&amp;EOMONTH(O$8,0))+SUMIFS(BetTable[[AR_per_bookie]:[AR_per_bookie]],BetTable[[B2]:[B2]],$A24,BetTable[[Date]:[Date]], "&gt;="&amp;O$8,BetTable[[Date]:[Date]],"&lt;="&amp;EOMONTH(O$8,0))+SUMIFS(BetTable[[AR_per_bookie]:[AR_per_bookie]],BetTable[[B3]:[B3]],$A24,BetTable[[Date]:[Date]], "&gt;="&amp;O$8,BetTable[[Date]:[Date]],"&lt;="&amp;EOMONTH(O$8,0))</f>
        <v>0</v>
      </c>
      <c r="P24" s="126">
        <f>SUMIFS(DWbonus[[Sum]:[Sum]],DWbonus[[Dato]:[Dato]], "&gt;="&amp;P$8,DWbonus[[Dato]:[Dato]],"&lt;="&amp;EOMONTH(P$8,0),DWbonus[[Bookie]:[Bookie]],$A24)+SUMIFS(LayTable[[Faktisk res]:[Faktisk res]],LayTable[[Dato]:[Dato]],"&gt;="&amp;P$8,LayTable[[Dato]:[Dato]],"&lt;="&amp;EOMONTH(P$8,0),LayTable[[Bookmaker]:[Bookmaker]],$A24)+SUMIFS(BetTable[[AR_per_bookie]:[AR_per_bookie]],BetTable[[B1]:[B1]],$A24,BetTable[[Date]:[Date]], "&gt;="&amp;P$8,BetTable[[Date]:[Date]],"&lt;="&amp;EOMONTH(P$8,0))+SUMIFS(BetTable[[AR_per_bookie]:[AR_per_bookie]],BetTable[[B2]:[B2]],$A24,BetTable[[Date]:[Date]], "&gt;="&amp;P$8,BetTable[[Date]:[Date]],"&lt;="&amp;EOMONTH(P$8,0))+SUMIFS(BetTable[[AR_per_bookie]:[AR_per_bookie]],BetTable[[B3]:[B3]],$A24,BetTable[[Date]:[Date]], "&gt;="&amp;P$8,BetTable[[Date]:[Date]],"&lt;="&amp;EOMONTH(P$8,0))</f>
        <v>0</v>
      </c>
      <c r="Q24" s="126">
        <f>SUMIFS(DWbonus[[Sum]:[Sum]],DWbonus[[Dato]:[Dato]], "&gt;="&amp;Q$8,DWbonus[[Dato]:[Dato]],"&lt;="&amp;EOMONTH(Q$8,0),DWbonus[[Bookie]:[Bookie]],$A24)+SUMIFS(LayTable[[Faktisk res]:[Faktisk res]],LayTable[[Dato]:[Dato]],"&gt;="&amp;Q$8,LayTable[[Dato]:[Dato]],"&lt;="&amp;EOMONTH(Q$8,0),LayTable[[Bookmaker]:[Bookmaker]],$A24)+SUMIFS(BetTable[[AR_per_bookie]:[AR_per_bookie]],BetTable[[B1]:[B1]],$A24,BetTable[[Date]:[Date]], "&gt;="&amp;Q$8,BetTable[[Date]:[Date]],"&lt;="&amp;EOMONTH(Q$8,0))+SUMIFS(BetTable[[AR_per_bookie]:[AR_per_bookie]],BetTable[[B2]:[B2]],$A24,BetTable[[Date]:[Date]], "&gt;="&amp;Q$8,BetTable[[Date]:[Date]],"&lt;="&amp;EOMONTH(Q$8,0))+SUMIFS(BetTable[[AR_per_bookie]:[AR_per_bookie]],BetTable[[B3]:[B3]],$A24,BetTable[[Date]:[Date]], "&gt;="&amp;Q$8,BetTable[[Date]:[Date]],"&lt;="&amp;EOMONTH(Q$8,0))</f>
        <v>0</v>
      </c>
      <c r="R24" s="126">
        <f>SUMIFS(DWbonus[[Sum]:[Sum]],DWbonus[[Dato]:[Dato]], "&gt;="&amp;R$8,DWbonus[[Dato]:[Dato]],"&lt;="&amp;EOMONTH(R$8,0),DWbonus[[Bookie]:[Bookie]],$A24)+SUMIFS(LayTable[[Faktisk res]:[Faktisk res]],LayTable[[Dato]:[Dato]],"&gt;="&amp;R$8,LayTable[[Dato]:[Dato]],"&lt;="&amp;EOMONTH(R$8,0),LayTable[[Bookmaker]:[Bookmaker]],$A24)+SUMIFS(BetTable[[AR_per_bookie]:[AR_per_bookie]],BetTable[[B1]:[B1]],$A24,BetTable[[Date]:[Date]], "&gt;="&amp;R$8,BetTable[[Date]:[Date]],"&lt;="&amp;EOMONTH(R$8,0))+SUMIFS(BetTable[[AR_per_bookie]:[AR_per_bookie]],BetTable[[B2]:[B2]],$A24,BetTable[[Date]:[Date]], "&gt;="&amp;R$8,BetTable[[Date]:[Date]],"&lt;="&amp;EOMONTH(R$8,0))+SUMIFS(BetTable[[AR_per_bookie]:[AR_per_bookie]],BetTable[[B3]:[B3]],$A24,BetTable[[Date]:[Date]], "&gt;="&amp;R$8,BetTable[[Date]:[Date]],"&lt;="&amp;EOMONTH(R$8,0))</f>
        <v>0</v>
      </c>
      <c r="S24" s="126">
        <f>SUMIFS(DWbonus[[Sum]:[Sum]],DWbonus[[Dato]:[Dato]], "&gt;="&amp;S$8,DWbonus[[Dato]:[Dato]],"&lt;="&amp;EOMONTH(S$8,0),DWbonus[[Bookie]:[Bookie]],$A24)+SUMIFS(LayTable[[Faktisk res]:[Faktisk res]],LayTable[[Dato]:[Dato]],"&gt;="&amp;S$8,LayTable[[Dato]:[Dato]],"&lt;="&amp;EOMONTH(S$8,0),LayTable[[Bookmaker]:[Bookmaker]],$A24)+SUMIFS(BetTable[[AR_per_bookie]:[AR_per_bookie]],BetTable[[B1]:[B1]],$A24,BetTable[[Date]:[Date]], "&gt;="&amp;S$8,BetTable[[Date]:[Date]],"&lt;="&amp;EOMONTH(S$8,0))+SUMIFS(BetTable[[AR_per_bookie]:[AR_per_bookie]],BetTable[[B2]:[B2]],$A24,BetTable[[Date]:[Date]], "&gt;="&amp;S$8,BetTable[[Date]:[Date]],"&lt;="&amp;EOMONTH(S$8,0))+SUMIFS(BetTable[[AR_per_bookie]:[AR_per_bookie]],BetTable[[B3]:[B3]],$A24,BetTable[[Date]:[Date]], "&gt;="&amp;S$8,BetTable[[Date]:[Date]],"&lt;="&amp;EOMONTH(S$8,0))</f>
        <v>0</v>
      </c>
    </row>
    <row r="25" spans="1:19">
      <c r="A25" s="115" t="str">
        <f>BookieNavn!I17</f>
        <v>BetVictor</v>
      </c>
      <c r="B25" s="126">
        <f>SUMIF(Penger!D$1:D$50072,A25,Penger!F$1:F$50072)</f>
        <v>0</v>
      </c>
      <c r="C25" s="126">
        <f>SUMIF(Penger!T$1:T$50072,A25,Penger!U$1:U$50072)</f>
        <v>0</v>
      </c>
      <c r="D25" s="126">
        <f ca="1">SUMIF(Spill!C$1:C$499895,A25,Spill!T$1:T$49895)+C25</f>
        <v>0</v>
      </c>
      <c r="E25" s="126">
        <f>SUMIF(Spill!C$1:C$49895,A25,Spill!T$1:T$49895)</f>
        <v>0</v>
      </c>
      <c r="F25" s="121" t="e">
        <f t="shared" ca="1" si="1"/>
        <v>#DIV/0!</v>
      </c>
      <c r="H25" s="126">
        <f>SUMIFS(DWbonus[[Sum]:[Sum]],DWbonus[[Dato]:[Dato]], "&gt;="&amp;H$8,DWbonus[[Dato]:[Dato]],"&lt;="&amp;EOMONTH(H$8,0),DWbonus[[Bookie]:[Bookie]],$A25)+SUMIFS(LayTable[[Faktisk res]:[Faktisk res]],LayTable[[Dato]:[Dato]],"&gt;="&amp;H$8,LayTable[[Dato]:[Dato]],"&lt;="&amp;EOMONTH(H$8,0),LayTable[[Bookmaker]:[Bookmaker]],$A25)+SUMIFS(BetTable[[AR_per_bookie]:[AR_per_bookie]],BetTable[[B1]:[B1]],$A25,BetTable[[Date]:[Date]], "&gt;="&amp;H$8,BetTable[[Date]:[Date]],"&lt;="&amp;EOMONTH(H$8,0))+SUMIFS(BetTable[[AR_per_bookie]:[AR_per_bookie]],BetTable[[B2]:[B2]],$A25,BetTable[[Date]:[Date]], "&gt;="&amp;H$8,BetTable[[Date]:[Date]],"&lt;="&amp;EOMONTH(H$8,0))+SUMIFS(BetTable[[AR_per_bookie]:[AR_per_bookie]],BetTable[[B3]:[B3]],$A25,BetTable[[Date]:[Date]], "&gt;="&amp;H$8,BetTable[[Date]:[Date]],"&lt;="&amp;EOMONTH(H$8,0))</f>
        <v>0</v>
      </c>
      <c r="I25" s="126">
        <f>SUMIFS(DWbonus[[Sum]:[Sum]],DWbonus[[Dato]:[Dato]], "&gt;="&amp;I$8,DWbonus[[Dato]:[Dato]],"&lt;="&amp;EOMONTH(I$8,0),DWbonus[[Bookie]:[Bookie]],$A25)+SUMIFS(LayTable[[Faktisk res]:[Faktisk res]],LayTable[[Dato]:[Dato]],"&gt;="&amp;I$8,LayTable[[Dato]:[Dato]],"&lt;="&amp;EOMONTH(I$8,0),LayTable[[Bookmaker]:[Bookmaker]],$A25)+SUMIFS(BetTable[[AR_per_bookie]:[AR_per_bookie]],BetTable[[B1]:[B1]],$A25,BetTable[[Date]:[Date]], "&gt;="&amp;I$8,BetTable[[Date]:[Date]],"&lt;="&amp;EOMONTH(I$8,0))+SUMIFS(BetTable[[AR_per_bookie]:[AR_per_bookie]],BetTable[[B2]:[B2]],$A25,BetTable[[Date]:[Date]], "&gt;="&amp;I$8,BetTable[[Date]:[Date]],"&lt;="&amp;EOMONTH(I$8,0))+SUMIFS(BetTable[[AR_per_bookie]:[AR_per_bookie]],BetTable[[B3]:[B3]],$A25,BetTable[[Date]:[Date]], "&gt;="&amp;I$8,BetTable[[Date]:[Date]],"&lt;="&amp;EOMONTH(I$8,0))</f>
        <v>0</v>
      </c>
      <c r="J25" s="126">
        <f>SUMIFS(DWbonus[[Sum]:[Sum]],DWbonus[[Dato]:[Dato]], "&gt;="&amp;J$8,DWbonus[[Dato]:[Dato]],"&lt;="&amp;EOMONTH(J$8,0),DWbonus[[Bookie]:[Bookie]],$A25)+SUMIFS(LayTable[[Faktisk res]:[Faktisk res]],LayTable[[Dato]:[Dato]],"&gt;="&amp;J$8,LayTable[[Dato]:[Dato]],"&lt;="&amp;EOMONTH(J$8,0),LayTable[[Bookmaker]:[Bookmaker]],$A25)+SUMIFS(BetTable[[AR_per_bookie]:[AR_per_bookie]],BetTable[[B1]:[B1]],$A25,BetTable[[Date]:[Date]], "&gt;="&amp;J$8,BetTable[[Date]:[Date]],"&lt;="&amp;EOMONTH(J$8,0))+SUMIFS(BetTable[[AR_per_bookie]:[AR_per_bookie]],BetTable[[B2]:[B2]],$A25,BetTable[[Date]:[Date]], "&gt;="&amp;J$8,BetTable[[Date]:[Date]],"&lt;="&amp;EOMONTH(J$8,0))+SUMIFS(BetTable[[AR_per_bookie]:[AR_per_bookie]],BetTable[[B3]:[B3]],$A25,BetTable[[Date]:[Date]], "&gt;="&amp;J$8,BetTable[[Date]:[Date]],"&lt;="&amp;EOMONTH(J$8,0))</f>
        <v>0</v>
      </c>
      <c r="K25" s="126">
        <f>SUMIFS(DWbonus[[Sum]:[Sum]],DWbonus[[Dato]:[Dato]], "&gt;="&amp;K$8,DWbonus[[Dato]:[Dato]],"&lt;="&amp;EOMONTH(K$8,0),DWbonus[[Bookie]:[Bookie]],$A25)+SUMIFS(LayTable[[Faktisk res]:[Faktisk res]],LayTable[[Dato]:[Dato]],"&gt;="&amp;K$8,LayTable[[Dato]:[Dato]],"&lt;="&amp;EOMONTH(K$8,0),LayTable[[Bookmaker]:[Bookmaker]],$A25)+SUMIFS(BetTable[[AR_per_bookie]:[AR_per_bookie]],BetTable[[B1]:[B1]],$A25,BetTable[[Date]:[Date]], "&gt;="&amp;K$8,BetTable[[Date]:[Date]],"&lt;="&amp;EOMONTH(K$8,0))+SUMIFS(BetTable[[AR_per_bookie]:[AR_per_bookie]],BetTable[[B2]:[B2]],$A25,BetTable[[Date]:[Date]], "&gt;="&amp;K$8,BetTable[[Date]:[Date]],"&lt;="&amp;EOMONTH(K$8,0))+SUMIFS(BetTable[[AR_per_bookie]:[AR_per_bookie]],BetTable[[B3]:[B3]],$A25,BetTable[[Date]:[Date]], "&gt;="&amp;K$8,BetTable[[Date]:[Date]],"&lt;="&amp;EOMONTH(K$8,0))</f>
        <v>0</v>
      </c>
      <c r="L25" s="126">
        <f>SUMIFS(DWbonus[[Sum]:[Sum]],DWbonus[[Dato]:[Dato]], "&gt;="&amp;L$8,DWbonus[[Dato]:[Dato]],"&lt;="&amp;EOMONTH(L$8,0),DWbonus[[Bookie]:[Bookie]],$A25)+SUMIFS(LayTable[[Faktisk res]:[Faktisk res]],LayTable[[Dato]:[Dato]],"&gt;="&amp;L$8,LayTable[[Dato]:[Dato]],"&lt;="&amp;EOMONTH(L$8,0),LayTable[[Bookmaker]:[Bookmaker]],$A25)+SUMIFS(BetTable[[AR_per_bookie]:[AR_per_bookie]],BetTable[[B1]:[B1]],$A25,BetTable[[Date]:[Date]], "&gt;="&amp;L$8,BetTable[[Date]:[Date]],"&lt;="&amp;EOMONTH(L$8,0))+SUMIFS(BetTable[[AR_per_bookie]:[AR_per_bookie]],BetTable[[B2]:[B2]],$A25,BetTable[[Date]:[Date]], "&gt;="&amp;L$8,BetTable[[Date]:[Date]],"&lt;="&amp;EOMONTH(L$8,0))+SUMIFS(BetTable[[AR_per_bookie]:[AR_per_bookie]],BetTable[[B3]:[B3]],$A25,BetTable[[Date]:[Date]], "&gt;="&amp;L$8,BetTable[[Date]:[Date]],"&lt;="&amp;EOMONTH(L$8,0))</f>
        <v>0</v>
      </c>
      <c r="M25" s="126">
        <f>SUMIFS(DWbonus[[Sum]:[Sum]],DWbonus[[Dato]:[Dato]], "&gt;="&amp;M$8,DWbonus[[Dato]:[Dato]],"&lt;="&amp;EOMONTH(M$8,0),DWbonus[[Bookie]:[Bookie]],$A25)+SUMIFS(LayTable[[Faktisk res]:[Faktisk res]],LayTable[[Dato]:[Dato]],"&gt;="&amp;M$8,LayTable[[Dato]:[Dato]],"&lt;="&amp;EOMONTH(M$8,0),LayTable[[Bookmaker]:[Bookmaker]],$A25)+SUMIFS(BetTable[[AR_per_bookie]:[AR_per_bookie]],BetTable[[B1]:[B1]],$A25,BetTable[[Date]:[Date]], "&gt;="&amp;M$8,BetTable[[Date]:[Date]],"&lt;="&amp;EOMONTH(M$8,0))+SUMIFS(BetTable[[AR_per_bookie]:[AR_per_bookie]],BetTable[[B2]:[B2]],$A25,BetTable[[Date]:[Date]], "&gt;="&amp;M$8,BetTable[[Date]:[Date]],"&lt;="&amp;EOMONTH(M$8,0))+SUMIFS(BetTable[[AR_per_bookie]:[AR_per_bookie]],BetTable[[B3]:[B3]],$A25,BetTable[[Date]:[Date]], "&gt;="&amp;M$8,BetTable[[Date]:[Date]],"&lt;="&amp;EOMONTH(M$8,0))</f>
        <v>0</v>
      </c>
      <c r="N25" s="126">
        <f>SUMIFS(DWbonus[[Sum]:[Sum]],DWbonus[[Dato]:[Dato]], "&gt;="&amp;N$8,DWbonus[[Dato]:[Dato]],"&lt;="&amp;EOMONTH(N$8,0),DWbonus[[Bookie]:[Bookie]],$A25)+SUMIFS(LayTable[[Faktisk res]:[Faktisk res]],LayTable[[Dato]:[Dato]],"&gt;="&amp;N$8,LayTable[[Dato]:[Dato]],"&lt;="&amp;EOMONTH(N$8,0),LayTable[[Bookmaker]:[Bookmaker]],$A25)+SUMIFS(BetTable[[AR_per_bookie]:[AR_per_bookie]],BetTable[[B1]:[B1]],$A25,BetTable[[Date]:[Date]], "&gt;="&amp;N$8,BetTable[[Date]:[Date]],"&lt;="&amp;EOMONTH(N$8,0))+SUMIFS(BetTable[[AR_per_bookie]:[AR_per_bookie]],BetTable[[B2]:[B2]],$A25,BetTable[[Date]:[Date]], "&gt;="&amp;N$8,BetTable[[Date]:[Date]],"&lt;="&amp;EOMONTH(N$8,0))+SUMIFS(BetTable[[AR_per_bookie]:[AR_per_bookie]],BetTable[[B3]:[B3]],$A25,BetTable[[Date]:[Date]], "&gt;="&amp;N$8,BetTable[[Date]:[Date]],"&lt;="&amp;EOMONTH(N$8,0))</f>
        <v>0</v>
      </c>
      <c r="O25" s="126">
        <f>SUMIFS(DWbonus[[Sum]:[Sum]],DWbonus[[Dato]:[Dato]], "&gt;="&amp;O$8,DWbonus[[Dato]:[Dato]],"&lt;="&amp;EOMONTH(O$8,0),DWbonus[[Bookie]:[Bookie]],$A25)+SUMIFS(LayTable[[Faktisk res]:[Faktisk res]],LayTable[[Dato]:[Dato]],"&gt;="&amp;O$8,LayTable[[Dato]:[Dato]],"&lt;="&amp;EOMONTH(O$8,0),LayTable[[Bookmaker]:[Bookmaker]],$A25)+SUMIFS(BetTable[[AR_per_bookie]:[AR_per_bookie]],BetTable[[B1]:[B1]],$A25,BetTable[[Date]:[Date]], "&gt;="&amp;O$8,BetTable[[Date]:[Date]],"&lt;="&amp;EOMONTH(O$8,0))+SUMIFS(BetTable[[AR_per_bookie]:[AR_per_bookie]],BetTable[[B2]:[B2]],$A25,BetTable[[Date]:[Date]], "&gt;="&amp;O$8,BetTable[[Date]:[Date]],"&lt;="&amp;EOMONTH(O$8,0))+SUMIFS(BetTable[[AR_per_bookie]:[AR_per_bookie]],BetTable[[B3]:[B3]],$A25,BetTable[[Date]:[Date]], "&gt;="&amp;O$8,BetTable[[Date]:[Date]],"&lt;="&amp;EOMONTH(O$8,0))</f>
        <v>0</v>
      </c>
      <c r="P25" s="126">
        <f>SUMIFS(DWbonus[[Sum]:[Sum]],DWbonus[[Dato]:[Dato]], "&gt;="&amp;P$8,DWbonus[[Dato]:[Dato]],"&lt;="&amp;EOMONTH(P$8,0),DWbonus[[Bookie]:[Bookie]],$A25)+SUMIFS(LayTable[[Faktisk res]:[Faktisk res]],LayTable[[Dato]:[Dato]],"&gt;="&amp;P$8,LayTable[[Dato]:[Dato]],"&lt;="&amp;EOMONTH(P$8,0),LayTable[[Bookmaker]:[Bookmaker]],$A25)+SUMIFS(BetTable[[AR_per_bookie]:[AR_per_bookie]],BetTable[[B1]:[B1]],$A25,BetTable[[Date]:[Date]], "&gt;="&amp;P$8,BetTable[[Date]:[Date]],"&lt;="&amp;EOMONTH(P$8,0))+SUMIFS(BetTable[[AR_per_bookie]:[AR_per_bookie]],BetTable[[B2]:[B2]],$A25,BetTable[[Date]:[Date]], "&gt;="&amp;P$8,BetTable[[Date]:[Date]],"&lt;="&amp;EOMONTH(P$8,0))+SUMIFS(BetTable[[AR_per_bookie]:[AR_per_bookie]],BetTable[[B3]:[B3]],$A25,BetTable[[Date]:[Date]], "&gt;="&amp;P$8,BetTable[[Date]:[Date]],"&lt;="&amp;EOMONTH(P$8,0))</f>
        <v>0</v>
      </c>
      <c r="Q25" s="126">
        <f>SUMIFS(DWbonus[[Sum]:[Sum]],DWbonus[[Dato]:[Dato]], "&gt;="&amp;Q$8,DWbonus[[Dato]:[Dato]],"&lt;="&amp;EOMONTH(Q$8,0),DWbonus[[Bookie]:[Bookie]],$A25)+SUMIFS(LayTable[[Faktisk res]:[Faktisk res]],LayTable[[Dato]:[Dato]],"&gt;="&amp;Q$8,LayTable[[Dato]:[Dato]],"&lt;="&amp;EOMONTH(Q$8,0),LayTable[[Bookmaker]:[Bookmaker]],$A25)+SUMIFS(BetTable[[AR_per_bookie]:[AR_per_bookie]],BetTable[[B1]:[B1]],$A25,BetTable[[Date]:[Date]], "&gt;="&amp;Q$8,BetTable[[Date]:[Date]],"&lt;="&amp;EOMONTH(Q$8,0))+SUMIFS(BetTable[[AR_per_bookie]:[AR_per_bookie]],BetTable[[B2]:[B2]],$A25,BetTable[[Date]:[Date]], "&gt;="&amp;Q$8,BetTable[[Date]:[Date]],"&lt;="&amp;EOMONTH(Q$8,0))+SUMIFS(BetTable[[AR_per_bookie]:[AR_per_bookie]],BetTable[[B3]:[B3]],$A25,BetTable[[Date]:[Date]], "&gt;="&amp;Q$8,BetTable[[Date]:[Date]],"&lt;="&amp;EOMONTH(Q$8,0))</f>
        <v>0</v>
      </c>
      <c r="R25" s="126">
        <f>SUMIFS(DWbonus[[Sum]:[Sum]],DWbonus[[Dato]:[Dato]], "&gt;="&amp;R$8,DWbonus[[Dato]:[Dato]],"&lt;="&amp;EOMONTH(R$8,0),DWbonus[[Bookie]:[Bookie]],$A25)+SUMIFS(LayTable[[Faktisk res]:[Faktisk res]],LayTable[[Dato]:[Dato]],"&gt;="&amp;R$8,LayTable[[Dato]:[Dato]],"&lt;="&amp;EOMONTH(R$8,0),LayTable[[Bookmaker]:[Bookmaker]],$A25)+SUMIFS(BetTable[[AR_per_bookie]:[AR_per_bookie]],BetTable[[B1]:[B1]],$A25,BetTable[[Date]:[Date]], "&gt;="&amp;R$8,BetTable[[Date]:[Date]],"&lt;="&amp;EOMONTH(R$8,0))+SUMIFS(BetTable[[AR_per_bookie]:[AR_per_bookie]],BetTable[[B2]:[B2]],$A25,BetTable[[Date]:[Date]], "&gt;="&amp;R$8,BetTable[[Date]:[Date]],"&lt;="&amp;EOMONTH(R$8,0))+SUMIFS(BetTable[[AR_per_bookie]:[AR_per_bookie]],BetTable[[B3]:[B3]],$A25,BetTable[[Date]:[Date]], "&gt;="&amp;R$8,BetTable[[Date]:[Date]],"&lt;="&amp;EOMONTH(R$8,0))</f>
        <v>0</v>
      </c>
      <c r="S25" s="126">
        <f>SUMIFS(DWbonus[[Sum]:[Sum]],DWbonus[[Dato]:[Dato]], "&gt;="&amp;S$8,DWbonus[[Dato]:[Dato]],"&lt;="&amp;EOMONTH(S$8,0),DWbonus[[Bookie]:[Bookie]],$A25)+SUMIFS(LayTable[[Faktisk res]:[Faktisk res]],LayTable[[Dato]:[Dato]],"&gt;="&amp;S$8,LayTable[[Dato]:[Dato]],"&lt;="&amp;EOMONTH(S$8,0),LayTable[[Bookmaker]:[Bookmaker]],$A25)+SUMIFS(BetTable[[AR_per_bookie]:[AR_per_bookie]],BetTable[[B1]:[B1]],$A25,BetTable[[Date]:[Date]], "&gt;="&amp;S$8,BetTable[[Date]:[Date]],"&lt;="&amp;EOMONTH(S$8,0))+SUMIFS(BetTable[[AR_per_bookie]:[AR_per_bookie]],BetTable[[B2]:[B2]],$A25,BetTable[[Date]:[Date]], "&gt;="&amp;S$8,BetTable[[Date]:[Date]],"&lt;="&amp;EOMONTH(S$8,0))+SUMIFS(BetTable[[AR_per_bookie]:[AR_per_bookie]],BetTable[[B3]:[B3]],$A25,BetTable[[Date]:[Date]], "&gt;="&amp;S$8,BetTable[[Date]:[Date]],"&lt;="&amp;EOMONTH(S$8,0))</f>
        <v>0</v>
      </c>
    </row>
    <row r="26" spans="1:19">
      <c r="A26" s="115" t="str">
        <f>BookieNavn!I18</f>
        <v>BetWay</v>
      </c>
      <c r="B26" s="126">
        <f>SUMIF(Penger!D$1:D$50072,A26,Penger!F$1:F$50072)</f>
        <v>0</v>
      </c>
      <c r="C26" s="126">
        <f>SUMIF(Penger!T$1:T$50072,A26,Penger!U$1:U$50072)</f>
        <v>0</v>
      </c>
      <c r="D26" s="126">
        <f ca="1">SUMIF(Spill!C$1:C$499895,A26,Spill!T$1:T$49895)+C26</f>
        <v>0</v>
      </c>
      <c r="E26" s="126">
        <f>SUMIF(Spill!C$1:C$49895,A26,Spill!T$1:T$49895)</f>
        <v>0</v>
      </c>
      <c r="F26" s="121" t="e">
        <f t="shared" ca="1" si="1"/>
        <v>#DIV/0!</v>
      </c>
      <c r="H26" s="126">
        <f>SUMIFS(DWbonus[[Sum]:[Sum]],DWbonus[[Dato]:[Dato]], "&gt;="&amp;H$8,DWbonus[[Dato]:[Dato]],"&lt;="&amp;EOMONTH(H$8,0),DWbonus[[Bookie]:[Bookie]],$A26)+SUMIFS(LayTable[[Faktisk res]:[Faktisk res]],LayTable[[Dato]:[Dato]],"&gt;="&amp;H$8,LayTable[[Dato]:[Dato]],"&lt;="&amp;EOMONTH(H$8,0),LayTable[[Bookmaker]:[Bookmaker]],$A26)+SUMIFS(BetTable[[AR_per_bookie]:[AR_per_bookie]],BetTable[[B1]:[B1]],$A26,BetTable[[Date]:[Date]], "&gt;="&amp;H$8,BetTable[[Date]:[Date]],"&lt;="&amp;EOMONTH(H$8,0))+SUMIFS(BetTable[[AR_per_bookie]:[AR_per_bookie]],BetTable[[B2]:[B2]],$A26,BetTable[[Date]:[Date]], "&gt;="&amp;H$8,BetTable[[Date]:[Date]],"&lt;="&amp;EOMONTH(H$8,0))+SUMIFS(BetTable[[AR_per_bookie]:[AR_per_bookie]],BetTable[[B3]:[B3]],$A26,BetTable[[Date]:[Date]], "&gt;="&amp;H$8,BetTable[[Date]:[Date]],"&lt;="&amp;EOMONTH(H$8,0))</f>
        <v>0</v>
      </c>
      <c r="I26" s="126">
        <f>SUMIFS(DWbonus[[Sum]:[Sum]],DWbonus[[Dato]:[Dato]], "&gt;="&amp;I$8,DWbonus[[Dato]:[Dato]],"&lt;="&amp;EOMONTH(I$8,0),DWbonus[[Bookie]:[Bookie]],$A26)+SUMIFS(LayTable[[Faktisk res]:[Faktisk res]],LayTable[[Dato]:[Dato]],"&gt;="&amp;I$8,LayTable[[Dato]:[Dato]],"&lt;="&amp;EOMONTH(I$8,0),LayTable[[Bookmaker]:[Bookmaker]],$A26)+SUMIFS(BetTable[[AR_per_bookie]:[AR_per_bookie]],BetTable[[B1]:[B1]],$A26,BetTable[[Date]:[Date]], "&gt;="&amp;I$8,BetTable[[Date]:[Date]],"&lt;="&amp;EOMONTH(I$8,0))+SUMIFS(BetTable[[AR_per_bookie]:[AR_per_bookie]],BetTable[[B2]:[B2]],$A26,BetTable[[Date]:[Date]], "&gt;="&amp;I$8,BetTable[[Date]:[Date]],"&lt;="&amp;EOMONTH(I$8,0))+SUMIFS(BetTable[[AR_per_bookie]:[AR_per_bookie]],BetTable[[B3]:[B3]],$A26,BetTable[[Date]:[Date]], "&gt;="&amp;I$8,BetTable[[Date]:[Date]],"&lt;="&amp;EOMONTH(I$8,0))</f>
        <v>0</v>
      </c>
      <c r="J26" s="126">
        <f>SUMIFS(DWbonus[[Sum]:[Sum]],DWbonus[[Dato]:[Dato]], "&gt;="&amp;J$8,DWbonus[[Dato]:[Dato]],"&lt;="&amp;EOMONTH(J$8,0),DWbonus[[Bookie]:[Bookie]],$A26)+SUMIFS(LayTable[[Faktisk res]:[Faktisk res]],LayTable[[Dato]:[Dato]],"&gt;="&amp;J$8,LayTable[[Dato]:[Dato]],"&lt;="&amp;EOMONTH(J$8,0),LayTable[[Bookmaker]:[Bookmaker]],$A26)+SUMIFS(BetTable[[AR_per_bookie]:[AR_per_bookie]],BetTable[[B1]:[B1]],$A26,BetTable[[Date]:[Date]], "&gt;="&amp;J$8,BetTable[[Date]:[Date]],"&lt;="&amp;EOMONTH(J$8,0))+SUMIFS(BetTable[[AR_per_bookie]:[AR_per_bookie]],BetTable[[B2]:[B2]],$A26,BetTable[[Date]:[Date]], "&gt;="&amp;J$8,BetTable[[Date]:[Date]],"&lt;="&amp;EOMONTH(J$8,0))+SUMIFS(BetTable[[AR_per_bookie]:[AR_per_bookie]],BetTable[[B3]:[B3]],$A26,BetTable[[Date]:[Date]], "&gt;="&amp;J$8,BetTable[[Date]:[Date]],"&lt;="&amp;EOMONTH(J$8,0))</f>
        <v>0</v>
      </c>
      <c r="K26" s="126">
        <f>SUMIFS(DWbonus[[Sum]:[Sum]],DWbonus[[Dato]:[Dato]], "&gt;="&amp;K$8,DWbonus[[Dato]:[Dato]],"&lt;="&amp;EOMONTH(K$8,0),DWbonus[[Bookie]:[Bookie]],$A26)+SUMIFS(LayTable[[Faktisk res]:[Faktisk res]],LayTable[[Dato]:[Dato]],"&gt;="&amp;K$8,LayTable[[Dato]:[Dato]],"&lt;="&amp;EOMONTH(K$8,0),LayTable[[Bookmaker]:[Bookmaker]],$A26)+SUMIFS(BetTable[[AR_per_bookie]:[AR_per_bookie]],BetTable[[B1]:[B1]],$A26,BetTable[[Date]:[Date]], "&gt;="&amp;K$8,BetTable[[Date]:[Date]],"&lt;="&amp;EOMONTH(K$8,0))+SUMIFS(BetTable[[AR_per_bookie]:[AR_per_bookie]],BetTable[[B2]:[B2]],$A26,BetTable[[Date]:[Date]], "&gt;="&amp;K$8,BetTable[[Date]:[Date]],"&lt;="&amp;EOMONTH(K$8,0))+SUMIFS(BetTable[[AR_per_bookie]:[AR_per_bookie]],BetTable[[B3]:[B3]],$A26,BetTable[[Date]:[Date]], "&gt;="&amp;K$8,BetTable[[Date]:[Date]],"&lt;="&amp;EOMONTH(K$8,0))</f>
        <v>0</v>
      </c>
      <c r="L26" s="126">
        <f>SUMIFS(DWbonus[[Sum]:[Sum]],DWbonus[[Dato]:[Dato]], "&gt;="&amp;L$8,DWbonus[[Dato]:[Dato]],"&lt;="&amp;EOMONTH(L$8,0),DWbonus[[Bookie]:[Bookie]],$A26)+SUMIFS(LayTable[[Faktisk res]:[Faktisk res]],LayTable[[Dato]:[Dato]],"&gt;="&amp;L$8,LayTable[[Dato]:[Dato]],"&lt;="&amp;EOMONTH(L$8,0),LayTable[[Bookmaker]:[Bookmaker]],$A26)+SUMIFS(BetTable[[AR_per_bookie]:[AR_per_bookie]],BetTable[[B1]:[B1]],$A26,BetTable[[Date]:[Date]], "&gt;="&amp;L$8,BetTable[[Date]:[Date]],"&lt;="&amp;EOMONTH(L$8,0))+SUMIFS(BetTable[[AR_per_bookie]:[AR_per_bookie]],BetTable[[B2]:[B2]],$A26,BetTable[[Date]:[Date]], "&gt;="&amp;L$8,BetTable[[Date]:[Date]],"&lt;="&amp;EOMONTH(L$8,0))+SUMIFS(BetTable[[AR_per_bookie]:[AR_per_bookie]],BetTable[[B3]:[B3]],$A26,BetTable[[Date]:[Date]], "&gt;="&amp;L$8,BetTable[[Date]:[Date]],"&lt;="&amp;EOMONTH(L$8,0))</f>
        <v>0</v>
      </c>
      <c r="M26" s="126">
        <f>SUMIFS(DWbonus[[Sum]:[Sum]],DWbonus[[Dato]:[Dato]], "&gt;="&amp;M$8,DWbonus[[Dato]:[Dato]],"&lt;="&amp;EOMONTH(M$8,0),DWbonus[[Bookie]:[Bookie]],$A26)+SUMIFS(LayTable[[Faktisk res]:[Faktisk res]],LayTable[[Dato]:[Dato]],"&gt;="&amp;M$8,LayTable[[Dato]:[Dato]],"&lt;="&amp;EOMONTH(M$8,0),LayTable[[Bookmaker]:[Bookmaker]],$A26)+SUMIFS(BetTable[[AR_per_bookie]:[AR_per_bookie]],BetTable[[B1]:[B1]],$A26,BetTable[[Date]:[Date]], "&gt;="&amp;M$8,BetTable[[Date]:[Date]],"&lt;="&amp;EOMONTH(M$8,0))+SUMIFS(BetTable[[AR_per_bookie]:[AR_per_bookie]],BetTable[[B2]:[B2]],$A26,BetTable[[Date]:[Date]], "&gt;="&amp;M$8,BetTable[[Date]:[Date]],"&lt;="&amp;EOMONTH(M$8,0))+SUMIFS(BetTable[[AR_per_bookie]:[AR_per_bookie]],BetTable[[B3]:[B3]],$A26,BetTable[[Date]:[Date]], "&gt;="&amp;M$8,BetTable[[Date]:[Date]],"&lt;="&amp;EOMONTH(M$8,0))</f>
        <v>0</v>
      </c>
      <c r="N26" s="126">
        <f>SUMIFS(DWbonus[[Sum]:[Sum]],DWbonus[[Dato]:[Dato]], "&gt;="&amp;N$8,DWbonus[[Dato]:[Dato]],"&lt;="&amp;EOMONTH(N$8,0),DWbonus[[Bookie]:[Bookie]],$A26)+SUMIFS(LayTable[[Faktisk res]:[Faktisk res]],LayTable[[Dato]:[Dato]],"&gt;="&amp;N$8,LayTable[[Dato]:[Dato]],"&lt;="&amp;EOMONTH(N$8,0),LayTable[[Bookmaker]:[Bookmaker]],$A26)+SUMIFS(BetTable[[AR_per_bookie]:[AR_per_bookie]],BetTable[[B1]:[B1]],$A26,BetTable[[Date]:[Date]], "&gt;="&amp;N$8,BetTable[[Date]:[Date]],"&lt;="&amp;EOMONTH(N$8,0))+SUMIFS(BetTable[[AR_per_bookie]:[AR_per_bookie]],BetTable[[B2]:[B2]],$A26,BetTable[[Date]:[Date]], "&gt;="&amp;N$8,BetTable[[Date]:[Date]],"&lt;="&amp;EOMONTH(N$8,0))+SUMIFS(BetTable[[AR_per_bookie]:[AR_per_bookie]],BetTable[[B3]:[B3]],$A26,BetTable[[Date]:[Date]], "&gt;="&amp;N$8,BetTable[[Date]:[Date]],"&lt;="&amp;EOMONTH(N$8,0))</f>
        <v>0</v>
      </c>
      <c r="O26" s="126">
        <f>SUMIFS(DWbonus[[Sum]:[Sum]],DWbonus[[Dato]:[Dato]], "&gt;="&amp;O$8,DWbonus[[Dato]:[Dato]],"&lt;="&amp;EOMONTH(O$8,0),DWbonus[[Bookie]:[Bookie]],$A26)+SUMIFS(LayTable[[Faktisk res]:[Faktisk res]],LayTable[[Dato]:[Dato]],"&gt;="&amp;O$8,LayTable[[Dato]:[Dato]],"&lt;="&amp;EOMONTH(O$8,0),LayTable[[Bookmaker]:[Bookmaker]],$A26)+SUMIFS(BetTable[[AR_per_bookie]:[AR_per_bookie]],BetTable[[B1]:[B1]],$A26,BetTable[[Date]:[Date]], "&gt;="&amp;O$8,BetTable[[Date]:[Date]],"&lt;="&amp;EOMONTH(O$8,0))+SUMIFS(BetTable[[AR_per_bookie]:[AR_per_bookie]],BetTable[[B2]:[B2]],$A26,BetTable[[Date]:[Date]], "&gt;="&amp;O$8,BetTable[[Date]:[Date]],"&lt;="&amp;EOMONTH(O$8,0))+SUMIFS(BetTable[[AR_per_bookie]:[AR_per_bookie]],BetTable[[B3]:[B3]],$A26,BetTable[[Date]:[Date]], "&gt;="&amp;O$8,BetTable[[Date]:[Date]],"&lt;="&amp;EOMONTH(O$8,0))</f>
        <v>0</v>
      </c>
      <c r="P26" s="126">
        <f>SUMIFS(DWbonus[[Sum]:[Sum]],DWbonus[[Dato]:[Dato]], "&gt;="&amp;P$8,DWbonus[[Dato]:[Dato]],"&lt;="&amp;EOMONTH(P$8,0),DWbonus[[Bookie]:[Bookie]],$A26)+SUMIFS(LayTable[[Faktisk res]:[Faktisk res]],LayTable[[Dato]:[Dato]],"&gt;="&amp;P$8,LayTable[[Dato]:[Dato]],"&lt;="&amp;EOMONTH(P$8,0),LayTable[[Bookmaker]:[Bookmaker]],$A26)+SUMIFS(BetTable[[AR_per_bookie]:[AR_per_bookie]],BetTable[[B1]:[B1]],$A26,BetTable[[Date]:[Date]], "&gt;="&amp;P$8,BetTable[[Date]:[Date]],"&lt;="&amp;EOMONTH(P$8,0))+SUMIFS(BetTable[[AR_per_bookie]:[AR_per_bookie]],BetTable[[B2]:[B2]],$A26,BetTable[[Date]:[Date]], "&gt;="&amp;P$8,BetTable[[Date]:[Date]],"&lt;="&amp;EOMONTH(P$8,0))+SUMIFS(BetTable[[AR_per_bookie]:[AR_per_bookie]],BetTable[[B3]:[B3]],$A26,BetTable[[Date]:[Date]], "&gt;="&amp;P$8,BetTable[[Date]:[Date]],"&lt;="&amp;EOMONTH(P$8,0))</f>
        <v>0</v>
      </c>
      <c r="Q26" s="126">
        <f>SUMIFS(DWbonus[[Sum]:[Sum]],DWbonus[[Dato]:[Dato]], "&gt;="&amp;Q$8,DWbonus[[Dato]:[Dato]],"&lt;="&amp;EOMONTH(Q$8,0),DWbonus[[Bookie]:[Bookie]],$A26)+SUMIFS(LayTable[[Faktisk res]:[Faktisk res]],LayTable[[Dato]:[Dato]],"&gt;="&amp;Q$8,LayTable[[Dato]:[Dato]],"&lt;="&amp;EOMONTH(Q$8,0),LayTable[[Bookmaker]:[Bookmaker]],$A26)+SUMIFS(BetTable[[AR_per_bookie]:[AR_per_bookie]],BetTable[[B1]:[B1]],$A26,BetTable[[Date]:[Date]], "&gt;="&amp;Q$8,BetTable[[Date]:[Date]],"&lt;="&amp;EOMONTH(Q$8,0))+SUMIFS(BetTable[[AR_per_bookie]:[AR_per_bookie]],BetTable[[B2]:[B2]],$A26,BetTable[[Date]:[Date]], "&gt;="&amp;Q$8,BetTable[[Date]:[Date]],"&lt;="&amp;EOMONTH(Q$8,0))+SUMIFS(BetTable[[AR_per_bookie]:[AR_per_bookie]],BetTable[[B3]:[B3]],$A26,BetTable[[Date]:[Date]], "&gt;="&amp;Q$8,BetTable[[Date]:[Date]],"&lt;="&amp;EOMONTH(Q$8,0))</f>
        <v>0</v>
      </c>
      <c r="R26" s="126">
        <f>SUMIFS(DWbonus[[Sum]:[Sum]],DWbonus[[Dato]:[Dato]], "&gt;="&amp;R$8,DWbonus[[Dato]:[Dato]],"&lt;="&amp;EOMONTH(R$8,0),DWbonus[[Bookie]:[Bookie]],$A26)+SUMIFS(LayTable[[Faktisk res]:[Faktisk res]],LayTable[[Dato]:[Dato]],"&gt;="&amp;R$8,LayTable[[Dato]:[Dato]],"&lt;="&amp;EOMONTH(R$8,0),LayTable[[Bookmaker]:[Bookmaker]],$A26)+SUMIFS(BetTable[[AR_per_bookie]:[AR_per_bookie]],BetTable[[B1]:[B1]],$A26,BetTable[[Date]:[Date]], "&gt;="&amp;R$8,BetTable[[Date]:[Date]],"&lt;="&amp;EOMONTH(R$8,0))+SUMIFS(BetTable[[AR_per_bookie]:[AR_per_bookie]],BetTable[[B2]:[B2]],$A26,BetTable[[Date]:[Date]], "&gt;="&amp;R$8,BetTable[[Date]:[Date]],"&lt;="&amp;EOMONTH(R$8,0))+SUMIFS(BetTable[[AR_per_bookie]:[AR_per_bookie]],BetTable[[B3]:[B3]],$A26,BetTable[[Date]:[Date]], "&gt;="&amp;R$8,BetTable[[Date]:[Date]],"&lt;="&amp;EOMONTH(R$8,0))</f>
        <v>0</v>
      </c>
      <c r="S26" s="126">
        <f>SUMIFS(DWbonus[[Sum]:[Sum]],DWbonus[[Dato]:[Dato]], "&gt;="&amp;S$8,DWbonus[[Dato]:[Dato]],"&lt;="&amp;EOMONTH(S$8,0),DWbonus[[Bookie]:[Bookie]],$A26)+SUMIFS(LayTable[[Faktisk res]:[Faktisk res]],LayTable[[Dato]:[Dato]],"&gt;="&amp;S$8,LayTable[[Dato]:[Dato]],"&lt;="&amp;EOMONTH(S$8,0),LayTable[[Bookmaker]:[Bookmaker]],$A26)+SUMIFS(BetTable[[AR_per_bookie]:[AR_per_bookie]],BetTable[[B1]:[B1]],$A26,BetTable[[Date]:[Date]], "&gt;="&amp;S$8,BetTable[[Date]:[Date]],"&lt;="&amp;EOMONTH(S$8,0))+SUMIFS(BetTable[[AR_per_bookie]:[AR_per_bookie]],BetTable[[B2]:[B2]],$A26,BetTable[[Date]:[Date]], "&gt;="&amp;S$8,BetTable[[Date]:[Date]],"&lt;="&amp;EOMONTH(S$8,0))+SUMIFS(BetTable[[AR_per_bookie]:[AR_per_bookie]],BetTable[[B3]:[B3]],$A26,BetTable[[Date]:[Date]], "&gt;="&amp;S$8,BetTable[[Date]:[Date]],"&lt;="&amp;EOMONTH(S$8,0))</f>
        <v>0</v>
      </c>
    </row>
    <row r="27" spans="1:19">
      <c r="A27" s="115" t="str">
        <f>BookieNavn!I19</f>
        <v>Casinostugan</v>
      </c>
      <c r="B27" s="126">
        <f>SUMIF(Penger!D$1:D$50072,A27,Penger!F$1:F$50072)</f>
        <v>0</v>
      </c>
      <c r="C27" s="126">
        <f>SUMIF(Penger!T$1:T$50072,A27,Penger!U$1:U$50072)</f>
        <v>0</v>
      </c>
      <c r="D27" s="126">
        <f ca="1">SUMIF(Spill!C$1:C$499895,A27,Spill!T$1:T$49895)+C27</f>
        <v>0</v>
      </c>
      <c r="E27" s="126">
        <f>SUMIF(Spill!C$1:C$49895,A27,Spill!T$1:T$49895)</f>
        <v>0</v>
      </c>
      <c r="F27" s="121" t="e">
        <f t="shared" ca="1" si="1"/>
        <v>#DIV/0!</v>
      </c>
      <c r="H27" s="126">
        <f>SUMIFS(DWbonus[[Sum]:[Sum]],DWbonus[[Dato]:[Dato]], "&gt;="&amp;H$8,DWbonus[[Dato]:[Dato]],"&lt;="&amp;EOMONTH(H$8,0),DWbonus[[Bookie]:[Bookie]],$A27)+SUMIFS(LayTable[[Faktisk res]:[Faktisk res]],LayTable[[Dato]:[Dato]],"&gt;="&amp;H$8,LayTable[[Dato]:[Dato]],"&lt;="&amp;EOMONTH(H$8,0),LayTable[[Bookmaker]:[Bookmaker]],$A27)+SUMIFS(BetTable[[AR_per_bookie]:[AR_per_bookie]],BetTable[[B1]:[B1]],$A27,BetTable[[Date]:[Date]], "&gt;="&amp;H$8,BetTable[[Date]:[Date]],"&lt;="&amp;EOMONTH(H$8,0))+SUMIFS(BetTable[[AR_per_bookie]:[AR_per_bookie]],BetTable[[B2]:[B2]],$A27,BetTable[[Date]:[Date]], "&gt;="&amp;H$8,BetTable[[Date]:[Date]],"&lt;="&amp;EOMONTH(H$8,0))+SUMIFS(BetTable[[AR_per_bookie]:[AR_per_bookie]],BetTable[[B3]:[B3]],$A27,BetTable[[Date]:[Date]], "&gt;="&amp;H$8,BetTable[[Date]:[Date]],"&lt;="&amp;EOMONTH(H$8,0))</f>
        <v>0</v>
      </c>
      <c r="I27" s="126">
        <f>SUMIFS(DWbonus[[Sum]:[Sum]],DWbonus[[Dato]:[Dato]], "&gt;="&amp;I$8,DWbonus[[Dato]:[Dato]],"&lt;="&amp;EOMONTH(I$8,0),DWbonus[[Bookie]:[Bookie]],$A27)+SUMIFS(LayTable[[Faktisk res]:[Faktisk res]],LayTable[[Dato]:[Dato]],"&gt;="&amp;I$8,LayTable[[Dato]:[Dato]],"&lt;="&amp;EOMONTH(I$8,0),LayTable[[Bookmaker]:[Bookmaker]],$A27)+SUMIFS(BetTable[[AR_per_bookie]:[AR_per_bookie]],BetTable[[B1]:[B1]],$A27,BetTable[[Date]:[Date]], "&gt;="&amp;I$8,BetTable[[Date]:[Date]],"&lt;="&amp;EOMONTH(I$8,0))+SUMIFS(BetTable[[AR_per_bookie]:[AR_per_bookie]],BetTable[[B2]:[B2]],$A27,BetTable[[Date]:[Date]], "&gt;="&amp;I$8,BetTable[[Date]:[Date]],"&lt;="&amp;EOMONTH(I$8,0))+SUMIFS(BetTable[[AR_per_bookie]:[AR_per_bookie]],BetTable[[B3]:[B3]],$A27,BetTable[[Date]:[Date]], "&gt;="&amp;I$8,BetTable[[Date]:[Date]],"&lt;="&amp;EOMONTH(I$8,0))</f>
        <v>0</v>
      </c>
      <c r="J27" s="126">
        <f>SUMIFS(DWbonus[[Sum]:[Sum]],DWbonus[[Dato]:[Dato]], "&gt;="&amp;J$8,DWbonus[[Dato]:[Dato]],"&lt;="&amp;EOMONTH(J$8,0),DWbonus[[Bookie]:[Bookie]],$A27)+SUMIFS(LayTable[[Faktisk res]:[Faktisk res]],LayTable[[Dato]:[Dato]],"&gt;="&amp;J$8,LayTable[[Dato]:[Dato]],"&lt;="&amp;EOMONTH(J$8,0),LayTable[[Bookmaker]:[Bookmaker]],$A27)+SUMIFS(BetTable[[AR_per_bookie]:[AR_per_bookie]],BetTable[[B1]:[B1]],$A27,BetTable[[Date]:[Date]], "&gt;="&amp;J$8,BetTable[[Date]:[Date]],"&lt;="&amp;EOMONTH(J$8,0))+SUMIFS(BetTable[[AR_per_bookie]:[AR_per_bookie]],BetTable[[B2]:[B2]],$A27,BetTable[[Date]:[Date]], "&gt;="&amp;J$8,BetTable[[Date]:[Date]],"&lt;="&amp;EOMONTH(J$8,0))+SUMIFS(BetTable[[AR_per_bookie]:[AR_per_bookie]],BetTable[[B3]:[B3]],$A27,BetTable[[Date]:[Date]], "&gt;="&amp;J$8,BetTable[[Date]:[Date]],"&lt;="&amp;EOMONTH(J$8,0))</f>
        <v>0</v>
      </c>
      <c r="K27" s="126">
        <f>SUMIFS(DWbonus[[Sum]:[Sum]],DWbonus[[Dato]:[Dato]], "&gt;="&amp;K$8,DWbonus[[Dato]:[Dato]],"&lt;="&amp;EOMONTH(K$8,0),DWbonus[[Bookie]:[Bookie]],$A27)+SUMIFS(LayTable[[Faktisk res]:[Faktisk res]],LayTable[[Dato]:[Dato]],"&gt;="&amp;K$8,LayTable[[Dato]:[Dato]],"&lt;="&amp;EOMONTH(K$8,0),LayTable[[Bookmaker]:[Bookmaker]],$A27)+SUMIFS(BetTable[[AR_per_bookie]:[AR_per_bookie]],BetTable[[B1]:[B1]],$A27,BetTable[[Date]:[Date]], "&gt;="&amp;K$8,BetTable[[Date]:[Date]],"&lt;="&amp;EOMONTH(K$8,0))+SUMIFS(BetTable[[AR_per_bookie]:[AR_per_bookie]],BetTable[[B2]:[B2]],$A27,BetTable[[Date]:[Date]], "&gt;="&amp;K$8,BetTable[[Date]:[Date]],"&lt;="&amp;EOMONTH(K$8,0))+SUMIFS(BetTable[[AR_per_bookie]:[AR_per_bookie]],BetTable[[B3]:[B3]],$A27,BetTable[[Date]:[Date]], "&gt;="&amp;K$8,BetTable[[Date]:[Date]],"&lt;="&amp;EOMONTH(K$8,0))</f>
        <v>0</v>
      </c>
      <c r="L27" s="126">
        <f>SUMIFS(DWbonus[[Sum]:[Sum]],DWbonus[[Dato]:[Dato]], "&gt;="&amp;L$8,DWbonus[[Dato]:[Dato]],"&lt;="&amp;EOMONTH(L$8,0),DWbonus[[Bookie]:[Bookie]],$A27)+SUMIFS(LayTable[[Faktisk res]:[Faktisk res]],LayTable[[Dato]:[Dato]],"&gt;="&amp;L$8,LayTable[[Dato]:[Dato]],"&lt;="&amp;EOMONTH(L$8,0),LayTable[[Bookmaker]:[Bookmaker]],$A27)+SUMIFS(BetTable[[AR_per_bookie]:[AR_per_bookie]],BetTable[[B1]:[B1]],$A27,BetTable[[Date]:[Date]], "&gt;="&amp;L$8,BetTable[[Date]:[Date]],"&lt;="&amp;EOMONTH(L$8,0))+SUMIFS(BetTable[[AR_per_bookie]:[AR_per_bookie]],BetTable[[B2]:[B2]],$A27,BetTable[[Date]:[Date]], "&gt;="&amp;L$8,BetTable[[Date]:[Date]],"&lt;="&amp;EOMONTH(L$8,0))+SUMIFS(BetTable[[AR_per_bookie]:[AR_per_bookie]],BetTable[[B3]:[B3]],$A27,BetTable[[Date]:[Date]], "&gt;="&amp;L$8,BetTable[[Date]:[Date]],"&lt;="&amp;EOMONTH(L$8,0))</f>
        <v>0</v>
      </c>
      <c r="M27" s="126">
        <f>SUMIFS(DWbonus[[Sum]:[Sum]],DWbonus[[Dato]:[Dato]], "&gt;="&amp;M$8,DWbonus[[Dato]:[Dato]],"&lt;="&amp;EOMONTH(M$8,0),DWbonus[[Bookie]:[Bookie]],$A27)+SUMIFS(LayTable[[Faktisk res]:[Faktisk res]],LayTable[[Dato]:[Dato]],"&gt;="&amp;M$8,LayTable[[Dato]:[Dato]],"&lt;="&amp;EOMONTH(M$8,0),LayTable[[Bookmaker]:[Bookmaker]],$A27)+SUMIFS(BetTable[[AR_per_bookie]:[AR_per_bookie]],BetTable[[B1]:[B1]],$A27,BetTable[[Date]:[Date]], "&gt;="&amp;M$8,BetTable[[Date]:[Date]],"&lt;="&amp;EOMONTH(M$8,0))+SUMIFS(BetTable[[AR_per_bookie]:[AR_per_bookie]],BetTable[[B2]:[B2]],$A27,BetTable[[Date]:[Date]], "&gt;="&amp;M$8,BetTable[[Date]:[Date]],"&lt;="&amp;EOMONTH(M$8,0))+SUMIFS(BetTable[[AR_per_bookie]:[AR_per_bookie]],BetTable[[B3]:[B3]],$A27,BetTable[[Date]:[Date]], "&gt;="&amp;M$8,BetTable[[Date]:[Date]],"&lt;="&amp;EOMONTH(M$8,0))</f>
        <v>0</v>
      </c>
      <c r="N27" s="126">
        <f>SUMIFS(DWbonus[[Sum]:[Sum]],DWbonus[[Dato]:[Dato]], "&gt;="&amp;N$8,DWbonus[[Dato]:[Dato]],"&lt;="&amp;EOMONTH(N$8,0),DWbonus[[Bookie]:[Bookie]],$A27)+SUMIFS(LayTable[[Faktisk res]:[Faktisk res]],LayTable[[Dato]:[Dato]],"&gt;="&amp;N$8,LayTable[[Dato]:[Dato]],"&lt;="&amp;EOMONTH(N$8,0),LayTable[[Bookmaker]:[Bookmaker]],$A27)+SUMIFS(BetTable[[AR_per_bookie]:[AR_per_bookie]],BetTable[[B1]:[B1]],$A27,BetTable[[Date]:[Date]], "&gt;="&amp;N$8,BetTable[[Date]:[Date]],"&lt;="&amp;EOMONTH(N$8,0))+SUMIFS(BetTable[[AR_per_bookie]:[AR_per_bookie]],BetTable[[B2]:[B2]],$A27,BetTable[[Date]:[Date]], "&gt;="&amp;N$8,BetTable[[Date]:[Date]],"&lt;="&amp;EOMONTH(N$8,0))+SUMIFS(BetTable[[AR_per_bookie]:[AR_per_bookie]],BetTable[[B3]:[B3]],$A27,BetTable[[Date]:[Date]], "&gt;="&amp;N$8,BetTable[[Date]:[Date]],"&lt;="&amp;EOMONTH(N$8,0))</f>
        <v>0</v>
      </c>
      <c r="O27" s="126">
        <f>SUMIFS(DWbonus[[Sum]:[Sum]],DWbonus[[Dato]:[Dato]], "&gt;="&amp;O$8,DWbonus[[Dato]:[Dato]],"&lt;="&amp;EOMONTH(O$8,0),DWbonus[[Bookie]:[Bookie]],$A27)+SUMIFS(LayTable[[Faktisk res]:[Faktisk res]],LayTable[[Dato]:[Dato]],"&gt;="&amp;O$8,LayTable[[Dato]:[Dato]],"&lt;="&amp;EOMONTH(O$8,0),LayTable[[Bookmaker]:[Bookmaker]],$A27)+SUMIFS(BetTable[[AR_per_bookie]:[AR_per_bookie]],BetTable[[B1]:[B1]],$A27,BetTable[[Date]:[Date]], "&gt;="&amp;O$8,BetTable[[Date]:[Date]],"&lt;="&amp;EOMONTH(O$8,0))+SUMIFS(BetTable[[AR_per_bookie]:[AR_per_bookie]],BetTable[[B2]:[B2]],$A27,BetTable[[Date]:[Date]], "&gt;="&amp;O$8,BetTable[[Date]:[Date]],"&lt;="&amp;EOMONTH(O$8,0))+SUMIFS(BetTable[[AR_per_bookie]:[AR_per_bookie]],BetTable[[B3]:[B3]],$A27,BetTable[[Date]:[Date]], "&gt;="&amp;O$8,BetTable[[Date]:[Date]],"&lt;="&amp;EOMONTH(O$8,0))</f>
        <v>0</v>
      </c>
      <c r="P27" s="126">
        <f>SUMIFS(DWbonus[[Sum]:[Sum]],DWbonus[[Dato]:[Dato]], "&gt;="&amp;P$8,DWbonus[[Dato]:[Dato]],"&lt;="&amp;EOMONTH(P$8,0),DWbonus[[Bookie]:[Bookie]],$A27)+SUMIFS(LayTable[[Faktisk res]:[Faktisk res]],LayTable[[Dato]:[Dato]],"&gt;="&amp;P$8,LayTable[[Dato]:[Dato]],"&lt;="&amp;EOMONTH(P$8,0),LayTable[[Bookmaker]:[Bookmaker]],$A27)+SUMIFS(BetTable[[AR_per_bookie]:[AR_per_bookie]],BetTable[[B1]:[B1]],$A27,BetTable[[Date]:[Date]], "&gt;="&amp;P$8,BetTable[[Date]:[Date]],"&lt;="&amp;EOMONTH(P$8,0))+SUMIFS(BetTable[[AR_per_bookie]:[AR_per_bookie]],BetTable[[B2]:[B2]],$A27,BetTable[[Date]:[Date]], "&gt;="&amp;P$8,BetTable[[Date]:[Date]],"&lt;="&amp;EOMONTH(P$8,0))+SUMIFS(BetTable[[AR_per_bookie]:[AR_per_bookie]],BetTable[[B3]:[B3]],$A27,BetTable[[Date]:[Date]], "&gt;="&amp;P$8,BetTable[[Date]:[Date]],"&lt;="&amp;EOMONTH(P$8,0))</f>
        <v>0</v>
      </c>
      <c r="Q27" s="126">
        <f>SUMIFS(DWbonus[[Sum]:[Sum]],DWbonus[[Dato]:[Dato]], "&gt;="&amp;Q$8,DWbonus[[Dato]:[Dato]],"&lt;="&amp;EOMONTH(Q$8,0),DWbonus[[Bookie]:[Bookie]],$A27)+SUMIFS(LayTable[[Faktisk res]:[Faktisk res]],LayTable[[Dato]:[Dato]],"&gt;="&amp;Q$8,LayTable[[Dato]:[Dato]],"&lt;="&amp;EOMONTH(Q$8,0),LayTable[[Bookmaker]:[Bookmaker]],$A27)+SUMIFS(BetTable[[AR_per_bookie]:[AR_per_bookie]],BetTable[[B1]:[B1]],$A27,BetTable[[Date]:[Date]], "&gt;="&amp;Q$8,BetTable[[Date]:[Date]],"&lt;="&amp;EOMONTH(Q$8,0))+SUMIFS(BetTable[[AR_per_bookie]:[AR_per_bookie]],BetTable[[B2]:[B2]],$A27,BetTable[[Date]:[Date]], "&gt;="&amp;Q$8,BetTable[[Date]:[Date]],"&lt;="&amp;EOMONTH(Q$8,0))+SUMIFS(BetTable[[AR_per_bookie]:[AR_per_bookie]],BetTable[[B3]:[B3]],$A27,BetTable[[Date]:[Date]], "&gt;="&amp;Q$8,BetTable[[Date]:[Date]],"&lt;="&amp;EOMONTH(Q$8,0))</f>
        <v>0</v>
      </c>
      <c r="R27" s="126">
        <f>SUMIFS(DWbonus[[Sum]:[Sum]],DWbonus[[Dato]:[Dato]], "&gt;="&amp;R$8,DWbonus[[Dato]:[Dato]],"&lt;="&amp;EOMONTH(R$8,0),DWbonus[[Bookie]:[Bookie]],$A27)+SUMIFS(LayTable[[Faktisk res]:[Faktisk res]],LayTable[[Dato]:[Dato]],"&gt;="&amp;R$8,LayTable[[Dato]:[Dato]],"&lt;="&amp;EOMONTH(R$8,0),LayTable[[Bookmaker]:[Bookmaker]],$A27)+SUMIFS(BetTable[[AR_per_bookie]:[AR_per_bookie]],BetTable[[B1]:[B1]],$A27,BetTable[[Date]:[Date]], "&gt;="&amp;R$8,BetTable[[Date]:[Date]],"&lt;="&amp;EOMONTH(R$8,0))+SUMIFS(BetTable[[AR_per_bookie]:[AR_per_bookie]],BetTable[[B2]:[B2]],$A27,BetTable[[Date]:[Date]], "&gt;="&amp;R$8,BetTable[[Date]:[Date]],"&lt;="&amp;EOMONTH(R$8,0))+SUMIFS(BetTable[[AR_per_bookie]:[AR_per_bookie]],BetTable[[B3]:[B3]],$A27,BetTable[[Date]:[Date]], "&gt;="&amp;R$8,BetTable[[Date]:[Date]],"&lt;="&amp;EOMONTH(R$8,0))</f>
        <v>0</v>
      </c>
      <c r="S27" s="126">
        <f>SUMIFS(DWbonus[[Sum]:[Sum]],DWbonus[[Dato]:[Dato]], "&gt;="&amp;S$8,DWbonus[[Dato]:[Dato]],"&lt;="&amp;EOMONTH(S$8,0),DWbonus[[Bookie]:[Bookie]],$A27)+SUMIFS(LayTable[[Faktisk res]:[Faktisk res]],LayTable[[Dato]:[Dato]],"&gt;="&amp;S$8,LayTable[[Dato]:[Dato]],"&lt;="&amp;EOMONTH(S$8,0),LayTable[[Bookmaker]:[Bookmaker]],$A27)+SUMIFS(BetTable[[AR_per_bookie]:[AR_per_bookie]],BetTable[[B1]:[B1]],$A27,BetTable[[Date]:[Date]], "&gt;="&amp;S$8,BetTable[[Date]:[Date]],"&lt;="&amp;EOMONTH(S$8,0))+SUMIFS(BetTable[[AR_per_bookie]:[AR_per_bookie]],BetTable[[B2]:[B2]],$A27,BetTable[[Date]:[Date]], "&gt;="&amp;S$8,BetTable[[Date]:[Date]],"&lt;="&amp;EOMONTH(S$8,0))+SUMIFS(BetTable[[AR_per_bookie]:[AR_per_bookie]],BetTable[[B3]:[B3]],$A27,BetTable[[Date]:[Date]], "&gt;="&amp;S$8,BetTable[[Date]:[Date]],"&lt;="&amp;EOMONTH(S$8,0))</f>
        <v>0</v>
      </c>
    </row>
    <row r="28" spans="1:19">
      <c r="A28" s="115" t="str">
        <f>BookieNavn!I20</f>
        <v>Casinowinner</v>
      </c>
      <c r="B28" s="126">
        <f>SUMIF(Penger!D$1:D$50072,A28,Penger!F$1:F$50072)</f>
        <v>0</v>
      </c>
      <c r="C28" s="126">
        <f>SUMIF(Penger!T$1:T$50072,A28,Penger!U$1:U$50072)</f>
        <v>0</v>
      </c>
      <c r="D28" s="126">
        <f ca="1">SUMIF(Spill!C$1:C$499895,A28,Spill!T$1:T$49895)+C28</f>
        <v>0</v>
      </c>
      <c r="E28" s="126">
        <f>SUMIF(Spill!C$1:C$49895,A28,Spill!T$1:T$49895)</f>
        <v>0</v>
      </c>
      <c r="F28" s="121" t="e">
        <f t="shared" ca="1" si="1"/>
        <v>#DIV/0!</v>
      </c>
      <c r="H28" s="126">
        <f>SUMIFS(DWbonus[[Sum]:[Sum]],DWbonus[[Dato]:[Dato]], "&gt;="&amp;H$8,DWbonus[[Dato]:[Dato]],"&lt;="&amp;EOMONTH(H$8,0),DWbonus[[Bookie]:[Bookie]],$A28)+SUMIFS(LayTable[[Faktisk res]:[Faktisk res]],LayTable[[Dato]:[Dato]],"&gt;="&amp;H$8,LayTable[[Dato]:[Dato]],"&lt;="&amp;EOMONTH(H$8,0),LayTable[[Bookmaker]:[Bookmaker]],$A28)+SUMIFS(BetTable[[AR_per_bookie]:[AR_per_bookie]],BetTable[[B1]:[B1]],$A28,BetTable[[Date]:[Date]], "&gt;="&amp;H$8,BetTable[[Date]:[Date]],"&lt;="&amp;EOMONTH(H$8,0))+SUMIFS(BetTable[[AR_per_bookie]:[AR_per_bookie]],BetTable[[B2]:[B2]],$A28,BetTable[[Date]:[Date]], "&gt;="&amp;H$8,BetTable[[Date]:[Date]],"&lt;="&amp;EOMONTH(H$8,0))+SUMIFS(BetTable[[AR_per_bookie]:[AR_per_bookie]],BetTable[[B3]:[B3]],$A28,BetTable[[Date]:[Date]], "&gt;="&amp;H$8,BetTable[[Date]:[Date]],"&lt;="&amp;EOMONTH(H$8,0))</f>
        <v>0</v>
      </c>
      <c r="I28" s="126">
        <f>SUMIFS(DWbonus[[Sum]:[Sum]],DWbonus[[Dato]:[Dato]], "&gt;="&amp;I$8,DWbonus[[Dato]:[Dato]],"&lt;="&amp;EOMONTH(I$8,0),DWbonus[[Bookie]:[Bookie]],$A28)+SUMIFS(LayTable[[Faktisk res]:[Faktisk res]],LayTable[[Dato]:[Dato]],"&gt;="&amp;I$8,LayTable[[Dato]:[Dato]],"&lt;="&amp;EOMONTH(I$8,0),LayTable[[Bookmaker]:[Bookmaker]],$A28)+SUMIFS(BetTable[[AR_per_bookie]:[AR_per_bookie]],BetTable[[B1]:[B1]],$A28,BetTable[[Date]:[Date]], "&gt;="&amp;I$8,BetTable[[Date]:[Date]],"&lt;="&amp;EOMONTH(I$8,0))+SUMIFS(BetTable[[AR_per_bookie]:[AR_per_bookie]],BetTable[[B2]:[B2]],$A28,BetTable[[Date]:[Date]], "&gt;="&amp;I$8,BetTable[[Date]:[Date]],"&lt;="&amp;EOMONTH(I$8,0))+SUMIFS(BetTable[[AR_per_bookie]:[AR_per_bookie]],BetTable[[B3]:[B3]],$A28,BetTable[[Date]:[Date]], "&gt;="&amp;I$8,BetTable[[Date]:[Date]],"&lt;="&amp;EOMONTH(I$8,0))</f>
        <v>0</v>
      </c>
      <c r="J28" s="126">
        <f>SUMIFS(DWbonus[[Sum]:[Sum]],DWbonus[[Dato]:[Dato]], "&gt;="&amp;J$8,DWbonus[[Dato]:[Dato]],"&lt;="&amp;EOMONTH(J$8,0),DWbonus[[Bookie]:[Bookie]],$A28)+SUMIFS(LayTable[[Faktisk res]:[Faktisk res]],LayTable[[Dato]:[Dato]],"&gt;="&amp;J$8,LayTable[[Dato]:[Dato]],"&lt;="&amp;EOMONTH(J$8,0),LayTable[[Bookmaker]:[Bookmaker]],$A28)+SUMIFS(BetTable[[AR_per_bookie]:[AR_per_bookie]],BetTable[[B1]:[B1]],$A28,BetTable[[Date]:[Date]], "&gt;="&amp;J$8,BetTable[[Date]:[Date]],"&lt;="&amp;EOMONTH(J$8,0))+SUMIFS(BetTable[[AR_per_bookie]:[AR_per_bookie]],BetTable[[B2]:[B2]],$A28,BetTable[[Date]:[Date]], "&gt;="&amp;J$8,BetTable[[Date]:[Date]],"&lt;="&amp;EOMONTH(J$8,0))+SUMIFS(BetTable[[AR_per_bookie]:[AR_per_bookie]],BetTable[[B3]:[B3]],$A28,BetTable[[Date]:[Date]], "&gt;="&amp;J$8,BetTable[[Date]:[Date]],"&lt;="&amp;EOMONTH(J$8,0))</f>
        <v>0</v>
      </c>
      <c r="K28" s="126">
        <f>SUMIFS(DWbonus[[Sum]:[Sum]],DWbonus[[Dato]:[Dato]], "&gt;="&amp;K$8,DWbonus[[Dato]:[Dato]],"&lt;="&amp;EOMONTH(K$8,0),DWbonus[[Bookie]:[Bookie]],$A28)+SUMIFS(LayTable[[Faktisk res]:[Faktisk res]],LayTable[[Dato]:[Dato]],"&gt;="&amp;K$8,LayTable[[Dato]:[Dato]],"&lt;="&amp;EOMONTH(K$8,0),LayTable[[Bookmaker]:[Bookmaker]],$A28)+SUMIFS(BetTable[[AR_per_bookie]:[AR_per_bookie]],BetTable[[B1]:[B1]],$A28,BetTable[[Date]:[Date]], "&gt;="&amp;K$8,BetTable[[Date]:[Date]],"&lt;="&amp;EOMONTH(K$8,0))+SUMIFS(BetTable[[AR_per_bookie]:[AR_per_bookie]],BetTable[[B2]:[B2]],$A28,BetTable[[Date]:[Date]], "&gt;="&amp;K$8,BetTable[[Date]:[Date]],"&lt;="&amp;EOMONTH(K$8,0))+SUMIFS(BetTable[[AR_per_bookie]:[AR_per_bookie]],BetTable[[B3]:[B3]],$A28,BetTable[[Date]:[Date]], "&gt;="&amp;K$8,BetTable[[Date]:[Date]],"&lt;="&amp;EOMONTH(K$8,0))</f>
        <v>0</v>
      </c>
      <c r="L28" s="126">
        <f>SUMIFS(DWbonus[[Sum]:[Sum]],DWbonus[[Dato]:[Dato]], "&gt;="&amp;L$8,DWbonus[[Dato]:[Dato]],"&lt;="&amp;EOMONTH(L$8,0),DWbonus[[Bookie]:[Bookie]],$A28)+SUMIFS(LayTable[[Faktisk res]:[Faktisk res]],LayTable[[Dato]:[Dato]],"&gt;="&amp;L$8,LayTable[[Dato]:[Dato]],"&lt;="&amp;EOMONTH(L$8,0),LayTable[[Bookmaker]:[Bookmaker]],$A28)+SUMIFS(BetTable[[AR_per_bookie]:[AR_per_bookie]],BetTable[[B1]:[B1]],$A28,BetTable[[Date]:[Date]], "&gt;="&amp;L$8,BetTable[[Date]:[Date]],"&lt;="&amp;EOMONTH(L$8,0))+SUMIFS(BetTable[[AR_per_bookie]:[AR_per_bookie]],BetTable[[B2]:[B2]],$A28,BetTable[[Date]:[Date]], "&gt;="&amp;L$8,BetTable[[Date]:[Date]],"&lt;="&amp;EOMONTH(L$8,0))+SUMIFS(BetTable[[AR_per_bookie]:[AR_per_bookie]],BetTable[[B3]:[B3]],$A28,BetTable[[Date]:[Date]], "&gt;="&amp;L$8,BetTable[[Date]:[Date]],"&lt;="&amp;EOMONTH(L$8,0))</f>
        <v>0</v>
      </c>
      <c r="M28" s="126">
        <f>SUMIFS(DWbonus[[Sum]:[Sum]],DWbonus[[Dato]:[Dato]], "&gt;="&amp;M$8,DWbonus[[Dato]:[Dato]],"&lt;="&amp;EOMONTH(M$8,0),DWbonus[[Bookie]:[Bookie]],$A28)+SUMIFS(LayTable[[Faktisk res]:[Faktisk res]],LayTable[[Dato]:[Dato]],"&gt;="&amp;M$8,LayTable[[Dato]:[Dato]],"&lt;="&amp;EOMONTH(M$8,0),LayTable[[Bookmaker]:[Bookmaker]],$A28)+SUMIFS(BetTable[[AR_per_bookie]:[AR_per_bookie]],BetTable[[B1]:[B1]],$A28,BetTable[[Date]:[Date]], "&gt;="&amp;M$8,BetTable[[Date]:[Date]],"&lt;="&amp;EOMONTH(M$8,0))+SUMIFS(BetTable[[AR_per_bookie]:[AR_per_bookie]],BetTable[[B2]:[B2]],$A28,BetTable[[Date]:[Date]], "&gt;="&amp;M$8,BetTable[[Date]:[Date]],"&lt;="&amp;EOMONTH(M$8,0))+SUMIFS(BetTable[[AR_per_bookie]:[AR_per_bookie]],BetTable[[B3]:[B3]],$A28,BetTable[[Date]:[Date]], "&gt;="&amp;M$8,BetTable[[Date]:[Date]],"&lt;="&amp;EOMONTH(M$8,0))</f>
        <v>0</v>
      </c>
      <c r="N28" s="126">
        <f>SUMIFS(DWbonus[[Sum]:[Sum]],DWbonus[[Dato]:[Dato]], "&gt;="&amp;N$8,DWbonus[[Dato]:[Dato]],"&lt;="&amp;EOMONTH(N$8,0),DWbonus[[Bookie]:[Bookie]],$A28)+SUMIFS(LayTable[[Faktisk res]:[Faktisk res]],LayTable[[Dato]:[Dato]],"&gt;="&amp;N$8,LayTable[[Dato]:[Dato]],"&lt;="&amp;EOMONTH(N$8,0),LayTable[[Bookmaker]:[Bookmaker]],$A28)+SUMIFS(BetTable[[AR_per_bookie]:[AR_per_bookie]],BetTable[[B1]:[B1]],$A28,BetTable[[Date]:[Date]], "&gt;="&amp;N$8,BetTable[[Date]:[Date]],"&lt;="&amp;EOMONTH(N$8,0))+SUMIFS(BetTable[[AR_per_bookie]:[AR_per_bookie]],BetTable[[B2]:[B2]],$A28,BetTable[[Date]:[Date]], "&gt;="&amp;N$8,BetTable[[Date]:[Date]],"&lt;="&amp;EOMONTH(N$8,0))+SUMIFS(BetTable[[AR_per_bookie]:[AR_per_bookie]],BetTable[[B3]:[B3]],$A28,BetTable[[Date]:[Date]], "&gt;="&amp;N$8,BetTable[[Date]:[Date]],"&lt;="&amp;EOMONTH(N$8,0))</f>
        <v>0</v>
      </c>
      <c r="O28" s="126">
        <f>SUMIFS(DWbonus[[Sum]:[Sum]],DWbonus[[Dato]:[Dato]], "&gt;="&amp;O$8,DWbonus[[Dato]:[Dato]],"&lt;="&amp;EOMONTH(O$8,0),DWbonus[[Bookie]:[Bookie]],$A28)+SUMIFS(LayTable[[Faktisk res]:[Faktisk res]],LayTable[[Dato]:[Dato]],"&gt;="&amp;O$8,LayTable[[Dato]:[Dato]],"&lt;="&amp;EOMONTH(O$8,0),LayTable[[Bookmaker]:[Bookmaker]],$A28)+SUMIFS(BetTable[[AR_per_bookie]:[AR_per_bookie]],BetTable[[B1]:[B1]],$A28,BetTable[[Date]:[Date]], "&gt;="&amp;O$8,BetTable[[Date]:[Date]],"&lt;="&amp;EOMONTH(O$8,0))+SUMIFS(BetTable[[AR_per_bookie]:[AR_per_bookie]],BetTable[[B2]:[B2]],$A28,BetTable[[Date]:[Date]], "&gt;="&amp;O$8,BetTable[[Date]:[Date]],"&lt;="&amp;EOMONTH(O$8,0))+SUMIFS(BetTable[[AR_per_bookie]:[AR_per_bookie]],BetTable[[B3]:[B3]],$A28,BetTable[[Date]:[Date]], "&gt;="&amp;O$8,BetTable[[Date]:[Date]],"&lt;="&amp;EOMONTH(O$8,0))</f>
        <v>0</v>
      </c>
      <c r="P28" s="126">
        <f>SUMIFS(DWbonus[[Sum]:[Sum]],DWbonus[[Dato]:[Dato]], "&gt;="&amp;P$8,DWbonus[[Dato]:[Dato]],"&lt;="&amp;EOMONTH(P$8,0),DWbonus[[Bookie]:[Bookie]],$A28)+SUMIFS(LayTable[[Faktisk res]:[Faktisk res]],LayTable[[Dato]:[Dato]],"&gt;="&amp;P$8,LayTable[[Dato]:[Dato]],"&lt;="&amp;EOMONTH(P$8,0),LayTable[[Bookmaker]:[Bookmaker]],$A28)+SUMIFS(BetTable[[AR_per_bookie]:[AR_per_bookie]],BetTable[[B1]:[B1]],$A28,BetTable[[Date]:[Date]], "&gt;="&amp;P$8,BetTable[[Date]:[Date]],"&lt;="&amp;EOMONTH(P$8,0))+SUMIFS(BetTable[[AR_per_bookie]:[AR_per_bookie]],BetTable[[B2]:[B2]],$A28,BetTable[[Date]:[Date]], "&gt;="&amp;P$8,BetTable[[Date]:[Date]],"&lt;="&amp;EOMONTH(P$8,0))+SUMIFS(BetTable[[AR_per_bookie]:[AR_per_bookie]],BetTable[[B3]:[B3]],$A28,BetTable[[Date]:[Date]], "&gt;="&amp;P$8,BetTable[[Date]:[Date]],"&lt;="&amp;EOMONTH(P$8,0))</f>
        <v>0</v>
      </c>
      <c r="Q28" s="126">
        <f>SUMIFS(DWbonus[[Sum]:[Sum]],DWbonus[[Dato]:[Dato]], "&gt;="&amp;Q$8,DWbonus[[Dato]:[Dato]],"&lt;="&amp;EOMONTH(Q$8,0),DWbonus[[Bookie]:[Bookie]],$A28)+SUMIFS(LayTable[[Faktisk res]:[Faktisk res]],LayTable[[Dato]:[Dato]],"&gt;="&amp;Q$8,LayTable[[Dato]:[Dato]],"&lt;="&amp;EOMONTH(Q$8,0),LayTable[[Bookmaker]:[Bookmaker]],$A28)+SUMIFS(BetTable[[AR_per_bookie]:[AR_per_bookie]],BetTable[[B1]:[B1]],$A28,BetTable[[Date]:[Date]], "&gt;="&amp;Q$8,BetTable[[Date]:[Date]],"&lt;="&amp;EOMONTH(Q$8,0))+SUMIFS(BetTable[[AR_per_bookie]:[AR_per_bookie]],BetTable[[B2]:[B2]],$A28,BetTable[[Date]:[Date]], "&gt;="&amp;Q$8,BetTable[[Date]:[Date]],"&lt;="&amp;EOMONTH(Q$8,0))+SUMIFS(BetTable[[AR_per_bookie]:[AR_per_bookie]],BetTable[[B3]:[B3]],$A28,BetTable[[Date]:[Date]], "&gt;="&amp;Q$8,BetTable[[Date]:[Date]],"&lt;="&amp;EOMONTH(Q$8,0))</f>
        <v>0</v>
      </c>
      <c r="R28" s="126">
        <f>SUMIFS(DWbonus[[Sum]:[Sum]],DWbonus[[Dato]:[Dato]], "&gt;="&amp;R$8,DWbonus[[Dato]:[Dato]],"&lt;="&amp;EOMONTH(R$8,0),DWbonus[[Bookie]:[Bookie]],$A28)+SUMIFS(LayTable[[Faktisk res]:[Faktisk res]],LayTable[[Dato]:[Dato]],"&gt;="&amp;R$8,LayTable[[Dato]:[Dato]],"&lt;="&amp;EOMONTH(R$8,0),LayTable[[Bookmaker]:[Bookmaker]],$A28)+SUMIFS(BetTable[[AR_per_bookie]:[AR_per_bookie]],BetTable[[B1]:[B1]],$A28,BetTable[[Date]:[Date]], "&gt;="&amp;R$8,BetTable[[Date]:[Date]],"&lt;="&amp;EOMONTH(R$8,0))+SUMIFS(BetTable[[AR_per_bookie]:[AR_per_bookie]],BetTable[[B2]:[B2]],$A28,BetTable[[Date]:[Date]], "&gt;="&amp;R$8,BetTable[[Date]:[Date]],"&lt;="&amp;EOMONTH(R$8,0))+SUMIFS(BetTable[[AR_per_bookie]:[AR_per_bookie]],BetTable[[B3]:[B3]],$A28,BetTable[[Date]:[Date]], "&gt;="&amp;R$8,BetTable[[Date]:[Date]],"&lt;="&amp;EOMONTH(R$8,0))</f>
        <v>0</v>
      </c>
      <c r="S28" s="126">
        <f>SUMIFS(DWbonus[[Sum]:[Sum]],DWbonus[[Dato]:[Dato]], "&gt;="&amp;S$8,DWbonus[[Dato]:[Dato]],"&lt;="&amp;EOMONTH(S$8,0),DWbonus[[Bookie]:[Bookie]],$A28)+SUMIFS(LayTable[[Faktisk res]:[Faktisk res]],LayTable[[Dato]:[Dato]],"&gt;="&amp;S$8,LayTable[[Dato]:[Dato]],"&lt;="&amp;EOMONTH(S$8,0),LayTable[[Bookmaker]:[Bookmaker]],$A28)+SUMIFS(BetTable[[AR_per_bookie]:[AR_per_bookie]],BetTable[[B1]:[B1]],$A28,BetTable[[Date]:[Date]], "&gt;="&amp;S$8,BetTable[[Date]:[Date]],"&lt;="&amp;EOMONTH(S$8,0))+SUMIFS(BetTable[[AR_per_bookie]:[AR_per_bookie]],BetTable[[B2]:[B2]],$A28,BetTable[[Date]:[Date]], "&gt;="&amp;S$8,BetTable[[Date]:[Date]],"&lt;="&amp;EOMONTH(S$8,0))+SUMIFS(BetTable[[AR_per_bookie]:[AR_per_bookie]],BetTable[[B3]:[B3]],$A28,BetTable[[Date]:[Date]], "&gt;="&amp;S$8,BetTable[[Date]:[Date]],"&lt;="&amp;EOMONTH(S$8,0))</f>
        <v>0</v>
      </c>
    </row>
    <row r="29" spans="1:19">
      <c r="A29" s="115" t="str">
        <f>BookieNavn!I21</f>
        <v>CherryCasino</v>
      </c>
      <c r="B29" s="126">
        <f>SUMIF(Penger!D$1:D$50072,A29,Penger!F$1:F$50072)</f>
        <v>0</v>
      </c>
      <c r="C29" s="126">
        <f>SUMIF(Penger!T$1:T$50072,A29,Penger!U$1:U$50072)</f>
        <v>0</v>
      </c>
      <c r="D29" s="126">
        <f ca="1">SUMIF(Spill!C$1:C$499895,A29,Spill!T$1:T$49895)+C29</f>
        <v>0</v>
      </c>
      <c r="E29" s="126">
        <f>SUMIF(Spill!C$1:C$49895,A29,Spill!T$1:T$49895)</f>
        <v>0</v>
      </c>
      <c r="F29" s="121" t="e">
        <f t="shared" ca="1" si="1"/>
        <v>#DIV/0!</v>
      </c>
      <c r="H29" s="126">
        <f>SUMIFS(DWbonus[[Sum]:[Sum]],DWbonus[[Dato]:[Dato]], "&gt;="&amp;H$8,DWbonus[[Dato]:[Dato]],"&lt;="&amp;EOMONTH(H$8,0),DWbonus[[Bookie]:[Bookie]],$A29)+SUMIFS(LayTable[[Faktisk res]:[Faktisk res]],LayTable[[Dato]:[Dato]],"&gt;="&amp;H$8,LayTable[[Dato]:[Dato]],"&lt;="&amp;EOMONTH(H$8,0),LayTable[[Bookmaker]:[Bookmaker]],$A29)+SUMIFS(BetTable[[AR_per_bookie]:[AR_per_bookie]],BetTable[[B1]:[B1]],$A29,BetTable[[Date]:[Date]], "&gt;="&amp;H$8,BetTable[[Date]:[Date]],"&lt;="&amp;EOMONTH(H$8,0))+SUMIFS(BetTable[[AR_per_bookie]:[AR_per_bookie]],BetTable[[B2]:[B2]],$A29,BetTable[[Date]:[Date]], "&gt;="&amp;H$8,BetTable[[Date]:[Date]],"&lt;="&amp;EOMONTH(H$8,0))+SUMIFS(BetTable[[AR_per_bookie]:[AR_per_bookie]],BetTable[[B3]:[B3]],$A29,BetTable[[Date]:[Date]], "&gt;="&amp;H$8,BetTable[[Date]:[Date]],"&lt;="&amp;EOMONTH(H$8,0))</f>
        <v>0</v>
      </c>
      <c r="I29" s="126">
        <f>SUMIFS(DWbonus[[Sum]:[Sum]],DWbonus[[Dato]:[Dato]], "&gt;="&amp;I$8,DWbonus[[Dato]:[Dato]],"&lt;="&amp;EOMONTH(I$8,0),DWbonus[[Bookie]:[Bookie]],$A29)+SUMIFS(LayTable[[Faktisk res]:[Faktisk res]],LayTable[[Dato]:[Dato]],"&gt;="&amp;I$8,LayTable[[Dato]:[Dato]],"&lt;="&amp;EOMONTH(I$8,0),LayTable[[Bookmaker]:[Bookmaker]],$A29)+SUMIFS(BetTable[[AR_per_bookie]:[AR_per_bookie]],BetTable[[B1]:[B1]],$A29,BetTable[[Date]:[Date]], "&gt;="&amp;I$8,BetTable[[Date]:[Date]],"&lt;="&amp;EOMONTH(I$8,0))+SUMIFS(BetTable[[AR_per_bookie]:[AR_per_bookie]],BetTable[[B2]:[B2]],$A29,BetTable[[Date]:[Date]], "&gt;="&amp;I$8,BetTable[[Date]:[Date]],"&lt;="&amp;EOMONTH(I$8,0))+SUMIFS(BetTable[[AR_per_bookie]:[AR_per_bookie]],BetTable[[B3]:[B3]],$A29,BetTable[[Date]:[Date]], "&gt;="&amp;I$8,BetTable[[Date]:[Date]],"&lt;="&amp;EOMONTH(I$8,0))</f>
        <v>0</v>
      </c>
      <c r="J29" s="126">
        <f>SUMIFS(DWbonus[[Sum]:[Sum]],DWbonus[[Dato]:[Dato]], "&gt;="&amp;J$8,DWbonus[[Dato]:[Dato]],"&lt;="&amp;EOMONTH(J$8,0),DWbonus[[Bookie]:[Bookie]],$A29)+SUMIFS(LayTable[[Faktisk res]:[Faktisk res]],LayTable[[Dato]:[Dato]],"&gt;="&amp;J$8,LayTable[[Dato]:[Dato]],"&lt;="&amp;EOMONTH(J$8,0),LayTable[[Bookmaker]:[Bookmaker]],$A29)+SUMIFS(BetTable[[AR_per_bookie]:[AR_per_bookie]],BetTable[[B1]:[B1]],$A29,BetTable[[Date]:[Date]], "&gt;="&amp;J$8,BetTable[[Date]:[Date]],"&lt;="&amp;EOMONTH(J$8,0))+SUMIFS(BetTable[[AR_per_bookie]:[AR_per_bookie]],BetTable[[B2]:[B2]],$A29,BetTable[[Date]:[Date]], "&gt;="&amp;J$8,BetTable[[Date]:[Date]],"&lt;="&amp;EOMONTH(J$8,0))+SUMIFS(BetTable[[AR_per_bookie]:[AR_per_bookie]],BetTable[[B3]:[B3]],$A29,BetTable[[Date]:[Date]], "&gt;="&amp;J$8,BetTable[[Date]:[Date]],"&lt;="&amp;EOMONTH(J$8,0))</f>
        <v>0</v>
      </c>
      <c r="K29" s="126">
        <f>SUMIFS(DWbonus[[Sum]:[Sum]],DWbonus[[Dato]:[Dato]], "&gt;="&amp;K$8,DWbonus[[Dato]:[Dato]],"&lt;="&amp;EOMONTH(K$8,0),DWbonus[[Bookie]:[Bookie]],$A29)+SUMIFS(LayTable[[Faktisk res]:[Faktisk res]],LayTable[[Dato]:[Dato]],"&gt;="&amp;K$8,LayTable[[Dato]:[Dato]],"&lt;="&amp;EOMONTH(K$8,0),LayTable[[Bookmaker]:[Bookmaker]],$A29)+SUMIFS(BetTable[[AR_per_bookie]:[AR_per_bookie]],BetTable[[B1]:[B1]],$A29,BetTable[[Date]:[Date]], "&gt;="&amp;K$8,BetTable[[Date]:[Date]],"&lt;="&amp;EOMONTH(K$8,0))+SUMIFS(BetTable[[AR_per_bookie]:[AR_per_bookie]],BetTable[[B2]:[B2]],$A29,BetTable[[Date]:[Date]], "&gt;="&amp;K$8,BetTable[[Date]:[Date]],"&lt;="&amp;EOMONTH(K$8,0))+SUMIFS(BetTable[[AR_per_bookie]:[AR_per_bookie]],BetTable[[B3]:[B3]],$A29,BetTable[[Date]:[Date]], "&gt;="&amp;K$8,BetTable[[Date]:[Date]],"&lt;="&amp;EOMONTH(K$8,0))</f>
        <v>0</v>
      </c>
      <c r="L29" s="126">
        <f>SUMIFS(DWbonus[[Sum]:[Sum]],DWbonus[[Dato]:[Dato]], "&gt;="&amp;L$8,DWbonus[[Dato]:[Dato]],"&lt;="&amp;EOMONTH(L$8,0),DWbonus[[Bookie]:[Bookie]],$A29)+SUMIFS(LayTable[[Faktisk res]:[Faktisk res]],LayTable[[Dato]:[Dato]],"&gt;="&amp;L$8,LayTable[[Dato]:[Dato]],"&lt;="&amp;EOMONTH(L$8,0),LayTable[[Bookmaker]:[Bookmaker]],$A29)+SUMIFS(BetTable[[AR_per_bookie]:[AR_per_bookie]],BetTable[[B1]:[B1]],$A29,BetTable[[Date]:[Date]], "&gt;="&amp;L$8,BetTable[[Date]:[Date]],"&lt;="&amp;EOMONTH(L$8,0))+SUMIFS(BetTable[[AR_per_bookie]:[AR_per_bookie]],BetTable[[B2]:[B2]],$A29,BetTable[[Date]:[Date]], "&gt;="&amp;L$8,BetTable[[Date]:[Date]],"&lt;="&amp;EOMONTH(L$8,0))+SUMIFS(BetTable[[AR_per_bookie]:[AR_per_bookie]],BetTable[[B3]:[B3]],$A29,BetTable[[Date]:[Date]], "&gt;="&amp;L$8,BetTable[[Date]:[Date]],"&lt;="&amp;EOMONTH(L$8,0))</f>
        <v>0</v>
      </c>
      <c r="M29" s="126">
        <f>SUMIFS(DWbonus[[Sum]:[Sum]],DWbonus[[Dato]:[Dato]], "&gt;="&amp;M$8,DWbonus[[Dato]:[Dato]],"&lt;="&amp;EOMONTH(M$8,0),DWbonus[[Bookie]:[Bookie]],$A29)+SUMIFS(LayTable[[Faktisk res]:[Faktisk res]],LayTable[[Dato]:[Dato]],"&gt;="&amp;M$8,LayTable[[Dato]:[Dato]],"&lt;="&amp;EOMONTH(M$8,0),LayTable[[Bookmaker]:[Bookmaker]],$A29)+SUMIFS(BetTable[[AR_per_bookie]:[AR_per_bookie]],BetTable[[B1]:[B1]],$A29,BetTable[[Date]:[Date]], "&gt;="&amp;M$8,BetTable[[Date]:[Date]],"&lt;="&amp;EOMONTH(M$8,0))+SUMIFS(BetTable[[AR_per_bookie]:[AR_per_bookie]],BetTable[[B2]:[B2]],$A29,BetTable[[Date]:[Date]], "&gt;="&amp;M$8,BetTable[[Date]:[Date]],"&lt;="&amp;EOMONTH(M$8,0))+SUMIFS(BetTable[[AR_per_bookie]:[AR_per_bookie]],BetTable[[B3]:[B3]],$A29,BetTable[[Date]:[Date]], "&gt;="&amp;M$8,BetTable[[Date]:[Date]],"&lt;="&amp;EOMONTH(M$8,0))</f>
        <v>0</v>
      </c>
      <c r="N29" s="126">
        <f>SUMIFS(DWbonus[[Sum]:[Sum]],DWbonus[[Dato]:[Dato]], "&gt;="&amp;N$8,DWbonus[[Dato]:[Dato]],"&lt;="&amp;EOMONTH(N$8,0),DWbonus[[Bookie]:[Bookie]],$A29)+SUMIFS(LayTable[[Faktisk res]:[Faktisk res]],LayTable[[Dato]:[Dato]],"&gt;="&amp;N$8,LayTable[[Dato]:[Dato]],"&lt;="&amp;EOMONTH(N$8,0),LayTable[[Bookmaker]:[Bookmaker]],$A29)+SUMIFS(BetTable[[AR_per_bookie]:[AR_per_bookie]],BetTable[[B1]:[B1]],$A29,BetTable[[Date]:[Date]], "&gt;="&amp;N$8,BetTable[[Date]:[Date]],"&lt;="&amp;EOMONTH(N$8,0))+SUMIFS(BetTable[[AR_per_bookie]:[AR_per_bookie]],BetTable[[B2]:[B2]],$A29,BetTable[[Date]:[Date]], "&gt;="&amp;N$8,BetTable[[Date]:[Date]],"&lt;="&amp;EOMONTH(N$8,0))+SUMIFS(BetTable[[AR_per_bookie]:[AR_per_bookie]],BetTable[[B3]:[B3]],$A29,BetTable[[Date]:[Date]], "&gt;="&amp;N$8,BetTable[[Date]:[Date]],"&lt;="&amp;EOMONTH(N$8,0))</f>
        <v>0</v>
      </c>
      <c r="O29" s="126">
        <f>SUMIFS(DWbonus[[Sum]:[Sum]],DWbonus[[Dato]:[Dato]], "&gt;="&amp;O$8,DWbonus[[Dato]:[Dato]],"&lt;="&amp;EOMONTH(O$8,0),DWbonus[[Bookie]:[Bookie]],$A29)+SUMIFS(LayTable[[Faktisk res]:[Faktisk res]],LayTable[[Dato]:[Dato]],"&gt;="&amp;O$8,LayTable[[Dato]:[Dato]],"&lt;="&amp;EOMONTH(O$8,0),LayTable[[Bookmaker]:[Bookmaker]],$A29)+SUMIFS(BetTable[[AR_per_bookie]:[AR_per_bookie]],BetTable[[B1]:[B1]],$A29,BetTable[[Date]:[Date]], "&gt;="&amp;O$8,BetTable[[Date]:[Date]],"&lt;="&amp;EOMONTH(O$8,0))+SUMIFS(BetTable[[AR_per_bookie]:[AR_per_bookie]],BetTable[[B2]:[B2]],$A29,BetTable[[Date]:[Date]], "&gt;="&amp;O$8,BetTable[[Date]:[Date]],"&lt;="&amp;EOMONTH(O$8,0))+SUMIFS(BetTable[[AR_per_bookie]:[AR_per_bookie]],BetTable[[B3]:[B3]],$A29,BetTable[[Date]:[Date]], "&gt;="&amp;O$8,BetTable[[Date]:[Date]],"&lt;="&amp;EOMONTH(O$8,0))</f>
        <v>0</v>
      </c>
      <c r="P29" s="126">
        <f>SUMIFS(DWbonus[[Sum]:[Sum]],DWbonus[[Dato]:[Dato]], "&gt;="&amp;P$8,DWbonus[[Dato]:[Dato]],"&lt;="&amp;EOMONTH(P$8,0),DWbonus[[Bookie]:[Bookie]],$A29)+SUMIFS(LayTable[[Faktisk res]:[Faktisk res]],LayTable[[Dato]:[Dato]],"&gt;="&amp;P$8,LayTable[[Dato]:[Dato]],"&lt;="&amp;EOMONTH(P$8,0),LayTable[[Bookmaker]:[Bookmaker]],$A29)+SUMIFS(BetTable[[AR_per_bookie]:[AR_per_bookie]],BetTable[[B1]:[B1]],$A29,BetTable[[Date]:[Date]], "&gt;="&amp;P$8,BetTable[[Date]:[Date]],"&lt;="&amp;EOMONTH(P$8,0))+SUMIFS(BetTable[[AR_per_bookie]:[AR_per_bookie]],BetTable[[B2]:[B2]],$A29,BetTable[[Date]:[Date]], "&gt;="&amp;P$8,BetTable[[Date]:[Date]],"&lt;="&amp;EOMONTH(P$8,0))+SUMIFS(BetTable[[AR_per_bookie]:[AR_per_bookie]],BetTable[[B3]:[B3]],$A29,BetTable[[Date]:[Date]], "&gt;="&amp;P$8,BetTable[[Date]:[Date]],"&lt;="&amp;EOMONTH(P$8,0))</f>
        <v>0</v>
      </c>
      <c r="Q29" s="126">
        <f>SUMIFS(DWbonus[[Sum]:[Sum]],DWbonus[[Dato]:[Dato]], "&gt;="&amp;Q$8,DWbonus[[Dato]:[Dato]],"&lt;="&amp;EOMONTH(Q$8,0),DWbonus[[Bookie]:[Bookie]],$A29)+SUMIFS(LayTable[[Faktisk res]:[Faktisk res]],LayTable[[Dato]:[Dato]],"&gt;="&amp;Q$8,LayTable[[Dato]:[Dato]],"&lt;="&amp;EOMONTH(Q$8,0),LayTable[[Bookmaker]:[Bookmaker]],$A29)+SUMIFS(BetTable[[AR_per_bookie]:[AR_per_bookie]],BetTable[[B1]:[B1]],$A29,BetTable[[Date]:[Date]], "&gt;="&amp;Q$8,BetTable[[Date]:[Date]],"&lt;="&amp;EOMONTH(Q$8,0))+SUMIFS(BetTable[[AR_per_bookie]:[AR_per_bookie]],BetTable[[B2]:[B2]],$A29,BetTable[[Date]:[Date]], "&gt;="&amp;Q$8,BetTable[[Date]:[Date]],"&lt;="&amp;EOMONTH(Q$8,0))+SUMIFS(BetTable[[AR_per_bookie]:[AR_per_bookie]],BetTable[[B3]:[B3]],$A29,BetTable[[Date]:[Date]], "&gt;="&amp;Q$8,BetTable[[Date]:[Date]],"&lt;="&amp;EOMONTH(Q$8,0))</f>
        <v>0</v>
      </c>
      <c r="R29" s="126">
        <f>SUMIFS(DWbonus[[Sum]:[Sum]],DWbonus[[Dato]:[Dato]], "&gt;="&amp;R$8,DWbonus[[Dato]:[Dato]],"&lt;="&amp;EOMONTH(R$8,0),DWbonus[[Bookie]:[Bookie]],$A29)+SUMIFS(LayTable[[Faktisk res]:[Faktisk res]],LayTable[[Dato]:[Dato]],"&gt;="&amp;R$8,LayTable[[Dato]:[Dato]],"&lt;="&amp;EOMONTH(R$8,0),LayTable[[Bookmaker]:[Bookmaker]],$A29)+SUMIFS(BetTable[[AR_per_bookie]:[AR_per_bookie]],BetTable[[B1]:[B1]],$A29,BetTable[[Date]:[Date]], "&gt;="&amp;R$8,BetTable[[Date]:[Date]],"&lt;="&amp;EOMONTH(R$8,0))+SUMIFS(BetTable[[AR_per_bookie]:[AR_per_bookie]],BetTable[[B2]:[B2]],$A29,BetTable[[Date]:[Date]], "&gt;="&amp;R$8,BetTable[[Date]:[Date]],"&lt;="&amp;EOMONTH(R$8,0))+SUMIFS(BetTable[[AR_per_bookie]:[AR_per_bookie]],BetTable[[B3]:[B3]],$A29,BetTable[[Date]:[Date]], "&gt;="&amp;R$8,BetTable[[Date]:[Date]],"&lt;="&amp;EOMONTH(R$8,0))</f>
        <v>0</v>
      </c>
      <c r="S29" s="126">
        <f>SUMIFS(DWbonus[[Sum]:[Sum]],DWbonus[[Dato]:[Dato]], "&gt;="&amp;S$8,DWbonus[[Dato]:[Dato]],"&lt;="&amp;EOMONTH(S$8,0),DWbonus[[Bookie]:[Bookie]],$A29)+SUMIFS(LayTable[[Faktisk res]:[Faktisk res]],LayTable[[Dato]:[Dato]],"&gt;="&amp;S$8,LayTable[[Dato]:[Dato]],"&lt;="&amp;EOMONTH(S$8,0),LayTable[[Bookmaker]:[Bookmaker]],$A29)+SUMIFS(BetTable[[AR_per_bookie]:[AR_per_bookie]],BetTable[[B1]:[B1]],$A29,BetTable[[Date]:[Date]], "&gt;="&amp;S$8,BetTable[[Date]:[Date]],"&lt;="&amp;EOMONTH(S$8,0))+SUMIFS(BetTable[[AR_per_bookie]:[AR_per_bookie]],BetTable[[B2]:[B2]],$A29,BetTable[[Date]:[Date]], "&gt;="&amp;S$8,BetTable[[Date]:[Date]],"&lt;="&amp;EOMONTH(S$8,0))+SUMIFS(BetTable[[AR_per_bookie]:[AR_per_bookie]],BetTable[[B3]:[B3]],$A29,BetTable[[Date]:[Date]], "&gt;="&amp;S$8,BetTable[[Date]:[Date]],"&lt;="&amp;EOMONTH(S$8,0))</f>
        <v>0</v>
      </c>
    </row>
    <row r="30" spans="1:19">
      <c r="A30" s="115" t="str">
        <f>BookieNavn!I22</f>
        <v>Cloudbet</v>
      </c>
      <c r="B30" s="126">
        <f>SUMIF(Penger!D$1:D$50072,A30,Penger!F$1:F$50072)</f>
        <v>0</v>
      </c>
      <c r="C30" s="126">
        <f>SUMIF(Penger!T$1:T$50072,A30,Penger!U$1:U$50072)</f>
        <v>0</v>
      </c>
      <c r="D30" s="126">
        <f ca="1">SUMIF(Spill!C$1:C$499895,A30,Spill!T$1:T$49895)+C30</f>
        <v>0</v>
      </c>
      <c r="E30" s="126">
        <f>SUMIF(Spill!C$1:C$49895,A30,Spill!T$1:T$49895)</f>
        <v>0</v>
      </c>
      <c r="F30" s="121" t="e">
        <f t="shared" ca="1" si="1"/>
        <v>#DIV/0!</v>
      </c>
      <c r="H30" s="126">
        <f>SUMIFS(DWbonus[[Sum]:[Sum]],DWbonus[[Dato]:[Dato]], "&gt;="&amp;H$8,DWbonus[[Dato]:[Dato]],"&lt;="&amp;EOMONTH(H$8,0),DWbonus[[Bookie]:[Bookie]],$A30)+SUMIFS(LayTable[[Faktisk res]:[Faktisk res]],LayTable[[Dato]:[Dato]],"&gt;="&amp;H$8,LayTable[[Dato]:[Dato]],"&lt;="&amp;EOMONTH(H$8,0),LayTable[[Bookmaker]:[Bookmaker]],$A30)+SUMIFS(BetTable[[AR_per_bookie]:[AR_per_bookie]],BetTable[[B1]:[B1]],$A30,BetTable[[Date]:[Date]], "&gt;="&amp;H$8,BetTable[[Date]:[Date]],"&lt;="&amp;EOMONTH(H$8,0))+SUMIFS(BetTable[[AR_per_bookie]:[AR_per_bookie]],BetTable[[B2]:[B2]],$A30,BetTable[[Date]:[Date]], "&gt;="&amp;H$8,BetTable[[Date]:[Date]],"&lt;="&amp;EOMONTH(H$8,0))+SUMIFS(BetTable[[AR_per_bookie]:[AR_per_bookie]],BetTable[[B3]:[B3]],$A30,BetTable[[Date]:[Date]], "&gt;="&amp;H$8,BetTable[[Date]:[Date]],"&lt;="&amp;EOMONTH(H$8,0))</f>
        <v>0</v>
      </c>
      <c r="I30" s="126">
        <f>SUMIFS(DWbonus[[Sum]:[Sum]],DWbonus[[Dato]:[Dato]], "&gt;="&amp;I$8,DWbonus[[Dato]:[Dato]],"&lt;="&amp;EOMONTH(I$8,0),DWbonus[[Bookie]:[Bookie]],$A30)+SUMIFS(LayTable[[Faktisk res]:[Faktisk res]],LayTable[[Dato]:[Dato]],"&gt;="&amp;I$8,LayTable[[Dato]:[Dato]],"&lt;="&amp;EOMONTH(I$8,0),LayTable[[Bookmaker]:[Bookmaker]],$A30)+SUMIFS(BetTable[[AR_per_bookie]:[AR_per_bookie]],BetTable[[B1]:[B1]],$A30,BetTable[[Date]:[Date]], "&gt;="&amp;I$8,BetTable[[Date]:[Date]],"&lt;="&amp;EOMONTH(I$8,0))+SUMIFS(BetTable[[AR_per_bookie]:[AR_per_bookie]],BetTable[[B2]:[B2]],$A30,BetTable[[Date]:[Date]], "&gt;="&amp;I$8,BetTable[[Date]:[Date]],"&lt;="&amp;EOMONTH(I$8,0))+SUMIFS(BetTable[[AR_per_bookie]:[AR_per_bookie]],BetTable[[B3]:[B3]],$A30,BetTable[[Date]:[Date]], "&gt;="&amp;I$8,BetTable[[Date]:[Date]],"&lt;="&amp;EOMONTH(I$8,0))</f>
        <v>0</v>
      </c>
      <c r="J30" s="126">
        <f>SUMIFS(DWbonus[[Sum]:[Sum]],DWbonus[[Dato]:[Dato]], "&gt;="&amp;J$8,DWbonus[[Dato]:[Dato]],"&lt;="&amp;EOMONTH(J$8,0),DWbonus[[Bookie]:[Bookie]],$A30)+SUMIFS(LayTable[[Faktisk res]:[Faktisk res]],LayTable[[Dato]:[Dato]],"&gt;="&amp;J$8,LayTable[[Dato]:[Dato]],"&lt;="&amp;EOMONTH(J$8,0),LayTable[[Bookmaker]:[Bookmaker]],$A30)+SUMIFS(BetTable[[AR_per_bookie]:[AR_per_bookie]],BetTable[[B1]:[B1]],$A30,BetTable[[Date]:[Date]], "&gt;="&amp;J$8,BetTable[[Date]:[Date]],"&lt;="&amp;EOMONTH(J$8,0))+SUMIFS(BetTable[[AR_per_bookie]:[AR_per_bookie]],BetTable[[B2]:[B2]],$A30,BetTable[[Date]:[Date]], "&gt;="&amp;J$8,BetTable[[Date]:[Date]],"&lt;="&amp;EOMONTH(J$8,0))+SUMIFS(BetTable[[AR_per_bookie]:[AR_per_bookie]],BetTable[[B3]:[B3]],$A30,BetTable[[Date]:[Date]], "&gt;="&amp;J$8,BetTable[[Date]:[Date]],"&lt;="&amp;EOMONTH(J$8,0))</f>
        <v>0</v>
      </c>
      <c r="K30" s="126">
        <f>SUMIFS(DWbonus[[Sum]:[Sum]],DWbonus[[Dato]:[Dato]], "&gt;="&amp;K$8,DWbonus[[Dato]:[Dato]],"&lt;="&amp;EOMONTH(K$8,0),DWbonus[[Bookie]:[Bookie]],$A30)+SUMIFS(LayTable[[Faktisk res]:[Faktisk res]],LayTable[[Dato]:[Dato]],"&gt;="&amp;K$8,LayTable[[Dato]:[Dato]],"&lt;="&amp;EOMONTH(K$8,0),LayTable[[Bookmaker]:[Bookmaker]],$A30)+SUMIFS(BetTable[[AR_per_bookie]:[AR_per_bookie]],BetTable[[B1]:[B1]],$A30,BetTable[[Date]:[Date]], "&gt;="&amp;K$8,BetTable[[Date]:[Date]],"&lt;="&amp;EOMONTH(K$8,0))+SUMIFS(BetTable[[AR_per_bookie]:[AR_per_bookie]],BetTable[[B2]:[B2]],$A30,BetTable[[Date]:[Date]], "&gt;="&amp;K$8,BetTable[[Date]:[Date]],"&lt;="&amp;EOMONTH(K$8,0))+SUMIFS(BetTable[[AR_per_bookie]:[AR_per_bookie]],BetTable[[B3]:[B3]],$A30,BetTable[[Date]:[Date]], "&gt;="&amp;K$8,BetTable[[Date]:[Date]],"&lt;="&amp;EOMONTH(K$8,0))</f>
        <v>0</v>
      </c>
      <c r="L30" s="126">
        <f>SUMIFS(DWbonus[[Sum]:[Sum]],DWbonus[[Dato]:[Dato]], "&gt;="&amp;L$8,DWbonus[[Dato]:[Dato]],"&lt;="&amp;EOMONTH(L$8,0),DWbonus[[Bookie]:[Bookie]],$A30)+SUMIFS(LayTable[[Faktisk res]:[Faktisk res]],LayTable[[Dato]:[Dato]],"&gt;="&amp;L$8,LayTable[[Dato]:[Dato]],"&lt;="&amp;EOMONTH(L$8,0),LayTable[[Bookmaker]:[Bookmaker]],$A30)+SUMIFS(BetTable[[AR_per_bookie]:[AR_per_bookie]],BetTable[[B1]:[B1]],$A30,BetTable[[Date]:[Date]], "&gt;="&amp;L$8,BetTable[[Date]:[Date]],"&lt;="&amp;EOMONTH(L$8,0))+SUMIFS(BetTable[[AR_per_bookie]:[AR_per_bookie]],BetTable[[B2]:[B2]],$A30,BetTable[[Date]:[Date]], "&gt;="&amp;L$8,BetTable[[Date]:[Date]],"&lt;="&amp;EOMONTH(L$8,0))+SUMIFS(BetTable[[AR_per_bookie]:[AR_per_bookie]],BetTable[[B3]:[B3]],$A30,BetTable[[Date]:[Date]], "&gt;="&amp;L$8,BetTable[[Date]:[Date]],"&lt;="&amp;EOMONTH(L$8,0))</f>
        <v>0</v>
      </c>
      <c r="M30" s="126">
        <f>SUMIFS(DWbonus[[Sum]:[Sum]],DWbonus[[Dato]:[Dato]], "&gt;="&amp;M$8,DWbonus[[Dato]:[Dato]],"&lt;="&amp;EOMONTH(M$8,0),DWbonus[[Bookie]:[Bookie]],$A30)+SUMIFS(LayTable[[Faktisk res]:[Faktisk res]],LayTable[[Dato]:[Dato]],"&gt;="&amp;M$8,LayTable[[Dato]:[Dato]],"&lt;="&amp;EOMONTH(M$8,0),LayTable[[Bookmaker]:[Bookmaker]],$A30)+SUMIFS(BetTable[[AR_per_bookie]:[AR_per_bookie]],BetTable[[B1]:[B1]],$A30,BetTable[[Date]:[Date]], "&gt;="&amp;M$8,BetTable[[Date]:[Date]],"&lt;="&amp;EOMONTH(M$8,0))+SUMIFS(BetTable[[AR_per_bookie]:[AR_per_bookie]],BetTable[[B2]:[B2]],$A30,BetTable[[Date]:[Date]], "&gt;="&amp;M$8,BetTable[[Date]:[Date]],"&lt;="&amp;EOMONTH(M$8,0))+SUMIFS(BetTable[[AR_per_bookie]:[AR_per_bookie]],BetTable[[B3]:[B3]],$A30,BetTable[[Date]:[Date]], "&gt;="&amp;M$8,BetTable[[Date]:[Date]],"&lt;="&amp;EOMONTH(M$8,0))</f>
        <v>0</v>
      </c>
      <c r="N30" s="126">
        <f>SUMIFS(DWbonus[[Sum]:[Sum]],DWbonus[[Dato]:[Dato]], "&gt;="&amp;N$8,DWbonus[[Dato]:[Dato]],"&lt;="&amp;EOMONTH(N$8,0),DWbonus[[Bookie]:[Bookie]],$A30)+SUMIFS(LayTable[[Faktisk res]:[Faktisk res]],LayTable[[Dato]:[Dato]],"&gt;="&amp;N$8,LayTable[[Dato]:[Dato]],"&lt;="&amp;EOMONTH(N$8,0),LayTable[[Bookmaker]:[Bookmaker]],$A30)+SUMIFS(BetTable[[AR_per_bookie]:[AR_per_bookie]],BetTable[[B1]:[B1]],$A30,BetTable[[Date]:[Date]], "&gt;="&amp;N$8,BetTable[[Date]:[Date]],"&lt;="&amp;EOMONTH(N$8,0))+SUMIFS(BetTable[[AR_per_bookie]:[AR_per_bookie]],BetTable[[B2]:[B2]],$A30,BetTable[[Date]:[Date]], "&gt;="&amp;N$8,BetTable[[Date]:[Date]],"&lt;="&amp;EOMONTH(N$8,0))+SUMIFS(BetTable[[AR_per_bookie]:[AR_per_bookie]],BetTable[[B3]:[B3]],$A30,BetTable[[Date]:[Date]], "&gt;="&amp;N$8,BetTable[[Date]:[Date]],"&lt;="&amp;EOMONTH(N$8,0))</f>
        <v>0</v>
      </c>
      <c r="O30" s="126">
        <f>SUMIFS(DWbonus[[Sum]:[Sum]],DWbonus[[Dato]:[Dato]], "&gt;="&amp;O$8,DWbonus[[Dato]:[Dato]],"&lt;="&amp;EOMONTH(O$8,0),DWbonus[[Bookie]:[Bookie]],$A30)+SUMIFS(LayTable[[Faktisk res]:[Faktisk res]],LayTable[[Dato]:[Dato]],"&gt;="&amp;O$8,LayTable[[Dato]:[Dato]],"&lt;="&amp;EOMONTH(O$8,0),LayTable[[Bookmaker]:[Bookmaker]],$A30)+SUMIFS(BetTable[[AR_per_bookie]:[AR_per_bookie]],BetTable[[B1]:[B1]],$A30,BetTable[[Date]:[Date]], "&gt;="&amp;O$8,BetTable[[Date]:[Date]],"&lt;="&amp;EOMONTH(O$8,0))+SUMIFS(BetTable[[AR_per_bookie]:[AR_per_bookie]],BetTable[[B2]:[B2]],$A30,BetTable[[Date]:[Date]], "&gt;="&amp;O$8,BetTable[[Date]:[Date]],"&lt;="&amp;EOMONTH(O$8,0))+SUMIFS(BetTable[[AR_per_bookie]:[AR_per_bookie]],BetTable[[B3]:[B3]],$A30,BetTable[[Date]:[Date]], "&gt;="&amp;O$8,BetTable[[Date]:[Date]],"&lt;="&amp;EOMONTH(O$8,0))</f>
        <v>0</v>
      </c>
      <c r="P30" s="126">
        <f>SUMIFS(DWbonus[[Sum]:[Sum]],DWbonus[[Dato]:[Dato]], "&gt;="&amp;P$8,DWbonus[[Dato]:[Dato]],"&lt;="&amp;EOMONTH(P$8,0),DWbonus[[Bookie]:[Bookie]],$A30)+SUMIFS(LayTable[[Faktisk res]:[Faktisk res]],LayTable[[Dato]:[Dato]],"&gt;="&amp;P$8,LayTable[[Dato]:[Dato]],"&lt;="&amp;EOMONTH(P$8,0),LayTable[[Bookmaker]:[Bookmaker]],$A30)+SUMIFS(BetTable[[AR_per_bookie]:[AR_per_bookie]],BetTable[[B1]:[B1]],$A30,BetTable[[Date]:[Date]], "&gt;="&amp;P$8,BetTable[[Date]:[Date]],"&lt;="&amp;EOMONTH(P$8,0))+SUMIFS(BetTable[[AR_per_bookie]:[AR_per_bookie]],BetTable[[B2]:[B2]],$A30,BetTable[[Date]:[Date]], "&gt;="&amp;P$8,BetTable[[Date]:[Date]],"&lt;="&amp;EOMONTH(P$8,0))+SUMIFS(BetTable[[AR_per_bookie]:[AR_per_bookie]],BetTable[[B3]:[B3]],$A30,BetTable[[Date]:[Date]], "&gt;="&amp;P$8,BetTable[[Date]:[Date]],"&lt;="&amp;EOMONTH(P$8,0))</f>
        <v>0</v>
      </c>
      <c r="Q30" s="126">
        <f>SUMIFS(DWbonus[[Sum]:[Sum]],DWbonus[[Dato]:[Dato]], "&gt;="&amp;Q$8,DWbonus[[Dato]:[Dato]],"&lt;="&amp;EOMONTH(Q$8,0),DWbonus[[Bookie]:[Bookie]],$A30)+SUMIFS(LayTable[[Faktisk res]:[Faktisk res]],LayTable[[Dato]:[Dato]],"&gt;="&amp;Q$8,LayTable[[Dato]:[Dato]],"&lt;="&amp;EOMONTH(Q$8,0),LayTable[[Bookmaker]:[Bookmaker]],$A30)+SUMIFS(BetTable[[AR_per_bookie]:[AR_per_bookie]],BetTable[[B1]:[B1]],$A30,BetTable[[Date]:[Date]], "&gt;="&amp;Q$8,BetTable[[Date]:[Date]],"&lt;="&amp;EOMONTH(Q$8,0))+SUMIFS(BetTable[[AR_per_bookie]:[AR_per_bookie]],BetTable[[B2]:[B2]],$A30,BetTable[[Date]:[Date]], "&gt;="&amp;Q$8,BetTable[[Date]:[Date]],"&lt;="&amp;EOMONTH(Q$8,0))+SUMIFS(BetTable[[AR_per_bookie]:[AR_per_bookie]],BetTable[[B3]:[B3]],$A30,BetTable[[Date]:[Date]], "&gt;="&amp;Q$8,BetTable[[Date]:[Date]],"&lt;="&amp;EOMONTH(Q$8,0))</f>
        <v>0</v>
      </c>
      <c r="R30" s="126">
        <f>SUMIFS(DWbonus[[Sum]:[Sum]],DWbonus[[Dato]:[Dato]], "&gt;="&amp;R$8,DWbonus[[Dato]:[Dato]],"&lt;="&amp;EOMONTH(R$8,0),DWbonus[[Bookie]:[Bookie]],$A30)+SUMIFS(LayTable[[Faktisk res]:[Faktisk res]],LayTable[[Dato]:[Dato]],"&gt;="&amp;R$8,LayTable[[Dato]:[Dato]],"&lt;="&amp;EOMONTH(R$8,0),LayTable[[Bookmaker]:[Bookmaker]],$A30)+SUMIFS(BetTable[[AR_per_bookie]:[AR_per_bookie]],BetTable[[B1]:[B1]],$A30,BetTable[[Date]:[Date]], "&gt;="&amp;R$8,BetTable[[Date]:[Date]],"&lt;="&amp;EOMONTH(R$8,0))+SUMIFS(BetTable[[AR_per_bookie]:[AR_per_bookie]],BetTable[[B2]:[B2]],$A30,BetTable[[Date]:[Date]], "&gt;="&amp;R$8,BetTable[[Date]:[Date]],"&lt;="&amp;EOMONTH(R$8,0))+SUMIFS(BetTable[[AR_per_bookie]:[AR_per_bookie]],BetTable[[B3]:[B3]],$A30,BetTable[[Date]:[Date]], "&gt;="&amp;R$8,BetTable[[Date]:[Date]],"&lt;="&amp;EOMONTH(R$8,0))</f>
        <v>0</v>
      </c>
      <c r="S30" s="126">
        <f>SUMIFS(DWbonus[[Sum]:[Sum]],DWbonus[[Dato]:[Dato]], "&gt;="&amp;S$8,DWbonus[[Dato]:[Dato]],"&lt;="&amp;EOMONTH(S$8,0),DWbonus[[Bookie]:[Bookie]],$A30)+SUMIFS(LayTable[[Faktisk res]:[Faktisk res]],LayTable[[Dato]:[Dato]],"&gt;="&amp;S$8,LayTable[[Dato]:[Dato]],"&lt;="&amp;EOMONTH(S$8,0),LayTable[[Bookmaker]:[Bookmaker]],$A30)+SUMIFS(BetTable[[AR_per_bookie]:[AR_per_bookie]],BetTable[[B1]:[B1]],$A30,BetTable[[Date]:[Date]], "&gt;="&amp;S$8,BetTable[[Date]:[Date]],"&lt;="&amp;EOMONTH(S$8,0))+SUMIFS(BetTable[[AR_per_bookie]:[AR_per_bookie]],BetTable[[B2]:[B2]],$A30,BetTable[[Date]:[Date]], "&gt;="&amp;S$8,BetTable[[Date]:[Date]],"&lt;="&amp;EOMONTH(S$8,0))+SUMIFS(BetTable[[AR_per_bookie]:[AR_per_bookie]],BetTable[[B3]:[B3]],$A30,BetTable[[Date]:[Date]], "&gt;="&amp;S$8,BetTable[[Date]:[Date]],"&lt;="&amp;EOMONTH(S$8,0))</f>
        <v>0</v>
      </c>
    </row>
    <row r="31" spans="1:19">
      <c r="A31" s="115" t="str">
        <f>BookieNavn!I23</f>
        <v>Comeon</v>
      </c>
      <c r="B31" s="126">
        <f>SUMIF(Penger!D$1:D$50072,A31,Penger!F$1:F$50072)</f>
        <v>0</v>
      </c>
      <c r="C31" s="126">
        <f>SUMIF(Penger!T$1:T$50072,A31,Penger!U$1:U$50072)</f>
        <v>0</v>
      </c>
      <c r="D31" s="126">
        <f ca="1">SUMIF(Spill!C$1:C$499895,A31,Spill!T$1:T$49895)+C31</f>
        <v>0</v>
      </c>
      <c r="E31" s="126">
        <f>SUMIF(Spill!C$1:C$49895,A31,Spill!T$1:T$49895)</f>
        <v>0</v>
      </c>
      <c r="F31" s="121" t="e">
        <f t="shared" ca="1" si="1"/>
        <v>#DIV/0!</v>
      </c>
      <c r="H31" s="126">
        <f>SUMIFS(DWbonus[[Sum]:[Sum]],DWbonus[[Dato]:[Dato]], "&gt;="&amp;H$8,DWbonus[[Dato]:[Dato]],"&lt;="&amp;EOMONTH(H$8,0),DWbonus[[Bookie]:[Bookie]],$A31)+SUMIFS(LayTable[[Faktisk res]:[Faktisk res]],LayTable[[Dato]:[Dato]],"&gt;="&amp;H$8,LayTable[[Dato]:[Dato]],"&lt;="&amp;EOMONTH(H$8,0),LayTable[[Bookmaker]:[Bookmaker]],$A31)+SUMIFS(BetTable[[AR_per_bookie]:[AR_per_bookie]],BetTable[[B1]:[B1]],$A31,BetTable[[Date]:[Date]], "&gt;="&amp;H$8,BetTable[[Date]:[Date]],"&lt;="&amp;EOMONTH(H$8,0))+SUMIFS(BetTable[[AR_per_bookie]:[AR_per_bookie]],BetTable[[B2]:[B2]],$A31,BetTable[[Date]:[Date]], "&gt;="&amp;H$8,BetTable[[Date]:[Date]],"&lt;="&amp;EOMONTH(H$8,0))+SUMIFS(BetTable[[AR_per_bookie]:[AR_per_bookie]],BetTable[[B3]:[B3]],$A31,BetTable[[Date]:[Date]], "&gt;="&amp;H$8,BetTable[[Date]:[Date]],"&lt;="&amp;EOMONTH(H$8,0))</f>
        <v>0</v>
      </c>
      <c r="I31" s="126">
        <f>SUMIFS(DWbonus[[Sum]:[Sum]],DWbonus[[Dato]:[Dato]], "&gt;="&amp;I$8,DWbonus[[Dato]:[Dato]],"&lt;="&amp;EOMONTH(I$8,0),DWbonus[[Bookie]:[Bookie]],$A31)+SUMIFS(LayTable[[Faktisk res]:[Faktisk res]],LayTable[[Dato]:[Dato]],"&gt;="&amp;I$8,LayTable[[Dato]:[Dato]],"&lt;="&amp;EOMONTH(I$8,0),LayTable[[Bookmaker]:[Bookmaker]],$A31)+SUMIFS(BetTable[[AR_per_bookie]:[AR_per_bookie]],BetTable[[B1]:[B1]],$A31,BetTable[[Date]:[Date]], "&gt;="&amp;I$8,BetTable[[Date]:[Date]],"&lt;="&amp;EOMONTH(I$8,0))+SUMIFS(BetTable[[AR_per_bookie]:[AR_per_bookie]],BetTable[[B2]:[B2]],$A31,BetTable[[Date]:[Date]], "&gt;="&amp;I$8,BetTable[[Date]:[Date]],"&lt;="&amp;EOMONTH(I$8,0))+SUMIFS(BetTable[[AR_per_bookie]:[AR_per_bookie]],BetTable[[B3]:[B3]],$A31,BetTable[[Date]:[Date]], "&gt;="&amp;I$8,BetTable[[Date]:[Date]],"&lt;="&amp;EOMONTH(I$8,0))</f>
        <v>0</v>
      </c>
      <c r="J31" s="126">
        <f>SUMIFS(DWbonus[[Sum]:[Sum]],DWbonus[[Dato]:[Dato]], "&gt;="&amp;J$8,DWbonus[[Dato]:[Dato]],"&lt;="&amp;EOMONTH(J$8,0),DWbonus[[Bookie]:[Bookie]],$A31)+SUMIFS(LayTable[[Faktisk res]:[Faktisk res]],LayTable[[Dato]:[Dato]],"&gt;="&amp;J$8,LayTable[[Dato]:[Dato]],"&lt;="&amp;EOMONTH(J$8,0),LayTable[[Bookmaker]:[Bookmaker]],$A31)+SUMIFS(BetTable[[AR_per_bookie]:[AR_per_bookie]],BetTable[[B1]:[B1]],$A31,BetTable[[Date]:[Date]], "&gt;="&amp;J$8,BetTable[[Date]:[Date]],"&lt;="&amp;EOMONTH(J$8,0))+SUMIFS(BetTable[[AR_per_bookie]:[AR_per_bookie]],BetTable[[B2]:[B2]],$A31,BetTable[[Date]:[Date]], "&gt;="&amp;J$8,BetTable[[Date]:[Date]],"&lt;="&amp;EOMONTH(J$8,0))+SUMIFS(BetTable[[AR_per_bookie]:[AR_per_bookie]],BetTable[[B3]:[B3]],$A31,BetTable[[Date]:[Date]], "&gt;="&amp;J$8,BetTable[[Date]:[Date]],"&lt;="&amp;EOMONTH(J$8,0))</f>
        <v>0</v>
      </c>
      <c r="K31" s="126">
        <f>SUMIFS(DWbonus[[Sum]:[Sum]],DWbonus[[Dato]:[Dato]], "&gt;="&amp;K$8,DWbonus[[Dato]:[Dato]],"&lt;="&amp;EOMONTH(K$8,0),DWbonus[[Bookie]:[Bookie]],$A31)+SUMIFS(LayTable[[Faktisk res]:[Faktisk res]],LayTable[[Dato]:[Dato]],"&gt;="&amp;K$8,LayTable[[Dato]:[Dato]],"&lt;="&amp;EOMONTH(K$8,0),LayTable[[Bookmaker]:[Bookmaker]],$A31)+SUMIFS(BetTable[[AR_per_bookie]:[AR_per_bookie]],BetTable[[B1]:[B1]],$A31,BetTable[[Date]:[Date]], "&gt;="&amp;K$8,BetTable[[Date]:[Date]],"&lt;="&amp;EOMONTH(K$8,0))+SUMIFS(BetTable[[AR_per_bookie]:[AR_per_bookie]],BetTable[[B2]:[B2]],$A31,BetTable[[Date]:[Date]], "&gt;="&amp;K$8,BetTable[[Date]:[Date]],"&lt;="&amp;EOMONTH(K$8,0))+SUMIFS(BetTable[[AR_per_bookie]:[AR_per_bookie]],BetTable[[B3]:[B3]],$A31,BetTable[[Date]:[Date]], "&gt;="&amp;K$8,BetTable[[Date]:[Date]],"&lt;="&amp;EOMONTH(K$8,0))</f>
        <v>0</v>
      </c>
      <c r="L31" s="126">
        <f>SUMIFS(DWbonus[[Sum]:[Sum]],DWbonus[[Dato]:[Dato]], "&gt;="&amp;L$8,DWbonus[[Dato]:[Dato]],"&lt;="&amp;EOMONTH(L$8,0),DWbonus[[Bookie]:[Bookie]],$A31)+SUMIFS(LayTable[[Faktisk res]:[Faktisk res]],LayTable[[Dato]:[Dato]],"&gt;="&amp;L$8,LayTable[[Dato]:[Dato]],"&lt;="&amp;EOMONTH(L$8,0),LayTable[[Bookmaker]:[Bookmaker]],$A31)+SUMIFS(BetTable[[AR_per_bookie]:[AR_per_bookie]],BetTable[[B1]:[B1]],$A31,BetTable[[Date]:[Date]], "&gt;="&amp;L$8,BetTable[[Date]:[Date]],"&lt;="&amp;EOMONTH(L$8,0))+SUMIFS(BetTable[[AR_per_bookie]:[AR_per_bookie]],BetTable[[B2]:[B2]],$A31,BetTable[[Date]:[Date]], "&gt;="&amp;L$8,BetTable[[Date]:[Date]],"&lt;="&amp;EOMONTH(L$8,0))+SUMIFS(BetTable[[AR_per_bookie]:[AR_per_bookie]],BetTable[[B3]:[B3]],$A31,BetTable[[Date]:[Date]], "&gt;="&amp;L$8,BetTable[[Date]:[Date]],"&lt;="&amp;EOMONTH(L$8,0))</f>
        <v>0</v>
      </c>
      <c r="M31" s="126">
        <f>SUMIFS(DWbonus[[Sum]:[Sum]],DWbonus[[Dato]:[Dato]], "&gt;="&amp;M$8,DWbonus[[Dato]:[Dato]],"&lt;="&amp;EOMONTH(M$8,0),DWbonus[[Bookie]:[Bookie]],$A31)+SUMIFS(LayTable[[Faktisk res]:[Faktisk res]],LayTable[[Dato]:[Dato]],"&gt;="&amp;M$8,LayTable[[Dato]:[Dato]],"&lt;="&amp;EOMONTH(M$8,0),LayTable[[Bookmaker]:[Bookmaker]],$A31)+SUMIFS(BetTable[[AR_per_bookie]:[AR_per_bookie]],BetTable[[B1]:[B1]],$A31,BetTable[[Date]:[Date]], "&gt;="&amp;M$8,BetTable[[Date]:[Date]],"&lt;="&amp;EOMONTH(M$8,0))+SUMIFS(BetTable[[AR_per_bookie]:[AR_per_bookie]],BetTable[[B2]:[B2]],$A31,BetTable[[Date]:[Date]], "&gt;="&amp;M$8,BetTable[[Date]:[Date]],"&lt;="&amp;EOMONTH(M$8,0))+SUMIFS(BetTable[[AR_per_bookie]:[AR_per_bookie]],BetTable[[B3]:[B3]],$A31,BetTable[[Date]:[Date]], "&gt;="&amp;M$8,BetTable[[Date]:[Date]],"&lt;="&amp;EOMONTH(M$8,0))</f>
        <v>0</v>
      </c>
      <c r="N31" s="126">
        <f>SUMIFS(DWbonus[[Sum]:[Sum]],DWbonus[[Dato]:[Dato]], "&gt;="&amp;N$8,DWbonus[[Dato]:[Dato]],"&lt;="&amp;EOMONTH(N$8,0),DWbonus[[Bookie]:[Bookie]],$A31)+SUMIFS(LayTable[[Faktisk res]:[Faktisk res]],LayTable[[Dato]:[Dato]],"&gt;="&amp;N$8,LayTable[[Dato]:[Dato]],"&lt;="&amp;EOMONTH(N$8,0),LayTable[[Bookmaker]:[Bookmaker]],$A31)+SUMIFS(BetTable[[AR_per_bookie]:[AR_per_bookie]],BetTable[[B1]:[B1]],$A31,BetTable[[Date]:[Date]], "&gt;="&amp;N$8,BetTable[[Date]:[Date]],"&lt;="&amp;EOMONTH(N$8,0))+SUMIFS(BetTable[[AR_per_bookie]:[AR_per_bookie]],BetTable[[B2]:[B2]],$A31,BetTable[[Date]:[Date]], "&gt;="&amp;N$8,BetTable[[Date]:[Date]],"&lt;="&amp;EOMONTH(N$8,0))+SUMIFS(BetTable[[AR_per_bookie]:[AR_per_bookie]],BetTable[[B3]:[B3]],$A31,BetTable[[Date]:[Date]], "&gt;="&amp;N$8,BetTable[[Date]:[Date]],"&lt;="&amp;EOMONTH(N$8,0))</f>
        <v>0</v>
      </c>
      <c r="O31" s="126">
        <f>SUMIFS(DWbonus[[Sum]:[Sum]],DWbonus[[Dato]:[Dato]], "&gt;="&amp;O$8,DWbonus[[Dato]:[Dato]],"&lt;="&amp;EOMONTH(O$8,0),DWbonus[[Bookie]:[Bookie]],$A31)+SUMIFS(LayTable[[Faktisk res]:[Faktisk res]],LayTable[[Dato]:[Dato]],"&gt;="&amp;O$8,LayTable[[Dato]:[Dato]],"&lt;="&amp;EOMONTH(O$8,0),LayTable[[Bookmaker]:[Bookmaker]],$A31)+SUMIFS(BetTable[[AR_per_bookie]:[AR_per_bookie]],BetTable[[B1]:[B1]],$A31,BetTable[[Date]:[Date]], "&gt;="&amp;O$8,BetTable[[Date]:[Date]],"&lt;="&amp;EOMONTH(O$8,0))+SUMIFS(BetTable[[AR_per_bookie]:[AR_per_bookie]],BetTable[[B2]:[B2]],$A31,BetTable[[Date]:[Date]], "&gt;="&amp;O$8,BetTable[[Date]:[Date]],"&lt;="&amp;EOMONTH(O$8,0))+SUMIFS(BetTable[[AR_per_bookie]:[AR_per_bookie]],BetTable[[B3]:[B3]],$A31,BetTable[[Date]:[Date]], "&gt;="&amp;O$8,BetTable[[Date]:[Date]],"&lt;="&amp;EOMONTH(O$8,0))</f>
        <v>0</v>
      </c>
      <c r="P31" s="126">
        <f>SUMIFS(DWbonus[[Sum]:[Sum]],DWbonus[[Dato]:[Dato]], "&gt;="&amp;P$8,DWbonus[[Dato]:[Dato]],"&lt;="&amp;EOMONTH(P$8,0),DWbonus[[Bookie]:[Bookie]],$A31)+SUMIFS(LayTable[[Faktisk res]:[Faktisk res]],LayTable[[Dato]:[Dato]],"&gt;="&amp;P$8,LayTable[[Dato]:[Dato]],"&lt;="&amp;EOMONTH(P$8,0),LayTable[[Bookmaker]:[Bookmaker]],$A31)+SUMIFS(BetTable[[AR_per_bookie]:[AR_per_bookie]],BetTable[[B1]:[B1]],$A31,BetTable[[Date]:[Date]], "&gt;="&amp;P$8,BetTable[[Date]:[Date]],"&lt;="&amp;EOMONTH(P$8,0))+SUMIFS(BetTable[[AR_per_bookie]:[AR_per_bookie]],BetTable[[B2]:[B2]],$A31,BetTable[[Date]:[Date]], "&gt;="&amp;P$8,BetTable[[Date]:[Date]],"&lt;="&amp;EOMONTH(P$8,0))+SUMIFS(BetTable[[AR_per_bookie]:[AR_per_bookie]],BetTable[[B3]:[B3]],$A31,BetTable[[Date]:[Date]], "&gt;="&amp;P$8,BetTable[[Date]:[Date]],"&lt;="&amp;EOMONTH(P$8,0))</f>
        <v>0</v>
      </c>
      <c r="Q31" s="126">
        <f>SUMIFS(DWbonus[[Sum]:[Sum]],DWbonus[[Dato]:[Dato]], "&gt;="&amp;Q$8,DWbonus[[Dato]:[Dato]],"&lt;="&amp;EOMONTH(Q$8,0),DWbonus[[Bookie]:[Bookie]],$A31)+SUMIFS(LayTable[[Faktisk res]:[Faktisk res]],LayTable[[Dato]:[Dato]],"&gt;="&amp;Q$8,LayTable[[Dato]:[Dato]],"&lt;="&amp;EOMONTH(Q$8,0),LayTable[[Bookmaker]:[Bookmaker]],$A31)+SUMIFS(BetTable[[AR_per_bookie]:[AR_per_bookie]],BetTable[[B1]:[B1]],$A31,BetTable[[Date]:[Date]], "&gt;="&amp;Q$8,BetTable[[Date]:[Date]],"&lt;="&amp;EOMONTH(Q$8,0))+SUMIFS(BetTable[[AR_per_bookie]:[AR_per_bookie]],BetTable[[B2]:[B2]],$A31,BetTable[[Date]:[Date]], "&gt;="&amp;Q$8,BetTable[[Date]:[Date]],"&lt;="&amp;EOMONTH(Q$8,0))+SUMIFS(BetTable[[AR_per_bookie]:[AR_per_bookie]],BetTable[[B3]:[B3]],$A31,BetTable[[Date]:[Date]], "&gt;="&amp;Q$8,BetTable[[Date]:[Date]],"&lt;="&amp;EOMONTH(Q$8,0))</f>
        <v>0</v>
      </c>
      <c r="R31" s="126">
        <f>SUMIFS(DWbonus[[Sum]:[Sum]],DWbonus[[Dato]:[Dato]], "&gt;="&amp;R$8,DWbonus[[Dato]:[Dato]],"&lt;="&amp;EOMONTH(R$8,0),DWbonus[[Bookie]:[Bookie]],$A31)+SUMIFS(LayTable[[Faktisk res]:[Faktisk res]],LayTable[[Dato]:[Dato]],"&gt;="&amp;R$8,LayTable[[Dato]:[Dato]],"&lt;="&amp;EOMONTH(R$8,0),LayTable[[Bookmaker]:[Bookmaker]],$A31)+SUMIFS(BetTable[[AR_per_bookie]:[AR_per_bookie]],BetTable[[B1]:[B1]],$A31,BetTable[[Date]:[Date]], "&gt;="&amp;R$8,BetTable[[Date]:[Date]],"&lt;="&amp;EOMONTH(R$8,0))+SUMIFS(BetTable[[AR_per_bookie]:[AR_per_bookie]],BetTable[[B2]:[B2]],$A31,BetTable[[Date]:[Date]], "&gt;="&amp;R$8,BetTable[[Date]:[Date]],"&lt;="&amp;EOMONTH(R$8,0))+SUMIFS(BetTable[[AR_per_bookie]:[AR_per_bookie]],BetTable[[B3]:[B3]],$A31,BetTable[[Date]:[Date]], "&gt;="&amp;R$8,BetTable[[Date]:[Date]],"&lt;="&amp;EOMONTH(R$8,0))</f>
        <v>0</v>
      </c>
      <c r="S31" s="126">
        <f>SUMIFS(DWbonus[[Sum]:[Sum]],DWbonus[[Dato]:[Dato]], "&gt;="&amp;S$8,DWbonus[[Dato]:[Dato]],"&lt;="&amp;EOMONTH(S$8,0),DWbonus[[Bookie]:[Bookie]],$A31)+SUMIFS(LayTable[[Faktisk res]:[Faktisk res]],LayTable[[Dato]:[Dato]],"&gt;="&amp;S$8,LayTable[[Dato]:[Dato]],"&lt;="&amp;EOMONTH(S$8,0),LayTable[[Bookmaker]:[Bookmaker]],$A31)+SUMIFS(BetTable[[AR_per_bookie]:[AR_per_bookie]],BetTable[[B1]:[B1]],$A31,BetTable[[Date]:[Date]], "&gt;="&amp;S$8,BetTable[[Date]:[Date]],"&lt;="&amp;EOMONTH(S$8,0))+SUMIFS(BetTable[[AR_per_bookie]:[AR_per_bookie]],BetTable[[B2]:[B2]],$A31,BetTable[[Date]:[Date]], "&gt;="&amp;S$8,BetTable[[Date]:[Date]],"&lt;="&amp;EOMONTH(S$8,0))+SUMIFS(BetTable[[AR_per_bookie]:[AR_per_bookie]],BetTable[[B3]:[B3]],$A31,BetTable[[Date]:[Date]], "&gt;="&amp;S$8,BetTable[[Date]:[Date]],"&lt;="&amp;EOMONTH(S$8,0))</f>
        <v>0</v>
      </c>
    </row>
    <row r="32" spans="1:19">
      <c r="A32" s="115" t="str">
        <f>BookieNavn!I24</f>
        <v>Coolbet</v>
      </c>
      <c r="B32" s="126">
        <f>SUMIF(Penger!D$1:D$50072,A32,Penger!F$1:F$50072)</f>
        <v>200</v>
      </c>
      <c r="C32" s="126">
        <f>SUMIF(Penger!T$1:T$50072,A32,Penger!U$1:U$50072)</f>
        <v>0</v>
      </c>
      <c r="D32" s="126">
        <f ca="1">SUMIF(Spill!C$1:C$499895,A32,Spill!T$1:T$49895)+C32</f>
        <v>0</v>
      </c>
      <c r="E32" s="126">
        <f>SUMIF(Spill!C$1:C$49895,A32,Spill!T$1:T$49895)</f>
        <v>0</v>
      </c>
      <c r="F32" s="121" t="e">
        <f t="shared" ca="1" si="1"/>
        <v>#DIV/0!</v>
      </c>
      <c r="H32" s="126">
        <f>SUMIFS(DWbonus[[Sum]:[Sum]],DWbonus[[Dato]:[Dato]], "&gt;="&amp;H$8,DWbonus[[Dato]:[Dato]],"&lt;="&amp;EOMONTH(H$8,0),DWbonus[[Bookie]:[Bookie]],$A32)+SUMIFS(LayTable[[Faktisk res]:[Faktisk res]],LayTable[[Dato]:[Dato]],"&gt;="&amp;H$8,LayTable[[Dato]:[Dato]],"&lt;="&amp;EOMONTH(H$8,0),LayTable[[Bookmaker]:[Bookmaker]],$A32)+SUMIFS(BetTable[[AR_per_bookie]:[AR_per_bookie]],BetTable[[B1]:[B1]],$A32,BetTable[[Date]:[Date]], "&gt;="&amp;H$8,BetTable[[Date]:[Date]],"&lt;="&amp;EOMONTH(H$8,0))+SUMIFS(BetTable[[AR_per_bookie]:[AR_per_bookie]],BetTable[[B2]:[B2]],$A32,BetTable[[Date]:[Date]], "&gt;="&amp;H$8,BetTable[[Date]:[Date]],"&lt;="&amp;EOMONTH(H$8,0))+SUMIFS(BetTable[[AR_per_bookie]:[AR_per_bookie]],BetTable[[B3]:[B3]],$A32,BetTable[[Date]:[Date]], "&gt;="&amp;H$8,BetTable[[Date]:[Date]],"&lt;="&amp;EOMONTH(H$8,0))</f>
        <v>0</v>
      </c>
      <c r="I32" s="126">
        <f>SUMIFS(DWbonus[[Sum]:[Sum]],DWbonus[[Dato]:[Dato]], "&gt;="&amp;I$8,DWbonus[[Dato]:[Dato]],"&lt;="&amp;EOMONTH(I$8,0),DWbonus[[Bookie]:[Bookie]],$A32)+SUMIFS(LayTable[[Faktisk res]:[Faktisk res]],LayTable[[Dato]:[Dato]],"&gt;="&amp;I$8,LayTable[[Dato]:[Dato]],"&lt;="&amp;EOMONTH(I$8,0),LayTable[[Bookmaker]:[Bookmaker]],$A32)+SUMIFS(BetTable[[AR_per_bookie]:[AR_per_bookie]],BetTable[[B1]:[B1]],$A32,BetTable[[Date]:[Date]], "&gt;="&amp;I$8,BetTable[[Date]:[Date]],"&lt;="&amp;EOMONTH(I$8,0))+SUMIFS(BetTable[[AR_per_bookie]:[AR_per_bookie]],BetTable[[B2]:[B2]],$A32,BetTable[[Date]:[Date]], "&gt;="&amp;I$8,BetTable[[Date]:[Date]],"&lt;="&amp;EOMONTH(I$8,0))+SUMIFS(BetTable[[AR_per_bookie]:[AR_per_bookie]],BetTable[[B3]:[B3]],$A32,BetTable[[Date]:[Date]], "&gt;="&amp;I$8,BetTable[[Date]:[Date]],"&lt;="&amp;EOMONTH(I$8,0))</f>
        <v>0</v>
      </c>
      <c r="J32" s="126">
        <f>SUMIFS(DWbonus[[Sum]:[Sum]],DWbonus[[Dato]:[Dato]], "&gt;="&amp;J$8,DWbonus[[Dato]:[Dato]],"&lt;="&amp;EOMONTH(J$8,0),DWbonus[[Bookie]:[Bookie]],$A32)+SUMIFS(LayTable[[Faktisk res]:[Faktisk res]],LayTable[[Dato]:[Dato]],"&gt;="&amp;J$8,LayTable[[Dato]:[Dato]],"&lt;="&amp;EOMONTH(J$8,0),LayTable[[Bookmaker]:[Bookmaker]],$A32)+SUMIFS(BetTable[[AR_per_bookie]:[AR_per_bookie]],BetTable[[B1]:[B1]],$A32,BetTable[[Date]:[Date]], "&gt;="&amp;J$8,BetTable[[Date]:[Date]],"&lt;="&amp;EOMONTH(J$8,0))+SUMIFS(BetTable[[AR_per_bookie]:[AR_per_bookie]],BetTable[[B2]:[B2]],$A32,BetTable[[Date]:[Date]], "&gt;="&amp;J$8,BetTable[[Date]:[Date]],"&lt;="&amp;EOMONTH(J$8,0))+SUMIFS(BetTable[[AR_per_bookie]:[AR_per_bookie]],BetTable[[B3]:[B3]],$A32,BetTable[[Date]:[Date]], "&gt;="&amp;J$8,BetTable[[Date]:[Date]],"&lt;="&amp;EOMONTH(J$8,0))</f>
        <v>0</v>
      </c>
      <c r="K32" s="126">
        <f>SUMIFS(DWbonus[[Sum]:[Sum]],DWbonus[[Dato]:[Dato]], "&gt;="&amp;K$8,DWbonus[[Dato]:[Dato]],"&lt;="&amp;EOMONTH(K$8,0),DWbonus[[Bookie]:[Bookie]],$A32)+SUMIFS(LayTable[[Faktisk res]:[Faktisk res]],LayTable[[Dato]:[Dato]],"&gt;="&amp;K$8,LayTable[[Dato]:[Dato]],"&lt;="&amp;EOMONTH(K$8,0),LayTable[[Bookmaker]:[Bookmaker]],$A32)+SUMIFS(BetTable[[AR_per_bookie]:[AR_per_bookie]],BetTable[[B1]:[B1]],$A32,BetTable[[Date]:[Date]], "&gt;="&amp;K$8,BetTable[[Date]:[Date]],"&lt;="&amp;EOMONTH(K$8,0))+SUMIFS(BetTable[[AR_per_bookie]:[AR_per_bookie]],BetTable[[B2]:[B2]],$A32,BetTable[[Date]:[Date]], "&gt;="&amp;K$8,BetTable[[Date]:[Date]],"&lt;="&amp;EOMONTH(K$8,0))+SUMIFS(BetTable[[AR_per_bookie]:[AR_per_bookie]],BetTable[[B3]:[B3]],$A32,BetTable[[Date]:[Date]], "&gt;="&amp;K$8,BetTable[[Date]:[Date]],"&lt;="&amp;EOMONTH(K$8,0))</f>
        <v>0</v>
      </c>
      <c r="L32" s="126">
        <f>SUMIFS(DWbonus[[Sum]:[Sum]],DWbonus[[Dato]:[Dato]], "&gt;="&amp;L$8,DWbonus[[Dato]:[Dato]],"&lt;="&amp;EOMONTH(L$8,0),DWbonus[[Bookie]:[Bookie]],$A32)+SUMIFS(LayTable[[Faktisk res]:[Faktisk res]],LayTable[[Dato]:[Dato]],"&gt;="&amp;L$8,LayTable[[Dato]:[Dato]],"&lt;="&amp;EOMONTH(L$8,0),LayTable[[Bookmaker]:[Bookmaker]],$A32)+SUMIFS(BetTable[[AR_per_bookie]:[AR_per_bookie]],BetTable[[B1]:[B1]],$A32,BetTable[[Date]:[Date]], "&gt;="&amp;L$8,BetTable[[Date]:[Date]],"&lt;="&amp;EOMONTH(L$8,0))+SUMIFS(BetTable[[AR_per_bookie]:[AR_per_bookie]],BetTable[[B2]:[B2]],$A32,BetTable[[Date]:[Date]], "&gt;="&amp;L$8,BetTable[[Date]:[Date]],"&lt;="&amp;EOMONTH(L$8,0))+SUMIFS(BetTable[[AR_per_bookie]:[AR_per_bookie]],BetTable[[B3]:[B3]],$A32,BetTable[[Date]:[Date]], "&gt;="&amp;L$8,BetTable[[Date]:[Date]],"&lt;="&amp;EOMONTH(L$8,0))</f>
        <v>0</v>
      </c>
      <c r="M32" s="126">
        <f>SUMIFS(DWbonus[[Sum]:[Sum]],DWbonus[[Dato]:[Dato]], "&gt;="&amp;M$8,DWbonus[[Dato]:[Dato]],"&lt;="&amp;EOMONTH(M$8,0),DWbonus[[Bookie]:[Bookie]],$A32)+SUMIFS(LayTable[[Faktisk res]:[Faktisk res]],LayTable[[Dato]:[Dato]],"&gt;="&amp;M$8,LayTable[[Dato]:[Dato]],"&lt;="&amp;EOMONTH(M$8,0),LayTable[[Bookmaker]:[Bookmaker]],$A32)+SUMIFS(BetTable[[AR_per_bookie]:[AR_per_bookie]],BetTable[[B1]:[B1]],$A32,BetTable[[Date]:[Date]], "&gt;="&amp;M$8,BetTable[[Date]:[Date]],"&lt;="&amp;EOMONTH(M$8,0))+SUMIFS(BetTable[[AR_per_bookie]:[AR_per_bookie]],BetTable[[B2]:[B2]],$A32,BetTable[[Date]:[Date]], "&gt;="&amp;M$8,BetTable[[Date]:[Date]],"&lt;="&amp;EOMONTH(M$8,0))+SUMIFS(BetTable[[AR_per_bookie]:[AR_per_bookie]],BetTable[[B3]:[B3]],$A32,BetTable[[Date]:[Date]], "&gt;="&amp;M$8,BetTable[[Date]:[Date]],"&lt;="&amp;EOMONTH(M$8,0))</f>
        <v>0</v>
      </c>
      <c r="N32" s="126">
        <f>SUMIFS(DWbonus[[Sum]:[Sum]],DWbonus[[Dato]:[Dato]], "&gt;="&amp;N$8,DWbonus[[Dato]:[Dato]],"&lt;="&amp;EOMONTH(N$8,0),DWbonus[[Bookie]:[Bookie]],$A32)+SUMIFS(LayTable[[Faktisk res]:[Faktisk res]],LayTable[[Dato]:[Dato]],"&gt;="&amp;N$8,LayTable[[Dato]:[Dato]],"&lt;="&amp;EOMONTH(N$8,0),LayTable[[Bookmaker]:[Bookmaker]],$A32)+SUMIFS(BetTable[[AR_per_bookie]:[AR_per_bookie]],BetTable[[B1]:[B1]],$A32,BetTable[[Date]:[Date]], "&gt;="&amp;N$8,BetTable[[Date]:[Date]],"&lt;="&amp;EOMONTH(N$8,0))+SUMIFS(BetTable[[AR_per_bookie]:[AR_per_bookie]],BetTable[[B2]:[B2]],$A32,BetTable[[Date]:[Date]], "&gt;="&amp;N$8,BetTable[[Date]:[Date]],"&lt;="&amp;EOMONTH(N$8,0))+SUMIFS(BetTable[[AR_per_bookie]:[AR_per_bookie]],BetTable[[B3]:[B3]],$A32,BetTable[[Date]:[Date]], "&gt;="&amp;N$8,BetTable[[Date]:[Date]],"&lt;="&amp;EOMONTH(N$8,0))</f>
        <v>0</v>
      </c>
      <c r="O32" s="126">
        <f>SUMIFS(DWbonus[[Sum]:[Sum]],DWbonus[[Dato]:[Dato]], "&gt;="&amp;O$8,DWbonus[[Dato]:[Dato]],"&lt;="&amp;EOMONTH(O$8,0),DWbonus[[Bookie]:[Bookie]],$A32)+SUMIFS(LayTable[[Faktisk res]:[Faktisk res]],LayTable[[Dato]:[Dato]],"&gt;="&amp;O$8,LayTable[[Dato]:[Dato]],"&lt;="&amp;EOMONTH(O$8,0),LayTable[[Bookmaker]:[Bookmaker]],$A32)+SUMIFS(BetTable[[AR_per_bookie]:[AR_per_bookie]],BetTable[[B1]:[B1]],$A32,BetTable[[Date]:[Date]], "&gt;="&amp;O$8,BetTable[[Date]:[Date]],"&lt;="&amp;EOMONTH(O$8,0))+SUMIFS(BetTable[[AR_per_bookie]:[AR_per_bookie]],BetTable[[B2]:[B2]],$A32,BetTable[[Date]:[Date]], "&gt;="&amp;O$8,BetTable[[Date]:[Date]],"&lt;="&amp;EOMONTH(O$8,0))+SUMIFS(BetTable[[AR_per_bookie]:[AR_per_bookie]],BetTable[[B3]:[B3]],$A32,BetTable[[Date]:[Date]], "&gt;="&amp;O$8,BetTable[[Date]:[Date]],"&lt;="&amp;EOMONTH(O$8,0))</f>
        <v>0</v>
      </c>
      <c r="P32" s="126">
        <f>SUMIFS(DWbonus[[Sum]:[Sum]],DWbonus[[Dato]:[Dato]], "&gt;="&amp;P$8,DWbonus[[Dato]:[Dato]],"&lt;="&amp;EOMONTH(P$8,0),DWbonus[[Bookie]:[Bookie]],$A32)+SUMIFS(LayTable[[Faktisk res]:[Faktisk res]],LayTable[[Dato]:[Dato]],"&gt;="&amp;P$8,LayTable[[Dato]:[Dato]],"&lt;="&amp;EOMONTH(P$8,0),LayTable[[Bookmaker]:[Bookmaker]],$A32)+SUMIFS(BetTable[[AR_per_bookie]:[AR_per_bookie]],BetTable[[B1]:[B1]],$A32,BetTable[[Date]:[Date]], "&gt;="&amp;P$8,BetTable[[Date]:[Date]],"&lt;="&amp;EOMONTH(P$8,0))+SUMIFS(BetTable[[AR_per_bookie]:[AR_per_bookie]],BetTable[[B2]:[B2]],$A32,BetTable[[Date]:[Date]], "&gt;="&amp;P$8,BetTable[[Date]:[Date]],"&lt;="&amp;EOMONTH(P$8,0))+SUMIFS(BetTable[[AR_per_bookie]:[AR_per_bookie]],BetTable[[B3]:[B3]],$A32,BetTable[[Date]:[Date]], "&gt;="&amp;P$8,BetTable[[Date]:[Date]],"&lt;="&amp;EOMONTH(P$8,0))</f>
        <v>0</v>
      </c>
      <c r="Q32" s="126">
        <f>SUMIFS(DWbonus[[Sum]:[Sum]],DWbonus[[Dato]:[Dato]], "&gt;="&amp;Q$8,DWbonus[[Dato]:[Dato]],"&lt;="&amp;EOMONTH(Q$8,0),DWbonus[[Bookie]:[Bookie]],$A32)+SUMIFS(LayTable[[Faktisk res]:[Faktisk res]],LayTable[[Dato]:[Dato]],"&gt;="&amp;Q$8,LayTable[[Dato]:[Dato]],"&lt;="&amp;EOMONTH(Q$8,0),LayTable[[Bookmaker]:[Bookmaker]],$A32)+SUMIFS(BetTable[[AR_per_bookie]:[AR_per_bookie]],BetTable[[B1]:[B1]],$A32,BetTable[[Date]:[Date]], "&gt;="&amp;Q$8,BetTable[[Date]:[Date]],"&lt;="&amp;EOMONTH(Q$8,0))+SUMIFS(BetTable[[AR_per_bookie]:[AR_per_bookie]],BetTable[[B2]:[B2]],$A32,BetTable[[Date]:[Date]], "&gt;="&amp;Q$8,BetTable[[Date]:[Date]],"&lt;="&amp;EOMONTH(Q$8,0))+SUMIFS(BetTable[[AR_per_bookie]:[AR_per_bookie]],BetTable[[B3]:[B3]],$A32,BetTable[[Date]:[Date]], "&gt;="&amp;Q$8,BetTable[[Date]:[Date]],"&lt;="&amp;EOMONTH(Q$8,0))</f>
        <v>0</v>
      </c>
      <c r="R32" s="126">
        <f>SUMIFS(DWbonus[[Sum]:[Sum]],DWbonus[[Dato]:[Dato]], "&gt;="&amp;R$8,DWbonus[[Dato]:[Dato]],"&lt;="&amp;EOMONTH(R$8,0),DWbonus[[Bookie]:[Bookie]],$A32)+SUMIFS(LayTable[[Faktisk res]:[Faktisk res]],LayTable[[Dato]:[Dato]],"&gt;="&amp;R$8,LayTable[[Dato]:[Dato]],"&lt;="&amp;EOMONTH(R$8,0),LayTable[[Bookmaker]:[Bookmaker]],$A32)+SUMIFS(BetTable[[AR_per_bookie]:[AR_per_bookie]],BetTable[[B1]:[B1]],$A32,BetTable[[Date]:[Date]], "&gt;="&amp;R$8,BetTable[[Date]:[Date]],"&lt;="&amp;EOMONTH(R$8,0))+SUMIFS(BetTable[[AR_per_bookie]:[AR_per_bookie]],BetTable[[B2]:[B2]],$A32,BetTable[[Date]:[Date]], "&gt;="&amp;R$8,BetTable[[Date]:[Date]],"&lt;="&amp;EOMONTH(R$8,0))+SUMIFS(BetTable[[AR_per_bookie]:[AR_per_bookie]],BetTable[[B3]:[B3]],$A32,BetTable[[Date]:[Date]], "&gt;="&amp;R$8,BetTable[[Date]:[Date]],"&lt;="&amp;EOMONTH(R$8,0))</f>
        <v>0</v>
      </c>
      <c r="S32" s="126">
        <f>SUMIFS(DWbonus[[Sum]:[Sum]],DWbonus[[Dato]:[Dato]], "&gt;="&amp;S$8,DWbonus[[Dato]:[Dato]],"&lt;="&amp;EOMONTH(S$8,0),DWbonus[[Bookie]:[Bookie]],$A32)+SUMIFS(LayTable[[Faktisk res]:[Faktisk res]],LayTable[[Dato]:[Dato]],"&gt;="&amp;S$8,LayTable[[Dato]:[Dato]],"&lt;="&amp;EOMONTH(S$8,0),LayTable[[Bookmaker]:[Bookmaker]],$A32)+SUMIFS(BetTable[[AR_per_bookie]:[AR_per_bookie]],BetTable[[B1]:[B1]],$A32,BetTable[[Date]:[Date]], "&gt;="&amp;S$8,BetTable[[Date]:[Date]],"&lt;="&amp;EOMONTH(S$8,0))+SUMIFS(BetTable[[AR_per_bookie]:[AR_per_bookie]],BetTable[[B2]:[B2]],$A32,BetTable[[Date]:[Date]], "&gt;="&amp;S$8,BetTable[[Date]:[Date]],"&lt;="&amp;EOMONTH(S$8,0))+SUMIFS(BetTable[[AR_per_bookie]:[AR_per_bookie]],BetTable[[B3]:[B3]],$A32,BetTable[[Date]:[Date]], "&gt;="&amp;S$8,BetTable[[Date]:[Date]],"&lt;="&amp;EOMONTH(S$8,0))</f>
        <v>0</v>
      </c>
    </row>
    <row r="33" spans="1:19">
      <c r="A33" s="115" t="str">
        <f>BookieNavn!I25</f>
        <v>ExclusiveBet</v>
      </c>
      <c r="B33" s="126">
        <f>SUMIF(Penger!D$1:D$50072,A33,Penger!F$1:F$50072)</f>
        <v>0</v>
      </c>
      <c r="C33" s="126">
        <f>SUMIF(Penger!T$1:T$50072,A33,Penger!U$1:U$50072)</f>
        <v>0</v>
      </c>
      <c r="D33" s="126">
        <f ca="1">SUMIF(Spill!C$1:C$499895,A33,Spill!T$1:T$49895)+C33</f>
        <v>0</v>
      </c>
      <c r="E33" s="126">
        <f>SUMIF(Spill!C$1:C$49895,A33,Spill!T$1:T$49895)</f>
        <v>0</v>
      </c>
      <c r="F33" s="121" t="e">
        <f t="shared" ca="1" si="1"/>
        <v>#DIV/0!</v>
      </c>
      <c r="H33" s="126">
        <f>SUMIFS(DWbonus[[Sum]:[Sum]],DWbonus[[Dato]:[Dato]], "&gt;="&amp;H$8,DWbonus[[Dato]:[Dato]],"&lt;="&amp;EOMONTH(H$8,0),DWbonus[[Bookie]:[Bookie]],$A33)+SUMIFS(LayTable[[Faktisk res]:[Faktisk res]],LayTable[[Dato]:[Dato]],"&gt;="&amp;H$8,LayTable[[Dato]:[Dato]],"&lt;="&amp;EOMONTH(H$8,0),LayTable[[Bookmaker]:[Bookmaker]],$A33)+SUMIFS(BetTable[[AR_per_bookie]:[AR_per_bookie]],BetTable[[B1]:[B1]],$A33,BetTable[[Date]:[Date]], "&gt;="&amp;H$8,BetTable[[Date]:[Date]],"&lt;="&amp;EOMONTH(H$8,0))+SUMIFS(BetTable[[AR_per_bookie]:[AR_per_bookie]],BetTable[[B2]:[B2]],$A33,BetTable[[Date]:[Date]], "&gt;="&amp;H$8,BetTable[[Date]:[Date]],"&lt;="&amp;EOMONTH(H$8,0))+SUMIFS(BetTable[[AR_per_bookie]:[AR_per_bookie]],BetTable[[B3]:[B3]],$A33,BetTable[[Date]:[Date]], "&gt;="&amp;H$8,BetTable[[Date]:[Date]],"&lt;="&amp;EOMONTH(H$8,0))</f>
        <v>0</v>
      </c>
      <c r="I33" s="126">
        <f>SUMIFS(DWbonus[[Sum]:[Sum]],DWbonus[[Dato]:[Dato]], "&gt;="&amp;I$8,DWbonus[[Dato]:[Dato]],"&lt;="&amp;EOMONTH(I$8,0),DWbonus[[Bookie]:[Bookie]],$A33)+SUMIFS(LayTable[[Faktisk res]:[Faktisk res]],LayTable[[Dato]:[Dato]],"&gt;="&amp;I$8,LayTable[[Dato]:[Dato]],"&lt;="&amp;EOMONTH(I$8,0),LayTable[[Bookmaker]:[Bookmaker]],$A33)+SUMIFS(BetTable[[AR_per_bookie]:[AR_per_bookie]],BetTable[[B1]:[B1]],$A33,BetTable[[Date]:[Date]], "&gt;="&amp;I$8,BetTable[[Date]:[Date]],"&lt;="&amp;EOMONTH(I$8,0))+SUMIFS(BetTable[[AR_per_bookie]:[AR_per_bookie]],BetTable[[B2]:[B2]],$A33,BetTable[[Date]:[Date]], "&gt;="&amp;I$8,BetTable[[Date]:[Date]],"&lt;="&amp;EOMONTH(I$8,0))+SUMIFS(BetTable[[AR_per_bookie]:[AR_per_bookie]],BetTable[[B3]:[B3]],$A33,BetTable[[Date]:[Date]], "&gt;="&amp;I$8,BetTable[[Date]:[Date]],"&lt;="&amp;EOMONTH(I$8,0))</f>
        <v>0</v>
      </c>
      <c r="J33" s="126">
        <f>SUMIFS(DWbonus[[Sum]:[Sum]],DWbonus[[Dato]:[Dato]], "&gt;="&amp;J$8,DWbonus[[Dato]:[Dato]],"&lt;="&amp;EOMONTH(J$8,0),DWbonus[[Bookie]:[Bookie]],$A33)+SUMIFS(LayTable[[Faktisk res]:[Faktisk res]],LayTable[[Dato]:[Dato]],"&gt;="&amp;J$8,LayTable[[Dato]:[Dato]],"&lt;="&amp;EOMONTH(J$8,0),LayTable[[Bookmaker]:[Bookmaker]],$A33)+SUMIFS(BetTable[[AR_per_bookie]:[AR_per_bookie]],BetTable[[B1]:[B1]],$A33,BetTable[[Date]:[Date]], "&gt;="&amp;J$8,BetTable[[Date]:[Date]],"&lt;="&amp;EOMONTH(J$8,0))+SUMIFS(BetTable[[AR_per_bookie]:[AR_per_bookie]],BetTable[[B2]:[B2]],$A33,BetTable[[Date]:[Date]], "&gt;="&amp;J$8,BetTable[[Date]:[Date]],"&lt;="&amp;EOMONTH(J$8,0))+SUMIFS(BetTable[[AR_per_bookie]:[AR_per_bookie]],BetTable[[B3]:[B3]],$A33,BetTable[[Date]:[Date]], "&gt;="&amp;J$8,BetTable[[Date]:[Date]],"&lt;="&amp;EOMONTH(J$8,0))</f>
        <v>0</v>
      </c>
      <c r="K33" s="126">
        <f>SUMIFS(DWbonus[[Sum]:[Sum]],DWbonus[[Dato]:[Dato]], "&gt;="&amp;K$8,DWbonus[[Dato]:[Dato]],"&lt;="&amp;EOMONTH(K$8,0),DWbonus[[Bookie]:[Bookie]],$A33)+SUMIFS(LayTable[[Faktisk res]:[Faktisk res]],LayTable[[Dato]:[Dato]],"&gt;="&amp;K$8,LayTable[[Dato]:[Dato]],"&lt;="&amp;EOMONTH(K$8,0),LayTable[[Bookmaker]:[Bookmaker]],$A33)+SUMIFS(BetTable[[AR_per_bookie]:[AR_per_bookie]],BetTable[[B1]:[B1]],$A33,BetTable[[Date]:[Date]], "&gt;="&amp;K$8,BetTable[[Date]:[Date]],"&lt;="&amp;EOMONTH(K$8,0))+SUMIFS(BetTable[[AR_per_bookie]:[AR_per_bookie]],BetTable[[B2]:[B2]],$A33,BetTable[[Date]:[Date]], "&gt;="&amp;K$8,BetTable[[Date]:[Date]],"&lt;="&amp;EOMONTH(K$8,0))+SUMIFS(BetTable[[AR_per_bookie]:[AR_per_bookie]],BetTable[[B3]:[B3]],$A33,BetTable[[Date]:[Date]], "&gt;="&amp;K$8,BetTable[[Date]:[Date]],"&lt;="&amp;EOMONTH(K$8,0))</f>
        <v>0</v>
      </c>
      <c r="L33" s="126">
        <f>SUMIFS(DWbonus[[Sum]:[Sum]],DWbonus[[Dato]:[Dato]], "&gt;="&amp;L$8,DWbonus[[Dato]:[Dato]],"&lt;="&amp;EOMONTH(L$8,0),DWbonus[[Bookie]:[Bookie]],$A33)+SUMIFS(LayTable[[Faktisk res]:[Faktisk res]],LayTable[[Dato]:[Dato]],"&gt;="&amp;L$8,LayTable[[Dato]:[Dato]],"&lt;="&amp;EOMONTH(L$8,0),LayTable[[Bookmaker]:[Bookmaker]],$A33)+SUMIFS(BetTable[[AR_per_bookie]:[AR_per_bookie]],BetTable[[B1]:[B1]],$A33,BetTable[[Date]:[Date]], "&gt;="&amp;L$8,BetTable[[Date]:[Date]],"&lt;="&amp;EOMONTH(L$8,0))+SUMIFS(BetTable[[AR_per_bookie]:[AR_per_bookie]],BetTable[[B2]:[B2]],$A33,BetTable[[Date]:[Date]], "&gt;="&amp;L$8,BetTable[[Date]:[Date]],"&lt;="&amp;EOMONTH(L$8,0))+SUMIFS(BetTable[[AR_per_bookie]:[AR_per_bookie]],BetTable[[B3]:[B3]],$A33,BetTable[[Date]:[Date]], "&gt;="&amp;L$8,BetTable[[Date]:[Date]],"&lt;="&amp;EOMONTH(L$8,0))</f>
        <v>0</v>
      </c>
      <c r="M33" s="126">
        <f>SUMIFS(DWbonus[[Sum]:[Sum]],DWbonus[[Dato]:[Dato]], "&gt;="&amp;M$8,DWbonus[[Dato]:[Dato]],"&lt;="&amp;EOMONTH(M$8,0),DWbonus[[Bookie]:[Bookie]],$A33)+SUMIFS(LayTable[[Faktisk res]:[Faktisk res]],LayTable[[Dato]:[Dato]],"&gt;="&amp;M$8,LayTable[[Dato]:[Dato]],"&lt;="&amp;EOMONTH(M$8,0),LayTable[[Bookmaker]:[Bookmaker]],$A33)+SUMIFS(BetTable[[AR_per_bookie]:[AR_per_bookie]],BetTable[[B1]:[B1]],$A33,BetTable[[Date]:[Date]], "&gt;="&amp;M$8,BetTable[[Date]:[Date]],"&lt;="&amp;EOMONTH(M$8,0))+SUMIFS(BetTable[[AR_per_bookie]:[AR_per_bookie]],BetTable[[B2]:[B2]],$A33,BetTable[[Date]:[Date]], "&gt;="&amp;M$8,BetTable[[Date]:[Date]],"&lt;="&amp;EOMONTH(M$8,0))+SUMIFS(BetTable[[AR_per_bookie]:[AR_per_bookie]],BetTable[[B3]:[B3]],$A33,BetTable[[Date]:[Date]], "&gt;="&amp;M$8,BetTable[[Date]:[Date]],"&lt;="&amp;EOMONTH(M$8,0))</f>
        <v>0</v>
      </c>
      <c r="N33" s="126">
        <f>SUMIFS(DWbonus[[Sum]:[Sum]],DWbonus[[Dato]:[Dato]], "&gt;="&amp;N$8,DWbonus[[Dato]:[Dato]],"&lt;="&amp;EOMONTH(N$8,0),DWbonus[[Bookie]:[Bookie]],$A33)+SUMIFS(LayTable[[Faktisk res]:[Faktisk res]],LayTable[[Dato]:[Dato]],"&gt;="&amp;N$8,LayTable[[Dato]:[Dato]],"&lt;="&amp;EOMONTH(N$8,0),LayTable[[Bookmaker]:[Bookmaker]],$A33)+SUMIFS(BetTable[[AR_per_bookie]:[AR_per_bookie]],BetTable[[B1]:[B1]],$A33,BetTable[[Date]:[Date]], "&gt;="&amp;N$8,BetTable[[Date]:[Date]],"&lt;="&amp;EOMONTH(N$8,0))+SUMIFS(BetTable[[AR_per_bookie]:[AR_per_bookie]],BetTable[[B2]:[B2]],$A33,BetTable[[Date]:[Date]], "&gt;="&amp;N$8,BetTable[[Date]:[Date]],"&lt;="&amp;EOMONTH(N$8,0))+SUMIFS(BetTable[[AR_per_bookie]:[AR_per_bookie]],BetTable[[B3]:[B3]],$A33,BetTable[[Date]:[Date]], "&gt;="&amp;N$8,BetTable[[Date]:[Date]],"&lt;="&amp;EOMONTH(N$8,0))</f>
        <v>0</v>
      </c>
      <c r="O33" s="126">
        <f>SUMIFS(DWbonus[[Sum]:[Sum]],DWbonus[[Dato]:[Dato]], "&gt;="&amp;O$8,DWbonus[[Dato]:[Dato]],"&lt;="&amp;EOMONTH(O$8,0),DWbonus[[Bookie]:[Bookie]],$A33)+SUMIFS(LayTable[[Faktisk res]:[Faktisk res]],LayTable[[Dato]:[Dato]],"&gt;="&amp;O$8,LayTable[[Dato]:[Dato]],"&lt;="&amp;EOMONTH(O$8,0),LayTable[[Bookmaker]:[Bookmaker]],$A33)+SUMIFS(BetTable[[AR_per_bookie]:[AR_per_bookie]],BetTable[[B1]:[B1]],$A33,BetTable[[Date]:[Date]], "&gt;="&amp;O$8,BetTable[[Date]:[Date]],"&lt;="&amp;EOMONTH(O$8,0))+SUMIFS(BetTable[[AR_per_bookie]:[AR_per_bookie]],BetTable[[B2]:[B2]],$A33,BetTable[[Date]:[Date]], "&gt;="&amp;O$8,BetTable[[Date]:[Date]],"&lt;="&amp;EOMONTH(O$8,0))+SUMIFS(BetTable[[AR_per_bookie]:[AR_per_bookie]],BetTable[[B3]:[B3]],$A33,BetTable[[Date]:[Date]], "&gt;="&amp;O$8,BetTable[[Date]:[Date]],"&lt;="&amp;EOMONTH(O$8,0))</f>
        <v>0</v>
      </c>
      <c r="P33" s="126">
        <f>SUMIFS(DWbonus[[Sum]:[Sum]],DWbonus[[Dato]:[Dato]], "&gt;="&amp;P$8,DWbonus[[Dato]:[Dato]],"&lt;="&amp;EOMONTH(P$8,0),DWbonus[[Bookie]:[Bookie]],$A33)+SUMIFS(LayTable[[Faktisk res]:[Faktisk res]],LayTable[[Dato]:[Dato]],"&gt;="&amp;P$8,LayTable[[Dato]:[Dato]],"&lt;="&amp;EOMONTH(P$8,0),LayTable[[Bookmaker]:[Bookmaker]],$A33)+SUMIFS(BetTable[[AR_per_bookie]:[AR_per_bookie]],BetTable[[B1]:[B1]],$A33,BetTable[[Date]:[Date]], "&gt;="&amp;P$8,BetTable[[Date]:[Date]],"&lt;="&amp;EOMONTH(P$8,0))+SUMIFS(BetTable[[AR_per_bookie]:[AR_per_bookie]],BetTable[[B2]:[B2]],$A33,BetTable[[Date]:[Date]], "&gt;="&amp;P$8,BetTable[[Date]:[Date]],"&lt;="&amp;EOMONTH(P$8,0))+SUMIFS(BetTable[[AR_per_bookie]:[AR_per_bookie]],BetTable[[B3]:[B3]],$A33,BetTable[[Date]:[Date]], "&gt;="&amp;P$8,BetTable[[Date]:[Date]],"&lt;="&amp;EOMONTH(P$8,0))</f>
        <v>0</v>
      </c>
      <c r="Q33" s="126">
        <f>SUMIFS(DWbonus[[Sum]:[Sum]],DWbonus[[Dato]:[Dato]], "&gt;="&amp;Q$8,DWbonus[[Dato]:[Dato]],"&lt;="&amp;EOMONTH(Q$8,0),DWbonus[[Bookie]:[Bookie]],$A33)+SUMIFS(LayTable[[Faktisk res]:[Faktisk res]],LayTable[[Dato]:[Dato]],"&gt;="&amp;Q$8,LayTable[[Dato]:[Dato]],"&lt;="&amp;EOMONTH(Q$8,0),LayTable[[Bookmaker]:[Bookmaker]],$A33)+SUMIFS(BetTable[[AR_per_bookie]:[AR_per_bookie]],BetTable[[B1]:[B1]],$A33,BetTable[[Date]:[Date]], "&gt;="&amp;Q$8,BetTable[[Date]:[Date]],"&lt;="&amp;EOMONTH(Q$8,0))+SUMIFS(BetTable[[AR_per_bookie]:[AR_per_bookie]],BetTable[[B2]:[B2]],$A33,BetTable[[Date]:[Date]], "&gt;="&amp;Q$8,BetTable[[Date]:[Date]],"&lt;="&amp;EOMONTH(Q$8,0))+SUMIFS(BetTable[[AR_per_bookie]:[AR_per_bookie]],BetTable[[B3]:[B3]],$A33,BetTable[[Date]:[Date]], "&gt;="&amp;Q$8,BetTable[[Date]:[Date]],"&lt;="&amp;EOMONTH(Q$8,0))</f>
        <v>0</v>
      </c>
      <c r="R33" s="126">
        <f>SUMIFS(DWbonus[[Sum]:[Sum]],DWbonus[[Dato]:[Dato]], "&gt;="&amp;R$8,DWbonus[[Dato]:[Dato]],"&lt;="&amp;EOMONTH(R$8,0),DWbonus[[Bookie]:[Bookie]],$A33)+SUMIFS(LayTable[[Faktisk res]:[Faktisk res]],LayTable[[Dato]:[Dato]],"&gt;="&amp;R$8,LayTable[[Dato]:[Dato]],"&lt;="&amp;EOMONTH(R$8,0),LayTable[[Bookmaker]:[Bookmaker]],$A33)+SUMIFS(BetTable[[AR_per_bookie]:[AR_per_bookie]],BetTable[[B1]:[B1]],$A33,BetTable[[Date]:[Date]], "&gt;="&amp;R$8,BetTable[[Date]:[Date]],"&lt;="&amp;EOMONTH(R$8,0))+SUMIFS(BetTable[[AR_per_bookie]:[AR_per_bookie]],BetTable[[B2]:[B2]],$A33,BetTable[[Date]:[Date]], "&gt;="&amp;R$8,BetTable[[Date]:[Date]],"&lt;="&amp;EOMONTH(R$8,0))+SUMIFS(BetTable[[AR_per_bookie]:[AR_per_bookie]],BetTable[[B3]:[B3]],$A33,BetTable[[Date]:[Date]], "&gt;="&amp;R$8,BetTable[[Date]:[Date]],"&lt;="&amp;EOMONTH(R$8,0))</f>
        <v>0</v>
      </c>
      <c r="S33" s="126">
        <f>SUMIFS(DWbonus[[Sum]:[Sum]],DWbonus[[Dato]:[Dato]], "&gt;="&amp;S$8,DWbonus[[Dato]:[Dato]],"&lt;="&amp;EOMONTH(S$8,0),DWbonus[[Bookie]:[Bookie]],$A33)+SUMIFS(LayTable[[Faktisk res]:[Faktisk res]],LayTable[[Dato]:[Dato]],"&gt;="&amp;S$8,LayTable[[Dato]:[Dato]],"&lt;="&amp;EOMONTH(S$8,0),LayTable[[Bookmaker]:[Bookmaker]],$A33)+SUMIFS(BetTable[[AR_per_bookie]:[AR_per_bookie]],BetTable[[B1]:[B1]],$A33,BetTable[[Date]:[Date]], "&gt;="&amp;S$8,BetTable[[Date]:[Date]],"&lt;="&amp;EOMONTH(S$8,0))+SUMIFS(BetTable[[AR_per_bookie]:[AR_per_bookie]],BetTable[[B2]:[B2]],$A33,BetTable[[Date]:[Date]], "&gt;="&amp;S$8,BetTable[[Date]:[Date]],"&lt;="&amp;EOMONTH(S$8,0))+SUMIFS(BetTable[[AR_per_bookie]:[AR_per_bookie]],BetTable[[B3]:[B3]],$A33,BetTable[[Date]:[Date]], "&gt;="&amp;S$8,BetTable[[Date]:[Date]],"&lt;="&amp;EOMONTH(S$8,0))</f>
        <v>0</v>
      </c>
    </row>
    <row r="34" spans="1:19">
      <c r="A34" s="115" t="str">
        <f>BookieNavn!I26</f>
        <v>Expekt</v>
      </c>
      <c r="B34" s="126">
        <f>SUMIF(Penger!D$1:D$50072,A34,Penger!F$1:F$50072)</f>
        <v>0</v>
      </c>
      <c r="C34" s="126">
        <f>SUMIF(Penger!T$1:T$50072,A34,Penger!U$1:U$50072)</f>
        <v>0</v>
      </c>
      <c r="D34" s="126">
        <f ca="1">SUMIF(Spill!C$1:C$499895,A34,Spill!T$1:T$49895)+C34</f>
        <v>0</v>
      </c>
      <c r="E34" s="126">
        <f>SUMIF(Spill!C$1:C$49895,A34,Spill!T$1:T$49895)</f>
        <v>0</v>
      </c>
      <c r="F34" s="121" t="e">
        <f t="shared" ca="1" si="1"/>
        <v>#DIV/0!</v>
      </c>
      <c r="H34" s="126">
        <f>SUMIFS(DWbonus[[Sum]:[Sum]],DWbonus[[Dato]:[Dato]], "&gt;="&amp;H$8,DWbonus[[Dato]:[Dato]],"&lt;="&amp;EOMONTH(H$8,0),DWbonus[[Bookie]:[Bookie]],$A34)+SUMIFS(LayTable[[Faktisk res]:[Faktisk res]],LayTable[[Dato]:[Dato]],"&gt;="&amp;H$8,LayTable[[Dato]:[Dato]],"&lt;="&amp;EOMONTH(H$8,0),LayTable[[Bookmaker]:[Bookmaker]],$A34)+SUMIFS(BetTable[[AR_per_bookie]:[AR_per_bookie]],BetTable[[B1]:[B1]],$A34,BetTable[[Date]:[Date]], "&gt;="&amp;H$8,BetTable[[Date]:[Date]],"&lt;="&amp;EOMONTH(H$8,0))+SUMIFS(BetTable[[AR_per_bookie]:[AR_per_bookie]],BetTable[[B2]:[B2]],$A34,BetTable[[Date]:[Date]], "&gt;="&amp;H$8,BetTable[[Date]:[Date]],"&lt;="&amp;EOMONTH(H$8,0))+SUMIFS(BetTable[[AR_per_bookie]:[AR_per_bookie]],BetTable[[B3]:[B3]],$A34,BetTable[[Date]:[Date]], "&gt;="&amp;H$8,BetTable[[Date]:[Date]],"&lt;="&amp;EOMONTH(H$8,0))</f>
        <v>0</v>
      </c>
      <c r="I34" s="126">
        <f>SUMIFS(DWbonus[[Sum]:[Sum]],DWbonus[[Dato]:[Dato]], "&gt;="&amp;I$8,DWbonus[[Dato]:[Dato]],"&lt;="&amp;EOMONTH(I$8,0),DWbonus[[Bookie]:[Bookie]],$A34)+SUMIFS(LayTable[[Faktisk res]:[Faktisk res]],LayTable[[Dato]:[Dato]],"&gt;="&amp;I$8,LayTable[[Dato]:[Dato]],"&lt;="&amp;EOMONTH(I$8,0),LayTable[[Bookmaker]:[Bookmaker]],$A34)+SUMIFS(BetTable[[AR_per_bookie]:[AR_per_bookie]],BetTable[[B1]:[B1]],$A34,BetTable[[Date]:[Date]], "&gt;="&amp;I$8,BetTable[[Date]:[Date]],"&lt;="&amp;EOMONTH(I$8,0))+SUMIFS(BetTable[[AR_per_bookie]:[AR_per_bookie]],BetTable[[B2]:[B2]],$A34,BetTable[[Date]:[Date]], "&gt;="&amp;I$8,BetTable[[Date]:[Date]],"&lt;="&amp;EOMONTH(I$8,0))+SUMIFS(BetTable[[AR_per_bookie]:[AR_per_bookie]],BetTable[[B3]:[B3]],$A34,BetTable[[Date]:[Date]], "&gt;="&amp;I$8,BetTable[[Date]:[Date]],"&lt;="&amp;EOMONTH(I$8,0))</f>
        <v>0</v>
      </c>
      <c r="J34" s="126">
        <f>SUMIFS(DWbonus[[Sum]:[Sum]],DWbonus[[Dato]:[Dato]], "&gt;="&amp;J$8,DWbonus[[Dato]:[Dato]],"&lt;="&amp;EOMONTH(J$8,0),DWbonus[[Bookie]:[Bookie]],$A34)+SUMIFS(LayTable[[Faktisk res]:[Faktisk res]],LayTable[[Dato]:[Dato]],"&gt;="&amp;J$8,LayTable[[Dato]:[Dato]],"&lt;="&amp;EOMONTH(J$8,0),LayTable[[Bookmaker]:[Bookmaker]],$A34)+SUMIFS(BetTable[[AR_per_bookie]:[AR_per_bookie]],BetTable[[B1]:[B1]],$A34,BetTable[[Date]:[Date]], "&gt;="&amp;J$8,BetTable[[Date]:[Date]],"&lt;="&amp;EOMONTH(J$8,0))+SUMIFS(BetTable[[AR_per_bookie]:[AR_per_bookie]],BetTable[[B2]:[B2]],$A34,BetTable[[Date]:[Date]], "&gt;="&amp;J$8,BetTable[[Date]:[Date]],"&lt;="&amp;EOMONTH(J$8,0))+SUMIFS(BetTable[[AR_per_bookie]:[AR_per_bookie]],BetTable[[B3]:[B3]],$A34,BetTable[[Date]:[Date]], "&gt;="&amp;J$8,BetTable[[Date]:[Date]],"&lt;="&amp;EOMONTH(J$8,0))</f>
        <v>0</v>
      </c>
      <c r="K34" s="126">
        <f>SUMIFS(DWbonus[[Sum]:[Sum]],DWbonus[[Dato]:[Dato]], "&gt;="&amp;K$8,DWbonus[[Dato]:[Dato]],"&lt;="&amp;EOMONTH(K$8,0),DWbonus[[Bookie]:[Bookie]],$A34)+SUMIFS(LayTable[[Faktisk res]:[Faktisk res]],LayTable[[Dato]:[Dato]],"&gt;="&amp;K$8,LayTable[[Dato]:[Dato]],"&lt;="&amp;EOMONTH(K$8,0),LayTable[[Bookmaker]:[Bookmaker]],$A34)+SUMIFS(BetTable[[AR_per_bookie]:[AR_per_bookie]],BetTable[[B1]:[B1]],$A34,BetTable[[Date]:[Date]], "&gt;="&amp;K$8,BetTable[[Date]:[Date]],"&lt;="&amp;EOMONTH(K$8,0))+SUMIFS(BetTable[[AR_per_bookie]:[AR_per_bookie]],BetTable[[B2]:[B2]],$A34,BetTable[[Date]:[Date]], "&gt;="&amp;K$8,BetTable[[Date]:[Date]],"&lt;="&amp;EOMONTH(K$8,0))+SUMIFS(BetTable[[AR_per_bookie]:[AR_per_bookie]],BetTable[[B3]:[B3]],$A34,BetTable[[Date]:[Date]], "&gt;="&amp;K$8,BetTable[[Date]:[Date]],"&lt;="&amp;EOMONTH(K$8,0))</f>
        <v>0</v>
      </c>
      <c r="L34" s="126">
        <f>SUMIFS(DWbonus[[Sum]:[Sum]],DWbonus[[Dato]:[Dato]], "&gt;="&amp;L$8,DWbonus[[Dato]:[Dato]],"&lt;="&amp;EOMONTH(L$8,0),DWbonus[[Bookie]:[Bookie]],$A34)+SUMIFS(LayTable[[Faktisk res]:[Faktisk res]],LayTable[[Dato]:[Dato]],"&gt;="&amp;L$8,LayTable[[Dato]:[Dato]],"&lt;="&amp;EOMONTH(L$8,0),LayTable[[Bookmaker]:[Bookmaker]],$A34)+SUMIFS(BetTable[[AR_per_bookie]:[AR_per_bookie]],BetTable[[B1]:[B1]],$A34,BetTable[[Date]:[Date]], "&gt;="&amp;L$8,BetTable[[Date]:[Date]],"&lt;="&amp;EOMONTH(L$8,0))+SUMIFS(BetTable[[AR_per_bookie]:[AR_per_bookie]],BetTable[[B2]:[B2]],$A34,BetTable[[Date]:[Date]], "&gt;="&amp;L$8,BetTable[[Date]:[Date]],"&lt;="&amp;EOMONTH(L$8,0))+SUMIFS(BetTable[[AR_per_bookie]:[AR_per_bookie]],BetTable[[B3]:[B3]],$A34,BetTable[[Date]:[Date]], "&gt;="&amp;L$8,BetTable[[Date]:[Date]],"&lt;="&amp;EOMONTH(L$8,0))</f>
        <v>0</v>
      </c>
      <c r="M34" s="126">
        <f>SUMIFS(DWbonus[[Sum]:[Sum]],DWbonus[[Dato]:[Dato]], "&gt;="&amp;M$8,DWbonus[[Dato]:[Dato]],"&lt;="&amp;EOMONTH(M$8,0),DWbonus[[Bookie]:[Bookie]],$A34)+SUMIFS(LayTable[[Faktisk res]:[Faktisk res]],LayTable[[Dato]:[Dato]],"&gt;="&amp;M$8,LayTable[[Dato]:[Dato]],"&lt;="&amp;EOMONTH(M$8,0),LayTable[[Bookmaker]:[Bookmaker]],$A34)+SUMIFS(BetTable[[AR_per_bookie]:[AR_per_bookie]],BetTable[[B1]:[B1]],$A34,BetTable[[Date]:[Date]], "&gt;="&amp;M$8,BetTable[[Date]:[Date]],"&lt;="&amp;EOMONTH(M$8,0))+SUMIFS(BetTable[[AR_per_bookie]:[AR_per_bookie]],BetTable[[B2]:[B2]],$A34,BetTable[[Date]:[Date]], "&gt;="&amp;M$8,BetTable[[Date]:[Date]],"&lt;="&amp;EOMONTH(M$8,0))+SUMIFS(BetTable[[AR_per_bookie]:[AR_per_bookie]],BetTable[[B3]:[B3]],$A34,BetTable[[Date]:[Date]], "&gt;="&amp;M$8,BetTable[[Date]:[Date]],"&lt;="&amp;EOMONTH(M$8,0))</f>
        <v>0</v>
      </c>
      <c r="N34" s="126">
        <f>SUMIFS(DWbonus[[Sum]:[Sum]],DWbonus[[Dato]:[Dato]], "&gt;="&amp;N$8,DWbonus[[Dato]:[Dato]],"&lt;="&amp;EOMONTH(N$8,0),DWbonus[[Bookie]:[Bookie]],$A34)+SUMIFS(LayTable[[Faktisk res]:[Faktisk res]],LayTable[[Dato]:[Dato]],"&gt;="&amp;N$8,LayTable[[Dato]:[Dato]],"&lt;="&amp;EOMONTH(N$8,0),LayTable[[Bookmaker]:[Bookmaker]],$A34)+SUMIFS(BetTable[[AR_per_bookie]:[AR_per_bookie]],BetTable[[B1]:[B1]],$A34,BetTable[[Date]:[Date]], "&gt;="&amp;N$8,BetTable[[Date]:[Date]],"&lt;="&amp;EOMONTH(N$8,0))+SUMIFS(BetTable[[AR_per_bookie]:[AR_per_bookie]],BetTable[[B2]:[B2]],$A34,BetTable[[Date]:[Date]], "&gt;="&amp;N$8,BetTable[[Date]:[Date]],"&lt;="&amp;EOMONTH(N$8,0))+SUMIFS(BetTable[[AR_per_bookie]:[AR_per_bookie]],BetTable[[B3]:[B3]],$A34,BetTable[[Date]:[Date]], "&gt;="&amp;N$8,BetTable[[Date]:[Date]],"&lt;="&amp;EOMONTH(N$8,0))</f>
        <v>0</v>
      </c>
      <c r="O34" s="126">
        <f>SUMIFS(DWbonus[[Sum]:[Sum]],DWbonus[[Dato]:[Dato]], "&gt;="&amp;O$8,DWbonus[[Dato]:[Dato]],"&lt;="&amp;EOMONTH(O$8,0),DWbonus[[Bookie]:[Bookie]],$A34)+SUMIFS(LayTable[[Faktisk res]:[Faktisk res]],LayTable[[Dato]:[Dato]],"&gt;="&amp;O$8,LayTable[[Dato]:[Dato]],"&lt;="&amp;EOMONTH(O$8,0),LayTable[[Bookmaker]:[Bookmaker]],$A34)+SUMIFS(BetTable[[AR_per_bookie]:[AR_per_bookie]],BetTable[[B1]:[B1]],$A34,BetTable[[Date]:[Date]], "&gt;="&amp;O$8,BetTable[[Date]:[Date]],"&lt;="&amp;EOMONTH(O$8,0))+SUMIFS(BetTable[[AR_per_bookie]:[AR_per_bookie]],BetTable[[B2]:[B2]],$A34,BetTable[[Date]:[Date]], "&gt;="&amp;O$8,BetTable[[Date]:[Date]],"&lt;="&amp;EOMONTH(O$8,0))+SUMIFS(BetTable[[AR_per_bookie]:[AR_per_bookie]],BetTable[[B3]:[B3]],$A34,BetTable[[Date]:[Date]], "&gt;="&amp;O$8,BetTable[[Date]:[Date]],"&lt;="&amp;EOMONTH(O$8,0))</f>
        <v>0</v>
      </c>
      <c r="P34" s="126">
        <f>SUMIFS(DWbonus[[Sum]:[Sum]],DWbonus[[Dato]:[Dato]], "&gt;="&amp;P$8,DWbonus[[Dato]:[Dato]],"&lt;="&amp;EOMONTH(P$8,0),DWbonus[[Bookie]:[Bookie]],$A34)+SUMIFS(LayTable[[Faktisk res]:[Faktisk res]],LayTable[[Dato]:[Dato]],"&gt;="&amp;P$8,LayTable[[Dato]:[Dato]],"&lt;="&amp;EOMONTH(P$8,0),LayTable[[Bookmaker]:[Bookmaker]],$A34)+SUMIFS(BetTable[[AR_per_bookie]:[AR_per_bookie]],BetTable[[B1]:[B1]],$A34,BetTable[[Date]:[Date]], "&gt;="&amp;P$8,BetTable[[Date]:[Date]],"&lt;="&amp;EOMONTH(P$8,0))+SUMIFS(BetTable[[AR_per_bookie]:[AR_per_bookie]],BetTable[[B2]:[B2]],$A34,BetTable[[Date]:[Date]], "&gt;="&amp;P$8,BetTable[[Date]:[Date]],"&lt;="&amp;EOMONTH(P$8,0))+SUMIFS(BetTable[[AR_per_bookie]:[AR_per_bookie]],BetTable[[B3]:[B3]],$A34,BetTable[[Date]:[Date]], "&gt;="&amp;P$8,BetTable[[Date]:[Date]],"&lt;="&amp;EOMONTH(P$8,0))</f>
        <v>0</v>
      </c>
      <c r="Q34" s="126">
        <f>SUMIFS(DWbonus[[Sum]:[Sum]],DWbonus[[Dato]:[Dato]], "&gt;="&amp;Q$8,DWbonus[[Dato]:[Dato]],"&lt;="&amp;EOMONTH(Q$8,0),DWbonus[[Bookie]:[Bookie]],$A34)+SUMIFS(LayTable[[Faktisk res]:[Faktisk res]],LayTable[[Dato]:[Dato]],"&gt;="&amp;Q$8,LayTable[[Dato]:[Dato]],"&lt;="&amp;EOMONTH(Q$8,0),LayTable[[Bookmaker]:[Bookmaker]],$A34)+SUMIFS(BetTable[[AR_per_bookie]:[AR_per_bookie]],BetTable[[B1]:[B1]],$A34,BetTable[[Date]:[Date]], "&gt;="&amp;Q$8,BetTable[[Date]:[Date]],"&lt;="&amp;EOMONTH(Q$8,0))+SUMIFS(BetTable[[AR_per_bookie]:[AR_per_bookie]],BetTable[[B2]:[B2]],$A34,BetTable[[Date]:[Date]], "&gt;="&amp;Q$8,BetTable[[Date]:[Date]],"&lt;="&amp;EOMONTH(Q$8,0))+SUMIFS(BetTable[[AR_per_bookie]:[AR_per_bookie]],BetTable[[B3]:[B3]],$A34,BetTable[[Date]:[Date]], "&gt;="&amp;Q$8,BetTable[[Date]:[Date]],"&lt;="&amp;EOMONTH(Q$8,0))</f>
        <v>0</v>
      </c>
      <c r="R34" s="126">
        <f>SUMIFS(DWbonus[[Sum]:[Sum]],DWbonus[[Dato]:[Dato]], "&gt;="&amp;R$8,DWbonus[[Dato]:[Dato]],"&lt;="&amp;EOMONTH(R$8,0),DWbonus[[Bookie]:[Bookie]],$A34)+SUMIFS(LayTable[[Faktisk res]:[Faktisk res]],LayTable[[Dato]:[Dato]],"&gt;="&amp;R$8,LayTable[[Dato]:[Dato]],"&lt;="&amp;EOMONTH(R$8,0),LayTable[[Bookmaker]:[Bookmaker]],$A34)+SUMIFS(BetTable[[AR_per_bookie]:[AR_per_bookie]],BetTable[[B1]:[B1]],$A34,BetTable[[Date]:[Date]], "&gt;="&amp;R$8,BetTable[[Date]:[Date]],"&lt;="&amp;EOMONTH(R$8,0))+SUMIFS(BetTable[[AR_per_bookie]:[AR_per_bookie]],BetTable[[B2]:[B2]],$A34,BetTable[[Date]:[Date]], "&gt;="&amp;R$8,BetTable[[Date]:[Date]],"&lt;="&amp;EOMONTH(R$8,0))+SUMIFS(BetTable[[AR_per_bookie]:[AR_per_bookie]],BetTable[[B3]:[B3]],$A34,BetTable[[Date]:[Date]], "&gt;="&amp;R$8,BetTable[[Date]:[Date]],"&lt;="&amp;EOMONTH(R$8,0))</f>
        <v>0</v>
      </c>
      <c r="S34" s="126">
        <f>SUMIFS(DWbonus[[Sum]:[Sum]],DWbonus[[Dato]:[Dato]], "&gt;="&amp;S$8,DWbonus[[Dato]:[Dato]],"&lt;="&amp;EOMONTH(S$8,0),DWbonus[[Bookie]:[Bookie]],$A34)+SUMIFS(LayTable[[Faktisk res]:[Faktisk res]],LayTable[[Dato]:[Dato]],"&gt;="&amp;S$8,LayTable[[Dato]:[Dato]],"&lt;="&amp;EOMONTH(S$8,0),LayTable[[Bookmaker]:[Bookmaker]],$A34)+SUMIFS(BetTable[[AR_per_bookie]:[AR_per_bookie]],BetTable[[B1]:[B1]],$A34,BetTable[[Date]:[Date]], "&gt;="&amp;S$8,BetTable[[Date]:[Date]],"&lt;="&amp;EOMONTH(S$8,0))+SUMIFS(BetTable[[AR_per_bookie]:[AR_per_bookie]],BetTable[[B2]:[B2]],$A34,BetTable[[Date]:[Date]], "&gt;="&amp;S$8,BetTable[[Date]:[Date]],"&lt;="&amp;EOMONTH(S$8,0))+SUMIFS(BetTable[[AR_per_bookie]:[AR_per_bookie]],BetTable[[B3]:[B3]],$A34,BetTable[[Date]:[Date]], "&gt;="&amp;S$8,BetTable[[Date]:[Date]],"&lt;="&amp;EOMONTH(S$8,0))</f>
        <v>0</v>
      </c>
    </row>
    <row r="35" spans="1:19">
      <c r="A35" s="115" t="str">
        <f>BookieNavn!I27</f>
        <v>Fansbet</v>
      </c>
      <c r="B35" s="126">
        <f>SUMIF(Penger!D$1:D$50072,A35,Penger!F$1:F$50072)</f>
        <v>0</v>
      </c>
      <c r="C35" s="126">
        <f>SUMIF(Penger!T$1:T$50072,A35,Penger!U$1:U$50072)</f>
        <v>0</v>
      </c>
      <c r="D35" s="126">
        <f ca="1">SUMIF(Spill!C$1:C$499895,A35,Spill!T$1:T$49895)+C35</f>
        <v>0</v>
      </c>
      <c r="E35" s="126">
        <f>SUMIF(Spill!C$1:C$49895,A35,Spill!T$1:T$49895)</f>
        <v>0</v>
      </c>
      <c r="F35" s="121" t="e">
        <f t="shared" ca="1" si="1"/>
        <v>#DIV/0!</v>
      </c>
      <c r="H35" s="126">
        <f>SUMIFS(DWbonus[[Sum]:[Sum]],DWbonus[[Dato]:[Dato]], "&gt;="&amp;H$8,DWbonus[[Dato]:[Dato]],"&lt;="&amp;EOMONTH(H$8,0),DWbonus[[Bookie]:[Bookie]],$A35)+SUMIFS(LayTable[[Faktisk res]:[Faktisk res]],LayTable[[Dato]:[Dato]],"&gt;="&amp;H$8,LayTable[[Dato]:[Dato]],"&lt;="&amp;EOMONTH(H$8,0),LayTable[[Bookmaker]:[Bookmaker]],$A35)+SUMIFS(BetTable[[AR_per_bookie]:[AR_per_bookie]],BetTable[[B1]:[B1]],$A35,BetTable[[Date]:[Date]], "&gt;="&amp;H$8,BetTable[[Date]:[Date]],"&lt;="&amp;EOMONTH(H$8,0))+SUMIFS(BetTable[[AR_per_bookie]:[AR_per_bookie]],BetTable[[B2]:[B2]],$A35,BetTable[[Date]:[Date]], "&gt;="&amp;H$8,BetTable[[Date]:[Date]],"&lt;="&amp;EOMONTH(H$8,0))+SUMIFS(BetTable[[AR_per_bookie]:[AR_per_bookie]],BetTable[[B3]:[B3]],$A35,BetTable[[Date]:[Date]], "&gt;="&amp;H$8,BetTable[[Date]:[Date]],"&lt;="&amp;EOMONTH(H$8,0))</f>
        <v>0</v>
      </c>
      <c r="I35" s="126">
        <f>SUMIFS(DWbonus[[Sum]:[Sum]],DWbonus[[Dato]:[Dato]], "&gt;="&amp;I$8,DWbonus[[Dato]:[Dato]],"&lt;="&amp;EOMONTH(I$8,0),DWbonus[[Bookie]:[Bookie]],$A35)+SUMIFS(LayTable[[Faktisk res]:[Faktisk res]],LayTable[[Dato]:[Dato]],"&gt;="&amp;I$8,LayTable[[Dato]:[Dato]],"&lt;="&amp;EOMONTH(I$8,0),LayTable[[Bookmaker]:[Bookmaker]],$A35)+SUMIFS(BetTable[[AR_per_bookie]:[AR_per_bookie]],BetTable[[B1]:[B1]],$A35,BetTable[[Date]:[Date]], "&gt;="&amp;I$8,BetTable[[Date]:[Date]],"&lt;="&amp;EOMONTH(I$8,0))+SUMIFS(BetTable[[AR_per_bookie]:[AR_per_bookie]],BetTable[[B2]:[B2]],$A35,BetTable[[Date]:[Date]], "&gt;="&amp;I$8,BetTable[[Date]:[Date]],"&lt;="&amp;EOMONTH(I$8,0))+SUMIFS(BetTable[[AR_per_bookie]:[AR_per_bookie]],BetTable[[B3]:[B3]],$A35,BetTable[[Date]:[Date]], "&gt;="&amp;I$8,BetTable[[Date]:[Date]],"&lt;="&amp;EOMONTH(I$8,0))</f>
        <v>0</v>
      </c>
      <c r="J35" s="126">
        <f>SUMIFS(DWbonus[[Sum]:[Sum]],DWbonus[[Dato]:[Dato]], "&gt;="&amp;J$8,DWbonus[[Dato]:[Dato]],"&lt;="&amp;EOMONTH(J$8,0),DWbonus[[Bookie]:[Bookie]],$A35)+SUMIFS(LayTable[[Faktisk res]:[Faktisk res]],LayTable[[Dato]:[Dato]],"&gt;="&amp;J$8,LayTable[[Dato]:[Dato]],"&lt;="&amp;EOMONTH(J$8,0),LayTable[[Bookmaker]:[Bookmaker]],$A35)+SUMIFS(BetTable[[AR_per_bookie]:[AR_per_bookie]],BetTable[[B1]:[B1]],$A35,BetTable[[Date]:[Date]], "&gt;="&amp;J$8,BetTable[[Date]:[Date]],"&lt;="&amp;EOMONTH(J$8,0))+SUMIFS(BetTable[[AR_per_bookie]:[AR_per_bookie]],BetTable[[B2]:[B2]],$A35,BetTable[[Date]:[Date]], "&gt;="&amp;J$8,BetTable[[Date]:[Date]],"&lt;="&amp;EOMONTH(J$8,0))+SUMIFS(BetTable[[AR_per_bookie]:[AR_per_bookie]],BetTable[[B3]:[B3]],$A35,BetTable[[Date]:[Date]], "&gt;="&amp;J$8,BetTable[[Date]:[Date]],"&lt;="&amp;EOMONTH(J$8,0))</f>
        <v>0</v>
      </c>
      <c r="K35" s="126">
        <f>SUMIFS(DWbonus[[Sum]:[Sum]],DWbonus[[Dato]:[Dato]], "&gt;="&amp;K$8,DWbonus[[Dato]:[Dato]],"&lt;="&amp;EOMONTH(K$8,0),DWbonus[[Bookie]:[Bookie]],$A35)+SUMIFS(LayTable[[Faktisk res]:[Faktisk res]],LayTable[[Dato]:[Dato]],"&gt;="&amp;K$8,LayTable[[Dato]:[Dato]],"&lt;="&amp;EOMONTH(K$8,0),LayTable[[Bookmaker]:[Bookmaker]],$A35)+SUMIFS(BetTable[[AR_per_bookie]:[AR_per_bookie]],BetTable[[B1]:[B1]],$A35,BetTable[[Date]:[Date]], "&gt;="&amp;K$8,BetTable[[Date]:[Date]],"&lt;="&amp;EOMONTH(K$8,0))+SUMIFS(BetTable[[AR_per_bookie]:[AR_per_bookie]],BetTable[[B2]:[B2]],$A35,BetTable[[Date]:[Date]], "&gt;="&amp;K$8,BetTable[[Date]:[Date]],"&lt;="&amp;EOMONTH(K$8,0))+SUMIFS(BetTable[[AR_per_bookie]:[AR_per_bookie]],BetTable[[B3]:[B3]],$A35,BetTable[[Date]:[Date]], "&gt;="&amp;K$8,BetTable[[Date]:[Date]],"&lt;="&amp;EOMONTH(K$8,0))</f>
        <v>0</v>
      </c>
      <c r="L35" s="126">
        <f>SUMIFS(DWbonus[[Sum]:[Sum]],DWbonus[[Dato]:[Dato]], "&gt;="&amp;L$8,DWbonus[[Dato]:[Dato]],"&lt;="&amp;EOMONTH(L$8,0),DWbonus[[Bookie]:[Bookie]],$A35)+SUMIFS(LayTable[[Faktisk res]:[Faktisk res]],LayTable[[Dato]:[Dato]],"&gt;="&amp;L$8,LayTable[[Dato]:[Dato]],"&lt;="&amp;EOMONTH(L$8,0),LayTable[[Bookmaker]:[Bookmaker]],$A35)+SUMIFS(BetTable[[AR_per_bookie]:[AR_per_bookie]],BetTable[[B1]:[B1]],$A35,BetTable[[Date]:[Date]], "&gt;="&amp;L$8,BetTable[[Date]:[Date]],"&lt;="&amp;EOMONTH(L$8,0))+SUMIFS(BetTable[[AR_per_bookie]:[AR_per_bookie]],BetTable[[B2]:[B2]],$A35,BetTable[[Date]:[Date]], "&gt;="&amp;L$8,BetTable[[Date]:[Date]],"&lt;="&amp;EOMONTH(L$8,0))+SUMIFS(BetTable[[AR_per_bookie]:[AR_per_bookie]],BetTable[[B3]:[B3]],$A35,BetTable[[Date]:[Date]], "&gt;="&amp;L$8,BetTable[[Date]:[Date]],"&lt;="&amp;EOMONTH(L$8,0))</f>
        <v>0</v>
      </c>
      <c r="M35" s="126">
        <f>SUMIFS(DWbonus[[Sum]:[Sum]],DWbonus[[Dato]:[Dato]], "&gt;="&amp;M$8,DWbonus[[Dato]:[Dato]],"&lt;="&amp;EOMONTH(M$8,0),DWbonus[[Bookie]:[Bookie]],$A35)+SUMIFS(LayTable[[Faktisk res]:[Faktisk res]],LayTable[[Dato]:[Dato]],"&gt;="&amp;M$8,LayTable[[Dato]:[Dato]],"&lt;="&amp;EOMONTH(M$8,0),LayTable[[Bookmaker]:[Bookmaker]],$A35)+SUMIFS(BetTable[[AR_per_bookie]:[AR_per_bookie]],BetTable[[B1]:[B1]],$A35,BetTable[[Date]:[Date]], "&gt;="&amp;M$8,BetTable[[Date]:[Date]],"&lt;="&amp;EOMONTH(M$8,0))+SUMIFS(BetTable[[AR_per_bookie]:[AR_per_bookie]],BetTable[[B2]:[B2]],$A35,BetTable[[Date]:[Date]], "&gt;="&amp;M$8,BetTable[[Date]:[Date]],"&lt;="&amp;EOMONTH(M$8,0))+SUMIFS(BetTable[[AR_per_bookie]:[AR_per_bookie]],BetTable[[B3]:[B3]],$A35,BetTable[[Date]:[Date]], "&gt;="&amp;M$8,BetTable[[Date]:[Date]],"&lt;="&amp;EOMONTH(M$8,0))</f>
        <v>0</v>
      </c>
      <c r="N35" s="126">
        <f>SUMIFS(DWbonus[[Sum]:[Sum]],DWbonus[[Dato]:[Dato]], "&gt;="&amp;N$8,DWbonus[[Dato]:[Dato]],"&lt;="&amp;EOMONTH(N$8,0),DWbonus[[Bookie]:[Bookie]],$A35)+SUMIFS(LayTable[[Faktisk res]:[Faktisk res]],LayTable[[Dato]:[Dato]],"&gt;="&amp;N$8,LayTable[[Dato]:[Dato]],"&lt;="&amp;EOMONTH(N$8,0),LayTable[[Bookmaker]:[Bookmaker]],$A35)+SUMIFS(BetTable[[AR_per_bookie]:[AR_per_bookie]],BetTable[[B1]:[B1]],$A35,BetTable[[Date]:[Date]], "&gt;="&amp;N$8,BetTable[[Date]:[Date]],"&lt;="&amp;EOMONTH(N$8,0))+SUMIFS(BetTable[[AR_per_bookie]:[AR_per_bookie]],BetTable[[B2]:[B2]],$A35,BetTable[[Date]:[Date]], "&gt;="&amp;N$8,BetTable[[Date]:[Date]],"&lt;="&amp;EOMONTH(N$8,0))+SUMIFS(BetTable[[AR_per_bookie]:[AR_per_bookie]],BetTable[[B3]:[B3]],$A35,BetTable[[Date]:[Date]], "&gt;="&amp;N$8,BetTable[[Date]:[Date]],"&lt;="&amp;EOMONTH(N$8,0))</f>
        <v>0</v>
      </c>
      <c r="O35" s="126">
        <f>SUMIFS(DWbonus[[Sum]:[Sum]],DWbonus[[Dato]:[Dato]], "&gt;="&amp;O$8,DWbonus[[Dato]:[Dato]],"&lt;="&amp;EOMONTH(O$8,0),DWbonus[[Bookie]:[Bookie]],$A35)+SUMIFS(LayTable[[Faktisk res]:[Faktisk res]],LayTable[[Dato]:[Dato]],"&gt;="&amp;O$8,LayTable[[Dato]:[Dato]],"&lt;="&amp;EOMONTH(O$8,0),LayTable[[Bookmaker]:[Bookmaker]],$A35)+SUMIFS(BetTable[[AR_per_bookie]:[AR_per_bookie]],BetTable[[B1]:[B1]],$A35,BetTable[[Date]:[Date]], "&gt;="&amp;O$8,BetTable[[Date]:[Date]],"&lt;="&amp;EOMONTH(O$8,0))+SUMIFS(BetTable[[AR_per_bookie]:[AR_per_bookie]],BetTable[[B2]:[B2]],$A35,BetTable[[Date]:[Date]], "&gt;="&amp;O$8,BetTable[[Date]:[Date]],"&lt;="&amp;EOMONTH(O$8,0))+SUMIFS(BetTable[[AR_per_bookie]:[AR_per_bookie]],BetTable[[B3]:[B3]],$A35,BetTable[[Date]:[Date]], "&gt;="&amp;O$8,BetTable[[Date]:[Date]],"&lt;="&amp;EOMONTH(O$8,0))</f>
        <v>0</v>
      </c>
      <c r="P35" s="126">
        <f>SUMIFS(DWbonus[[Sum]:[Sum]],DWbonus[[Dato]:[Dato]], "&gt;="&amp;P$8,DWbonus[[Dato]:[Dato]],"&lt;="&amp;EOMONTH(P$8,0),DWbonus[[Bookie]:[Bookie]],$A35)+SUMIFS(LayTable[[Faktisk res]:[Faktisk res]],LayTable[[Dato]:[Dato]],"&gt;="&amp;P$8,LayTable[[Dato]:[Dato]],"&lt;="&amp;EOMONTH(P$8,0),LayTable[[Bookmaker]:[Bookmaker]],$A35)+SUMIFS(BetTable[[AR_per_bookie]:[AR_per_bookie]],BetTable[[B1]:[B1]],$A35,BetTable[[Date]:[Date]], "&gt;="&amp;P$8,BetTable[[Date]:[Date]],"&lt;="&amp;EOMONTH(P$8,0))+SUMIFS(BetTable[[AR_per_bookie]:[AR_per_bookie]],BetTable[[B2]:[B2]],$A35,BetTable[[Date]:[Date]], "&gt;="&amp;P$8,BetTable[[Date]:[Date]],"&lt;="&amp;EOMONTH(P$8,0))+SUMIFS(BetTable[[AR_per_bookie]:[AR_per_bookie]],BetTable[[B3]:[B3]],$A35,BetTable[[Date]:[Date]], "&gt;="&amp;P$8,BetTable[[Date]:[Date]],"&lt;="&amp;EOMONTH(P$8,0))</f>
        <v>0</v>
      </c>
      <c r="Q35" s="126">
        <f>SUMIFS(DWbonus[[Sum]:[Sum]],DWbonus[[Dato]:[Dato]], "&gt;="&amp;Q$8,DWbonus[[Dato]:[Dato]],"&lt;="&amp;EOMONTH(Q$8,0),DWbonus[[Bookie]:[Bookie]],$A35)+SUMIFS(LayTable[[Faktisk res]:[Faktisk res]],LayTable[[Dato]:[Dato]],"&gt;="&amp;Q$8,LayTable[[Dato]:[Dato]],"&lt;="&amp;EOMONTH(Q$8,0),LayTable[[Bookmaker]:[Bookmaker]],$A35)+SUMIFS(BetTable[[AR_per_bookie]:[AR_per_bookie]],BetTable[[B1]:[B1]],$A35,BetTable[[Date]:[Date]], "&gt;="&amp;Q$8,BetTable[[Date]:[Date]],"&lt;="&amp;EOMONTH(Q$8,0))+SUMIFS(BetTable[[AR_per_bookie]:[AR_per_bookie]],BetTable[[B2]:[B2]],$A35,BetTable[[Date]:[Date]], "&gt;="&amp;Q$8,BetTable[[Date]:[Date]],"&lt;="&amp;EOMONTH(Q$8,0))+SUMIFS(BetTable[[AR_per_bookie]:[AR_per_bookie]],BetTable[[B3]:[B3]],$A35,BetTable[[Date]:[Date]], "&gt;="&amp;Q$8,BetTable[[Date]:[Date]],"&lt;="&amp;EOMONTH(Q$8,0))</f>
        <v>0</v>
      </c>
      <c r="R35" s="126">
        <f>SUMIFS(DWbonus[[Sum]:[Sum]],DWbonus[[Dato]:[Dato]], "&gt;="&amp;R$8,DWbonus[[Dato]:[Dato]],"&lt;="&amp;EOMONTH(R$8,0),DWbonus[[Bookie]:[Bookie]],$A35)+SUMIFS(LayTable[[Faktisk res]:[Faktisk res]],LayTable[[Dato]:[Dato]],"&gt;="&amp;R$8,LayTable[[Dato]:[Dato]],"&lt;="&amp;EOMONTH(R$8,0),LayTable[[Bookmaker]:[Bookmaker]],$A35)+SUMIFS(BetTable[[AR_per_bookie]:[AR_per_bookie]],BetTable[[B1]:[B1]],$A35,BetTable[[Date]:[Date]], "&gt;="&amp;R$8,BetTable[[Date]:[Date]],"&lt;="&amp;EOMONTH(R$8,0))+SUMIFS(BetTable[[AR_per_bookie]:[AR_per_bookie]],BetTable[[B2]:[B2]],$A35,BetTable[[Date]:[Date]], "&gt;="&amp;R$8,BetTable[[Date]:[Date]],"&lt;="&amp;EOMONTH(R$8,0))+SUMIFS(BetTable[[AR_per_bookie]:[AR_per_bookie]],BetTable[[B3]:[B3]],$A35,BetTable[[Date]:[Date]], "&gt;="&amp;R$8,BetTable[[Date]:[Date]],"&lt;="&amp;EOMONTH(R$8,0))</f>
        <v>0</v>
      </c>
      <c r="S35" s="126">
        <f>SUMIFS(DWbonus[[Sum]:[Sum]],DWbonus[[Dato]:[Dato]], "&gt;="&amp;S$8,DWbonus[[Dato]:[Dato]],"&lt;="&amp;EOMONTH(S$8,0),DWbonus[[Bookie]:[Bookie]],$A35)+SUMIFS(LayTable[[Faktisk res]:[Faktisk res]],LayTable[[Dato]:[Dato]],"&gt;="&amp;S$8,LayTable[[Dato]:[Dato]],"&lt;="&amp;EOMONTH(S$8,0),LayTable[[Bookmaker]:[Bookmaker]],$A35)+SUMIFS(BetTable[[AR_per_bookie]:[AR_per_bookie]],BetTable[[B1]:[B1]],$A35,BetTable[[Date]:[Date]], "&gt;="&amp;S$8,BetTable[[Date]:[Date]],"&lt;="&amp;EOMONTH(S$8,0))+SUMIFS(BetTable[[AR_per_bookie]:[AR_per_bookie]],BetTable[[B2]:[B2]],$A35,BetTable[[Date]:[Date]], "&gt;="&amp;S$8,BetTable[[Date]:[Date]],"&lt;="&amp;EOMONTH(S$8,0))+SUMIFS(BetTable[[AR_per_bookie]:[AR_per_bookie]],BetTable[[B3]:[B3]],$A35,BetTable[[Date]:[Date]], "&gt;="&amp;S$8,BetTable[[Date]:[Date]],"&lt;="&amp;EOMONTH(S$8,0))</f>
        <v>0</v>
      </c>
    </row>
    <row r="36" spans="1:19">
      <c r="A36" s="115" t="str">
        <f>BookieNavn!I28</f>
        <v>Feelbet</v>
      </c>
      <c r="B36" s="126">
        <f>SUMIF(Penger!D$1:D$50072,A36,Penger!F$1:F$50072)</f>
        <v>0</v>
      </c>
      <c r="C36" s="126">
        <f>SUMIF(Penger!T$1:T$50072,A36,Penger!U$1:U$50072)</f>
        <v>0</v>
      </c>
      <c r="D36" s="126">
        <f ca="1">SUMIF(Spill!C$1:C$499895,A36,Spill!T$1:T$49895)+C36</f>
        <v>0</v>
      </c>
      <c r="E36" s="126">
        <f>SUMIF(Spill!C$1:C$49895,A36,Spill!T$1:T$49895)</f>
        <v>0</v>
      </c>
      <c r="F36" s="121" t="e">
        <f t="shared" ca="1" si="1"/>
        <v>#DIV/0!</v>
      </c>
      <c r="H36" s="126">
        <f>SUMIFS(DWbonus[[Sum]:[Sum]],DWbonus[[Dato]:[Dato]], "&gt;="&amp;H$8,DWbonus[[Dato]:[Dato]],"&lt;="&amp;EOMONTH(H$8,0),DWbonus[[Bookie]:[Bookie]],$A36)+SUMIFS(LayTable[[Faktisk res]:[Faktisk res]],LayTable[[Dato]:[Dato]],"&gt;="&amp;H$8,LayTable[[Dato]:[Dato]],"&lt;="&amp;EOMONTH(H$8,0),LayTable[[Bookmaker]:[Bookmaker]],$A36)+SUMIFS(BetTable[[AR_per_bookie]:[AR_per_bookie]],BetTable[[B1]:[B1]],$A36,BetTable[[Date]:[Date]], "&gt;="&amp;H$8,BetTable[[Date]:[Date]],"&lt;="&amp;EOMONTH(H$8,0))+SUMIFS(BetTable[[AR_per_bookie]:[AR_per_bookie]],BetTable[[B2]:[B2]],$A36,BetTable[[Date]:[Date]], "&gt;="&amp;H$8,BetTable[[Date]:[Date]],"&lt;="&amp;EOMONTH(H$8,0))+SUMIFS(BetTable[[AR_per_bookie]:[AR_per_bookie]],BetTable[[B3]:[B3]],$A36,BetTable[[Date]:[Date]], "&gt;="&amp;H$8,BetTable[[Date]:[Date]],"&lt;="&amp;EOMONTH(H$8,0))</f>
        <v>0</v>
      </c>
      <c r="I36" s="126">
        <f>SUMIFS(DWbonus[[Sum]:[Sum]],DWbonus[[Dato]:[Dato]], "&gt;="&amp;I$8,DWbonus[[Dato]:[Dato]],"&lt;="&amp;EOMONTH(I$8,0),DWbonus[[Bookie]:[Bookie]],$A36)+SUMIFS(LayTable[[Faktisk res]:[Faktisk res]],LayTable[[Dato]:[Dato]],"&gt;="&amp;I$8,LayTable[[Dato]:[Dato]],"&lt;="&amp;EOMONTH(I$8,0),LayTable[[Bookmaker]:[Bookmaker]],$A36)+SUMIFS(BetTable[[AR_per_bookie]:[AR_per_bookie]],BetTable[[B1]:[B1]],$A36,BetTable[[Date]:[Date]], "&gt;="&amp;I$8,BetTable[[Date]:[Date]],"&lt;="&amp;EOMONTH(I$8,0))+SUMIFS(BetTable[[AR_per_bookie]:[AR_per_bookie]],BetTable[[B2]:[B2]],$A36,BetTable[[Date]:[Date]], "&gt;="&amp;I$8,BetTable[[Date]:[Date]],"&lt;="&amp;EOMONTH(I$8,0))+SUMIFS(BetTable[[AR_per_bookie]:[AR_per_bookie]],BetTable[[B3]:[B3]],$A36,BetTable[[Date]:[Date]], "&gt;="&amp;I$8,BetTable[[Date]:[Date]],"&lt;="&amp;EOMONTH(I$8,0))</f>
        <v>0</v>
      </c>
      <c r="J36" s="126">
        <f>SUMIFS(DWbonus[[Sum]:[Sum]],DWbonus[[Dato]:[Dato]], "&gt;="&amp;J$8,DWbonus[[Dato]:[Dato]],"&lt;="&amp;EOMONTH(J$8,0),DWbonus[[Bookie]:[Bookie]],$A36)+SUMIFS(LayTable[[Faktisk res]:[Faktisk res]],LayTable[[Dato]:[Dato]],"&gt;="&amp;J$8,LayTable[[Dato]:[Dato]],"&lt;="&amp;EOMONTH(J$8,0),LayTable[[Bookmaker]:[Bookmaker]],$A36)+SUMIFS(BetTable[[AR_per_bookie]:[AR_per_bookie]],BetTable[[B1]:[B1]],$A36,BetTable[[Date]:[Date]], "&gt;="&amp;J$8,BetTable[[Date]:[Date]],"&lt;="&amp;EOMONTH(J$8,0))+SUMIFS(BetTable[[AR_per_bookie]:[AR_per_bookie]],BetTable[[B2]:[B2]],$A36,BetTable[[Date]:[Date]], "&gt;="&amp;J$8,BetTable[[Date]:[Date]],"&lt;="&amp;EOMONTH(J$8,0))+SUMIFS(BetTable[[AR_per_bookie]:[AR_per_bookie]],BetTable[[B3]:[B3]],$A36,BetTable[[Date]:[Date]], "&gt;="&amp;J$8,BetTable[[Date]:[Date]],"&lt;="&amp;EOMONTH(J$8,0))</f>
        <v>0</v>
      </c>
      <c r="K36" s="126">
        <f>SUMIFS(DWbonus[[Sum]:[Sum]],DWbonus[[Dato]:[Dato]], "&gt;="&amp;K$8,DWbonus[[Dato]:[Dato]],"&lt;="&amp;EOMONTH(K$8,0),DWbonus[[Bookie]:[Bookie]],$A36)+SUMIFS(LayTable[[Faktisk res]:[Faktisk res]],LayTable[[Dato]:[Dato]],"&gt;="&amp;K$8,LayTable[[Dato]:[Dato]],"&lt;="&amp;EOMONTH(K$8,0),LayTable[[Bookmaker]:[Bookmaker]],$A36)+SUMIFS(BetTable[[AR_per_bookie]:[AR_per_bookie]],BetTable[[B1]:[B1]],$A36,BetTable[[Date]:[Date]], "&gt;="&amp;K$8,BetTable[[Date]:[Date]],"&lt;="&amp;EOMONTH(K$8,0))+SUMIFS(BetTable[[AR_per_bookie]:[AR_per_bookie]],BetTable[[B2]:[B2]],$A36,BetTable[[Date]:[Date]], "&gt;="&amp;K$8,BetTable[[Date]:[Date]],"&lt;="&amp;EOMONTH(K$8,0))+SUMIFS(BetTable[[AR_per_bookie]:[AR_per_bookie]],BetTable[[B3]:[B3]],$A36,BetTable[[Date]:[Date]], "&gt;="&amp;K$8,BetTable[[Date]:[Date]],"&lt;="&amp;EOMONTH(K$8,0))</f>
        <v>0</v>
      </c>
      <c r="L36" s="126">
        <f>SUMIFS(DWbonus[[Sum]:[Sum]],DWbonus[[Dato]:[Dato]], "&gt;="&amp;L$8,DWbonus[[Dato]:[Dato]],"&lt;="&amp;EOMONTH(L$8,0),DWbonus[[Bookie]:[Bookie]],$A36)+SUMIFS(LayTable[[Faktisk res]:[Faktisk res]],LayTable[[Dato]:[Dato]],"&gt;="&amp;L$8,LayTable[[Dato]:[Dato]],"&lt;="&amp;EOMONTH(L$8,0),LayTable[[Bookmaker]:[Bookmaker]],$A36)+SUMIFS(BetTable[[AR_per_bookie]:[AR_per_bookie]],BetTable[[B1]:[B1]],$A36,BetTable[[Date]:[Date]], "&gt;="&amp;L$8,BetTable[[Date]:[Date]],"&lt;="&amp;EOMONTH(L$8,0))+SUMIFS(BetTable[[AR_per_bookie]:[AR_per_bookie]],BetTable[[B2]:[B2]],$A36,BetTable[[Date]:[Date]], "&gt;="&amp;L$8,BetTable[[Date]:[Date]],"&lt;="&amp;EOMONTH(L$8,0))+SUMIFS(BetTable[[AR_per_bookie]:[AR_per_bookie]],BetTable[[B3]:[B3]],$A36,BetTable[[Date]:[Date]], "&gt;="&amp;L$8,BetTable[[Date]:[Date]],"&lt;="&amp;EOMONTH(L$8,0))</f>
        <v>0</v>
      </c>
      <c r="M36" s="126">
        <f>SUMIFS(DWbonus[[Sum]:[Sum]],DWbonus[[Dato]:[Dato]], "&gt;="&amp;M$8,DWbonus[[Dato]:[Dato]],"&lt;="&amp;EOMONTH(M$8,0),DWbonus[[Bookie]:[Bookie]],$A36)+SUMIFS(LayTable[[Faktisk res]:[Faktisk res]],LayTable[[Dato]:[Dato]],"&gt;="&amp;M$8,LayTable[[Dato]:[Dato]],"&lt;="&amp;EOMONTH(M$8,0),LayTable[[Bookmaker]:[Bookmaker]],$A36)+SUMIFS(BetTable[[AR_per_bookie]:[AR_per_bookie]],BetTable[[B1]:[B1]],$A36,BetTable[[Date]:[Date]], "&gt;="&amp;M$8,BetTable[[Date]:[Date]],"&lt;="&amp;EOMONTH(M$8,0))+SUMIFS(BetTable[[AR_per_bookie]:[AR_per_bookie]],BetTable[[B2]:[B2]],$A36,BetTable[[Date]:[Date]], "&gt;="&amp;M$8,BetTable[[Date]:[Date]],"&lt;="&amp;EOMONTH(M$8,0))+SUMIFS(BetTable[[AR_per_bookie]:[AR_per_bookie]],BetTable[[B3]:[B3]],$A36,BetTable[[Date]:[Date]], "&gt;="&amp;M$8,BetTable[[Date]:[Date]],"&lt;="&amp;EOMONTH(M$8,0))</f>
        <v>0</v>
      </c>
      <c r="N36" s="126">
        <f>SUMIFS(DWbonus[[Sum]:[Sum]],DWbonus[[Dato]:[Dato]], "&gt;="&amp;N$8,DWbonus[[Dato]:[Dato]],"&lt;="&amp;EOMONTH(N$8,0),DWbonus[[Bookie]:[Bookie]],$A36)+SUMIFS(LayTable[[Faktisk res]:[Faktisk res]],LayTable[[Dato]:[Dato]],"&gt;="&amp;N$8,LayTable[[Dato]:[Dato]],"&lt;="&amp;EOMONTH(N$8,0),LayTable[[Bookmaker]:[Bookmaker]],$A36)+SUMIFS(BetTable[[AR_per_bookie]:[AR_per_bookie]],BetTable[[B1]:[B1]],$A36,BetTable[[Date]:[Date]], "&gt;="&amp;N$8,BetTable[[Date]:[Date]],"&lt;="&amp;EOMONTH(N$8,0))+SUMIFS(BetTable[[AR_per_bookie]:[AR_per_bookie]],BetTable[[B2]:[B2]],$A36,BetTable[[Date]:[Date]], "&gt;="&amp;N$8,BetTable[[Date]:[Date]],"&lt;="&amp;EOMONTH(N$8,0))+SUMIFS(BetTable[[AR_per_bookie]:[AR_per_bookie]],BetTable[[B3]:[B3]],$A36,BetTable[[Date]:[Date]], "&gt;="&amp;N$8,BetTable[[Date]:[Date]],"&lt;="&amp;EOMONTH(N$8,0))</f>
        <v>0</v>
      </c>
      <c r="O36" s="126">
        <f>SUMIFS(DWbonus[[Sum]:[Sum]],DWbonus[[Dato]:[Dato]], "&gt;="&amp;O$8,DWbonus[[Dato]:[Dato]],"&lt;="&amp;EOMONTH(O$8,0),DWbonus[[Bookie]:[Bookie]],$A36)+SUMIFS(LayTable[[Faktisk res]:[Faktisk res]],LayTable[[Dato]:[Dato]],"&gt;="&amp;O$8,LayTable[[Dato]:[Dato]],"&lt;="&amp;EOMONTH(O$8,0),LayTable[[Bookmaker]:[Bookmaker]],$A36)+SUMIFS(BetTable[[AR_per_bookie]:[AR_per_bookie]],BetTable[[B1]:[B1]],$A36,BetTable[[Date]:[Date]], "&gt;="&amp;O$8,BetTable[[Date]:[Date]],"&lt;="&amp;EOMONTH(O$8,0))+SUMIFS(BetTable[[AR_per_bookie]:[AR_per_bookie]],BetTable[[B2]:[B2]],$A36,BetTable[[Date]:[Date]], "&gt;="&amp;O$8,BetTable[[Date]:[Date]],"&lt;="&amp;EOMONTH(O$8,0))+SUMIFS(BetTable[[AR_per_bookie]:[AR_per_bookie]],BetTable[[B3]:[B3]],$A36,BetTable[[Date]:[Date]], "&gt;="&amp;O$8,BetTable[[Date]:[Date]],"&lt;="&amp;EOMONTH(O$8,0))</f>
        <v>0</v>
      </c>
      <c r="P36" s="126">
        <f>SUMIFS(DWbonus[[Sum]:[Sum]],DWbonus[[Dato]:[Dato]], "&gt;="&amp;P$8,DWbonus[[Dato]:[Dato]],"&lt;="&amp;EOMONTH(P$8,0),DWbonus[[Bookie]:[Bookie]],$A36)+SUMIFS(LayTable[[Faktisk res]:[Faktisk res]],LayTable[[Dato]:[Dato]],"&gt;="&amp;P$8,LayTable[[Dato]:[Dato]],"&lt;="&amp;EOMONTH(P$8,0),LayTable[[Bookmaker]:[Bookmaker]],$A36)+SUMIFS(BetTable[[AR_per_bookie]:[AR_per_bookie]],BetTable[[B1]:[B1]],$A36,BetTable[[Date]:[Date]], "&gt;="&amp;P$8,BetTable[[Date]:[Date]],"&lt;="&amp;EOMONTH(P$8,0))+SUMIFS(BetTable[[AR_per_bookie]:[AR_per_bookie]],BetTable[[B2]:[B2]],$A36,BetTable[[Date]:[Date]], "&gt;="&amp;P$8,BetTable[[Date]:[Date]],"&lt;="&amp;EOMONTH(P$8,0))+SUMIFS(BetTable[[AR_per_bookie]:[AR_per_bookie]],BetTable[[B3]:[B3]],$A36,BetTable[[Date]:[Date]], "&gt;="&amp;P$8,BetTable[[Date]:[Date]],"&lt;="&amp;EOMONTH(P$8,0))</f>
        <v>0</v>
      </c>
      <c r="Q36" s="126">
        <f>SUMIFS(DWbonus[[Sum]:[Sum]],DWbonus[[Dato]:[Dato]], "&gt;="&amp;Q$8,DWbonus[[Dato]:[Dato]],"&lt;="&amp;EOMONTH(Q$8,0),DWbonus[[Bookie]:[Bookie]],$A36)+SUMIFS(LayTable[[Faktisk res]:[Faktisk res]],LayTable[[Dato]:[Dato]],"&gt;="&amp;Q$8,LayTable[[Dato]:[Dato]],"&lt;="&amp;EOMONTH(Q$8,0),LayTable[[Bookmaker]:[Bookmaker]],$A36)+SUMIFS(BetTable[[AR_per_bookie]:[AR_per_bookie]],BetTable[[B1]:[B1]],$A36,BetTable[[Date]:[Date]], "&gt;="&amp;Q$8,BetTable[[Date]:[Date]],"&lt;="&amp;EOMONTH(Q$8,0))+SUMIFS(BetTable[[AR_per_bookie]:[AR_per_bookie]],BetTable[[B2]:[B2]],$A36,BetTable[[Date]:[Date]], "&gt;="&amp;Q$8,BetTable[[Date]:[Date]],"&lt;="&amp;EOMONTH(Q$8,0))+SUMIFS(BetTable[[AR_per_bookie]:[AR_per_bookie]],BetTable[[B3]:[B3]],$A36,BetTable[[Date]:[Date]], "&gt;="&amp;Q$8,BetTable[[Date]:[Date]],"&lt;="&amp;EOMONTH(Q$8,0))</f>
        <v>0</v>
      </c>
      <c r="R36" s="126">
        <f>SUMIFS(DWbonus[[Sum]:[Sum]],DWbonus[[Dato]:[Dato]], "&gt;="&amp;R$8,DWbonus[[Dato]:[Dato]],"&lt;="&amp;EOMONTH(R$8,0),DWbonus[[Bookie]:[Bookie]],$A36)+SUMIFS(LayTable[[Faktisk res]:[Faktisk res]],LayTable[[Dato]:[Dato]],"&gt;="&amp;R$8,LayTable[[Dato]:[Dato]],"&lt;="&amp;EOMONTH(R$8,0),LayTable[[Bookmaker]:[Bookmaker]],$A36)+SUMIFS(BetTable[[AR_per_bookie]:[AR_per_bookie]],BetTable[[B1]:[B1]],$A36,BetTable[[Date]:[Date]], "&gt;="&amp;R$8,BetTable[[Date]:[Date]],"&lt;="&amp;EOMONTH(R$8,0))+SUMIFS(BetTable[[AR_per_bookie]:[AR_per_bookie]],BetTable[[B2]:[B2]],$A36,BetTable[[Date]:[Date]], "&gt;="&amp;R$8,BetTable[[Date]:[Date]],"&lt;="&amp;EOMONTH(R$8,0))+SUMIFS(BetTable[[AR_per_bookie]:[AR_per_bookie]],BetTable[[B3]:[B3]],$A36,BetTable[[Date]:[Date]], "&gt;="&amp;R$8,BetTable[[Date]:[Date]],"&lt;="&amp;EOMONTH(R$8,0))</f>
        <v>0</v>
      </c>
      <c r="S36" s="126">
        <f>SUMIFS(DWbonus[[Sum]:[Sum]],DWbonus[[Dato]:[Dato]], "&gt;="&amp;S$8,DWbonus[[Dato]:[Dato]],"&lt;="&amp;EOMONTH(S$8,0),DWbonus[[Bookie]:[Bookie]],$A36)+SUMIFS(LayTable[[Faktisk res]:[Faktisk res]],LayTable[[Dato]:[Dato]],"&gt;="&amp;S$8,LayTable[[Dato]:[Dato]],"&lt;="&amp;EOMONTH(S$8,0),LayTable[[Bookmaker]:[Bookmaker]],$A36)+SUMIFS(BetTable[[AR_per_bookie]:[AR_per_bookie]],BetTable[[B1]:[B1]],$A36,BetTable[[Date]:[Date]], "&gt;="&amp;S$8,BetTable[[Date]:[Date]],"&lt;="&amp;EOMONTH(S$8,0))+SUMIFS(BetTable[[AR_per_bookie]:[AR_per_bookie]],BetTable[[B2]:[B2]],$A36,BetTable[[Date]:[Date]], "&gt;="&amp;S$8,BetTable[[Date]:[Date]],"&lt;="&amp;EOMONTH(S$8,0))+SUMIFS(BetTable[[AR_per_bookie]:[AR_per_bookie]],BetTable[[B3]:[B3]],$A36,BetTable[[Date]:[Date]], "&gt;="&amp;S$8,BetTable[[Date]:[Date]],"&lt;="&amp;EOMONTH(S$8,0))</f>
        <v>0</v>
      </c>
    </row>
    <row r="37" spans="1:19">
      <c r="A37" s="115" t="str">
        <f>BookieNavn!I29</f>
        <v>Folkeautomaten</v>
      </c>
      <c r="B37" s="126">
        <f>SUMIF(Penger!D$1:D$50072,A37,Penger!F$1:F$50072)</f>
        <v>0</v>
      </c>
      <c r="C37" s="126">
        <f>SUMIF(Penger!T$1:T$50072,A37,Penger!U$1:U$50072)</f>
        <v>0</v>
      </c>
      <c r="D37" s="126">
        <f ca="1">SUMIF(Spill!C$1:C$499895,A37,Spill!T$1:T$49895)+C37</f>
        <v>0</v>
      </c>
      <c r="E37" s="126">
        <f>SUMIF(Spill!C$1:C$49895,A37,Spill!T$1:T$49895)</f>
        <v>0</v>
      </c>
      <c r="F37" s="121" t="e">
        <f t="shared" ca="1" si="1"/>
        <v>#DIV/0!</v>
      </c>
      <c r="H37" s="126">
        <f>SUMIFS(DWbonus[[Sum]:[Sum]],DWbonus[[Dato]:[Dato]], "&gt;="&amp;H$8,DWbonus[[Dato]:[Dato]],"&lt;="&amp;EOMONTH(H$8,0),DWbonus[[Bookie]:[Bookie]],$A37)+SUMIFS(LayTable[[Faktisk res]:[Faktisk res]],LayTable[[Dato]:[Dato]],"&gt;="&amp;H$8,LayTable[[Dato]:[Dato]],"&lt;="&amp;EOMONTH(H$8,0),LayTable[[Bookmaker]:[Bookmaker]],$A37)+SUMIFS(BetTable[[AR_per_bookie]:[AR_per_bookie]],BetTable[[B1]:[B1]],$A37,BetTable[[Date]:[Date]], "&gt;="&amp;H$8,BetTable[[Date]:[Date]],"&lt;="&amp;EOMONTH(H$8,0))+SUMIFS(BetTable[[AR_per_bookie]:[AR_per_bookie]],BetTable[[B2]:[B2]],$A37,BetTable[[Date]:[Date]], "&gt;="&amp;H$8,BetTable[[Date]:[Date]],"&lt;="&amp;EOMONTH(H$8,0))+SUMIFS(BetTable[[AR_per_bookie]:[AR_per_bookie]],BetTable[[B3]:[B3]],$A37,BetTable[[Date]:[Date]], "&gt;="&amp;H$8,BetTable[[Date]:[Date]],"&lt;="&amp;EOMONTH(H$8,0))</f>
        <v>0</v>
      </c>
      <c r="I37" s="126">
        <f>SUMIFS(DWbonus[[Sum]:[Sum]],DWbonus[[Dato]:[Dato]], "&gt;="&amp;I$8,DWbonus[[Dato]:[Dato]],"&lt;="&amp;EOMONTH(I$8,0),DWbonus[[Bookie]:[Bookie]],$A37)+SUMIFS(LayTable[[Faktisk res]:[Faktisk res]],LayTable[[Dato]:[Dato]],"&gt;="&amp;I$8,LayTable[[Dato]:[Dato]],"&lt;="&amp;EOMONTH(I$8,0),LayTable[[Bookmaker]:[Bookmaker]],$A37)+SUMIFS(BetTable[[AR_per_bookie]:[AR_per_bookie]],BetTable[[B1]:[B1]],$A37,BetTable[[Date]:[Date]], "&gt;="&amp;I$8,BetTable[[Date]:[Date]],"&lt;="&amp;EOMONTH(I$8,0))+SUMIFS(BetTable[[AR_per_bookie]:[AR_per_bookie]],BetTable[[B2]:[B2]],$A37,BetTable[[Date]:[Date]], "&gt;="&amp;I$8,BetTable[[Date]:[Date]],"&lt;="&amp;EOMONTH(I$8,0))+SUMIFS(BetTable[[AR_per_bookie]:[AR_per_bookie]],BetTable[[B3]:[B3]],$A37,BetTable[[Date]:[Date]], "&gt;="&amp;I$8,BetTable[[Date]:[Date]],"&lt;="&amp;EOMONTH(I$8,0))</f>
        <v>0</v>
      </c>
      <c r="J37" s="126">
        <f>SUMIFS(DWbonus[[Sum]:[Sum]],DWbonus[[Dato]:[Dato]], "&gt;="&amp;J$8,DWbonus[[Dato]:[Dato]],"&lt;="&amp;EOMONTH(J$8,0),DWbonus[[Bookie]:[Bookie]],$A37)+SUMIFS(LayTable[[Faktisk res]:[Faktisk res]],LayTable[[Dato]:[Dato]],"&gt;="&amp;J$8,LayTable[[Dato]:[Dato]],"&lt;="&amp;EOMONTH(J$8,0),LayTable[[Bookmaker]:[Bookmaker]],$A37)+SUMIFS(BetTable[[AR_per_bookie]:[AR_per_bookie]],BetTable[[B1]:[B1]],$A37,BetTable[[Date]:[Date]], "&gt;="&amp;J$8,BetTable[[Date]:[Date]],"&lt;="&amp;EOMONTH(J$8,0))+SUMIFS(BetTable[[AR_per_bookie]:[AR_per_bookie]],BetTable[[B2]:[B2]],$A37,BetTable[[Date]:[Date]], "&gt;="&amp;J$8,BetTable[[Date]:[Date]],"&lt;="&amp;EOMONTH(J$8,0))+SUMIFS(BetTable[[AR_per_bookie]:[AR_per_bookie]],BetTable[[B3]:[B3]],$A37,BetTable[[Date]:[Date]], "&gt;="&amp;J$8,BetTable[[Date]:[Date]],"&lt;="&amp;EOMONTH(J$8,0))</f>
        <v>0</v>
      </c>
      <c r="K37" s="126">
        <f>SUMIFS(DWbonus[[Sum]:[Sum]],DWbonus[[Dato]:[Dato]], "&gt;="&amp;K$8,DWbonus[[Dato]:[Dato]],"&lt;="&amp;EOMONTH(K$8,0),DWbonus[[Bookie]:[Bookie]],$A37)+SUMIFS(LayTable[[Faktisk res]:[Faktisk res]],LayTable[[Dato]:[Dato]],"&gt;="&amp;K$8,LayTable[[Dato]:[Dato]],"&lt;="&amp;EOMONTH(K$8,0),LayTable[[Bookmaker]:[Bookmaker]],$A37)+SUMIFS(BetTable[[AR_per_bookie]:[AR_per_bookie]],BetTable[[B1]:[B1]],$A37,BetTable[[Date]:[Date]], "&gt;="&amp;K$8,BetTable[[Date]:[Date]],"&lt;="&amp;EOMONTH(K$8,0))+SUMIFS(BetTable[[AR_per_bookie]:[AR_per_bookie]],BetTable[[B2]:[B2]],$A37,BetTable[[Date]:[Date]], "&gt;="&amp;K$8,BetTable[[Date]:[Date]],"&lt;="&amp;EOMONTH(K$8,0))+SUMIFS(BetTable[[AR_per_bookie]:[AR_per_bookie]],BetTable[[B3]:[B3]],$A37,BetTable[[Date]:[Date]], "&gt;="&amp;K$8,BetTable[[Date]:[Date]],"&lt;="&amp;EOMONTH(K$8,0))</f>
        <v>0</v>
      </c>
      <c r="L37" s="126">
        <f>SUMIFS(DWbonus[[Sum]:[Sum]],DWbonus[[Dato]:[Dato]], "&gt;="&amp;L$8,DWbonus[[Dato]:[Dato]],"&lt;="&amp;EOMONTH(L$8,0),DWbonus[[Bookie]:[Bookie]],$A37)+SUMIFS(LayTable[[Faktisk res]:[Faktisk res]],LayTable[[Dato]:[Dato]],"&gt;="&amp;L$8,LayTable[[Dato]:[Dato]],"&lt;="&amp;EOMONTH(L$8,0),LayTable[[Bookmaker]:[Bookmaker]],$A37)+SUMIFS(BetTable[[AR_per_bookie]:[AR_per_bookie]],BetTable[[B1]:[B1]],$A37,BetTable[[Date]:[Date]], "&gt;="&amp;L$8,BetTable[[Date]:[Date]],"&lt;="&amp;EOMONTH(L$8,0))+SUMIFS(BetTable[[AR_per_bookie]:[AR_per_bookie]],BetTable[[B2]:[B2]],$A37,BetTable[[Date]:[Date]], "&gt;="&amp;L$8,BetTable[[Date]:[Date]],"&lt;="&amp;EOMONTH(L$8,0))+SUMIFS(BetTable[[AR_per_bookie]:[AR_per_bookie]],BetTable[[B3]:[B3]],$A37,BetTable[[Date]:[Date]], "&gt;="&amp;L$8,BetTable[[Date]:[Date]],"&lt;="&amp;EOMONTH(L$8,0))</f>
        <v>0</v>
      </c>
      <c r="M37" s="126">
        <f>SUMIFS(DWbonus[[Sum]:[Sum]],DWbonus[[Dato]:[Dato]], "&gt;="&amp;M$8,DWbonus[[Dato]:[Dato]],"&lt;="&amp;EOMONTH(M$8,0),DWbonus[[Bookie]:[Bookie]],$A37)+SUMIFS(LayTable[[Faktisk res]:[Faktisk res]],LayTable[[Dato]:[Dato]],"&gt;="&amp;M$8,LayTable[[Dato]:[Dato]],"&lt;="&amp;EOMONTH(M$8,0),LayTable[[Bookmaker]:[Bookmaker]],$A37)+SUMIFS(BetTable[[AR_per_bookie]:[AR_per_bookie]],BetTable[[B1]:[B1]],$A37,BetTable[[Date]:[Date]], "&gt;="&amp;M$8,BetTable[[Date]:[Date]],"&lt;="&amp;EOMONTH(M$8,0))+SUMIFS(BetTable[[AR_per_bookie]:[AR_per_bookie]],BetTable[[B2]:[B2]],$A37,BetTable[[Date]:[Date]], "&gt;="&amp;M$8,BetTable[[Date]:[Date]],"&lt;="&amp;EOMONTH(M$8,0))+SUMIFS(BetTable[[AR_per_bookie]:[AR_per_bookie]],BetTable[[B3]:[B3]],$A37,BetTable[[Date]:[Date]], "&gt;="&amp;M$8,BetTable[[Date]:[Date]],"&lt;="&amp;EOMONTH(M$8,0))</f>
        <v>0</v>
      </c>
      <c r="N37" s="126">
        <f>SUMIFS(DWbonus[[Sum]:[Sum]],DWbonus[[Dato]:[Dato]], "&gt;="&amp;N$8,DWbonus[[Dato]:[Dato]],"&lt;="&amp;EOMONTH(N$8,0),DWbonus[[Bookie]:[Bookie]],$A37)+SUMIFS(LayTable[[Faktisk res]:[Faktisk res]],LayTable[[Dato]:[Dato]],"&gt;="&amp;N$8,LayTable[[Dato]:[Dato]],"&lt;="&amp;EOMONTH(N$8,0),LayTable[[Bookmaker]:[Bookmaker]],$A37)+SUMIFS(BetTable[[AR_per_bookie]:[AR_per_bookie]],BetTable[[B1]:[B1]],$A37,BetTable[[Date]:[Date]], "&gt;="&amp;N$8,BetTable[[Date]:[Date]],"&lt;="&amp;EOMONTH(N$8,0))+SUMIFS(BetTable[[AR_per_bookie]:[AR_per_bookie]],BetTable[[B2]:[B2]],$A37,BetTable[[Date]:[Date]], "&gt;="&amp;N$8,BetTable[[Date]:[Date]],"&lt;="&amp;EOMONTH(N$8,0))+SUMIFS(BetTable[[AR_per_bookie]:[AR_per_bookie]],BetTable[[B3]:[B3]],$A37,BetTable[[Date]:[Date]], "&gt;="&amp;N$8,BetTable[[Date]:[Date]],"&lt;="&amp;EOMONTH(N$8,0))</f>
        <v>0</v>
      </c>
      <c r="O37" s="126">
        <f>SUMIFS(DWbonus[[Sum]:[Sum]],DWbonus[[Dato]:[Dato]], "&gt;="&amp;O$8,DWbonus[[Dato]:[Dato]],"&lt;="&amp;EOMONTH(O$8,0),DWbonus[[Bookie]:[Bookie]],$A37)+SUMIFS(LayTable[[Faktisk res]:[Faktisk res]],LayTable[[Dato]:[Dato]],"&gt;="&amp;O$8,LayTable[[Dato]:[Dato]],"&lt;="&amp;EOMONTH(O$8,0),LayTable[[Bookmaker]:[Bookmaker]],$A37)+SUMIFS(BetTable[[AR_per_bookie]:[AR_per_bookie]],BetTable[[B1]:[B1]],$A37,BetTable[[Date]:[Date]], "&gt;="&amp;O$8,BetTable[[Date]:[Date]],"&lt;="&amp;EOMONTH(O$8,0))+SUMIFS(BetTable[[AR_per_bookie]:[AR_per_bookie]],BetTable[[B2]:[B2]],$A37,BetTable[[Date]:[Date]], "&gt;="&amp;O$8,BetTable[[Date]:[Date]],"&lt;="&amp;EOMONTH(O$8,0))+SUMIFS(BetTable[[AR_per_bookie]:[AR_per_bookie]],BetTable[[B3]:[B3]],$A37,BetTable[[Date]:[Date]], "&gt;="&amp;O$8,BetTable[[Date]:[Date]],"&lt;="&amp;EOMONTH(O$8,0))</f>
        <v>0</v>
      </c>
      <c r="P37" s="126">
        <f>SUMIFS(DWbonus[[Sum]:[Sum]],DWbonus[[Dato]:[Dato]], "&gt;="&amp;P$8,DWbonus[[Dato]:[Dato]],"&lt;="&amp;EOMONTH(P$8,0),DWbonus[[Bookie]:[Bookie]],$A37)+SUMIFS(LayTable[[Faktisk res]:[Faktisk res]],LayTable[[Dato]:[Dato]],"&gt;="&amp;P$8,LayTable[[Dato]:[Dato]],"&lt;="&amp;EOMONTH(P$8,0),LayTable[[Bookmaker]:[Bookmaker]],$A37)+SUMIFS(BetTable[[AR_per_bookie]:[AR_per_bookie]],BetTable[[B1]:[B1]],$A37,BetTable[[Date]:[Date]], "&gt;="&amp;P$8,BetTable[[Date]:[Date]],"&lt;="&amp;EOMONTH(P$8,0))+SUMIFS(BetTable[[AR_per_bookie]:[AR_per_bookie]],BetTable[[B2]:[B2]],$A37,BetTable[[Date]:[Date]], "&gt;="&amp;P$8,BetTable[[Date]:[Date]],"&lt;="&amp;EOMONTH(P$8,0))+SUMIFS(BetTable[[AR_per_bookie]:[AR_per_bookie]],BetTable[[B3]:[B3]],$A37,BetTable[[Date]:[Date]], "&gt;="&amp;P$8,BetTable[[Date]:[Date]],"&lt;="&amp;EOMONTH(P$8,0))</f>
        <v>0</v>
      </c>
      <c r="Q37" s="126">
        <f>SUMIFS(DWbonus[[Sum]:[Sum]],DWbonus[[Dato]:[Dato]], "&gt;="&amp;Q$8,DWbonus[[Dato]:[Dato]],"&lt;="&amp;EOMONTH(Q$8,0),DWbonus[[Bookie]:[Bookie]],$A37)+SUMIFS(LayTable[[Faktisk res]:[Faktisk res]],LayTable[[Dato]:[Dato]],"&gt;="&amp;Q$8,LayTable[[Dato]:[Dato]],"&lt;="&amp;EOMONTH(Q$8,0),LayTable[[Bookmaker]:[Bookmaker]],$A37)+SUMIFS(BetTable[[AR_per_bookie]:[AR_per_bookie]],BetTable[[B1]:[B1]],$A37,BetTable[[Date]:[Date]], "&gt;="&amp;Q$8,BetTable[[Date]:[Date]],"&lt;="&amp;EOMONTH(Q$8,0))+SUMIFS(BetTable[[AR_per_bookie]:[AR_per_bookie]],BetTable[[B2]:[B2]],$A37,BetTable[[Date]:[Date]], "&gt;="&amp;Q$8,BetTable[[Date]:[Date]],"&lt;="&amp;EOMONTH(Q$8,0))+SUMIFS(BetTable[[AR_per_bookie]:[AR_per_bookie]],BetTable[[B3]:[B3]],$A37,BetTable[[Date]:[Date]], "&gt;="&amp;Q$8,BetTable[[Date]:[Date]],"&lt;="&amp;EOMONTH(Q$8,0))</f>
        <v>0</v>
      </c>
      <c r="R37" s="126">
        <f>SUMIFS(DWbonus[[Sum]:[Sum]],DWbonus[[Dato]:[Dato]], "&gt;="&amp;R$8,DWbonus[[Dato]:[Dato]],"&lt;="&amp;EOMONTH(R$8,0),DWbonus[[Bookie]:[Bookie]],$A37)+SUMIFS(LayTable[[Faktisk res]:[Faktisk res]],LayTable[[Dato]:[Dato]],"&gt;="&amp;R$8,LayTable[[Dato]:[Dato]],"&lt;="&amp;EOMONTH(R$8,0),LayTable[[Bookmaker]:[Bookmaker]],$A37)+SUMIFS(BetTable[[AR_per_bookie]:[AR_per_bookie]],BetTable[[B1]:[B1]],$A37,BetTable[[Date]:[Date]], "&gt;="&amp;R$8,BetTable[[Date]:[Date]],"&lt;="&amp;EOMONTH(R$8,0))+SUMIFS(BetTable[[AR_per_bookie]:[AR_per_bookie]],BetTable[[B2]:[B2]],$A37,BetTable[[Date]:[Date]], "&gt;="&amp;R$8,BetTable[[Date]:[Date]],"&lt;="&amp;EOMONTH(R$8,0))+SUMIFS(BetTable[[AR_per_bookie]:[AR_per_bookie]],BetTable[[B3]:[B3]],$A37,BetTable[[Date]:[Date]], "&gt;="&amp;R$8,BetTable[[Date]:[Date]],"&lt;="&amp;EOMONTH(R$8,0))</f>
        <v>0</v>
      </c>
      <c r="S37" s="126">
        <f>SUMIFS(DWbonus[[Sum]:[Sum]],DWbonus[[Dato]:[Dato]], "&gt;="&amp;S$8,DWbonus[[Dato]:[Dato]],"&lt;="&amp;EOMONTH(S$8,0),DWbonus[[Bookie]:[Bookie]],$A37)+SUMIFS(LayTable[[Faktisk res]:[Faktisk res]],LayTable[[Dato]:[Dato]],"&gt;="&amp;S$8,LayTable[[Dato]:[Dato]],"&lt;="&amp;EOMONTH(S$8,0),LayTable[[Bookmaker]:[Bookmaker]],$A37)+SUMIFS(BetTable[[AR_per_bookie]:[AR_per_bookie]],BetTable[[B1]:[B1]],$A37,BetTable[[Date]:[Date]], "&gt;="&amp;S$8,BetTable[[Date]:[Date]],"&lt;="&amp;EOMONTH(S$8,0))+SUMIFS(BetTable[[AR_per_bookie]:[AR_per_bookie]],BetTable[[B2]:[B2]],$A37,BetTable[[Date]:[Date]], "&gt;="&amp;S$8,BetTable[[Date]:[Date]],"&lt;="&amp;EOMONTH(S$8,0))+SUMIFS(BetTable[[AR_per_bookie]:[AR_per_bookie]],BetTable[[B3]:[B3]],$A37,BetTable[[Date]:[Date]], "&gt;="&amp;S$8,BetTable[[Date]:[Date]],"&lt;="&amp;EOMONTH(S$8,0))</f>
        <v>0</v>
      </c>
    </row>
    <row r="38" spans="1:19">
      <c r="A38" s="115" t="str">
        <f>BookieNavn!I30</f>
        <v>gtbets.eu</v>
      </c>
      <c r="B38" s="126">
        <f>SUMIF(Penger!D$1:D$50072,A38,Penger!F$1:F$50072)</f>
        <v>0</v>
      </c>
      <c r="C38" s="126">
        <f>SUMIF(Penger!T$1:T$50072,A38,Penger!U$1:U$50072)</f>
        <v>0</v>
      </c>
      <c r="D38" s="126">
        <f ca="1">SUMIF(Spill!C$1:C$499895,A38,Spill!T$1:T$49895)+C38</f>
        <v>0</v>
      </c>
      <c r="E38" s="126">
        <f>SUMIF(Spill!C$1:C$49895,A38,Spill!T$1:T$49895)</f>
        <v>0</v>
      </c>
      <c r="F38" s="121" t="e">
        <f t="shared" ca="1" si="1"/>
        <v>#DIV/0!</v>
      </c>
      <c r="H38" s="126">
        <f>SUMIFS(DWbonus[[Sum]:[Sum]],DWbonus[[Dato]:[Dato]], "&gt;="&amp;H$8,DWbonus[[Dato]:[Dato]],"&lt;="&amp;EOMONTH(H$8,0),DWbonus[[Bookie]:[Bookie]],$A38)+SUMIFS(LayTable[[Faktisk res]:[Faktisk res]],LayTable[[Dato]:[Dato]],"&gt;="&amp;H$8,LayTable[[Dato]:[Dato]],"&lt;="&amp;EOMONTH(H$8,0),LayTable[[Bookmaker]:[Bookmaker]],$A38)+SUMIFS(BetTable[[AR_per_bookie]:[AR_per_bookie]],BetTable[[B1]:[B1]],$A38,BetTable[[Date]:[Date]], "&gt;="&amp;H$8,BetTable[[Date]:[Date]],"&lt;="&amp;EOMONTH(H$8,0))+SUMIFS(BetTable[[AR_per_bookie]:[AR_per_bookie]],BetTable[[B2]:[B2]],$A38,BetTable[[Date]:[Date]], "&gt;="&amp;H$8,BetTable[[Date]:[Date]],"&lt;="&amp;EOMONTH(H$8,0))+SUMIFS(BetTable[[AR_per_bookie]:[AR_per_bookie]],BetTable[[B3]:[B3]],$A38,BetTable[[Date]:[Date]], "&gt;="&amp;H$8,BetTable[[Date]:[Date]],"&lt;="&amp;EOMONTH(H$8,0))</f>
        <v>0</v>
      </c>
      <c r="I38" s="126">
        <f>SUMIFS(DWbonus[[Sum]:[Sum]],DWbonus[[Dato]:[Dato]], "&gt;="&amp;I$8,DWbonus[[Dato]:[Dato]],"&lt;="&amp;EOMONTH(I$8,0),DWbonus[[Bookie]:[Bookie]],$A38)+SUMIFS(LayTable[[Faktisk res]:[Faktisk res]],LayTable[[Dato]:[Dato]],"&gt;="&amp;I$8,LayTable[[Dato]:[Dato]],"&lt;="&amp;EOMONTH(I$8,0),LayTable[[Bookmaker]:[Bookmaker]],$A38)+SUMIFS(BetTable[[AR_per_bookie]:[AR_per_bookie]],BetTable[[B1]:[B1]],$A38,BetTable[[Date]:[Date]], "&gt;="&amp;I$8,BetTable[[Date]:[Date]],"&lt;="&amp;EOMONTH(I$8,0))+SUMIFS(BetTable[[AR_per_bookie]:[AR_per_bookie]],BetTable[[B2]:[B2]],$A38,BetTable[[Date]:[Date]], "&gt;="&amp;I$8,BetTable[[Date]:[Date]],"&lt;="&amp;EOMONTH(I$8,0))+SUMIFS(BetTable[[AR_per_bookie]:[AR_per_bookie]],BetTable[[B3]:[B3]],$A38,BetTable[[Date]:[Date]], "&gt;="&amp;I$8,BetTable[[Date]:[Date]],"&lt;="&amp;EOMONTH(I$8,0))</f>
        <v>0</v>
      </c>
      <c r="J38" s="126">
        <f>SUMIFS(DWbonus[[Sum]:[Sum]],DWbonus[[Dato]:[Dato]], "&gt;="&amp;J$8,DWbonus[[Dato]:[Dato]],"&lt;="&amp;EOMONTH(J$8,0),DWbonus[[Bookie]:[Bookie]],$A38)+SUMIFS(LayTable[[Faktisk res]:[Faktisk res]],LayTable[[Dato]:[Dato]],"&gt;="&amp;J$8,LayTable[[Dato]:[Dato]],"&lt;="&amp;EOMONTH(J$8,0),LayTable[[Bookmaker]:[Bookmaker]],$A38)+SUMIFS(BetTable[[AR_per_bookie]:[AR_per_bookie]],BetTable[[B1]:[B1]],$A38,BetTable[[Date]:[Date]], "&gt;="&amp;J$8,BetTable[[Date]:[Date]],"&lt;="&amp;EOMONTH(J$8,0))+SUMIFS(BetTable[[AR_per_bookie]:[AR_per_bookie]],BetTable[[B2]:[B2]],$A38,BetTable[[Date]:[Date]], "&gt;="&amp;J$8,BetTable[[Date]:[Date]],"&lt;="&amp;EOMONTH(J$8,0))+SUMIFS(BetTable[[AR_per_bookie]:[AR_per_bookie]],BetTable[[B3]:[B3]],$A38,BetTable[[Date]:[Date]], "&gt;="&amp;J$8,BetTable[[Date]:[Date]],"&lt;="&amp;EOMONTH(J$8,0))</f>
        <v>0</v>
      </c>
      <c r="K38" s="126">
        <f>SUMIFS(DWbonus[[Sum]:[Sum]],DWbonus[[Dato]:[Dato]], "&gt;="&amp;K$8,DWbonus[[Dato]:[Dato]],"&lt;="&amp;EOMONTH(K$8,0),DWbonus[[Bookie]:[Bookie]],$A38)+SUMIFS(LayTable[[Faktisk res]:[Faktisk res]],LayTable[[Dato]:[Dato]],"&gt;="&amp;K$8,LayTable[[Dato]:[Dato]],"&lt;="&amp;EOMONTH(K$8,0),LayTable[[Bookmaker]:[Bookmaker]],$A38)+SUMIFS(BetTable[[AR_per_bookie]:[AR_per_bookie]],BetTable[[B1]:[B1]],$A38,BetTable[[Date]:[Date]], "&gt;="&amp;K$8,BetTable[[Date]:[Date]],"&lt;="&amp;EOMONTH(K$8,0))+SUMIFS(BetTable[[AR_per_bookie]:[AR_per_bookie]],BetTable[[B2]:[B2]],$A38,BetTable[[Date]:[Date]], "&gt;="&amp;K$8,BetTable[[Date]:[Date]],"&lt;="&amp;EOMONTH(K$8,0))+SUMIFS(BetTable[[AR_per_bookie]:[AR_per_bookie]],BetTable[[B3]:[B3]],$A38,BetTable[[Date]:[Date]], "&gt;="&amp;K$8,BetTable[[Date]:[Date]],"&lt;="&amp;EOMONTH(K$8,0))</f>
        <v>0</v>
      </c>
      <c r="L38" s="126">
        <f>SUMIFS(DWbonus[[Sum]:[Sum]],DWbonus[[Dato]:[Dato]], "&gt;="&amp;L$8,DWbonus[[Dato]:[Dato]],"&lt;="&amp;EOMONTH(L$8,0),DWbonus[[Bookie]:[Bookie]],$A38)+SUMIFS(LayTable[[Faktisk res]:[Faktisk res]],LayTable[[Dato]:[Dato]],"&gt;="&amp;L$8,LayTable[[Dato]:[Dato]],"&lt;="&amp;EOMONTH(L$8,0),LayTable[[Bookmaker]:[Bookmaker]],$A38)+SUMIFS(BetTable[[AR_per_bookie]:[AR_per_bookie]],BetTable[[B1]:[B1]],$A38,BetTable[[Date]:[Date]], "&gt;="&amp;L$8,BetTable[[Date]:[Date]],"&lt;="&amp;EOMONTH(L$8,0))+SUMIFS(BetTable[[AR_per_bookie]:[AR_per_bookie]],BetTable[[B2]:[B2]],$A38,BetTable[[Date]:[Date]], "&gt;="&amp;L$8,BetTable[[Date]:[Date]],"&lt;="&amp;EOMONTH(L$8,0))+SUMIFS(BetTable[[AR_per_bookie]:[AR_per_bookie]],BetTable[[B3]:[B3]],$A38,BetTable[[Date]:[Date]], "&gt;="&amp;L$8,BetTable[[Date]:[Date]],"&lt;="&amp;EOMONTH(L$8,0))</f>
        <v>0</v>
      </c>
      <c r="M38" s="126">
        <f>SUMIFS(DWbonus[[Sum]:[Sum]],DWbonus[[Dato]:[Dato]], "&gt;="&amp;M$8,DWbonus[[Dato]:[Dato]],"&lt;="&amp;EOMONTH(M$8,0),DWbonus[[Bookie]:[Bookie]],$A38)+SUMIFS(LayTable[[Faktisk res]:[Faktisk res]],LayTable[[Dato]:[Dato]],"&gt;="&amp;M$8,LayTable[[Dato]:[Dato]],"&lt;="&amp;EOMONTH(M$8,0),LayTable[[Bookmaker]:[Bookmaker]],$A38)+SUMIFS(BetTable[[AR_per_bookie]:[AR_per_bookie]],BetTable[[B1]:[B1]],$A38,BetTable[[Date]:[Date]], "&gt;="&amp;M$8,BetTable[[Date]:[Date]],"&lt;="&amp;EOMONTH(M$8,0))+SUMIFS(BetTable[[AR_per_bookie]:[AR_per_bookie]],BetTable[[B2]:[B2]],$A38,BetTable[[Date]:[Date]], "&gt;="&amp;M$8,BetTable[[Date]:[Date]],"&lt;="&amp;EOMONTH(M$8,0))+SUMIFS(BetTable[[AR_per_bookie]:[AR_per_bookie]],BetTable[[B3]:[B3]],$A38,BetTable[[Date]:[Date]], "&gt;="&amp;M$8,BetTable[[Date]:[Date]],"&lt;="&amp;EOMONTH(M$8,0))</f>
        <v>0</v>
      </c>
      <c r="N38" s="126">
        <f>SUMIFS(DWbonus[[Sum]:[Sum]],DWbonus[[Dato]:[Dato]], "&gt;="&amp;N$8,DWbonus[[Dato]:[Dato]],"&lt;="&amp;EOMONTH(N$8,0),DWbonus[[Bookie]:[Bookie]],$A38)+SUMIFS(LayTable[[Faktisk res]:[Faktisk res]],LayTable[[Dato]:[Dato]],"&gt;="&amp;N$8,LayTable[[Dato]:[Dato]],"&lt;="&amp;EOMONTH(N$8,0),LayTable[[Bookmaker]:[Bookmaker]],$A38)+SUMIFS(BetTable[[AR_per_bookie]:[AR_per_bookie]],BetTable[[B1]:[B1]],$A38,BetTable[[Date]:[Date]], "&gt;="&amp;N$8,BetTable[[Date]:[Date]],"&lt;="&amp;EOMONTH(N$8,0))+SUMIFS(BetTable[[AR_per_bookie]:[AR_per_bookie]],BetTable[[B2]:[B2]],$A38,BetTable[[Date]:[Date]], "&gt;="&amp;N$8,BetTable[[Date]:[Date]],"&lt;="&amp;EOMONTH(N$8,0))+SUMIFS(BetTable[[AR_per_bookie]:[AR_per_bookie]],BetTable[[B3]:[B3]],$A38,BetTable[[Date]:[Date]], "&gt;="&amp;N$8,BetTable[[Date]:[Date]],"&lt;="&amp;EOMONTH(N$8,0))</f>
        <v>0</v>
      </c>
      <c r="O38" s="126">
        <f>SUMIFS(DWbonus[[Sum]:[Sum]],DWbonus[[Dato]:[Dato]], "&gt;="&amp;O$8,DWbonus[[Dato]:[Dato]],"&lt;="&amp;EOMONTH(O$8,0),DWbonus[[Bookie]:[Bookie]],$A38)+SUMIFS(LayTable[[Faktisk res]:[Faktisk res]],LayTable[[Dato]:[Dato]],"&gt;="&amp;O$8,LayTable[[Dato]:[Dato]],"&lt;="&amp;EOMONTH(O$8,0),LayTable[[Bookmaker]:[Bookmaker]],$A38)+SUMIFS(BetTable[[AR_per_bookie]:[AR_per_bookie]],BetTable[[B1]:[B1]],$A38,BetTable[[Date]:[Date]], "&gt;="&amp;O$8,BetTable[[Date]:[Date]],"&lt;="&amp;EOMONTH(O$8,0))+SUMIFS(BetTable[[AR_per_bookie]:[AR_per_bookie]],BetTable[[B2]:[B2]],$A38,BetTable[[Date]:[Date]], "&gt;="&amp;O$8,BetTable[[Date]:[Date]],"&lt;="&amp;EOMONTH(O$8,0))+SUMIFS(BetTable[[AR_per_bookie]:[AR_per_bookie]],BetTable[[B3]:[B3]],$A38,BetTable[[Date]:[Date]], "&gt;="&amp;O$8,BetTable[[Date]:[Date]],"&lt;="&amp;EOMONTH(O$8,0))</f>
        <v>0</v>
      </c>
      <c r="P38" s="126">
        <f>SUMIFS(DWbonus[[Sum]:[Sum]],DWbonus[[Dato]:[Dato]], "&gt;="&amp;P$8,DWbonus[[Dato]:[Dato]],"&lt;="&amp;EOMONTH(P$8,0),DWbonus[[Bookie]:[Bookie]],$A38)+SUMIFS(LayTable[[Faktisk res]:[Faktisk res]],LayTable[[Dato]:[Dato]],"&gt;="&amp;P$8,LayTable[[Dato]:[Dato]],"&lt;="&amp;EOMONTH(P$8,0),LayTable[[Bookmaker]:[Bookmaker]],$A38)+SUMIFS(BetTable[[AR_per_bookie]:[AR_per_bookie]],BetTable[[B1]:[B1]],$A38,BetTable[[Date]:[Date]], "&gt;="&amp;P$8,BetTable[[Date]:[Date]],"&lt;="&amp;EOMONTH(P$8,0))+SUMIFS(BetTable[[AR_per_bookie]:[AR_per_bookie]],BetTable[[B2]:[B2]],$A38,BetTable[[Date]:[Date]], "&gt;="&amp;P$8,BetTable[[Date]:[Date]],"&lt;="&amp;EOMONTH(P$8,0))+SUMIFS(BetTable[[AR_per_bookie]:[AR_per_bookie]],BetTable[[B3]:[B3]],$A38,BetTable[[Date]:[Date]], "&gt;="&amp;P$8,BetTable[[Date]:[Date]],"&lt;="&amp;EOMONTH(P$8,0))</f>
        <v>0</v>
      </c>
      <c r="Q38" s="126">
        <f>SUMIFS(DWbonus[[Sum]:[Sum]],DWbonus[[Dato]:[Dato]], "&gt;="&amp;Q$8,DWbonus[[Dato]:[Dato]],"&lt;="&amp;EOMONTH(Q$8,0),DWbonus[[Bookie]:[Bookie]],$A38)+SUMIFS(LayTable[[Faktisk res]:[Faktisk res]],LayTable[[Dato]:[Dato]],"&gt;="&amp;Q$8,LayTable[[Dato]:[Dato]],"&lt;="&amp;EOMONTH(Q$8,0),LayTable[[Bookmaker]:[Bookmaker]],$A38)+SUMIFS(BetTable[[AR_per_bookie]:[AR_per_bookie]],BetTable[[B1]:[B1]],$A38,BetTable[[Date]:[Date]], "&gt;="&amp;Q$8,BetTable[[Date]:[Date]],"&lt;="&amp;EOMONTH(Q$8,0))+SUMIFS(BetTable[[AR_per_bookie]:[AR_per_bookie]],BetTable[[B2]:[B2]],$A38,BetTable[[Date]:[Date]], "&gt;="&amp;Q$8,BetTable[[Date]:[Date]],"&lt;="&amp;EOMONTH(Q$8,0))+SUMIFS(BetTable[[AR_per_bookie]:[AR_per_bookie]],BetTable[[B3]:[B3]],$A38,BetTable[[Date]:[Date]], "&gt;="&amp;Q$8,BetTable[[Date]:[Date]],"&lt;="&amp;EOMONTH(Q$8,0))</f>
        <v>0</v>
      </c>
      <c r="R38" s="126">
        <f>SUMIFS(DWbonus[[Sum]:[Sum]],DWbonus[[Dato]:[Dato]], "&gt;="&amp;R$8,DWbonus[[Dato]:[Dato]],"&lt;="&amp;EOMONTH(R$8,0),DWbonus[[Bookie]:[Bookie]],$A38)+SUMIFS(LayTable[[Faktisk res]:[Faktisk res]],LayTable[[Dato]:[Dato]],"&gt;="&amp;R$8,LayTable[[Dato]:[Dato]],"&lt;="&amp;EOMONTH(R$8,0),LayTable[[Bookmaker]:[Bookmaker]],$A38)+SUMIFS(BetTable[[AR_per_bookie]:[AR_per_bookie]],BetTable[[B1]:[B1]],$A38,BetTable[[Date]:[Date]], "&gt;="&amp;R$8,BetTable[[Date]:[Date]],"&lt;="&amp;EOMONTH(R$8,0))+SUMIFS(BetTable[[AR_per_bookie]:[AR_per_bookie]],BetTable[[B2]:[B2]],$A38,BetTable[[Date]:[Date]], "&gt;="&amp;R$8,BetTable[[Date]:[Date]],"&lt;="&amp;EOMONTH(R$8,0))+SUMIFS(BetTable[[AR_per_bookie]:[AR_per_bookie]],BetTable[[B3]:[B3]],$A38,BetTable[[Date]:[Date]], "&gt;="&amp;R$8,BetTable[[Date]:[Date]],"&lt;="&amp;EOMONTH(R$8,0))</f>
        <v>0</v>
      </c>
      <c r="S38" s="126">
        <f>SUMIFS(DWbonus[[Sum]:[Sum]],DWbonus[[Dato]:[Dato]], "&gt;="&amp;S$8,DWbonus[[Dato]:[Dato]],"&lt;="&amp;EOMONTH(S$8,0),DWbonus[[Bookie]:[Bookie]],$A38)+SUMIFS(LayTable[[Faktisk res]:[Faktisk res]],LayTable[[Dato]:[Dato]],"&gt;="&amp;S$8,LayTable[[Dato]:[Dato]],"&lt;="&amp;EOMONTH(S$8,0),LayTable[[Bookmaker]:[Bookmaker]],$A38)+SUMIFS(BetTable[[AR_per_bookie]:[AR_per_bookie]],BetTable[[B1]:[B1]],$A38,BetTable[[Date]:[Date]], "&gt;="&amp;S$8,BetTable[[Date]:[Date]],"&lt;="&amp;EOMONTH(S$8,0))+SUMIFS(BetTable[[AR_per_bookie]:[AR_per_bookie]],BetTable[[B2]:[B2]],$A38,BetTable[[Date]:[Date]], "&gt;="&amp;S$8,BetTable[[Date]:[Date]],"&lt;="&amp;EOMONTH(S$8,0))+SUMIFS(BetTable[[AR_per_bookie]:[AR_per_bookie]],BetTable[[B3]:[B3]],$A38,BetTable[[Date]:[Date]], "&gt;="&amp;S$8,BetTable[[Date]:[Date]],"&lt;="&amp;EOMONTH(S$8,0))</f>
        <v>0</v>
      </c>
    </row>
    <row r="39" spans="1:19">
      <c r="A39" s="115" t="str">
        <f>BookieNavn!I31</f>
        <v>Guts</v>
      </c>
      <c r="B39" s="126">
        <f>SUMIF(Penger!D$1:D$50072,A39,Penger!F$1:F$50072)</f>
        <v>0</v>
      </c>
      <c r="C39" s="126">
        <f>SUMIF(Penger!T$1:T$50072,A39,Penger!U$1:U$50072)</f>
        <v>0</v>
      </c>
      <c r="D39" s="126">
        <f ca="1">SUMIF(Spill!C$1:C$499895,A39,Spill!T$1:T$49895)+C39</f>
        <v>0</v>
      </c>
      <c r="E39" s="126">
        <f>SUMIF(Spill!C$1:C$49895,A39,Spill!T$1:T$49895)</f>
        <v>0</v>
      </c>
      <c r="F39" s="121" t="e">
        <f t="shared" ca="1" si="1"/>
        <v>#DIV/0!</v>
      </c>
      <c r="H39" s="126">
        <f>SUMIFS(DWbonus[[Sum]:[Sum]],DWbonus[[Dato]:[Dato]], "&gt;="&amp;H$8,DWbonus[[Dato]:[Dato]],"&lt;="&amp;EOMONTH(H$8,0),DWbonus[[Bookie]:[Bookie]],$A39)+SUMIFS(LayTable[[Faktisk res]:[Faktisk res]],LayTable[[Dato]:[Dato]],"&gt;="&amp;H$8,LayTable[[Dato]:[Dato]],"&lt;="&amp;EOMONTH(H$8,0),LayTable[[Bookmaker]:[Bookmaker]],$A39)+SUMIFS(BetTable[[AR_per_bookie]:[AR_per_bookie]],BetTable[[B1]:[B1]],$A39,BetTable[[Date]:[Date]], "&gt;="&amp;H$8,BetTable[[Date]:[Date]],"&lt;="&amp;EOMONTH(H$8,0))+SUMIFS(BetTable[[AR_per_bookie]:[AR_per_bookie]],BetTable[[B2]:[B2]],$A39,BetTable[[Date]:[Date]], "&gt;="&amp;H$8,BetTable[[Date]:[Date]],"&lt;="&amp;EOMONTH(H$8,0))+SUMIFS(BetTable[[AR_per_bookie]:[AR_per_bookie]],BetTable[[B3]:[B3]],$A39,BetTable[[Date]:[Date]], "&gt;="&amp;H$8,BetTable[[Date]:[Date]],"&lt;="&amp;EOMONTH(H$8,0))</f>
        <v>0</v>
      </c>
      <c r="I39" s="126">
        <f>SUMIFS(DWbonus[[Sum]:[Sum]],DWbonus[[Dato]:[Dato]], "&gt;="&amp;I$8,DWbonus[[Dato]:[Dato]],"&lt;="&amp;EOMONTH(I$8,0),DWbonus[[Bookie]:[Bookie]],$A39)+SUMIFS(LayTable[[Faktisk res]:[Faktisk res]],LayTable[[Dato]:[Dato]],"&gt;="&amp;I$8,LayTable[[Dato]:[Dato]],"&lt;="&amp;EOMONTH(I$8,0),LayTable[[Bookmaker]:[Bookmaker]],$A39)+SUMIFS(BetTable[[AR_per_bookie]:[AR_per_bookie]],BetTable[[B1]:[B1]],$A39,BetTable[[Date]:[Date]], "&gt;="&amp;I$8,BetTable[[Date]:[Date]],"&lt;="&amp;EOMONTH(I$8,0))+SUMIFS(BetTable[[AR_per_bookie]:[AR_per_bookie]],BetTable[[B2]:[B2]],$A39,BetTable[[Date]:[Date]], "&gt;="&amp;I$8,BetTable[[Date]:[Date]],"&lt;="&amp;EOMONTH(I$8,0))+SUMIFS(BetTable[[AR_per_bookie]:[AR_per_bookie]],BetTable[[B3]:[B3]],$A39,BetTable[[Date]:[Date]], "&gt;="&amp;I$8,BetTable[[Date]:[Date]],"&lt;="&amp;EOMONTH(I$8,0))</f>
        <v>0</v>
      </c>
      <c r="J39" s="126">
        <f>SUMIFS(DWbonus[[Sum]:[Sum]],DWbonus[[Dato]:[Dato]], "&gt;="&amp;J$8,DWbonus[[Dato]:[Dato]],"&lt;="&amp;EOMONTH(J$8,0),DWbonus[[Bookie]:[Bookie]],$A39)+SUMIFS(LayTable[[Faktisk res]:[Faktisk res]],LayTable[[Dato]:[Dato]],"&gt;="&amp;J$8,LayTable[[Dato]:[Dato]],"&lt;="&amp;EOMONTH(J$8,0),LayTable[[Bookmaker]:[Bookmaker]],$A39)+SUMIFS(BetTable[[AR_per_bookie]:[AR_per_bookie]],BetTable[[B1]:[B1]],$A39,BetTable[[Date]:[Date]], "&gt;="&amp;J$8,BetTable[[Date]:[Date]],"&lt;="&amp;EOMONTH(J$8,0))+SUMIFS(BetTable[[AR_per_bookie]:[AR_per_bookie]],BetTable[[B2]:[B2]],$A39,BetTable[[Date]:[Date]], "&gt;="&amp;J$8,BetTable[[Date]:[Date]],"&lt;="&amp;EOMONTH(J$8,0))+SUMIFS(BetTable[[AR_per_bookie]:[AR_per_bookie]],BetTable[[B3]:[B3]],$A39,BetTable[[Date]:[Date]], "&gt;="&amp;J$8,BetTable[[Date]:[Date]],"&lt;="&amp;EOMONTH(J$8,0))</f>
        <v>0</v>
      </c>
      <c r="K39" s="126">
        <f>SUMIFS(DWbonus[[Sum]:[Sum]],DWbonus[[Dato]:[Dato]], "&gt;="&amp;K$8,DWbonus[[Dato]:[Dato]],"&lt;="&amp;EOMONTH(K$8,0),DWbonus[[Bookie]:[Bookie]],$A39)+SUMIFS(LayTable[[Faktisk res]:[Faktisk res]],LayTable[[Dato]:[Dato]],"&gt;="&amp;K$8,LayTable[[Dato]:[Dato]],"&lt;="&amp;EOMONTH(K$8,0),LayTable[[Bookmaker]:[Bookmaker]],$A39)+SUMIFS(BetTable[[AR_per_bookie]:[AR_per_bookie]],BetTable[[B1]:[B1]],$A39,BetTable[[Date]:[Date]], "&gt;="&amp;K$8,BetTable[[Date]:[Date]],"&lt;="&amp;EOMONTH(K$8,0))+SUMIFS(BetTable[[AR_per_bookie]:[AR_per_bookie]],BetTable[[B2]:[B2]],$A39,BetTable[[Date]:[Date]], "&gt;="&amp;K$8,BetTable[[Date]:[Date]],"&lt;="&amp;EOMONTH(K$8,0))+SUMIFS(BetTable[[AR_per_bookie]:[AR_per_bookie]],BetTable[[B3]:[B3]],$A39,BetTable[[Date]:[Date]], "&gt;="&amp;K$8,BetTable[[Date]:[Date]],"&lt;="&amp;EOMONTH(K$8,0))</f>
        <v>0</v>
      </c>
      <c r="L39" s="126">
        <f>SUMIFS(DWbonus[[Sum]:[Sum]],DWbonus[[Dato]:[Dato]], "&gt;="&amp;L$8,DWbonus[[Dato]:[Dato]],"&lt;="&amp;EOMONTH(L$8,0),DWbonus[[Bookie]:[Bookie]],$A39)+SUMIFS(LayTable[[Faktisk res]:[Faktisk res]],LayTable[[Dato]:[Dato]],"&gt;="&amp;L$8,LayTable[[Dato]:[Dato]],"&lt;="&amp;EOMONTH(L$8,0),LayTable[[Bookmaker]:[Bookmaker]],$A39)+SUMIFS(BetTable[[AR_per_bookie]:[AR_per_bookie]],BetTable[[B1]:[B1]],$A39,BetTable[[Date]:[Date]], "&gt;="&amp;L$8,BetTable[[Date]:[Date]],"&lt;="&amp;EOMONTH(L$8,0))+SUMIFS(BetTable[[AR_per_bookie]:[AR_per_bookie]],BetTable[[B2]:[B2]],$A39,BetTable[[Date]:[Date]], "&gt;="&amp;L$8,BetTable[[Date]:[Date]],"&lt;="&amp;EOMONTH(L$8,0))+SUMIFS(BetTable[[AR_per_bookie]:[AR_per_bookie]],BetTable[[B3]:[B3]],$A39,BetTable[[Date]:[Date]], "&gt;="&amp;L$8,BetTable[[Date]:[Date]],"&lt;="&amp;EOMONTH(L$8,0))</f>
        <v>0</v>
      </c>
      <c r="M39" s="126">
        <f>SUMIFS(DWbonus[[Sum]:[Sum]],DWbonus[[Dato]:[Dato]], "&gt;="&amp;M$8,DWbonus[[Dato]:[Dato]],"&lt;="&amp;EOMONTH(M$8,0),DWbonus[[Bookie]:[Bookie]],$A39)+SUMIFS(LayTable[[Faktisk res]:[Faktisk res]],LayTable[[Dato]:[Dato]],"&gt;="&amp;M$8,LayTable[[Dato]:[Dato]],"&lt;="&amp;EOMONTH(M$8,0),LayTable[[Bookmaker]:[Bookmaker]],$A39)+SUMIFS(BetTable[[AR_per_bookie]:[AR_per_bookie]],BetTable[[B1]:[B1]],$A39,BetTable[[Date]:[Date]], "&gt;="&amp;M$8,BetTable[[Date]:[Date]],"&lt;="&amp;EOMONTH(M$8,0))+SUMIFS(BetTable[[AR_per_bookie]:[AR_per_bookie]],BetTable[[B2]:[B2]],$A39,BetTable[[Date]:[Date]], "&gt;="&amp;M$8,BetTable[[Date]:[Date]],"&lt;="&amp;EOMONTH(M$8,0))+SUMIFS(BetTable[[AR_per_bookie]:[AR_per_bookie]],BetTable[[B3]:[B3]],$A39,BetTable[[Date]:[Date]], "&gt;="&amp;M$8,BetTable[[Date]:[Date]],"&lt;="&amp;EOMONTH(M$8,0))</f>
        <v>0</v>
      </c>
      <c r="N39" s="126">
        <f>SUMIFS(DWbonus[[Sum]:[Sum]],DWbonus[[Dato]:[Dato]], "&gt;="&amp;N$8,DWbonus[[Dato]:[Dato]],"&lt;="&amp;EOMONTH(N$8,0),DWbonus[[Bookie]:[Bookie]],$A39)+SUMIFS(LayTable[[Faktisk res]:[Faktisk res]],LayTable[[Dato]:[Dato]],"&gt;="&amp;N$8,LayTable[[Dato]:[Dato]],"&lt;="&amp;EOMONTH(N$8,0),LayTable[[Bookmaker]:[Bookmaker]],$A39)+SUMIFS(BetTable[[AR_per_bookie]:[AR_per_bookie]],BetTable[[B1]:[B1]],$A39,BetTable[[Date]:[Date]], "&gt;="&amp;N$8,BetTable[[Date]:[Date]],"&lt;="&amp;EOMONTH(N$8,0))+SUMIFS(BetTable[[AR_per_bookie]:[AR_per_bookie]],BetTable[[B2]:[B2]],$A39,BetTable[[Date]:[Date]], "&gt;="&amp;N$8,BetTable[[Date]:[Date]],"&lt;="&amp;EOMONTH(N$8,0))+SUMIFS(BetTable[[AR_per_bookie]:[AR_per_bookie]],BetTable[[B3]:[B3]],$A39,BetTable[[Date]:[Date]], "&gt;="&amp;N$8,BetTable[[Date]:[Date]],"&lt;="&amp;EOMONTH(N$8,0))</f>
        <v>0</v>
      </c>
      <c r="O39" s="126">
        <f>SUMIFS(DWbonus[[Sum]:[Sum]],DWbonus[[Dato]:[Dato]], "&gt;="&amp;O$8,DWbonus[[Dato]:[Dato]],"&lt;="&amp;EOMONTH(O$8,0),DWbonus[[Bookie]:[Bookie]],$A39)+SUMIFS(LayTable[[Faktisk res]:[Faktisk res]],LayTable[[Dato]:[Dato]],"&gt;="&amp;O$8,LayTable[[Dato]:[Dato]],"&lt;="&amp;EOMONTH(O$8,0),LayTable[[Bookmaker]:[Bookmaker]],$A39)+SUMIFS(BetTable[[AR_per_bookie]:[AR_per_bookie]],BetTable[[B1]:[B1]],$A39,BetTable[[Date]:[Date]], "&gt;="&amp;O$8,BetTable[[Date]:[Date]],"&lt;="&amp;EOMONTH(O$8,0))+SUMIFS(BetTable[[AR_per_bookie]:[AR_per_bookie]],BetTable[[B2]:[B2]],$A39,BetTable[[Date]:[Date]], "&gt;="&amp;O$8,BetTable[[Date]:[Date]],"&lt;="&amp;EOMONTH(O$8,0))+SUMIFS(BetTable[[AR_per_bookie]:[AR_per_bookie]],BetTable[[B3]:[B3]],$A39,BetTable[[Date]:[Date]], "&gt;="&amp;O$8,BetTable[[Date]:[Date]],"&lt;="&amp;EOMONTH(O$8,0))</f>
        <v>0</v>
      </c>
      <c r="P39" s="126">
        <f>SUMIFS(DWbonus[[Sum]:[Sum]],DWbonus[[Dato]:[Dato]], "&gt;="&amp;P$8,DWbonus[[Dato]:[Dato]],"&lt;="&amp;EOMONTH(P$8,0),DWbonus[[Bookie]:[Bookie]],$A39)+SUMIFS(LayTable[[Faktisk res]:[Faktisk res]],LayTable[[Dato]:[Dato]],"&gt;="&amp;P$8,LayTable[[Dato]:[Dato]],"&lt;="&amp;EOMONTH(P$8,0),LayTable[[Bookmaker]:[Bookmaker]],$A39)+SUMIFS(BetTable[[AR_per_bookie]:[AR_per_bookie]],BetTable[[B1]:[B1]],$A39,BetTable[[Date]:[Date]], "&gt;="&amp;P$8,BetTable[[Date]:[Date]],"&lt;="&amp;EOMONTH(P$8,0))+SUMIFS(BetTable[[AR_per_bookie]:[AR_per_bookie]],BetTable[[B2]:[B2]],$A39,BetTable[[Date]:[Date]], "&gt;="&amp;P$8,BetTable[[Date]:[Date]],"&lt;="&amp;EOMONTH(P$8,0))+SUMIFS(BetTable[[AR_per_bookie]:[AR_per_bookie]],BetTable[[B3]:[B3]],$A39,BetTable[[Date]:[Date]], "&gt;="&amp;P$8,BetTable[[Date]:[Date]],"&lt;="&amp;EOMONTH(P$8,0))</f>
        <v>0</v>
      </c>
      <c r="Q39" s="126">
        <f>SUMIFS(DWbonus[[Sum]:[Sum]],DWbonus[[Dato]:[Dato]], "&gt;="&amp;Q$8,DWbonus[[Dato]:[Dato]],"&lt;="&amp;EOMONTH(Q$8,0),DWbonus[[Bookie]:[Bookie]],$A39)+SUMIFS(LayTable[[Faktisk res]:[Faktisk res]],LayTable[[Dato]:[Dato]],"&gt;="&amp;Q$8,LayTable[[Dato]:[Dato]],"&lt;="&amp;EOMONTH(Q$8,0),LayTable[[Bookmaker]:[Bookmaker]],$A39)+SUMIFS(BetTable[[AR_per_bookie]:[AR_per_bookie]],BetTable[[B1]:[B1]],$A39,BetTable[[Date]:[Date]], "&gt;="&amp;Q$8,BetTable[[Date]:[Date]],"&lt;="&amp;EOMONTH(Q$8,0))+SUMIFS(BetTable[[AR_per_bookie]:[AR_per_bookie]],BetTable[[B2]:[B2]],$A39,BetTable[[Date]:[Date]], "&gt;="&amp;Q$8,BetTable[[Date]:[Date]],"&lt;="&amp;EOMONTH(Q$8,0))+SUMIFS(BetTable[[AR_per_bookie]:[AR_per_bookie]],BetTable[[B3]:[B3]],$A39,BetTable[[Date]:[Date]], "&gt;="&amp;Q$8,BetTable[[Date]:[Date]],"&lt;="&amp;EOMONTH(Q$8,0))</f>
        <v>0</v>
      </c>
      <c r="R39" s="126">
        <f>SUMIFS(DWbonus[[Sum]:[Sum]],DWbonus[[Dato]:[Dato]], "&gt;="&amp;R$8,DWbonus[[Dato]:[Dato]],"&lt;="&amp;EOMONTH(R$8,0),DWbonus[[Bookie]:[Bookie]],$A39)+SUMIFS(LayTable[[Faktisk res]:[Faktisk res]],LayTable[[Dato]:[Dato]],"&gt;="&amp;R$8,LayTable[[Dato]:[Dato]],"&lt;="&amp;EOMONTH(R$8,0),LayTable[[Bookmaker]:[Bookmaker]],$A39)+SUMIFS(BetTable[[AR_per_bookie]:[AR_per_bookie]],BetTable[[B1]:[B1]],$A39,BetTable[[Date]:[Date]], "&gt;="&amp;R$8,BetTable[[Date]:[Date]],"&lt;="&amp;EOMONTH(R$8,0))+SUMIFS(BetTable[[AR_per_bookie]:[AR_per_bookie]],BetTable[[B2]:[B2]],$A39,BetTable[[Date]:[Date]], "&gt;="&amp;R$8,BetTable[[Date]:[Date]],"&lt;="&amp;EOMONTH(R$8,0))+SUMIFS(BetTable[[AR_per_bookie]:[AR_per_bookie]],BetTable[[B3]:[B3]],$A39,BetTable[[Date]:[Date]], "&gt;="&amp;R$8,BetTable[[Date]:[Date]],"&lt;="&amp;EOMONTH(R$8,0))</f>
        <v>0</v>
      </c>
      <c r="S39" s="126">
        <f>SUMIFS(DWbonus[[Sum]:[Sum]],DWbonus[[Dato]:[Dato]], "&gt;="&amp;S$8,DWbonus[[Dato]:[Dato]],"&lt;="&amp;EOMONTH(S$8,0),DWbonus[[Bookie]:[Bookie]],$A39)+SUMIFS(LayTable[[Faktisk res]:[Faktisk res]],LayTable[[Dato]:[Dato]],"&gt;="&amp;S$8,LayTable[[Dato]:[Dato]],"&lt;="&amp;EOMONTH(S$8,0),LayTable[[Bookmaker]:[Bookmaker]],$A39)+SUMIFS(BetTable[[AR_per_bookie]:[AR_per_bookie]],BetTable[[B1]:[B1]],$A39,BetTable[[Date]:[Date]], "&gt;="&amp;S$8,BetTable[[Date]:[Date]],"&lt;="&amp;EOMONTH(S$8,0))+SUMIFS(BetTable[[AR_per_bookie]:[AR_per_bookie]],BetTable[[B2]:[B2]],$A39,BetTable[[Date]:[Date]], "&gt;="&amp;S$8,BetTable[[Date]:[Date]],"&lt;="&amp;EOMONTH(S$8,0))+SUMIFS(BetTable[[AR_per_bookie]:[AR_per_bookie]],BetTable[[B3]:[B3]],$A39,BetTable[[Date]:[Date]], "&gt;="&amp;S$8,BetTable[[Date]:[Date]],"&lt;="&amp;EOMONTH(S$8,0))</f>
        <v>0</v>
      </c>
    </row>
    <row r="40" spans="1:19">
      <c r="A40" s="115" t="str">
        <f>BookieNavn!I32</f>
        <v>JSFansbet</v>
      </c>
      <c r="B40" s="126">
        <f>SUMIF(Penger!D$1:D$50072,A40,Penger!F$1:F$50072)</f>
        <v>0</v>
      </c>
      <c r="C40" s="126">
        <f>SUMIF(Penger!T$1:T$50072,A40,Penger!U$1:U$50072)</f>
        <v>0</v>
      </c>
      <c r="D40" s="126">
        <f ca="1">SUMIF(Spill!C$1:C$499895,A40,Spill!T$1:T$49895)+C40</f>
        <v>0</v>
      </c>
      <c r="E40" s="126">
        <f>SUMIF(Spill!C$1:C$49895,A40,Spill!T$1:T$49895)</f>
        <v>0</v>
      </c>
      <c r="F40" s="121" t="e">
        <f t="shared" ca="1" si="1"/>
        <v>#DIV/0!</v>
      </c>
      <c r="H40" s="126">
        <f>SUMIFS(DWbonus[[Sum]:[Sum]],DWbonus[[Dato]:[Dato]], "&gt;="&amp;H$8,DWbonus[[Dato]:[Dato]],"&lt;="&amp;EOMONTH(H$8,0),DWbonus[[Bookie]:[Bookie]],$A40)+SUMIFS(LayTable[[Faktisk res]:[Faktisk res]],LayTable[[Dato]:[Dato]],"&gt;="&amp;H$8,LayTable[[Dato]:[Dato]],"&lt;="&amp;EOMONTH(H$8,0),LayTable[[Bookmaker]:[Bookmaker]],$A40)+SUMIFS(BetTable[[AR_per_bookie]:[AR_per_bookie]],BetTable[[B1]:[B1]],$A40,BetTable[[Date]:[Date]], "&gt;="&amp;H$8,BetTable[[Date]:[Date]],"&lt;="&amp;EOMONTH(H$8,0))+SUMIFS(BetTable[[AR_per_bookie]:[AR_per_bookie]],BetTable[[B2]:[B2]],$A40,BetTable[[Date]:[Date]], "&gt;="&amp;H$8,BetTable[[Date]:[Date]],"&lt;="&amp;EOMONTH(H$8,0))+SUMIFS(BetTable[[AR_per_bookie]:[AR_per_bookie]],BetTable[[B3]:[B3]],$A40,BetTable[[Date]:[Date]], "&gt;="&amp;H$8,BetTable[[Date]:[Date]],"&lt;="&amp;EOMONTH(H$8,0))</f>
        <v>0</v>
      </c>
      <c r="I40" s="126">
        <f>SUMIFS(DWbonus[[Sum]:[Sum]],DWbonus[[Dato]:[Dato]], "&gt;="&amp;I$8,DWbonus[[Dato]:[Dato]],"&lt;="&amp;EOMONTH(I$8,0),DWbonus[[Bookie]:[Bookie]],$A40)+SUMIFS(LayTable[[Faktisk res]:[Faktisk res]],LayTable[[Dato]:[Dato]],"&gt;="&amp;I$8,LayTable[[Dato]:[Dato]],"&lt;="&amp;EOMONTH(I$8,0),LayTable[[Bookmaker]:[Bookmaker]],$A40)+SUMIFS(BetTable[[AR_per_bookie]:[AR_per_bookie]],BetTable[[B1]:[B1]],$A40,BetTable[[Date]:[Date]], "&gt;="&amp;I$8,BetTable[[Date]:[Date]],"&lt;="&amp;EOMONTH(I$8,0))+SUMIFS(BetTable[[AR_per_bookie]:[AR_per_bookie]],BetTable[[B2]:[B2]],$A40,BetTable[[Date]:[Date]], "&gt;="&amp;I$8,BetTable[[Date]:[Date]],"&lt;="&amp;EOMONTH(I$8,0))+SUMIFS(BetTable[[AR_per_bookie]:[AR_per_bookie]],BetTable[[B3]:[B3]],$A40,BetTable[[Date]:[Date]], "&gt;="&amp;I$8,BetTable[[Date]:[Date]],"&lt;="&amp;EOMONTH(I$8,0))</f>
        <v>0</v>
      </c>
      <c r="J40" s="126">
        <f>SUMIFS(DWbonus[[Sum]:[Sum]],DWbonus[[Dato]:[Dato]], "&gt;="&amp;J$8,DWbonus[[Dato]:[Dato]],"&lt;="&amp;EOMONTH(J$8,0),DWbonus[[Bookie]:[Bookie]],$A40)+SUMIFS(LayTable[[Faktisk res]:[Faktisk res]],LayTable[[Dato]:[Dato]],"&gt;="&amp;J$8,LayTable[[Dato]:[Dato]],"&lt;="&amp;EOMONTH(J$8,0),LayTable[[Bookmaker]:[Bookmaker]],$A40)+SUMIFS(BetTable[[AR_per_bookie]:[AR_per_bookie]],BetTable[[B1]:[B1]],$A40,BetTable[[Date]:[Date]], "&gt;="&amp;J$8,BetTable[[Date]:[Date]],"&lt;="&amp;EOMONTH(J$8,0))+SUMIFS(BetTable[[AR_per_bookie]:[AR_per_bookie]],BetTable[[B2]:[B2]],$A40,BetTable[[Date]:[Date]], "&gt;="&amp;J$8,BetTable[[Date]:[Date]],"&lt;="&amp;EOMONTH(J$8,0))+SUMIFS(BetTable[[AR_per_bookie]:[AR_per_bookie]],BetTable[[B3]:[B3]],$A40,BetTable[[Date]:[Date]], "&gt;="&amp;J$8,BetTable[[Date]:[Date]],"&lt;="&amp;EOMONTH(J$8,0))</f>
        <v>0</v>
      </c>
      <c r="K40" s="126">
        <f>SUMIFS(DWbonus[[Sum]:[Sum]],DWbonus[[Dato]:[Dato]], "&gt;="&amp;K$8,DWbonus[[Dato]:[Dato]],"&lt;="&amp;EOMONTH(K$8,0),DWbonus[[Bookie]:[Bookie]],$A40)+SUMIFS(LayTable[[Faktisk res]:[Faktisk res]],LayTable[[Dato]:[Dato]],"&gt;="&amp;K$8,LayTable[[Dato]:[Dato]],"&lt;="&amp;EOMONTH(K$8,0),LayTable[[Bookmaker]:[Bookmaker]],$A40)+SUMIFS(BetTable[[AR_per_bookie]:[AR_per_bookie]],BetTable[[B1]:[B1]],$A40,BetTable[[Date]:[Date]], "&gt;="&amp;K$8,BetTable[[Date]:[Date]],"&lt;="&amp;EOMONTH(K$8,0))+SUMIFS(BetTable[[AR_per_bookie]:[AR_per_bookie]],BetTable[[B2]:[B2]],$A40,BetTable[[Date]:[Date]], "&gt;="&amp;K$8,BetTable[[Date]:[Date]],"&lt;="&amp;EOMONTH(K$8,0))+SUMIFS(BetTable[[AR_per_bookie]:[AR_per_bookie]],BetTable[[B3]:[B3]],$A40,BetTable[[Date]:[Date]], "&gt;="&amp;K$8,BetTable[[Date]:[Date]],"&lt;="&amp;EOMONTH(K$8,0))</f>
        <v>0</v>
      </c>
      <c r="L40" s="126">
        <f>SUMIFS(DWbonus[[Sum]:[Sum]],DWbonus[[Dato]:[Dato]], "&gt;="&amp;L$8,DWbonus[[Dato]:[Dato]],"&lt;="&amp;EOMONTH(L$8,0),DWbonus[[Bookie]:[Bookie]],$A40)+SUMIFS(LayTable[[Faktisk res]:[Faktisk res]],LayTable[[Dato]:[Dato]],"&gt;="&amp;L$8,LayTable[[Dato]:[Dato]],"&lt;="&amp;EOMONTH(L$8,0),LayTable[[Bookmaker]:[Bookmaker]],$A40)+SUMIFS(BetTable[[AR_per_bookie]:[AR_per_bookie]],BetTable[[B1]:[B1]],$A40,BetTable[[Date]:[Date]], "&gt;="&amp;L$8,BetTable[[Date]:[Date]],"&lt;="&amp;EOMONTH(L$8,0))+SUMIFS(BetTable[[AR_per_bookie]:[AR_per_bookie]],BetTable[[B2]:[B2]],$A40,BetTable[[Date]:[Date]], "&gt;="&amp;L$8,BetTable[[Date]:[Date]],"&lt;="&amp;EOMONTH(L$8,0))+SUMIFS(BetTable[[AR_per_bookie]:[AR_per_bookie]],BetTable[[B3]:[B3]],$A40,BetTable[[Date]:[Date]], "&gt;="&amp;L$8,BetTable[[Date]:[Date]],"&lt;="&amp;EOMONTH(L$8,0))</f>
        <v>0</v>
      </c>
      <c r="M40" s="126">
        <f>SUMIFS(DWbonus[[Sum]:[Sum]],DWbonus[[Dato]:[Dato]], "&gt;="&amp;M$8,DWbonus[[Dato]:[Dato]],"&lt;="&amp;EOMONTH(M$8,0),DWbonus[[Bookie]:[Bookie]],$A40)+SUMIFS(LayTable[[Faktisk res]:[Faktisk res]],LayTable[[Dato]:[Dato]],"&gt;="&amp;M$8,LayTable[[Dato]:[Dato]],"&lt;="&amp;EOMONTH(M$8,0),LayTable[[Bookmaker]:[Bookmaker]],$A40)+SUMIFS(BetTable[[AR_per_bookie]:[AR_per_bookie]],BetTable[[B1]:[B1]],$A40,BetTable[[Date]:[Date]], "&gt;="&amp;M$8,BetTable[[Date]:[Date]],"&lt;="&amp;EOMONTH(M$8,0))+SUMIFS(BetTable[[AR_per_bookie]:[AR_per_bookie]],BetTable[[B2]:[B2]],$A40,BetTable[[Date]:[Date]], "&gt;="&amp;M$8,BetTable[[Date]:[Date]],"&lt;="&amp;EOMONTH(M$8,0))+SUMIFS(BetTable[[AR_per_bookie]:[AR_per_bookie]],BetTable[[B3]:[B3]],$A40,BetTable[[Date]:[Date]], "&gt;="&amp;M$8,BetTable[[Date]:[Date]],"&lt;="&amp;EOMONTH(M$8,0))</f>
        <v>0</v>
      </c>
      <c r="N40" s="126">
        <f>SUMIFS(DWbonus[[Sum]:[Sum]],DWbonus[[Dato]:[Dato]], "&gt;="&amp;N$8,DWbonus[[Dato]:[Dato]],"&lt;="&amp;EOMONTH(N$8,0),DWbonus[[Bookie]:[Bookie]],$A40)+SUMIFS(LayTable[[Faktisk res]:[Faktisk res]],LayTable[[Dato]:[Dato]],"&gt;="&amp;N$8,LayTable[[Dato]:[Dato]],"&lt;="&amp;EOMONTH(N$8,0),LayTable[[Bookmaker]:[Bookmaker]],$A40)+SUMIFS(BetTable[[AR_per_bookie]:[AR_per_bookie]],BetTable[[B1]:[B1]],$A40,BetTable[[Date]:[Date]], "&gt;="&amp;N$8,BetTable[[Date]:[Date]],"&lt;="&amp;EOMONTH(N$8,0))+SUMIFS(BetTable[[AR_per_bookie]:[AR_per_bookie]],BetTable[[B2]:[B2]],$A40,BetTable[[Date]:[Date]], "&gt;="&amp;N$8,BetTable[[Date]:[Date]],"&lt;="&amp;EOMONTH(N$8,0))+SUMIFS(BetTable[[AR_per_bookie]:[AR_per_bookie]],BetTable[[B3]:[B3]],$A40,BetTable[[Date]:[Date]], "&gt;="&amp;N$8,BetTable[[Date]:[Date]],"&lt;="&amp;EOMONTH(N$8,0))</f>
        <v>0</v>
      </c>
      <c r="O40" s="126">
        <f>SUMIFS(DWbonus[[Sum]:[Sum]],DWbonus[[Dato]:[Dato]], "&gt;="&amp;O$8,DWbonus[[Dato]:[Dato]],"&lt;="&amp;EOMONTH(O$8,0),DWbonus[[Bookie]:[Bookie]],$A40)+SUMIFS(LayTable[[Faktisk res]:[Faktisk res]],LayTable[[Dato]:[Dato]],"&gt;="&amp;O$8,LayTable[[Dato]:[Dato]],"&lt;="&amp;EOMONTH(O$8,0),LayTable[[Bookmaker]:[Bookmaker]],$A40)+SUMIFS(BetTable[[AR_per_bookie]:[AR_per_bookie]],BetTable[[B1]:[B1]],$A40,BetTable[[Date]:[Date]], "&gt;="&amp;O$8,BetTable[[Date]:[Date]],"&lt;="&amp;EOMONTH(O$8,0))+SUMIFS(BetTable[[AR_per_bookie]:[AR_per_bookie]],BetTable[[B2]:[B2]],$A40,BetTable[[Date]:[Date]], "&gt;="&amp;O$8,BetTable[[Date]:[Date]],"&lt;="&amp;EOMONTH(O$8,0))+SUMIFS(BetTable[[AR_per_bookie]:[AR_per_bookie]],BetTable[[B3]:[B3]],$A40,BetTable[[Date]:[Date]], "&gt;="&amp;O$8,BetTable[[Date]:[Date]],"&lt;="&amp;EOMONTH(O$8,0))</f>
        <v>0</v>
      </c>
      <c r="P40" s="126">
        <f>SUMIFS(DWbonus[[Sum]:[Sum]],DWbonus[[Dato]:[Dato]], "&gt;="&amp;P$8,DWbonus[[Dato]:[Dato]],"&lt;="&amp;EOMONTH(P$8,0),DWbonus[[Bookie]:[Bookie]],$A40)+SUMIFS(LayTable[[Faktisk res]:[Faktisk res]],LayTable[[Dato]:[Dato]],"&gt;="&amp;P$8,LayTable[[Dato]:[Dato]],"&lt;="&amp;EOMONTH(P$8,0),LayTable[[Bookmaker]:[Bookmaker]],$A40)+SUMIFS(BetTable[[AR_per_bookie]:[AR_per_bookie]],BetTable[[B1]:[B1]],$A40,BetTable[[Date]:[Date]], "&gt;="&amp;P$8,BetTable[[Date]:[Date]],"&lt;="&amp;EOMONTH(P$8,0))+SUMIFS(BetTable[[AR_per_bookie]:[AR_per_bookie]],BetTable[[B2]:[B2]],$A40,BetTable[[Date]:[Date]], "&gt;="&amp;P$8,BetTable[[Date]:[Date]],"&lt;="&amp;EOMONTH(P$8,0))+SUMIFS(BetTable[[AR_per_bookie]:[AR_per_bookie]],BetTable[[B3]:[B3]],$A40,BetTable[[Date]:[Date]], "&gt;="&amp;P$8,BetTable[[Date]:[Date]],"&lt;="&amp;EOMONTH(P$8,0))</f>
        <v>0</v>
      </c>
      <c r="Q40" s="126">
        <f>SUMIFS(DWbonus[[Sum]:[Sum]],DWbonus[[Dato]:[Dato]], "&gt;="&amp;Q$8,DWbonus[[Dato]:[Dato]],"&lt;="&amp;EOMONTH(Q$8,0),DWbonus[[Bookie]:[Bookie]],$A40)+SUMIFS(LayTable[[Faktisk res]:[Faktisk res]],LayTable[[Dato]:[Dato]],"&gt;="&amp;Q$8,LayTable[[Dato]:[Dato]],"&lt;="&amp;EOMONTH(Q$8,0),LayTable[[Bookmaker]:[Bookmaker]],$A40)+SUMIFS(BetTable[[AR_per_bookie]:[AR_per_bookie]],BetTable[[B1]:[B1]],$A40,BetTable[[Date]:[Date]], "&gt;="&amp;Q$8,BetTable[[Date]:[Date]],"&lt;="&amp;EOMONTH(Q$8,0))+SUMIFS(BetTable[[AR_per_bookie]:[AR_per_bookie]],BetTable[[B2]:[B2]],$A40,BetTable[[Date]:[Date]], "&gt;="&amp;Q$8,BetTable[[Date]:[Date]],"&lt;="&amp;EOMONTH(Q$8,0))+SUMIFS(BetTable[[AR_per_bookie]:[AR_per_bookie]],BetTable[[B3]:[B3]],$A40,BetTable[[Date]:[Date]], "&gt;="&amp;Q$8,BetTable[[Date]:[Date]],"&lt;="&amp;EOMONTH(Q$8,0))</f>
        <v>0</v>
      </c>
      <c r="R40" s="126">
        <f>SUMIFS(DWbonus[[Sum]:[Sum]],DWbonus[[Dato]:[Dato]], "&gt;="&amp;R$8,DWbonus[[Dato]:[Dato]],"&lt;="&amp;EOMONTH(R$8,0),DWbonus[[Bookie]:[Bookie]],$A40)+SUMIFS(LayTable[[Faktisk res]:[Faktisk res]],LayTable[[Dato]:[Dato]],"&gt;="&amp;R$8,LayTable[[Dato]:[Dato]],"&lt;="&amp;EOMONTH(R$8,0),LayTable[[Bookmaker]:[Bookmaker]],$A40)+SUMIFS(BetTable[[AR_per_bookie]:[AR_per_bookie]],BetTable[[B1]:[B1]],$A40,BetTable[[Date]:[Date]], "&gt;="&amp;R$8,BetTable[[Date]:[Date]],"&lt;="&amp;EOMONTH(R$8,0))+SUMIFS(BetTable[[AR_per_bookie]:[AR_per_bookie]],BetTable[[B2]:[B2]],$A40,BetTable[[Date]:[Date]], "&gt;="&amp;R$8,BetTable[[Date]:[Date]],"&lt;="&amp;EOMONTH(R$8,0))+SUMIFS(BetTable[[AR_per_bookie]:[AR_per_bookie]],BetTable[[B3]:[B3]],$A40,BetTable[[Date]:[Date]], "&gt;="&amp;R$8,BetTable[[Date]:[Date]],"&lt;="&amp;EOMONTH(R$8,0))</f>
        <v>0</v>
      </c>
      <c r="S40" s="126">
        <f>SUMIFS(DWbonus[[Sum]:[Sum]],DWbonus[[Dato]:[Dato]], "&gt;="&amp;S$8,DWbonus[[Dato]:[Dato]],"&lt;="&amp;EOMONTH(S$8,0),DWbonus[[Bookie]:[Bookie]],$A40)+SUMIFS(LayTable[[Faktisk res]:[Faktisk res]],LayTable[[Dato]:[Dato]],"&gt;="&amp;S$8,LayTable[[Dato]:[Dato]],"&lt;="&amp;EOMONTH(S$8,0),LayTable[[Bookmaker]:[Bookmaker]],$A40)+SUMIFS(BetTable[[AR_per_bookie]:[AR_per_bookie]],BetTable[[B1]:[B1]],$A40,BetTable[[Date]:[Date]], "&gt;="&amp;S$8,BetTable[[Date]:[Date]],"&lt;="&amp;EOMONTH(S$8,0))+SUMIFS(BetTable[[AR_per_bookie]:[AR_per_bookie]],BetTable[[B2]:[B2]],$A40,BetTable[[Date]:[Date]], "&gt;="&amp;S$8,BetTable[[Date]:[Date]],"&lt;="&amp;EOMONTH(S$8,0))+SUMIFS(BetTable[[AR_per_bookie]:[AR_per_bookie]],BetTable[[B3]:[B3]],$A40,BetTable[[Date]:[Date]], "&gt;="&amp;S$8,BetTable[[Date]:[Date]],"&lt;="&amp;EOMONTH(S$8,0))</f>
        <v>0</v>
      </c>
    </row>
    <row r="41" spans="1:19">
      <c r="A41" s="115" t="str">
        <f>BookieNavn!I33</f>
        <v>KTO</v>
      </c>
      <c r="B41" s="126">
        <f>SUMIF(Penger!D$1:D$50072,A41,Penger!F$1:F$50072)</f>
        <v>0</v>
      </c>
      <c r="C41" s="126">
        <f>SUMIF(Penger!T$1:T$50072,A41,Penger!U$1:U$50072)</f>
        <v>0</v>
      </c>
      <c r="D41" s="126">
        <f ca="1">SUMIF(Spill!C$1:C$499895,A41,Spill!T$1:T$49895)+C41</f>
        <v>0</v>
      </c>
      <c r="E41" s="126">
        <f>SUMIF(Spill!C$1:C$49895,A41,Spill!T$1:T$49895)</f>
        <v>0</v>
      </c>
      <c r="F41" s="121" t="e">
        <f t="shared" ca="1" si="1"/>
        <v>#DIV/0!</v>
      </c>
      <c r="H41" s="126">
        <f>SUMIFS(DWbonus[[Sum]:[Sum]],DWbonus[[Dato]:[Dato]], "&gt;="&amp;H$8,DWbonus[[Dato]:[Dato]],"&lt;="&amp;EOMONTH(H$8,0),DWbonus[[Bookie]:[Bookie]],$A41)+SUMIFS(LayTable[[Faktisk res]:[Faktisk res]],LayTable[[Dato]:[Dato]],"&gt;="&amp;H$8,LayTable[[Dato]:[Dato]],"&lt;="&amp;EOMONTH(H$8,0),LayTable[[Bookmaker]:[Bookmaker]],$A41)+SUMIFS(BetTable[[AR_per_bookie]:[AR_per_bookie]],BetTable[[B1]:[B1]],$A41,BetTable[[Date]:[Date]], "&gt;="&amp;H$8,BetTable[[Date]:[Date]],"&lt;="&amp;EOMONTH(H$8,0))+SUMIFS(BetTable[[AR_per_bookie]:[AR_per_bookie]],BetTable[[B2]:[B2]],$A41,BetTable[[Date]:[Date]], "&gt;="&amp;H$8,BetTable[[Date]:[Date]],"&lt;="&amp;EOMONTH(H$8,0))+SUMIFS(BetTable[[AR_per_bookie]:[AR_per_bookie]],BetTable[[B3]:[B3]],$A41,BetTable[[Date]:[Date]], "&gt;="&amp;H$8,BetTable[[Date]:[Date]],"&lt;="&amp;EOMONTH(H$8,0))</f>
        <v>0</v>
      </c>
      <c r="I41" s="126">
        <f>SUMIFS(DWbonus[[Sum]:[Sum]],DWbonus[[Dato]:[Dato]], "&gt;="&amp;I$8,DWbonus[[Dato]:[Dato]],"&lt;="&amp;EOMONTH(I$8,0),DWbonus[[Bookie]:[Bookie]],$A41)+SUMIFS(LayTable[[Faktisk res]:[Faktisk res]],LayTable[[Dato]:[Dato]],"&gt;="&amp;I$8,LayTable[[Dato]:[Dato]],"&lt;="&amp;EOMONTH(I$8,0),LayTable[[Bookmaker]:[Bookmaker]],$A41)+SUMIFS(BetTable[[AR_per_bookie]:[AR_per_bookie]],BetTable[[B1]:[B1]],$A41,BetTable[[Date]:[Date]], "&gt;="&amp;I$8,BetTable[[Date]:[Date]],"&lt;="&amp;EOMONTH(I$8,0))+SUMIFS(BetTable[[AR_per_bookie]:[AR_per_bookie]],BetTable[[B2]:[B2]],$A41,BetTable[[Date]:[Date]], "&gt;="&amp;I$8,BetTable[[Date]:[Date]],"&lt;="&amp;EOMONTH(I$8,0))+SUMIFS(BetTable[[AR_per_bookie]:[AR_per_bookie]],BetTable[[B3]:[B3]],$A41,BetTable[[Date]:[Date]], "&gt;="&amp;I$8,BetTable[[Date]:[Date]],"&lt;="&amp;EOMONTH(I$8,0))</f>
        <v>0</v>
      </c>
      <c r="J41" s="126">
        <f>SUMIFS(DWbonus[[Sum]:[Sum]],DWbonus[[Dato]:[Dato]], "&gt;="&amp;J$8,DWbonus[[Dato]:[Dato]],"&lt;="&amp;EOMONTH(J$8,0),DWbonus[[Bookie]:[Bookie]],$A41)+SUMIFS(LayTable[[Faktisk res]:[Faktisk res]],LayTable[[Dato]:[Dato]],"&gt;="&amp;J$8,LayTable[[Dato]:[Dato]],"&lt;="&amp;EOMONTH(J$8,0),LayTable[[Bookmaker]:[Bookmaker]],$A41)+SUMIFS(BetTable[[AR_per_bookie]:[AR_per_bookie]],BetTable[[B1]:[B1]],$A41,BetTable[[Date]:[Date]], "&gt;="&amp;J$8,BetTable[[Date]:[Date]],"&lt;="&amp;EOMONTH(J$8,0))+SUMIFS(BetTable[[AR_per_bookie]:[AR_per_bookie]],BetTable[[B2]:[B2]],$A41,BetTable[[Date]:[Date]], "&gt;="&amp;J$8,BetTable[[Date]:[Date]],"&lt;="&amp;EOMONTH(J$8,0))+SUMIFS(BetTable[[AR_per_bookie]:[AR_per_bookie]],BetTable[[B3]:[B3]],$A41,BetTable[[Date]:[Date]], "&gt;="&amp;J$8,BetTable[[Date]:[Date]],"&lt;="&amp;EOMONTH(J$8,0))</f>
        <v>0</v>
      </c>
      <c r="K41" s="126">
        <f>SUMIFS(DWbonus[[Sum]:[Sum]],DWbonus[[Dato]:[Dato]], "&gt;="&amp;K$8,DWbonus[[Dato]:[Dato]],"&lt;="&amp;EOMONTH(K$8,0),DWbonus[[Bookie]:[Bookie]],$A41)+SUMIFS(LayTable[[Faktisk res]:[Faktisk res]],LayTable[[Dato]:[Dato]],"&gt;="&amp;K$8,LayTable[[Dato]:[Dato]],"&lt;="&amp;EOMONTH(K$8,0),LayTable[[Bookmaker]:[Bookmaker]],$A41)+SUMIFS(BetTable[[AR_per_bookie]:[AR_per_bookie]],BetTable[[B1]:[B1]],$A41,BetTable[[Date]:[Date]], "&gt;="&amp;K$8,BetTable[[Date]:[Date]],"&lt;="&amp;EOMONTH(K$8,0))+SUMIFS(BetTable[[AR_per_bookie]:[AR_per_bookie]],BetTable[[B2]:[B2]],$A41,BetTable[[Date]:[Date]], "&gt;="&amp;K$8,BetTable[[Date]:[Date]],"&lt;="&amp;EOMONTH(K$8,0))+SUMIFS(BetTable[[AR_per_bookie]:[AR_per_bookie]],BetTable[[B3]:[B3]],$A41,BetTable[[Date]:[Date]], "&gt;="&amp;K$8,BetTable[[Date]:[Date]],"&lt;="&amp;EOMONTH(K$8,0))</f>
        <v>0</v>
      </c>
      <c r="L41" s="126">
        <f>SUMIFS(DWbonus[[Sum]:[Sum]],DWbonus[[Dato]:[Dato]], "&gt;="&amp;L$8,DWbonus[[Dato]:[Dato]],"&lt;="&amp;EOMONTH(L$8,0),DWbonus[[Bookie]:[Bookie]],$A41)+SUMIFS(LayTable[[Faktisk res]:[Faktisk res]],LayTable[[Dato]:[Dato]],"&gt;="&amp;L$8,LayTable[[Dato]:[Dato]],"&lt;="&amp;EOMONTH(L$8,0),LayTable[[Bookmaker]:[Bookmaker]],$A41)+SUMIFS(BetTable[[AR_per_bookie]:[AR_per_bookie]],BetTable[[B1]:[B1]],$A41,BetTable[[Date]:[Date]], "&gt;="&amp;L$8,BetTable[[Date]:[Date]],"&lt;="&amp;EOMONTH(L$8,0))+SUMIFS(BetTable[[AR_per_bookie]:[AR_per_bookie]],BetTable[[B2]:[B2]],$A41,BetTable[[Date]:[Date]], "&gt;="&amp;L$8,BetTable[[Date]:[Date]],"&lt;="&amp;EOMONTH(L$8,0))+SUMIFS(BetTable[[AR_per_bookie]:[AR_per_bookie]],BetTable[[B3]:[B3]],$A41,BetTable[[Date]:[Date]], "&gt;="&amp;L$8,BetTable[[Date]:[Date]],"&lt;="&amp;EOMONTH(L$8,0))</f>
        <v>0</v>
      </c>
      <c r="M41" s="126">
        <f>SUMIFS(DWbonus[[Sum]:[Sum]],DWbonus[[Dato]:[Dato]], "&gt;="&amp;M$8,DWbonus[[Dato]:[Dato]],"&lt;="&amp;EOMONTH(M$8,0),DWbonus[[Bookie]:[Bookie]],$A41)+SUMIFS(LayTable[[Faktisk res]:[Faktisk res]],LayTable[[Dato]:[Dato]],"&gt;="&amp;M$8,LayTable[[Dato]:[Dato]],"&lt;="&amp;EOMONTH(M$8,0),LayTable[[Bookmaker]:[Bookmaker]],$A41)+SUMIFS(BetTable[[AR_per_bookie]:[AR_per_bookie]],BetTable[[B1]:[B1]],$A41,BetTable[[Date]:[Date]], "&gt;="&amp;M$8,BetTable[[Date]:[Date]],"&lt;="&amp;EOMONTH(M$8,0))+SUMIFS(BetTable[[AR_per_bookie]:[AR_per_bookie]],BetTable[[B2]:[B2]],$A41,BetTable[[Date]:[Date]], "&gt;="&amp;M$8,BetTable[[Date]:[Date]],"&lt;="&amp;EOMONTH(M$8,0))+SUMIFS(BetTable[[AR_per_bookie]:[AR_per_bookie]],BetTable[[B3]:[B3]],$A41,BetTable[[Date]:[Date]], "&gt;="&amp;M$8,BetTable[[Date]:[Date]],"&lt;="&amp;EOMONTH(M$8,0))</f>
        <v>0</v>
      </c>
      <c r="N41" s="126">
        <f>SUMIFS(DWbonus[[Sum]:[Sum]],DWbonus[[Dato]:[Dato]], "&gt;="&amp;N$8,DWbonus[[Dato]:[Dato]],"&lt;="&amp;EOMONTH(N$8,0),DWbonus[[Bookie]:[Bookie]],$A41)+SUMIFS(LayTable[[Faktisk res]:[Faktisk res]],LayTable[[Dato]:[Dato]],"&gt;="&amp;N$8,LayTable[[Dato]:[Dato]],"&lt;="&amp;EOMONTH(N$8,0),LayTable[[Bookmaker]:[Bookmaker]],$A41)+SUMIFS(BetTable[[AR_per_bookie]:[AR_per_bookie]],BetTable[[B1]:[B1]],$A41,BetTable[[Date]:[Date]], "&gt;="&amp;N$8,BetTable[[Date]:[Date]],"&lt;="&amp;EOMONTH(N$8,0))+SUMIFS(BetTable[[AR_per_bookie]:[AR_per_bookie]],BetTable[[B2]:[B2]],$A41,BetTable[[Date]:[Date]], "&gt;="&amp;N$8,BetTable[[Date]:[Date]],"&lt;="&amp;EOMONTH(N$8,0))+SUMIFS(BetTable[[AR_per_bookie]:[AR_per_bookie]],BetTable[[B3]:[B3]],$A41,BetTable[[Date]:[Date]], "&gt;="&amp;N$8,BetTable[[Date]:[Date]],"&lt;="&amp;EOMONTH(N$8,0))</f>
        <v>0</v>
      </c>
      <c r="O41" s="126">
        <f>SUMIFS(DWbonus[[Sum]:[Sum]],DWbonus[[Dato]:[Dato]], "&gt;="&amp;O$8,DWbonus[[Dato]:[Dato]],"&lt;="&amp;EOMONTH(O$8,0),DWbonus[[Bookie]:[Bookie]],$A41)+SUMIFS(LayTable[[Faktisk res]:[Faktisk res]],LayTable[[Dato]:[Dato]],"&gt;="&amp;O$8,LayTable[[Dato]:[Dato]],"&lt;="&amp;EOMONTH(O$8,0),LayTable[[Bookmaker]:[Bookmaker]],$A41)+SUMIFS(BetTable[[AR_per_bookie]:[AR_per_bookie]],BetTable[[B1]:[B1]],$A41,BetTable[[Date]:[Date]], "&gt;="&amp;O$8,BetTable[[Date]:[Date]],"&lt;="&amp;EOMONTH(O$8,0))+SUMIFS(BetTable[[AR_per_bookie]:[AR_per_bookie]],BetTable[[B2]:[B2]],$A41,BetTable[[Date]:[Date]], "&gt;="&amp;O$8,BetTable[[Date]:[Date]],"&lt;="&amp;EOMONTH(O$8,0))+SUMIFS(BetTable[[AR_per_bookie]:[AR_per_bookie]],BetTable[[B3]:[B3]],$A41,BetTable[[Date]:[Date]], "&gt;="&amp;O$8,BetTable[[Date]:[Date]],"&lt;="&amp;EOMONTH(O$8,0))</f>
        <v>0</v>
      </c>
      <c r="P41" s="126">
        <f>SUMIFS(DWbonus[[Sum]:[Sum]],DWbonus[[Dato]:[Dato]], "&gt;="&amp;P$8,DWbonus[[Dato]:[Dato]],"&lt;="&amp;EOMONTH(P$8,0),DWbonus[[Bookie]:[Bookie]],$A41)+SUMIFS(LayTable[[Faktisk res]:[Faktisk res]],LayTable[[Dato]:[Dato]],"&gt;="&amp;P$8,LayTable[[Dato]:[Dato]],"&lt;="&amp;EOMONTH(P$8,0),LayTable[[Bookmaker]:[Bookmaker]],$A41)+SUMIFS(BetTable[[AR_per_bookie]:[AR_per_bookie]],BetTable[[B1]:[B1]],$A41,BetTable[[Date]:[Date]], "&gt;="&amp;P$8,BetTable[[Date]:[Date]],"&lt;="&amp;EOMONTH(P$8,0))+SUMIFS(BetTable[[AR_per_bookie]:[AR_per_bookie]],BetTable[[B2]:[B2]],$A41,BetTable[[Date]:[Date]], "&gt;="&amp;P$8,BetTable[[Date]:[Date]],"&lt;="&amp;EOMONTH(P$8,0))+SUMIFS(BetTable[[AR_per_bookie]:[AR_per_bookie]],BetTable[[B3]:[B3]],$A41,BetTable[[Date]:[Date]], "&gt;="&amp;P$8,BetTable[[Date]:[Date]],"&lt;="&amp;EOMONTH(P$8,0))</f>
        <v>0</v>
      </c>
      <c r="Q41" s="126">
        <f>SUMIFS(DWbonus[[Sum]:[Sum]],DWbonus[[Dato]:[Dato]], "&gt;="&amp;Q$8,DWbonus[[Dato]:[Dato]],"&lt;="&amp;EOMONTH(Q$8,0),DWbonus[[Bookie]:[Bookie]],$A41)+SUMIFS(LayTable[[Faktisk res]:[Faktisk res]],LayTable[[Dato]:[Dato]],"&gt;="&amp;Q$8,LayTable[[Dato]:[Dato]],"&lt;="&amp;EOMONTH(Q$8,0),LayTable[[Bookmaker]:[Bookmaker]],$A41)+SUMIFS(BetTable[[AR_per_bookie]:[AR_per_bookie]],BetTable[[B1]:[B1]],$A41,BetTable[[Date]:[Date]], "&gt;="&amp;Q$8,BetTable[[Date]:[Date]],"&lt;="&amp;EOMONTH(Q$8,0))+SUMIFS(BetTable[[AR_per_bookie]:[AR_per_bookie]],BetTable[[B2]:[B2]],$A41,BetTable[[Date]:[Date]], "&gt;="&amp;Q$8,BetTable[[Date]:[Date]],"&lt;="&amp;EOMONTH(Q$8,0))+SUMIFS(BetTable[[AR_per_bookie]:[AR_per_bookie]],BetTable[[B3]:[B3]],$A41,BetTable[[Date]:[Date]], "&gt;="&amp;Q$8,BetTable[[Date]:[Date]],"&lt;="&amp;EOMONTH(Q$8,0))</f>
        <v>0</v>
      </c>
      <c r="R41" s="126">
        <f>SUMIFS(DWbonus[[Sum]:[Sum]],DWbonus[[Dato]:[Dato]], "&gt;="&amp;R$8,DWbonus[[Dato]:[Dato]],"&lt;="&amp;EOMONTH(R$8,0),DWbonus[[Bookie]:[Bookie]],$A41)+SUMIFS(LayTable[[Faktisk res]:[Faktisk res]],LayTable[[Dato]:[Dato]],"&gt;="&amp;R$8,LayTable[[Dato]:[Dato]],"&lt;="&amp;EOMONTH(R$8,0),LayTable[[Bookmaker]:[Bookmaker]],$A41)+SUMIFS(BetTable[[AR_per_bookie]:[AR_per_bookie]],BetTable[[B1]:[B1]],$A41,BetTable[[Date]:[Date]], "&gt;="&amp;R$8,BetTable[[Date]:[Date]],"&lt;="&amp;EOMONTH(R$8,0))+SUMIFS(BetTable[[AR_per_bookie]:[AR_per_bookie]],BetTable[[B2]:[B2]],$A41,BetTable[[Date]:[Date]], "&gt;="&amp;R$8,BetTable[[Date]:[Date]],"&lt;="&amp;EOMONTH(R$8,0))+SUMIFS(BetTable[[AR_per_bookie]:[AR_per_bookie]],BetTable[[B3]:[B3]],$A41,BetTable[[Date]:[Date]], "&gt;="&amp;R$8,BetTable[[Date]:[Date]],"&lt;="&amp;EOMONTH(R$8,0))</f>
        <v>0</v>
      </c>
      <c r="S41" s="126">
        <f>SUMIFS(DWbonus[[Sum]:[Sum]],DWbonus[[Dato]:[Dato]], "&gt;="&amp;S$8,DWbonus[[Dato]:[Dato]],"&lt;="&amp;EOMONTH(S$8,0),DWbonus[[Bookie]:[Bookie]],$A41)+SUMIFS(LayTable[[Faktisk res]:[Faktisk res]],LayTable[[Dato]:[Dato]],"&gt;="&amp;S$8,LayTable[[Dato]:[Dato]],"&lt;="&amp;EOMONTH(S$8,0),LayTable[[Bookmaker]:[Bookmaker]],$A41)+SUMIFS(BetTable[[AR_per_bookie]:[AR_per_bookie]],BetTable[[B1]:[B1]],$A41,BetTable[[Date]:[Date]], "&gt;="&amp;S$8,BetTable[[Date]:[Date]],"&lt;="&amp;EOMONTH(S$8,0))+SUMIFS(BetTable[[AR_per_bookie]:[AR_per_bookie]],BetTable[[B2]:[B2]],$A41,BetTable[[Date]:[Date]], "&gt;="&amp;S$8,BetTable[[Date]:[Date]],"&lt;="&amp;EOMONTH(S$8,0))+SUMIFS(BetTable[[AR_per_bookie]:[AR_per_bookie]],BetTable[[B3]:[B3]],$A41,BetTable[[Date]:[Date]], "&gt;="&amp;S$8,BetTable[[Date]:[Date]],"&lt;="&amp;EOMONTH(S$8,0))</f>
        <v>0</v>
      </c>
    </row>
    <row r="42" spans="1:19">
      <c r="A42" s="115" t="str">
        <f>BookieNavn!I34</f>
        <v>LeoVegas</v>
      </c>
      <c r="B42" s="126">
        <f>SUMIF(Penger!D$1:D$50072,A42,Penger!F$1:F$50072)</f>
        <v>0</v>
      </c>
      <c r="C42" s="126">
        <f>SUMIF(Penger!T$1:T$50072,A42,Penger!U$1:U$50072)</f>
        <v>0</v>
      </c>
      <c r="D42" s="126">
        <f ca="1">SUMIF(Spill!C$1:C$499895,A42,Spill!T$1:T$49895)+C42</f>
        <v>0</v>
      </c>
      <c r="E42" s="126">
        <f>SUMIF(Spill!C$1:C$49895,A42,Spill!T$1:T$49895)</f>
        <v>0</v>
      </c>
      <c r="F42" s="121" t="e">
        <f t="shared" ca="1" si="1"/>
        <v>#DIV/0!</v>
      </c>
      <c r="H42" s="126">
        <f>SUMIFS(DWbonus[[Sum]:[Sum]],DWbonus[[Dato]:[Dato]], "&gt;="&amp;H$8,DWbonus[[Dato]:[Dato]],"&lt;="&amp;EOMONTH(H$8,0),DWbonus[[Bookie]:[Bookie]],$A42)+SUMIFS(LayTable[[Faktisk res]:[Faktisk res]],LayTable[[Dato]:[Dato]],"&gt;="&amp;H$8,LayTable[[Dato]:[Dato]],"&lt;="&amp;EOMONTH(H$8,0),LayTable[[Bookmaker]:[Bookmaker]],$A42)+SUMIFS(BetTable[[AR_per_bookie]:[AR_per_bookie]],BetTable[[B1]:[B1]],$A42,BetTable[[Date]:[Date]], "&gt;="&amp;H$8,BetTable[[Date]:[Date]],"&lt;="&amp;EOMONTH(H$8,0))+SUMIFS(BetTable[[AR_per_bookie]:[AR_per_bookie]],BetTable[[B2]:[B2]],$A42,BetTable[[Date]:[Date]], "&gt;="&amp;H$8,BetTable[[Date]:[Date]],"&lt;="&amp;EOMONTH(H$8,0))+SUMIFS(BetTable[[AR_per_bookie]:[AR_per_bookie]],BetTable[[B3]:[B3]],$A42,BetTable[[Date]:[Date]], "&gt;="&amp;H$8,BetTable[[Date]:[Date]],"&lt;="&amp;EOMONTH(H$8,0))</f>
        <v>0</v>
      </c>
      <c r="I42" s="126">
        <f>SUMIFS(DWbonus[[Sum]:[Sum]],DWbonus[[Dato]:[Dato]], "&gt;="&amp;I$8,DWbonus[[Dato]:[Dato]],"&lt;="&amp;EOMONTH(I$8,0),DWbonus[[Bookie]:[Bookie]],$A42)+SUMIFS(LayTable[[Faktisk res]:[Faktisk res]],LayTable[[Dato]:[Dato]],"&gt;="&amp;I$8,LayTable[[Dato]:[Dato]],"&lt;="&amp;EOMONTH(I$8,0),LayTable[[Bookmaker]:[Bookmaker]],$A42)+SUMIFS(BetTable[[AR_per_bookie]:[AR_per_bookie]],BetTable[[B1]:[B1]],$A42,BetTable[[Date]:[Date]], "&gt;="&amp;I$8,BetTable[[Date]:[Date]],"&lt;="&amp;EOMONTH(I$8,0))+SUMIFS(BetTable[[AR_per_bookie]:[AR_per_bookie]],BetTable[[B2]:[B2]],$A42,BetTable[[Date]:[Date]], "&gt;="&amp;I$8,BetTable[[Date]:[Date]],"&lt;="&amp;EOMONTH(I$8,0))+SUMIFS(BetTable[[AR_per_bookie]:[AR_per_bookie]],BetTable[[B3]:[B3]],$A42,BetTable[[Date]:[Date]], "&gt;="&amp;I$8,BetTable[[Date]:[Date]],"&lt;="&amp;EOMONTH(I$8,0))</f>
        <v>0</v>
      </c>
      <c r="J42" s="126">
        <f>SUMIFS(DWbonus[[Sum]:[Sum]],DWbonus[[Dato]:[Dato]], "&gt;="&amp;J$8,DWbonus[[Dato]:[Dato]],"&lt;="&amp;EOMONTH(J$8,0),DWbonus[[Bookie]:[Bookie]],$A42)+SUMIFS(LayTable[[Faktisk res]:[Faktisk res]],LayTable[[Dato]:[Dato]],"&gt;="&amp;J$8,LayTable[[Dato]:[Dato]],"&lt;="&amp;EOMONTH(J$8,0),LayTable[[Bookmaker]:[Bookmaker]],$A42)+SUMIFS(BetTable[[AR_per_bookie]:[AR_per_bookie]],BetTable[[B1]:[B1]],$A42,BetTable[[Date]:[Date]], "&gt;="&amp;J$8,BetTable[[Date]:[Date]],"&lt;="&amp;EOMONTH(J$8,0))+SUMIFS(BetTable[[AR_per_bookie]:[AR_per_bookie]],BetTable[[B2]:[B2]],$A42,BetTable[[Date]:[Date]], "&gt;="&amp;J$8,BetTable[[Date]:[Date]],"&lt;="&amp;EOMONTH(J$8,0))+SUMIFS(BetTable[[AR_per_bookie]:[AR_per_bookie]],BetTable[[B3]:[B3]],$A42,BetTable[[Date]:[Date]], "&gt;="&amp;J$8,BetTable[[Date]:[Date]],"&lt;="&amp;EOMONTH(J$8,0))</f>
        <v>0</v>
      </c>
      <c r="K42" s="126">
        <f>SUMIFS(DWbonus[[Sum]:[Sum]],DWbonus[[Dato]:[Dato]], "&gt;="&amp;K$8,DWbonus[[Dato]:[Dato]],"&lt;="&amp;EOMONTH(K$8,0),DWbonus[[Bookie]:[Bookie]],$A42)+SUMIFS(LayTable[[Faktisk res]:[Faktisk res]],LayTable[[Dato]:[Dato]],"&gt;="&amp;K$8,LayTable[[Dato]:[Dato]],"&lt;="&amp;EOMONTH(K$8,0),LayTable[[Bookmaker]:[Bookmaker]],$A42)+SUMIFS(BetTable[[AR_per_bookie]:[AR_per_bookie]],BetTable[[B1]:[B1]],$A42,BetTable[[Date]:[Date]], "&gt;="&amp;K$8,BetTable[[Date]:[Date]],"&lt;="&amp;EOMONTH(K$8,0))+SUMIFS(BetTable[[AR_per_bookie]:[AR_per_bookie]],BetTable[[B2]:[B2]],$A42,BetTable[[Date]:[Date]], "&gt;="&amp;K$8,BetTable[[Date]:[Date]],"&lt;="&amp;EOMONTH(K$8,0))+SUMIFS(BetTable[[AR_per_bookie]:[AR_per_bookie]],BetTable[[B3]:[B3]],$A42,BetTable[[Date]:[Date]], "&gt;="&amp;K$8,BetTable[[Date]:[Date]],"&lt;="&amp;EOMONTH(K$8,0))</f>
        <v>0</v>
      </c>
      <c r="L42" s="126">
        <f>SUMIFS(DWbonus[[Sum]:[Sum]],DWbonus[[Dato]:[Dato]], "&gt;="&amp;L$8,DWbonus[[Dato]:[Dato]],"&lt;="&amp;EOMONTH(L$8,0),DWbonus[[Bookie]:[Bookie]],$A42)+SUMIFS(LayTable[[Faktisk res]:[Faktisk res]],LayTable[[Dato]:[Dato]],"&gt;="&amp;L$8,LayTable[[Dato]:[Dato]],"&lt;="&amp;EOMONTH(L$8,0),LayTable[[Bookmaker]:[Bookmaker]],$A42)+SUMIFS(BetTable[[AR_per_bookie]:[AR_per_bookie]],BetTable[[B1]:[B1]],$A42,BetTable[[Date]:[Date]], "&gt;="&amp;L$8,BetTable[[Date]:[Date]],"&lt;="&amp;EOMONTH(L$8,0))+SUMIFS(BetTable[[AR_per_bookie]:[AR_per_bookie]],BetTable[[B2]:[B2]],$A42,BetTable[[Date]:[Date]], "&gt;="&amp;L$8,BetTable[[Date]:[Date]],"&lt;="&amp;EOMONTH(L$8,0))+SUMIFS(BetTable[[AR_per_bookie]:[AR_per_bookie]],BetTable[[B3]:[B3]],$A42,BetTable[[Date]:[Date]], "&gt;="&amp;L$8,BetTable[[Date]:[Date]],"&lt;="&amp;EOMONTH(L$8,0))</f>
        <v>0</v>
      </c>
      <c r="M42" s="126">
        <f>SUMIFS(DWbonus[[Sum]:[Sum]],DWbonus[[Dato]:[Dato]], "&gt;="&amp;M$8,DWbonus[[Dato]:[Dato]],"&lt;="&amp;EOMONTH(M$8,0),DWbonus[[Bookie]:[Bookie]],$A42)+SUMIFS(LayTable[[Faktisk res]:[Faktisk res]],LayTable[[Dato]:[Dato]],"&gt;="&amp;M$8,LayTable[[Dato]:[Dato]],"&lt;="&amp;EOMONTH(M$8,0),LayTable[[Bookmaker]:[Bookmaker]],$A42)+SUMIFS(BetTable[[AR_per_bookie]:[AR_per_bookie]],BetTable[[B1]:[B1]],$A42,BetTable[[Date]:[Date]], "&gt;="&amp;M$8,BetTable[[Date]:[Date]],"&lt;="&amp;EOMONTH(M$8,0))+SUMIFS(BetTable[[AR_per_bookie]:[AR_per_bookie]],BetTable[[B2]:[B2]],$A42,BetTable[[Date]:[Date]], "&gt;="&amp;M$8,BetTable[[Date]:[Date]],"&lt;="&amp;EOMONTH(M$8,0))+SUMIFS(BetTable[[AR_per_bookie]:[AR_per_bookie]],BetTable[[B3]:[B3]],$A42,BetTable[[Date]:[Date]], "&gt;="&amp;M$8,BetTable[[Date]:[Date]],"&lt;="&amp;EOMONTH(M$8,0))</f>
        <v>0</v>
      </c>
      <c r="N42" s="126">
        <f>SUMIFS(DWbonus[[Sum]:[Sum]],DWbonus[[Dato]:[Dato]], "&gt;="&amp;N$8,DWbonus[[Dato]:[Dato]],"&lt;="&amp;EOMONTH(N$8,0),DWbonus[[Bookie]:[Bookie]],$A42)+SUMIFS(LayTable[[Faktisk res]:[Faktisk res]],LayTable[[Dato]:[Dato]],"&gt;="&amp;N$8,LayTable[[Dato]:[Dato]],"&lt;="&amp;EOMONTH(N$8,0),LayTable[[Bookmaker]:[Bookmaker]],$A42)+SUMIFS(BetTable[[AR_per_bookie]:[AR_per_bookie]],BetTable[[B1]:[B1]],$A42,BetTable[[Date]:[Date]], "&gt;="&amp;N$8,BetTable[[Date]:[Date]],"&lt;="&amp;EOMONTH(N$8,0))+SUMIFS(BetTable[[AR_per_bookie]:[AR_per_bookie]],BetTable[[B2]:[B2]],$A42,BetTable[[Date]:[Date]], "&gt;="&amp;N$8,BetTable[[Date]:[Date]],"&lt;="&amp;EOMONTH(N$8,0))+SUMIFS(BetTable[[AR_per_bookie]:[AR_per_bookie]],BetTable[[B3]:[B3]],$A42,BetTable[[Date]:[Date]], "&gt;="&amp;N$8,BetTable[[Date]:[Date]],"&lt;="&amp;EOMONTH(N$8,0))</f>
        <v>0</v>
      </c>
      <c r="O42" s="126">
        <f>SUMIFS(DWbonus[[Sum]:[Sum]],DWbonus[[Dato]:[Dato]], "&gt;="&amp;O$8,DWbonus[[Dato]:[Dato]],"&lt;="&amp;EOMONTH(O$8,0),DWbonus[[Bookie]:[Bookie]],$A42)+SUMIFS(LayTable[[Faktisk res]:[Faktisk res]],LayTable[[Dato]:[Dato]],"&gt;="&amp;O$8,LayTable[[Dato]:[Dato]],"&lt;="&amp;EOMONTH(O$8,0),LayTable[[Bookmaker]:[Bookmaker]],$A42)+SUMIFS(BetTable[[AR_per_bookie]:[AR_per_bookie]],BetTable[[B1]:[B1]],$A42,BetTable[[Date]:[Date]], "&gt;="&amp;O$8,BetTable[[Date]:[Date]],"&lt;="&amp;EOMONTH(O$8,0))+SUMIFS(BetTable[[AR_per_bookie]:[AR_per_bookie]],BetTable[[B2]:[B2]],$A42,BetTable[[Date]:[Date]], "&gt;="&amp;O$8,BetTable[[Date]:[Date]],"&lt;="&amp;EOMONTH(O$8,0))+SUMIFS(BetTable[[AR_per_bookie]:[AR_per_bookie]],BetTable[[B3]:[B3]],$A42,BetTable[[Date]:[Date]], "&gt;="&amp;O$8,BetTable[[Date]:[Date]],"&lt;="&amp;EOMONTH(O$8,0))</f>
        <v>0</v>
      </c>
      <c r="P42" s="126">
        <f>SUMIFS(DWbonus[[Sum]:[Sum]],DWbonus[[Dato]:[Dato]], "&gt;="&amp;P$8,DWbonus[[Dato]:[Dato]],"&lt;="&amp;EOMONTH(P$8,0),DWbonus[[Bookie]:[Bookie]],$A42)+SUMIFS(LayTable[[Faktisk res]:[Faktisk res]],LayTable[[Dato]:[Dato]],"&gt;="&amp;P$8,LayTable[[Dato]:[Dato]],"&lt;="&amp;EOMONTH(P$8,0),LayTable[[Bookmaker]:[Bookmaker]],$A42)+SUMIFS(BetTable[[AR_per_bookie]:[AR_per_bookie]],BetTable[[B1]:[B1]],$A42,BetTable[[Date]:[Date]], "&gt;="&amp;P$8,BetTable[[Date]:[Date]],"&lt;="&amp;EOMONTH(P$8,0))+SUMIFS(BetTable[[AR_per_bookie]:[AR_per_bookie]],BetTable[[B2]:[B2]],$A42,BetTable[[Date]:[Date]], "&gt;="&amp;P$8,BetTable[[Date]:[Date]],"&lt;="&amp;EOMONTH(P$8,0))+SUMIFS(BetTable[[AR_per_bookie]:[AR_per_bookie]],BetTable[[B3]:[B3]],$A42,BetTable[[Date]:[Date]], "&gt;="&amp;P$8,BetTable[[Date]:[Date]],"&lt;="&amp;EOMONTH(P$8,0))</f>
        <v>0</v>
      </c>
      <c r="Q42" s="126">
        <f>SUMIFS(DWbonus[[Sum]:[Sum]],DWbonus[[Dato]:[Dato]], "&gt;="&amp;Q$8,DWbonus[[Dato]:[Dato]],"&lt;="&amp;EOMONTH(Q$8,0),DWbonus[[Bookie]:[Bookie]],$A42)+SUMIFS(LayTable[[Faktisk res]:[Faktisk res]],LayTable[[Dato]:[Dato]],"&gt;="&amp;Q$8,LayTable[[Dato]:[Dato]],"&lt;="&amp;EOMONTH(Q$8,0),LayTable[[Bookmaker]:[Bookmaker]],$A42)+SUMIFS(BetTable[[AR_per_bookie]:[AR_per_bookie]],BetTable[[B1]:[B1]],$A42,BetTable[[Date]:[Date]], "&gt;="&amp;Q$8,BetTable[[Date]:[Date]],"&lt;="&amp;EOMONTH(Q$8,0))+SUMIFS(BetTable[[AR_per_bookie]:[AR_per_bookie]],BetTable[[B2]:[B2]],$A42,BetTable[[Date]:[Date]], "&gt;="&amp;Q$8,BetTable[[Date]:[Date]],"&lt;="&amp;EOMONTH(Q$8,0))+SUMIFS(BetTable[[AR_per_bookie]:[AR_per_bookie]],BetTable[[B3]:[B3]],$A42,BetTable[[Date]:[Date]], "&gt;="&amp;Q$8,BetTable[[Date]:[Date]],"&lt;="&amp;EOMONTH(Q$8,0))</f>
        <v>0</v>
      </c>
      <c r="R42" s="126">
        <f>SUMIFS(DWbonus[[Sum]:[Sum]],DWbonus[[Dato]:[Dato]], "&gt;="&amp;R$8,DWbonus[[Dato]:[Dato]],"&lt;="&amp;EOMONTH(R$8,0),DWbonus[[Bookie]:[Bookie]],$A42)+SUMIFS(LayTable[[Faktisk res]:[Faktisk res]],LayTable[[Dato]:[Dato]],"&gt;="&amp;R$8,LayTable[[Dato]:[Dato]],"&lt;="&amp;EOMONTH(R$8,0),LayTable[[Bookmaker]:[Bookmaker]],$A42)+SUMIFS(BetTable[[AR_per_bookie]:[AR_per_bookie]],BetTable[[B1]:[B1]],$A42,BetTable[[Date]:[Date]], "&gt;="&amp;R$8,BetTable[[Date]:[Date]],"&lt;="&amp;EOMONTH(R$8,0))+SUMIFS(BetTable[[AR_per_bookie]:[AR_per_bookie]],BetTable[[B2]:[B2]],$A42,BetTable[[Date]:[Date]], "&gt;="&amp;R$8,BetTable[[Date]:[Date]],"&lt;="&amp;EOMONTH(R$8,0))+SUMIFS(BetTable[[AR_per_bookie]:[AR_per_bookie]],BetTable[[B3]:[B3]],$A42,BetTable[[Date]:[Date]], "&gt;="&amp;R$8,BetTable[[Date]:[Date]],"&lt;="&amp;EOMONTH(R$8,0))</f>
        <v>0</v>
      </c>
      <c r="S42" s="126">
        <f>SUMIFS(DWbonus[[Sum]:[Sum]],DWbonus[[Dato]:[Dato]], "&gt;="&amp;S$8,DWbonus[[Dato]:[Dato]],"&lt;="&amp;EOMONTH(S$8,0),DWbonus[[Bookie]:[Bookie]],$A42)+SUMIFS(LayTable[[Faktisk res]:[Faktisk res]],LayTable[[Dato]:[Dato]],"&gt;="&amp;S$8,LayTable[[Dato]:[Dato]],"&lt;="&amp;EOMONTH(S$8,0),LayTable[[Bookmaker]:[Bookmaker]],$A42)+SUMIFS(BetTable[[AR_per_bookie]:[AR_per_bookie]],BetTable[[B1]:[B1]],$A42,BetTable[[Date]:[Date]], "&gt;="&amp;S$8,BetTable[[Date]:[Date]],"&lt;="&amp;EOMONTH(S$8,0))+SUMIFS(BetTable[[AR_per_bookie]:[AR_per_bookie]],BetTable[[B2]:[B2]],$A42,BetTable[[Date]:[Date]], "&gt;="&amp;S$8,BetTable[[Date]:[Date]],"&lt;="&amp;EOMONTH(S$8,0))+SUMIFS(BetTable[[AR_per_bookie]:[AR_per_bookie]],BetTable[[B3]:[B3]],$A42,BetTable[[Date]:[Date]], "&gt;="&amp;S$8,BetTable[[Date]:[Date]],"&lt;="&amp;EOMONTH(S$8,0))</f>
        <v>0</v>
      </c>
    </row>
    <row r="43" spans="1:19">
      <c r="A43" s="115" t="str">
        <f>BookieNavn!I35</f>
        <v>LSBet</v>
      </c>
      <c r="B43" s="126">
        <f>SUMIF(Penger!D$1:D$50072,A43,Penger!F$1:F$50072)</f>
        <v>0</v>
      </c>
      <c r="C43" s="126">
        <f>SUMIF(Penger!T$1:T$50072,A43,Penger!U$1:U$50072)</f>
        <v>0</v>
      </c>
      <c r="D43" s="126">
        <f ca="1">SUMIF(Spill!C$1:C$499895,A43,Spill!T$1:T$49895)+C43</f>
        <v>0</v>
      </c>
      <c r="E43" s="126">
        <f>SUMIF(Spill!C$1:C$49895,A43,Spill!T$1:T$49895)</f>
        <v>0</v>
      </c>
      <c r="F43" s="121" t="e">
        <f t="shared" ca="1" si="1"/>
        <v>#DIV/0!</v>
      </c>
      <c r="H43" s="126">
        <f>SUMIFS(DWbonus[[Sum]:[Sum]],DWbonus[[Dato]:[Dato]], "&gt;="&amp;H$8,DWbonus[[Dato]:[Dato]],"&lt;="&amp;EOMONTH(H$8,0),DWbonus[[Bookie]:[Bookie]],$A43)+SUMIFS(LayTable[[Faktisk res]:[Faktisk res]],LayTable[[Dato]:[Dato]],"&gt;="&amp;H$8,LayTable[[Dato]:[Dato]],"&lt;="&amp;EOMONTH(H$8,0),LayTable[[Bookmaker]:[Bookmaker]],$A43)+SUMIFS(BetTable[[AR_per_bookie]:[AR_per_bookie]],BetTable[[B1]:[B1]],$A43,BetTable[[Date]:[Date]], "&gt;="&amp;H$8,BetTable[[Date]:[Date]],"&lt;="&amp;EOMONTH(H$8,0))+SUMIFS(BetTable[[AR_per_bookie]:[AR_per_bookie]],BetTable[[B2]:[B2]],$A43,BetTable[[Date]:[Date]], "&gt;="&amp;H$8,BetTable[[Date]:[Date]],"&lt;="&amp;EOMONTH(H$8,0))+SUMIFS(BetTable[[AR_per_bookie]:[AR_per_bookie]],BetTable[[B3]:[B3]],$A43,BetTable[[Date]:[Date]], "&gt;="&amp;H$8,BetTable[[Date]:[Date]],"&lt;="&amp;EOMONTH(H$8,0))</f>
        <v>0</v>
      </c>
      <c r="I43" s="126">
        <f>SUMIFS(DWbonus[[Sum]:[Sum]],DWbonus[[Dato]:[Dato]], "&gt;="&amp;I$8,DWbonus[[Dato]:[Dato]],"&lt;="&amp;EOMONTH(I$8,0),DWbonus[[Bookie]:[Bookie]],$A43)+SUMIFS(LayTable[[Faktisk res]:[Faktisk res]],LayTable[[Dato]:[Dato]],"&gt;="&amp;I$8,LayTable[[Dato]:[Dato]],"&lt;="&amp;EOMONTH(I$8,0),LayTable[[Bookmaker]:[Bookmaker]],$A43)+SUMIFS(BetTable[[AR_per_bookie]:[AR_per_bookie]],BetTable[[B1]:[B1]],$A43,BetTable[[Date]:[Date]], "&gt;="&amp;I$8,BetTable[[Date]:[Date]],"&lt;="&amp;EOMONTH(I$8,0))+SUMIFS(BetTable[[AR_per_bookie]:[AR_per_bookie]],BetTable[[B2]:[B2]],$A43,BetTable[[Date]:[Date]], "&gt;="&amp;I$8,BetTable[[Date]:[Date]],"&lt;="&amp;EOMONTH(I$8,0))+SUMIFS(BetTable[[AR_per_bookie]:[AR_per_bookie]],BetTable[[B3]:[B3]],$A43,BetTable[[Date]:[Date]], "&gt;="&amp;I$8,BetTable[[Date]:[Date]],"&lt;="&amp;EOMONTH(I$8,0))</f>
        <v>0</v>
      </c>
      <c r="J43" s="126">
        <f>SUMIFS(DWbonus[[Sum]:[Sum]],DWbonus[[Dato]:[Dato]], "&gt;="&amp;J$8,DWbonus[[Dato]:[Dato]],"&lt;="&amp;EOMONTH(J$8,0),DWbonus[[Bookie]:[Bookie]],$A43)+SUMIFS(LayTable[[Faktisk res]:[Faktisk res]],LayTable[[Dato]:[Dato]],"&gt;="&amp;J$8,LayTable[[Dato]:[Dato]],"&lt;="&amp;EOMONTH(J$8,0),LayTable[[Bookmaker]:[Bookmaker]],$A43)+SUMIFS(BetTable[[AR_per_bookie]:[AR_per_bookie]],BetTable[[B1]:[B1]],$A43,BetTable[[Date]:[Date]], "&gt;="&amp;J$8,BetTable[[Date]:[Date]],"&lt;="&amp;EOMONTH(J$8,0))+SUMIFS(BetTable[[AR_per_bookie]:[AR_per_bookie]],BetTable[[B2]:[B2]],$A43,BetTable[[Date]:[Date]], "&gt;="&amp;J$8,BetTable[[Date]:[Date]],"&lt;="&amp;EOMONTH(J$8,0))+SUMIFS(BetTable[[AR_per_bookie]:[AR_per_bookie]],BetTable[[B3]:[B3]],$A43,BetTable[[Date]:[Date]], "&gt;="&amp;J$8,BetTable[[Date]:[Date]],"&lt;="&amp;EOMONTH(J$8,0))</f>
        <v>0</v>
      </c>
      <c r="K43" s="126">
        <f>SUMIFS(DWbonus[[Sum]:[Sum]],DWbonus[[Dato]:[Dato]], "&gt;="&amp;K$8,DWbonus[[Dato]:[Dato]],"&lt;="&amp;EOMONTH(K$8,0),DWbonus[[Bookie]:[Bookie]],$A43)+SUMIFS(LayTable[[Faktisk res]:[Faktisk res]],LayTable[[Dato]:[Dato]],"&gt;="&amp;K$8,LayTable[[Dato]:[Dato]],"&lt;="&amp;EOMONTH(K$8,0),LayTable[[Bookmaker]:[Bookmaker]],$A43)+SUMIFS(BetTable[[AR_per_bookie]:[AR_per_bookie]],BetTable[[B1]:[B1]],$A43,BetTable[[Date]:[Date]], "&gt;="&amp;K$8,BetTable[[Date]:[Date]],"&lt;="&amp;EOMONTH(K$8,0))+SUMIFS(BetTable[[AR_per_bookie]:[AR_per_bookie]],BetTable[[B2]:[B2]],$A43,BetTable[[Date]:[Date]], "&gt;="&amp;K$8,BetTable[[Date]:[Date]],"&lt;="&amp;EOMONTH(K$8,0))+SUMIFS(BetTable[[AR_per_bookie]:[AR_per_bookie]],BetTable[[B3]:[B3]],$A43,BetTable[[Date]:[Date]], "&gt;="&amp;K$8,BetTable[[Date]:[Date]],"&lt;="&amp;EOMONTH(K$8,0))</f>
        <v>0</v>
      </c>
      <c r="L43" s="126">
        <f>SUMIFS(DWbonus[[Sum]:[Sum]],DWbonus[[Dato]:[Dato]], "&gt;="&amp;L$8,DWbonus[[Dato]:[Dato]],"&lt;="&amp;EOMONTH(L$8,0),DWbonus[[Bookie]:[Bookie]],$A43)+SUMIFS(LayTable[[Faktisk res]:[Faktisk res]],LayTable[[Dato]:[Dato]],"&gt;="&amp;L$8,LayTable[[Dato]:[Dato]],"&lt;="&amp;EOMONTH(L$8,0),LayTable[[Bookmaker]:[Bookmaker]],$A43)+SUMIFS(BetTable[[AR_per_bookie]:[AR_per_bookie]],BetTable[[B1]:[B1]],$A43,BetTable[[Date]:[Date]], "&gt;="&amp;L$8,BetTable[[Date]:[Date]],"&lt;="&amp;EOMONTH(L$8,0))+SUMIFS(BetTable[[AR_per_bookie]:[AR_per_bookie]],BetTable[[B2]:[B2]],$A43,BetTable[[Date]:[Date]], "&gt;="&amp;L$8,BetTable[[Date]:[Date]],"&lt;="&amp;EOMONTH(L$8,0))+SUMIFS(BetTable[[AR_per_bookie]:[AR_per_bookie]],BetTable[[B3]:[B3]],$A43,BetTable[[Date]:[Date]], "&gt;="&amp;L$8,BetTable[[Date]:[Date]],"&lt;="&amp;EOMONTH(L$8,0))</f>
        <v>0</v>
      </c>
      <c r="M43" s="126">
        <f>SUMIFS(DWbonus[[Sum]:[Sum]],DWbonus[[Dato]:[Dato]], "&gt;="&amp;M$8,DWbonus[[Dato]:[Dato]],"&lt;="&amp;EOMONTH(M$8,0),DWbonus[[Bookie]:[Bookie]],$A43)+SUMIFS(LayTable[[Faktisk res]:[Faktisk res]],LayTable[[Dato]:[Dato]],"&gt;="&amp;M$8,LayTable[[Dato]:[Dato]],"&lt;="&amp;EOMONTH(M$8,0),LayTable[[Bookmaker]:[Bookmaker]],$A43)+SUMIFS(BetTable[[AR_per_bookie]:[AR_per_bookie]],BetTable[[B1]:[B1]],$A43,BetTable[[Date]:[Date]], "&gt;="&amp;M$8,BetTable[[Date]:[Date]],"&lt;="&amp;EOMONTH(M$8,0))+SUMIFS(BetTable[[AR_per_bookie]:[AR_per_bookie]],BetTable[[B2]:[B2]],$A43,BetTable[[Date]:[Date]], "&gt;="&amp;M$8,BetTable[[Date]:[Date]],"&lt;="&amp;EOMONTH(M$8,0))+SUMIFS(BetTable[[AR_per_bookie]:[AR_per_bookie]],BetTable[[B3]:[B3]],$A43,BetTable[[Date]:[Date]], "&gt;="&amp;M$8,BetTable[[Date]:[Date]],"&lt;="&amp;EOMONTH(M$8,0))</f>
        <v>0</v>
      </c>
      <c r="N43" s="126">
        <f>SUMIFS(DWbonus[[Sum]:[Sum]],DWbonus[[Dato]:[Dato]], "&gt;="&amp;N$8,DWbonus[[Dato]:[Dato]],"&lt;="&amp;EOMONTH(N$8,0),DWbonus[[Bookie]:[Bookie]],$A43)+SUMIFS(LayTable[[Faktisk res]:[Faktisk res]],LayTable[[Dato]:[Dato]],"&gt;="&amp;N$8,LayTable[[Dato]:[Dato]],"&lt;="&amp;EOMONTH(N$8,0),LayTable[[Bookmaker]:[Bookmaker]],$A43)+SUMIFS(BetTable[[AR_per_bookie]:[AR_per_bookie]],BetTable[[B1]:[B1]],$A43,BetTable[[Date]:[Date]], "&gt;="&amp;N$8,BetTable[[Date]:[Date]],"&lt;="&amp;EOMONTH(N$8,0))+SUMIFS(BetTable[[AR_per_bookie]:[AR_per_bookie]],BetTable[[B2]:[B2]],$A43,BetTable[[Date]:[Date]], "&gt;="&amp;N$8,BetTable[[Date]:[Date]],"&lt;="&amp;EOMONTH(N$8,0))+SUMIFS(BetTable[[AR_per_bookie]:[AR_per_bookie]],BetTable[[B3]:[B3]],$A43,BetTable[[Date]:[Date]], "&gt;="&amp;N$8,BetTable[[Date]:[Date]],"&lt;="&amp;EOMONTH(N$8,0))</f>
        <v>0</v>
      </c>
      <c r="O43" s="126">
        <f>SUMIFS(DWbonus[[Sum]:[Sum]],DWbonus[[Dato]:[Dato]], "&gt;="&amp;O$8,DWbonus[[Dato]:[Dato]],"&lt;="&amp;EOMONTH(O$8,0),DWbonus[[Bookie]:[Bookie]],$A43)+SUMIFS(LayTable[[Faktisk res]:[Faktisk res]],LayTable[[Dato]:[Dato]],"&gt;="&amp;O$8,LayTable[[Dato]:[Dato]],"&lt;="&amp;EOMONTH(O$8,0),LayTable[[Bookmaker]:[Bookmaker]],$A43)+SUMIFS(BetTable[[AR_per_bookie]:[AR_per_bookie]],BetTable[[B1]:[B1]],$A43,BetTable[[Date]:[Date]], "&gt;="&amp;O$8,BetTable[[Date]:[Date]],"&lt;="&amp;EOMONTH(O$8,0))+SUMIFS(BetTable[[AR_per_bookie]:[AR_per_bookie]],BetTable[[B2]:[B2]],$A43,BetTable[[Date]:[Date]], "&gt;="&amp;O$8,BetTable[[Date]:[Date]],"&lt;="&amp;EOMONTH(O$8,0))+SUMIFS(BetTable[[AR_per_bookie]:[AR_per_bookie]],BetTable[[B3]:[B3]],$A43,BetTable[[Date]:[Date]], "&gt;="&amp;O$8,BetTable[[Date]:[Date]],"&lt;="&amp;EOMONTH(O$8,0))</f>
        <v>0</v>
      </c>
      <c r="P43" s="126">
        <f>SUMIFS(DWbonus[[Sum]:[Sum]],DWbonus[[Dato]:[Dato]], "&gt;="&amp;P$8,DWbonus[[Dato]:[Dato]],"&lt;="&amp;EOMONTH(P$8,0),DWbonus[[Bookie]:[Bookie]],$A43)+SUMIFS(LayTable[[Faktisk res]:[Faktisk res]],LayTable[[Dato]:[Dato]],"&gt;="&amp;P$8,LayTable[[Dato]:[Dato]],"&lt;="&amp;EOMONTH(P$8,0),LayTable[[Bookmaker]:[Bookmaker]],$A43)+SUMIFS(BetTable[[AR_per_bookie]:[AR_per_bookie]],BetTable[[B1]:[B1]],$A43,BetTable[[Date]:[Date]], "&gt;="&amp;P$8,BetTable[[Date]:[Date]],"&lt;="&amp;EOMONTH(P$8,0))+SUMIFS(BetTable[[AR_per_bookie]:[AR_per_bookie]],BetTable[[B2]:[B2]],$A43,BetTable[[Date]:[Date]], "&gt;="&amp;P$8,BetTable[[Date]:[Date]],"&lt;="&amp;EOMONTH(P$8,0))+SUMIFS(BetTable[[AR_per_bookie]:[AR_per_bookie]],BetTable[[B3]:[B3]],$A43,BetTable[[Date]:[Date]], "&gt;="&amp;P$8,BetTable[[Date]:[Date]],"&lt;="&amp;EOMONTH(P$8,0))</f>
        <v>0</v>
      </c>
      <c r="Q43" s="126">
        <f>SUMIFS(DWbonus[[Sum]:[Sum]],DWbonus[[Dato]:[Dato]], "&gt;="&amp;Q$8,DWbonus[[Dato]:[Dato]],"&lt;="&amp;EOMONTH(Q$8,0),DWbonus[[Bookie]:[Bookie]],$A43)+SUMIFS(LayTable[[Faktisk res]:[Faktisk res]],LayTable[[Dato]:[Dato]],"&gt;="&amp;Q$8,LayTable[[Dato]:[Dato]],"&lt;="&amp;EOMONTH(Q$8,0),LayTable[[Bookmaker]:[Bookmaker]],$A43)+SUMIFS(BetTable[[AR_per_bookie]:[AR_per_bookie]],BetTable[[B1]:[B1]],$A43,BetTable[[Date]:[Date]], "&gt;="&amp;Q$8,BetTable[[Date]:[Date]],"&lt;="&amp;EOMONTH(Q$8,0))+SUMIFS(BetTable[[AR_per_bookie]:[AR_per_bookie]],BetTable[[B2]:[B2]],$A43,BetTable[[Date]:[Date]], "&gt;="&amp;Q$8,BetTable[[Date]:[Date]],"&lt;="&amp;EOMONTH(Q$8,0))+SUMIFS(BetTable[[AR_per_bookie]:[AR_per_bookie]],BetTable[[B3]:[B3]],$A43,BetTable[[Date]:[Date]], "&gt;="&amp;Q$8,BetTable[[Date]:[Date]],"&lt;="&amp;EOMONTH(Q$8,0))</f>
        <v>0</v>
      </c>
      <c r="R43" s="126">
        <f>SUMIFS(DWbonus[[Sum]:[Sum]],DWbonus[[Dato]:[Dato]], "&gt;="&amp;R$8,DWbonus[[Dato]:[Dato]],"&lt;="&amp;EOMONTH(R$8,0),DWbonus[[Bookie]:[Bookie]],$A43)+SUMIFS(LayTable[[Faktisk res]:[Faktisk res]],LayTable[[Dato]:[Dato]],"&gt;="&amp;R$8,LayTable[[Dato]:[Dato]],"&lt;="&amp;EOMONTH(R$8,0),LayTable[[Bookmaker]:[Bookmaker]],$A43)+SUMIFS(BetTable[[AR_per_bookie]:[AR_per_bookie]],BetTable[[B1]:[B1]],$A43,BetTable[[Date]:[Date]], "&gt;="&amp;R$8,BetTable[[Date]:[Date]],"&lt;="&amp;EOMONTH(R$8,0))+SUMIFS(BetTable[[AR_per_bookie]:[AR_per_bookie]],BetTable[[B2]:[B2]],$A43,BetTable[[Date]:[Date]], "&gt;="&amp;R$8,BetTable[[Date]:[Date]],"&lt;="&amp;EOMONTH(R$8,0))+SUMIFS(BetTable[[AR_per_bookie]:[AR_per_bookie]],BetTable[[B3]:[B3]],$A43,BetTable[[Date]:[Date]], "&gt;="&amp;R$8,BetTable[[Date]:[Date]],"&lt;="&amp;EOMONTH(R$8,0))</f>
        <v>0</v>
      </c>
      <c r="S43" s="126">
        <f>SUMIFS(DWbonus[[Sum]:[Sum]],DWbonus[[Dato]:[Dato]], "&gt;="&amp;S$8,DWbonus[[Dato]:[Dato]],"&lt;="&amp;EOMONTH(S$8,0),DWbonus[[Bookie]:[Bookie]],$A43)+SUMIFS(LayTable[[Faktisk res]:[Faktisk res]],LayTable[[Dato]:[Dato]],"&gt;="&amp;S$8,LayTable[[Dato]:[Dato]],"&lt;="&amp;EOMONTH(S$8,0),LayTable[[Bookmaker]:[Bookmaker]],$A43)+SUMIFS(BetTable[[AR_per_bookie]:[AR_per_bookie]],BetTable[[B1]:[B1]],$A43,BetTable[[Date]:[Date]], "&gt;="&amp;S$8,BetTable[[Date]:[Date]],"&lt;="&amp;EOMONTH(S$8,0))+SUMIFS(BetTable[[AR_per_bookie]:[AR_per_bookie]],BetTable[[B2]:[B2]],$A43,BetTable[[Date]:[Date]], "&gt;="&amp;S$8,BetTable[[Date]:[Date]],"&lt;="&amp;EOMONTH(S$8,0))+SUMIFS(BetTable[[AR_per_bookie]:[AR_per_bookie]],BetTable[[B3]:[B3]],$A43,BetTable[[Date]:[Date]], "&gt;="&amp;S$8,BetTable[[Date]:[Date]],"&lt;="&amp;EOMONTH(S$8,0))</f>
        <v>0</v>
      </c>
    </row>
    <row r="44" spans="1:19">
      <c r="A44" s="115" t="str">
        <f>BookieNavn!I36</f>
        <v>Malina</v>
      </c>
      <c r="B44" s="126">
        <f>SUMIF(Penger!D$1:D$50072,A44,Penger!F$1:F$50072)</f>
        <v>0</v>
      </c>
      <c r="C44" s="126">
        <f>SUMIF(Penger!T$1:T$50072,A44,Penger!U$1:U$50072)</f>
        <v>0</v>
      </c>
      <c r="D44" s="126">
        <f ca="1">SUMIF(Spill!C$1:C$499895,A44,Spill!T$1:T$49895)+C44</f>
        <v>0</v>
      </c>
      <c r="E44" s="126">
        <f>SUMIF(Spill!C$1:C$49895,A44,Spill!T$1:T$49895)</f>
        <v>0</v>
      </c>
      <c r="F44" s="121" t="e">
        <f t="shared" ca="1" si="1"/>
        <v>#DIV/0!</v>
      </c>
      <c r="H44" s="126">
        <f>SUMIFS(DWbonus[[Sum]:[Sum]],DWbonus[[Dato]:[Dato]], "&gt;="&amp;H$8,DWbonus[[Dato]:[Dato]],"&lt;="&amp;EOMONTH(H$8,0),DWbonus[[Bookie]:[Bookie]],$A44)+SUMIFS(LayTable[[Faktisk res]:[Faktisk res]],LayTable[[Dato]:[Dato]],"&gt;="&amp;H$8,LayTable[[Dato]:[Dato]],"&lt;="&amp;EOMONTH(H$8,0),LayTable[[Bookmaker]:[Bookmaker]],$A44)+SUMIFS(BetTable[[AR_per_bookie]:[AR_per_bookie]],BetTable[[B1]:[B1]],$A44,BetTable[[Date]:[Date]], "&gt;="&amp;H$8,BetTable[[Date]:[Date]],"&lt;="&amp;EOMONTH(H$8,0))+SUMIFS(BetTable[[AR_per_bookie]:[AR_per_bookie]],BetTable[[B2]:[B2]],$A44,BetTable[[Date]:[Date]], "&gt;="&amp;H$8,BetTable[[Date]:[Date]],"&lt;="&amp;EOMONTH(H$8,0))+SUMIFS(BetTable[[AR_per_bookie]:[AR_per_bookie]],BetTable[[B3]:[B3]],$A44,BetTable[[Date]:[Date]], "&gt;="&amp;H$8,BetTable[[Date]:[Date]],"&lt;="&amp;EOMONTH(H$8,0))</f>
        <v>0</v>
      </c>
      <c r="I44" s="126">
        <f>SUMIFS(DWbonus[[Sum]:[Sum]],DWbonus[[Dato]:[Dato]], "&gt;="&amp;I$8,DWbonus[[Dato]:[Dato]],"&lt;="&amp;EOMONTH(I$8,0),DWbonus[[Bookie]:[Bookie]],$A44)+SUMIFS(LayTable[[Faktisk res]:[Faktisk res]],LayTable[[Dato]:[Dato]],"&gt;="&amp;I$8,LayTable[[Dato]:[Dato]],"&lt;="&amp;EOMONTH(I$8,0),LayTable[[Bookmaker]:[Bookmaker]],$A44)+SUMIFS(BetTable[[AR_per_bookie]:[AR_per_bookie]],BetTable[[B1]:[B1]],$A44,BetTable[[Date]:[Date]], "&gt;="&amp;I$8,BetTable[[Date]:[Date]],"&lt;="&amp;EOMONTH(I$8,0))+SUMIFS(BetTable[[AR_per_bookie]:[AR_per_bookie]],BetTable[[B2]:[B2]],$A44,BetTable[[Date]:[Date]], "&gt;="&amp;I$8,BetTable[[Date]:[Date]],"&lt;="&amp;EOMONTH(I$8,0))+SUMIFS(BetTable[[AR_per_bookie]:[AR_per_bookie]],BetTable[[B3]:[B3]],$A44,BetTable[[Date]:[Date]], "&gt;="&amp;I$8,BetTable[[Date]:[Date]],"&lt;="&amp;EOMONTH(I$8,0))</f>
        <v>0</v>
      </c>
      <c r="J44" s="126">
        <f>SUMIFS(DWbonus[[Sum]:[Sum]],DWbonus[[Dato]:[Dato]], "&gt;="&amp;J$8,DWbonus[[Dato]:[Dato]],"&lt;="&amp;EOMONTH(J$8,0),DWbonus[[Bookie]:[Bookie]],$A44)+SUMIFS(LayTable[[Faktisk res]:[Faktisk res]],LayTable[[Dato]:[Dato]],"&gt;="&amp;J$8,LayTable[[Dato]:[Dato]],"&lt;="&amp;EOMONTH(J$8,0),LayTable[[Bookmaker]:[Bookmaker]],$A44)+SUMIFS(BetTable[[AR_per_bookie]:[AR_per_bookie]],BetTable[[B1]:[B1]],$A44,BetTable[[Date]:[Date]], "&gt;="&amp;J$8,BetTable[[Date]:[Date]],"&lt;="&amp;EOMONTH(J$8,0))+SUMIFS(BetTable[[AR_per_bookie]:[AR_per_bookie]],BetTable[[B2]:[B2]],$A44,BetTable[[Date]:[Date]], "&gt;="&amp;J$8,BetTable[[Date]:[Date]],"&lt;="&amp;EOMONTH(J$8,0))+SUMIFS(BetTable[[AR_per_bookie]:[AR_per_bookie]],BetTable[[B3]:[B3]],$A44,BetTable[[Date]:[Date]], "&gt;="&amp;J$8,BetTable[[Date]:[Date]],"&lt;="&amp;EOMONTH(J$8,0))</f>
        <v>0</v>
      </c>
      <c r="K44" s="126">
        <f>SUMIFS(DWbonus[[Sum]:[Sum]],DWbonus[[Dato]:[Dato]], "&gt;="&amp;K$8,DWbonus[[Dato]:[Dato]],"&lt;="&amp;EOMONTH(K$8,0),DWbonus[[Bookie]:[Bookie]],$A44)+SUMIFS(LayTable[[Faktisk res]:[Faktisk res]],LayTable[[Dato]:[Dato]],"&gt;="&amp;K$8,LayTable[[Dato]:[Dato]],"&lt;="&amp;EOMONTH(K$8,0),LayTable[[Bookmaker]:[Bookmaker]],$A44)+SUMIFS(BetTable[[AR_per_bookie]:[AR_per_bookie]],BetTable[[B1]:[B1]],$A44,BetTable[[Date]:[Date]], "&gt;="&amp;K$8,BetTable[[Date]:[Date]],"&lt;="&amp;EOMONTH(K$8,0))+SUMIFS(BetTable[[AR_per_bookie]:[AR_per_bookie]],BetTable[[B2]:[B2]],$A44,BetTable[[Date]:[Date]], "&gt;="&amp;K$8,BetTable[[Date]:[Date]],"&lt;="&amp;EOMONTH(K$8,0))+SUMIFS(BetTable[[AR_per_bookie]:[AR_per_bookie]],BetTable[[B3]:[B3]],$A44,BetTable[[Date]:[Date]], "&gt;="&amp;K$8,BetTable[[Date]:[Date]],"&lt;="&amp;EOMONTH(K$8,0))</f>
        <v>0</v>
      </c>
      <c r="L44" s="126">
        <f>SUMIFS(DWbonus[[Sum]:[Sum]],DWbonus[[Dato]:[Dato]], "&gt;="&amp;L$8,DWbonus[[Dato]:[Dato]],"&lt;="&amp;EOMONTH(L$8,0),DWbonus[[Bookie]:[Bookie]],$A44)+SUMIFS(LayTable[[Faktisk res]:[Faktisk res]],LayTable[[Dato]:[Dato]],"&gt;="&amp;L$8,LayTable[[Dato]:[Dato]],"&lt;="&amp;EOMONTH(L$8,0),LayTable[[Bookmaker]:[Bookmaker]],$A44)+SUMIFS(BetTable[[AR_per_bookie]:[AR_per_bookie]],BetTable[[B1]:[B1]],$A44,BetTable[[Date]:[Date]], "&gt;="&amp;L$8,BetTable[[Date]:[Date]],"&lt;="&amp;EOMONTH(L$8,0))+SUMIFS(BetTable[[AR_per_bookie]:[AR_per_bookie]],BetTable[[B2]:[B2]],$A44,BetTable[[Date]:[Date]], "&gt;="&amp;L$8,BetTable[[Date]:[Date]],"&lt;="&amp;EOMONTH(L$8,0))+SUMIFS(BetTable[[AR_per_bookie]:[AR_per_bookie]],BetTable[[B3]:[B3]],$A44,BetTable[[Date]:[Date]], "&gt;="&amp;L$8,BetTable[[Date]:[Date]],"&lt;="&amp;EOMONTH(L$8,0))</f>
        <v>0</v>
      </c>
      <c r="M44" s="126">
        <f>SUMIFS(DWbonus[[Sum]:[Sum]],DWbonus[[Dato]:[Dato]], "&gt;="&amp;M$8,DWbonus[[Dato]:[Dato]],"&lt;="&amp;EOMONTH(M$8,0),DWbonus[[Bookie]:[Bookie]],$A44)+SUMIFS(LayTable[[Faktisk res]:[Faktisk res]],LayTable[[Dato]:[Dato]],"&gt;="&amp;M$8,LayTable[[Dato]:[Dato]],"&lt;="&amp;EOMONTH(M$8,0),LayTable[[Bookmaker]:[Bookmaker]],$A44)+SUMIFS(BetTable[[AR_per_bookie]:[AR_per_bookie]],BetTable[[B1]:[B1]],$A44,BetTable[[Date]:[Date]], "&gt;="&amp;M$8,BetTable[[Date]:[Date]],"&lt;="&amp;EOMONTH(M$8,0))+SUMIFS(BetTable[[AR_per_bookie]:[AR_per_bookie]],BetTable[[B2]:[B2]],$A44,BetTable[[Date]:[Date]], "&gt;="&amp;M$8,BetTable[[Date]:[Date]],"&lt;="&amp;EOMONTH(M$8,0))+SUMIFS(BetTable[[AR_per_bookie]:[AR_per_bookie]],BetTable[[B3]:[B3]],$A44,BetTable[[Date]:[Date]], "&gt;="&amp;M$8,BetTable[[Date]:[Date]],"&lt;="&amp;EOMONTH(M$8,0))</f>
        <v>0</v>
      </c>
      <c r="N44" s="126">
        <f>SUMIFS(DWbonus[[Sum]:[Sum]],DWbonus[[Dato]:[Dato]], "&gt;="&amp;N$8,DWbonus[[Dato]:[Dato]],"&lt;="&amp;EOMONTH(N$8,0),DWbonus[[Bookie]:[Bookie]],$A44)+SUMIFS(LayTable[[Faktisk res]:[Faktisk res]],LayTable[[Dato]:[Dato]],"&gt;="&amp;N$8,LayTable[[Dato]:[Dato]],"&lt;="&amp;EOMONTH(N$8,0),LayTable[[Bookmaker]:[Bookmaker]],$A44)+SUMIFS(BetTable[[AR_per_bookie]:[AR_per_bookie]],BetTable[[B1]:[B1]],$A44,BetTable[[Date]:[Date]], "&gt;="&amp;N$8,BetTable[[Date]:[Date]],"&lt;="&amp;EOMONTH(N$8,0))+SUMIFS(BetTable[[AR_per_bookie]:[AR_per_bookie]],BetTable[[B2]:[B2]],$A44,BetTable[[Date]:[Date]], "&gt;="&amp;N$8,BetTable[[Date]:[Date]],"&lt;="&amp;EOMONTH(N$8,0))+SUMIFS(BetTable[[AR_per_bookie]:[AR_per_bookie]],BetTable[[B3]:[B3]],$A44,BetTable[[Date]:[Date]], "&gt;="&amp;N$8,BetTable[[Date]:[Date]],"&lt;="&amp;EOMONTH(N$8,0))</f>
        <v>0</v>
      </c>
      <c r="O44" s="126">
        <f>SUMIFS(DWbonus[[Sum]:[Sum]],DWbonus[[Dato]:[Dato]], "&gt;="&amp;O$8,DWbonus[[Dato]:[Dato]],"&lt;="&amp;EOMONTH(O$8,0),DWbonus[[Bookie]:[Bookie]],$A44)+SUMIFS(LayTable[[Faktisk res]:[Faktisk res]],LayTable[[Dato]:[Dato]],"&gt;="&amp;O$8,LayTable[[Dato]:[Dato]],"&lt;="&amp;EOMONTH(O$8,0),LayTable[[Bookmaker]:[Bookmaker]],$A44)+SUMIFS(BetTable[[AR_per_bookie]:[AR_per_bookie]],BetTable[[B1]:[B1]],$A44,BetTable[[Date]:[Date]], "&gt;="&amp;O$8,BetTable[[Date]:[Date]],"&lt;="&amp;EOMONTH(O$8,0))+SUMIFS(BetTable[[AR_per_bookie]:[AR_per_bookie]],BetTable[[B2]:[B2]],$A44,BetTable[[Date]:[Date]], "&gt;="&amp;O$8,BetTable[[Date]:[Date]],"&lt;="&amp;EOMONTH(O$8,0))+SUMIFS(BetTable[[AR_per_bookie]:[AR_per_bookie]],BetTable[[B3]:[B3]],$A44,BetTable[[Date]:[Date]], "&gt;="&amp;O$8,BetTable[[Date]:[Date]],"&lt;="&amp;EOMONTH(O$8,0))</f>
        <v>0</v>
      </c>
      <c r="P44" s="126">
        <f>SUMIFS(DWbonus[[Sum]:[Sum]],DWbonus[[Dato]:[Dato]], "&gt;="&amp;P$8,DWbonus[[Dato]:[Dato]],"&lt;="&amp;EOMONTH(P$8,0),DWbonus[[Bookie]:[Bookie]],$A44)+SUMIFS(LayTable[[Faktisk res]:[Faktisk res]],LayTable[[Dato]:[Dato]],"&gt;="&amp;P$8,LayTable[[Dato]:[Dato]],"&lt;="&amp;EOMONTH(P$8,0),LayTable[[Bookmaker]:[Bookmaker]],$A44)+SUMIFS(BetTable[[AR_per_bookie]:[AR_per_bookie]],BetTable[[B1]:[B1]],$A44,BetTable[[Date]:[Date]], "&gt;="&amp;P$8,BetTable[[Date]:[Date]],"&lt;="&amp;EOMONTH(P$8,0))+SUMIFS(BetTable[[AR_per_bookie]:[AR_per_bookie]],BetTable[[B2]:[B2]],$A44,BetTable[[Date]:[Date]], "&gt;="&amp;P$8,BetTable[[Date]:[Date]],"&lt;="&amp;EOMONTH(P$8,0))+SUMIFS(BetTable[[AR_per_bookie]:[AR_per_bookie]],BetTable[[B3]:[B3]],$A44,BetTable[[Date]:[Date]], "&gt;="&amp;P$8,BetTable[[Date]:[Date]],"&lt;="&amp;EOMONTH(P$8,0))</f>
        <v>0</v>
      </c>
      <c r="Q44" s="126">
        <f>SUMIFS(DWbonus[[Sum]:[Sum]],DWbonus[[Dato]:[Dato]], "&gt;="&amp;Q$8,DWbonus[[Dato]:[Dato]],"&lt;="&amp;EOMONTH(Q$8,0),DWbonus[[Bookie]:[Bookie]],$A44)+SUMIFS(LayTable[[Faktisk res]:[Faktisk res]],LayTable[[Dato]:[Dato]],"&gt;="&amp;Q$8,LayTable[[Dato]:[Dato]],"&lt;="&amp;EOMONTH(Q$8,0),LayTable[[Bookmaker]:[Bookmaker]],$A44)+SUMIFS(BetTable[[AR_per_bookie]:[AR_per_bookie]],BetTable[[B1]:[B1]],$A44,BetTable[[Date]:[Date]], "&gt;="&amp;Q$8,BetTable[[Date]:[Date]],"&lt;="&amp;EOMONTH(Q$8,0))+SUMIFS(BetTable[[AR_per_bookie]:[AR_per_bookie]],BetTable[[B2]:[B2]],$A44,BetTable[[Date]:[Date]], "&gt;="&amp;Q$8,BetTable[[Date]:[Date]],"&lt;="&amp;EOMONTH(Q$8,0))+SUMIFS(BetTable[[AR_per_bookie]:[AR_per_bookie]],BetTable[[B3]:[B3]],$A44,BetTable[[Date]:[Date]], "&gt;="&amp;Q$8,BetTable[[Date]:[Date]],"&lt;="&amp;EOMONTH(Q$8,0))</f>
        <v>0</v>
      </c>
      <c r="R44" s="126">
        <f>SUMIFS(DWbonus[[Sum]:[Sum]],DWbonus[[Dato]:[Dato]], "&gt;="&amp;R$8,DWbonus[[Dato]:[Dato]],"&lt;="&amp;EOMONTH(R$8,0),DWbonus[[Bookie]:[Bookie]],$A44)+SUMIFS(LayTable[[Faktisk res]:[Faktisk res]],LayTable[[Dato]:[Dato]],"&gt;="&amp;R$8,LayTable[[Dato]:[Dato]],"&lt;="&amp;EOMONTH(R$8,0),LayTable[[Bookmaker]:[Bookmaker]],$A44)+SUMIFS(BetTable[[AR_per_bookie]:[AR_per_bookie]],BetTable[[B1]:[B1]],$A44,BetTable[[Date]:[Date]], "&gt;="&amp;R$8,BetTable[[Date]:[Date]],"&lt;="&amp;EOMONTH(R$8,0))+SUMIFS(BetTable[[AR_per_bookie]:[AR_per_bookie]],BetTable[[B2]:[B2]],$A44,BetTable[[Date]:[Date]], "&gt;="&amp;R$8,BetTable[[Date]:[Date]],"&lt;="&amp;EOMONTH(R$8,0))+SUMIFS(BetTable[[AR_per_bookie]:[AR_per_bookie]],BetTable[[B3]:[B3]],$A44,BetTable[[Date]:[Date]], "&gt;="&amp;R$8,BetTable[[Date]:[Date]],"&lt;="&amp;EOMONTH(R$8,0))</f>
        <v>0</v>
      </c>
      <c r="S44" s="126">
        <f>SUMIFS(DWbonus[[Sum]:[Sum]],DWbonus[[Dato]:[Dato]], "&gt;="&amp;S$8,DWbonus[[Dato]:[Dato]],"&lt;="&amp;EOMONTH(S$8,0),DWbonus[[Bookie]:[Bookie]],$A44)+SUMIFS(LayTable[[Faktisk res]:[Faktisk res]],LayTable[[Dato]:[Dato]],"&gt;="&amp;S$8,LayTable[[Dato]:[Dato]],"&lt;="&amp;EOMONTH(S$8,0),LayTable[[Bookmaker]:[Bookmaker]],$A44)+SUMIFS(BetTable[[AR_per_bookie]:[AR_per_bookie]],BetTable[[B1]:[B1]],$A44,BetTable[[Date]:[Date]], "&gt;="&amp;S$8,BetTable[[Date]:[Date]],"&lt;="&amp;EOMONTH(S$8,0))+SUMIFS(BetTable[[AR_per_bookie]:[AR_per_bookie]],BetTable[[B2]:[B2]],$A44,BetTable[[Date]:[Date]], "&gt;="&amp;S$8,BetTable[[Date]:[Date]],"&lt;="&amp;EOMONTH(S$8,0))+SUMIFS(BetTable[[AR_per_bookie]:[AR_per_bookie]],BetTable[[B3]:[B3]],$A44,BetTable[[Date]:[Date]], "&gt;="&amp;S$8,BetTable[[Date]:[Date]],"&lt;="&amp;EOMONTH(S$8,0))</f>
        <v>0</v>
      </c>
    </row>
    <row r="45" spans="1:19">
      <c r="A45" s="115" t="str">
        <f>BookieNavn!I37</f>
        <v>Mobilebet</v>
      </c>
      <c r="B45" s="126">
        <f>SUMIF(Penger!D$1:D$50072,A45,Penger!F$1:F$50072)</f>
        <v>0</v>
      </c>
      <c r="C45" s="126">
        <f>SUMIF(Penger!T$1:T$50072,A45,Penger!U$1:U$50072)</f>
        <v>0</v>
      </c>
      <c r="D45" s="126">
        <f ca="1">SUMIF(Spill!C$1:C$499895,A45,Spill!T$1:T$49895)+C45</f>
        <v>0</v>
      </c>
      <c r="E45" s="126">
        <f>SUMIF(Spill!C$1:C$49895,A45,Spill!T$1:T$49895)</f>
        <v>0</v>
      </c>
      <c r="F45" s="121" t="e">
        <f t="shared" ca="1" si="1"/>
        <v>#DIV/0!</v>
      </c>
      <c r="H45" s="126">
        <f>SUMIFS(DWbonus[[Sum]:[Sum]],DWbonus[[Dato]:[Dato]], "&gt;="&amp;H$8,DWbonus[[Dato]:[Dato]],"&lt;="&amp;EOMONTH(H$8,0),DWbonus[[Bookie]:[Bookie]],$A45)+SUMIFS(LayTable[[Faktisk res]:[Faktisk res]],LayTable[[Dato]:[Dato]],"&gt;="&amp;H$8,LayTable[[Dato]:[Dato]],"&lt;="&amp;EOMONTH(H$8,0),LayTable[[Bookmaker]:[Bookmaker]],$A45)+SUMIFS(BetTable[[AR_per_bookie]:[AR_per_bookie]],BetTable[[B1]:[B1]],$A45,BetTable[[Date]:[Date]], "&gt;="&amp;H$8,BetTable[[Date]:[Date]],"&lt;="&amp;EOMONTH(H$8,0))+SUMIFS(BetTable[[AR_per_bookie]:[AR_per_bookie]],BetTable[[B2]:[B2]],$A45,BetTable[[Date]:[Date]], "&gt;="&amp;H$8,BetTable[[Date]:[Date]],"&lt;="&amp;EOMONTH(H$8,0))+SUMIFS(BetTable[[AR_per_bookie]:[AR_per_bookie]],BetTable[[B3]:[B3]],$A45,BetTable[[Date]:[Date]], "&gt;="&amp;H$8,BetTable[[Date]:[Date]],"&lt;="&amp;EOMONTH(H$8,0))</f>
        <v>0</v>
      </c>
      <c r="I45" s="126">
        <f>SUMIFS(DWbonus[[Sum]:[Sum]],DWbonus[[Dato]:[Dato]], "&gt;="&amp;I$8,DWbonus[[Dato]:[Dato]],"&lt;="&amp;EOMONTH(I$8,0),DWbonus[[Bookie]:[Bookie]],$A45)+SUMIFS(LayTable[[Faktisk res]:[Faktisk res]],LayTable[[Dato]:[Dato]],"&gt;="&amp;I$8,LayTable[[Dato]:[Dato]],"&lt;="&amp;EOMONTH(I$8,0),LayTable[[Bookmaker]:[Bookmaker]],$A45)+SUMIFS(BetTable[[AR_per_bookie]:[AR_per_bookie]],BetTable[[B1]:[B1]],$A45,BetTable[[Date]:[Date]], "&gt;="&amp;I$8,BetTable[[Date]:[Date]],"&lt;="&amp;EOMONTH(I$8,0))+SUMIFS(BetTable[[AR_per_bookie]:[AR_per_bookie]],BetTable[[B2]:[B2]],$A45,BetTable[[Date]:[Date]], "&gt;="&amp;I$8,BetTable[[Date]:[Date]],"&lt;="&amp;EOMONTH(I$8,0))+SUMIFS(BetTable[[AR_per_bookie]:[AR_per_bookie]],BetTable[[B3]:[B3]],$A45,BetTable[[Date]:[Date]], "&gt;="&amp;I$8,BetTable[[Date]:[Date]],"&lt;="&amp;EOMONTH(I$8,0))</f>
        <v>0</v>
      </c>
      <c r="J45" s="126">
        <f>SUMIFS(DWbonus[[Sum]:[Sum]],DWbonus[[Dato]:[Dato]], "&gt;="&amp;J$8,DWbonus[[Dato]:[Dato]],"&lt;="&amp;EOMONTH(J$8,0),DWbonus[[Bookie]:[Bookie]],$A45)+SUMIFS(LayTable[[Faktisk res]:[Faktisk res]],LayTable[[Dato]:[Dato]],"&gt;="&amp;J$8,LayTable[[Dato]:[Dato]],"&lt;="&amp;EOMONTH(J$8,0),LayTable[[Bookmaker]:[Bookmaker]],$A45)+SUMIFS(BetTable[[AR_per_bookie]:[AR_per_bookie]],BetTable[[B1]:[B1]],$A45,BetTable[[Date]:[Date]], "&gt;="&amp;J$8,BetTable[[Date]:[Date]],"&lt;="&amp;EOMONTH(J$8,0))+SUMIFS(BetTable[[AR_per_bookie]:[AR_per_bookie]],BetTable[[B2]:[B2]],$A45,BetTable[[Date]:[Date]], "&gt;="&amp;J$8,BetTable[[Date]:[Date]],"&lt;="&amp;EOMONTH(J$8,0))+SUMIFS(BetTable[[AR_per_bookie]:[AR_per_bookie]],BetTable[[B3]:[B3]],$A45,BetTable[[Date]:[Date]], "&gt;="&amp;J$8,BetTable[[Date]:[Date]],"&lt;="&amp;EOMONTH(J$8,0))</f>
        <v>0</v>
      </c>
      <c r="K45" s="126">
        <f>SUMIFS(DWbonus[[Sum]:[Sum]],DWbonus[[Dato]:[Dato]], "&gt;="&amp;K$8,DWbonus[[Dato]:[Dato]],"&lt;="&amp;EOMONTH(K$8,0),DWbonus[[Bookie]:[Bookie]],$A45)+SUMIFS(LayTable[[Faktisk res]:[Faktisk res]],LayTable[[Dato]:[Dato]],"&gt;="&amp;K$8,LayTable[[Dato]:[Dato]],"&lt;="&amp;EOMONTH(K$8,0),LayTable[[Bookmaker]:[Bookmaker]],$A45)+SUMIFS(BetTable[[AR_per_bookie]:[AR_per_bookie]],BetTable[[B1]:[B1]],$A45,BetTable[[Date]:[Date]], "&gt;="&amp;K$8,BetTable[[Date]:[Date]],"&lt;="&amp;EOMONTH(K$8,0))+SUMIFS(BetTable[[AR_per_bookie]:[AR_per_bookie]],BetTable[[B2]:[B2]],$A45,BetTable[[Date]:[Date]], "&gt;="&amp;K$8,BetTable[[Date]:[Date]],"&lt;="&amp;EOMONTH(K$8,0))+SUMIFS(BetTable[[AR_per_bookie]:[AR_per_bookie]],BetTable[[B3]:[B3]],$A45,BetTable[[Date]:[Date]], "&gt;="&amp;K$8,BetTable[[Date]:[Date]],"&lt;="&amp;EOMONTH(K$8,0))</f>
        <v>0</v>
      </c>
      <c r="L45" s="126">
        <f>SUMIFS(DWbonus[[Sum]:[Sum]],DWbonus[[Dato]:[Dato]], "&gt;="&amp;L$8,DWbonus[[Dato]:[Dato]],"&lt;="&amp;EOMONTH(L$8,0),DWbonus[[Bookie]:[Bookie]],$A45)+SUMIFS(LayTable[[Faktisk res]:[Faktisk res]],LayTable[[Dato]:[Dato]],"&gt;="&amp;L$8,LayTable[[Dato]:[Dato]],"&lt;="&amp;EOMONTH(L$8,0),LayTable[[Bookmaker]:[Bookmaker]],$A45)+SUMIFS(BetTable[[AR_per_bookie]:[AR_per_bookie]],BetTable[[B1]:[B1]],$A45,BetTable[[Date]:[Date]], "&gt;="&amp;L$8,BetTable[[Date]:[Date]],"&lt;="&amp;EOMONTH(L$8,0))+SUMIFS(BetTable[[AR_per_bookie]:[AR_per_bookie]],BetTable[[B2]:[B2]],$A45,BetTable[[Date]:[Date]], "&gt;="&amp;L$8,BetTable[[Date]:[Date]],"&lt;="&amp;EOMONTH(L$8,0))+SUMIFS(BetTable[[AR_per_bookie]:[AR_per_bookie]],BetTable[[B3]:[B3]],$A45,BetTable[[Date]:[Date]], "&gt;="&amp;L$8,BetTable[[Date]:[Date]],"&lt;="&amp;EOMONTH(L$8,0))</f>
        <v>0</v>
      </c>
      <c r="M45" s="126">
        <f>SUMIFS(DWbonus[[Sum]:[Sum]],DWbonus[[Dato]:[Dato]], "&gt;="&amp;M$8,DWbonus[[Dato]:[Dato]],"&lt;="&amp;EOMONTH(M$8,0),DWbonus[[Bookie]:[Bookie]],$A45)+SUMIFS(LayTable[[Faktisk res]:[Faktisk res]],LayTable[[Dato]:[Dato]],"&gt;="&amp;M$8,LayTable[[Dato]:[Dato]],"&lt;="&amp;EOMONTH(M$8,0),LayTable[[Bookmaker]:[Bookmaker]],$A45)+SUMIFS(BetTable[[AR_per_bookie]:[AR_per_bookie]],BetTable[[B1]:[B1]],$A45,BetTable[[Date]:[Date]], "&gt;="&amp;M$8,BetTable[[Date]:[Date]],"&lt;="&amp;EOMONTH(M$8,0))+SUMIFS(BetTable[[AR_per_bookie]:[AR_per_bookie]],BetTable[[B2]:[B2]],$A45,BetTable[[Date]:[Date]], "&gt;="&amp;M$8,BetTable[[Date]:[Date]],"&lt;="&amp;EOMONTH(M$8,0))+SUMIFS(BetTable[[AR_per_bookie]:[AR_per_bookie]],BetTable[[B3]:[B3]],$A45,BetTable[[Date]:[Date]], "&gt;="&amp;M$8,BetTable[[Date]:[Date]],"&lt;="&amp;EOMONTH(M$8,0))</f>
        <v>0</v>
      </c>
      <c r="N45" s="126">
        <f>SUMIFS(DWbonus[[Sum]:[Sum]],DWbonus[[Dato]:[Dato]], "&gt;="&amp;N$8,DWbonus[[Dato]:[Dato]],"&lt;="&amp;EOMONTH(N$8,0),DWbonus[[Bookie]:[Bookie]],$A45)+SUMIFS(LayTable[[Faktisk res]:[Faktisk res]],LayTable[[Dato]:[Dato]],"&gt;="&amp;N$8,LayTable[[Dato]:[Dato]],"&lt;="&amp;EOMONTH(N$8,0),LayTable[[Bookmaker]:[Bookmaker]],$A45)+SUMIFS(BetTable[[AR_per_bookie]:[AR_per_bookie]],BetTable[[B1]:[B1]],$A45,BetTable[[Date]:[Date]], "&gt;="&amp;N$8,BetTable[[Date]:[Date]],"&lt;="&amp;EOMONTH(N$8,0))+SUMIFS(BetTable[[AR_per_bookie]:[AR_per_bookie]],BetTable[[B2]:[B2]],$A45,BetTable[[Date]:[Date]], "&gt;="&amp;N$8,BetTable[[Date]:[Date]],"&lt;="&amp;EOMONTH(N$8,0))+SUMIFS(BetTable[[AR_per_bookie]:[AR_per_bookie]],BetTable[[B3]:[B3]],$A45,BetTable[[Date]:[Date]], "&gt;="&amp;N$8,BetTable[[Date]:[Date]],"&lt;="&amp;EOMONTH(N$8,0))</f>
        <v>0</v>
      </c>
      <c r="O45" s="126">
        <f>SUMIFS(DWbonus[[Sum]:[Sum]],DWbonus[[Dato]:[Dato]], "&gt;="&amp;O$8,DWbonus[[Dato]:[Dato]],"&lt;="&amp;EOMONTH(O$8,0),DWbonus[[Bookie]:[Bookie]],$A45)+SUMIFS(LayTable[[Faktisk res]:[Faktisk res]],LayTable[[Dato]:[Dato]],"&gt;="&amp;O$8,LayTable[[Dato]:[Dato]],"&lt;="&amp;EOMONTH(O$8,0),LayTable[[Bookmaker]:[Bookmaker]],$A45)+SUMIFS(BetTable[[AR_per_bookie]:[AR_per_bookie]],BetTable[[B1]:[B1]],$A45,BetTable[[Date]:[Date]], "&gt;="&amp;O$8,BetTable[[Date]:[Date]],"&lt;="&amp;EOMONTH(O$8,0))+SUMIFS(BetTable[[AR_per_bookie]:[AR_per_bookie]],BetTable[[B2]:[B2]],$A45,BetTable[[Date]:[Date]], "&gt;="&amp;O$8,BetTable[[Date]:[Date]],"&lt;="&amp;EOMONTH(O$8,0))+SUMIFS(BetTable[[AR_per_bookie]:[AR_per_bookie]],BetTable[[B3]:[B3]],$A45,BetTable[[Date]:[Date]], "&gt;="&amp;O$8,BetTable[[Date]:[Date]],"&lt;="&amp;EOMONTH(O$8,0))</f>
        <v>0</v>
      </c>
      <c r="P45" s="126">
        <f>SUMIFS(DWbonus[[Sum]:[Sum]],DWbonus[[Dato]:[Dato]], "&gt;="&amp;P$8,DWbonus[[Dato]:[Dato]],"&lt;="&amp;EOMONTH(P$8,0),DWbonus[[Bookie]:[Bookie]],$A45)+SUMIFS(LayTable[[Faktisk res]:[Faktisk res]],LayTable[[Dato]:[Dato]],"&gt;="&amp;P$8,LayTable[[Dato]:[Dato]],"&lt;="&amp;EOMONTH(P$8,0),LayTable[[Bookmaker]:[Bookmaker]],$A45)+SUMIFS(BetTable[[AR_per_bookie]:[AR_per_bookie]],BetTable[[B1]:[B1]],$A45,BetTable[[Date]:[Date]], "&gt;="&amp;P$8,BetTable[[Date]:[Date]],"&lt;="&amp;EOMONTH(P$8,0))+SUMIFS(BetTable[[AR_per_bookie]:[AR_per_bookie]],BetTable[[B2]:[B2]],$A45,BetTable[[Date]:[Date]], "&gt;="&amp;P$8,BetTable[[Date]:[Date]],"&lt;="&amp;EOMONTH(P$8,0))+SUMIFS(BetTable[[AR_per_bookie]:[AR_per_bookie]],BetTable[[B3]:[B3]],$A45,BetTable[[Date]:[Date]], "&gt;="&amp;P$8,BetTable[[Date]:[Date]],"&lt;="&amp;EOMONTH(P$8,0))</f>
        <v>0</v>
      </c>
      <c r="Q45" s="126">
        <f>SUMIFS(DWbonus[[Sum]:[Sum]],DWbonus[[Dato]:[Dato]], "&gt;="&amp;Q$8,DWbonus[[Dato]:[Dato]],"&lt;="&amp;EOMONTH(Q$8,0),DWbonus[[Bookie]:[Bookie]],$A45)+SUMIFS(LayTable[[Faktisk res]:[Faktisk res]],LayTable[[Dato]:[Dato]],"&gt;="&amp;Q$8,LayTable[[Dato]:[Dato]],"&lt;="&amp;EOMONTH(Q$8,0),LayTable[[Bookmaker]:[Bookmaker]],$A45)+SUMIFS(BetTable[[AR_per_bookie]:[AR_per_bookie]],BetTable[[B1]:[B1]],$A45,BetTable[[Date]:[Date]], "&gt;="&amp;Q$8,BetTable[[Date]:[Date]],"&lt;="&amp;EOMONTH(Q$8,0))+SUMIFS(BetTable[[AR_per_bookie]:[AR_per_bookie]],BetTable[[B2]:[B2]],$A45,BetTable[[Date]:[Date]], "&gt;="&amp;Q$8,BetTable[[Date]:[Date]],"&lt;="&amp;EOMONTH(Q$8,0))+SUMIFS(BetTable[[AR_per_bookie]:[AR_per_bookie]],BetTable[[B3]:[B3]],$A45,BetTable[[Date]:[Date]], "&gt;="&amp;Q$8,BetTable[[Date]:[Date]],"&lt;="&amp;EOMONTH(Q$8,0))</f>
        <v>0</v>
      </c>
      <c r="R45" s="126">
        <f>SUMIFS(DWbonus[[Sum]:[Sum]],DWbonus[[Dato]:[Dato]], "&gt;="&amp;R$8,DWbonus[[Dato]:[Dato]],"&lt;="&amp;EOMONTH(R$8,0),DWbonus[[Bookie]:[Bookie]],$A45)+SUMIFS(LayTable[[Faktisk res]:[Faktisk res]],LayTable[[Dato]:[Dato]],"&gt;="&amp;R$8,LayTable[[Dato]:[Dato]],"&lt;="&amp;EOMONTH(R$8,0),LayTable[[Bookmaker]:[Bookmaker]],$A45)+SUMIFS(BetTable[[AR_per_bookie]:[AR_per_bookie]],BetTable[[B1]:[B1]],$A45,BetTable[[Date]:[Date]], "&gt;="&amp;R$8,BetTable[[Date]:[Date]],"&lt;="&amp;EOMONTH(R$8,0))+SUMIFS(BetTable[[AR_per_bookie]:[AR_per_bookie]],BetTable[[B2]:[B2]],$A45,BetTable[[Date]:[Date]], "&gt;="&amp;R$8,BetTable[[Date]:[Date]],"&lt;="&amp;EOMONTH(R$8,0))+SUMIFS(BetTable[[AR_per_bookie]:[AR_per_bookie]],BetTable[[B3]:[B3]],$A45,BetTable[[Date]:[Date]], "&gt;="&amp;R$8,BetTable[[Date]:[Date]],"&lt;="&amp;EOMONTH(R$8,0))</f>
        <v>0</v>
      </c>
      <c r="S45" s="126">
        <f>SUMIFS(DWbonus[[Sum]:[Sum]],DWbonus[[Dato]:[Dato]], "&gt;="&amp;S$8,DWbonus[[Dato]:[Dato]],"&lt;="&amp;EOMONTH(S$8,0),DWbonus[[Bookie]:[Bookie]],$A45)+SUMIFS(LayTable[[Faktisk res]:[Faktisk res]],LayTable[[Dato]:[Dato]],"&gt;="&amp;S$8,LayTable[[Dato]:[Dato]],"&lt;="&amp;EOMONTH(S$8,0),LayTable[[Bookmaker]:[Bookmaker]],$A45)+SUMIFS(BetTable[[AR_per_bookie]:[AR_per_bookie]],BetTable[[B1]:[B1]],$A45,BetTable[[Date]:[Date]], "&gt;="&amp;S$8,BetTable[[Date]:[Date]],"&lt;="&amp;EOMONTH(S$8,0))+SUMIFS(BetTable[[AR_per_bookie]:[AR_per_bookie]],BetTable[[B2]:[B2]],$A45,BetTable[[Date]:[Date]], "&gt;="&amp;S$8,BetTable[[Date]:[Date]],"&lt;="&amp;EOMONTH(S$8,0))+SUMIFS(BetTable[[AR_per_bookie]:[AR_per_bookie]],BetTable[[B3]:[B3]],$A45,BetTable[[Date]:[Date]], "&gt;="&amp;S$8,BetTable[[Date]:[Date]],"&lt;="&amp;EOMONTH(S$8,0))</f>
        <v>0</v>
      </c>
    </row>
    <row r="46" spans="1:19">
      <c r="A46" s="115" t="str">
        <f>BookieNavn!I38</f>
        <v>MrGreen</v>
      </c>
      <c r="B46" s="126">
        <f>SUMIF(Penger!D$1:D$50072,A46,Penger!F$1:F$50072)</f>
        <v>0</v>
      </c>
      <c r="C46" s="126">
        <f>SUMIF(Penger!T$1:T$50072,A46,Penger!U$1:U$50072)</f>
        <v>0</v>
      </c>
      <c r="D46" s="126">
        <f ca="1">SUMIF(Spill!C$1:C$499895,A46,Spill!T$1:T$49895)+C46</f>
        <v>0</v>
      </c>
      <c r="E46" s="126">
        <f>SUMIF(Spill!C$1:C$49895,A46,Spill!T$1:T$49895)</f>
        <v>0</v>
      </c>
      <c r="F46" s="121" t="e">
        <f t="shared" ca="1" si="1"/>
        <v>#DIV/0!</v>
      </c>
      <c r="H46" s="126">
        <f>SUMIFS(DWbonus[[Sum]:[Sum]],DWbonus[[Dato]:[Dato]], "&gt;="&amp;H$8,DWbonus[[Dato]:[Dato]],"&lt;="&amp;EOMONTH(H$8,0),DWbonus[[Bookie]:[Bookie]],$A46)+SUMIFS(LayTable[[Faktisk res]:[Faktisk res]],LayTable[[Dato]:[Dato]],"&gt;="&amp;H$8,LayTable[[Dato]:[Dato]],"&lt;="&amp;EOMONTH(H$8,0),LayTable[[Bookmaker]:[Bookmaker]],$A46)+SUMIFS(BetTable[[AR_per_bookie]:[AR_per_bookie]],BetTable[[B1]:[B1]],$A46,BetTable[[Date]:[Date]], "&gt;="&amp;H$8,BetTable[[Date]:[Date]],"&lt;="&amp;EOMONTH(H$8,0))+SUMIFS(BetTable[[AR_per_bookie]:[AR_per_bookie]],BetTable[[B2]:[B2]],$A46,BetTable[[Date]:[Date]], "&gt;="&amp;H$8,BetTable[[Date]:[Date]],"&lt;="&amp;EOMONTH(H$8,0))+SUMIFS(BetTable[[AR_per_bookie]:[AR_per_bookie]],BetTable[[B3]:[B3]],$A46,BetTable[[Date]:[Date]], "&gt;="&amp;H$8,BetTable[[Date]:[Date]],"&lt;="&amp;EOMONTH(H$8,0))</f>
        <v>0</v>
      </c>
      <c r="I46" s="126">
        <f>SUMIFS(DWbonus[[Sum]:[Sum]],DWbonus[[Dato]:[Dato]], "&gt;="&amp;I$8,DWbonus[[Dato]:[Dato]],"&lt;="&amp;EOMONTH(I$8,0),DWbonus[[Bookie]:[Bookie]],$A46)+SUMIFS(LayTable[[Faktisk res]:[Faktisk res]],LayTable[[Dato]:[Dato]],"&gt;="&amp;I$8,LayTable[[Dato]:[Dato]],"&lt;="&amp;EOMONTH(I$8,0),LayTable[[Bookmaker]:[Bookmaker]],$A46)+SUMIFS(BetTable[[AR_per_bookie]:[AR_per_bookie]],BetTable[[B1]:[B1]],$A46,BetTable[[Date]:[Date]], "&gt;="&amp;I$8,BetTable[[Date]:[Date]],"&lt;="&amp;EOMONTH(I$8,0))+SUMIFS(BetTable[[AR_per_bookie]:[AR_per_bookie]],BetTable[[B2]:[B2]],$A46,BetTable[[Date]:[Date]], "&gt;="&amp;I$8,BetTable[[Date]:[Date]],"&lt;="&amp;EOMONTH(I$8,0))+SUMIFS(BetTable[[AR_per_bookie]:[AR_per_bookie]],BetTable[[B3]:[B3]],$A46,BetTable[[Date]:[Date]], "&gt;="&amp;I$8,BetTable[[Date]:[Date]],"&lt;="&amp;EOMONTH(I$8,0))</f>
        <v>0</v>
      </c>
      <c r="J46" s="126">
        <f>SUMIFS(DWbonus[[Sum]:[Sum]],DWbonus[[Dato]:[Dato]], "&gt;="&amp;J$8,DWbonus[[Dato]:[Dato]],"&lt;="&amp;EOMONTH(J$8,0),DWbonus[[Bookie]:[Bookie]],$A46)+SUMIFS(LayTable[[Faktisk res]:[Faktisk res]],LayTable[[Dato]:[Dato]],"&gt;="&amp;J$8,LayTable[[Dato]:[Dato]],"&lt;="&amp;EOMONTH(J$8,0),LayTable[[Bookmaker]:[Bookmaker]],$A46)+SUMIFS(BetTable[[AR_per_bookie]:[AR_per_bookie]],BetTable[[B1]:[B1]],$A46,BetTable[[Date]:[Date]], "&gt;="&amp;J$8,BetTable[[Date]:[Date]],"&lt;="&amp;EOMONTH(J$8,0))+SUMIFS(BetTable[[AR_per_bookie]:[AR_per_bookie]],BetTable[[B2]:[B2]],$A46,BetTable[[Date]:[Date]], "&gt;="&amp;J$8,BetTable[[Date]:[Date]],"&lt;="&amp;EOMONTH(J$8,0))+SUMIFS(BetTable[[AR_per_bookie]:[AR_per_bookie]],BetTable[[B3]:[B3]],$A46,BetTable[[Date]:[Date]], "&gt;="&amp;J$8,BetTable[[Date]:[Date]],"&lt;="&amp;EOMONTH(J$8,0))</f>
        <v>0</v>
      </c>
      <c r="K46" s="126">
        <f>SUMIFS(DWbonus[[Sum]:[Sum]],DWbonus[[Dato]:[Dato]], "&gt;="&amp;K$8,DWbonus[[Dato]:[Dato]],"&lt;="&amp;EOMONTH(K$8,0),DWbonus[[Bookie]:[Bookie]],$A46)+SUMIFS(LayTable[[Faktisk res]:[Faktisk res]],LayTable[[Dato]:[Dato]],"&gt;="&amp;K$8,LayTable[[Dato]:[Dato]],"&lt;="&amp;EOMONTH(K$8,0),LayTable[[Bookmaker]:[Bookmaker]],$A46)+SUMIFS(BetTable[[AR_per_bookie]:[AR_per_bookie]],BetTable[[B1]:[B1]],$A46,BetTable[[Date]:[Date]], "&gt;="&amp;K$8,BetTable[[Date]:[Date]],"&lt;="&amp;EOMONTH(K$8,0))+SUMIFS(BetTable[[AR_per_bookie]:[AR_per_bookie]],BetTable[[B2]:[B2]],$A46,BetTable[[Date]:[Date]], "&gt;="&amp;K$8,BetTable[[Date]:[Date]],"&lt;="&amp;EOMONTH(K$8,0))+SUMIFS(BetTable[[AR_per_bookie]:[AR_per_bookie]],BetTable[[B3]:[B3]],$A46,BetTable[[Date]:[Date]], "&gt;="&amp;K$8,BetTable[[Date]:[Date]],"&lt;="&amp;EOMONTH(K$8,0))</f>
        <v>0</v>
      </c>
      <c r="L46" s="126">
        <f>SUMIFS(DWbonus[[Sum]:[Sum]],DWbonus[[Dato]:[Dato]], "&gt;="&amp;L$8,DWbonus[[Dato]:[Dato]],"&lt;="&amp;EOMONTH(L$8,0),DWbonus[[Bookie]:[Bookie]],$A46)+SUMIFS(LayTable[[Faktisk res]:[Faktisk res]],LayTable[[Dato]:[Dato]],"&gt;="&amp;L$8,LayTable[[Dato]:[Dato]],"&lt;="&amp;EOMONTH(L$8,0),LayTable[[Bookmaker]:[Bookmaker]],$A46)+SUMIFS(BetTable[[AR_per_bookie]:[AR_per_bookie]],BetTable[[B1]:[B1]],$A46,BetTable[[Date]:[Date]], "&gt;="&amp;L$8,BetTable[[Date]:[Date]],"&lt;="&amp;EOMONTH(L$8,0))+SUMIFS(BetTable[[AR_per_bookie]:[AR_per_bookie]],BetTable[[B2]:[B2]],$A46,BetTable[[Date]:[Date]], "&gt;="&amp;L$8,BetTable[[Date]:[Date]],"&lt;="&amp;EOMONTH(L$8,0))+SUMIFS(BetTable[[AR_per_bookie]:[AR_per_bookie]],BetTable[[B3]:[B3]],$A46,BetTable[[Date]:[Date]], "&gt;="&amp;L$8,BetTable[[Date]:[Date]],"&lt;="&amp;EOMONTH(L$8,0))</f>
        <v>0</v>
      </c>
      <c r="M46" s="126">
        <f>SUMIFS(DWbonus[[Sum]:[Sum]],DWbonus[[Dato]:[Dato]], "&gt;="&amp;M$8,DWbonus[[Dato]:[Dato]],"&lt;="&amp;EOMONTH(M$8,0),DWbonus[[Bookie]:[Bookie]],$A46)+SUMIFS(LayTable[[Faktisk res]:[Faktisk res]],LayTable[[Dato]:[Dato]],"&gt;="&amp;M$8,LayTable[[Dato]:[Dato]],"&lt;="&amp;EOMONTH(M$8,0),LayTable[[Bookmaker]:[Bookmaker]],$A46)+SUMIFS(BetTable[[AR_per_bookie]:[AR_per_bookie]],BetTable[[B1]:[B1]],$A46,BetTable[[Date]:[Date]], "&gt;="&amp;M$8,BetTable[[Date]:[Date]],"&lt;="&amp;EOMONTH(M$8,0))+SUMIFS(BetTable[[AR_per_bookie]:[AR_per_bookie]],BetTable[[B2]:[B2]],$A46,BetTable[[Date]:[Date]], "&gt;="&amp;M$8,BetTable[[Date]:[Date]],"&lt;="&amp;EOMONTH(M$8,0))+SUMIFS(BetTable[[AR_per_bookie]:[AR_per_bookie]],BetTable[[B3]:[B3]],$A46,BetTable[[Date]:[Date]], "&gt;="&amp;M$8,BetTable[[Date]:[Date]],"&lt;="&amp;EOMONTH(M$8,0))</f>
        <v>0</v>
      </c>
      <c r="N46" s="126">
        <f>SUMIFS(DWbonus[[Sum]:[Sum]],DWbonus[[Dato]:[Dato]], "&gt;="&amp;N$8,DWbonus[[Dato]:[Dato]],"&lt;="&amp;EOMONTH(N$8,0),DWbonus[[Bookie]:[Bookie]],$A46)+SUMIFS(LayTable[[Faktisk res]:[Faktisk res]],LayTable[[Dato]:[Dato]],"&gt;="&amp;N$8,LayTable[[Dato]:[Dato]],"&lt;="&amp;EOMONTH(N$8,0),LayTable[[Bookmaker]:[Bookmaker]],$A46)+SUMIFS(BetTable[[AR_per_bookie]:[AR_per_bookie]],BetTable[[B1]:[B1]],$A46,BetTable[[Date]:[Date]], "&gt;="&amp;N$8,BetTable[[Date]:[Date]],"&lt;="&amp;EOMONTH(N$8,0))+SUMIFS(BetTable[[AR_per_bookie]:[AR_per_bookie]],BetTable[[B2]:[B2]],$A46,BetTable[[Date]:[Date]], "&gt;="&amp;N$8,BetTable[[Date]:[Date]],"&lt;="&amp;EOMONTH(N$8,0))+SUMIFS(BetTable[[AR_per_bookie]:[AR_per_bookie]],BetTable[[B3]:[B3]],$A46,BetTable[[Date]:[Date]], "&gt;="&amp;N$8,BetTable[[Date]:[Date]],"&lt;="&amp;EOMONTH(N$8,0))</f>
        <v>0</v>
      </c>
      <c r="O46" s="126">
        <f>SUMIFS(DWbonus[[Sum]:[Sum]],DWbonus[[Dato]:[Dato]], "&gt;="&amp;O$8,DWbonus[[Dato]:[Dato]],"&lt;="&amp;EOMONTH(O$8,0),DWbonus[[Bookie]:[Bookie]],$A46)+SUMIFS(LayTable[[Faktisk res]:[Faktisk res]],LayTable[[Dato]:[Dato]],"&gt;="&amp;O$8,LayTable[[Dato]:[Dato]],"&lt;="&amp;EOMONTH(O$8,0),LayTable[[Bookmaker]:[Bookmaker]],$A46)+SUMIFS(BetTable[[AR_per_bookie]:[AR_per_bookie]],BetTable[[B1]:[B1]],$A46,BetTable[[Date]:[Date]], "&gt;="&amp;O$8,BetTable[[Date]:[Date]],"&lt;="&amp;EOMONTH(O$8,0))+SUMIFS(BetTable[[AR_per_bookie]:[AR_per_bookie]],BetTable[[B2]:[B2]],$A46,BetTable[[Date]:[Date]], "&gt;="&amp;O$8,BetTable[[Date]:[Date]],"&lt;="&amp;EOMONTH(O$8,0))+SUMIFS(BetTable[[AR_per_bookie]:[AR_per_bookie]],BetTable[[B3]:[B3]],$A46,BetTable[[Date]:[Date]], "&gt;="&amp;O$8,BetTable[[Date]:[Date]],"&lt;="&amp;EOMONTH(O$8,0))</f>
        <v>0</v>
      </c>
      <c r="P46" s="126">
        <f>SUMIFS(DWbonus[[Sum]:[Sum]],DWbonus[[Dato]:[Dato]], "&gt;="&amp;P$8,DWbonus[[Dato]:[Dato]],"&lt;="&amp;EOMONTH(P$8,0),DWbonus[[Bookie]:[Bookie]],$A46)+SUMIFS(LayTable[[Faktisk res]:[Faktisk res]],LayTable[[Dato]:[Dato]],"&gt;="&amp;P$8,LayTable[[Dato]:[Dato]],"&lt;="&amp;EOMONTH(P$8,0),LayTable[[Bookmaker]:[Bookmaker]],$A46)+SUMIFS(BetTable[[AR_per_bookie]:[AR_per_bookie]],BetTable[[B1]:[B1]],$A46,BetTable[[Date]:[Date]], "&gt;="&amp;P$8,BetTable[[Date]:[Date]],"&lt;="&amp;EOMONTH(P$8,0))+SUMIFS(BetTable[[AR_per_bookie]:[AR_per_bookie]],BetTable[[B2]:[B2]],$A46,BetTable[[Date]:[Date]], "&gt;="&amp;P$8,BetTable[[Date]:[Date]],"&lt;="&amp;EOMONTH(P$8,0))+SUMIFS(BetTable[[AR_per_bookie]:[AR_per_bookie]],BetTable[[B3]:[B3]],$A46,BetTable[[Date]:[Date]], "&gt;="&amp;P$8,BetTable[[Date]:[Date]],"&lt;="&amp;EOMONTH(P$8,0))</f>
        <v>0</v>
      </c>
      <c r="Q46" s="126">
        <f>SUMIFS(DWbonus[[Sum]:[Sum]],DWbonus[[Dato]:[Dato]], "&gt;="&amp;Q$8,DWbonus[[Dato]:[Dato]],"&lt;="&amp;EOMONTH(Q$8,0),DWbonus[[Bookie]:[Bookie]],$A46)+SUMIFS(LayTable[[Faktisk res]:[Faktisk res]],LayTable[[Dato]:[Dato]],"&gt;="&amp;Q$8,LayTable[[Dato]:[Dato]],"&lt;="&amp;EOMONTH(Q$8,0),LayTable[[Bookmaker]:[Bookmaker]],$A46)+SUMIFS(BetTable[[AR_per_bookie]:[AR_per_bookie]],BetTable[[B1]:[B1]],$A46,BetTable[[Date]:[Date]], "&gt;="&amp;Q$8,BetTable[[Date]:[Date]],"&lt;="&amp;EOMONTH(Q$8,0))+SUMIFS(BetTable[[AR_per_bookie]:[AR_per_bookie]],BetTable[[B2]:[B2]],$A46,BetTable[[Date]:[Date]], "&gt;="&amp;Q$8,BetTable[[Date]:[Date]],"&lt;="&amp;EOMONTH(Q$8,0))+SUMIFS(BetTable[[AR_per_bookie]:[AR_per_bookie]],BetTable[[B3]:[B3]],$A46,BetTable[[Date]:[Date]], "&gt;="&amp;Q$8,BetTable[[Date]:[Date]],"&lt;="&amp;EOMONTH(Q$8,0))</f>
        <v>0</v>
      </c>
      <c r="R46" s="126">
        <f>SUMIFS(DWbonus[[Sum]:[Sum]],DWbonus[[Dato]:[Dato]], "&gt;="&amp;R$8,DWbonus[[Dato]:[Dato]],"&lt;="&amp;EOMONTH(R$8,0),DWbonus[[Bookie]:[Bookie]],$A46)+SUMIFS(LayTable[[Faktisk res]:[Faktisk res]],LayTable[[Dato]:[Dato]],"&gt;="&amp;R$8,LayTable[[Dato]:[Dato]],"&lt;="&amp;EOMONTH(R$8,0),LayTable[[Bookmaker]:[Bookmaker]],$A46)+SUMIFS(BetTable[[AR_per_bookie]:[AR_per_bookie]],BetTable[[B1]:[B1]],$A46,BetTable[[Date]:[Date]], "&gt;="&amp;R$8,BetTable[[Date]:[Date]],"&lt;="&amp;EOMONTH(R$8,0))+SUMIFS(BetTable[[AR_per_bookie]:[AR_per_bookie]],BetTable[[B2]:[B2]],$A46,BetTable[[Date]:[Date]], "&gt;="&amp;R$8,BetTable[[Date]:[Date]],"&lt;="&amp;EOMONTH(R$8,0))+SUMIFS(BetTable[[AR_per_bookie]:[AR_per_bookie]],BetTable[[B3]:[B3]],$A46,BetTable[[Date]:[Date]], "&gt;="&amp;R$8,BetTable[[Date]:[Date]],"&lt;="&amp;EOMONTH(R$8,0))</f>
        <v>0</v>
      </c>
      <c r="S46" s="126">
        <f>SUMIFS(DWbonus[[Sum]:[Sum]],DWbonus[[Dato]:[Dato]], "&gt;="&amp;S$8,DWbonus[[Dato]:[Dato]],"&lt;="&amp;EOMONTH(S$8,0),DWbonus[[Bookie]:[Bookie]],$A46)+SUMIFS(LayTable[[Faktisk res]:[Faktisk res]],LayTable[[Dato]:[Dato]],"&gt;="&amp;S$8,LayTable[[Dato]:[Dato]],"&lt;="&amp;EOMONTH(S$8,0),LayTable[[Bookmaker]:[Bookmaker]],$A46)+SUMIFS(BetTable[[AR_per_bookie]:[AR_per_bookie]],BetTable[[B1]:[B1]],$A46,BetTable[[Date]:[Date]], "&gt;="&amp;S$8,BetTable[[Date]:[Date]],"&lt;="&amp;EOMONTH(S$8,0))+SUMIFS(BetTable[[AR_per_bookie]:[AR_per_bookie]],BetTable[[B2]:[B2]],$A46,BetTable[[Date]:[Date]], "&gt;="&amp;S$8,BetTable[[Date]:[Date]],"&lt;="&amp;EOMONTH(S$8,0))+SUMIFS(BetTable[[AR_per_bookie]:[AR_per_bookie]],BetTable[[B3]:[B3]],$A46,BetTable[[Date]:[Date]], "&gt;="&amp;S$8,BetTable[[Date]:[Date]],"&lt;="&amp;EOMONTH(S$8,0))</f>
        <v>0</v>
      </c>
    </row>
    <row r="47" spans="1:19">
      <c r="A47" s="115" t="str">
        <f>BookieNavn!I39</f>
        <v>MrWin</v>
      </c>
      <c r="B47" s="126">
        <f>SUMIF(Penger!D$1:D$50072,A47,Penger!F$1:F$50072)</f>
        <v>0</v>
      </c>
      <c r="C47" s="126">
        <f>SUMIF(Penger!T$1:T$50072,A47,Penger!U$1:U$50072)</f>
        <v>0</v>
      </c>
      <c r="D47" s="126">
        <f ca="1">SUMIF(Spill!C$1:C$499895,A47,Spill!T$1:T$49895)+C47</f>
        <v>0</v>
      </c>
      <c r="E47" s="126">
        <f>SUMIF(Spill!C$1:C$49895,A47,Spill!T$1:T$49895)</f>
        <v>0</v>
      </c>
      <c r="F47" s="121" t="e">
        <f t="shared" ca="1" si="1"/>
        <v>#DIV/0!</v>
      </c>
      <c r="H47" s="126">
        <f>SUMIFS(DWbonus[[Sum]:[Sum]],DWbonus[[Dato]:[Dato]], "&gt;="&amp;H$8,DWbonus[[Dato]:[Dato]],"&lt;="&amp;EOMONTH(H$8,0),DWbonus[[Bookie]:[Bookie]],$A47)+SUMIFS(LayTable[[Faktisk res]:[Faktisk res]],LayTable[[Dato]:[Dato]],"&gt;="&amp;H$8,LayTable[[Dato]:[Dato]],"&lt;="&amp;EOMONTH(H$8,0),LayTable[[Bookmaker]:[Bookmaker]],$A47)+SUMIFS(BetTable[[AR_per_bookie]:[AR_per_bookie]],BetTable[[B1]:[B1]],$A47,BetTable[[Date]:[Date]], "&gt;="&amp;H$8,BetTable[[Date]:[Date]],"&lt;="&amp;EOMONTH(H$8,0))+SUMIFS(BetTable[[AR_per_bookie]:[AR_per_bookie]],BetTable[[B2]:[B2]],$A47,BetTable[[Date]:[Date]], "&gt;="&amp;H$8,BetTable[[Date]:[Date]],"&lt;="&amp;EOMONTH(H$8,0))+SUMIFS(BetTable[[AR_per_bookie]:[AR_per_bookie]],BetTable[[B3]:[B3]],$A47,BetTable[[Date]:[Date]], "&gt;="&amp;H$8,BetTable[[Date]:[Date]],"&lt;="&amp;EOMONTH(H$8,0))</f>
        <v>0</v>
      </c>
      <c r="I47" s="126">
        <f>SUMIFS(DWbonus[[Sum]:[Sum]],DWbonus[[Dato]:[Dato]], "&gt;="&amp;I$8,DWbonus[[Dato]:[Dato]],"&lt;="&amp;EOMONTH(I$8,0),DWbonus[[Bookie]:[Bookie]],$A47)+SUMIFS(LayTable[[Faktisk res]:[Faktisk res]],LayTable[[Dato]:[Dato]],"&gt;="&amp;I$8,LayTable[[Dato]:[Dato]],"&lt;="&amp;EOMONTH(I$8,0),LayTable[[Bookmaker]:[Bookmaker]],$A47)+SUMIFS(BetTable[[AR_per_bookie]:[AR_per_bookie]],BetTable[[B1]:[B1]],$A47,BetTable[[Date]:[Date]], "&gt;="&amp;I$8,BetTable[[Date]:[Date]],"&lt;="&amp;EOMONTH(I$8,0))+SUMIFS(BetTable[[AR_per_bookie]:[AR_per_bookie]],BetTable[[B2]:[B2]],$A47,BetTable[[Date]:[Date]], "&gt;="&amp;I$8,BetTable[[Date]:[Date]],"&lt;="&amp;EOMONTH(I$8,0))+SUMIFS(BetTable[[AR_per_bookie]:[AR_per_bookie]],BetTable[[B3]:[B3]],$A47,BetTable[[Date]:[Date]], "&gt;="&amp;I$8,BetTable[[Date]:[Date]],"&lt;="&amp;EOMONTH(I$8,0))</f>
        <v>0</v>
      </c>
      <c r="J47" s="126">
        <f>SUMIFS(DWbonus[[Sum]:[Sum]],DWbonus[[Dato]:[Dato]], "&gt;="&amp;J$8,DWbonus[[Dato]:[Dato]],"&lt;="&amp;EOMONTH(J$8,0),DWbonus[[Bookie]:[Bookie]],$A47)+SUMIFS(LayTable[[Faktisk res]:[Faktisk res]],LayTable[[Dato]:[Dato]],"&gt;="&amp;J$8,LayTable[[Dato]:[Dato]],"&lt;="&amp;EOMONTH(J$8,0),LayTable[[Bookmaker]:[Bookmaker]],$A47)+SUMIFS(BetTable[[AR_per_bookie]:[AR_per_bookie]],BetTable[[B1]:[B1]],$A47,BetTable[[Date]:[Date]], "&gt;="&amp;J$8,BetTable[[Date]:[Date]],"&lt;="&amp;EOMONTH(J$8,0))+SUMIFS(BetTable[[AR_per_bookie]:[AR_per_bookie]],BetTable[[B2]:[B2]],$A47,BetTable[[Date]:[Date]], "&gt;="&amp;J$8,BetTable[[Date]:[Date]],"&lt;="&amp;EOMONTH(J$8,0))+SUMIFS(BetTable[[AR_per_bookie]:[AR_per_bookie]],BetTable[[B3]:[B3]],$A47,BetTable[[Date]:[Date]], "&gt;="&amp;J$8,BetTable[[Date]:[Date]],"&lt;="&amp;EOMONTH(J$8,0))</f>
        <v>0</v>
      </c>
      <c r="K47" s="126">
        <f>SUMIFS(DWbonus[[Sum]:[Sum]],DWbonus[[Dato]:[Dato]], "&gt;="&amp;K$8,DWbonus[[Dato]:[Dato]],"&lt;="&amp;EOMONTH(K$8,0),DWbonus[[Bookie]:[Bookie]],$A47)+SUMIFS(LayTable[[Faktisk res]:[Faktisk res]],LayTable[[Dato]:[Dato]],"&gt;="&amp;K$8,LayTable[[Dato]:[Dato]],"&lt;="&amp;EOMONTH(K$8,0),LayTable[[Bookmaker]:[Bookmaker]],$A47)+SUMIFS(BetTable[[AR_per_bookie]:[AR_per_bookie]],BetTable[[B1]:[B1]],$A47,BetTable[[Date]:[Date]], "&gt;="&amp;K$8,BetTable[[Date]:[Date]],"&lt;="&amp;EOMONTH(K$8,0))+SUMIFS(BetTable[[AR_per_bookie]:[AR_per_bookie]],BetTable[[B2]:[B2]],$A47,BetTable[[Date]:[Date]], "&gt;="&amp;K$8,BetTable[[Date]:[Date]],"&lt;="&amp;EOMONTH(K$8,0))+SUMIFS(BetTable[[AR_per_bookie]:[AR_per_bookie]],BetTable[[B3]:[B3]],$A47,BetTable[[Date]:[Date]], "&gt;="&amp;K$8,BetTable[[Date]:[Date]],"&lt;="&amp;EOMONTH(K$8,0))</f>
        <v>0</v>
      </c>
      <c r="L47" s="126">
        <f>SUMIFS(DWbonus[[Sum]:[Sum]],DWbonus[[Dato]:[Dato]], "&gt;="&amp;L$8,DWbonus[[Dato]:[Dato]],"&lt;="&amp;EOMONTH(L$8,0),DWbonus[[Bookie]:[Bookie]],$A47)+SUMIFS(LayTable[[Faktisk res]:[Faktisk res]],LayTable[[Dato]:[Dato]],"&gt;="&amp;L$8,LayTable[[Dato]:[Dato]],"&lt;="&amp;EOMONTH(L$8,0),LayTable[[Bookmaker]:[Bookmaker]],$A47)+SUMIFS(BetTable[[AR_per_bookie]:[AR_per_bookie]],BetTable[[B1]:[B1]],$A47,BetTable[[Date]:[Date]], "&gt;="&amp;L$8,BetTable[[Date]:[Date]],"&lt;="&amp;EOMONTH(L$8,0))+SUMIFS(BetTable[[AR_per_bookie]:[AR_per_bookie]],BetTable[[B2]:[B2]],$A47,BetTable[[Date]:[Date]], "&gt;="&amp;L$8,BetTable[[Date]:[Date]],"&lt;="&amp;EOMONTH(L$8,0))+SUMIFS(BetTable[[AR_per_bookie]:[AR_per_bookie]],BetTable[[B3]:[B3]],$A47,BetTable[[Date]:[Date]], "&gt;="&amp;L$8,BetTable[[Date]:[Date]],"&lt;="&amp;EOMONTH(L$8,0))</f>
        <v>0</v>
      </c>
      <c r="M47" s="126">
        <f>SUMIFS(DWbonus[[Sum]:[Sum]],DWbonus[[Dato]:[Dato]], "&gt;="&amp;M$8,DWbonus[[Dato]:[Dato]],"&lt;="&amp;EOMONTH(M$8,0),DWbonus[[Bookie]:[Bookie]],$A47)+SUMIFS(LayTable[[Faktisk res]:[Faktisk res]],LayTable[[Dato]:[Dato]],"&gt;="&amp;M$8,LayTable[[Dato]:[Dato]],"&lt;="&amp;EOMONTH(M$8,0),LayTable[[Bookmaker]:[Bookmaker]],$A47)+SUMIFS(BetTable[[AR_per_bookie]:[AR_per_bookie]],BetTable[[B1]:[B1]],$A47,BetTable[[Date]:[Date]], "&gt;="&amp;M$8,BetTable[[Date]:[Date]],"&lt;="&amp;EOMONTH(M$8,0))+SUMIFS(BetTable[[AR_per_bookie]:[AR_per_bookie]],BetTable[[B2]:[B2]],$A47,BetTable[[Date]:[Date]], "&gt;="&amp;M$8,BetTable[[Date]:[Date]],"&lt;="&amp;EOMONTH(M$8,0))+SUMIFS(BetTable[[AR_per_bookie]:[AR_per_bookie]],BetTable[[B3]:[B3]],$A47,BetTable[[Date]:[Date]], "&gt;="&amp;M$8,BetTable[[Date]:[Date]],"&lt;="&amp;EOMONTH(M$8,0))</f>
        <v>0</v>
      </c>
      <c r="N47" s="126">
        <f>SUMIFS(DWbonus[[Sum]:[Sum]],DWbonus[[Dato]:[Dato]], "&gt;="&amp;N$8,DWbonus[[Dato]:[Dato]],"&lt;="&amp;EOMONTH(N$8,0),DWbonus[[Bookie]:[Bookie]],$A47)+SUMIFS(LayTable[[Faktisk res]:[Faktisk res]],LayTable[[Dato]:[Dato]],"&gt;="&amp;N$8,LayTable[[Dato]:[Dato]],"&lt;="&amp;EOMONTH(N$8,0),LayTable[[Bookmaker]:[Bookmaker]],$A47)+SUMIFS(BetTable[[AR_per_bookie]:[AR_per_bookie]],BetTable[[B1]:[B1]],$A47,BetTable[[Date]:[Date]], "&gt;="&amp;N$8,BetTable[[Date]:[Date]],"&lt;="&amp;EOMONTH(N$8,0))+SUMIFS(BetTable[[AR_per_bookie]:[AR_per_bookie]],BetTable[[B2]:[B2]],$A47,BetTable[[Date]:[Date]], "&gt;="&amp;N$8,BetTable[[Date]:[Date]],"&lt;="&amp;EOMONTH(N$8,0))+SUMIFS(BetTable[[AR_per_bookie]:[AR_per_bookie]],BetTable[[B3]:[B3]],$A47,BetTable[[Date]:[Date]], "&gt;="&amp;N$8,BetTable[[Date]:[Date]],"&lt;="&amp;EOMONTH(N$8,0))</f>
        <v>0</v>
      </c>
      <c r="O47" s="126">
        <f>SUMIFS(DWbonus[[Sum]:[Sum]],DWbonus[[Dato]:[Dato]], "&gt;="&amp;O$8,DWbonus[[Dato]:[Dato]],"&lt;="&amp;EOMONTH(O$8,0),DWbonus[[Bookie]:[Bookie]],$A47)+SUMIFS(LayTable[[Faktisk res]:[Faktisk res]],LayTable[[Dato]:[Dato]],"&gt;="&amp;O$8,LayTable[[Dato]:[Dato]],"&lt;="&amp;EOMONTH(O$8,0),LayTable[[Bookmaker]:[Bookmaker]],$A47)+SUMIFS(BetTable[[AR_per_bookie]:[AR_per_bookie]],BetTable[[B1]:[B1]],$A47,BetTable[[Date]:[Date]], "&gt;="&amp;O$8,BetTable[[Date]:[Date]],"&lt;="&amp;EOMONTH(O$8,0))+SUMIFS(BetTable[[AR_per_bookie]:[AR_per_bookie]],BetTable[[B2]:[B2]],$A47,BetTable[[Date]:[Date]], "&gt;="&amp;O$8,BetTable[[Date]:[Date]],"&lt;="&amp;EOMONTH(O$8,0))+SUMIFS(BetTable[[AR_per_bookie]:[AR_per_bookie]],BetTable[[B3]:[B3]],$A47,BetTable[[Date]:[Date]], "&gt;="&amp;O$8,BetTable[[Date]:[Date]],"&lt;="&amp;EOMONTH(O$8,0))</f>
        <v>0</v>
      </c>
      <c r="P47" s="126">
        <f>SUMIFS(DWbonus[[Sum]:[Sum]],DWbonus[[Dato]:[Dato]], "&gt;="&amp;P$8,DWbonus[[Dato]:[Dato]],"&lt;="&amp;EOMONTH(P$8,0),DWbonus[[Bookie]:[Bookie]],$A47)+SUMIFS(LayTable[[Faktisk res]:[Faktisk res]],LayTable[[Dato]:[Dato]],"&gt;="&amp;P$8,LayTable[[Dato]:[Dato]],"&lt;="&amp;EOMONTH(P$8,0),LayTable[[Bookmaker]:[Bookmaker]],$A47)+SUMIFS(BetTable[[AR_per_bookie]:[AR_per_bookie]],BetTable[[B1]:[B1]],$A47,BetTable[[Date]:[Date]], "&gt;="&amp;P$8,BetTable[[Date]:[Date]],"&lt;="&amp;EOMONTH(P$8,0))+SUMIFS(BetTable[[AR_per_bookie]:[AR_per_bookie]],BetTable[[B2]:[B2]],$A47,BetTable[[Date]:[Date]], "&gt;="&amp;P$8,BetTable[[Date]:[Date]],"&lt;="&amp;EOMONTH(P$8,0))+SUMIFS(BetTable[[AR_per_bookie]:[AR_per_bookie]],BetTable[[B3]:[B3]],$A47,BetTable[[Date]:[Date]], "&gt;="&amp;P$8,BetTable[[Date]:[Date]],"&lt;="&amp;EOMONTH(P$8,0))</f>
        <v>0</v>
      </c>
      <c r="Q47" s="126">
        <f>SUMIFS(DWbonus[[Sum]:[Sum]],DWbonus[[Dato]:[Dato]], "&gt;="&amp;Q$8,DWbonus[[Dato]:[Dato]],"&lt;="&amp;EOMONTH(Q$8,0),DWbonus[[Bookie]:[Bookie]],$A47)+SUMIFS(LayTable[[Faktisk res]:[Faktisk res]],LayTable[[Dato]:[Dato]],"&gt;="&amp;Q$8,LayTable[[Dato]:[Dato]],"&lt;="&amp;EOMONTH(Q$8,0),LayTable[[Bookmaker]:[Bookmaker]],$A47)+SUMIFS(BetTable[[AR_per_bookie]:[AR_per_bookie]],BetTable[[B1]:[B1]],$A47,BetTable[[Date]:[Date]], "&gt;="&amp;Q$8,BetTable[[Date]:[Date]],"&lt;="&amp;EOMONTH(Q$8,0))+SUMIFS(BetTable[[AR_per_bookie]:[AR_per_bookie]],BetTable[[B2]:[B2]],$A47,BetTable[[Date]:[Date]], "&gt;="&amp;Q$8,BetTable[[Date]:[Date]],"&lt;="&amp;EOMONTH(Q$8,0))+SUMIFS(BetTable[[AR_per_bookie]:[AR_per_bookie]],BetTable[[B3]:[B3]],$A47,BetTable[[Date]:[Date]], "&gt;="&amp;Q$8,BetTable[[Date]:[Date]],"&lt;="&amp;EOMONTH(Q$8,0))</f>
        <v>0</v>
      </c>
      <c r="R47" s="126">
        <f>SUMIFS(DWbonus[[Sum]:[Sum]],DWbonus[[Dato]:[Dato]], "&gt;="&amp;R$8,DWbonus[[Dato]:[Dato]],"&lt;="&amp;EOMONTH(R$8,0),DWbonus[[Bookie]:[Bookie]],$A47)+SUMIFS(LayTable[[Faktisk res]:[Faktisk res]],LayTable[[Dato]:[Dato]],"&gt;="&amp;R$8,LayTable[[Dato]:[Dato]],"&lt;="&amp;EOMONTH(R$8,0),LayTable[[Bookmaker]:[Bookmaker]],$A47)+SUMIFS(BetTable[[AR_per_bookie]:[AR_per_bookie]],BetTable[[B1]:[B1]],$A47,BetTable[[Date]:[Date]], "&gt;="&amp;R$8,BetTable[[Date]:[Date]],"&lt;="&amp;EOMONTH(R$8,0))+SUMIFS(BetTable[[AR_per_bookie]:[AR_per_bookie]],BetTable[[B2]:[B2]],$A47,BetTable[[Date]:[Date]], "&gt;="&amp;R$8,BetTable[[Date]:[Date]],"&lt;="&amp;EOMONTH(R$8,0))+SUMIFS(BetTable[[AR_per_bookie]:[AR_per_bookie]],BetTable[[B3]:[B3]],$A47,BetTable[[Date]:[Date]], "&gt;="&amp;R$8,BetTable[[Date]:[Date]],"&lt;="&amp;EOMONTH(R$8,0))</f>
        <v>0</v>
      </c>
      <c r="S47" s="126">
        <f>SUMIFS(DWbonus[[Sum]:[Sum]],DWbonus[[Dato]:[Dato]], "&gt;="&amp;S$8,DWbonus[[Dato]:[Dato]],"&lt;="&amp;EOMONTH(S$8,0),DWbonus[[Bookie]:[Bookie]],$A47)+SUMIFS(LayTable[[Faktisk res]:[Faktisk res]],LayTable[[Dato]:[Dato]],"&gt;="&amp;S$8,LayTable[[Dato]:[Dato]],"&lt;="&amp;EOMONTH(S$8,0),LayTable[[Bookmaker]:[Bookmaker]],$A47)+SUMIFS(BetTable[[AR_per_bookie]:[AR_per_bookie]],BetTable[[B1]:[B1]],$A47,BetTable[[Date]:[Date]], "&gt;="&amp;S$8,BetTable[[Date]:[Date]],"&lt;="&amp;EOMONTH(S$8,0))+SUMIFS(BetTable[[AR_per_bookie]:[AR_per_bookie]],BetTable[[B2]:[B2]],$A47,BetTable[[Date]:[Date]], "&gt;="&amp;S$8,BetTable[[Date]:[Date]],"&lt;="&amp;EOMONTH(S$8,0))+SUMIFS(BetTable[[AR_per_bookie]:[AR_per_bookie]],BetTable[[B3]:[B3]],$A47,BetTable[[Date]:[Date]], "&gt;="&amp;S$8,BetTable[[Date]:[Date]],"&lt;="&amp;EOMONTH(S$8,0))</f>
        <v>0</v>
      </c>
    </row>
    <row r="48" spans="1:19">
      <c r="A48" s="115" t="str">
        <f>BookieNavn!I40</f>
        <v>NetBet</v>
      </c>
      <c r="B48" s="126">
        <f>SUMIF(Penger!D$1:D$50072,A48,Penger!F$1:F$50072)</f>
        <v>0</v>
      </c>
      <c r="C48" s="126">
        <f>SUMIF(Penger!T$1:T$50072,A48,Penger!U$1:U$50072)</f>
        <v>0</v>
      </c>
      <c r="D48" s="126">
        <f ca="1">SUMIF(Spill!C$1:C$499895,A48,Spill!T$1:T$49895)+C48</f>
        <v>0</v>
      </c>
      <c r="E48" s="126">
        <f>SUMIF(Spill!C$1:C$49895,A48,Spill!T$1:T$49895)</f>
        <v>0</v>
      </c>
      <c r="F48" s="121" t="e">
        <f t="shared" ca="1" si="1"/>
        <v>#DIV/0!</v>
      </c>
      <c r="H48" s="126">
        <f>SUMIFS(DWbonus[[Sum]:[Sum]],DWbonus[[Dato]:[Dato]], "&gt;="&amp;H$8,DWbonus[[Dato]:[Dato]],"&lt;="&amp;EOMONTH(H$8,0),DWbonus[[Bookie]:[Bookie]],$A48)+SUMIFS(LayTable[[Faktisk res]:[Faktisk res]],LayTable[[Dato]:[Dato]],"&gt;="&amp;H$8,LayTable[[Dato]:[Dato]],"&lt;="&amp;EOMONTH(H$8,0),LayTable[[Bookmaker]:[Bookmaker]],$A48)+SUMIFS(BetTable[[AR_per_bookie]:[AR_per_bookie]],BetTable[[B1]:[B1]],$A48,BetTable[[Date]:[Date]], "&gt;="&amp;H$8,BetTable[[Date]:[Date]],"&lt;="&amp;EOMONTH(H$8,0))+SUMIFS(BetTable[[AR_per_bookie]:[AR_per_bookie]],BetTable[[B2]:[B2]],$A48,BetTable[[Date]:[Date]], "&gt;="&amp;H$8,BetTable[[Date]:[Date]],"&lt;="&amp;EOMONTH(H$8,0))+SUMIFS(BetTable[[AR_per_bookie]:[AR_per_bookie]],BetTable[[B3]:[B3]],$A48,BetTable[[Date]:[Date]], "&gt;="&amp;H$8,BetTable[[Date]:[Date]],"&lt;="&amp;EOMONTH(H$8,0))</f>
        <v>0</v>
      </c>
      <c r="I48" s="126">
        <f>SUMIFS(DWbonus[[Sum]:[Sum]],DWbonus[[Dato]:[Dato]], "&gt;="&amp;I$8,DWbonus[[Dato]:[Dato]],"&lt;="&amp;EOMONTH(I$8,0),DWbonus[[Bookie]:[Bookie]],$A48)+SUMIFS(LayTable[[Faktisk res]:[Faktisk res]],LayTable[[Dato]:[Dato]],"&gt;="&amp;I$8,LayTable[[Dato]:[Dato]],"&lt;="&amp;EOMONTH(I$8,0),LayTable[[Bookmaker]:[Bookmaker]],$A48)+SUMIFS(BetTable[[AR_per_bookie]:[AR_per_bookie]],BetTable[[B1]:[B1]],$A48,BetTable[[Date]:[Date]], "&gt;="&amp;I$8,BetTable[[Date]:[Date]],"&lt;="&amp;EOMONTH(I$8,0))+SUMIFS(BetTable[[AR_per_bookie]:[AR_per_bookie]],BetTable[[B2]:[B2]],$A48,BetTable[[Date]:[Date]], "&gt;="&amp;I$8,BetTable[[Date]:[Date]],"&lt;="&amp;EOMONTH(I$8,0))+SUMIFS(BetTable[[AR_per_bookie]:[AR_per_bookie]],BetTable[[B3]:[B3]],$A48,BetTable[[Date]:[Date]], "&gt;="&amp;I$8,BetTable[[Date]:[Date]],"&lt;="&amp;EOMONTH(I$8,0))</f>
        <v>0</v>
      </c>
      <c r="J48" s="126">
        <f>SUMIFS(DWbonus[[Sum]:[Sum]],DWbonus[[Dato]:[Dato]], "&gt;="&amp;J$8,DWbonus[[Dato]:[Dato]],"&lt;="&amp;EOMONTH(J$8,0),DWbonus[[Bookie]:[Bookie]],$A48)+SUMIFS(LayTable[[Faktisk res]:[Faktisk res]],LayTable[[Dato]:[Dato]],"&gt;="&amp;J$8,LayTable[[Dato]:[Dato]],"&lt;="&amp;EOMONTH(J$8,0),LayTable[[Bookmaker]:[Bookmaker]],$A48)+SUMIFS(BetTable[[AR_per_bookie]:[AR_per_bookie]],BetTable[[B1]:[B1]],$A48,BetTable[[Date]:[Date]], "&gt;="&amp;J$8,BetTable[[Date]:[Date]],"&lt;="&amp;EOMONTH(J$8,0))+SUMIFS(BetTable[[AR_per_bookie]:[AR_per_bookie]],BetTable[[B2]:[B2]],$A48,BetTable[[Date]:[Date]], "&gt;="&amp;J$8,BetTable[[Date]:[Date]],"&lt;="&amp;EOMONTH(J$8,0))+SUMIFS(BetTable[[AR_per_bookie]:[AR_per_bookie]],BetTable[[B3]:[B3]],$A48,BetTable[[Date]:[Date]], "&gt;="&amp;J$8,BetTable[[Date]:[Date]],"&lt;="&amp;EOMONTH(J$8,0))</f>
        <v>0</v>
      </c>
      <c r="K48" s="126">
        <f>SUMIFS(DWbonus[[Sum]:[Sum]],DWbonus[[Dato]:[Dato]], "&gt;="&amp;K$8,DWbonus[[Dato]:[Dato]],"&lt;="&amp;EOMONTH(K$8,0),DWbonus[[Bookie]:[Bookie]],$A48)+SUMIFS(LayTable[[Faktisk res]:[Faktisk res]],LayTable[[Dato]:[Dato]],"&gt;="&amp;K$8,LayTable[[Dato]:[Dato]],"&lt;="&amp;EOMONTH(K$8,0),LayTable[[Bookmaker]:[Bookmaker]],$A48)+SUMIFS(BetTable[[AR_per_bookie]:[AR_per_bookie]],BetTable[[B1]:[B1]],$A48,BetTable[[Date]:[Date]], "&gt;="&amp;K$8,BetTable[[Date]:[Date]],"&lt;="&amp;EOMONTH(K$8,0))+SUMIFS(BetTable[[AR_per_bookie]:[AR_per_bookie]],BetTable[[B2]:[B2]],$A48,BetTable[[Date]:[Date]], "&gt;="&amp;K$8,BetTable[[Date]:[Date]],"&lt;="&amp;EOMONTH(K$8,0))+SUMIFS(BetTable[[AR_per_bookie]:[AR_per_bookie]],BetTable[[B3]:[B3]],$A48,BetTable[[Date]:[Date]], "&gt;="&amp;K$8,BetTable[[Date]:[Date]],"&lt;="&amp;EOMONTH(K$8,0))</f>
        <v>0</v>
      </c>
      <c r="L48" s="126">
        <f>SUMIFS(DWbonus[[Sum]:[Sum]],DWbonus[[Dato]:[Dato]], "&gt;="&amp;L$8,DWbonus[[Dato]:[Dato]],"&lt;="&amp;EOMONTH(L$8,0),DWbonus[[Bookie]:[Bookie]],$A48)+SUMIFS(LayTable[[Faktisk res]:[Faktisk res]],LayTable[[Dato]:[Dato]],"&gt;="&amp;L$8,LayTable[[Dato]:[Dato]],"&lt;="&amp;EOMONTH(L$8,0),LayTable[[Bookmaker]:[Bookmaker]],$A48)+SUMIFS(BetTable[[AR_per_bookie]:[AR_per_bookie]],BetTable[[B1]:[B1]],$A48,BetTable[[Date]:[Date]], "&gt;="&amp;L$8,BetTable[[Date]:[Date]],"&lt;="&amp;EOMONTH(L$8,0))+SUMIFS(BetTable[[AR_per_bookie]:[AR_per_bookie]],BetTable[[B2]:[B2]],$A48,BetTable[[Date]:[Date]], "&gt;="&amp;L$8,BetTable[[Date]:[Date]],"&lt;="&amp;EOMONTH(L$8,0))+SUMIFS(BetTable[[AR_per_bookie]:[AR_per_bookie]],BetTable[[B3]:[B3]],$A48,BetTable[[Date]:[Date]], "&gt;="&amp;L$8,BetTable[[Date]:[Date]],"&lt;="&amp;EOMONTH(L$8,0))</f>
        <v>0</v>
      </c>
      <c r="M48" s="126">
        <f>SUMIFS(DWbonus[[Sum]:[Sum]],DWbonus[[Dato]:[Dato]], "&gt;="&amp;M$8,DWbonus[[Dato]:[Dato]],"&lt;="&amp;EOMONTH(M$8,0),DWbonus[[Bookie]:[Bookie]],$A48)+SUMIFS(LayTable[[Faktisk res]:[Faktisk res]],LayTable[[Dato]:[Dato]],"&gt;="&amp;M$8,LayTable[[Dato]:[Dato]],"&lt;="&amp;EOMONTH(M$8,0),LayTable[[Bookmaker]:[Bookmaker]],$A48)+SUMIFS(BetTable[[AR_per_bookie]:[AR_per_bookie]],BetTable[[B1]:[B1]],$A48,BetTable[[Date]:[Date]], "&gt;="&amp;M$8,BetTable[[Date]:[Date]],"&lt;="&amp;EOMONTH(M$8,0))+SUMIFS(BetTable[[AR_per_bookie]:[AR_per_bookie]],BetTable[[B2]:[B2]],$A48,BetTable[[Date]:[Date]], "&gt;="&amp;M$8,BetTable[[Date]:[Date]],"&lt;="&amp;EOMONTH(M$8,0))+SUMIFS(BetTable[[AR_per_bookie]:[AR_per_bookie]],BetTable[[B3]:[B3]],$A48,BetTable[[Date]:[Date]], "&gt;="&amp;M$8,BetTable[[Date]:[Date]],"&lt;="&amp;EOMONTH(M$8,0))</f>
        <v>0</v>
      </c>
      <c r="N48" s="126">
        <f>SUMIFS(DWbonus[[Sum]:[Sum]],DWbonus[[Dato]:[Dato]], "&gt;="&amp;N$8,DWbonus[[Dato]:[Dato]],"&lt;="&amp;EOMONTH(N$8,0),DWbonus[[Bookie]:[Bookie]],$A48)+SUMIFS(LayTable[[Faktisk res]:[Faktisk res]],LayTable[[Dato]:[Dato]],"&gt;="&amp;N$8,LayTable[[Dato]:[Dato]],"&lt;="&amp;EOMONTH(N$8,0),LayTable[[Bookmaker]:[Bookmaker]],$A48)+SUMIFS(BetTable[[AR_per_bookie]:[AR_per_bookie]],BetTable[[B1]:[B1]],$A48,BetTable[[Date]:[Date]], "&gt;="&amp;N$8,BetTable[[Date]:[Date]],"&lt;="&amp;EOMONTH(N$8,0))+SUMIFS(BetTable[[AR_per_bookie]:[AR_per_bookie]],BetTable[[B2]:[B2]],$A48,BetTable[[Date]:[Date]], "&gt;="&amp;N$8,BetTable[[Date]:[Date]],"&lt;="&amp;EOMONTH(N$8,0))+SUMIFS(BetTable[[AR_per_bookie]:[AR_per_bookie]],BetTable[[B3]:[B3]],$A48,BetTable[[Date]:[Date]], "&gt;="&amp;N$8,BetTable[[Date]:[Date]],"&lt;="&amp;EOMONTH(N$8,0))</f>
        <v>0</v>
      </c>
      <c r="O48" s="126">
        <f>SUMIFS(DWbonus[[Sum]:[Sum]],DWbonus[[Dato]:[Dato]], "&gt;="&amp;O$8,DWbonus[[Dato]:[Dato]],"&lt;="&amp;EOMONTH(O$8,0),DWbonus[[Bookie]:[Bookie]],$A48)+SUMIFS(LayTable[[Faktisk res]:[Faktisk res]],LayTable[[Dato]:[Dato]],"&gt;="&amp;O$8,LayTable[[Dato]:[Dato]],"&lt;="&amp;EOMONTH(O$8,0),LayTable[[Bookmaker]:[Bookmaker]],$A48)+SUMIFS(BetTable[[AR_per_bookie]:[AR_per_bookie]],BetTable[[B1]:[B1]],$A48,BetTable[[Date]:[Date]], "&gt;="&amp;O$8,BetTable[[Date]:[Date]],"&lt;="&amp;EOMONTH(O$8,0))+SUMIFS(BetTable[[AR_per_bookie]:[AR_per_bookie]],BetTable[[B2]:[B2]],$A48,BetTable[[Date]:[Date]], "&gt;="&amp;O$8,BetTable[[Date]:[Date]],"&lt;="&amp;EOMONTH(O$8,0))+SUMIFS(BetTable[[AR_per_bookie]:[AR_per_bookie]],BetTable[[B3]:[B3]],$A48,BetTable[[Date]:[Date]], "&gt;="&amp;O$8,BetTable[[Date]:[Date]],"&lt;="&amp;EOMONTH(O$8,0))</f>
        <v>0</v>
      </c>
      <c r="P48" s="126">
        <f>SUMIFS(DWbonus[[Sum]:[Sum]],DWbonus[[Dato]:[Dato]], "&gt;="&amp;P$8,DWbonus[[Dato]:[Dato]],"&lt;="&amp;EOMONTH(P$8,0),DWbonus[[Bookie]:[Bookie]],$A48)+SUMIFS(LayTable[[Faktisk res]:[Faktisk res]],LayTable[[Dato]:[Dato]],"&gt;="&amp;P$8,LayTable[[Dato]:[Dato]],"&lt;="&amp;EOMONTH(P$8,0),LayTable[[Bookmaker]:[Bookmaker]],$A48)+SUMIFS(BetTable[[AR_per_bookie]:[AR_per_bookie]],BetTable[[B1]:[B1]],$A48,BetTable[[Date]:[Date]], "&gt;="&amp;P$8,BetTable[[Date]:[Date]],"&lt;="&amp;EOMONTH(P$8,0))+SUMIFS(BetTable[[AR_per_bookie]:[AR_per_bookie]],BetTable[[B2]:[B2]],$A48,BetTable[[Date]:[Date]], "&gt;="&amp;P$8,BetTable[[Date]:[Date]],"&lt;="&amp;EOMONTH(P$8,0))+SUMIFS(BetTable[[AR_per_bookie]:[AR_per_bookie]],BetTable[[B3]:[B3]],$A48,BetTable[[Date]:[Date]], "&gt;="&amp;P$8,BetTable[[Date]:[Date]],"&lt;="&amp;EOMONTH(P$8,0))</f>
        <v>0</v>
      </c>
      <c r="Q48" s="126">
        <f>SUMIFS(DWbonus[[Sum]:[Sum]],DWbonus[[Dato]:[Dato]], "&gt;="&amp;Q$8,DWbonus[[Dato]:[Dato]],"&lt;="&amp;EOMONTH(Q$8,0),DWbonus[[Bookie]:[Bookie]],$A48)+SUMIFS(LayTable[[Faktisk res]:[Faktisk res]],LayTable[[Dato]:[Dato]],"&gt;="&amp;Q$8,LayTable[[Dato]:[Dato]],"&lt;="&amp;EOMONTH(Q$8,0),LayTable[[Bookmaker]:[Bookmaker]],$A48)+SUMIFS(BetTable[[AR_per_bookie]:[AR_per_bookie]],BetTable[[B1]:[B1]],$A48,BetTable[[Date]:[Date]], "&gt;="&amp;Q$8,BetTable[[Date]:[Date]],"&lt;="&amp;EOMONTH(Q$8,0))+SUMIFS(BetTable[[AR_per_bookie]:[AR_per_bookie]],BetTable[[B2]:[B2]],$A48,BetTable[[Date]:[Date]], "&gt;="&amp;Q$8,BetTable[[Date]:[Date]],"&lt;="&amp;EOMONTH(Q$8,0))+SUMIFS(BetTable[[AR_per_bookie]:[AR_per_bookie]],BetTable[[B3]:[B3]],$A48,BetTable[[Date]:[Date]], "&gt;="&amp;Q$8,BetTable[[Date]:[Date]],"&lt;="&amp;EOMONTH(Q$8,0))</f>
        <v>0</v>
      </c>
      <c r="R48" s="126">
        <f>SUMIFS(DWbonus[[Sum]:[Sum]],DWbonus[[Dato]:[Dato]], "&gt;="&amp;R$8,DWbonus[[Dato]:[Dato]],"&lt;="&amp;EOMONTH(R$8,0),DWbonus[[Bookie]:[Bookie]],$A48)+SUMIFS(LayTable[[Faktisk res]:[Faktisk res]],LayTable[[Dato]:[Dato]],"&gt;="&amp;R$8,LayTable[[Dato]:[Dato]],"&lt;="&amp;EOMONTH(R$8,0),LayTable[[Bookmaker]:[Bookmaker]],$A48)+SUMIFS(BetTable[[AR_per_bookie]:[AR_per_bookie]],BetTable[[B1]:[B1]],$A48,BetTable[[Date]:[Date]], "&gt;="&amp;R$8,BetTable[[Date]:[Date]],"&lt;="&amp;EOMONTH(R$8,0))+SUMIFS(BetTable[[AR_per_bookie]:[AR_per_bookie]],BetTable[[B2]:[B2]],$A48,BetTable[[Date]:[Date]], "&gt;="&amp;R$8,BetTable[[Date]:[Date]],"&lt;="&amp;EOMONTH(R$8,0))+SUMIFS(BetTable[[AR_per_bookie]:[AR_per_bookie]],BetTable[[B3]:[B3]],$A48,BetTable[[Date]:[Date]], "&gt;="&amp;R$8,BetTable[[Date]:[Date]],"&lt;="&amp;EOMONTH(R$8,0))</f>
        <v>0</v>
      </c>
      <c r="S48" s="126">
        <f>SUMIFS(DWbonus[[Sum]:[Sum]],DWbonus[[Dato]:[Dato]], "&gt;="&amp;S$8,DWbonus[[Dato]:[Dato]],"&lt;="&amp;EOMONTH(S$8,0),DWbonus[[Bookie]:[Bookie]],$A48)+SUMIFS(LayTable[[Faktisk res]:[Faktisk res]],LayTable[[Dato]:[Dato]],"&gt;="&amp;S$8,LayTable[[Dato]:[Dato]],"&lt;="&amp;EOMONTH(S$8,0),LayTable[[Bookmaker]:[Bookmaker]],$A48)+SUMIFS(BetTable[[AR_per_bookie]:[AR_per_bookie]],BetTable[[B1]:[B1]],$A48,BetTable[[Date]:[Date]], "&gt;="&amp;S$8,BetTable[[Date]:[Date]],"&lt;="&amp;EOMONTH(S$8,0))+SUMIFS(BetTable[[AR_per_bookie]:[AR_per_bookie]],BetTable[[B2]:[B2]],$A48,BetTable[[Date]:[Date]], "&gt;="&amp;S$8,BetTable[[Date]:[Date]],"&lt;="&amp;EOMONTH(S$8,0))+SUMIFS(BetTable[[AR_per_bookie]:[AR_per_bookie]],BetTable[[B3]:[B3]],$A48,BetTable[[Date]:[Date]], "&gt;="&amp;S$8,BetTable[[Date]:[Date]],"&lt;="&amp;EOMONTH(S$8,0))</f>
        <v>0</v>
      </c>
    </row>
    <row r="49" spans="1:19">
      <c r="A49" s="115" t="str">
        <f>BookieNavn!I41</f>
        <v>Nightrush</v>
      </c>
      <c r="B49" s="126">
        <f>SUMIF(Penger!D$1:D$50072,A49,Penger!F$1:F$50072)</f>
        <v>0</v>
      </c>
      <c r="C49" s="126">
        <f>SUMIF(Penger!T$1:T$50072,A49,Penger!U$1:U$50072)</f>
        <v>0</v>
      </c>
      <c r="D49" s="126">
        <f ca="1">SUMIF(Spill!C$1:C$499895,A49,Spill!T$1:T$49895)+C49</f>
        <v>0</v>
      </c>
      <c r="E49" s="126">
        <f>SUMIF(Spill!C$1:C$49895,A49,Spill!T$1:T$49895)</f>
        <v>0</v>
      </c>
      <c r="F49" s="121" t="e">
        <f t="shared" ca="1" si="1"/>
        <v>#DIV/0!</v>
      </c>
      <c r="H49" s="126">
        <f>SUMIFS(DWbonus[[Sum]:[Sum]],DWbonus[[Dato]:[Dato]], "&gt;="&amp;H$8,DWbonus[[Dato]:[Dato]],"&lt;="&amp;EOMONTH(H$8,0),DWbonus[[Bookie]:[Bookie]],$A49)+SUMIFS(LayTable[[Faktisk res]:[Faktisk res]],LayTable[[Dato]:[Dato]],"&gt;="&amp;H$8,LayTable[[Dato]:[Dato]],"&lt;="&amp;EOMONTH(H$8,0),LayTable[[Bookmaker]:[Bookmaker]],$A49)+SUMIFS(BetTable[[AR_per_bookie]:[AR_per_bookie]],BetTable[[B1]:[B1]],$A49,BetTable[[Date]:[Date]], "&gt;="&amp;H$8,BetTable[[Date]:[Date]],"&lt;="&amp;EOMONTH(H$8,0))+SUMIFS(BetTable[[AR_per_bookie]:[AR_per_bookie]],BetTable[[B2]:[B2]],$A49,BetTable[[Date]:[Date]], "&gt;="&amp;H$8,BetTable[[Date]:[Date]],"&lt;="&amp;EOMONTH(H$8,0))+SUMIFS(BetTable[[AR_per_bookie]:[AR_per_bookie]],BetTable[[B3]:[B3]],$A49,BetTable[[Date]:[Date]], "&gt;="&amp;H$8,BetTable[[Date]:[Date]],"&lt;="&amp;EOMONTH(H$8,0))</f>
        <v>0</v>
      </c>
      <c r="I49" s="126">
        <f>SUMIFS(DWbonus[[Sum]:[Sum]],DWbonus[[Dato]:[Dato]], "&gt;="&amp;I$8,DWbonus[[Dato]:[Dato]],"&lt;="&amp;EOMONTH(I$8,0),DWbonus[[Bookie]:[Bookie]],$A49)+SUMIFS(LayTable[[Faktisk res]:[Faktisk res]],LayTable[[Dato]:[Dato]],"&gt;="&amp;I$8,LayTable[[Dato]:[Dato]],"&lt;="&amp;EOMONTH(I$8,0),LayTable[[Bookmaker]:[Bookmaker]],$A49)+SUMIFS(BetTable[[AR_per_bookie]:[AR_per_bookie]],BetTable[[B1]:[B1]],$A49,BetTable[[Date]:[Date]], "&gt;="&amp;I$8,BetTable[[Date]:[Date]],"&lt;="&amp;EOMONTH(I$8,0))+SUMIFS(BetTable[[AR_per_bookie]:[AR_per_bookie]],BetTable[[B2]:[B2]],$A49,BetTable[[Date]:[Date]], "&gt;="&amp;I$8,BetTable[[Date]:[Date]],"&lt;="&amp;EOMONTH(I$8,0))+SUMIFS(BetTable[[AR_per_bookie]:[AR_per_bookie]],BetTable[[B3]:[B3]],$A49,BetTable[[Date]:[Date]], "&gt;="&amp;I$8,BetTable[[Date]:[Date]],"&lt;="&amp;EOMONTH(I$8,0))</f>
        <v>0</v>
      </c>
      <c r="J49" s="126">
        <f>SUMIFS(DWbonus[[Sum]:[Sum]],DWbonus[[Dato]:[Dato]], "&gt;="&amp;J$8,DWbonus[[Dato]:[Dato]],"&lt;="&amp;EOMONTH(J$8,0),DWbonus[[Bookie]:[Bookie]],$A49)+SUMIFS(LayTable[[Faktisk res]:[Faktisk res]],LayTable[[Dato]:[Dato]],"&gt;="&amp;J$8,LayTable[[Dato]:[Dato]],"&lt;="&amp;EOMONTH(J$8,0),LayTable[[Bookmaker]:[Bookmaker]],$A49)+SUMIFS(BetTable[[AR_per_bookie]:[AR_per_bookie]],BetTable[[B1]:[B1]],$A49,BetTable[[Date]:[Date]], "&gt;="&amp;J$8,BetTable[[Date]:[Date]],"&lt;="&amp;EOMONTH(J$8,0))+SUMIFS(BetTable[[AR_per_bookie]:[AR_per_bookie]],BetTable[[B2]:[B2]],$A49,BetTable[[Date]:[Date]], "&gt;="&amp;J$8,BetTable[[Date]:[Date]],"&lt;="&amp;EOMONTH(J$8,0))+SUMIFS(BetTable[[AR_per_bookie]:[AR_per_bookie]],BetTable[[B3]:[B3]],$A49,BetTable[[Date]:[Date]], "&gt;="&amp;J$8,BetTable[[Date]:[Date]],"&lt;="&amp;EOMONTH(J$8,0))</f>
        <v>0</v>
      </c>
      <c r="K49" s="126">
        <f>SUMIFS(DWbonus[[Sum]:[Sum]],DWbonus[[Dato]:[Dato]], "&gt;="&amp;K$8,DWbonus[[Dato]:[Dato]],"&lt;="&amp;EOMONTH(K$8,0),DWbonus[[Bookie]:[Bookie]],$A49)+SUMIFS(LayTable[[Faktisk res]:[Faktisk res]],LayTable[[Dato]:[Dato]],"&gt;="&amp;K$8,LayTable[[Dato]:[Dato]],"&lt;="&amp;EOMONTH(K$8,0),LayTable[[Bookmaker]:[Bookmaker]],$A49)+SUMIFS(BetTable[[AR_per_bookie]:[AR_per_bookie]],BetTable[[B1]:[B1]],$A49,BetTable[[Date]:[Date]], "&gt;="&amp;K$8,BetTable[[Date]:[Date]],"&lt;="&amp;EOMONTH(K$8,0))+SUMIFS(BetTable[[AR_per_bookie]:[AR_per_bookie]],BetTable[[B2]:[B2]],$A49,BetTable[[Date]:[Date]], "&gt;="&amp;K$8,BetTable[[Date]:[Date]],"&lt;="&amp;EOMONTH(K$8,0))+SUMIFS(BetTable[[AR_per_bookie]:[AR_per_bookie]],BetTable[[B3]:[B3]],$A49,BetTable[[Date]:[Date]], "&gt;="&amp;K$8,BetTable[[Date]:[Date]],"&lt;="&amp;EOMONTH(K$8,0))</f>
        <v>0</v>
      </c>
      <c r="L49" s="126">
        <f>SUMIFS(DWbonus[[Sum]:[Sum]],DWbonus[[Dato]:[Dato]], "&gt;="&amp;L$8,DWbonus[[Dato]:[Dato]],"&lt;="&amp;EOMONTH(L$8,0),DWbonus[[Bookie]:[Bookie]],$A49)+SUMIFS(LayTable[[Faktisk res]:[Faktisk res]],LayTable[[Dato]:[Dato]],"&gt;="&amp;L$8,LayTable[[Dato]:[Dato]],"&lt;="&amp;EOMONTH(L$8,0),LayTable[[Bookmaker]:[Bookmaker]],$A49)+SUMIFS(BetTable[[AR_per_bookie]:[AR_per_bookie]],BetTable[[B1]:[B1]],$A49,BetTable[[Date]:[Date]], "&gt;="&amp;L$8,BetTable[[Date]:[Date]],"&lt;="&amp;EOMONTH(L$8,0))+SUMIFS(BetTable[[AR_per_bookie]:[AR_per_bookie]],BetTable[[B2]:[B2]],$A49,BetTable[[Date]:[Date]], "&gt;="&amp;L$8,BetTable[[Date]:[Date]],"&lt;="&amp;EOMONTH(L$8,0))+SUMIFS(BetTable[[AR_per_bookie]:[AR_per_bookie]],BetTable[[B3]:[B3]],$A49,BetTable[[Date]:[Date]], "&gt;="&amp;L$8,BetTable[[Date]:[Date]],"&lt;="&amp;EOMONTH(L$8,0))</f>
        <v>0</v>
      </c>
      <c r="M49" s="126">
        <f>SUMIFS(DWbonus[[Sum]:[Sum]],DWbonus[[Dato]:[Dato]], "&gt;="&amp;M$8,DWbonus[[Dato]:[Dato]],"&lt;="&amp;EOMONTH(M$8,0),DWbonus[[Bookie]:[Bookie]],$A49)+SUMIFS(LayTable[[Faktisk res]:[Faktisk res]],LayTable[[Dato]:[Dato]],"&gt;="&amp;M$8,LayTable[[Dato]:[Dato]],"&lt;="&amp;EOMONTH(M$8,0),LayTable[[Bookmaker]:[Bookmaker]],$A49)+SUMIFS(BetTable[[AR_per_bookie]:[AR_per_bookie]],BetTable[[B1]:[B1]],$A49,BetTable[[Date]:[Date]], "&gt;="&amp;M$8,BetTable[[Date]:[Date]],"&lt;="&amp;EOMONTH(M$8,0))+SUMIFS(BetTable[[AR_per_bookie]:[AR_per_bookie]],BetTable[[B2]:[B2]],$A49,BetTable[[Date]:[Date]], "&gt;="&amp;M$8,BetTable[[Date]:[Date]],"&lt;="&amp;EOMONTH(M$8,0))+SUMIFS(BetTable[[AR_per_bookie]:[AR_per_bookie]],BetTable[[B3]:[B3]],$A49,BetTable[[Date]:[Date]], "&gt;="&amp;M$8,BetTable[[Date]:[Date]],"&lt;="&amp;EOMONTH(M$8,0))</f>
        <v>0</v>
      </c>
      <c r="N49" s="126">
        <f>SUMIFS(DWbonus[[Sum]:[Sum]],DWbonus[[Dato]:[Dato]], "&gt;="&amp;N$8,DWbonus[[Dato]:[Dato]],"&lt;="&amp;EOMONTH(N$8,0),DWbonus[[Bookie]:[Bookie]],$A49)+SUMIFS(LayTable[[Faktisk res]:[Faktisk res]],LayTable[[Dato]:[Dato]],"&gt;="&amp;N$8,LayTable[[Dato]:[Dato]],"&lt;="&amp;EOMONTH(N$8,0),LayTable[[Bookmaker]:[Bookmaker]],$A49)+SUMIFS(BetTable[[AR_per_bookie]:[AR_per_bookie]],BetTable[[B1]:[B1]],$A49,BetTable[[Date]:[Date]], "&gt;="&amp;N$8,BetTable[[Date]:[Date]],"&lt;="&amp;EOMONTH(N$8,0))+SUMIFS(BetTable[[AR_per_bookie]:[AR_per_bookie]],BetTable[[B2]:[B2]],$A49,BetTable[[Date]:[Date]], "&gt;="&amp;N$8,BetTable[[Date]:[Date]],"&lt;="&amp;EOMONTH(N$8,0))+SUMIFS(BetTable[[AR_per_bookie]:[AR_per_bookie]],BetTable[[B3]:[B3]],$A49,BetTable[[Date]:[Date]], "&gt;="&amp;N$8,BetTable[[Date]:[Date]],"&lt;="&amp;EOMONTH(N$8,0))</f>
        <v>0</v>
      </c>
      <c r="O49" s="126">
        <f>SUMIFS(DWbonus[[Sum]:[Sum]],DWbonus[[Dato]:[Dato]], "&gt;="&amp;O$8,DWbonus[[Dato]:[Dato]],"&lt;="&amp;EOMONTH(O$8,0),DWbonus[[Bookie]:[Bookie]],$A49)+SUMIFS(LayTable[[Faktisk res]:[Faktisk res]],LayTable[[Dato]:[Dato]],"&gt;="&amp;O$8,LayTable[[Dato]:[Dato]],"&lt;="&amp;EOMONTH(O$8,0),LayTable[[Bookmaker]:[Bookmaker]],$A49)+SUMIFS(BetTable[[AR_per_bookie]:[AR_per_bookie]],BetTable[[B1]:[B1]],$A49,BetTable[[Date]:[Date]], "&gt;="&amp;O$8,BetTable[[Date]:[Date]],"&lt;="&amp;EOMONTH(O$8,0))+SUMIFS(BetTable[[AR_per_bookie]:[AR_per_bookie]],BetTable[[B2]:[B2]],$A49,BetTable[[Date]:[Date]], "&gt;="&amp;O$8,BetTable[[Date]:[Date]],"&lt;="&amp;EOMONTH(O$8,0))+SUMIFS(BetTable[[AR_per_bookie]:[AR_per_bookie]],BetTable[[B3]:[B3]],$A49,BetTable[[Date]:[Date]], "&gt;="&amp;O$8,BetTable[[Date]:[Date]],"&lt;="&amp;EOMONTH(O$8,0))</f>
        <v>0</v>
      </c>
      <c r="P49" s="126">
        <f>SUMIFS(DWbonus[[Sum]:[Sum]],DWbonus[[Dato]:[Dato]], "&gt;="&amp;P$8,DWbonus[[Dato]:[Dato]],"&lt;="&amp;EOMONTH(P$8,0),DWbonus[[Bookie]:[Bookie]],$A49)+SUMIFS(LayTable[[Faktisk res]:[Faktisk res]],LayTable[[Dato]:[Dato]],"&gt;="&amp;P$8,LayTable[[Dato]:[Dato]],"&lt;="&amp;EOMONTH(P$8,0),LayTable[[Bookmaker]:[Bookmaker]],$A49)+SUMIFS(BetTable[[AR_per_bookie]:[AR_per_bookie]],BetTable[[B1]:[B1]],$A49,BetTable[[Date]:[Date]], "&gt;="&amp;P$8,BetTable[[Date]:[Date]],"&lt;="&amp;EOMONTH(P$8,0))+SUMIFS(BetTable[[AR_per_bookie]:[AR_per_bookie]],BetTable[[B2]:[B2]],$A49,BetTable[[Date]:[Date]], "&gt;="&amp;P$8,BetTable[[Date]:[Date]],"&lt;="&amp;EOMONTH(P$8,0))+SUMIFS(BetTable[[AR_per_bookie]:[AR_per_bookie]],BetTable[[B3]:[B3]],$A49,BetTable[[Date]:[Date]], "&gt;="&amp;P$8,BetTable[[Date]:[Date]],"&lt;="&amp;EOMONTH(P$8,0))</f>
        <v>0</v>
      </c>
      <c r="Q49" s="126">
        <f>SUMIFS(DWbonus[[Sum]:[Sum]],DWbonus[[Dato]:[Dato]], "&gt;="&amp;Q$8,DWbonus[[Dato]:[Dato]],"&lt;="&amp;EOMONTH(Q$8,0),DWbonus[[Bookie]:[Bookie]],$A49)+SUMIFS(LayTable[[Faktisk res]:[Faktisk res]],LayTable[[Dato]:[Dato]],"&gt;="&amp;Q$8,LayTable[[Dato]:[Dato]],"&lt;="&amp;EOMONTH(Q$8,0),LayTable[[Bookmaker]:[Bookmaker]],$A49)+SUMIFS(BetTable[[AR_per_bookie]:[AR_per_bookie]],BetTable[[B1]:[B1]],$A49,BetTable[[Date]:[Date]], "&gt;="&amp;Q$8,BetTable[[Date]:[Date]],"&lt;="&amp;EOMONTH(Q$8,0))+SUMIFS(BetTable[[AR_per_bookie]:[AR_per_bookie]],BetTable[[B2]:[B2]],$A49,BetTable[[Date]:[Date]], "&gt;="&amp;Q$8,BetTable[[Date]:[Date]],"&lt;="&amp;EOMONTH(Q$8,0))+SUMIFS(BetTable[[AR_per_bookie]:[AR_per_bookie]],BetTable[[B3]:[B3]],$A49,BetTable[[Date]:[Date]], "&gt;="&amp;Q$8,BetTable[[Date]:[Date]],"&lt;="&amp;EOMONTH(Q$8,0))</f>
        <v>0</v>
      </c>
      <c r="R49" s="126">
        <f>SUMIFS(DWbonus[[Sum]:[Sum]],DWbonus[[Dato]:[Dato]], "&gt;="&amp;R$8,DWbonus[[Dato]:[Dato]],"&lt;="&amp;EOMONTH(R$8,0),DWbonus[[Bookie]:[Bookie]],$A49)+SUMIFS(LayTable[[Faktisk res]:[Faktisk res]],LayTable[[Dato]:[Dato]],"&gt;="&amp;R$8,LayTable[[Dato]:[Dato]],"&lt;="&amp;EOMONTH(R$8,0),LayTable[[Bookmaker]:[Bookmaker]],$A49)+SUMIFS(BetTable[[AR_per_bookie]:[AR_per_bookie]],BetTable[[B1]:[B1]],$A49,BetTable[[Date]:[Date]], "&gt;="&amp;R$8,BetTable[[Date]:[Date]],"&lt;="&amp;EOMONTH(R$8,0))+SUMIFS(BetTable[[AR_per_bookie]:[AR_per_bookie]],BetTable[[B2]:[B2]],$A49,BetTable[[Date]:[Date]], "&gt;="&amp;R$8,BetTable[[Date]:[Date]],"&lt;="&amp;EOMONTH(R$8,0))+SUMIFS(BetTable[[AR_per_bookie]:[AR_per_bookie]],BetTable[[B3]:[B3]],$A49,BetTable[[Date]:[Date]], "&gt;="&amp;R$8,BetTable[[Date]:[Date]],"&lt;="&amp;EOMONTH(R$8,0))</f>
        <v>0</v>
      </c>
      <c r="S49" s="126">
        <f>SUMIFS(DWbonus[[Sum]:[Sum]],DWbonus[[Dato]:[Dato]], "&gt;="&amp;S$8,DWbonus[[Dato]:[Dato]],"&lt;="&amp;EOMONTH(S$8,0),DWbonus[[Bookie]:[Bookie]],$A49)+SUMIFS(LayTable[[Faktisk res]:[Faktisk res]],LayTable[[Dato]:[Dato]],"&gt;="&amp;S$8,LayTable[[Dato]:[Dato]],"&lt;="&amp;EOMONTH(S$8,0),LayTable[[Bookmaker]:[Bookmaker]],$A49)+SUMIFS(BetTable[[AR_per_bookie]:[AR_per_bookie]],BetTable[[B1]:[B1]],$A49,BetTable[[Date]:[Date]], "&gt;="&amp;S$8,BetTable[[Date]:[Date]],"&lt;="&amp;EOMONTH(S$8,0))+SUMIFS(BetTable[[AR_per_bookie]:[AR_per_bookie]],BetTable[[B2]:[B2]],$A49,BetTable[[Date]:[Date]], "&gt;="&amp;S$8,BetTable[[Date]:[Date]],"&lt;="&amp;EOMONTH(S$8,0))+SUMIFS(BetTable[[AR_per_bookie]:[AR_per_bookie]],BetTable[[B3]:[B3]],$A49,BetTable[[Date]:[Date]], "&gt;="&amp;S$8,BetTable[[Date]:[Date]],"&lt;="&amp;EOMONTH(S$8,0))</f>
        <v>0</v>
      </c>
    </row>
    <row r="50" spans="1:19">
      <c r="A50" s="115" t="str">
        <f>BookieNavn!I42</f>
        <v>NNBetsson</v>
      </c>
      <c r="B50" s="126">
        <f>SUMIF(Penger!D$1:D$50072,A50,Penger!F$1:F$50072)</f>
        <v>0</v>
      </c>
      <c r="C50" s="126">
        <f>SUMIF(Penger!T$1:T$50072,A50,Penger!U$1:U$50072)</f>
        <v>0</v>
      </c>
      <c r="D50" s="126">
        <f ca="1">SUMIF(Spill!C$1:C$499895,A50,Spill!T$1:T$49895)+C50</f>
        <v>0</v>
      </c>
      <c r="E50" s="126">
        <f>SUMIF(Spill!C$1:C$49895,A50,Spill!T$1:T$49895)</f>
        <v>0</v>
      </c>
      <c r="F50" s="121" t="e">
        <f t="shared" ca="1" si="1"/>
        <v>#DIV/0!</v>
      </c>
      <c r="H50" s="126">
        <f>SUMIFS(DWbonus[[Sum]:[Sum]],DWbonus[[Dato]:[Dato]], "&gt;="&amp;H$8,DWbonus[[Dato]:[Dato]],"&lt;="&amp;EOMONTH(H$8,0),DWbonus[[Bookie]:[Bookie]],$A50)+SUMIFS(LayTable[[Faktisk res]:[Faktisk res]],LayTable[[Dato]:[Dato]],"&gt;="&amp;H$8,LayTable[[Dato]:[Dato]],"&lt;="&amp;EOMONTH(H$8,0),LayTable[[Bookmaker]:[Bookmaker]],$A50)+SUMIFS(BetTable[[AR_per_bookie]:[AR_per_bookie]],BetTable[[B1]:[B1]],$A50,BetTable[[Date]:[Date]], "&gt;="&amp;H$8,BetTable[[Date]:[Date]],"&lt;="&amp;EOMONTH(H$8,0))+SUMIFS(BetTable[[AR_per_bookie]:[AR_per_bookie]],BetTable[[B2]:[B2]],$A50,BetTable[[Date]:[Date]], "&gt;="&amp;H$8,BetTable[[Date]:[Date]],"&lt;="&amp;EOMONTH(H$8,0))+SUMIFS(BetTable[[AR_per_bookie]:[AR_per_bookie]],BetTable[[B3]:[B3]],$A50,BetTable[[Date]:[Date]], "&gt;="&amp;H$8,BetTable[[Date]:[Date]],"&lt;="&amp;EOMONTH(H$8,0))</f>
        <v>0</v>
      </c>
      <c r="I50" s="126">
        <f>SUMIFS(DWbonus[[Sum]:[Sum]],DWbonus[[Dato]:[Dato]], "&gt;="&amp;I$8,DWbonus[[Dato]:[Dato]],"&lt;="&amp;EOMONTH(I$8,0),DWbonus[[Bookie]:[Bookie]],$A50)+SUMIFS(LayTable[[Faktisk res]:[Faktisk res]],LayTable[[Dato]:[Dato]],"&gt;="&amp;I$8,LayTable[[Dato]:[Dato]],"&lt;="&amp;EOMONTH(I$8,0),LayTable[[Bookmaker]:[Bookmaker]],$A50)+SUMIFS(BetTable[[AR_per_bookie]:[AR_per_bookie]],BetTable[[B1]:[B1]],$A50,BetTable[[Date]:[Date]], "&gt;="&amp;I$8,BetTable[[Date]:[Date]],"&lt;="&amp;EOMONTH(I$8,0))+SUMIFS(BetTable[[AR_per_bookie]:[AR_per_bookie]],BetTable[[B2]:[B2]],$A50,BetTable[[Date]:[Date]], "&gt;="&amp;I$8,BetTable[[Date]:[Date]],"&lt;="&amp;EOMONTH(I$8,0))+SUMIFS(BetTable[[AR_per_bookie]:[AR_per_bookie]],BetTable[[B3]:[B3]],$A50,BetTable[[Date]:[Date]], "&gt;="&amp;I$8,BetTable[[Date]:[Date]],"&lt;="&amp;EOMONTH(I$8,0))</f>
        <v>0</v>
      </c>
      <c r="J50" s="126">
        <f>SUMIFS(DWbonus[[Sum]:[Sum]],DWbonus[[Dato]:[Dato]], "&gt;="&amp;J$8,DWbonus[[Dato]:[Dato]],"&lt;="&amp;EOMONTH(J$8,0),DWbonus[[Bookie]:[Bookie]],$A50)+SUMIFS(LayTable[[Faktisk res]:[Faktisk res]],LayTable[[Dato]:[Dato]],"&gt;="&amp;J$8,LayTable[[Dato]:[Dato]],"&lt;="&amp;EOMONTH(J$8,0),LayTable[[Bookmaker]:[Bookmaker]],$A50)+SUMIFS(BetTable[[AR_per_bookie]:[AR_per_bookie]],BetTable[[B1]:[B1]],$A50,BetTable[[Date]:[Date]], "&gt;="&amp;J$8,BetTable[[Date]:[Date]],"&lt;="&amp;EOMONTH(J$8,0))+SUMIFS(BetTable[[AR_per_bookie]:[AR_per_bookie]],BetTable[[B2]:[B2]],$A50,BetTable[[Date]:[Date]], "&gt;="&amp;J$8,BetTable[[Date]:[Date]],"&lt;="&amp;EOMONTH(J$8,0))+SUMIFS(BetTable[[AR_per_bookie]:[AR_per_bookie]],BetTable[[B3]:[B3]],$A50,BetTable[[Date]:[Date]], "&gt;="&amp;J$8,BetTable[[Date]:[Date]],"&lt;="&amp;EOMONTH(J$8,0))</f>
        <v>0</v>
      </c>
      <c r="K50" s="126">
        <f>SUMIFS(DWbonus[[Sum]:[Sum]],DWbonus[[Dato]:[Dato]], "&gt;="&amp;K$8,DWbonus[[Dato]:[Dato]],"&lt;="&amp;EOMONTH(K$8,0),DWbonus[[Bookie]:[Bookie]],$A50)+SUMIFS(LayTable[[Faktisk res]:[Faktisk res]],LayTable[[Dato]:[Dato]],"&gt;="&amp;K$8,LayTable[[Dato]:[Dato]],"&lt;="&amp;EOMONTH(K$8,0),LayTable[[Bookmaker]:[Bookmaker]],$A50)+SUMIFS(BetTable[[AR_per_bookie]:[AR_per_bookie]],BetTable[[B1]:[B1]],$A50,BetTable[[Date]:[Date]], "&gt;="&amp;K$8,BetTable[[Date]:[Date]],"&lt;="&amp;EOMONTH(K$8,0))+SUMIFS(BetTable[[AR_per_bookie]:[AR_per_bookie]],BetTable[[B2]:[B2]],$A50,BetTable[[Date]:[Date]], "&gt;="&amp;K$8,BetTable[[Date]:[Date]],"&lt;="&amp;EOMONTH(K$8,0))+SUMIFS(BetTable[[AR_per_bookie]:[AR_per_bookie]],BetTable[[B3]:[B3]],$A50,BetTable[[Date]:[Date]], "&gt;="&amp;K$8,BetTable[[Date]:[Date]],"&lt;="&amp;EOMONTH(K$8,0))</f>
        <v>0</v>
      </c>
      <c r="L50" s="126">
        <f>SUMIFS(DWbonus[[Sum]:[Sum]],DWbonus[[Dato]:[Dato]], "&gt;="&amp;L$8,DWbonus[[Dato]:[Dato]],"&lt;="&amp;EOMONTH(L$8,0),DWbonus[[Bookie]:[Bookie]],$A50)+SUMIFS(LayTable[[Faktisk res]:[Faktisk res]],LayTable[[Dato]:[Dato]],"&gt;="&amp;L$8,LayTable[[Dato]:[Dato]],"&lt;="&amp;EOMONTH(L$8,0),LayTable[[Bookmaker]:[Bookmaker]],$A50)+SUMIFS(BetTable[[AR_per_bookie]:[AR_per_bookie]],BetTable[[B1]:[B1]],$A50,BetTable[[Date]:[Date]], "&gt;="&amp;L$8,BetTable[[Date]:[Date]],"&lt;="&amp;EOMONTH(L$8,0))+SUMIFS(BetTable[[AR_per_bookie]:[AR_per_bookie]],BetTable[[B2]:[B2]],$A50,BetTable[[Date]:[Date]], "&gt;="&amp;L$8,BetTable[[Date]:[Date]],"&lt;="&amp;EOMONTH(L$8,0))+SUMIFS(BetTable[[AR_per_bookie]:[AR_per_bookie]],BetTable[[B3]:[B3]],$A50,BetTable[[Date]:[Date]], "&gt;="&amp;L$8,BetTable[[Date]:[Date]],"&lt;="&amp;EOMONTH(L$8,0))</f>
        <v>0</v>
      </c>
      <c r="M50" s="126">
        <f>SUMIFS(DWbonus[[Sum]:[Sum]],DWbonus[[Dato]:[Dato]], "&gt;="&amp;M$8,DWbonus[[Dato]:[Dato]],"&lt;="&amp;EOMONTH(M$8,0),DWbonus[[Bookie]:[Bookie]],$A50)+SUMIFS(LayTable[[Faktisk res]:[Faktisk res]],LayTable[[Dato]:[Dato]],"&gt;="&amp;M$8,LayTable[[Dato]:[Dato]],"&lt;="&amp;EOMONTH(M$8,0),LayTable[[Bookmaker]:[Bookmaker]],$A50)+SUMIFS(BetTable[[AR_per_bookie]:[AR_per_bookie]],BetTable[[B1]:[B1]],$A50,BetTable[[Date]:[Date]], "&gt;="&amp;M$8,BetTable[[Date]:[Date]],"&lt;="&amp;EOMONTH(M$8,0))+SUMIFS(BetTable[[AR_per_bookie]:[AR_per_bookie]],BetTable[[B2]:[B2]],$A50,BetTable[[Date]:[Date]], "&gt;="&amp;M$8,BetTable[[Date]:[Date]],"&lt;="&amp;EOMONTH(M$8,0))+SUMIFS(BetTable[[AR_per_bookie]:[AR_per_bookie]],BetTable[[B3]:[B3]],$A50,BetTable[[Date]:[Date]], "&gt;="&amp;M$8,BetTable[[Date]:[Date]],"&lt;="&amp;EOMONTH(M$8,0))</f>
        <v>0</v>
      </c>
      <c r="N50" s="126">
        <f>SUMIFS(DWbonus[[Sum]:[Sum]],DWbonus[[Dato]:[Dato]], "&gt;="&amp;N$8,DWbonus[[Dato]:[Dato]],"&lt;="&amp;EOMONTH(N$8,0),DWbonus[[Bookie]:[Bookie]],$A50)+SUMIFS(LayTable[[Faktisk res]:[Faktisk res]],LayTable[[Dato]:[Dato]],"&gt;="&amp;N$8,LayTable[[Dato]:[Dato]],"&lt;="&amp;EOMONTH(N$8,0),LayTable[[Bookmaker]:[Bookmaker]],$A50)+SUMIFS(BetTable[[AR_per_bookie]:[AR_per_bookie]],BetTable[[B1]:[B1]],$A50,BetTable[[Date]:[Date]], "&gt;="&amp;N$8,BetTable[[Date]:[Date]],"&lt;="&amp;EOMONTH(N$8,0))+SUMIFS(BetTable[[AR_per_bookie]:[AR_per_bookie]],BetTable[[B2]:[B2]],$A50,BetTable[[Date]:[Date]], "&gt;="&amp;N$8,BetTable[[Date]:[Date]],"&lt;="&amp;EOMONTH(N$8,0))+SUMIFS(BetTable[[AR_per_bookie]:[AR_per_bookie]],BetTable[[B3]:[B3]],$A50,BetTable[[Date]:[Date]], "&gt;="&amp;N$8,BetTable[[Date]:[Date]],"&lt;="&amp;EOMONTH(N$8,0))</f>
        <v>0</v>
      </c>
      <c r="O50" s="126">
        <f>SUMIFS(DWbonus[[Sum]:[Sum]],DWbonus[[Dato]:[Dato]], "&gt;="&amp;O$8,DWbonus[[Dato]:[Dato]],"&lt;="&amp;EOMONTH(O$8,0),DWbonus[[Bookie]:[Bookie]],$A50)+SUMIFS(LayTable[[Faktisk res]:[Faktisk res]],LayTable[[Dato]:[Dato]],"&gt;="&amp;O$8,LayTable[[Dato]:[Dato]],"&lt;="&amp;EOMONTH(O$8,0),LayTable[[Bookmaker]:[Bookmaker]],$A50)+SUMIFS(BetTable[[AR_per_bookie]:[AR_per_bookie]],BetTable[[B1]:[B1]],$A50,BetTable[[Date]:[Date]], "&gt;="&amp;O$8,BetTable[[Date]:[Date]],"&lt;="&amp;EOMONTH(O$8,0))+SUMIFS(BetTable[[AR_per_bookie]:[AR_per_bookie]],BetTable[[B2]:[B2]],$A50,BetTable[[Date]:[Date]], "&gt;="&amp;O$8,BetTable[[Date]:[Date]],"&lt;="&amp;EOMONTH(O$8,0))+SUMIFS(BetTable[[AR_per_bookie]:[AR_per_bookie]],BetTable[[B3]:[B3]],$A50,BetTable[[Date]:[Date]], "&gt;="&amp;O$8,BetTable[[Date]:[Date]],"&lt;="&amp;EOMONTH(O$8,0))</f>
        <v>0</v>
      </c>
      <c r="P50" s="126">
        <f>SUMIFS(DWbonus[[Sum]:[Sum]],DWbonus[[Dato]:[Dato]], "&gt;="&amp;P$8,DWbonus[[Dato]:[Dato]],"&lt;="&amp;EOMONTH(P$8,0),DWbonus[[Bookie]:[Bookie]],$A50)+SUMIFS(LayTable[[Faktisk res]:[Faktisk res]],LayTable[[Dato]:[Dato]],"&gt;="&amp;P$8,LayTable[[Dato]:[Dato]],"&lt;="&amp;EOMONTH(P$8,0),LayTable[[Bookmaker]:[Bookmaker]],$A50)+SUMIFS(BetTable[[AR_per_bookie]:[AR_per_bookie]],BetTable[[B1]:[B1]],$A50,BetTable[[Date]:[Date]], "&gt;="&amp;P$8,BetTable[[Date]:[Date]],"&lt;="&amp;EOMONTH(P$8,0))+SUMIFS(BetTable[[AR_per_bookie]:[AR_per_bookie]],BetTable[[B2]:[B2]],$A50,BetTable[[Date]:[Date]], "&gt;="&amp;P$8,BetTable[[Date]:[Date]],"&lt;="&amp;EOMONTH(P$8,0))+SUMIFS(BetTable[[AR_per_bookie]:[AR_per_bookie]],BetTable[[B3]:[B3]],$A50,BetTable[[Date]:[Date]], "&gt;="&amp;P$8,BetTable[[Date]:[Date]],"&lt;="&amp;EOMONTH(P$8,0))</f>
        <v>0</v>
      </c>
      <c r="Q50" s="126">
        <f>SUMIFS(DWbonus[[Sum]:[Sum]],DWbonus[[Dato]:[Dato]], "&gt;="&amp;Q$8,DWbonus[[Dato]:[Dato]],"&lt;="&amp;EOMONTH(Q$8,0),DWbonus[[Bookie]:[Bookie]],$A50)+SUMIFS(LayTable[[Faktisk res]:[Faktisk res]],LayTable[[Dato]:[Dato]],"&gt;="&amp;Q$8,LayTable[[Dato]:[Dato]],"&lt;="&amp;EOMONTH(Q$8,0),LayTable[[Bookmaker]:[Bookmaker]],$A50)+SUMIFS(BetTable[[AR_per_bookie]:[AR_per_bookie]],BetTable[[B1]:[B1]],$A50,BetTable[[Date]:[Date]], "&gt;="&amp;Q$8,BetTable[[Date]:[Date]],"&lt;="&amp;EOMONTH(Q$8,0))+SUMIFS(BetTable[[AR_per_bookie]:[AR_per_bookie]],BetTable[[B2]:[B2]],$A50,BetTable[[Date]:[Date]], "&gt;="&amp;Q$8,BetTable[[Date]:[Date]],"&lt;="&amp;EOMONTH(Q$8,0))+SUMIFS(BetTable[[AR_per_bookie]:[AR_per_bookie]],BetTable[[B3]:[B3]],$A50,BetTable[[Date]:[Date]], "&gt;="&amp;Q$8,BetTable[[Date]:[Date]],"&lt;="&amp;EOMONTH(Q$8,0))</f>
        <v>0</v>
      </c>
      <c r="R50" s="126">
        <f>SUMIFS(DWbonus[[Sum]:[Sum]],DWbonus[[Dato]:[Dato]], "&gt;="&amp;R$8,DWbonus[[Dato]:[Dato]],"&lt;="&amp;EOMONTH(R$8,0),DWbonus[[Bookie]:[Bookie]],$A50)+SUMIFS(LayTable[[Faktisk res]:[Faktisk res]],LayTable[[Dato]:[Dato]],"&gt;="&amp;R$8,LayTable[[Dato]:[Dato]],"&lt;="&amp;EOMONTH(R$8,0),LayTable[[Bookmaker]:[Bookmaker]],$A50)+SUMIFS(BetTable[[AR_per_bookie]:[AR_per_bookie]],BetTable[[B1]:[B1]],$A50,BetTable[[Date]:[Date]], "&gt;="&amp;R$8,BetTable[[Date]:[Date]],"&lt;="&amp;EOMONTH(R$8,0))+SUMIFS(BetTable[[AR_per_bookie]:[AR_per_bookie]],BetTable[[B2]:[B2]],$A50,BetTable[[Date]:[Date]], "&gt;="&amp;R$8,BetTable[[Date]:[Date]],"&lt;="&amp;EOMONTH(R$8,0))+SUMIFS(BetTable[[AR_per_bookie]:[AR_per_bookie]],BetTable[[B3]:[B3]],$A50,BetTable[[Date]:[Date]], "&gt;="&amp;R$8,BetTable[[Date]:[Date]],"&lt;="&amp;EOMONTH(R$8,0))</f>
        <v>0</v>
      </c>
      <c r="S50" s="126">
        <f>SUMIFS(DWbonus[[Sum]:[Sum]],DWbonus[[Dato]:[Dato]], "&gt;="&amp;S$8,DWbonus[[Dato]:[Dato]],"&lt;="&amp;EOMONTH(S$8,0),DWbonus[[Bookie]:[Bookie]],$A50)+SUMIFS(LayTable[[Faktisk res]:[Faktisk res]],LayTable[[Dato]:[Dato]],"&gt;="&amp;S$8,LayTable[[Dato]:[Dato]],"&lt;="&amp;EOMONTH(S$8,0),LayTable[[Bookmaker]:[Bookmaker]],$A50)+SUMIFS(BetTable[[AR_per_bookie]:[AR_per_bookie]],BetTable[[B1]:[B1]],$A50,BetTable[[Date]:[Date]], "&gt;="&amp;S$8,BetTable[[Date]:[Date]],"&lt;="&amp;EOMONTH(S$8,0))+SUMIFS(BetTable[[AR_per_bookie]:[AR_per_bookie]],BetTable[[B2]:[B2]],$A50,BetTable[[Date]:[Date]], "&gt;="&amp;S$8,BetTable[[Date]:[Date]],"&lt;="&amp;EOMONTH(S$8,0))+SUMIFS(BetTable[[AR_per_bookie]:[AR_per_bookie]],BetTable[[B3]:[B3]],$A50,BetTable[[Date]:[Date]], "&gt;="&amp;S$8,BetTable[[Date]:[Date]],"&lt;="&amp;EOMONTH(S$8,0))</f>
        <v>0</v>
      </c>
    </row>
    <row r="51" spans="1:19">
      <c r="A51" s="115" t="str">
        <f>BookieNavn!I43</f>
        <v>NNCoolbet</v>
      </c>
      <c r="B51" s="126">
        <f>SUMIF(Penger!D$1:D$50072,A51,Penger!F$1:F$50072)</f>
        <v>0</v>
      </c>
      <c r="C51" s="126">
        <f>SUMIF(Penger!T$1:T$50072,A51,Penger!U$1:U$50072)</f>
        <v>0</v>
      </c>
      <c r="D51" s="126">
        <f ca="1">SUMIF(Spill!C$1:C$499895,A51,Spill!T$1:T$49895)+C51</f>
        <v>0</v>
      </c>
      <c r="E51" s="126">
        <f>SUMIF(Spill!C$1:C$49895,A51,Spill!T$1:T$49895)</f>
        <v>0</v>
      </c>
      <c r="F51" s="121" t="e">
        <f t="shared" ca="1" si="1"/>
        <v>#DIV/0!</v>
      </c>
      <c r="H51" s="126">
        <f>SUMIFS(DWbonus[[Sum]:[Sum]],DWbonus[[Dato]:[Dato]], "&gt;="&amp;H$8,DWbonus[[Dato]:[Dato]],"&lt;="&amp;EOMONTH(H$8,0),DWbonus[[Bookie]:[Bookie]],$A51)+SUMIFS(LayTable[[Faktisk res]:[Faktisk res]],LayTable[[Dato]:[Dato]],"&gt;="&amp;H$8,LayTable[[Dato]:[Dato]],"&lt;="&amp;EOMONTH(H$8,0),LayTable[[Bookmaker]:[Bookmaker]],$A51)+SUMIFS(BetTable[[AR_per_bookie]:[AR_per_bookie]],BetTable[[B1]:[B1]],$A51,BetTable[[Date]:[Date]], "&gt;="&amp;H$8,BetTable[[Date]:[Date]],"&lt;="&amp;EOMONTH(H$8,0))+SUMIFS(BetTable[[AR_per_bookie]:[AR_per_bookie]],BetTable[[B2]:[B2]],$A51,BetTable[[Date]:[Date]], "&gt;="&amp;H$8,BetTable[[Date]:[Date]],"&lt;="&amp;EOMONTH(H$8,0))+SUMIFS(BetTable[[AR_per_bookie]:[AR_per_bookie]],BetTable[[B3]:[B3]],$A51,BetTable[[Date]:[Date]], "&gt;="&amp;H$8,BetTable[[Date]:[Date]],"&lt;="&amp;EOMONTH(H$8,0))</f>
        <v>0</v>
      </c>
      <c r="I51" s="126">
        <f>SUMIFS(DWbonus[[Sum]:[Sum]],DWbonus[[Dato]:[Dato]], "&gt;="&amp;I$8,DWbonus[[Dato]:[Dato]],"&lt;="&amp;EOMONTH(I$8,0),DWbonus[[Bookie]:[Bookie]],$A51)+SUMIFS(LayTable[[Faktisk res]:[Faktisk res]],LayTable[[Dato]:[Dato]],"&gt;="&amp;I$8,LayTable[[Dato]:[Dato]],"&lt;="&amp;EOMONTH(I$8,0),LayTable[[Bookmaker]:[Bookmaker]],$A51)+SUMIFS(BetTable[[AR_per_bookie]:[AR_per_bookie]],BetTable[[B1]:[B1]],$A51,BetTable[[Date]:[Date]], "&gt;="&amp;I$8,BetTable[[Date]:[Date]],"&lt;="&amp;EOMONTH(I$8,0))+SUMIFS(BetTable[[AR_per_bookie]:[AR_per_bookie]],BetTable[[B2]:[B2]],$A51,BetTable[[Date]:[Date]], "&gt;="&amp;I$8,BetTable[[Date]:[Date]],"&lt;="&amp;EOMONTH(I$8,0))+SUMIFS(BetTable[[AR_per_bookie]:[AR_per_bookie]],BetTable[[B3]:[B3]],$A51,BetTable[[Date]:[Date]], "&gt;="&amp;I$8,BetTable[[Date]:[Date]],"&lt;="&amp;EOMONTH(I$8,0))</f>
        <v>0</v>
      </c>
      <c r="J51" s="126">
        <f>SUMIFS(DWbonus[[Sum]:[Sum]],DWbonus[[Dato]:[Dato]], "&gt;="&amp;J$8,DWbonus[[Dato]:[Dato]],"&lt;="&amp;EOMONTH(J$8,0),DWbonus[[Bookie]:[Bookie]],$A51)+SUMIFS(LayTable[[Faktisk res]:[Faktisk res]],LayTable[[Dato]:[Dato]],"&gt;="&amp;J$8,LayTable[[Dato]:[Dato]],"&lt;="&amp;EOMONTH(J$8,0),LayTable[[Bookmaker]:[Bookmaker]],$A51)+SUMIFS(BetTable[[AR_per_bookie]:[AR_per_bookie]],BetTable[[B1]:[B1]],$A51,BetTable[[Date]:[Date]], "&gt;="&amp;J$8,BetTable[[Date]:[Date]],"&lt;="&amp;EOMONTH(J$8,0))+SUMIFS(BetTable[[AR_per_bookie]:[AR_per_bookie]],BetTable[[B2]:[B2]],$A51,BetTable[[Date]:[Date]], "&gt;="&amp;J$8,BetTable[[Date]:[Date]],"&lt;="&amp;EOMONTH(J$8,0))+SUMIFS(BetTable[[AR_per_bookie]:[AR_per_bookie]],BetTable[[B3]:[B3]],$A51,BetTable[[Date]:[Date]], "&gt;="&amp;J$8,BetTable[[Date]:[Date]],"&lt;="&amp;EOMONTH(J$8,0))</f>
        <v>0</v>
      </c>
      <c r="K51" s="126">
        <f>SUMIFS(DWbonus[[Sum]:[Sum]],DWbonus[[Dato]:[Dato]], "&gt;="&amp;K$8,DWbonus[[Dato]:[Dato]],"&lt;="&amp;EOMONTH(K$8,0),DWbonus[[Bookie]:[Bookie]],$A51)+SUMIFS(LayTable[[Faktisk res]:[Faktisk res]],LayTable[[Dato]:[Dato]],"&gt;="&amp;K$8,LayTable[[Dato]:[Dato]],"&lt;="&amp;EOMONTH(K$8,0),LayTable[[Bookmaker]:[Bookmaker]],$A51)+SUMIFS(BetTable[[AR_per_bookie]:[AR_per_bookie]],BetTable[[B1]:[B1]],$A51,BetTable[[Date]:[Date]], "&gt;="&amp;K$8,BetTable[[Date]:[Date]],"&lt;="&amp;EOMONTH(K$8,0))+SUMIFS(BetTable[[AR_per_bookie]:[AR_per_bookie]],BetTable[[B2]:[B2]],$A51,BetTable[[Date]:[Date]], "&gt;="&amp;K$8,BetTable[[Date]:[Date]],"&lt;="&amp;EOMONTH(K$8,0))+SUMIFS(BetTable[[AR_per_bookie]:[AR_per_bookie]],BetTable[[B3]:[B3]],$A51,BetTable[[Date]:[Date]], "&gt;="&amp;K$8,BetTable[[Date]:[Date]],"&lt;="&amp;EOMONTH(K$8,0))</f>
        <v>0</v>
      </c>
      <c r="L51" s="126">
        <f>SUMIFS(DWbonus[[Sum]:[Sum]],DWbonus[[Dato]:[Dato]], "&gt;="&amp;L$8,DWbonus[[Dato]:[Dato]],"&lt;="&amp;EOMONTH(L$8,0),DWbonus[[Bookie]:[Bookie]],$A51)+SUMIFS(LayTable[[Faktisk res]:[Faktisk res]],LayTable[[Dato]:[Dato]],"&gt;="&amp;L$8,LayTable[[Dato]:[Dato]],"&lt;="&amp;EOMONTH(L$8,0),LayTable[[Bookmaker]:[Bookmaker]],$A51)+SUMIFS(BetTable[[AR_per_bookie]:[AR_per_bookie]],BetTable[[B1]:[B1]],$A51,BetTable[[Date]:[Date]], "&gt;="&amp;L$8,BetTable[[Date]:[Date]],"&lt;="&amp;EOMONTH(L$8,0))+SUMIFS(BetTable[[AR_per_bookie]:[AR_per_bookie]],BetTable[[B2]:[B2]],$A51,BetTable[[Date]:[Date]], "&gt;="&amp;L$8,BetTable[[Date]:[Date]],"&lt;="&amp;EOMONTH(L$8,0))+SUMIFS(BetTable[[AR_per_bookie]:[AR_per_bookie]],BetTable[[B3]:[B3]],$A51,BetTable[[Date]:[Date]], "&gt;="&amp;L$8,BetTable[[Date]:[Date]],"&lt;="&amp;EOMONTH(L$8,0))</f>
        <v>0</v>
      </c>
      <c r="M51" s="126">
        <f>SUMIFS(DWbonus[[Sum]:[Sum]],DWbonus[[Dato]:[Dato]], "&gt;="&amp;M$8,DWbonus[[Dato]:[Dato]],"&lt;="&amp;EOMONTH(M$8,0),DWbonus[[Bookie]:[Bookie]],$A51)+SUMIFS(LayTable[[Faktisk res]:[Faktisk res]],LayTable[[Dato]:[Dato]],"&gt;="&amp;M$8,LayTable[[Dato]:[Dato]],"&lt;="&amp;EOMONTH(M$8,0),LayTable[[Bookmaker]:[Bookmaker]],$A51)+SUMIFS(BetTable[[AR_per_bookie]:[AR_per_bookie]],BetTable[[B1]:[B1]],$A51,BetTable[[Date]:[Date]], "&gt;="&amp;M$8,BetTable[[Date]:[Date]],"&lt;="&amp;EOMONTH(M$8,0))+SUMIFS(BetTable[[AR_per_bookie]:[AR_per_bookie]],BetTable[[B2]:[B2]],$A51,BetTable[[Date]:[Date]], "&gt;="&amp;M$8,BetTable[[Date]:[Date]],"&lt;="&amp;EOMONTH(M$8,0))+SUMIFS(BetTable[[AR_per_bookie]:[AR_per_bookie]],BetTable[[B3]:[B3]],$A51,BetTable[[Date]:[Date]], "&gt;="&amp;M$8,BetTable[[Date]:[Date]],"&lt;="&amp;EOMONTH(M$8,0))</f>
        <v>0</v>
      </c>
      <c r="N51" s="126">
        <f>SUMIFS(DWbonus[[Sum]:[Sum]],DWbonus[[Dato]:[Dato]], "&gt;="&amp;N$8,DWbonus[[Dato]:[Dato]],"&lt;="&amp;EOMONTH(N$8,0),DWbonus[[Bookie]:[Bookie]],$A51)+SUMIFS(LayTable[[Faktisk res]:[Faktisk res]],LayTable[[Dato]:[Dato]],"&gt;="&amp;N$8,LayTable[[Dato]:[Dato]],"&lt;="&amp;EOMONTH(N$8,0),LayTable[[Bookmaker]:[Bookmaker]],$A51)+SUMIFS(BetTable[[AR_per_bookie]:[AR_per_bookie]],BetTable[[B1]:[B1]],$A51,BetTable[[Date]:[Date]], "&gt;="&amp;N$8,BetTable[[Date]:[Date]],"&lt;="&amp;EOMONTH(N$8,0))+SUMIFS(BetTable[[AR_per_bookie]:[AR_per_bookie]],BetTable[[B2]:[B2]],$A51,BetTable[[Date]:[Date]], "&gt;="&amp;N$8,BetTable[[Date]:[Date]],"&lt;="&amp;EOMONTH(N$8,0))+SUMIFS(BetTable[[AR_per_bookie]:[AR_per_bookie]],BetTable[[B3]:[B3]],$A51,BetTable[[Date]:[Date]], "&gt;="&amp;N$8,BetTable[[Date]:[Date]],"&lt;="&amp;EOMONTH(N$8,0))</f>
        <v>0</v>
      </c>
      <c r="O51" s="126">
        <f>SUMIFS(DWbonus[[Sum]:[Sum]],DWbonus[[Dato]:[Dato]], "&gt;="&amp;O$8,DWbonus[[Dato]:[Dato]],"&lt;="&amp;EOMONTH(O$8,0),DWbonus[[Bookie]:[Bookie]],$A51)+SUMIFS(LayTable[[Faktisk res]:[Faktisk res]],LayTable[[Dato]:[Dato]],"&gt;="&amp;O$8,LayTable[[Dato]:[Dato]],"&lt;="&amp;EOMONTH(O$8,0),LayTable[[Bookmaker]:[Bookmaker]],$A51)+SUMIFS(BetTable[[AR_per_bookie]:[AR_per_bookie]],BetTable[[B1]:[B1]],$A51,BetTable[[Date]:[Date]], "&gt;="&amp;O$8,BetTable[[Date]:[Date]],"&lt;="&amp;EOMONTH(O$8,0))+SUMIFS(BetTable[[AR_per_bookie]:[AR_per_bookie]],BetTable[[B2]:[B2]],$A51,BetTable[[Date]:[Date]], "&gt;="&amp;O$8,BetTable[[Date]:[Date]],"&lt;="&amp;EOMONTH(O$8,0))+SUMIFS(BetTable[[AR_per_bookie]:[AR_per_bookie]],BetTable[[B3]:[B3]],$A51,BetTable[[Date]:[Date]], "&gt;="&amp;O$8,BetTable[[Date]:[Date]],"&lt;="&amp;EOMONTH(O$8,0))</f>
        <v>0</v>
      </c>
      <c r="P51" s="126">
        <f>SUMIFS(DWbonus[[Sum]:[Sum]],DWbonus[[Dato]:[Dato]], "&gt;="&amp;P$8,DWbonus[[Dato]:[Dato]],"&lt;="&amp;EOMONTH(P$8,0),DWbonus[[Bookie]:[Bookie]],$A51)+SUMIFS(LayTable[[Faktisk res]:[Faktisk res]],LayTable[[Dato]:[Dato]],"&gt;="&amp;P$8,LayTable[[Dato]:[Dato]],"&lt;="&amp;EOMONTH(P$8,0),LayTable[[Bookmaker]:[Bookmaker]],$A51)+SUMIFS(BetTable[[AR_per_bookie]:[AR_per_bookie]],BetTable[[B1]:[B1]],$A51,BetTable[[Date]:[Date]], "&gt;="&amp;P$8,BetTable[[Date]:[Date]],"&lt;="&amp;EOMONTH(P$8,0))+SUMIFS(BetTable[[AR_per_bookie]:[AR_per_bookie]],BetTable[[B2]:[B2]],$A51,BetTable[[Date]:[Date]], "&gt;="&amp;P$8,BetTable[[Date]:[Date]],"&lt;="&amp;EOMONTH(P$8,0))+SUMIFS(BetTable[[AR_per_bookie]:[AR_per_bookie]],BetTable[[B3]:[B3]],$A51,BetTable[[Date]:[Date]], "&gt;="&amp;P$8,BetTable[[Date]:[Date]],"&lt;="&amp;EOMONTH(P$8,0))</f>
        <v>0</v>
      </c>
      <c r="Q51" s="126">
        <f>SUMIFS(DWbonus[[Sum]:[Sum]],DWbonus[[Dato]:[Dato]], "&gt;="&amp;Q$8,DWbonus[[Dato]:[Dato]],"&lt;="&amp;EOMONTH(Q$8,0),DWbonus[[Bookie]:[Bookie]],$A51)+SUMIFS(LayTable[[Faktisk res]:[Faktisk res]],LayTable[[Dato]:[Dato]],"&gt;="&amp;Q$8,LayTable[[Dato]:[Dato]],"&lt;="&amp;EOMONTH(Q$8,0),LayTable[[Bookmaker]:[Bookmaker]],$A51)+SUMIFS(BetTable[[AR_per_bookie]:[AR_per_bookie]],BetTable[[B1]:[B1]],$A51,BetTable[[Date]:[Date]], "&gt;="&amp;Q$8,BetTable[[Date]:[Date]],"&lt;="&amp;EOMONTH(Q$8,0))+SUMIFS(BetTable[[AR_per_bookie]:[AR_per_bookie]],BetTable[[B2]:[B2]],$A51,BetTable[[Date]:[Date]], "&gt;="&amp;Q$8,BetTable[[Date]:[Date]],"&lt;="&amp;EOMONTH(Q$8,0))+SUMIFS(BetTable[[AR_per_bookie]:[AR_per_bookie]],BetTable[[B3]:[B3]],$A51,BetTable[[Date]:[Date]], "&gt;="&amp;Q$8,BetTable[[Date]:[Date]],"&lt;="&amp;EOMONTH(Q$8,0))</f>
        <v>0</v>
      </c>
      <c r="R51" s="126">
        <f>SUMIFS(DWbonus[[Sum]:[Sum]],DWbonus[[Dato]:[Dato]], "&gt;="&amp;R$8,DWbonus[[Dato]:[Dato]],"&lt;="&amp;EOMONTH(R$8,0),DWbonus[[Bookie]:[Bookie]],$A51)+SUMIFS(LayTable[[Faktisk res]:[Faktisk res]],LayTable[[Dato]:[Dato]],"&gt;="&amp;R$8,LayTable[[Dato]:[Dato]],"&lt;="&amp;EOMONTH(R$8,0),LayTable[[Bookmaker]:[Bookmaker]],$A51)+SUMIFS(BetTable[[AR_per_bookie]:[AR_per_bookie]],BetTable[[B1]:[B1]],$A51,BetTable[[Date]:[Date]], "&gt;="&amp;R$8,BetTable[[Date]:[Date]],"&lt;="&amp;EOMONTH(R$8,0))+SUMIFS(BetTable[[AR_per_bookie]:[AR_per_bookie]],BetTable[[B2]:[B2]],$A51,BetTable[[Date]:[Date]], "&gt;="&amp;R$8,BetTable[[Date]:[Date]],"&lt;="&amp;EOMONTH(R$8,0))+SUMIFS(BetTable[[AR_per_bookie]:[AR_per_bookie]],BetTable[[B3]:[B3]],$A51,BetTable[[Date]:[Date]], "&gt;="&amp;R$8,BetTable[[Date]:[Date]],"&lt;="&amp;EOMONTH(R$8,0))</f>
        <v>0</v>
      </c>
      <c r="S51" s="126">
        <f>SUMIFS(DWbonus[[Sum]:[Sum]],DWbonus[[Dato]:[Dato]], "&gt;="&amp;S$8,DWbonus[[Dato]:[Dato]],"&lt;="&amp;EOMONTH(S$8,0),DWbonus[[Bookie]:[Bookie]],$A51)+SUMIFS(LayTable[[Faktisk res]:[Faktisk res]],LayTable[[Dato]:[Dato]],"&gt;="&amp;S$8,LayTable[[Dato]:[Dato]],"&lt;="&amp;EOMONTH(S$8,0),LayTable[[Bookmaker]:[Bookmaker]],$A51)+SUMIFS(BetTable[[AR_per_bookie]:[AR_per_bookie]],BetTable[[B1]:[B1]],$A51,BetTable[[Date]:[Date]], "&gt;="&amp;S$8,BetTable[[Date]:[Date]],"&lt;="&amp;EOMONTH(S$8,0))+SUMIFS(BetTable[[AR_per_bookie]:[AR_per_bookie]],BetTable[[B2]:[B2]],$A51,BetTable[[Date]:[Date]], "&gt;="&amp;S$8,BetTable[[Date]:[Date]],"&lt;="&amp;EOMONTH(S$8,0))+SUMIFS(BetTable[[AR_per_bookie]:[AR_per_bookie]],BetTable[[B3]:[B3]],$A51,BetTable[[Date]:[Date]], "&gt;="&amp;S$8,BetTable[[Date]:[Date]],"&lt;="&amp;EOMONTH(S$8,0))</f>
        <v>0</v>
      </c>
    </row>
    <row r="52" spans="1:19">
      <c r="A52" s="115" t="str">
        <f>BookieNavn!I44</f>
        <v>NordicBet</v>
      </c>
      <c r="B52" s="126">
        <f>SUMIF(Penger!D$1:D$50072,A52,Penger!F$1:F$50072)</f>
        <v>200</v>
      </c>
      <c r="C52" s="126">
        <f>SUMIF(Penger!T$1:T$50072,A52,Penger!U$1:U$50072)</f>
        <v>0</v>
      </c>
      <c r="D52" s="126">
        <f ca="1">SUMIF(Spill!C$1:C$499895,A52,Spill!T$1:T$49895)+C52</f>
        <v>168.91219999999998</v>
      </c>
      <c r="E52" s="126">
        <f>SUMIF(Spill!C$1:C$49895,A52,Spill!T$1:T$49895)</f>
        <v>168.91219999999998</v>
      </c>
      <c r="F52" s="121" t="e">
        <f t="shared" ca="1" si="1"/>
        <v>#DIV/0!</v>
      </c>
      <c r="H52" s="126">
        <f>SUMIFS(DWbonus[[Sum]:[Sum]],DWbonus[[Dato]:[Dato]], "&gt;="&amp;H$8,DWbonus[[Dato]:[Dato]],"&lt;="&amp;EOMONTH(H$8,0),DWbonus[[Bookie]:[Bookie]],$A52)+SUMIFS(LayTable[[Faktisk res]:[Faktisk res]],LayTable[[Dato]:[Dato]],"&gt;="&amp;H$8,LayTable[[Dato]:[Dato]],"&lt;="&amp;EOMONTH(H$8,0),LayTable[[Bookmaker]:[Bookmaker]],$A52)+SUMIFS(BetTable[[AR_per_bookie]:[AR_per_bookie]],BetTable[[B1]:[B1]],$A52,BetTable[[Date]:[Date]], "&gt;="&amp;H$8,BetTable[[Date]:[Date]],"&lt;="&amp;EOMONTH(H$8,0))+SUMIFS(BetTable[[AR_per_bookie]:[AR_per_bookie]],BetTable[[B2]:[B2]],$A52,BetTable[[Date]:[Date]], "&gt;="&amp;H$8,BetTable[[Date]:[Date]],"&lt;="&amp;EOMONTH(H$8,0))+SUMIFS(BetTable[[AR_per_bookie]:[AR_per_bookie]],BetTable[[B3]:[B3]],$A52,BetTable[[Date]:[Date]], "&gt;="&amp;H$8,BetTable[[Date]:[Date]],"&lt;="&amp;EOMONTH(H$8,0))</f>
        <v>168.91219999999998</v>
      </c>
      <c r="I52" s="126">
        <f>SUMIFS(DWbonus[[Sum]:[Sum]],DWbonus[[Dato]:[Dato]], "&gt;="&amp;I$8,DWbonus[[Dato]:[Dato]],"&lt;="&amp;EOMONTH(I$8,0),DWbonus[[Bookie]:[Bookie]],$A52)+SUMIFS(LayTable[[Faktisk res]:[Faktisk res]],LayTable[[Dato]:[Dato]],"&gt;="&amp;I$8,LayTable[[Dato]:[Dato]],"&lt;="&amp;EOMONTH(I$8,0),LayTable[[Bookmaker]:[Bookmaker]],$A52)+SUMIFS(BetTable[[AR_per_bookie]:[AR_per_bookie]],BetTable[[B1]:[B1]],$A52,BetTable[[Date]:[Date]], "&gt;="&amp;I$8,BetTable[[Date]:[Date]],"&lt;="&amp;EOMONTH(I$8,0))+SUMIFS(BetTable[[AR_per_bookie]:[AR_per_bookie]],BetTable[[B2]:[B2]],$A52,BetTable[[Date]:[Date]], "&gt;="&amp;I$8,BetTable[[Date]:[Date]],"&lt;="&amp;EOMONTH(I$8,0))+SUMIFS(BetTable[[AR_per_bookie]:[AR_per_bookie]],BetTable[[B3]:[B3]],$A52,BetTable[[Date]:[Date]], "&gt;="&amp;I$8,BetTable[[Date]:[Date]],"&lt;="&amp;EOMONTH(I$8,0))</f>
        <v>0</v>
      </c>
      <c r="J52" s="126">
        <f>SUMIFS(DWbonus[[Sum]:[Sum]],DWbonus[[Dato]:[Dato]], "&gt;="&amp;J$8,DWbonus[[Dato]:[Dato]],"&lt;="&amp;EOMONTH(J$8,0),DWbonus[[Bookie]:[Bookie]],$A52)+SUMIFS(LayTable[[Faktisk res]:[Faktisk res]],LayTable[[Dato]:[Dato]],"&gt;="&amp;J$8,LayTable[[Dato]:[Dato]],"&lt;="&amp;EOMONTH(J$8,0),LayTable[[Bookmaker]:[Bookmaker]],$A52)+SUMIFS(BetTable[[AR_per_bookie]:[AR_per_bookie]],BetTable[[B1]:[B1]],$A52,BetTable[[Date]:[Date]], "&gt;="&amp;J$8,BetTable[[Date]:[Date]],"&lt;="&amp;EOMONTH(J$8,0))+SUMIFS(BetTable[[AR_per_bookie]:[AR_per_bookie]],BetTable[[B2]:[B2]],$A52,BetTable[[Date]:[Date]], "&gt;="&amp;J$8,BetTable[[Date]:[Date]],"&lt;="&amp;EOMONTH(J$8,0))+SUMIFS(BetTable[[AR_per_bookie]:[AR_per_bookie]],BetTable[[B3]:[B3]],$A52,BetTable[[Date]:[Date]], "&gt;="&amp;J$8,BetTable[[Date]:[Date]],"&lt;="&amp;EOMONTH(J$8,0))</f>
        <v>0</v>
      </c>
      <c r="K52" s="126">
        <f>SUMIFS(DWbonus[[Sum]:[Sum]],DWbonus[[Dato]:[Dato]], "&gt;="&amp;K$8,DWbonus[[Dato]:[Dato]],"&lt;="&amp;EOMONTH(K$8,0),DWbonus[[Bookie]:[Bookie]],$A52)+SUMIFS(LayTable[[Faktisk res]:[Faktisk res]],LayTable[[Dato]:[Dato]],"&gt;="&amp;K$8,LayTable[[Dato]:[Dato]],"&lt;="&amp;EOMONTH(K$8,0),LayTable[[Bookmaker]:[Bookmaker]],$A52)+SUMIFS(BetTable[[AR_per_bookie]:[AR_per_bookie]],BetTable[[B1]:[B1]],$A52,BetTable[[Date]:[Date]], "&gt;="&amp;K$8,BetTable[[Date]:[Date]],"&lt;="&amp;EOMONTH(K$8,0))+SUMIFS(BetTable[[AR_per_bookie]:[AR_per_bookie]],BetTable[[B2]:[B2]],$A52,BetTable[[Date]:[Date]], "&gt;="&amp;K$8,BetTable[[Date]:[Date]],"&lt;="&amp;EOMONTH(K$8,0))+SUMIFS(BetTable[[AR_per_bookie]:[AR_per_bookie]],BetTable[[B3]:[B3]],$A52,BetTable[[Date]:[Date]], "&gt;="&amp;K$8,BetTable[[Date]:[Date]],"&lt;="&amp;EOMONTH(K$8,0))</f>
        <v>0</v>
      </c>
      <c r="L52" s="126">
        <f>SUMIFS(DWbonus[[Sum]:[Sum]],DWbonus[[Dato]:[Dato]], "&gt;="&amp;L$8,DWbonus[[Dato]:[Dato]],"&lt;="&amp;EOMONTH(L$8,0),DWbonus[[Bookie]:[Bookie]],$A52)+SUMIFS(LayTable[[Faktisk res]:[Faktisk res]],LayTable[[Dato]:[Dato]],"&gt;="&amp;L$8,LayTable[[Dato]:[Dato]],"&lt;="&amp;EOMONTH(L$8,0),LayTable[[Bookmaker]:[Bookmaker]],$A52)+SUMIFS(BetTable[[AR_per_bookie]:[AR_per_bookie]],BetTable[[B1]:[B1]],$A52,BetTable[[Date]:[Date]], "&gt;="&amp;L$8,BetTable[[Date]:[Date]],"&lt;="&amp;EOMONTH(L$8,0))+SUMIFS(BetTable[[AR_per_bookie]:[AR_per_bookie]],BetTable[[B2]:[B2]],$A52,BetTable[[Date]:[Date]], "&gt;="&amp;L$8,BetTable[[Date]:[Date]],"&lt;="&amp;EOMONTH(L$8,0))+SUMIFS(BetTable[[AR_per_bookie]:[AR_per_bookie]],BetTable[[B3]:[B3]],$A52,BetTable[[Date]:[Date]], "&gt;="&amp;L$8,BetTable[[Date]:[Date]],"&lt;="&amp;EOMONTH(L$8,0))</f>
        <v>0</v>
      </c>
      <c r="M52" s="126">
        <f>SUMIFS(DWbonus[[Sum]:[Sum]],DWbonus[[Dato]:[Dato]], "&gt;="&amp;M$8,DWbonus[[Dato]:[Dato]],"&lt;="&amp;EOMONTH(M$8,0),DWbonus[[Bookie]:[Bookie]],$A52)+SUMIFS(LayTable[[Faktisk res]:[Faktisk res]],LayTable[[Dato]:[Dato]],"&gt;="&amp;M$8,LayTable[[Dato]:[Dato]],"&lt;="&amp;EOMONTH(M$8,0),LayTable[[Bookmaker]:[Bookmaker]],$A52)+SUMIFS(BetTable[[AR_per_bookie]:[AR_per_bookie]],BetTable[[B1]:[B1]],$A52,BetTable[[Date]:[Date]], "&gt;="&amp;M$8,BetTable[[Date]:[Date]],"&lt;="&amp;EOMONTH(M$8,0))+SUMIFS(BetTable[[AR_per_bookie]:[AR_per_bookie]],BetTable[[B2]:[B2]],$A52,BetTable[[Date]:[Date]], "&gt;="&amp;M$8,BetTable[[Date]:[Date]],"&lt;="&amp;EOMONTH(M$8,0))+SUMIFS(BetTable[[AR_per_bookie]:[AR_per_bookie]],BetTable[[B3]:[B3]],$A52,BetTable[[Date]:[Date]], "&gt;="&amp;M$8,BetTable[[Date]:[Date]],"&lt;="&amp;EOMONTH(M$8,0))</f>
        <v>0</v>
      </c>
      <c r="N52" s="126">
        <f>SUMIFS(DWbonus[[Sum]:[Sum]],DWbonus[[Dato]:[Dato]], "&gt;="&amp;N$8,DWbonus[[Dato]:[Dato]],"&lt;="&amp;EOMONTH(N$8,0),DWbonus[[Bookie]:[Bookie]],$A52)+SUMIFS(LayTable[[Faktisk res]:[Faktisk res]],LayTable[[Dato]:[Dato]],"&gt;="&amp;N$8,LayTable[[Dato]:[Dato]],"&lt;="&amp;EOMONTH(N$8,0),LayTable[[Bookmaker]:[Bookmaker]],$A52)+SUMIFS(BetTable[[AR_per_bookie]:[AR_per_bookie]],BetTable[[B1]:[B1]],$A52,BetTable[[Date]:[Date]], "&gt;="&amp;N$8,BetTable[[Date]:[Date]],"&lt;="&amp;EOMONTH(N$8,0))+SUMIFS(BetTable[[AR_per_bookie]:[AR_per_bookie]],BetTable[[B2]:[B2]],$A52,BetTable[[Date]:[Date]], "&gt;="&amp;N$8,BetTable[[Date]:[Date]],"&lt;="&amp;EOMONTH(N$8,0))+SUMIFS(BetTable[[AR_per_bookie]:[AR_per_bookie]],BetTable[[B3]:[B3]],$A52,BetTable[[Date]:[Date]], "&gt;="&amp;N$8,BetTable[[Date]:[Date]],"&lt;="&amp;EOMONTH(N$8,0))</f>
        <v>0</v>
      </c>
      <c r="O52" s="126">
        <f>SUMIFS(DWbonus[[Sum]:[Sum]],DWbonus[[Dato]:[Dato]], "&gt;="&amp;O$8,DWbonus[[Dato]:[Dato]],"&lt;="&amp;EOMONTH(O$8,0),DWbonus[[Bookie]:[Bookie]],$A52)+SUMIFS(LayTable[[Faktisk res]:[Faktisk res]],LayTable[[Dato]:[Dato]],"&gt;="&amp;O$8,LayTable[[Dato]:[Dato]],"&lt;="&amp;EOMONTH(O$8,0),LayTable[[Bookmaker]:[Bookmaker]],$A52)+SUMIFS(BetTable[[AR_per_bookie]:[AR_per_bookie]],BetTable[[B1]:[B1]],$A52,BetTable[[Date]:[Date]], "&gt;="&amp;O$8,BetTable[[Date]:[Date]],"&lt;="&amp;EOMONTH(O$8,0))+SUMIFS(BetTable[[AR_per_bookie]:[AR_per_bookie]],BetTable[[B2]:[B2]],$A52,BetTable[[Date]:[Date]], "&gt;="&amp;O$8,BetTable[[Date]:[Date]],"&lt;="&amp;EOMONTH(O$8,0))+SUMIFS(BetTable[[AR_per_bookie]:[AR_per_bookie]],BetTable[[B3]:[B3]],$A52,BetTable[[Date]:[Date]], "&gt;="&amp;O$8,BetTable[[Date]:[Date]],"&lt;="&amp;EOMONTH(O$8,0))</f>
        <v>0</v>
      </c>
      <c r="P52" s="126">
        <f>SUMIFS(DWbonus[[Sum]:[Sum]],DWbonus[[Dato]:[Dato]], "&gt;="&amp;P$8,DWbonus[[Dato]:[Dato]],"&lt;="&amp;EOMONTH(P$8,0),DWbonus[[Bookie]:[Bookie]],$A52)+SUMIFS(LayTable[[Faktisk res]:[Faktisk res]],LayTable[[Dato]:[Dato]],"&gt;="&amp;P$8,LayTable[[Dato]:[Dato]],"&lt;="&amp;EOMONTH(P$8,0),LayTable[[Bookmaker]:[Bookmaker]],$A52)+SUMIFS(BetTable[[AR_per_bookie]:[AR_per_bookie]],BetTable[[B1]:[B1]],$A52,BetTable[[Date]:[Date]], "&gt;="&amp;P$8,BetTable[[Date]:[Date]],"&lt;="&amp;EOMONTH(P$8,0))+SUMIFS(BetTable[[AR_per_bookie]:[AR_per_bookie]],BetTable[[B2]:[B2]],$A52,BetTable[[Date]:[Date]], "&gt;="&amp;P$8,BetTable[[Date]:[Date]],"&lt;="&amp;EOMONTH(P$8,0))+SUMIFS(BetTable[[AR_per_bookie]:[AR_per_bookie]],BetTable[[B3]:[B3]],$A52,BetTable[[Date]:[Date]], "&gt;="&amp;P$8,BetTable[[Date]:[Date]],"&lt;="&amp;EOMONTH(P$8,0))</f>
        <v>0</v>
      </c>
      <c r="Q52" s="126">
        <f>SUMIFS(DWbonus[[Sum]:[Sum]],DWbonus[[Dato]:[Dato]], "&gt;="&amp;Q$8,DWbonus[[Dato]:[Dato]],"&lt;="&amp;EOMONTH(Q$8,0),DWbonus[[Bookie]:[Bookie]],$A52)+SUMIFS(LayTable[[Faktisk res]:[Faktisk res]],LayTable[[Dato]:[Dato]],"&gt;="&amp;Q$8,LayTable[[Dato]:[Dato]],"&lt;="&amp;EOMONTH(Q$8,0),LayTable[[Bookmaker]:[Bookmaker]],$A52)+SUMIFS(BetTable[[AR_per_bookie]:[AR_per_bookie]],BetTable[[B1]:[B1]],$A52,BetTable[[Date]:[Date]], "&gt;="&amp;Q$8,BetTable[[Date]:[Date]],"&lt;="&amp;EOMONTH(Q$8,0))+SUMIFS(BetTable[[AR_per_bookie]:[AR_per_bookie]],BetTable[[B2]:[B2]],$A52,BetTable[[Date]:[Date]], "&gt;="&amp;Q$8,BetTable[[Date]:[Date]],"&lt;="&amp;EOMONTH(Q$8,0))+SUMIFS(BetTable[[AR_per_bookie]:[AR_per_bookie]],BetTable[[B3]:[B3]],$A52,BetTable[[Date]:[Date]], "&gt;="&amp;Q$8,BetTable[[Date]:[Date]],"&lt;="&amp;EOMONTH(Q$8,0))</f>
        <v>0</v>
      </c>
      <c r="R52" s="126">
        <f>SUMIFS(DWbonus[[Sum]:[Sum]],DWbonus[[Dato]:[Dato]], "&gt;="&amp;R$8,DWbonus[[Dato]:[Dato]],"&lt;="&amp;EOMONTH(R$8,0),DWbonus[[Bookie]:[Bookie]],$A52)+SUMIFS(LayTable[[Faktisk res]:[Faktisk res]],LayTable[[Dato]:[Dato]],"&gt;="&amp;R$8,LayTable[[Dato]:[Dato]],"&lt;="&amp;EOMONTH(R$8,0),LayTable[[Bookmaker]:[Bookmaker]],$A52)+SUMIFS(BetTable[[AR_per_bookie]:[AR_per_bookie]],BetTable[[B1]:[B1]],$A52,BetTable[[Date]:[Date]], "&gt;="&amp;R$8,BetTable[[Date]:[Date]],"&lt;="&amp;EOMONTH(R$8,0))+SUMIFS(BetTable[[AR_per_bookie]:[AR_per_bookie]],BetTable[[B2]:[B2]],$A52,BetTable[[Date]:[Date]], "&gt;="&amp;R$8,BetTable[[Date]:[Date]],"&lt;="&amp;EOMONTH(R$8,0))+SUMIFS(BetTable[[AR_per_bookie]:[AR_per_bookie]],BetTable[[B3]:[B3]],$A52,BetTable[[Date]:[Date]], "&gt;="&amp;R$8,BetTable[[Date]:[Date]],"&lt;="&amp;EOMONTH(R$8,0))</f>
        <v>0</v>
      </c>
      <c r="S52" s="126">
        <f>SUMIFS(DWbonus[[Sum]:[Sum]],DWbonus[[Dato]:[Dato]], "&gt;="&amp;S$8,DWbonus[[Dato]:[Dato]],"&lt;="&amp;EOMONTH(S$8,0),DWbonus[[Bookie]:[Bookie]],$A52)+SUMIFS(LayTable[[Faktisk res]:[Faktisk res]],LayTable[[Dato]:[Dato]],"&gt;="&amp;S$8,LayTable[[Dato]:[Dato]],"&lt;="&amp;EOMONTH(S$8,0),LayTable[[Bookmaker]:[Bookmaker]],$A52)+SUMIFS(BetTable[[AR_per_bookie]:[AR_per_bookie]],BetTable[[B1]:[B1]],$A52,BetTable[[Date]:[Date]], "&gt;="&amp;S$8,BetTable[[Date]:[Date]],"&lt;="&amp;EOMONTH(S$8,0))+SUMIFS(BetTable[[AR_per_bookie]:[AR_per_bookie]],BetTable[[B2]:[B2]],$A52,BetTable[[Date]:[Date]], "&gt;="&amp;S$8,BetTable[[Date]:[Date]],"&lt;="&amp;EOMONTH(S$8,0))+SUMIFS(BetTable[[AR_per_bookie]:[AR_per_bookie]],BetTable[[B3]:[B3]],$A52,BetTable[[Date]:[Date]], "&gt;="&amp;S$8,BetTable[[Date]:[Date]],"&lt;="&amp;EOMONTH(S$8,0))</f>
        <v>0</v>
      </c>
    </row>
    <row r="53" spans="1:19">
      <c r="A53" s="115" t="str">
        <f>BookieNavn!I45</f>
        <v>Norgesspill</v>
      </c>
      <c r="B53" s="126">
        <f>SUMIF(Penger!D$1:D$50072,A53,Penger!F$1:F$50072)</f>
        <v>0</v>
      </c>
      <c r="C53" s="126">
        <f>SUMIF(Penger!T$1:T$50072,A53,Penger!U$1:U$50072)</f>
        <v>693.5</v>
      </c>
      <c r="D53" s="126">
        <f ca="1">SUMIF(Spill!C$1:C$499895,A53,Spill!T$1:T$49895)+C53</f>
        <v>693.5</v>
      </c>
      <c r="E53" s="126">
        <f>SUMIF(Spill!C$1:C$49895,A53,Spill!T$1:T$49895)</f>
        <v>0</v>
      </c>
      <c r="F53" s="121">
        <f t="shared" ca="1" si="1"/>
        <v>1</v>
      </c>
      <c r="H53" s="126">
        <f>SUMIFS(DWbonus[[Sum]:[Sum]],DWbonus[[Dato]:[Dato]], "&gt;="&amp;H$8,DWbonus[[Dato]:[Dato]],"&lt;="&amp;EOMONTH(H$8,0),DWbonus[[Bookie]:[Bookie]],$A53)+SUMIFS(LayTable[[Faktisk res]:[Faktisk res]],LayTable[[Dato]:[Dato]],"&gt;="&amp;H$8,LayTable[[Dato]:[Dato]],"&lt;="&amp;EOMONTH(H$8,0),LayTable[[Bookmaker]:[Bookmaker]],$A53)+SUMIFS(BetTable[[AR_per_bookie]:[AR_per_bookie]],BetTable[[B1]:[B1]],$A53,BetTable[[Date]:[Date]], "&gt;="&amp;H$8,BetTable[[Date]:[Date]],"&lt;="&amp;EOMONTH(H$8,0))+SUMIFS(BetTable[[AR_per_bookie]:[AR_per_bookie]],BetTable[[B2]:[B2]],$A53,BetTable[[Date]:[Date]], "&gt;="&amp;H$8,BetTable[[Date]:[Date]],"&lt;="&amp;EOMONTH(H$8,0))+SUMIFS(BetTable[[AR_per_bookie]:[AR_per_bookie]],BetTable[[B3]:[B3]],$A53,BetTable[[Date]:[Date]], "&gt;="&amp;H$8,BetTable[[Date]:[Date]],"&lt;="&amp;EOMONTH(H$8,0))</f>
        <v>693.5</v>
      </c>
      <c r="I53" s="126">
        <f>SUMIFS(DWbonus[[Sum]:[Sum]],DWbonus[[Dato]:[Dato]], "&gt;="&amp;I$8,DWbonus[[Dato]:[Dato]],"&lt;="&amp;EOMONTH(I$8,0),DWbonus[[Bookie]:[Bookie]],$A53)+SUMIFS(LayTable[[Faktisk res]:[Faktisk res]],LayTable[[Dato]:[Dato]],"&gt;="&amp;I$8,LayTable[[Dato]:[Dato]],"&lt;="&amp;EOMONTH(I$8,0),LayTable[[Bookmaker]:[Bookmaker]],$A53)+SUMIFS(BetTable[[AR_per_bookie]:[AR_per_bookie]],BetTable[[B1]:[B1]],$A53,BetTable[[Date]:[Date]], "&gt;="&amp;I$8,BetTable[[Date]:[Date]],"&lt;="&amp;EOMONTH(I$8,0))+SUMIFS(BetTable[[AR_per_bookie]:[AR_per_bookie]],BetTable[[B2]:[B2]],$A53,BetTable[[Date]:[Date]], "&gt;="&amp;I$8,BetTable[[Date]:[Date]],"&lt;="&amp;EOMONTH(I$8,0))+SUMIFS(BetTable[[AR_per_bookie]:[AR_per_bookie]],BetTable[[B3]:[B3]],$A53,BetTable[[Date]:[Date]], "&gt;="&amp;I$8,BetTable[[Date]:[Date]],"&lt;="&amp;EOMONTH(I$8,0))</f>
        <v>0</v>
      </c>
      <c r="J53" s="126">
        <f>SUMIFS(DWbonus[[Sum]:[Sum]],DWbonus[[Dato]:[Dato]], "&gt;="&amp;J$8,DWbonus[[Dato]:[Dato]],"&lt;="&amp;EOMONTH(J$8,0),DWbonus[[Bookie]:[Bookie]],$A53)+SUMIFS(LayTable[[Faktisk res]:[Faktisk res]],LayTable[[Dato]:[Dato]],"&gt;="&amp;J$8,LayTable[[Dato]:[Dato]],"&lt;="&amp;EOMONTH(J$8,0),LayTable[[Bookmaker]:[Bookmaker]],$A53)+SUMIFS(BetTable[[AR_per_bookie]:[AR_per_bookie]],BetTable[[B1]:[B1]],$A53,BetTable[[Date]:[Date]], "&gt;="&amp;J$8,BetTable[[Date]:[Date]],"&lt;="&amp;EOMONTH(J$8,0))+SUMIFS(BetTable[[AR_per_bookie]:[AR_per_bookie]],BetTable[[B2]:[B2]],$A53,BetTable[[Date]:[Date]], "&gt;="&amp;J$8,BetTable[[Date]:[Date]],"&lt;="&amp;EOMONTH(J$8,0))+SUMIFS(BetTable[[AR_per_bookie]:[AR_per_bookie]],BetTable[[B3]:[B3]],$A53,BetTable[[Date]:[Date]], "&gt;="&amp;J$8,BetTable[[Date]:[Date]],"&lt;="&amp;EOMONTH(J$8,0))</f>
        <v>0</v>
      </c>
      <c r="K53" s="126">
        <f>SUMIFS(DWbonus[[Sum]:[Sum]],DWbonus[[Dato]:[Dato]], "&gt;="&amp;K$8,DWbonus[[Dato]:[Dato]],"&lt;="&amp;EOMONTH(K$8,0),DWbonus[[Bookie]:[Bookie]],$A53)+SUMIFS(LayTable[[Faktisk res]:[Faktisk res]],LayTable[[Dato]:[Dato]],"&gt;="&amp;K$8,LayTable[[Dato]:[Dato]],"&lt;="&amp;EOMONTH(K$8,0),LayTable[[Bookmaker]:[Bookmaker]],$A53)+SUMIFS(BetTable[[AR_per_bookie]:[AR_per_bookie]],BetTable[[B1]:[B1]],$A53,BetTable[[Date]:[Date]], "&gt;="&amp;K$8,BetTable[[Date]:[Date]],"&lt;="&amp;EOMONTH(K$8,0))+SUMIFS(BetTable[[AR_per_bookie]:[AR_per_bookie]],BetTable[[B2]:[B2]],$A53,BetTable[[Date]:[Date]], "&gt;="&amp;K$8,BetTable[[Date]:[Date]],"&lt;="&amp;EOMONTH(K$8,0))+SUMIFS(BetTable[[AR_per_bookie]:[AR_per_bookie]],BetTable[[B3]:[B3]],$A53,BetTable[[Date]:[Date]], "&gt;="&amp;K$8,BetTable[[Date]:[Date]],"&lt;="&amp;EOMONTH(K$8,0))</f>
        <v>0</v>
      </c>
      <c r="L53" s="126">
        <f>SUMIFS(DWbonus[[Sum]:[Sum]],DWbonus[[Dato]:[Dato]], "&gt;="&amp;L$8,DWbonus[[Dato]:[Dato]],"&lt;="&amp;EOMONTH(L$8,0),DWbonus[[Bookie]:[Bookie]],$A53)+SUMIFS(LayTable[[Faktisk res]:[Faktisk res]],LayTable[[Dato]:[Dato]],"&gt;="&amp;L$8,LayTable[[Dato]:[Dato]],"&lt;="&amp;EOMONTH(L$8,0),LayTable[[Bookmaker]:[Bookmaker]],$A53)+SUMIFS(BetTable[[AR_per_bookie]:[AR_per_bookie]],BetTable[[B1]:[B1]],$A53,BetTable[[Date]:[Date]], "&gt;="&amp;L$8,BetTable[[Date]:[Date]],"&lt;="&amp;EOMONTH(L$8,0))+SUMIFS(BetTable[[AR_per_bookie]:[AR_per_bookie]],BetTable[[B2]:[B2]],$A53,BetTable[[Date]:[Date]], "&gt;="&amp;L$8,BetTable[[Date]:[Date]],"&lt;="&amp;EOMONTH(L$8,0))+SUMIFS(BetTable[[AR_per_bookie]:[AR_per_bookie]],BetTable[[B3]:[B3]],$A53,BetTable[[Date]:[Date]], "&gt;="&amp;L$8,BetTable[[Date]:[Date]],"&lt;="&amp;EOMONTH(L$8,0))</f>
        <v>0</v>
      </c>
      <c r="M53" s="126">
        <f>SUMIFS(DWbonus[[Sum]:[Sum]],DWbonus[[Dato]:[Dato]], "&gt;="&amp;M$8,DWbonus[[Dato]:[Dato]],"&lt;="&amp;EOMONTH(M$8,0),DWbonus[[Bookie]:[Bookie]],$A53)+SUMIFS(LayTable[[Faktisk res]:[Faktisk res]],LayTable[[Dato]:[Dato]],"&gt;="&amp;M$8,LayTable[[Dato]:[Dato]],"&lt;="&amp;EOMONTH(M$8,0),LayTable[[Bookmaker]:[Bookmaker]],$A53)+SUMIFS(BetTable[[AR_per_bookie]:[AR_per_bookie]],BetTable[[B1]:[B1]],$A53,BetTable[[Date]:[Date]], "&gt;="&amp;M$8,BetTable[[Date]:[Date]],"&lt;="&amp;EOMONTH(M$8,0))+SUMIFS(BetTable[[AR_per_bookie]:[AR_per_bookie]],BetTable[[B2]:[B2]],$A53,BetTable[[Date]:[Date]], "&gt;="&amp;M$8,BetTable[[Date]:[Date]],"&lt;="&amp;EOMONTH(M$8,0))+SUMIFS(BetTable[[AR_per_bookie]:[AR_per_bookie]],BetTable[[B3]:[B3]],$A53,BetTable[[Date]:[Date]], "&gt;="&amp;M$8,BetTable[[Date]:[Date]],"&lt;="&amp;EOMONTH(M$8,0))</f>
        <v>0</v>
      </c>
      <c r="N53" s="126">
        <f>SUMIFS(DWbonus[[Sum]:[Sum]],DWbonus[[Dato]:[Dato]], "&gt;="&amp;N$8,DWbonus[[Dato]:[Dato]],"&lt;="&amp;EOMONTH(N$8,0),DWbonus[[Bookie]:[Bookie]],$A53)+SUMIFS(LayTable[[Faktisk res]:[Faktisk res]],LayTable[[Dato]:[Dato]],"&gt;="&amp;N$8,LayTable[[Dato]:[Dato]],"&lt;="&amp;EOMONTH(N$8,0),LayTable[[Bookmaker]:[Bookmaker]],$A53)+SUMIFS(BetTable[[AR_per_bookie]:[AR_per_bookie]],BetTable[[B1]:[B1]],$A53,BetTable[[Date]:[Date]], "&gt;="&amp;N$8,BetTable[[Date]:[Date]],"&lt;="&amp;EOMONTH(N$8,0))+SUMIFS(BetTable[[AR_per_bookie]:[AR_per_bookie]],BetTable[[B2]:[B2]],$A53,BetTable[[Date]:[Date]], "&gt;="&amp;N$8,BetTable[[Date]:[Date]],"&lt;="&amp;EOMONTH(N$8,0))+SUMIFS(BetTable[[AR_per_bookie]:[AR_per_bookie]],BetTable[[B3]:[B3]],$A53,BetTable[[Date]:[Date]], "&gt;="&amp;N$8,BetTable[[Date]:[Date]],"&lt;="&amp;EOMONTH(N$8,0))</f>
        <v>0</v>
      </c>
      <c r="O53" s="126">
        <f>SUMIFS(DWbonus[[Sum]:[Sum]],DWbonus[[Dato]:[Dato]], "&gt;="&amp;O$8,DWbonus[[Dato]:[Dato]],"&lt;="&amp;EOMONTH(O$8,0),DWbonus[[Bookie]:[Bookie]],$A53)+SUMIFS(LayTable[[Faktisk res]:[Faktisk res]],LayTable[[Dato]:[Dato]],"&gt;="&amp;O$8,LayTable[[Dato]:[Dato]],"&lt;="&amp;EOMONTH(O$8,0),LayTable[[Bookmaker]:[Bookmaker]],$A53)+SUMIFS(BetTable[[AR_per_bookie]:[AR_per_bookie]],BetTable[[B1]:[B1]],$A53,BetTable[[Date]:[Date]], "&gt;="&amp;O$8,BetTable[[Date]:[Date]],"&lt;="&amp;EOMONTH(O$8,0))+SUMIFS(BetTable[[AR_per_bookie]:[AR_per_bookie]],BetTable[[B2]:[B2]],$A53,BetTable[[Date]:[Date]], "&gt;="&amp;O$8,BetTable[[Date]:[Date]],"&lt;="&amp;EOMONTH(O$8,0))+SUMIFS(BetTable[[AR_per_bookie]:[AR_per_bookie]],BetTable[[B3]:[B3]],$A53,BetTable[[Date]:[Date]], "&gt;="&amp;O$8,BetTable[[Date]:[Date]],"&lt;="&amp;EOMONTH(O$8,0))</f>
        <v>0</v>
      </c>
      <c r="P53" s="126">
        <f>SUMIFS(DWbonus[[Sum]:[Sum]],DWbonus[[Dato]:[Dato]], "&gt;="&amp;P$8,DWbonus[[Dato]:[Dato]],"&lt;="&amp;EOMONTH(P$8,0),DWbonus[[Bookie]:[Bookie]],$A53)+SUMIFS(LayTable[[Faktisk res]:[Faktisk res]],LayTable[[Dato]:[Dato]],"&gt;="&amp;P$8,LayTable[[Dato]:[Dato]],"&lt;="&amp;EOMONTH(P$8,0),LayTable[[Bookmaker]:[Bookmaker]],$A53)+SUMIFS(BetTable[[AR_per_bookie]:[AR_per_bookie]],BetTable[[B1]:[B1]],$A53,BetTable[[Date]:[Date]], "&gt;="&amp;P$8,BetTable[[Date]:[Date]],"&lt;="&amp;EOMONTH(P$8,0))+SUMIFS(BetTable[[AR_per_bookie]:[AR_per_bookie]],BetTable[[B2]:[B2]],$A53,BetTable[[Date]:[Date]], "&gt;="&amp;P$8,BetTable[[Date]:[Date]],"&lt;="&amp;EOMONTH(P$8,0))+SUMIFS(BetTable[[AR_per_bookie]:[AR_per_bookie]],BetTable[[B3]:[B3]],$A53,BetTable[[Date]:[Date]], "&gt;="&amp;P$8,BetTable[[Date]:[Date]],"&lt;="&amp;EOMONTH(P$8,0))</f>
        <v>0</v>
      </c>
      <c r="Q53" s="126">
        <f>SUMIFS(DWbonus[[Sum]:[Sum]],DWbonus[[Dato]:[Dato]], "&gt;="&amp;Q$8,DWbonus[[Dato]:[Dato]],"&lt;="&amp;EOMONTH(Q$8,0),DWbonus[[Bookie]:[Bookie]],$A53)+SUMIFS(LayTable[[Faktisk res]:[Faktisk res]],LayTable[[Dato]:[Dato]],"&gt;="&amp;Q$8,LayTable[[Dato]:[Dato]],"&lt;="&amp;EOMONTH(Q$8,0),LayTable[[Bookmaker]:[Bookmaker]],$A53)+SUMIFS(BetTable[[AR_per_bookie]:[AR_per_bookie]],BetTable[[B1]:[B1]],$A53,BetTable[[Date]:[Date]], "&gt;="&amp;Q$8,BetTable[[Date]:[Date]],"&lt;="&amp;EOMONTH(Q$8,0))+SUMIFS(BetTable[[AR_per_bookie]:[AR_per_bookie]],BetTable[[B2]:[B2]],$A53,BetTable[[Date]:[Date]], "&gt;="&amp;Q$8,BetTable[[Date]:[Date]],"&lt;="&amp;EOMONTH(Q$8,0))+SUMIFS(BetTable[[AR_per_bookie]:[AR_per_bookie]],BetTable[[B3]:[B3]],$A53,BetTable[[Date]:[Date]], "&gt;="&amp;Q$8,BetTable[[Date]:[Date]],"&lt;="&amp;EOMONTH(Q$8,0))</f>
        <v>0</v>
      </c>
      <c r="R53" s="126">
        <f>SUMIFS(DWbonus[[Sum]:[Sum]],DWbonus[[Dato]:[Dato]], "&gt;="&amp;R$8,DWbonus[[Dato]:[Dato]],"&lt;="&amp;EOMONTH(R$8,0),DWbonus[[Bookie]:[Bookie]],$A53)+SUMIFS(LayTable[[Faktisk res]:[Faktisk res]],LayTable[[Dato]:[Dato]],"&gt;="&amp;R$8,LayTable[[Dato]:[Dato]],"&lt;="&amp;EOMONTH(R$8,0),LayTable[[Bookmaker]:[Bookmaker]],$A53)+SUMIFS(BetTable[[AR_per_bookie]:[AR_per_bookie]],BetTable[[B1]:[B1]],$A53,BetTable[[Date]:[Date]], "&gt;="&amp;R$8,BetTable[[Date]:[Date]],"&lt;="&amp;EOMONTH(R$8,0))+SUMIFS(BetTable[[AR_per_bookie]:[AR_per_bookie]],BetTable[[B2]:[B2]],$A53,BetTable[[Date]:[Date]], "&gt;="&amp;R$8,BetTable[[Date]:[Date]],"&lt;="&amp;EOMONTH(R$8,0))+SUMIFS(BetTable[[AR_per_bookie]:[AR_per_bookie]],BetTable[[B3]:[B3]],$A53,BetTable[[Date]:[Date]], "&gt;="&amp;R$8,BetTable[[Date]:[Date]],"&lt;="&amp;EOMONTH(R$8,0))</f>
        <v>0</v>
      </c>
      <c r="S53" s="126">
        <f>SUMIFS(DWbonus[[Sum]:[Sum]],DWbonus[[Dato]:[Dato]], "&gt;="&amp;S$8,DWbonus[[Dato]:[Dato]],"&lt;="&amp;EOMONTH(S$8,0),DWbonus[[Bookie]:[Bookie]],$A53)+SUMIFS(LayTable[[Faktisk res]:[Faktisk res]],LayTable[[Dato]:[Dato]],"&gt;="&amp;S$8,LayTable[[Dato]:[Dato]],"&lt;="&amp;EOMONTH(S$8,0),LayTable[[Bookmaker]:[Bookmaker]],$A53)+SUMIFS(BetTable[[AR_per_bookie]:[AR_per_bookie]],BetTable[[B1]:[B1]],$A53,BetTable[[Date]:[Date]], "&gt;="&amp;S$8,BetTable[[Date]:[Date]],"&lt;="&amp;EOMONTH(S$8,0))+SUMIFS(BetTable[[AR_per_bookie]:[AR_per_bookie]],BetTable[[B2]:[B2]],$A53,BetTable[[Date]:[Date]], "&gt;="&amp;S$8,BetTable[[Date]:[Date]],"&lt;="&amp;EOMONTH(S$8,0))+SUMIFS(BetTable[[AR_per_bookie]:[AR_per_bookie]],BetTable[[B3]:[B3]],$A53,BetTable[[Date]:[Date]], "&gt;="&amp;S$8,BetTable[[Date]:[Date]],"&lt;="&amp;EOMONTH(S$8,0))</f>
        <v>0</v>
      </c>
    </row>
    <row r="54" spans="1:19">
      <c r="A54" s="115" t="str">
        <f>BookieNavn!I46</f>
        <v>NorgeVegas</v>
      </c>
      <c r="B54" s="126">
        <f>SUMIF(Penger!D$1:D$50072,A54,Penger!F$1:F$50072)</f>
        <v>0</v>
      </c>
      <c r="C54" s="126">
        <f>SUMIF(Penger!T$1:T$50072,A54,Penger!U$1:U$50072)</f>
        <v>0</v>
      </c>
      <c r="D54" s="126">
        <f ca="1">SUMIF(Spill!C$1:C$499895,A54,Spill!T$1:T$49895)+C54</f>
        <v>0</v>
      </c>
      <c r="E54" s="126">
        <f>SUMIF(Spill!C$1:C$49895,A54,Spill!T$1:T$49895)</f>
        <v>0</v>
      </c>
      <c r="F54" s="121" t="e">
        <f t="shared" ca="1" si="1"/>
        <v>#DIV/0!</v>
      </c>
      <c r="H54" s="126">
        <f>SUMIFS(DWbonus[[Sum]:[Sum]],DWbonus[[Dato]:[Dato]], "&gt;="&amp;H$8,DWbonus[[Dato]:[Dato]],"&lt;="&amp;EOMONTH(H$8,0),DWbonus[[Bookie]:[Bookie]],$A54)+SUMIFS(LayTable[[Faktisk res]:[Faktisk res]],LayTable[[Dato]:[Dato]],"&gt;="&amp;H$8,LayTable[[Dato]:[Dato]],"&lt;="&amp;EOMONTH(H$8,0),LayTable[[Bookmaker]:[Bookmaker]],$A54)+SUMIFS(BetTable[[AR_per_bookie]:[AR_per_bookie]],BetTable[[B1]:[B1]],$A54,BetTable[[Date]:[Date]], "&gt;="&amp;H$8,BetTable[[Date]:[Date]],"&lt;="&amp;EOMONTH(H$8,0))+SUMIFS(BetTable[[AR_per_bookie]:[AR_per_bookie]],BetTable[[B2]:[B2]],$A54,BetTable[[Date]:[Date]], "&gt;="&amp;H$8,BetTable[[Date]:[Date]],"&lt;="&amp;EOMONTH(H$8,0))+SUMIFS(BetTable[[AR_per_bookie]:[AR_per_bookie]],BetTable[[B3]:[B3]],$A54,BetTable[[Date]:[Date]], "&gt;="&amp;H$8,BetTable[[Date]:[Date]],"&lt;="&amp;EOMONTH(H$8,0))</f>
        <v>0</v>
      </c>
      <c r="I54" s="126">
        <f>SUMIFS(DWbonus[[Sum]:[Sum]],DWbonus[[Dato]:[Dato]], "&gt;="&amp;I$8,DWbonus[[Dato]:[Dato]],"&lt;="&amp;EOMONTH(I$8,0),DWbonus[[Bookie]:[Bookie]],$A54)+SUMIFS(LayTable[[Faktisk res]:[Faktisk res]],LayTable[[Dato]:[Dato]],"&gt;="&amp;I$8,LayTable[[Dato]:[Dato]],"&lt;="&amp;EOMONTH(I$8,0),LayTable[[Bookmaker]:[Bookmaker]],$A54)+SUMIFS(BetTable[[AR_per_bookie]:[AR_per_bookie]],BetTable[[B1]:[B1]],$A54,BetTable[[Date]:[Date]], "&gt;="&amp;I$8,BetTable[[Date]:[Date]],"&lt;="&amp;EOMONTH(I$8,0))+SUMIFS(BetTable[[AR_per_bookie]:[AR_per_bookie]],BetTable[[B2]:[B2]],$A54,BetTable[[Date]:[Date]], "&gt;="&amp;I$8,BetTable[[Date]:[Date]],"&lt;="&amp;EOMONTH(I$8,0))+SUMIFS(BetTable[[AR_per_bookie]:[AR_per_bookie]],BetTable[[B3]:[B3]],$A54,BetTable[[Date]:[Date]], "&gt;="&amp;I$8,BetTable[[Date]:[Date]],"&lt;="&amp;EOMONTH(I$8,0))</f>
        <v>0</v>
      </c>
      <c r="J54" s="126">
        <f>SUMIFS(DWbonus[[Sum]:[Sum]],DWbonus[[Dato]:[Dato]], "&gt;="&amp;J$8,DWbonus[[Dato]:[Dato]],"&lt;="&amp;EOMONTH(J$8,0),DWbonus[[Bookie]:[Bookie]],$A54)+SUMIFS(LayTable[[Faktisk res]:[Faktisk res]],LayTable[[Dato]:[Dato]],"&gt;="&amp;J$8,LayTable[[Dato]:[Dato]],"&lt;="&amp;EOMONTH(J$8,0),LayTable[[Bookmaker]:[Bookmaker]],$A54)+SUMIFS(BetTable[[AR_per_bookie]:[AR_per_bookie]],BetTable[[B1]:[B1]],$A54,BetTable[[Date]:[Date]], "&gt;="&amp;J$8,BetTable[[Date]:[Date]],"&lt;="&amp;EOMONTH(J$8,0))+SUMIFS(BetTable[[AR_per_bookie]:[AR_per_bookie]],BetTable[[B2]:[B2]],$A54,BetTable[[Date]:[Date]], "&gt;="&amp;J$8,BetTable[[Date]:[Date]],"&lt;="&amp;EOMONTH(J$8,0))+SUMIFS(BetTable[[AR_per_bookie]:[AR_per_bookie]],BetTable[[B3]:[B3]],$A54,BetTable[[Date]:[Date]], "&gt;="&amp;J$8,BetTable[[Date]:[Date]],"&lt;="&amp;EOMONTH(J$8,0))</f>
        <v>0</v>
      </c>
      <c r="K54" s="126">
        <f>SUMIFS(DWbonus[[Sum]:[Sum]],DWbonus[[Dato]:[Dato]], "&gt;="&amp;K$8,DWbonus[[Dato]:[Dato]],"&lt;="&amp;EOMONTH(K$8,0),DWbonus[[Bookie]:[Bookie]],$A54)+SUMIFS(LayTable[[Faktisk res]:[Faktisk res]],LayTable[[Dato]:[Dato]],"&gt;="&amp;K$8,LayTable[[Dato]:[Dato]],"&lt;="&amp;EOMONTH(K$8,0),LayTable[[Bookmaker]:[Bookmaker]],$A54)+SUMIFS(BetTable[[AR_per_bookie]:[AR_per_bookie]],BetTable[[B1]:[B1]],$A54,BetTable[[Date]:[Date]], "&gt;="&amp;K$8,BetTable[[Date]:[Date]],"&lt;="&amp;EOMONTH(K$8,0))+SUMIFS(BetTable[[AR_per_bookie]:[AR_per_bookie]],BetTable[[B2]:[B2]],$A54,BetTable[[Date]:[Date]], "&gt;="&amp;K$8,BetTable[[Date]:[Date]],"&lt;="&amp;EOMONTH(K$8,0))+SUMIFS(BetTable[[AR_per_bookie]:[AR_per_bookie]],BetTable[[B3]:[B3]],$A54,BetTable[[Date]:[Date]], "&gt;="&amp;K$8,BetTable[[Date]:[Date]],"&lt;="&amp;EOMONTH(K$8,0))</f>
        <v>0</v>
      </c>
      <c r="L54" s="126">
        <f>SUMIFS(DWbonus[[Sum]:[Sum]],DWbonus[[Dato]:[Dato]], "&gt;="&amp;L$8,DWbonus[[Dato]:[Dato]],"&lt;="&amp;EOMONTH(L$8,0),DWbonus[[Bookie]:[Bookie]],$A54)+SUMIFS(LayTable[[Faktisk res]:[Faktisk res]],LayTable[[Dato]:[Dato]],"&gt;="&amp;L$8,LayTable[[Dato]:[Dato]],"&lt;="&amp;EOMONTH(L$8,0),LayTable[[Bookmaker]:[Bookmaker]],$A54)+SUMIFS(BetTable[[AR_per_bookie]:[AR_per_bookie]],BetTable[[B1]:[B1]],$A54,BetTable[[Date]:[Date]], "&gt;="&amp;L$8,BetTable[[Date]:[Date]],"&lt;="&amp;EOMONTH(L$8,0))+SUMIFS(BetTable[[AR_per_bookie]:[AR_per_bookie]],BetTable[[B2]:[B2]],$A54,BetTable[[Date]:[Date]], "&gt;="&amp;L$8,BetTable[[Date]:[Date]],"&lt;="&amp;EOMONTH(L$8,0))+SUMIFS(BetTable[[AR_per_bookie]:[AR_per_bookie]],BetTable[[B3]:[B3]],$A54,BetTable[[Date]:[Date]], "&gt;="&amp;L$8,BetTable[[Date]:[Date]],"&lt;="&amp;EOMONTH(L$8,0))</f>
        <v>0</v>
      </c>
      <c r="M54" s="126">
        <f>SUMIFS(DWbonus[[Sum]:[Sum]],DWbonus[[Dato]:[Dato]], "&gt;="&amp;M$8,DWbonus[[Dato]:[Dato]],"&lt;="&amp;EOMONTH(M$8,0),DWbonus[[Bookie]:[Bookie]],$A54)+SUMIFS(LayTable[[Faktisk res]:[Faktisk res]],LayTable[[Dato]:[Dato]],"&gt;="&amp;M$8,LayTable[[Dato]:[Dato]],"&lt;="&amp;EOMONTH(M$8,0),LayTable[[Bookmaker]:[Bookmaker]],$A54)+SUMIFS(BetTable[[AR_per_bookie]:[AR_per_bookie]],BetTable[[B1]:[B1]],$A54,BetTable[[Date]:[Date]], "&gt;="&amp;M$8,BetTable[[Date]:[Date]],"&lt;="&amp;EOMONTH(M$8,0))+SUMIFS(BetTable[[AR_per_bookie]:[AR_per_bookie]],BetTable[[B2]:[B2]],$A54,BetTable[[Date]:[Date]], "&gt;="&amp;M$8,BetTable[[Date]:[Date]],"&lt;="&amp;EOMONTH(M$8,0))+SUMIFS(BetTable[[AR_per_bookie]:[AR_per_bookie]],BetTable[[B3]:[B3]],$A54,BetTable[[Date]:[Date]], "&gt;="&amp;M$8,BetTable[[Date]:[Date]],"&lt;="&amp;EOMONTH(M$8,0))</f>
        <v>0</v>
      </c>
      <c r="N54" s="126">
        <f>SUMIFS(DWbonus[[Sum]:[Sum]],DWbonus[[Dato]:[Dato]], "&gt;="&amp;N$8,DWbonus[[Dato]:[Dato]],"&lt;="&amp;EOMONTH(N$8,0),DWbonus[[Bookie]:[Bookie]],$A54)+SUMIFS(LayTable[[Faktisk res]:[Faktisk res]],LayTable[[Dato]:[Dato]],"&gt;="&amp;N$8,LayTable[[Dato]:[Dato]],"&lt;="&amp;EOMONTH(N$8,0),LayTable[[Bookmaker]:[Bookmaker]],$A54)+SUMIFS(BetTable[[AR_per_bookie]:[AR_per_bookie]],BetTable[[B1]:[B1]],$A54,BetTable[[Date]:[Date]], "&gt;="&amp;N$8,BetTable[[Date]:[Date]],"&lt;="&amp;EOMONTH(N$8,0))+SUMIFS(BetTable[[AR_per_bookie]:[AR_per_bookie]],BetTable[[B2]:[B2]],$A54,BetTable[[Date]:[Date]], "&gt;="&amp;N$8,BetTable[[Date]:[Date]],"&lt;="&amp;EOMONTH(N$8,0))+SUMIFS(BetTable[[AR_per_bookie]:[AR_per_bookie]],BetTable[[B3]:[B3]],$A54,BetTable[[Date]:[Date]], "&gt;="&amp;N$8,BetTable[[Date]:[Date]],"&lt;="&amp;EOMONTH(N$8,0))</f>
        <v>0</v>
      </c>
      <c r="O54" s="126">
        <f>SUMIFS(DWbonus[[Sum]:[Sum]],DWbonus[[Dato]:[Dato]], "&gt;="&amp;O$8,DWbonus[[Dato]:[Dato]],"&lt;="&amp;EOMONTH(O$8,0),DWbonus[[Bookie]:[Bookie]],$A54)+SUMIFS(LayTable[[Faktisk res]:[Faktisk res]],LayTable[[Dato]:[Dato]],"&gt;="&amp;O$8,LayTable[[Dato]:[Dato]],"&lt;="&amp;EOMONTH(O$8,0),LayTable[[Bookmaker]:[Bookmaker]],$A54)+SUMIFS(BetTable[[AR_per_bookie]:[AR_per_bookie]],BetTable[[B1]:[B1]],$A54,BetTable[[Date]:[Date]], "&gt;="&amp;O$8,BetTable[[Date]:[Date]],"&lt;="&amp;EOMONTH(O$8,0))+SUMIFS(BetTable[[AR_per_bookie]:[AR_per_bookie]],BetTable[[B2]:[B2]],$A54,BetTable[[Date]:[Date]], "&gt;="&amp;O$8,BetTable[[Date]:[Date]],"&lt;="&amp;EOMONTH(O$8,0))+SUMIFS(BetTable[[AR_per_bookie]:[AR_per_bookie]],BetTable[[B3]:[B3]],$A54,BetTable[[Date]:[Date]], "&gt;="&amp;O$8,BetTable[[Date]:[Date]],"&lt;="&amp;EOMONTH(O$8,0))</f>
        <v>0</v>
      </c>
      <c r="P54" s="126">
        <f>SUMIFS(DWbonus[[Sum]:[Sum]],DWbonus[[Dato]:[Dato]], "&gt;="&amp;P$8,DWbonus[[Dato]:[Dato]],"&lt;="&amp;EOMONTH(P$8,0),DWbonus[[Bookie]:[Bookie]],$A54)+SUMIFS(LayTable[[Faktisk res]:[Faktisk res]],LayTable[[Dato]:[Dato]],"&gt;="&amp;P$8,LayTable[[Dato]:[Dato]],"&lt;="&amp;EOMONTH(P$8,0),LayTable[[Bookmaker]:[Bookmaker]],$A54)+SUMIFS(BetTable[[AR_per_bookie]:[AR_per_bookie]],BetTable[[B1]:[B1]],$A54,BetTable[[Date]:[Date]], "&gt;="&amp;P$8,BetTable[[Date]:[Date]],"&lt;="&amp;EOMONTH(P$8,0))+SUMIFS(BetTable[[AR_per_bookie]:[AR_per_bookie]],BetTable[[B2]:[B2]],$A54,BetTable[[Date]:[Date]], "&gt;="&amp;P$8,BetTable[[Date]:[Date]],"&lt;="&amp;EOMONTH(P$8,0))+SUMIFS(BetTable[[AR_per_bookie]:[AR_per_bookie]],BetTable[[B3]:[B3]],$A54,BetTable[[Date]:[Date]], "&gt;="&amp;P$8,BetTable[[Date]:[Date]],"&lt;="&amp;EOMONTH(P$8,0))</f>
        <v>0</v>
      </c>
      <c r="Q54" s="126">
        <f>SUMIFS(DWbonus[[Sum]:[Sum]],DWbonus[[Dato]:[Dato]], "&gt;="&amp;Q$8,DWbonus[[Dato]:[Dato]],"&lt;="&amp;EOMONTH(Q$8,0),DWbonus[[Bookie]:[Bookie]],$A54)+SUMIFS(LayTable[[Faktisk res]:[Faktisk res]],LayTable[[Dato]:[Dato]],"&gt;="&amp;Q$8,LayTable[[Dato]:[Dato]],"&lt;="&amp;EOMONTH(Q$8,0),LayTable[[Bookmaker]:[Bookmaker]],$A54)+SUMIFS(BetTable[[AR_per_bookie]:[AR_per_bookie]],BetTable[[B1]:[B1]],$A54,BetTable[[Date]:[Date]], "&gt;="&amp;Q$8,BetTable[[Date]:[Date]],"&lt;="&amp;EOMONTH(Q$8,0))+SUMIFS(BetTable[[AR_per_bookie]:[AR_per_bookie]],BetTable[[B2]:[B2]],$A54,BetTable[[Date]:[Date]], "&gt;="&amp;Q$8,BetTable[[Date]:[Date]],"&lt;="&amp;EOMONTH(Q$8,0))+SUMIFS(BetTable[[AR_per_bookie]:[AR_per_bookie]],BetTable[[B3]:[B3]],$A54,BetTable[[Date]:[Date]], "&gt;="&amp;Q$8,BetTable[[Date]:[Date]],"&lt;="&amp;EOMONTH(Q$8,0))</f>
        <v>0</v>
      </c>
      <c r="R54" s="126">
        <f>SUMIFS(DWbonus[[Sum]:[Sum]],DWbonus[[Dato]:[Dato]], "&gt;="&amp;R$8,DWbonus[[Dato]:[Dato]],"&lt;="&amp;EOMONTH(R$8,0),DWbonus[[Bookie]:[Bookie]],$A54)+SUMIFS(LayTable[[Faktisk res]:[Faktisk res]],LayTable[[Dato]:[Dato]],"&gt;="&amp;R$8,LayTable[[Dato]:[Dato]],"&lt;="&amp;EOMONTH(R$8,0),LayTable[[Bookmaker]:[Bookmaker]],$A54)+SUMIFS(BetTable[[AR_per_bookie]:[AR_per_bookie]],BetTable[[B1]:[B1]],$A54,BetTable[[Date]:[Date]], "&gt;="&amp;R$8,BetTable[[Date]:[Date]],"&lt;="&amp;EOMONTH(R$8,0))+SUMIFS(BetTable[[AR_per_bookie]:[AR_per_bookie]],BetTable[[B2]:[B2]],$A54,BetTable[[Date]:[Date]], "&gt;="&amp;R$8,BetTable[[Date]:[Date]],"&lt;="&amp;EOMONTH(R$8,0))+SUMIFS(BetTable[[AR_per_bookie]:[AR_per_bookie]],BetTable[[B3]:[B3]],$A54,BetTable[[Date]:[Date]], "&gt;="&amp;R$8,BetTable[[Date]:[Date]],"&lt;="&amp;EOMONTH(R$8,0))</f>
        <v>0</v>
      </c>
      <c r="S54" s="126">
        <f>SUMIFS(DWbonus[[Sum]:[Sum]],DWbonus[[Dato]:[Dato]], "&gt;="&amp;S$8,DWbonus[[Dato]:[Dato]],"&lt;="&amp;EOMONTH(S$8,0),DWbonus[[Bookie]:[Bookie]],$A54)+SUMIFS(LayTable[[Faktisk res]:[Faktisk res]],LayTable[[Dato]:[Dato]],"&gt;="&amp;S$8,LayTable[[Dato]:[Dato]],"&lt;="&amp;EOMONTH(S$8,0),LayTable[[Bookmaker]:[Bookmaker]],$A54)+SUMIFS(BetTable[[AR_per_bookie]:[AR_per_bookie]],BetTable[[B1]:[B1]],$A54,BetTable[[Date]:[Date]], "&gt;="&amp;S$8,BetTable[[Date]:[Date]],"&lt;="&amp;EOMONTH(S$8,0))+SUMIFS(BetTable[[AR_per_bookie]:[AR_per_bookie]],BetTable[[B2]:[B2]],$A54,BetTable[[Date]:[Date]], "&gt;="&amp;S$8,BetTable[[Date]:[Date]],"&lt;="&amp;EOMONTH(S$8,0))+SUMIFS(BetTable[[AR_per_bookie]:[AR_per_bookie]],BetTable[[B3]:[B3]],$A54,BetTable[[Date]:[Date]], "&gt;="&amp;S$8,BetTable[[Date]:[Date]],"&lt;="&amp;EOMONTH(S$8,0))</f>
        <v>0</v>
      </c>
    </row>
    <row r="55" spans="1:19">
      <c r="A55" s="115" t="str">
        <f>BookieNavn!I47</f>
        <v>NorskTipping</v>
      </c>
      <c r="B55" s="126">
        <f>SUMIF(Penger!D$1:D$50072,A55,Penger!F$1:F$50072)</f>
        <v>0</v>
      </c>
      <c r="C55" s="126">
        <f>SUMIF(Penger!T$1:T$50072,A55,Penger!U$1:U$50072)</f>
        <v>0</v>
      </c>
      <c r="D55" s="126">
        <f ca="1">SUMIF(Spill!C$1:C$499895,A55,Spill!T$1:T$49895)+C55</f>
        <v>0</v>
      </c>
      <c r="E55" s="126">
        <f>SUMIF(Spill!C$1:C$49895,A55,Spill!T$1:T$49895)</f>
        <v>0</v>
      </c>
      <c r="F55" s="121" t="e">
        <f t="shared" ca="1" si="1"/>
        <v>#DIV/0!</v>
      </c>
      <c r="H55" s="126">
        <f>SUMIFS(DWbonus[[Sum]:[Sum]],DWbonus[[Dato]:[Dato]], "&gt;="&amp;H$8,DWbonus[[Dato]:[Dato]],"&lt;="&amp;EOMONTH(H$8,0),DWbonus[[Bookie]:[Bookie]],$A55)+SUMIFS(LayTable[[Faktisk res]:[Faktisk res]],LayTable[[Dato]:[Dato]],"&gt;="&amp;H$8,LayTable[[Dato]:[Dato]],"&lt;="&amp;EOMONTH(H$8,0),LayTable[[Bookmaker]:[Bookmaker]],$A55)+SUMIFS(BetTable[[AR_per_bookie]:[AR_per_bookie]],BetTable[[B1]:[B1]],$A55,BetTable[[Date]:[Date]], "&gt;="&amp;H$8,BetTable[[Date]:[Date]],"&lt;="&amp;EOMONTH(H$8,0))+SUMIFS(BetTable[[AR_per_bookie]:[AR_per_bookie]],BetTable[[B2]:[B2]],$A55,BetTable[[Date]:[Date]], "&gt;="&amp;H$8,BetTable[[Date]:[Date]],"&lt;="&amp;EOMONTH(H$8,0))+SUMIFS(BetTable[[AR_per_bookie]:[AR_per_bookie]],BetTable[[B3]:[B3]],$A55,BetTable[[Date]:[Date]], "&gt;="&amp;H$8,BetTable[[Date]:[Date]],"&lt;="&amp;EOMONTH(H$8,0))</f>
        <v>0</v>
      </c>
      <c r="I55" s="126">
        <f>SUMIFS(DWbonus[[Sum]:[Sum]],DWbonus[[Dato]:[Dato]], "&gt;="&amp;I$8,DWbonus[[Dato]:[Dato]],"&lt;="&amp;EOMONTH(I$8,0),DWbonus[[Bookie]:[Bookie]],$A55)+SUMIFS(LayTable[[Faktisk res]:[Faktisk res]],LayTable[[Dato]:[Dato]],"&gt;="&amp;I$8,LayTable[[Dato]:[Dato]],"&lt;="&amp;EOMONTH(I$8,0),LayTable[[Bookmaker]:[Bookmaker]],$A55)+SUMIFS(BetTable[[AR_per_bookie]:[AR_per_bookie]],BetTable[[B1]:[B1]],$A55,BetTable[[Date]:[Date]], "&gt;="&amp;I$8,BetTable[[Date]:[Date]],"&lt;="&amp;EOMONTH(I$8,0))+SUMIFS(BetTable[[AR_per_bookie]:[AR_per_bookie]],BetTable[[B2]:[B2]],$A55,BetTable[[Date]:[Date]], "&gt;="&amp;I$8,BetTable[[Date]:[Date]],"&lt;="&amp;EOMONTH(I$8,0))+SUMIFS(BetTable[[AR_per_bookie]:[AR_per_bookie]],BetTable[[B3]:[B3]],$A55,BetTable[[Date]:[Date]], "&gt;="&amp;I$8,BetTable[[Date]:[Date]],"&lt;="&amp;EOMONTH(I$8,0))</f>
        <v>0</v>
      </c>
      <c r="J55" s="126">
        <f>SUMIFS(DWbonus[[Sum]:[Sum]],DWbonus[[Dato]:[Dato]], "&gt;="&amp;J$8,DWbonus[[Dato]:[Dato]],"&lt;="&amp;EOMONTH(J$8,0),DWbonus[[Bookie]:[Bookie]],$A55)+SUMIFS(LayTable[[Faktisk res]:[Faktisk res]],LayTable[[Dato]:[Dato]],"&gt;="&amp;J$8,LayTable[[Dato]:[Dato]],"&lt;="&amp;EOMONTH(J$8,0),LayTable[[Bookmaker]:[Bookmaker]],$A55)+SUMIFS(BetTable[[AR_per_bookie]:[AR_per_bookie]],BetTable[[B1]:[B1]],$A55,BetTable[[Date]:[Date]], "&gt;="&amp;J$8,BetTable[[Date]:[Date]],"&lt;="&amp;EOMONTH(J$8,0))+SUMIFS(BetTable[[AR_per_bookie]:[AR_per_bookie]],BetTable[[B2]:[B2]],$A55,BetTable[[Date]:[Date]], "&gt;="&amp;J$8,BetTable[[Date]:[Date]],"&lt;="&amp;EOMONTH(J$8,0))+SUMIFS(BetTable[[AR_per_bookie]:[AR_per_bookie]],BetTable[[B3]:[B3]],$A55,BetTable[[Date]:[Date]], "&gt;="&amp;J$8,BetTable[[Date]:[Date]],"&lt;="&amp;EOMONTH(J$8,0))</f>
        <v>0</v>
      </c>
      <c r="K55" s="126">
        <f>SUMIFS(DWbonus[[Sum]:[Sum]],DWbonus[[Dato]:[Dato]], "&gt;="&amp;K$8,DWbonus[[Dato]:[Dato]],"&lt;="&amp;EOMONTH(K$8,0),DWbonus[[Bookie]:[Bookie]],$A55)+SUMIFS(LayTable[[Faktisk res]:[Faktisk res]],LayTable[[Dato]:[Dato]],"&gt;="&amp;K$8,LayTable[[Dato]:[Dato]],"&lt;="&amp;EOMONTH(K$8,0),LayTable[[Bookmaker]:[Bookmaker]],$A55)+SUMIFS(BetTable[[AR_per_bookie]:[AR_per_bookie]],BetTable[[B1]:[B1]],$A55,BetTable[[Date]:[Date]], "&gt;="&amp;K$8,BetTable[[Date]:[Date]],"&lt;="&amp;EOMONTH(K$8,0))+SUMIFS(BetTable[[AR_per_bookie]:[AR_per_bookie]],BetTable[[B2]:[B2]],$A55,BetTable[[Date]:[Date]], "&gt;="&amp;K$8,BetTable[[Date]:[Date]],"&lt;="&amp;EOMONTH(K$8,0))+SUMIFS(BetTable[[AR_per_bookie]:[AR_per_bookie]],BetTable[[B3]:[B3]],$A55,BetTable[[Date]:[Date]], "&gt;="&amp;K$8,BetTable[[Date]:[Date]],"&lt;="&amp;EOMONTH(K$8,0))</f>
        <v>0</v>
      </c>
      <c r="L55" s="126">
        <f>SUMIFS(DWbonus[[Sum]:[Sum]],DWbonus[[Dato]:[Dato]], "&gt;="&amp;L$8,DWbonus[[Dato]:[Dato]],"&lt;="&amp;EOMONTH(L$8,0),DWbonus[[Bookie]:[Bookie]],$A55)+SUMIFS(LayTable[[Faktisk res]:[Faktisk res]],LayTable[[Dato]:[Dato]],"&gt;="&amp;L$8,LayTable[[Dato]:[Dato]],"&lt;="&amp;EOMONTH(L$8,0),LayTable[[Bookmaker]:[Bookmaker]],$A55)+SUMIFS(BetTable[[AR_per_bookie]:[AR_per_bookie]],BetTable[[B1]:[B1]],$A55,BetTable[[Date]:[Date]], "&gt;="&amp;L$8,BetTable[[Date]:[Date]],"&lt;="&amp;EOMONTH(L$8,0))+SUMIFS(BetTable[[AR_per_bookie]:[AR_per_bookie]],BetTable[[B2]:[B2]],$A55,BetTable[[Date]:[Date]], "&gt;="&amp;L$8,BetTable[[Date]:[Date]],"&lt;="&amp;EOMONTH(L$8,0))+SUMIFS(BetTable[[AR_per_bookie]:[AR_per_bookie]],BetTable[[B3]:[B3]],$A55,BetTable[[Date]:[Date]], "&gt;="&amp;L$8,BetTable[[Date]:[Date]],"&lt;="&amp;EOMONTH(L$8,0))</f>
        <v>0</v>
      </c>
      <c r="M55" s="126">
        <f>SUMIFS(DWbonus[[Sum]:[Sum]],DWbonus[[Dato]:[Dato]], "&gt;="&amp;M$8,DWbonus[[Dato]:[Dato]],"&lt;="&amp;EOMONTH(M$8,0),DWbonus[[Bookie]:[Bookie]],$A55)+SUMIFS(LayTable[[Faktisk res]:[Faktisk res]],LayTable[[Dato]:[Dato]],"&gt;="&amp;M$8,LayTable[[Dato]:[Dato]],"&lt;="&amp;EOMONTH(M$8,0),LayTable[[Bookmaker]:[Bookmaker]],$A55)+SUMIFS(BetTable[[AR_per_bookie]:[AR_per_bookie]],BetTable[[B1]:[B1]],$A55,BetTable[[Date]:[Date]], "&gt;="&amp;M$8,BetTable[[Date]:[Date]],"&lt;="&amp;EOMONTH(M$8,0))+SUMIFS(BetTable[[AR_per_bookie]:[AR_per_bookie]],BetTable[[B2]:[B2]],$A55,BetTable[[Date]:[Date]], "&gt;="&amp;M$8,BetTable[[Date]:[Date]],"&lt;="&amp;EOMONTH(M$8,0))+SUMIFS(BetTable[[AR_per_bookie]:[AR_per_bookie]],BetTable[[B3]:[B3]],$A55,BetTable[[Date]:[Date]], "&gt;="&amp;M$8,BetTable[[Date]:[Date]],"&lt;="&amp;EOMONTH(M$8,0))</f>
        <v>0</v>
      </c>
      <c r="N55" s="126">
        <f>SUMIFS(DWbonus[[Sum]:[Sum]],DWbonus[[Dato]:[Dato]], "&gt;="&amp;N$8,DWbonus[[Dato]:[Dato]],"&lt;="&amp;EOMONTH(N$8,0),DWbonus[[Bookie]:[Bookie]],$A55)+SUMIFS(LayTable[[Faktisk res]:[Faktisk res]],LayTable[[Dato]:[Dato]],"&gt;="&amp;N$8,LayTable[[Dato]:[Dato]],"&lt;="&amp;EOMONTH(N$8,0),LayTable[[Bookmaker]:[Bookmaker]],$A55)+SUMIFS(BetTable[[AR_per_bookie]:[AR_per_bookie]],BetTable[[B1]:[B1]],$A55,BetTable[[Date]:[Date]], "&gt;="&amp;N$8,BetTable[[Date]:[Date]],"&lt;="&amp;EOMONTH(N$8,0))+SUMIFS(BetTable[[AR_per_bookie]:[AR_per_bookie]],BetTable[[B2]:[B2]],$A55,BetTable[[Date]:[Date]], "&gt;="&amp;N$8,BetTable[[Date]:[Date]],"&lt;="&amp;EOMONTH(N$8,0))+SUMIFS(BetTable[[AR_per_bookie]:[AR_per_bookie]],BetTable[[B3]:[B3]],$A55,BetTable[[Date]:[Date]], "&gt;="&amp;N$8,BetTable[[Date]:[Date]],"&lt;="&amp;EOMONTH(N$8,0))</f>
        <v>0</v>
      </c>
      <c r="O55" s="126">
        <f>SUMIFS(DWbonus[[Sum]:[Sum]],DWbonus[[Dato]:[Dato]], "&gt;="&amp;O$8,DWbonus[[Dato]:[Dato]],"&lt;="&amp;EOMONTH(O$8,0),DWbonus[[Bookie]:[Bookie]],$A55)+SUMIFS(LayTable[[Faktisk res]:[Faktisk res]],LayTable[[Dato]:[Dato]],"&gt;="&amp;O$8,LayTable[[Dato]:[Dato]],"&lt;="&amp;EOMONTH(O$8,0),LayTable[[Bookmaker]:[Bookmaker]],$A55)+SUMIFS(BetTable[[AR_per_bookie]:[AR_per_bookie]],BetTable[[B1]:[B1]],$A55,BetTable[[Date]:[Date]], "&gt;="&amp;O$8,BetTable[[Date]:[Date]],"&lt;="&amp;EOMONTH(O$8,0))+SUMIFS(BetTable[[AR_per_bookie]:[AR_per_bookie]],BetTable[[B2]:[B2]],$A55,BetTable[[Date]:[Date]], "&gt;="&amp;O$8,BetTable[[Date]:[Date]],"&lt;="&amp;EOMONTH(O$8,0))+SUMIFS(BetTable[[AR_per_bookie]:[AR_per_bookie]],BetTable[[B3]:[B3]],$A55,BetTable[[Date]:[Date]], "&gt;="&amp;O$8,BetTable[[Date]:[Date]],"&lt;="&amp;EOMONTH(O$8,0))</f>
        <v>0</v>
      </c>
      <c r="P55" s="126">
        <f>SUMIFS(DWbonus[[Sum]:[Sum]],DWbonus[[Dato]:[Dato]], "&gt;="&amp;P$8,DWbonus[[Dato]:[Dato]],"&lt;="&amp;EOMONTH(P$8,0),DWbonus[[Bookie]:[Bookie]],$A55)+SUMIFS(LayTable[[Faktisk res]:[Faktisk res]],LayTable[[Dato]:[Dato]],"&gt;="&amp;P$8,LayTable[[Dato]:[Dato]],"&lt;="&amp;EOMONTH(P$8,0),LayTable[[Bookmaker]:[Bookmaker]],$A55)+SUMIFS(BetTable[[AR_per_bookie]:[AR_per_bookie]],BetTable[[B1]:[B1]],$A55,BetTable[[Date]:[Date]], "&gt;="&amp;P$8,BetTable[[Date]:[Date]],"&lt;="&amp;EOMONTH(P$8,0))+SUMIFS(BetTable[[AR_per_bookie]:[AR_per_bookie]],BetTable[[B2]:[B2]],$A55,BetTable[[Date]:[Date]], "&gt;="&amp;P$8,BetTable[[Date]:[Date]],"&lt;="&amp;EOMONTH(P$8,0))+SUMIFS(BetTable[[AR_per_bookie]:[AR_per_bookie]],BetTable[[B3]:[B3]],$A55,BetTable[[Date]:[Date]], "&gt;="&amp;P$8,BetTable[[Date]:[Date]],"&lt;="&amp;EOMONTH(P$8,0))</f>
        <v>0</v>
      </c>
      <c r="Q55" s="126">
        <f>SUMIFS(DWbonus[[Sum]:[Sum]],DWbonus[[Dato]:[Dato]], "&gt;="&amp;Q$8,DWbonus[[Dato]:[Dato]],"&lt;="&amp;EOMONTH(Q$8,0),DWbonus[[Bookie]:[Bookie]],$A55)+SUMIFS(LayTable[[Faktisk res]:[Faktisk res]],LayTable[[Dato]:[Dato]],"&gt;="&amp;Q$8,LayTable[[Dato]:[Dato]],"&lt;="&amp;EOMONTH(Q$8,0),LayTable[[Bookmaker]:[Bookmaker]],$A55)+SUMIFS(BetTable[[AR_per_bookie]:[AR_per_bookie]],BetTable[[B1]:[B1]],$A55,BetTable[[Date]:[Date]], "&gt;="&amp;Q$8,BetTable[[Date]:[Date]],"&lt;="&amp;EOMONTH(Q$8,0))+SUMIFS(BetTable[[AR_per_bookie]:[AR_per_bookie]],BetTable[[B2]:[B2]],$A55,BetTable[[Date]:[Date]], "&gt;="&amp;Q$8,BetTable[[Date]:[Date]],"&lt;="&amp;EOMONTH(Q$8,0))+SUMIFS(BetTable[[AR_per_bookie]:[AR_per_bookie]],BetTable[[B3]:[B3]],$A55,BetTable[[Date]:[Date]], "&gt;="&amp;Q$8,BetTable[[Date]:[Date]],"&lt;="&amp;EOMONTH(Q$8,0))</f>
        <v>0</v>
      </c>
      <c r="R55" s="126">
        <f>SUMIFS(DWbonus[[Sum]:[Sum]],DWbonus[[Dato]:[Dato]], "&gt;="&amp;R$8,DWbonus[[Dato]:[Dato]],"&lt;="&amp;EOMONTH(R$8,0),DWbonus[[Bookie]:[Bookie]],$A55)+SUMIFS(LayTable[[Faktisk res]:[Faktisk res]],LayTable[[Dato]:[Dato]],"&gt;="&amp;R$8,LayTable[[Dato]:[Dato]],"&lt;="&amp;EOMONTH(R$8,0),LayTable[[Bookmaker]:[Bookmaker]],$A55)+SUMIFS(BetTable[[AR_per_bookie]:[AR_per_bookie]],BetTable[[B1]:[B1]],$A55,BetTable[[Date]:[Date]], "&gt;="&amp;R$8,BetTable[[Date]:[Date]],"&lt;="&amp;EOMONTH(R$8,0))+SUMIFS(BetTable[[AR_per_bookie]:[AR_per_bookie]],BetTable[[B2]:[B2]],$A55,BetTable[[Date]:[Date]], "&gt;="&amp;R$8,BetTable[[Date]:[Date]],"&lt;="&amp;EOMONTH(R$8,0))+SUMIFS(BetTable[[AR_per_bookie]:[AR_per_bookie]],BetTable[[B3]:[B3]],$A55,BetTable[[Date]:[Date]], "&gt;="&amp;R$8,BetTable[[Date]:[Date]],"&lt;="&amp;EOMONTH(R$8,0))</f>
        <v>0</v>
      </c>
      <c r="S55" s="126">
        <f>SUMIFS(DWbonus[[Sum]:[Sum]],DWbonus[[Dato]:[Dato]], "&gt;="&amp;S$8,DWbonus[[Dato]:[Dato]],"&lt;="&amp;EOMONTH(S$8,0),DWbonus[[Bookie]:[Bookie]],$A55)+SUMIFS(LayTable[[Faktisk res]:[Faktisk res]],LayTable[[Dato]:[Dato]],"&gt;="&amp;S$8,LayTable[[Dato]:[Dato]],"&lt;="&amp;EOMONTH(S$8,0),LayTable[[Bookmaker]:[Bookmaker]],$A55)+SUMIFS(BetTable[[AR_per_bookie]:[AR_per_bookie]],BetTable[[B1]:[B1]],$A55,BetTable[[Date]:[Date]], "&gt;="&amp;S$8,BetTable[[Date]:[Date]],"&lt;="&amp;EOMONTH(S$8,0))+SUMIFS(BetTable[[AR_per_bookie]:[AR_per_bookie]],BetTable[[B2]:[B2]],$A55,BetTable[[Date]:[Date]], "&gt;="&amp;S$8,BetTable[[Date]:[Date]],"&lt;="&amp;EOMONTH(S$8,0))+SUMIFS(BetTable[[AR_per_bookie]:[AR_per_bookie]],BetTable[[B3]:[B3]],$A55,BetTable[[Date]:[Date]], "&gt;="&amp;S$8,BetTable[[Date]:[Date]],"&lt;="&amp;EOMONTH(S$8,0))</f>
        <v>0</v>
      </c>
    </row>
    <row r="56" spans="1:19">
      <c r="A56" s="115" t="str">
        <f>BookieNavn!I48</f>
        <v>Oddsautomaten</v>
      </c>
      <c r="B56" s="126">
        <f>SUMIF(Penger!D$1:D$50072,A56,Penger!F$1:F$50072)</f>
        <v>0</v>
      </c>
      <c r="C56" s="126">
        <f>SUMIF(Penger!T$1:T$50072,A56,Penger!U$1:U$50072)</f>
        <v>0</v>
      </c>
      <c r="D56" s="126">
        <f ca="1">SUMIF(Spill!C$1:C$499895,A56,Spill!T$1:T$49895)+C56</f>
        <v>0</v>
      </c>
      <c r="E56" s="126">
        <f>SUMIF(Spill!C$1:C$49895,A56,Spill!T$1:T$49895)</f>
        <v>0</v>
      </c>
      <c r="F56" s="121" t="e">
        <f t="shared" ca="1" si="1"/>
        <v>#DIV/0!</v>
      </c>
      <c r="H56" s="126">
        <f>SUMIFS(DWbonus[[Sum]:[Sum]],DWbonus[[Dato]:[Dato]], "&gt;="&amp;H$8,DWbonus[[Dato]:[Dato]],"&lt;="&amp;EOMONTH(H$8,0),DWbonus[[Bookie]:[Bookie]],$A56)+SUMIFS(LayTable[[Faktisk res]:[Faktisk res]],LayTable[[Dato]:[Dato]],"&gt;="&amp;H$8,LayTable[[Dato]:[Dato]],"&lt;="&amp;EOMONTH(H$8,0),LayTable[[Bookmaker]:[Bookmaker]],$A56)+SUMIFS(BetTable[[AR_per_bookie]:[AR_per_bookie]],BetTable[[B1]:[B1]],$A56,BetTable[[Date]:[Date]], "&gt;="&amp;H$8,BetTable[[Date]:[Date]],"&lt;="&amp;EOMONTH(H$8,0))+SUMIFS(BetTable[[AR_per_bookie]:[AR_per_bookie]],BetTable[[B2]:[B2]],$A56,BetTable[[Date]:[Date]], "&gt;="&amp;H$8,BetTable[[Date]:[Date]],"&lt;="&amp;EOMONTH(H$8,0))+SUMIFS(BetTable[[AR_per_bookie]:[AR_per_bookie]],BetTable[[B3]:[B3]],$A56,BetTable[[Date]:[Date]], "&gt;="&amp;H$8,BetTable[[Date]:[Date]],"&lt;="&amp;EOMONTH(H$8,0))</f>
        <v>0</v>
      </c>
      <c r="I56" s="126">
        <f>SUMIFS(DWbonus[[Sum]:[Sum]],DWbonus[[Dato]:[Dato]], "&gt;="&amp;I$8,DWbonus[[Dato]:[Dato]],"&lt;="&amp;EOMONTH(I$8,0),DWbonus[[Bookie]:[Bookie]],$A56)+SUMIFS(LayTable[[Faktisk res]:[Faktisk res]],LayTable[[Dato]:[Dato]],"&gt;="&amp;I$8,LayTable[[Dato]:[Dato]],"&lt;="&amp;EOMONTH(I$8,0),LayTable[[Bookmaker]:[Bookmaker]],$A56)+SUMIFS(BetTable[[AR_per_bookie]:[AR_per_bookie]],BetTable[[B1]:[B1]],$A56,BetTable[[Date]:[Date]], "&gt;="&amp;I$8,BetTable[[Date]:[Date]],"&lt;="&amp;EOMONTH(I$8,0))+SUMIFS(BetTable[[AR_per_bookie]:[AR_per_bookie]],BetTable[[B2]:[B2]],$A56,BetTable[[Date]:[Date]], "&gt;="&amp;I$8,BetTable[[Date]:[Date]],"&lt;="&amp;EOMONTH(I$8,0))+SUMIFS(BetTable[[AR_per_bookie]:[AR_per_bookie]],BetTable[[B3]:[B3]],$A56,BetTable[[Date]:[Date]], "&gt;="&amp;I$8,BetTable[[Date]:[Date]],"&lt;="&amp;EOMONTH(I$8,0))</f>
        <v>0</v>
      </c>
      <c r="J56" s="126">
        <f>SUMIFS(DWbonus[[Sum]:[Sum]],DWbonus[[Dato]:[Dato]], "&gt;="&amp;J$8,DWbonus[[Dato]:[Dato]],"&lt;="&amp;EOMONTH(J$8,0),DWbonus[[Bookie]:[Bookie]],$A56)+SUMIFS(LayTable[[Faktisk res]:[Faktisk res]],LayTable[[Dato]:[Dato]],"&gt;="&amp;J$8,LayTable[[Dato]:[Dato]],"&lt;="&amp;EOMONTH(J$8,0),LayTable[[Bookmaker]:[Bookmaker]],$A56)+SUMIFS(BetTable[[AR_per_bookie]:[AR_per_bookie]],BetTable[[B1]:[B1]],$A56,BetTable[[Date]:[Date]], "&gt;="&amp;J$8,BetTable[[Date]:[Date]],"&lt;="&amp;EOMONTH(J$8,0))+SUMIFS(BetTable[[AR_per_bookie]:[AR_per_bookie]],BetTable[[B2]:[B2]],$A56,BetTable[[Date]:[Date]], "&gt;="&amp;J$8,BetTable[[Date]:[Date]],"&lt;="&amp;EOMONTH(J$8,0))+SUMIFS(BetTable[[AR_per_bookie]:[AR_per_bookie]],BetTable[[B3]:[B3]],$A56,BetTable[[Date]:[Date]], "&gt;="&amp;J$8,BetTable[[Date]:[Date]],"&lt;="&amp;EOMONTH(J$8,0))</f>
        <v>0</v>
      </c>
      <c r="K56" s="126">
        <f>SUMIFS(DWbonus[[Sum]:[Sum]],DWbonus[[Dato]:[Dato]], "&gt;="&amp;K$8,DWbonus[[Dato]:[Dato]],"&lt;="&amp;EOMONTH(K$8,0),DWbonus[[Bookie]:[Bookie]],$A56)+SUMIFS(LayTable[[Faktisk res]:[Faktisk res]],LayTable[[Dato]:[Dato]],"&gt;="&amp;K$8,LayTable[[Dato]:[Dato]],"&lt;="&amp;EOMONTH(K$8,0),LayTable[[Bookmaker]:[Bookmaker]],$A56)+SUMIFS(BetTable[[AR_per_bookie]:[AR_per_bookie]],BetTable[[B1]:[B1]],$A56,BetTable[[Date]:[Date]], "&gt;="&amp;K$8,BetTable[[Date]:[Date]],"&lt;="&amp;EOMONTH(K$8,0))+SUMIFS(BetTable[[AR_per_bookie]:[AR_per_bookie]],BetTable[[B2]:[B2]],$A56,BetTable[[Date]:[Date]], "&gt;="&amp;K$8,BetTable[[Date]:[Date]],"&lt;="&amp;EOMONTH(K$8,0))+SUMIFS(BetTable[[AR_per_bookie]:[AR_per_bookie]],BetTable[[B3]:[B3]],$A56,BetTable[[Date]:[Date]], "&gt;="&amp;K$8,BetTable[[Date]:[Date]],"&lt;="&amp;EOMONTH(K$8,0))</f>
        <v>0</v>
      </c>
      <c r="L56" s="126">
        <f>SUMIFS(DWbonus[[Sum]:[Sum]],DWbonus[[Dato]:[Dato]], "&gt;="&amp;L$8,DWbonus[[Dato]:[Dato]],"&lt;="&amp;EOMONTH(L$8,0),DWbonus[[Bookie]:[Bookie]],$A56)+SUMIFS(LayTable[[Faktisk res]:[Faktisk res]],LayTable[[Dato]:[Dato]],"&gt;="&amp;L$8,LayTable[[Dato]:[Dato]],"&lt;="&amp;EOMONTH(L$8,0),LayTable[[Bookmaker]:[Bookmaker]],$A56)+SUMIFS(BetTable[[AR_per_bookie]:[AR_per_bookie]],BetTable[[B1]:[B1]],$A56,BetTable[[Date]:[Date]], "&gt;="&amp;L$8,BetTable[[Date]:[Date]],"&lt;="&amp;EOMONTH(L$8,0))+SUMIFS(BetTable[[AR_per_bookie]:[AR_per_bookie]],BetTable[[B2]:[B2]],$A56,BetTable[[Date]:[Date]], "&gt;="&amp;L$8,BetTable[[Date]:[Date]],"&lt;="&amp;EOMONTH(L$8,0))+SUMIFS(BetTable[[AR_per_bookie]:[AR_per_bookie]],BetTable[[B3]:[B3]],$A56,BetTable[[Date]:[Date]], "&gt;="&amp;L$8,BetTable[[Date]:[Date]],"&lt;="&amp;EOMONTH(L$8,0))</f>
        <v>0</v>
      </c>
      <c r="M56" s="126">
        <f>SUMIFS(DWbonus[[Sum]:[Sum]],DWbonus[[Dato]:[Dato]], "&gt;="&amp;M$8,DWbonus[[Dato]:[Dato]],"&lt;="&amp;EOMONTH(M$8,0),DWbonus[[Bookie]:[Bookie]],$A56)+SUMIFS(LayTable[[Faktisk res]:[Faktisk res]],LayTable[[Dato]:[Dato]],"&gt;="&amp;M$8,LayTable[[Dato]:[Dato]],"&lt;="&amp;EOMONTH(M$8,0),LayTable[[Bookmaker]:[Bookmaker]],$A56)+SUMIFS(BetTable[[AR_per_bookie]:[AR_per_bookie]],BetTable[[B1]:[B1]],$A56,BetTable[[Date]:[Date]], "&gt;="&amp;M$8,BetTable[[Date]:[Date]],"&lt;="&amp;EOMONTH(M$8,0))+SUMIFS(BetTable[[AR_per_bookie]:[AR_per_bookie]],BetTable[[B2]:[B2]],$A56,BetTable[[Date]:[Date]], "&gt;="&amp;M$8,BetTable[[Date]:[Date]],"&lt;="&amp;EOMONTH(M$8,0))+SUMIFS(BetTable[[AR_per_bookie]:[AR_per_bookie]],BetTable[[B3]:[B3]],$A56,BetTable[[Date]:[Date]], "&gt;="&amp;M$8,BetTable[[Date]:[Date]],"&lt;="&amp;EOMONTH(M$8,0))</f>
        <v>0</v>
      </c>
      <c r="N56" s="126">
        <f>SUMIFS(DWbonus[[Sum]:[Sum]],DWbonus[[Dato]:[Dato]], "&gt;="&amp;N$8,DWbonus[[Dato]:[Dato]],"&lt;="&amp;EOMONTH(N$8,0),DWbonus[[Bookie]:[Bookie]],$A56)+SUMIFS(LayTable[[Faktisk res]:[Faktisk res]],LayTable[[Dato]:[Dato]],"&gt;="&amp;N$8,LayTable[[Dato]:[Dato]],"&lt;="&amp;EOMONTH(N$8,0),LayTable[[Bookmaker]:[Bookmaker]],$A56)+SUMIFS(BetTable[[AR_per_bookie]:[AR_per_bookie]],BetTable[[B1]:[B1]],$A56,BetTable[[Date]:[Date]], "&gt;="&amp;N$8,BetTable[[Date]:[Date]],"&lt;="&amp;EOMONTH(N$8,0))+SUMIFS(BetTable[[AR_per_bookie]:[AR_per_bookie]],BetTable[[B2]:[B2]],$A56,BetTable[[Date]:[Date]], "&gt;="&amp;N$8,BetTable[[Date]:[Date]],"&lt;="&amp;EOMONTH(N$8,0))+SUMIFS(BetTable[[AR_per_bookie]:[AR_per_bookie]],BetTable[[B3]:[B3]],$A56,BetTable[[Date]:[Date]], "&gt;="&amp;N$8,BetTable[[Date]:[Date]],"&lt;="&amp;EOMONTH(N$8,0))</f>
        <v>0</v>
      </c>
      <c r="O56" s="126">
        <f>SUMIFS(DWbonus[[Sum]:[Sum]],DWbonus[[Dato]:[Dato]], "&gt;="&amp;O$8,DWbonus[[Dato]:[Dato]],"&lt;="&amp;EOMONTH(O$8,0),DWbonus[[Bookie]:[Bookie]],$A56)+SUMIFS(LayTable[[Faktisk res]:[Faktisk res]],LayTable[[Dato]:[Dato]],"&gt;="&amp;O$8,LayTable[[Dato]:[Dato]],"&lt;="&amp;EOMONTH(O$8,0),LayTable[[Bookmaker]:[Bookmaker]],$A56)+SUMIFS(BetTable[[AR_per_bookie]:[AR_per_bookie]],BetTable[[B1]:[B1]],$A56,BetTable[[Date]:[Date]], "&gt;="&amp;O$8,BetTable[[Date]:[Date]],"&lt;="&amp;EOMONTH(O$8,0))+SUMIFS(BetTable[[AR_per_bookie]:[AR_per_bookie]],BetTable[[B2]:[B2]],$A56,BetTable[[Date]:[Date]], "&gt;="&amp;O$8,BetTable[[Date]:[Date]],"&lt;="&amp;EOMONTH(O$8,0))+SUMIFS(BetTable[[AR_per_bookie]:[AR_per_bookie]],BetTable[[B3]:[B3]],$A56,BetTable[[Date]:[Date]], "&gt;="&amp;O$8,BetTable[[Date]:[Date]],"&lt;="&amp;EOMONTH(O$8,0))</f>
        <v>0</v>
      </c>
      <c r="P56" s="126">
        <f>SUMIFS(DWbonus[[Sum]:[Sum]],DWbonus[[Dato]:[Dato]], "&gt;="&amp;P$8,DWbonus[[Dato]:[Dato]],"&lt;="&amp;EOMONTH(P$8,0),DWbonus[[Bookie]:[Bookie]],$A56)+SUMIFS(LayTable[[Faktisk res]:[Faktisk res]],LayTable[[Dato]:[Dato]],"&gt;="&amp;P$8,LayTable[[Dato]:[Dato]],"&lt;="&amp;EOMONTH(P$8,0),LayTable[[Bookmaker]:[Bookmaker]],$A56)+SUMIFS(BetTable[[AR_per_bookie]:[AR_per_bookie]],BetTable[[B1]:[B1]],$A56,BetTable[[Date]:[Date]], "&gt;="&amp;P$8,BetTable[[Date]:[Date]],"&lt;="&amp;EOMONTH(P$8,0))+SUMIFS(BetTable[[AR_per_bookie]:[AR_per_bookie]],BetTable[[B2]:[B2]],$A56,BetTable[[Date]:[Date]], "&gt;="&amp;P$8,BetTable[[Date]:[Date]],"&lt;="&amp;EOMONTH(P$8,0))+SUMIFS(BetTable[[AR_per_bookie]:[AR_per_bookie]],BetTable[[B3]:[B3]],$A56,BetTable[[Date]:[Date]], "&gt;="&amp;P$8,BetTable[[Date]:[Date]],"&lt;="&amp;EOMONTH(P$8,0))</f>
        <v>0</v>
      </c>
      <c r="Q56" s="126">
        <f>SUMIFS(DWbonus[[Sum]:[Sum]],DWbonus[[Dato]:[Dato]], "&gt;="&amp;Q$8,DWbonus[[Dato]:[Dato]],"&lt;="&amp;EOMONTH(Q$8,0),DWbonus[[Bookie]:[Bookie]],$A56)+SUMIFS(LayTable[[Faktisk res]:[Faktisk res]],LayTable[[Dato]:[Dato]],"&gt;="&amp;Q$8,LayTable[[Dato]:[Dato]],"&lt;="&amp;EOMONTH(Q$8,0),LayTable[[Bookmaker]:[Bookmaker]],$A56)+SUMIFS(BetTable[[AR_per_bookie]:[AR_per_bookie]],BetTable[[B1]:[B1]],$A56,BetTable[[Date]:[Date]], "&gt;="&amp;Q$8,BetTable[[Date]:[Date]],"&lt;="&amp;EOMONTH(Q$8,0))+SUMIFS(BetTable[[AR_per_bookie]:[AR_per_bookie]],BetTable[[B2]:[B2]],$A56,BetTable[[Date]:[Date]], "&gt;="&amp;Q$8,BetTable[[Date]:[Date]],"&lt;="&amp;EOMONTH(Q$8,0))+SUMIFS(BetTable[[AR_per_bookie]:[AR_per_bookie]],BetTable[[B3]:[B3]],$A56,BetTable[[Date]:[Date]], "&gt;="&amp;Q$8,BetTable[[Date]:[Date]],"&lt;="&amp;EOMONTH(Q$8,0))</f>
        <v>0</v>
      </c>
      <c r="R56" s="126">
        <f>SUMIFS(DWbonus[[Sum]:[Sum]],DWbonus[[Dato]:[Dato]], "&gt;="&amp;R$8,DWbonus[[Dato]:[Dato]],"&lt;="&amp;EOMONTH(R$8,0),DWbonus[[Bookie]:[Bookie]],$A56)+SUMIFS(LayTable[[Faktisk res]:[Faktisk res]],LayTable[[Dato]:[Dato]],"&gt;="&amp;R$8,LayTable[[Dato]:[Dato]],"&lt;="&amp;EOMONTH(R$8,0),LayTable[[Bookmaker]:[Bookmaker]],$A56)+SUMIFS(BetTable[[AR_per_bookie]:[AR_per_bookie]],BetTable[[B1]:[B1]],$A56,BetTable[[Date]:[Date]], "&gt;="&amp;R$8,BetTable[[Date]:[Date]],"&lt;="&amp;EOMONTH(R$8,0))+SUMIFS(BetTable[[AR_per_bookie]:[AR_per_bookie]],BetTable[[B2]:[B2]],$A56,BetTable[[Date]:[Date]], "&gt;="&amp;R$8,BetTable[[Date]:[Date]],"&lt;="&amp;EOMONTH(R$8,0))+SUMIFS(BetTable[[AR_per_bookie]:[AR_per_bookie]],BetTable[[B3]:[B3]],$A56,BetTable[[Date]:[Date]], "&gt;="&amp;R$8,BetTable[[Date]:[Date]],"&lt;="&amp;EOMONTH(R$8,0))</f>
        <v>0</v>
      </c>
      <c r="S56" s="126">
        <f>SUMIFS(DWbonus[[Sum]:[Sum]],DWbonus[[Dato]:[Dato]], "&gt;="&amp;S$8,DWbonus[[Dato]:[Dato]],"&lt;="&amp;EOMONTH(S$8,0),DWbonus[[Bookie]:[Bookie]],$A56)+SUMIFS(LayTable[[Faktisk res]:[Faktisk res]],LayTable[[Dato]:[Dato]],"&gt;="&amp;S$8,LayTable[[Dato]:[Dato]],"&lt;="&amp;EOMONTH(S$8,0),LayTable[[Bookmaker]:[Bookmaker]],$A56)+SUMIFS(BetTable[[AR_per_bookie]:[AR_per_bookie]],BetTable[[B1]:[B1]],$A56,BetTable[[Date]:[Date]], "&gt;="&amp;S$8,BetTable[[Date]:[Date]],"&lt;="&amp;EOMONTH(S$8,0))+SUMIFS(BetTable[[AR_per_bookie]:[AR_per_bookie]],BetTable[[B2]:[B2]],$A56,BetTable[[Date]:[Date]], "&gt;="&amp;S$8,BetTable[[Date]:[Date]],"&lt;="&amp;EOMONTH(S$8,0))+SUMIFS(BetTable[[AR_per_bookie]:[AR_per_bookie]],BetTable[[B3]:[B3]],$A56,BetTable[[Date]:[Date]], "&gt;="&amp;S$8,BetTable[[Date]:[Date]],"&lt;="&amp;EOMONTH(S$8,0))</f>
        <v>0</v>
      </c>
    </row>
    <row r="57" spans="1:19">
      <c r="A57" s="115" t="str">
        <f>BookieNavn!I49</f>
        <v>Olybet</v>
      </c>
      <c r="B57" s="126">
        <f>SUMIF(Penger!D$1:D$50072,A57,Penger!F$1:F$50072)</f>
        <v>0</v>
      </c>
      <c r="C57" s="126">
        <f>SUMIF(Penger!T$1:T$50072,A57,Penger!U$1:U$50072)</f>
        <v>0</v>
      </c>
      <c r="D57" s="126">
        <f ca="1">SUMIF(Spill!C$1:C$499895,A57,Spill!T$1:T$49895)+C57</f>
        <v>0</v>
      </c>
      <c r="E57" s="126">
        <f>SUMIF(Spill!C$1:C$49895,A57,Spill!T$1:T$49895)</f>
        <v>0</v>
      </c>
      <c r="F57" s="121" t="e">
        <f t="shared" ca="1" si="1"/>
        <v>#DIV/0!</v>
      </c>
      <c r="H57" s="126">
        <f>SUMIFS(DWbonus[[Sum]:[Sum]],DWbonus[[Dato]:[Dato]], "&gt;="&amp;H$8,DWbonus[[Dato]:[Dato]],"&lt;="&amp;EOMONTH(H$8,0),DWbonus[[Bookie]:[Bookie]],$A57)+SUMIFS(LayTable[[Faktisk res]:[Faktisk res]],LayTable[[Dato]:[Dato]],"&gt;="&amp;H$8,LayTable[[Dato]:[Dato]],"&lt;="&amp;EOMONTH(H$8,0),LayTable[[Bookmaker]:[Bookmaker]],$A57)+SUMIFS(BetTable[[AR_per_bookie]:[AR_per_bookie]],BetTable[[B1]:[B1]],$A57,BetTable[[Date]:[Date]], "&gt;="&amp;H$8,BetTable[[Date]:[Date]],"&lt;="&amp;EOMONTH(H$8,0))+SUMIFS(BetTable[[AR_per_bookie]:[AR_per_bookie]],BetTable[[B2]:[B2]],$A57,BetTable[[Date]:[Date]], "&gt;="&amp;H$8,BetTable[[Date]:[Date]],"&lt;="&amp;EOMONTH(H$8,0))+SUMIFS(BetTable[[AR_per_bookie]:[AR_per_bookie]],BetTable[[B3]:[B3]],$A57,BetTable[[Date]:[Date]], "&gt;="&amp;H$8,BetTable[[Date]:[Date]],"&lt;="&amp;EOMONTH(H$8,0))</f>
        <v>0</v>
      </c>
      <c r="I57" s="126">
        <f>SUMIFS(DWbonus[[Sum]:[Sum]],DWbonus[[Dato]:[Dato]], "&gt;="&amp;I$8,DWbonus[[Dato]:[Dato]],"&lt;="&amp;EOMONTH(I$8,0),DWbonus[[Bookie]:[Bookie]],$A57)+SUMIFS(LayTable[[Faktisk res]:[Faktisk res]],LayTable[[Dato]:[Dato]],"&gt;="&amp;I$8,LayTable[[Dato]:[Dato]],"&lt;="&amp;EOMONTH(I$8,0),LayTable[[Bookmaker]:[Bookmaker]],$A57)+SUMIFS(BetTable[[AR_per_bookie]:[AR_per_bookie]],BetTable[[B1]:[B1]],$A57,BetTable[[Date]:[Date]], "&gt;="&amp;I$8,BetTable[[Date]:[Date]],"&lt;="&amp;EOMONTH(I$8,0))+SUMIFS(BetTable[[AR_per_bookie]:[AR_per_bookie]],BetTable[[B2]:[B2]],$A57,BetTable[[Date]:[Date]], "&gt;="&amp;I$8,BetTable[[Date]:[Date]],"&lt;="&amp;EOMONTH(I$8,0))+SUMIFS(BetTable[[AR_per_bookie]:[AR_per_bookie]],BetTable[[B3]:[B3]],$A57,BetTable[[Date]:[Date]], "&gt;="&amp;I$8,BetTable[[Date]:[Date]],"&lt;="&amp;EOMONTH(I$8,0))</f>
        <v>0</v>
      </c>
      <c r="J57" s="126">
        <f>SUMIFS(DWbonus[[Sum]:[Sum]],DWbonus[[Dato]:[Dato]], "&gt;="&amp;J$8,DWbonus[[Dato]:[Dato]],"&lt;="&amp;EOMONTH(J$8,0),DWbonus[[Bookie]:[Bookie]],$A57)+SUMIFS(LayTable[[Faktisk res]:[Faktisk res]],LayTable[[Dato]:[Dato]],"&gt;="&amp;J$8,LayTable[[Dato]:[Dato]],"&lt;="&amp;EOMONTH(J$8,0),LayTable[[Bookmaker]:[Bookmaker]],$A57)+SUMIFS(BetTable[[AR_per_bookie]:[AR_per_bookie]],BetTable[[B1]:[B1]],$A57,BetTable[[Date]:[Date]], "&gt;="&amp;J$8,BetTable[[Date]:[Date]],"&lt;="&amp;EOMONTH(J$8,0))+SUMIFS(BetTable[[AR_per_bookie]:[AR_per_bookie]],BetTable[[B2]:[B2]],$A57,BetTable[[Date]:[Date]], "&gt;="&amp;J$8,BetTable[[Date]:[Date]],"&lt;="&amp;EOMONTH(J$8,0))+SUMIFS(BetTable[[AR_per_bookie]:[AR_per_bookie]],BetTable[[B3]:[B3]],$A57,BetTable[[Date]:[Date]], "&gt;="&amp;J$8,BetTable[[Date]:[Date]],"&lt;="&amp;EOMONTH(J$8,0))</f>
        <v>0</v>
      </c>
      <c r="K57" s="126">
        <f>SUMIFS(DWbonus[[Sum]:[Sum]],DWbonus[[Dato]:[Dato]], "&gt;="&amp;K$8,DWbonus[[Dato]:[Dato]],"&lt;="&amp;EOMONTH(K$8,0),DWbonus[[Bookie]:[Bookie]],$A57)+SUMIFS(LayTable[[Faktisk res]:[Faktisk res]],LayTable[[Dato]:[Dato]],"&gt;="&amp;K$8,LayTable[[Dato]:[Dato]],"&lt;="&amp;EOMONTH(K$8,0),LayTable[[Bookmaker]:[Bookmaker]],$A57)+SUMIFS(BetTable[[AR_per_bookie]:[AR_per_bookie]],BetTable[[B1]:[B1]],$A57,BetTable[[Date]:[Date]], "&gt;="&amp;K$8,BetTable[[Date]:[Date]],"&lt;="&amp;EOMONTH(K$8,0))+SUMIFS(BetTable[[AR_per_bookie]:[AR_per_bookie]],BetTable[[B2]:[B2]],$A57,BetTable[[Date]:[Date]], "&gt;="&amp;K$8,BetTable[[Date]:[Date]],"&lt;="&amp;EOMONTH(K$8,0))+SUMIFS(BetTable[[AR_per_bookie]:[AR_per_bookie]],BetTable[[B3]:[B3]],$A57,BetTable[[Date]:[Date]], "&gt;="&amp;K$8,BetTable[[Date]:[Date]],"&lt;="&amp;EOMONTH(K$8,0))</f>
        <v>0</v>
      </c>
      <c r="L57" s="126">
        <f>SUMIFS(DWbonus[[Sum]:[Sum]],DWbonus[[Dato]:[Dato]], "&gt;="&amp;L$8,DWbonus[[Dato]:[Dato]],"&lt;="&amp;EOMONTH(L$8,0),DWbonus[[Bookie]:[Bookie]],$A57)+SUMIFS(LayTable[[Faktisk res]:[Faktisk res]],LayTable[[Dato]:[Dato]],"&gt;="&amp;L$8,LayTable[[Dato]:[Dato]],"&lt;="&amp;EOMONTH(L$8,0),LayTable[[Bookmaker]:[Bookmaker]],$A57)+SUMIFS(BetTable[[AR_per_bookie]:[AR_per_bookie]],BetTable[[B1]:[B1]],$A57,BetTable[[Date]:[Date]], "&gt;="&amp;L$8,BetTable[[Date]:[Date]],"&lt;="&amp;EOMONTH(L$8,0))+SUMIFS(BetTable[[AR_per_bookie]:[AR_per_bookie]],BetTable[[B2]:[B2]],$A57,BetTable[[Date]:[Date]], "&gt;="&amp;L$8,BetTable[[Date]:[Date]],"&lt;="&amp;EOMONTH(L$8,0))+SUMIFS(BetTable[[AR_per_bookie]:[AR_per_bookie]],BetTable[[B3]:[B3]],$A57,BetTable[[Date]:[Date]], "&gt;="&amp;L$8,BetTable[[Date]:[Date]],"&lt;="&amp;EOMONTH(L$8,0))</f>
        <v>0</v>
      </c>
      <c r="M57" s="126">
        <f>SUMIFS(DWbonus[[Sum]:[Sum]],DWbonus[[Dato]:[Dato]], "&gt;="&amp;M$8,DWbonus[[Dato]:[Dato]],"&lt;="&amp;EOMONTH(M$8,0),DWbonus[[Bookie]:[Bookie]],$A57)+SUMIFS(LayTable[[Faktisk res]:[Faktisk res]],LayTable[[Dato]:[Dato]],"&gt;="&amp;M$8,LayTable[[Dato]:[Dato]],"&lt;="&amp;EOMONTH(M$8,0),LayTable[[Bookmaker]:[Bookmaker]],$A57)+SUMIFS(BetTable[[AR_per_bookie]:[AR_per_bookie]],BetTable[[B1]:[B1]],$A57,BetTable[[Date]:[Date]], "&gt;="&amp;M$8,BetTable[[Date]:[Date]],"&lt;="&amp;EOMONTH(M$8,0))+SUMIFS(BetTable[[AR_per_bookie]:[AR_per_bookie]],BetTable[[B2]:[B2]],$A57,BetTable[[Date]:[Date]], "&gt;="&amp;M$8,BetTable[[Date]:[Date]],"&lt;="&amp;EOMONTH(M$8,0))+SUMIFS(BetTable[[AR_per_bookie]:[AR_per_bookie]],BetTable[[B3]:[B3]],$A57,BetTable[[Date]:[Date]], "&gt;="&amp;M$8,BetTable[[Date]:[Date]],"&lt;="&amp;EOMONTH(M$8,0))</f>
        <v>0</v>
      </c>
      <c r="N57" s="126">
        <f>SUMIFS(DWbonus[[Sum]:[Sum]],DWbonus[[Dato]:[Dato]], "&gt;="&amp;N$8,DWbonus[[Dato]:[Dato]],"&lt;="&amp;EOMONTH(N$8,0),DWbonus[[Bookie]:[Bookie]],$A57)+SUMIFS(LayTable[[Faktisk res]:[Faktisk res]],LayTable[[Dato]:[Dato]],"&gt;="&amp;N$8,LayTable[[Dato]:[Dato]],"&lt;="&amp;EOMONTH(N$8,0),LayTable[[Bookmaker]:[Bookmaker]],$A57)+SUMIFS(BetTable[[AR_per_bookie]:[AR_per_bookie]],BetTable[[B1]:[B1]],$A57,BetTable[[Date]:[Date]], "&gt;="&amp;N$8,BetTable[[Date]:[Date]],"&lt;="&amp;EOMONTH(N$8,0))+SUMIFS(BetTable[[AR_per_bookie]:[AR_per_bookie]],BetTable[[B2]:[B2]],$A57,BetTable[[Date]:[Date]], "&gt;="&amp;N$8,BetTable[[Date]:[Date]],"&lt;="&amp;EOMONTH(N$8,0))+SUMIFS(BetTable[[AR_per_bookie]:[AR_per_bookie]],BetTable[[B3]:[B3]],$A57,BetTable[[Date]:[Date]], "&gt;="&amp;N$8,BetTable[[Date]:[Date]],"&lt;="&amp;EOMONTH(N$8,0))</f>
        <v>0</v>
      </c>
      <c r="O57" s="126">
        <f>SUMIFS(DWbonus[[Sum]:[Sum]],DWbonus[[Dato]:[Dato]], "&gt;="&amp;O$8,DWbonus[[Dato]:[Dato]],"&lt;="&amp;EOMONTH(O$8,0),DWbonus[[Bookie]:[Bookie]],$A57)+SUMIFS(LayTable[[Faktisk res]:[Faktisk res]],LayTable[[Dato]:[Dato]],"&gt;="&amp;O$8,LayTable[[Dato]:[Dato]],"&lt;="&amp;EOMONTH(O$8,0),LayTable[[Bookmaker]:[Bookmaker]],$A57)+SUMIFS(BetTable[[AR_per_bookie]:[AR_per_bookie]],BetTable[[B1]:[B1]],$A57,BetTable[[Date]:[Date]], "&gt;="&amp;O$8,BetTable[[Date]:[Date]],"&lt;="&amp;EOMONTH(O$8,0))+SUMIFS(BetTable[[AR_per_bookie]:[AR_per_bookie]],BetTable[[B2]:[B2]],$A57,BetTable[[Date]:[Date]], "&gt;="&amp;O$8,BetTable[[Date]:[Date]],"&lt;="&amp;EOMONTH(O$8,0))+SUMIFS(BetTable[[AR_per_bookie]:[AR_per_bookie]],BetTable[[B3]:[B3]],$A57,BetTable[[Date]:[Date]], "&gt;="&amp;O$8,BetTable[[Date]:[Date]],"&lt;="&amp;EOMONTH(O$8,0))</f>
        <v>0</v>
      </c>
      <c r="P57" s="126">
        <f>SUMIFS(DWbonus[[Sum]:[Sum]],DWbonus[[Dato]:[Dato]], "&gt;="&amp;P$8,DWbonus[[Dato]:[Dato]],"&lt;="&amp;EOMONTH(P$8,0),DWbonus[[Bookie]:[Bookie]],$A57)+SUMIFS(LayTable[[Faktisk res]:[Faktisk res]],LayTable[[Dato]:[Dato]],"&gt;="&amp;P$8,LayTable[[Dato]:[Dato]],"&lt;="&amp;EOMONTH(P$8,0),LayTable[[Bookmaker]:[Bookmaker]],$A57)+SUMIFS(BetTable[[AR_per_bookie]:[AR_per_bookie]],BetTable[[B1]:[B1]],$A57,BetTable[[Date]:[Date]], "&gt;="&amp;P$8,BetTable[[Date]:[Date]],"&lt;="&amp;EOMONTH(P$8,0))+SUMIFS(BetTable[[AR_per_bookie]:[AR_per_bookie]],BetTable[[B2]:[B2]],$A57,BetTable[[Date]:[Date]], "&gt;="&amp;P$8,BetTable[[Date]:[Date]],"&lt;="&amp;EOMONTH(P$8,0))+SUMIFS(BetTable[[AR_per_bookie]:[AR_per_bookie]],BetTable[[B3]:[B3]],$A57,BetTable[[Date]:[Date]], "&gt;="&amp;P$8,BetTable[[Date]:[Date]],"&lt;="&amp;EOMONTH(P$8,0))</f>
        <v>0</v>
      </c>
      <c r="Q57" s="126">
        <f>SUMIFS(DWbonus[[Sum]:[Sum]],DWbonus[[Dato]:[Dato]], "&gt;="&amp;Q$8,DWbonus[[Dato]:[Dato]],"&lt;="&amp;EOMONTH(Q$8,0),DWbonus[[Bookie]:[Bookie]],$A57)+SUMIFS(LayTable[[Faktisk res]:[Faktisk res]],LayTable[[Dato]:[Dato]],"&gt;="&amp;Q$8,LayTable[[Dato]:[Dato]],"&lt;="&amp;EOMONTH(Q$8,0),LayTable[[Bookmaker]:[Bookmaker]],$A57)+SUMIFS(BetTable[[AR_per_bookie]:[AR_per_bookie]],BetTable[[B1]:[B1]],$A57,BetTable[[Date]:[Date]], "&gt;="&amp;Q$8,BetTable[[Date]:[Date]],"&lt;="&amp;EOMONTH(Q$8,0))+SUMIFS(BetTable[[AR_per_bookie]:[AR_per_bookie]],BetTable[[B2]:[B2]],$A57,BetTable[[Date]:[Date]], "&gt;="&amp;Q$8,BetTable[[Date]:[Date]],"&lt;="&amp;EOMONTH(Q$8,0))+SUMIFS(BetTable[[AR_per_bookie]:[AR_per_bookie]],BetTable[[B3]:[B3]],$A57,BetTable[[Date]:[Date]], "&gt;="&amp;Q$8,BetTable[[Date]:[Date]],"&lt;="&amp;EOMONTH(Q$8,0))</f>
        <v>0</v>
      </c>
      <c r="R57" s="126">
        <f>SUMIFS(DWbonus[[Sum]:[Sum]],DWbonus[[Dato]:[Dato]], "&gt;="&amp;R$8,DWbonus[[Dato]:[Dato]],"&lt;="&amp;EOMONTH(R$8,0),DWbonus[[Bookie]:[Bookie]],$A57)+SUMIFS(LayTable[[Faktisk res]:[Faktisk res]],LayTable[[Dato]:[Dato]],"&gt;="&amp;R$8,LayTable[[Dato]:[Dato]],"&lt;="&amp;EOMONTH(R$8,0),LayTable[[Bookmaker]:[Bookmaker]],$A57)+SUMIFS(BetTable[[AR_per_bookie]:[AR_per_bookie]],BetTable[[B1]:[B1]],$A57,BetTable[[Date]:[Date]], "&gt;="&amp;R$8,BetTable[[Date]:[Date]],"&lt;="&amp;EOMONTH(R$8,0))+SUMIFS(BetTable[[AR_per_bookie]:[AR_per_bookie]],BetTable[[B2]:[B2]],$A57,BetTable[[Date]:[Date]], "&gt;="&amp;R$8,BetTable[[Date]:[Date]],"&lt;="&amp;EOMONTH(R$8,0))+SUMIFS(BetTable[[AR_per_bookie]:[AR_per_bookie]],BetTable[[B3]:[B3]],$A57,BetTable[[Date]:[Date]], "&gt;="&amp;R$8,BetTable[[Date]:[Date]],"&lt;="&amp;EOMONTH(R$8,0))</f>
        <v>0</v>
      </c>
      <c r="S57" s="126">
        <f>SUMIFS(DWbonus[[Sum]:[Sum]],DWbonus[[Dato]:[Dato]], "&gt;="&amp;S$8,DWbonus[[Dato]:[Dato]],"&lt;="&amp;EOMONTH(S$8,0),DWbonus[[Bookie]:[Bookie]],$A57)+SUMIFS(LayTable[[Faktisk res]:[Faktisk res]],LayTable[[Dato]:[Dato]],"&gt;="&amp;S$8,LayTable[[Dato]:[Dato]],"&lt;="&amp;EOMONTH(S$8,0),LayTable[[Bookmaker]:[Bookmaker]],$A57)+SUMIFS(BetTable[[AR_per_bookie]:[AR_per_bookie]],BetTable[[B1]:[B1]],$A57,BetTable[[Date]:[Date]], "&gt;="&amp;S$8,BetTable[[Date]:[Date]],"&lt;="&amp;EOMONTH(S$8,0))+SUMIFS(BetTable[[AR_per_bookie]:[AR_per_bookie]],BetTable[[B2]:[B2]],$A57,BetTable[[Date]:[Date]], "&gt;="&amp;S$8,BetTable[[Date]:[Date]],"&lt;="&amp;EOMONTH(S$8,0))+SUMIFS(BetTable[[AR_per_bookie]:[AR_per_bookie]],BetTable[[B3]:[B3]],$A57,BetTable[[Date]:[Date]], "&gt;="&amp;S$8,BetTable[[Date]:[Date]],"&lt;="&amp;EOMONTH(S$8,0))</f>
        <v>0</v>
      </c>
    </row>
    <row r="58" spans="1:19">
      <c r="A58" s="115" t="str">
        <f>BookieNavn!I50</f>
        <v>Onebet</v>
      </c>
      <c r="B58" s="126">
        <f>SUMIF(Penger!D$1:D$50072,A58,Penger!F$1:F$50072)</f>
        <v>0</v>
      </c>
      <c r="C58" s="126">
        <f>SUMIF(Penger!T$1:T$50072,A58,Penger!U$1:U$50072)</f>
        <v>0</v>
      </c>
      <c r="D58" s="126">
        <f ca="1">SUMIF(Spill!C$1:C$499895,A58,Spill!T$1:T$49895)+C58</f>
        <v>0</v>
      </c>
      <c r="E58" s="126">
        <f>SUMIF(Spill!C$1:C$49895,A58,Spill!T$1:T$49895)</f>
        <v>0</v>
      </c>
      <c r="F58" s="121" t="e">
        <f t="shared" ca="1" si="1"/>
        <v>#DIV/0!</v>
      </c>
      <c r="H58" s="126">
        <f>SUMIFS(DWbonus[[Sum]:[Sum]],DWbonus[[Dato]:[Dato]], "&gt;="&amp;H$8,DWbonus[[Dato]:[Dato]],"&lt;="&amp;EOMONTH(H$8,0),DWbonus[[Bookie]:[Bookie]],$A58)+SUMIFS(LayTable[[Faktisk res]:[Faktisk res]],LayTable[[Dato]:[Dato]],"&gt;="&amp;H$8,LayTable[[Dato]:[Dato]],"&lt;="&amp;EOMONTH(H$8,0),LayTable[[Bookmaker]:[Bookmaker]],$A58)+SUMIFS(BetTable[[AR_per_bookie]:[AR_per_bookie]],BetTable[[B1]:[B1]],$A58,BetTable[[Date]:[Date]], "&gt;="&amp;H$8,BetTable[[Date]:[Date]],"&lt;="&amp;EOMONTH(H$8,0))+SUMIFS(BetTable[[AR_per_bookie]:[AR_per_bookie]],BetTable[[B2]:[B2]],$A58,BetTable[[Date]:[Date]], "&gt;="&amp;H$8,BetTable[[Date]:[Date]],"&lt;="&amp;EOMONTH(H$8,0))+SUMIFS(BetTable[[AR_per_bookie]:[AR_per_bookie]],BetTable[[B3]:[B3]],$A58,BetTable[[Date]:[Date]], "&gt;="&amp;H$8,BetTable[[Date]:[Date]],"&lt;="&amp;EOMONTH(H$8,0))</f>
        <v>0</v>
      </c>
      <c r="I58" s="126">
        <f>SUMIFS(DWbonus[[Sum]:[Sum]],DWbonus[[Dato]:[Dato]], "&gt;="&amp;I$8,DWbonus[[Dato]:[Dato]],"&lt;="&amp;EOMONTH(I$8,0),DWbonus[[Bookie]:[Bookie]],$A58)+SUMIFS(LayTable[[Faktisk res]:[Faktisk res]],LayTable[[Dato]:[Dato]],"&gt;="&amp;I$8,LayTable[[Dato]:[Dato]],"&lt;="&amp;EOMONTH(I$8,0),LayTable[[Bookmaker]:[Bookmaker]],$A58)+SUMIFS(BetTable[[AR_per_bookie]:[AR_per_bookie]],BetTable[[B1]:[B1]],$A58,BetTable[[Date]:[Date]], "&gt;="&amp;I$8,BetTable[[Date]:[Date]],"&lt;="&amp;EOMONTH(I$8,0))+SUMIFS(BetTable[[AR_per_bookie]:[AR_per_bookie]],BetTable[[B2]:[B2]],$A58,BetTable[[Date]:[Date]], "&gt;="&amp;I$8,BetTable[[Date]:[Date]],"&lt;="&amp;EOMONTH(I$8,0))+SUMIFS(BetTable[[AR_per_bookie]:[AR_per_bookie]],BetTable[[B3]:[B3]],$A58,BetTable[[Date]:[Date]], "&gt;="&amp;I$8,BetTable[[Date]:[Date]],"&lt;="&amp;EOMONTH(I$8,0))</f>
        <v>0</v>
      </c>
      <c r="J58" s="126">
        <f>SUMIFS(DWbonus[[Sum]:[Sum]],DWbonus[[Dato]:[Dato]], "&gt;="&amp;J$8,DWbonus[[Dato]:[Dato]],"&lt;="&amp;EOMONTH(J$8,0),DWbonus[[Bookie]:[Bookie]],$A58)+SUMIFS(LayTable[[Faktisk res]:[Faktisk res]],LayTable[[Dato]:[Dato]],"&gt;="&amp;J$8,LayTable[[Dato]:[Dato]],"&lt;="&amp;EOMONTH(J$8,0),LayTable[[Bookmaker]:[Bookmaker]],$A58)+SUMIFS(BetTable[[AR_per_bookie]:[AR_per_bookie]],BetTable[[B1]:[B1]],$A58,BetTable[[Date]:[Date]], "&gt;="&amp;J$8,BetTable[[Date]:[Date]],"&lt;="&amp;EOMONTH(J$8,0))+SUMIFS(BetTable[[AR_per_bookie]:[AR_per_bookie]],BetTable[[B2]:[B2]],$A58,BetTable[[Date]:[Date]], "&gt;="&amp;J$8,BetTable[[Date]:[Date]],"&lt;="&amp;EOMONTH(J$8,0))+SUMIFS(BetTable[[AR_per_bookie]:[AR_per_bookie]],BetTable[[B3]:[B3]],$A58,BetTable[[Date]:[Date]], "&gt;="&amp;J$8,BetTable[[Date]:[Date]],"&lt;="&amp;EOMONTH(J$8,0))</f>
        <v>0</v>
      </c>
      <c r="K58" s="126">
        <f>SUMIFS(DWbonus[[Sum]:[Sum]],DWbonus[[Dato]:[Dato]], "&gt;="&amp;K$8,DWbonus[[Dato]:[Dato]],"&lt;="&amp;EOMONTH(K$8,0),DWbonus[[Bookie]:[Bookie]],$A58)+SUMIFS(LayTable[[Faktisk res]:[Faktisk res]],LayTable[[Dato]:[Dato]],"&gt;="&amp;K$8,LayTable[[Dato]:[Dato]],"&lt;="&amp;EOMONTH(K$8,0),LayTable[[Bookmaker]:[Bookmaker]],$A58)+SUMIFS(BetTable[[AR_per_bookie]:[AR_per_bookie]],BetTable[[B1]:[B1]],$A58,BetTable[[Date]:[Date]], "&gt;="&amp;K$8,BetTable[[Date]:[Date]],"&lt;="&amp;EOMONTH(K$8,0))+SUMIFS(BetTable[[AR_per_bookie]:[AR_per_bookie]],BetTable[[B2]:[B2]],$A58,BetTable[[Date]:[Date]], "&gt;="&amp;K$8,BetTable[[Date]:[Date]],"&lt;="&amp;EOMONTH(K$8,0))+SUMIFS(BetTable[[AR_per_bookie]:[AR_per_bookie]],BetTable[[B3]:[B3]],$A58,BetTable[[Date]:[Date]], "&gt;="&amp;K$8,BetTable[[Date]:[Date]],"&lt;="&amp;EOMONTH(K$8,0))</f>
        <v>0</v>
      </c>
      <c r="L58" s="126">
        <f>SUMIFS(DWbonus[[Sum]:[Sum]],DWbonus[[Dato]:[Dato]], "&gt;="&amp;L$8,DWbonus[[Dato]:[Dato]],"&lt;="&amp;EOMONTH(L$8,0),DWbonus[[Bookie]:[Bookie]],$A58)+SUMIFS(LayTable[[Faktisk res]:[Faktisk res]],LayTable[[Dato]:[Dato]],"&gt;="&amp;L$8,LayTable[[Dato]:[Dato]],"&lt;="&amp;EOMONTH(L$8,0),LayTable[[Bookmaker]:[Bookmaker]],$A58)+SUMIFS(BetTable[[AR_per_bookie]:[AR_per_bookie]],BetTable[[B1]:[B1]],$A58,BetTable[[Date]:[Date]], "&gt;="&amp;L$8,BetTable[[Date]:[Date]],"&lt;="&amp;EOMONTH(L$8,0))+SUMIFS(BetTable[[AR_per_bookie]:[AR_per_bookie]],BetTable[[B2]:[B2]],$A58,BetTable[[Date]:[Date]], "&gt;="&amp;L$8,BetTable[[Date]:[Date]],"&lt;="&amp;EOMONTH(L$8,0))+SUMIFS(BetTable[[AR_per_bookie]:[AR_per_bookie]],BetTable[[B3]:[B3]],$A58,BetTable[[Date]:[Date]], "&gt;="&amp;L$8,BetTable[[Date]:[Date]],"&lt;="&amp;EOMONTH(L$8,0))</f>
        <v>0</v>
      </c>
      <c r="M58" s="126">
        <f>SUMIFS(DWbonus[[Sum]:[Sum]],DWbonus[[Dato]:[Dato]], "&gt;="&amp;M$8,DWbonus[[Dato]:[Dato]],"&lt;="&amp;EOMONTH(M$8,0),DWbonus[[Bookie]:[Bookie]],$A58)+SUMIFS(LayTable[[Faktisk res]:[Faktisk res]],LayTable[[Dato]:[Dato]],"&gt;="&amp;M$8,LayTable[[Dato]:[Dato]],"&lt;="&amp;EOMONTH(M$8,0),LayTable[[Bookmaker]:[Bookmaker]],$A58)+SUMIFS(BetTable[[AR_per_bookie]:[AR_per_bookie]],BetTable[[B1]:[B1]],$A58,BetTable[[Date]:[Date]], "&gt;="&amp;M$8,BetTable[[Date]:[Date]],"&lt;="&amp;EOMONTH(M$8,0))+SUMIFS(BetTable[[AR_per_bookie]:[AR_per_bookie]],BetTable[[B2]:[B2]],$A58,BetTable[[Date]:[Date]], "&gt;="&amp;M$8,BetTable[[Date]:[Date]],"&lt;="&amp;EOMONTH(M$8,0))+SUMIFS(BetTable[[AR_per_bookie]:[AR_per_bookie]],BetTable[[B3]:[B3]],$A58,BetTable[[Date]:[Date]], "&gt;="&amp;M$8,BetTable[[Date]:[Date]],"&lt;="&amp;EOMONTH(M$8,0))</f>
        <v>0</v>
      </c>
      <c r="N58" s="126">
        <f>SUMIFS(DWbonus[[Sum]:[Sum]],DWbonus[[Dato]:[Dato]], "&gt;="&amp;N$8,DWbonus[[Dato]:[Dato]],"&lt;="&amp;EOMONTH(N$8,0),DWbonus[[Bookie]:[Bookie]],$A58)+SUMIFS(LayTable[[Faktisk res]:[Faktisk res]],LayTable[[Dato]:[Dato]],"&gt;="&amp;N$8,LayTable[[Dato]:[Dato]],"&lt;="&amp;EOMONTH(N$8,0),LayTable[[Bookmaker]:[Bookmaker]],$A58)+SUMIFS(BetTable[[AR_per_bookie]:[AR_per_bookie]],BetTable[[B1]:[B1]],$A58,BetTable[[Date]:[Date]], "&gt;="&amp;N$8,BetTable[[Date]:[Date]],"&lt;="&amp;EOMONTH(N$8,0))+SUMIFS(BetTable[[AR_per_bookie]:[AR_per_bookie]],BetTable[[B2]:[B2]],$A58,BetTable[[Date]:[Date]], "&gt;="&amp;N$8,BetTable[[Date]:[Date]],"&lt;="&amp;EOMONTH(N$8,0))+SUMIFS(BetTable[[AR_per_bookie]:[AR_per_bookie]],BetTable[[B3]:[B3]],$A58,BetTable[[Date]:[Date]], "&gt;="&amp;N$8,BetTable[[Date]:[Date]],"&lt;="&amp;EOMONTH(N$8,0))</f>
        <v>0</v>
      </c>
      <c r="O58" s="126">
        <f>SUMIFS(DWbonus[[Sum]:[Sum]],DWbonus[[Dato]:[Dato]], "&gt;="&amp;O$8,DWbonus[[Dato]:[Dato]],"&lt;="&amp;EOMONTH(O$8,0),DWbonus[[Bookie]:[Bookie]],$A58)+SUMIFS(LayTable[[Faktisk res]:[Faktisk res]],LayTable[[Dato]:[Dato]],"&gt;="&amp;O$8,LayTable[[Dato]:[Dato]],"&lt;="&amp;EOMONTH(O$8,0),LayTable[[Bookmaker]:[Bookmaker]],$A58)+SUMIFS(BetTable[[AR_per_bookie]:[AR_per_bookie]],BetTable[[B1]:[B1]],$A58,BetTable[[Date]:[Date]], "&gt;="&amp;O$8,BetTable[[Date]:[Date]],"&lt;="&amp;EOMONTH(O$8,0))+SUMIFS(BetTable[[AR_per_bookie]:[AR_per_bookie]],BetTable[[B2]:[B2]],$A58,BetTable[[Date]:[Date]], "&gt;="&amp;O$8,BetTable[[Date]:[Date]],"&lt;="&amp;EOMONTH(O$8,0))+SUMIFS(BetTable[[AR_per_bookie]:[AR_per_bookie]],BetTable[[B3]:[B3]],$A58,BetTable[[Date]:[Date]], "&gt;="&amp;O$8,BetTable[[Date]:[Date]],"&lt;="&amp;EOMONTH(O$8,0))</f>
        <v>0</v>
      </c>
      <c r="P58" s="126">
        <f>SUMIFS(DWbonus[[Sum]:[Sum]],DWbonus[[Dato]:[Dato]], "&gt;="&amp;P$8,DWbonus[[Dato]:[Dato]],"&lt;="&amp;EOMONTH(P$8,0),DWbonus[[Bookie]:[Bookie]],$A58)+SUMIFS(LayTable[[Faktisk res]:[Faktisk res]],LayTable[[Dato]:[Dato]],"&gt;="&amp;P$8,LayTable[[Dato]:[Dato]],"&lt;="&amp;EOMONTH(P$8,0),LayTable[[Bookmaker]:[Bookmaker]],$A58)+SUMIFS(BetTable[[AR_per_bookie]:[AR_per_bookie]],BetTable[[B1]:[B1]],$A58,BetTable[[Date]:[Date]], "&gt;="&amp;P$8,BetTable[[Date]:[Date]],"&lt;="&amp;EOMONTH(P$8,0))+SUMIFS(BetTable[[AR_per_bookie]:[AR_per_bookie]],BetTable[[B2]:[B2]],$A58,BetTable[[Date]:[Date]], "&gt;="&amp;P$8,BetTable[[Date]:[Date]],"&lt;="&amp;EOMONTH(P$8,0))+SUMIFS(BetTable[[AR_per_bookie]:[AR_per_bookie]],BetTable[[B3]:[B3]],$A58,BetTable[[Date]:[Date]], "&gt;="&amp;P$8,BetTable[[Date]:[Date]],"&lt;="&amp;EOMONTH(P$8,0))</f>
        <v>0</v>
      </c>
      <c r="Q58" s="126">
        <f>SUMIFS(DWbonus[[Sum]:[Sum]],DWbonus[[Dato]:[Dato]], "&gt;="&amp;Q$8,DWbonus[[Dato]:[Dato]],"&lt;="&amp;EOMONTH(Q$8,0),DWbonus[[Bookie]:[Bookie]],$A58)+SUMIFS(LayTable[[Faktisk res]:[Faktisk res]],LayTable[[Dato]:[Dato]],"&gt;="&amp;Q$8,LayTable[[Dato]:[Dato]],"&lt;="&amp;EOMONTH(Q$8,0),LayTable[[Bookmaker]:[Bookmaker]],$A58)+SUMIFS(BetTable[[AR_per_bookie]:[AR_per_bookie]],BetTable[[B1]:[B1]],$A58,BetTable[[Date]:[Date]], "&gt;="&amp;Q$8,BetTable[[Date]:[Date]],"&lt;="&amp;EOMONTH(Q$8,0))+SUMIFS(BetTable[[AR_per_bookie]:[AR_per_bookie]],BetTable[[B2]:[B2]],$A58,BetTable[[Date]:[Date]], "&gt;="&amp;Q$8,BetTable[[Date]:[Date]],"&lt;="&amp;EOMONTH(Q$8,0))+SUMIFS(BetTable[[AR_per_bookie]:[AR_per_bookie]],BetTable[[B3]:[B3]],$A58,BetTable[[Date]:[Date]], "&gt;="&amp;Q$8,BetTable[[Date]:[Date]],"&lt;="&amp;EOMONTH(Q$8,0))</f>
        <v>0</v>
      </c>
      <c r="R58" s="126">
        <f>SUMIFS(DWbonus[[Sum]:[Sum]],DWbonus[[Dato]:[Dato]], "&gt;="&amp;R$8,DWbonus[[Dato]:[Dato]],"&lt;="&amp;EOMONTH(R$8,0),DWbonus[[Bookie]:[Bookie]],$A58)+SUMIFS(LayTable[[Faktisk res]:[Faktisk res]],LayTable[[Dato]:[Dato]],"&gt;="&amp;R$8,LayTable[[Dato]:[Dato]],"&lt;="&amp;EOMONTH(R$8,0),LayTable[[Bookmaker]:[Bookmaker]],$A58)+SUMIFS(BetTable[[AR_per_bookie]:[AR_per_bookie]],BetTable[[B1]:[B1]],$A58,BetTable[[Date]:[Date]], "&gt;="&amp;R$8,BetTable[[Date]:[Date]],"&lt;="&amp;EOMONTH(R$8,0))+SUMIFS(BetTable[[AR_per_bookie]:[AR_per_bookie]],BetTable[[B2]:[B2]],$A58,BetTable[[Date]:[Date]], "&gt;="&amp;R$8,BetTable[[Date]:[Date]],"&lt;="&amp;EOMONTH(R$8,0))+SUMIFS(BetTable[[AR_per_bookie]:[AR_per_bookie]],BetTable[[B3]:[B3]],$A58,BetTable[[Date]:[Date]], "&gt;="&amp;R$8,BetTable[[Date]:[Date]],"&lt;="&amp;EOMONTH(R$8,0))</f>
        <v>0</v>
      </c>
      <c r="S58" s="126">
        <f>SUMIFS(DWbonus[[Sum]:[Sum]],DWbonus[[Dato]:[Dato]], "&gt;="&amp;S$8,DWbonus[[Dato]:[Dato]],"&lt;="&amp;EOMONTH(S$8,0),DWbonus[[Bookie]:[Bookie]],$A58)+SUMIFS(LayTable[[Faktisk res]:[Faktisk res]],LayTable[[Dato]:[Dato]],"&gt;="&amp;S$8,LayTable[[Dato]:[Dato]],"&lt;="&amp;EOMONTH(S$8,0),LayTable[[Bookmaker]:[Bookmaker]],$A58)+SUMIFS(BetTable[[AR_per_bookie]:[AR_per_bookie]],BetTable[[B1]:[B1]],$A58,BetTable[[Date]:[Date]], "&gt;="&amp;S$8,BetTable[[Date]:[Date]],"&lt;="&amp;EOMONTH(S$8,0))+SUMIFS(BetTable[[AR_per_bookie]:[AR_per_bookie]],BetTable[[B2]:[B2]],$A58,BetTable[[Date]:[Date]], "&gt;="&amp;S$8,BetTable[[Date]:[Date]],"&lt;="&amp;EOMONTH(S$8,0))+SUMIFS(BetTable[[AR_per_bookie]:[AR_per_bookie]],BetTable[[B3]:[B3]],$A58,BetTable[[Date]:[Date]], "&gt;="&amp;S$8,BetTable[[Date]:[Date]],"&lt;="&amp;EOMONTH(S$8,0))</f>
        <v>0</v>
      </c>
    </row>
    <row r="59" spans="1:19">
      <c r="A59" s="115" t="str">
        <f>BookieNavn!I51</f>
        <v>Paddypower</v>
      </c>
      <c r="B59" s="126">
        <f>SUMIF(Penger!D$1:D$50072,A59,Penger!F$1:F$50072)</f>
        <v>0</v>
      </c>
      <c r="C59" s="126">
        <f>SUMIF(Penger!T$1:T$50072,A59,Penger!U$1:U$50072)</f>
        <v>0</v>
      </c>
      <c r="D59" s="126">
        <f ca="1">SUMIF(Spill!C$1:C$499895,A59,Spill!T$1:T$49895)+C59</f>
        <v>0</v>
      </c>
      <c r="E59" s="126">
        <f>SUMIF(Spill!C$1:C$49895,A59,Spill!T$1:T$49895)</f>
        <v>0</v>
      </c>
      <c r="F59" s="121" t="e">
        <f t="shared" ca="1" si="1"/>
        <v>#DIV/0!</v>
      </c>
      <c r="H59" s="126">
        <f>SUMIFS(DWbonus[[Sum]:[Sum]],DWbonus[[Dato]:[Dato]], "&gt;="&amp;H$8,DWbonus[[Dato]:[Dato]],"&lt;="&amp;EOMONTH(H$8,0),DWbonus[[Bookie]:[Bookie]],$A59)+SUMIFS(LayTable[[Faktisk res]:[Faktisk res]],LayTable[[Dato]:[Dato]],"&gt;="&amp;H$8,LayTable[[Dato]:[Dato]],"&lt;="&amp;EOMONTH(H$8,0),LayTable[[Bookmaker]:[Bookmaker]],$A59)+SUMIFS(BetTable[[AR_per_bookie]:[AR_per_bookie]],BetTable[[B1]:[B1]],$A59,BetTable[[Date]:[Date]], "&gt;="&amp;H$8,BetTable[[Date]:[Date]],"&lt;="&amp;EOMONTH(H$8,0))+SUMIFS(BetTable[[AR_per_bookie]:[AR_per_bookie]],BetTable[[B2]:[B2]],$A59,BetTable[[Date]:[Date]], "&gt;="&amp;H$8,BetTable[[Date]:[Date]],"&lt;="&amp;EOMONTH(H$8,0))+SUMIFS(BetTable[[AR_per_bookie]:[AR_per_bookie]],BetTable[[B3]:[B3]],$A59,BetTable[[Date]:[Date]], "&gt;="&amp;H$8,BetTable[[Date]:[Date]],"&lt;="&amp;EOMONTH(H$8,0))</f>
        <v>0</v>
      </c>
      <c r="I59" s="126">
        <f>SUMIFS(DWbonus[[Sum]:[Sum]],DWbonus[[Dato]:[Dato]], "&gt;="&amp;I$8,DWbonus[[Dato]:[Dato]],"&lt;="&amp;EOMONTH(I$8,0),DWbonus[[Bookie]:[Bookie]],$A59)+SUMIFS(LayTable[[Faktisk res]:[Faktisk res]],LayTable[[Dato]:[Dato]],"&gt;="&amp;I$8,LayTable[[Dato]:[Dato]],"&lt;="&amp;EOMONTH(I$8,0),LayTable[[Bookmaker]:[Bookmaker]],$A59)+SUMIFS(BetTable[[AR_per_bookie]:[AR_per_bookie]],BetTable[[B1]:[B1]],$A59,BetTable[[Date]:[Date]], "&gt;="&amp;I$8,BetTable[[Date]:[Date]],"&lt;="&amp;EOMONTH(I$8,0))+SUMIFS(BetTable[[AR_per_bookie]:[AR_per_bookie]],BetTable[[B2]:[B2]],$A59,BetTable[[Date]:[Date]], "&gt;="&amp;I$8,BetTable[[Date]:[Date]],"&lt;="&amp;EOMONTH(I$8,0))+SUMIFS(BetTable[[AR_per_bookie]:[AR_per_bookie]],BetTable[[B3]:[B3]],$A59,BetTable[[Date]:[Date]], "&gt;="&amp;I$8,BetTable[[Date]:[Date]],"&lt;="&amp;EOMONTH(I$8,0))</f>
        <v>0</v>
      </c>
      <c r="J59" s="126">
        <f>SUMIFS(DWbonus[[Sum]:[Sum]],DWbonus[[Dato]:[Dato]], "&gt;="&amp;J$8,DWbonus[[Dato]:[Dato]],"&lt;="&amp;EOMONTH(J$8,0),DWbonus[[Bookie]:[Bookie]],$A59)+SUMIFS(LayTable[[Faktisk res]:[Faktisk res]],LayTable[[Dato]:[Dato]],"&gt;="&amp;J$8,LayTable[[Dato]:[Dato]],"&lt;="&amp;EOMONTH(J$8,0),LayTable[[Bookmaker]:[Bookmaker]],$A59)+SUMIFS(BetTable[[AR_per_bookie]:[AR_per_bookie]],BetTable[[B1]:[B1]],$A59,BetTable[[Date]:[Date]], "&gt;="&amp;J$8,BetTable[[Date]:[Date]],"&lt;="&amp;EOMONTH(J$8,0))+SUMIFS(BetTable[[AR_per_bookie]:[AR_per_bookie]],BetTable[[B2]:[B2]],$A59,BetTable[[Date]:[Date]], "&gt;="&amp;J$8,BetTable[[Date]:[Date]],"&lt;="&amp;EOMONTH(J$8,0))+SUMIFS(BetTable[[AR_per_bookie]:[AR_per_bookie]],BetTable[[B3]:[B3]],$A59,BetTable[[Date]:[Date]], "&gt;="&amp;J$8,BetTable[[Date]:[Date]],"&lt;="&amp;EOMONTH(J$8,0))</f>
        <v>0</v>
      </c>
      <c r="K59" s="126">
        <f>SUMIFS(DWbonus[[Sum]:[Sum]],DWbonus[[Dato]:[Dato]], "&gt;="&amp;K$8,DWbonus[[Dato]:[Dato]],"&lt;="&amp;EOMONTH(K$8,0),DWbonus[[Bookie]:[Bookie]],$A59)+SUMIFS(LayTable[[Faktisk res]:[Faktisk res]],LayTable[[Dato]:[Dato]],"&gt;="&amp;K$8,LayTable[[Dato]:[Dato]],"&lt;="&amp;EOMONTH(K$8,0),LayTable[[Bookmaker]:[Bookmaker]],$A59)+SUMIFS(BetTable[[AR_per_bookie]:[AR_per_bookie]],BetTable[[B1]:[B1]],$A59,BetTable[[Date]:[Date]], "&gt;="&amp;K$8,BetTable[[Date]:[Date]],"&lt;="&amp;EOMONTH(K$8,0))+SUMIFS(BetTable[[AR_per_bookie]:[AR_per_bookie]],BetTable[[B2]:[B2]],$A59,BetTable[[Date]:[Date]], "&gt;="&amp;K$8,BetTable[[Date]:[Date]],"&lt;="&amp;EOMONTH(K$8,0))+SUMIFS(BetTable[[AR_per_bookie]:[AR_per_bookie]],BetTable[[B3]:[B3]],$A59,BetTable[[Date]:[Date]], "&gt;="&amp;K$8,BetTable[[Date]:[Date]],"&lt;="&amp;EOMONTH(K$8,0))</f>
        <v>0</v>
      </c>
      <c r="L59" s="126">
        <f>SUMIFS(DWbonus[[Sum]:[Sum]],DWbonus[[Dato]:[Dato]], "&gt;="&amp;L$8,DWbonus[[Dato]:[Dato]],"&lt;="&amp;EOMONTH(L$8,0),DWbonus[[Bookie]:[Bookie]],$A59)+SUMIFS(LayTable[[Faktisk res]:[Faktisk res]],LayTable[[Dato]:[Dato]],"&gt;="&amp;L$8,LayTable[[Dato]:[Dato]],"&lt;="&amp;EOMONTH(L$8,0),LayTable[[Bookmaker]:[Bookmaker]],$A59)+SUMIFS(BetTable[[AR_per_bookie]:[AR_per_bookie]],BetTable[[B1]:[B1]],$A59,BetTable[[Date]:[Date]], "&gt;="&amp;L$8,BetTable[[Date]:[Date]],"&lt;="&amp;EOMONTH(L$8,0))+SUMIFS(BetTable[[AR_per_bookie]:[AR_per_bookie]],BetTable[[B2]:[B2]],$A59,BetTable[[Date]:[Date]], "&gt;="&amp;L$8,BetTable[[Date]:[Date]],"&lt;="&amp;EOMONTH(L$8,0))+SUMIFS(BetTable[[AR_per_bookie]:[AR_per_bookie]],BetTable[[B3]:[B3]],$A59,BetTable[[Date]:[Date]], "&gt;="&amp;L$8,BetTable[[Date]:[Date]],"&lt;="&amp;EOMONTH(L$8,0))</f>
        <v>0</v>
      </c>
      <c r="M59" s="126">
        <f>SUMIFS(DWbonus[[Sum]:[Sum]],DWbonus[[Dato]:[Dato]], "&gt;="&amp;M$8,DWbonus[[Dato]:[Dato]],"&lt;="&amp;EOMONTH(M$8,0),DWbonus[[Bookie]:[Bookie]],$A59)+SUMIFS(LayTable[[Faktisk res]:[Faktisk res]],LayTable[[Dato]:[Dato]],"&gt;="&amp;M$8,LayTable[[Dato]:[Dato]],"&lt;="&amp;EOMONTH(M$8,0),LayTable[[Bookmaker]:[Bookmaker]],$A59)+SUMIFS(BetTable[[AR_per_bookie]:[AR_per_bookie]],BetTable[[B1]:[B1]],$A59,BetTable[[Date]:[Date]], "&gt;="&amp;M$8,BetTable[[Date]:[Date]],"&lt;="&amp;EOMONTH(M$8,0))+SUMIFS(BetTable[[AR_per_bookie]:[AR_per_bookie]],BetTable[[B2]:[B2]],$A59,BetTable[[Date]:[Date]], "&gt;="&amp;M$8,BetTable[[Date]:[Date]],"&lt;="&amp;EOMONTH(M$8,0))+SUMIFS(BetTable[[AR_per_bookie]:[AR_per_bookie]],BetTable[[B3]:[B3]],$A59,BetTable[[Date]:[Date]], "&gt;="&amp;M$8,BetTable[[Date]:[Date]],"&lt;="&amp;EOMONTH(M$8,0))</f>
        <v>0</v>
      </c>
      <c r="N59" s="126">
        <f>SUMIFS(DWbonus[[Sum]:[Sum]],DWbonus[[Dato]:[Dato]], "&gt;="&amp;N$8,DWbonus[[Dato]:[Dato]],"&lt;="&amp;EOMONTH(N$8,0),DWbonus[[Bookie]:[Bookie]],$A59)+SUMIFS(LayTable[[Faktisk res]:[Faktisk res]],LayTable[[Dato]:[Dato]],"&gt;="&amp;N$8,LayTable[[Dato]:[Dato]],"&lt;="&amp;EOMONTH(N$8,0),LayTable[[Bookmaker]:[Bookmaker]],$A59)+SUMIFS(BetTable[[AR_per_bookie]:[AR_per_bookie]],BetTable[[B1]:[B1]],$A59,BetTable[[Date]:[Date]], "&gt;="&amp;N$8,BetTable[[Date]:[Date]],"&lt;="&amp;EOMONTH(N$8,0))+SUMIFS(BetTable[[AR_per_bookie]:[AR_per_bookie]],BetTable[[B2]:[B2]],$A59,BetTable[[Date]:[Date]], "&gt;="&amp;N$8,BetTable[[Date]:[Date]],"&lt;="&amp;EOMONTH(N$8,0))+SUMIFS(BetTable[[AR_per_bookie]:[AR_per_bookie]],BetTable[[B3]:[B3]],$A59,BetTable[[Date]:[Date]], "&gt;="&amp;N$8,BetTable[[Date]:[Date]],"&lt;="&amp;EOMONTH(N$8,0))</f>
        <v>0</v>
      </c>
      <c r="O59" s="126">
        <f>SUMIFS(DWbonus[[Sum]:[Sum]],DWbonus[[Dato]:[Dato]], "&gt;="&amp;O$8,DWbonus[[Dato]:[Dato]],"&lt;="&amp;EOMONTH(O$8,0),DWbonus[[Bookie]:[Bookie]],$A59)+SUMIFS(LayTable[[Faktisk res]:[Faktisk res]],LayTable[[Dato]:[Dato]],"&gt;="&amp;O$8,LayTable[[Dato]:[Dato]],"&lt;="&amp;EOMONTH(O$8,0),LayTable[[Bookmaker]:[Bookmaker]],$A59)+SUMIFS(BetTable[[AR_per_bookie]:[AR_per_bookie]],BetTable[[B1]:[B1]],$A59,BetTable[[Date]:[Date]], "&gt;="&amp;O$8,BetTable[[Date]:[Date]],"&lt;="&amp;EOMONTH(O$8,0))+SUMIFS(BetTable[[AR_per_bookie]:[AR_per_bookie]],BetTable[[B2]:[B2]],$A59,BetTable[[Date]:[Date]], "&gt;="&amp;O$8,BetTable[[Date]:[Date]],"&lt;="&amp;EOMONTH(O$8,0))+SUMIFS(BetTable[[AR_per_bookie]:[AR_per_bookie]],BetTable[[B3]:[B3]],$A59,BetTable[[Date]:[Date]], "&gt;="&amp;O$8,BetTable[[Date]:[Date]],"&lt;="&amp;EOMONTH(O$8,0))</f>
        <v>0</v>
      </c>
      <c r="P59" s="126">
        <f>SUMIFS(DWbonus[[Sum]:[Sum]],DWbonus[[Dato]:[Dato]], "&gt;="&amp;P$8,DWbonus[[Dato]:[Dato]],"&lt;="&amp;EOMONTH(P$8,0),DWbonus[[Bookie]:[Bookie]],$A59)+SUMIFS(LayTable[[Faktisk res]:[Faktisk res]],LayTable[[Dato]:[Dato]],"&gt;="&amp;P$8,LayTable[[Dato]:[Dato]],"&lt;="&amp;EOMONTH(P$8,0),LayTable[[Bookmaker]:[Bookmaker]],$A59)+SUMIFS(BetTable[[AR_per_bookie]:[AR_per_bookie]],BetTable[[B1]:[B1]],$A59,BetTable[[Date]:[Date]], "&gt;="&amp;P$8,BetTable[[Date]:[Date]],"&lt;="&amp;EOMONTH(P$8,0))+SUMIFS(BetTable[[AR_per_bookie]:[AR_per_bookie]],BetTable[[B2]:[B2]],$A59,BetTable[[Date]:[Date]], "&gt;="&amp;P$8,BetTable[[Date]:[Date]],"&lt;="&amp;EOMONTH(P$8,0))+SUMIFS(BetTable[[AR_per_bookie]:[AR_per_bookie]],BetTable[[B3]:[B3]],$A59,BetTable[[Date]:[Date]], "&gt;="&amp;P$8,BetTable[[Date]:[Date]],"&lt;="&amp;EOMONTH(P$8,0))</f>
        <v>0</v>
      </c>
      <c r="Q59" s="126">
        <f>SUMIFS(DWbonus[[Sum]:[Sum]],DWbonus[[Dato]:[Dato]], "&gt;="&amp;Q$8,DWbonus[[Dato]:[Dato]],"&lt;="&amp;EOMONTH(Q$8,0),DWbonus[[Bookie]:[Bookie]],$A59)+SUMIFS(LayTable[[Faktisk res]:[Faktisk res]],LayTable[[Dato]:[Dato]],"&gt;="&amp;Q$8,LayTable[[Dato]:[Dato]],"&lt;="&amp;EOMONTH(Q$8,0),LayTable[[Bookmaker]:[Bookmaker]],$A59)+SUMIFS(BetTable[[AR_per_bookie]:[AR_per_bookie]],BetTable[[B1]:[B1]],$A59,BetTable[[Date]:[Date]], "&gt;="&amp;Q$8,BetTable[[Date]:[Date]],"&lt;="&amp;EOMONTH(Q$8,0))+SUMIFS(BetTable[[AR_per_bookie]:[AR_per_bookie]],BetTable[[B2]:[B2]],$A59,BetTable[[Date]:[Date]], "&gt;="&amp;Q$8,BetTable[[Date]:[Date]],"&lt;="&amp;EOMONTH(Q$8,0))+SUMIFS(BetTable[[AR_per_bookie]:[AR_per_bookie]],BetTable[[B3]:[B3]],$A59,BetTable[[Date]:[Date]], "&gt;="&amp;Q$8,BetTable[[Date]:[Date]],"&lt;="&amp;EOMONTH(Q$8,0))</f>
        <v>0</v>
      </c>
      <c r="R59" s="126">
        <f>SUMIFS(DWbonus[[Sum]:[Sum]],DWbonus[[Dato]:[Dato]], "&gt;="&amp;R$8,DWbonus[[Dato]:[Dato]],"&lt;="&amp;EOMONTH(R$8,0),DWbonus[[Bookie]:[Bookie]],$A59)+SUMIFS(LayTable[[Faktisk res]:[Faktisk res]],LayTable[[Dato]:[Dato]],"&gt;="&amp;R$8,LayTable[[Dato]:[Dato]],"&lt;="&amp;EOMONTH(R$8,0),LayTable[[Bookmaker]:[Bookmaker]],$A59)+SUMIFS(BetTable[[AR_per_bookie]:[AR_per_bookie]],BetTable[[B1]:[B1]],$A59,BetTable[[Date]:[Date]], "&gt;="&amp;R$8,BetTable[[Date]:[Date]],"&lt;="&amp;EOMONTH(R$8,0))+SUMIFS(BetTable[[AR_per_bookie]:[AR_per_bookie]],BetTable[[B2]:[B2]],$A59,BetTable[[Date]:[Date]], "&gt;="&amp;R$8,BetTable[[Date]:[Date]],"&lt;="&amp;EOMONTH(R$8,0))+SUMIFS(BetTable[[AR_per_bookie]:[AR_per_bookie]],BetTable[[B3]:[B3]],$A59,BetTable[[Date]:[Date]], "&gt;="&amp;R$8,BetTable[[Date]:[Date]],"&lt;="&amp;EOMONTH(R$8,0))</f>
        <v>0</v>
      </c>
      <c r="S59" s="126">
        <f>SUMIFS(DWbonus[[Sum]:[Sum]],DWbonus[[Dato]:[Dato]], "&gt;="&amp;S$8,DWbonus[[Dato]:[Dato]],"&lt;="&amp;EOMONTH(S$8,0),DWbonus[[Bookie]:[Bookie]],$A59)+SUMIFS(LayTable[[Faktisk res]:[Faktisk res]],LayTable[[Dato]:[Dato]],"&gt;="&amp;S$8,LayTable[[Dato]:[Dato]],"&lt;="&amp;EOMONTH(S$8,0),LayTable[[Bookmaker]:[Bookmaker]],$A59)+SUMIFS(BetTable[[AR_per_bookie]:[AR_per_bookie]],BetTable[[B1]:[B1]],$A59,BetTable[[Date]:[Date]], "&gt;="&amp;S$8,BetTable[[Date]:[Date]],"&lt;="&amp;EOMONTH(S$8,0))+SUMIFS(BetTable[[AR_per_bookie]:[AR_per_bookie]],BetTable[[B2]:[B2]],$A59,BetTable[[Date]:[Date]], "&gt;="&amp;S$8,BetTable[[Date]:[Date]],"&lt;="&amp;EOMONTH(S$8,0))+SUMIFS(BetTable[[AR_per_bookie]:[AR_per_bookie]],BetTable[[B3]:[B3]],$A59,BetTable[[Date]:[Date]], "&gt;="&amp;S$8,BetTable[[Date]:[Date]],"&lt;="&amp;EOMONTH(S$8,0))</f>
        <v>0</v>
      </c>
    </row>
    <row r="60" spans="1:19">
      <c r="A60" s="115" t="str">
        <f>BookieNavn!I52</f>
        <v>Pinnacle</v>
      </c>
      <c r="B60" s="126">
        <f>SUMIF(Penger!D$1:D$50072,A60,Penger!F$1:F$50072)</f>
        <v>0</v>
      </c>
      <c r="C60" s="126">
        <f>SUMIF(Penger!T$1:T$50072,A60,Penger!U$1:U$50072)</f>
        <v>0</v>
      </c>
      <c r="D60" s="126">
        <f ca="1">SUMIF(Spill!C$1:C$499895,A60,Spill!T$1:T$49895)+C60</f>
        <v>0</v>
      </c>
      <c r="E60" s="126">
        <f>SUMIF(Spill!C$1:C$49895,A60,Spill!T$1:T$49895)</f>
        <v>0</v>
      </c>
      <c r="F60" s="121" t="e">
        <f t="shared" ca="1" si="1"/>
        <v>#DIV/0!</v>
      </c>
      <c r="H60" s="126">
        <f>SUMIFS(DWbonus[[Sum]:[Sum]],DWbonus[[Dato]:[Dato]], "&gt;="&amp;H$8,DWbonus[[Dato]:[Dato]],"&lt;="&amp;EOMONTH(H$8,0),DWbonus[[Bookie]:[Bookie]],$A60)+SUMIFS(LayTable[[Faktisk res]:[Faktisk res]],LayTable[[Dato]:[Dato]],"&gt;="&amp;H$8,LayTable[[Dato]:[Dato]],"&lt;="&amp;EOMONTH(H$8,0),LayTable[[Bookmaker]:[Bookmaker]],$A60)+SUMIFS(BetTable[[AR_per_bookie]:[AR_per_bookie]],BetTable[[B1]:[B1]],$A60,BetTable[[Date]:[Date]], "&gt;="&amp;H$8,BetTable[[Date]:[Date]],"&lt;="&amp;EOMONTH(H$8,0))+SUMIFS(BetTable[[AR_per_bookie]:[AR_per_bookie]],BetTable[[B2]:[B2]],$A60,BetTable[[Date]:[Date]], "&gt;="&amp;H$8,BetTable[[Date]:[Date]],"&lt;="&amp;EOMONTH(H$8,0))+SUMIFS(BetTable[[AR_per_bookie]:[AR_per_bookie]],BetTable[[B3]:[B3]],$A60,BetTable[[Date]:[Date]], "&gt;="&amp;H$8,BetTable[[Date]:[Date]],"&lt;="&amp;EOMONTH(H$8,0))</f>
        <v>0</v>
      </c>
      <c r="I60" s="126">
        <f>SUMIFS(DWbonus[[Sum]:[Sum]],DWbonus[[Dato]:[Dato]], "&gt;="&amp;I$8,DWbonus[[Dato]:[Dato]],"&lt;="&amp;EOMONTH(I$8,0),DWbonus[[Bookie]:[Bookie]],$A60)+SUMIFS(LayTable[[Faktisk res]:[Faktisk res]],LayTable[[Dato]:[Dato]],"&gt;="&amp;I$8,LayTable[[Dato]:[Dato]],"&lt;="&amp;EOMONTH(I$8,0),LayTable[[Bookmaker]:[Bookmaker]],$A60)+SUMIFS(BetTable[[AR_per_bookie]:[AR_per_bookie]],BetTable[[B1]:[B1]],$A60,BetTable[[Date]:[Date]], "&gt;="&amp;I$8,BetTable[[Date]:[Date]],"&lt;="&amp;EOMONTH(I$8,0))+SUMIFS(BetTable[[AR_per_bookie]:[AR_per_bookie]],BetTable[[B2]:[B2]],$A60,BetTable[[Date]:[Date]], "&gt;="&amp;I$8,BetTable[[Date]:[Date]],"&lt;="&amp;EOMONTH(I$8,0))+SUMIFS(BetTable[[AR_per_bookie]:[AR_per_bookie]],BetTable[[B3]:[B3]],$A60,BetTable[[Date]:[Date]], "&gt;="&amp;I$8,BetTable[[Date]:[Date]],"&lt;="&amp;EOMONTH(I$8,0))</f>
        <v>0</v>
      </c>
      <c r="J60" s="126">
        <f>SUMIFS(DWbonus[[Sum]:[Sum]],DWbonus[[Dato]:[Dato]], "&gt;="&amp;J$8,DWbonus[[Dato]:[Dato]],"&lt;="&amp;EOMONTH(J$8,0),DWbonus[[Bookie]:[Bookie]],$A60)+SUMIFS(LayTable[[Faktisk res]:[Faktisk res]],LayTable[[Dato]:[Dato]],"&gt;="&amp;J$8,LayTable[[Dato]:[Dato]],"&lt;="&amp;EOMONTH(J$8,0),LayTable[[Bookmaker]:[Bookmaker]],$A60)+SUMIFS(BetTable[[AR_per_bookie]:[AR_per_bookie]],BetTable[[B1]:[B1]],$A60,BetTable[[Date]:[Date]], "&gt;="&amp;J$8,BetTable[[Date]:[Date]],"&lt;="&amp;EOMONTH(J$8,0))+SUMIFS(BetTable[[AR_per_bookie]:[AR_per_bookie]],BetTable[[B2]:[B2]],$A60,BetTable[[Date]:[Date]], "&gt;="&amp;J$8,BetTable[[Date]:[Date]],"&lt;="&amp;EOMONTH(J$8,0))+SUMIFS(BetTable[[AR_per_bookie]:[AR_per_bookie]],BetTable[[B3]:[B3]],$A60,BetTable[[Date]:[Date]], "&gt;="&amp;J$8,BetTable[[Date]:[Date]],"&lt;="&amp;EOMONTH(J$8,0))</f>
        <v>0</v>
      </c>
      <c r="K60" s="126">
        <f>SUMIFS(DWbonus[[Sum]:[Sum]],DWbonus[[Dato]:[Dato]], "&gt;="&amp;K$8,DWbonus[[Dato]:[Dato]],"&lt;="&amp;EOMONTH(K$8,0),DWbonus[[Bookie]:[Bookie]],$A60)+SUMIFS(LayTable[[Faktisk res]:[Faktisk res]],LayTable[[Dato]:[Dato]],"&gt;="&amp;K$8,LayTable[[Dato]:[Dato]],"&lt;="&amp;EOMONTH(K$8,0),LayTable[[Bookmaker]:[Bookmaker]],$A60)+SUMIFS(BetTable[[AR_per_bookie]:[AR_per_bookie]],BetTable[[B1]:[B1]],$A60,BetTable[[Date]:[Date]], "&gt;="&amp;K$8,BetTable[[Date]:[Date]],"&lt;="&amp;EOMONTH(K$8,0))+SUMIFS(BetTable[[AR_per_bookie]:[AR_per_bookie]],BetTable[[B2]:[B2]],$A60,BetTable[[Date]:[Date]], "&gt;="&amp;K$8,BetTable[[Date]:[Date]],"&lt;="&amp;EOMONTH(K$8,0))+SUMIFS(BetTable[[AR_per_bookie]:[AR_per_bookie]],BetTable[[B3]:[B3]],$A60,BetTable[[Date]:[Date]], "&gt;="&amp;K$8,BetTable[[Date]:[Date]],"&lt;="&amp;EOMONTH(K$8,0))</f>
        <v>0</v>
      </c>
      <c r="L60" s="126">
        <f>SUMIFS(DWbonus[[Sum]:[Sum]],DWbonus[[Dato]:[Dato]], "&gt;="&amp;L$8,DWbonus[[Dato]:[Dato]],"&lt;="&amp;EOMONTH(L$8,0),DWbonus[[Bookie]:[Bookie]],$A60)+SUMIFS(LayTable[[Faktisk res]:[Faktisk res]],LayTable[[Dato]:[Dato]],"&gt;="&amp;L$8,LayTable[[Dato]:[Dato]],"&lt;="&amp;EOMONTH(L$8,0),LayTable[[Bookmaker]:[Bookmaker]],$A60)+SUMIFS(BetTable[[AR_per_bookie]:[AR_per_bookie]],BetTable[[B1]:[B1]],$A60,BetTable[[Date]:[Date]], "&gt;="&amp;L$8,BetTable[[Date]:[Date]],"&lt;="&amp;EOMONTH(L$8,0))+SUMIFS(BetTable[[AR_per_bookie]:[AR_per_bookie]],BetTable[[B2]:[B2]],$A60,BetTable[[Date]:[Date]], "&gt;="&amp;L$8,BetTable[[Date]:[Date]],"&lt;="&amp;EOMONTH(L$8,0))+SUMIFS(BetTable[[AR_per_bookie]:[AR_per_bookie]],BetTable[[B3]:[B3]],$A60,BetTable[[Date]:[Date]], "&gt;="&amp;L$8,BetTable[[Date]:[Date]],"&lt;="&amp;EOMONTH(L$8,0))</f>
        <v>0</v>
      </c>
      <c r="M60" s="126">
        <f>SUMIFS(DWbonus[[Sum]:[Sum]],DWbonus[[Dato]:[Dato]], "&gt;="&amp;M$8,DWbonus[[Dato]:[Dato]],"&lt;="&amp;EOMONTH(M$8,0),DWbonus[[Bookie]:[Bookie]],$A60)+SUMIFS(LayTable[[Faktisk res]:[Faktisk res]],LayTable[[Dato]:[Dato]],"&gt;="&amp;M$8,LayTable[[Dato]:[Dato]],"&lt;="&amp;EOMONTH(M$8,0),LayTable[[Bookmaker]:[Bookmaker]],$A60)+SUMIFS(BetTable[[AR_per_bookie]:[AR_per_bookie]],BetTable[[B1]:[B1]],$A60,BetTable[[Date]:[Date]], "&gt;="&amp;M$8,BetTable[[Date]:[Date]],"&lt;="&amp;EOMONTH(M$8,0))+SUMIFS(BetTable[[AR_per_bookie]:[AR_per_bookie]],BetTable[[B2]:[B2]],$A60,BetTable[[Date]:[Date]], "&gt;="&amp;M$8,BetTable[[Date]:[Date]],"&lt;="&amp;EOMONTH(M$8,0))+SUMIFS(BetTable[[AR_per_bookie]:[AR_per_bookie]],BetTable[[B3]:[B3]],$A60,BetTable[[Date]:[Date]], "&gt;="&amp;M$8,BetTable[[Date]:[Date]],"&lt;="&amp;EOMONTH(M$8,0))</f>
        <v>0</v>
      </c>
      <c r="N60" s="126">
        <f>SUMIFS(DWbonus[[Sum]:[Sum]],DWbonus[[Dato]:[Dato]], "&gt;="&amp;N$8,DWbonus[[Dato]:[Dato]],"&lt;="&amp;EOMONTH(N$8,0),DWbonus[[Bookie]:[Bookie]],$A60)+SUMIFS(LayTable[[Faktisk res]:[Faktisk res]],LayTable[[Dato]:[Dato]],"&gt;="&amp;N$8,LayTable[[Dato]:[Dato]],"&lt;="&amp;EOMONTH(N$8,0),LayTable[[Bookmaker]:[Bookmaker]],$A60)+SUMIFS(BetTable[[AR_per_bookie]:[AR_per_bookie]],BetTable[[B1]:[B1]],$A60,BetTable[[Date]:[Date]], "&gt;="&amp;N$8,BetTable[[Date]:[Date]],"&lt;="&amp;EOMONTH(N$8,0))+SUMIFS(BetTable[[AR_per_bookie]:[AR_per_bookie]],BetTable[[B2]:[B2]],$A60,BetTable[[Date]:[Date]], "&gt;="&amp;N$8,BetTable[[Date]:[Date]],"&lt;="&amp;EOMONTH(N$8,0))+SUMIFS(BetTable[[AR_per_bookie]:[AR_per_bookie]],BetTable[[B3]:[B3]],$A60,BetTable[[Date]:[Date]], "&gt;="&amp;N$8,BetTable[[Date]:[Date]],"&lt;="&amp;EOMONTH(N$8,0))</f>
        <v>0</v>
      </c>
      <c r="O60" s="126">
        <f>SUMIFS(DWbonus[[Sum]:[Sum]],DWbonus[[Dato]:[Dato]], "&gt;="&amp;O$8,DWbonus[[Dato]:[Dato]],"&lt;="&amp;EOMONTH(O$8,0),DWbonus[[Bookie]:[Bookie]],$A60)+SUMIFS(LayTable[[Faktisk res]:[Faktisk res]],LayTable[[Dato]:[Dato]],"&gt;="&amp;O$8,LayTable[[Dato]:[Dato]],"&lt;="&amp;EOMONTH(O$8,0),LayTable[[Bookmaker]:[Bookmaker]],$A60)+SUMIFS(BetTable[[AR_per_bookie]:[AR_per_bookie]],BetTable[[B1]:[B1]],$A60,BetTable[[Date]:[Date]], "&gt;="&amp;O$8,BetTable[[Date]:[Date]],"&lt;="&amp;EOMONTH(O$8,0))+SUMIFS(BetTable[[AR_per_bookie]:[AR_per_bookie]],BetTable[[B2]:[B2]],$A60,BetTable[[Date]:[Date]], "&gt;="&amp;O$8,BetTable[[Date]:[Date]],"&lt;="&amp;EOMONTH(O$8,0))+SUMIFS(BetTable[[AR_per_bookie]:[AR_per_bookie]],BetTable[[B3]:[B3]],$A60,BetTable[[Date]:[Date]], "&gt;="&amp;O$8,BetTable[[Date]:[Date]],"&lt;="&amp;EOMONTH(O$8,0))</f>
        <v>0</v>
      </c>
      <c r="P60" s="126">
        <f>SUMIFS(DWbonus[[Sum]:[Sum]],DWbonus[[Dato]:[Dato]], "&gt;="&amp;P$8,DWbonus[[Dato]:[Dato]],"&lt;="&amp;EOMONTH(P$8,0),DWbonus[[Bookie]:[Bookie]],$A60)+SUMIFS(LayTable[[Faktisk res]:[Faktisk res]],LayTable[[Dato]:[Dato]],"&gt;="&amp;P$8,LayTable[[Dato]:[Dato]],"&lt;="&amp;EOMONTH(P$8,0),LayTable[[Bookmaker]:[Bookmaker]],$A60)+SUMIFS(BetTable[[AR_per_bookie]:[AR_per_bookie]],BetTable[[B1]:[B1]],$A60,BetTable[[Date]:[Date]], "&gt;="&amp;P$8,BetTable[[Date]:[Date]],"&lt;="&amp;EOMONTH(P$8,0))+SUMIFS(BetTable[[AR_per_bookie]:[AR_per_bookie]],BetTable[[B2]:[B2]],$A60,BetTable[[Date]:[Date]], "&gt;="&amp;P$8,BetTable[[Date]:[Date]],"&lt;="&amp;EOMONTH(P$8,0))+SUMIFS(BetTable[[AR_per_bookie]:[AR_per_bookie]],BetTable[[B3]:[B3]],$A60,BetTable[[Date]:[Date]], "&gt;="&amp;P$8,BetTable[[Date]:[Date]],"&lt;="&amp;EOMONTH(P$8,0))</f>
        <v>0</v>
      </c>
      <c r="Q60" s="126">
        <f>SUMIFS(DWbonus[[Sum]:[Sum]],DWbonus[[Dato]:[Dato]], "&gt;="&amp;Q$8,DWbonus[[Dato]:[Dato]],"&lt;="&amp;EOMONTH(Q$8,0),DWbonus[[Bookie]:[Bookie]],$A60)+SUMIFS(LayTable[[Faktisk res]:[Faktisk res]],LayTable[[Dato]:[Dato]],"&gt;="&amp;Q$8,LayTable[[Dato]:[Dato]],"&lt;="&amp;EOMONTH(Q$8,0),LayTable[[Bookmaker]:[Bookmaker]],$A60)+SUMIFS(BetTable[[AR_per_bookie]:[AR_per_bookie]],BetTable[[B1]:[B1]],$A60,BetTable[[Date]:[Date]], "&gt;="&amp;Q$8,BetTable[[Date]:[Date]],"&lt;="&amp;EOMONTH(Q$8,0))+SUMIFS(BetTable[[AR_per_bookie]:[AR_per_bookie]],BetTable[[B2]:[B2]],$A60,BetTable[[Date]:[Date]], "&gt;="&amp;Q$8,BetTable[[Date]:[Date]],"&lt;="&amp;EOMONTH(Q$8,0))+SUMIFS(BetTable[[AR_per_bookie]:[AR_per_bookie]],BetTable[[B3]:[B3]],$A60,BetTable[[Date]:[Date]], "&gt;="&amp;Q$8,BetTable[[Date]:[Date]],"&lt;="&amp;EOMONTH(Q$8,0))</f>
        <v>0</v>
      </c>
      <c r="R60" s="126">
        <f>SUMIFS(DWbonus[[Sum]:[Sum]],DWbonus[[Dato]:[Dato]], "&gt;="&amp;R$8,DWbonus[[Dato]:[Dato]],"&lt;="&amp;EOMONTH(R$8,0),DWbonus[[Bookie]:[Bookie]],$A60)+SUMIFS(LayTable[[Faktisk res]:[Faktisk res]],LayTable[[Dato]:[Dato]],"&gt;="&amp;R$8,LayTable[[Dato]:[Dato]],"&lt;="&amp;EOMONTH(R$8,0),LayTable[[Bookmaker]:[Bookmaker]],$A60)+SUMIFS(BetTable[[AR_per_bookie]:[AR_per_bookie]],BetTable[[B1]:[B1]],$A60,BetTable[[Date]:[Date]], "&gt;="&amp;R$8,BetTable[[Date]:[Date]],"&lt;="&amp;EOMONTH(R$8,0))+SUMIFS(BetTable[[AR_per_bookie]:[AR_per_bookie]],BetTable[[B2]:[B2]],$A60,BetTable[[Date]:[Date]], "&gt;="&amp;R$8,BetTable[[Date]:[Date]],"&lt;="&amp;EOMONTH(R$8,0))+SUMIFS(BetTable[[AR_per_bookie]:[AR_per_bookie]],BetTable[[B3]:[B3]],$A60,BetTable[[Date]:[Date]], "&gt;="&amp;R$8,BetTable[[Date]:[Date]],"&lt;="&amp;EOMONTH(R$8,0))</f>
        <v>0</v>
      </c>
      <c r="S60" s="126">
        <f>SUMIFS(DWbonus[[Sum]:[Sum]],DWbonus[[Dato]:[Dato]], "&gt;="&amp;S$8,DWbonus[[Dato]:[Dato]],"&lt;="&amp;EOMONTH(S$8,0),DWbonus[[Bookie]:[Bookie]],$A60)+SUMIFS(LayTable[[Faktisk res]:[Faktisk res]],LayTable[[Dato]:[Dato]],"&gt;="&amp;S$8,LayTable[[Dato]:[Dato]],"&lt;="&amp;EOMONTH(S$8,0),LayTable[[Bookmaker]:[Bookmaker]],$A60)+SUMIFS(BetTable[[AR_per_bookie]:[AR_per_bookie]],BetTable[[B1]:[B1]],$A60,BetTable[[Date]:[Date]], "&gt;="&amp;S$8,BetTable[[Date]:[Date]],"&lt;="&amp;EOMONTH(S$8,0))+SUMIFS(BetTable[[AR_per_bookie]:[AR_per_bookie]],BetTable[[B2]:[B2]],$A60,BetTable[[Date]:[Date]], "&gt;="&amp;S$8,BetTable[[Date]:[Date]],"&lt;="&amp;EOMONTH(S$8,0))+SUMIFS(BetTable[[AR_per_bookie]:[AR_per_bookie]],BetTable[[B3]:[B3]],$A60,BetTable[[Date]:[Date]], "&gt;="&amp;S$8,BetTable[[Date]:[Date]],"&lt;="&amp;EOMONTH(S$8,0))</f>
        <v>0</v>
      </c>
    </row>
    <row r="61" spans="1:19">
      <c r="A61" s="115" t="str">
        <f>BookieNavn!I53</f>
        <v>Racebets</v>
      </c>
      <c r="B61" s="126">
        <f>SUMIF(Penger!D$1:D$50072,A61,Penger!F$1:F$50072)</f>
        <v>0</v>
      </c>
      <c r="C61" s="126">
        <f>SUMIF(Penger!T$1:T$50072,A61,Penger!U$1:U$50072)</f>
        <v>0</v>
      </c>
      <c r="D61" s="126">
        <f ca="1">SUMIF(Spill!C$1:C$499895,A61,Spill!T$1:T$49895)+C61</f>
        <v>0</v>
      </c>
      <c r="E61" s="126">
        <f>SUMIF(Spill!C$1:C$49895,A61,Spill!T$1:T$49895)</f>
        <v>0</v>
      </c>
      <c r="F61" s="121" t="e">
        <f t="shared" ca="1" si="1"/>
        <v>#DIV/0!</v>
      </c>
      <c r="H61" s="126">
        <f>SUMIFS(DWbonus[[Sum]:[Sum]],DWbonus[[Dato]:[Dato]], "&gt;="&amp;H$8,DWbonus[[Dato]:[Dato]],"&lt;="&amp;EOMONTH(H$8,0),DWbonus[[Bookie]:[Bookie]],$A61)+SUMIFS(LayTable[[Faktisk res]:[Faktisk res]],LayTable[[Dato]:[Dato]],"&gt;="&amp;H$8,LayTable[[Dato]:[Dato]],"&lt;="&amp;EOMONTH(H$8,0),LayTable[[Bookmaker]:[Bookmaker]],$A61)+SUMIFS(BetTable[[AR_per_bookie]:[AR_per_bookie]],BetTable[[B1]:[B1]],$A61,BetTable[[Date]:[Date]], "&gt;="&amp;H$8,BetTable[[Date]:[Date]],"&lt;="&amp;EOMONTH(H$8,0))+SUMIFS(BetTable[[AR_per_bookie]:[AR_per_bookie]],BetTable[[B2]:[B2]],$A61,BetTable[[Date]:[Date]], "&gt;="&amp;H$8,BetTable[[Date]:[Date]],"&lt;="&amp;EOMONTH(H$8,0))+SUMIFS(BetTable[[AR_per_bookie]:[AR_per_bookie]],BetTable[[B3]:[B3]],$A61,BetTable[[Date]:[Date]], "&gt;="&amp;H$8,BetTable[[Date]:[Date]],"&lt;="&amp;EOMONTH(H$8,0))</f>
        <v>0</v>
      </c>
      <c r="I61" s="126">
        <f>SUMIFS(DWbonus[[Sum]:[Sum]],DWbonus[[Dato]:[Dato]], "&gt;="&amp;I$8,DWbonus[[Dato]:[Dato]],"&lt;="&amp;EOMONTH(I$8,0),DWbonus[[Bookie]:[Bookie]],$A61)+SUMIFS(LayTable[[Faktisk res]:[Faktisk res]],LayTable[[Dato]:[Dato]],"&gt;="&amp;I$8,LayTable[[Dato]:[Dato]],"&lt;="&amp;EOMONTH(I$8,0),LayTable[[Bookmaker]:[Bookmaker]],$A61)+SUMIFS(BetTable[[AR_per_bookie]:[AR_per_bookie]],BetTable[[B1]:[B1]],$A61,BetTable[[Date]:[Date]], "&gt;="&amp;I$8,BetTable[[Date]:[Date]],"&lt;="&amp;EOMONTH(I$8,0))+SUMIFS(BetTable[[AR_per_bookie]:[AR_per_bookie]],BetTable[[B2]:[B2]],$A61,BetTable[[Date]:[Date]], "&gt;="&amp;I$8,BetTable[[Date]:[Date]],"&lt;="&amp;EOMONTH(I$8,0))+SUMIFS(BetTable[[AR_per_bookie]:[AR_per_bookie]],BetTable[[B3]:[B3]],$A61,BetTable[[Date]:[Date]], "&gt;="&amp;I$8,BetTable[[Date]:[Date]],"&lt;="&amp;EOMONTH(I$8,0))</f>
        <v>0</v>
      </c>
      <c r="J61" s="126">
        <f>SUMIFS(DWbonus[[Sum]:[Sum]],DWbonus[[Dato]:[Dato]], "&gt;="&amp;J$8,DWbonus[[Dato]:[Dato]],"&lt;="&amp;EOMONTH(J$8,0),DWbonus[[Bookie]:[Bookie]],$A61)+SUMIFS(LayTable[[Faktisk res]:[Faktisk res]],LayTable[[Dato]:[Dato]],"&gt;="&amp;J$8,LayTable[[Dato]:[Dato]],"&lt;="&amp;EOMONTH(J$8,0),LayTable[[Bookmaker]:[Bookmaker]],$A61)+SUMIFS(BetTable[[AR_per_bookie]:[AR_per_bookie]],BetTable[[B1]:[B1]],$A61,BetTable[[Date]:[Date]], "&gt;="&amp;J$8,BetTable[[Date]:[Date]],"&lt;="&amp;EOMONTH(J$8,0))+SUMIFS(BetTable[[AR_per_bookie]:[AR_per_bookie]],BetTable[[B2]:[B2]],$A61,BetTable[[Date]:[Date]], "&gt;="&amp;J$8,BetTable[[Date]:[Date]],"&lt;="&amp;EOMONTH(J$8,0))+SUMIFS(BetTable[[AR_per_bookie]:[AR_per_bookie]],BetTable[[B3]:[B3]],$A61,BetTable[[Date]:[Date]], "&gt;="&amp;J$8,BetTable[[Date]:[Date]],"&lt;="&amp;EOMONTH(J$8,0))</f>
        <v>0</v>
      </c>
      <c r="K61" s="126">
        <f>SUMIFS(DWbonus[[Sum]:[Sum]],DWbonus[[Dato]:[Dato]], "&gt;="&amp;K$8,DWbonus[[Dato]:[Dato]],"&lt;="&amp;EOMONTH(K$8,0),DWbonus[[Bookie]:[Bookie]],$A61)+SUMIFS(LayTable[[Faktisk res]:[Faktisk res]],LayTable[[Dato]:[Dato]],"&gt;="&amp;K$8,LayTable[[Dato]:[Dato]],"&lt;="&amp;EOMONTH(K$8,0),LayTable[[Bookmaker]:[Bookmaker]],$A61)+SUMIFS(BetTable[[AR_per_bookie]:[AR_per_bookie]],BetTable[[B1]:[B1]],$A61,BetTable[[Date]:[Date]], "&gt;="&amp;K$8,BetTable[[Date]:[Date]],"&lt;="&amp;EOMONTH(K$8,0))+SUMIFS(BetTable[[AR_per_bookie]:[AR_per_bookie]],BetTable[[B2]:[B2]],$A61,BetTable[[Date]:[Date]], "&gt;="&amp;K$8,BetTable[[Date]:[Date]],"&lt;="&amp;EOMONTH(K$8,0))+SUMIFS(BetTable[[AR_per_bookie]:[AR_per_bookie]],BetTable[[B3]:[B3]],$A61,BetTable[[Date]:[Date]], "&gt;="&amp;K$8,BetTable[[Date]:[Date]],"&lt;="&amp;EOMONTH(K$8,0))</f>
        <v>0</v>
      </c>
      <c r="L61" s="126">
        <f>SUMIFS(DWbonus[[Sum]:[Sum]],DWbonus[[Dato]:[Dato]], "&gt;="&amp;L$8,DWbonus[[Dato]:[Dato]],"&lt;="&amp;EOMONTH(L$8,0),DWbonus[[Bookie]:[Bookie]],$A61)+SUMIFS(LayTable[[Faktisk res]:[Faktisk res]],LayTable[[Dato]:[Dato]],"&gt;="&amp;L$8,LayTable[[Dato]:[Dato]],"&lt;="&amp;EOMONTH(L$8,0),LayTable[[Bookmaker]:[Bookmaker]],$A61)+SUMIFS(BetTable[[AR_per_bookie]:[AR_per_bookie]],BetTable[[B1]:[B1]],$A61,BetTable[[Date]:[Date]], "&gt;="&amp;L$8,BetTable[[Date]:[Date]],"&lt;="&amp;EOMONTH(L$8,0))+SUMIFS(BetTable[[AR_per_bookie]:[AR_per_bookie]],BetTable[[B2]:[B2]],$A61,BetTable[[Date]:[Date]], "&gt;="&amp;L$8,BetTable[[Date]:[Date]],"&lt;="&amp;EOMONTH(L$8,0))+SUMIFS(BetTable[[AR_per_bookie]:[AR_per_bookie]],BetTable[[B3]:[B3]],$A61,BetTable[[Date]:[Date]], "&gt;="&amp;L$8,BetTable[[Date]:[Date]],"&lt;="&amp;EOMONTH(L$8,0))</f>
        <v>0</v>
      </c>
      <c r="M61" s="126">
        <f>SUMIFS(DWbonus[[Sum]:[Sum]],DWbonus[[Dato]:[Dato]], "&gt;="&amp;M$8,DWbonus[[Dato]:[Dato]],"&lt;="&amp;EOMONTH(M$8,0),DWbonus[[Bookie]:[Bookie]],$A61)+SUMIFS(LayTable[[Faktisk res]:[Faktisk res]],LayTable[[Dato]:[Dato]],"&gt;="&amp;M$8,LayTable[[Dato]:[Dato]],"&lt;="&amp;EOMONTH(M$8,0),LayTable[[Bookmaker]:[Bookmaker]],$A61)+SUMIFS(BetTable[[AR_per_bookie]:[AR_per_bookie]],BetTable[[B1]:[B1]],$A61,BetTable[[Date]:[Date]], "&gt;="&amp;M$8,BetTable[[Date]:[Date]],"&lt;="&amp;EOMONTH(M$8,0))+SUMIFS(BetTable[[AR_per_bookie]:[AR_per_bookie]],BetTable[[B2]:[B2]],$A61,BetTable[[Date]:[Date]], "&gt;="&amp;M$8,BetTable[[Date]:[Date]],"&lt;="&amp;EOMONTH(M$8,0))+SUMIFS(BetTable[[AR_per_bookie]:[AR_per_bookie]],BetTable[[B3]:[B3]],$A61,BetTable[[Date]:[Date]], "&gt;="&amp;M$8,BetTable[[Date]:[Date]],"&lt;="&amp;EOMONTH(M$8,0))</f>
        <v>0</v>
      </c>
      <c r="N61" s="126">
        <f>SUMIFS(DWbonus[[Sum]:[Sum]],DWbonus[[Dato]:[Dato]], "&gt;="&amp;N$8,DWbonus[[Dato]:[Dato]],"&lt;="&amp;EOMONTH(N$8,0),DWbonus[[Bookie]:[Bookie]],$A61)+SUMIFS(LayTable[[Faktisk res]:[Faktisk res]],LayTable[[Dato]:[Dato]],"&gt;="&amp;N$8,LayTable[[Dato]:[Dato]],"&lt;="&amp;EOMONTH(N$8,0),LayTable[[Bookmaker]:[Bookmaker]],$A61)+SUMIFS(BetTable[[AR_per_bookie]:[AR_per_bookie]],BetTable[[B1]:[B1]],$A61,BetTable[[Date]:[Date]], "&gt;="&amp;N$8,BetTable[[Date]:[Date]],"&lt;="&amp;EOMONTH(N$8,0))+SUMIFS(BetTable[[AR_per_bookie]:[AR_per_bookie]],BetTable[[B2]:[B2]],$A61,BetTable[[Date]:[Date]], "&gt;="&amp;N$8,BetTable[[Date]:[Date]],"&lt;="&amp;EOMONTH(N$8,0))+SUMIFS(BetTable[[AR_per_bookie]:[AR_per_bookie]],BetTable[[B3]:[B3]],$A61,BetTable[[Date]:[Date]], "&gt;="&amp;N$8,BetTable[[Date]:[Date]],"&lt;="&amp;EOMONTH(N$8,0))</f>
        <v>0</v>
      </c>
      <c r="O61" s="126">
        <f>SUMIFS(DWbonus[[Sum]:[Sum]],DWbonus[[Dato]:[Dato]], "&gt;="&amp;O$8,DWbonus[[Dato]:[Dato]],"&lt;="&amp;EOMONTH(O$8,0),DWbonus[[Bookie]:[Bookie]],$A61)+SUMIFS(LayTable[[Faktisk res]:[Faktisk res]],LayTable[[Dato]:[Dato]],"&gt;="&amp;O$8,LayTable[[Dato]:[Dato]],"&lt;="&amp;EOMONTH(O$8,0),LayTable[[Bookmaker]:[Bookmaker]],$A61)+SUMIFS(BetTable[[AR_per_bookie]:[AR_per_bookie]],BetTable[[B1]:[B1]],$A61,BetTable[[Date]:[Date]], "&gt;="&amp;O$8,BetTable[[Date]:[Date]],"&lt;="&amp;EOMONTH(O$8,0))+SUMIFS(BetTable[[AR_per_bookie]:[AR_per_bookie]],BetTable[[B2]:[B2]],$A61,BetTable[[Date]:[Date]], "&gt;="&amp;O$8,BetTable[[Date]:[Date]],"&lt;="&amp;EOMONTH(O$8,0))+SUMIFS(BetTable[[AR_per_bookie]:[AR_per_bookie]],BetTable[[B3]:[B3]],$A61,BetTable[[Date]:[Date]], "&gt;="&amp;O$8,BetTable[[Date]:[Date]],"&lt;="&amp;EOMONTH(O$8,0))</f>
        <v>0</v>
      </c>
      <c r="P61" s="126">
        <f>SUMIFS(DWbonus[[Sum]:[Sum]],DWbonus[[Dato]:[Dato]], "&gt;="&amp;P$8,DWbonus[[Dato]:[Dato]],"&lt;="&amp;EOMONTH(P$8,0),DWbonus[[Bookie]:[Bookie]],$A61)+SUMIFS(LayTable[[Faktisk res]:[Faktisk res]],LayTable[[Dato]:[Dato]],"&gt;="&amp;P$8,LayTable[[Dato]:[Dato]],"&lt;="&amp;EOMONTH(P$8,0),LayTable[[Bookmaker]:[Bookmaker]],$A61)+SUMIFS(BetTable[[AR_per_bookie]:[AR_per_bookie]],BetTable[[B1]:[B1]],$A61,BetTable[[Date]:[Date]], "&gt;="&amp;P$8,BetTable[[Date]:[Date]],"&lt;="&amp;EOMONTH(P$8,0))+SUMIFS(BetTable[[AR_per_bookie]:[AR_per_bookie]],BetTable[[B2]:[B2]],$A61,BetTable[[Date]:[Date]], "&gt;="&amp;P$8,BetTable[[Date]:[Date]],"&lt;="&amp;EOMONTH(P$8,0))+SUMIFS(BetTable[[AR_per_bookie]:[AR_per_bookie]],BetTable[[B3]:[B3]],$A61,BetTable[[Date]:[Date]], "&gt;="&amp;P$8,BetTable[[Date]:[Date]],"&lt;="&amp;EOMONTH(P$8,0))</f>
        <v>0</v>
      </c>
      <c r="Q61" s="126">
        <f>SUMIFS(DWbonus[[Sum]:[Sum]],DWbonus[[Dato]:[Dato]], "&gt;="&amp;Q$8,DWbonus[[Dato]:[Dato]],"&lt;="&amp;EOMONTH(Q$8,0),DWbonus[[Bookie]:[Bookie]],$A61)+SUMIFS(LayTable[[Faktisk res]:[Faktisk res]],LayTable[[Dato]:[Dato]],"&gt;="&amp;Q$8,LayTable[[Dato]:[Dato]],"&lt;="&amp;EOMONTH(Q$8,0),LayTable[[Bookmaker]:[Bookmaker]],$A61)+SUMIFS(BetTable[[AR_per_bookie]:[AR_per_bookie]],BetTable[[B1]:[B1]],$A61,BetTable[[Date]:[Date]], "&gt;="&amp;Q$8,BetTable[[Date]:[Date]],"&lt;="&amp;EOMONTH(Q$8,0))+SUMIFS(BetTable[[AR_per_bookie]:[AR_per_bookie]],BetTable[[B2]:[B2]],$A61,BetTable[[Date]:[Date]], "&gt;="&amp;Q$8,BetTable[[Date]:[Date]],"&lt;="&amp;EOMONTH(Q$8,0))+SUMIFS(BetTable[[AR_per_bookie]:[AR_per_bookie]],BetTable[[B3]:[B3]],$A61,BetTable[[Date]:[Date]], "&gt;="&amp;Q$8,BetTable[[Date]:[Date]],"&lt;="&amp;EOMONTH(Q$8,0))</f>
        <v>0</v>
      </c>
      <c r="R61" s="126">
        <f>SUMIFS(DWbonus[[Sum]:[Sum]],DWbonus[[Dato]:[Dato]], "&gt;="&amp;R$8,DWbonus[[Dato]:[Dato]],"&lt;="&amp;EOMONTH(R$8,0),DWbonus[[Bookie]:[Bookie]],$A61)+SUMIFS(LayTable[[Faktisk res]:[Faktisk res]],LayTable[[Dato]:[Dato]],"&gt;="&amp;R$8,LayTable[[Dato]:[Dato]],"&lt;="&amp;EOMONTH(R$8,0),LayTable[[Bookmaker]:[Bookmaker]],$A61)+SUMIFS(BetTable[[AR_per_bookie]:[AR_per_bookie]],BetTable[[B1]:[B1]],$A61,BetTable[[Date]:[Date]], "&gt;="&amp;R$8,BetTable[[Date]:[Date]],"&lt;="&amp;EOMONTH(R$8,0))+SUMIFS(BetTable[[AR_per_bookie]:[AR_per_bookie]],BetTable[[B2]:[B2]],$A61,BetTable[[Date]:[Date]], "&gt;="&amp;R$8,BetTable[[Date]:[Date]],"&lt;="&amp;EOMONTH(R$8,0))+SUMIFS(BetTable[[AR_per_bookie]:[AR_per_bookie]],BetTable[[B3]:[B3]],$A61,BetTable[[Date]:[Date]], "&gt;="&amp;R$8,BetTable[[Date]:[Date]],"&lt;="&amp;EOMONTH(R$8,0))</f>
        <v>0</v>
      </c>
      <c r="S61" s="126">
        <f>SUMIFS(DWbonus[[Sum]:[Sum]],DWbonus[[Dato]:[Dato]], "&gt;="&amp;S$8,DWbonus[[Dato]:[Dato]],"&lt;="&amp;EOMONTH(S$8,0),DWbonus[[Bookie]:[Bookie]],$A61)+SUMIFS(LayTable[[Faktisk res]:[Faktisk res]],LayTable[[Dato]:[Dato]],"&gt;="&amp;S$8,LayTable[[Dato]:[Dato]],"&lt;="&amp;EOMONTH(S$8,0),LayTable[[Bookmaker]:[Bookmaker]],$A61)+SUMIFS(BetTable[[AR_per_bookie]:[AR_per_bookie]],BetTable[[B1]:[B1]],$A61,BetTable[[Date]:[Date]], "&gt;="&amp;S$8,BetTable[[Date]:[Date]],"&lt;="&amp;EOMONTH(S$8,0))+SUMIFS(BetTable[[AR_per_bookie]:[AR_per_bookie]],BetTable[[B2]:[B2]],$A61,BetTable[[Date]:[Date]], "&gt;="&amp;S$8,BetTable[[Date]:[Date]],"&lt;="&amp;EOMONTH(S$8,0))+SUMIFS(BetTable[[AR_per_bookie]:[AR_per_bookie]],BetTable[[B3]:[B3]],$A61,BetTable[[Date]:[Date]], "&gt;="&amp;S$8,BetTable[[Date]:[Date]],"&lt;="&amp;EOMONTH(S$8,0))</f>
        <v>0</v>
      </c>
    </row>
    <row r="62" spans="1:19">
      <c r="A62" s="115" t="str">
        <f>BookieNavn!I54</f>
        <v>RealDealBet</v>
      </c>
      <c r="B62" s="126">
        <f>SUMIF(Penger!D$1:D$50072,A62,Penger!F$1:F$50072)</f>
        <v>0</v>
      </c>
      <c r="C62" s="126">
        <f>SUMIF(Penger!T$1:T$50072,A62,Penger!U$1:U$50072)</f>
        <v>0</v>
      </c>
      <c r="D62" s="126">
        <f ca="1">SUMIF(Spill!C$1:C$499895,A62,Spill!T$1:T$49895)+C62</f>
        <v>0</v>
      </c>
      <c r="E62" s="126">
        <f>SUMIF(Spill!C$1:C$49895,A62,Spill!T$1:T$49895)</f>
        <v>0</v>
      </c>
      <c r="F62" s="121" t="e">
        <f t="shared" ca="1" si="1"/>
        <v>#DIV/0!</v>
      </c>
      <c r="H62" s="126">
        <f>SUMIFS(DWbonus[[Sum]:[Sum]],DWbonus[[Dato]:[Dato]], "&gt;="&amp;H$8,DWbonus[[Dato]:[Dato]],"&lt;="&amp;EOMONTH(H$8,0),DWbonus[[Bookie]:[Bookie]],$A62)+SUMIFS(LayTable[[Faktisk res]:[Faktisk res]],LayTable[[Dato]:[Dato]],"&gt;="&amp;H$8,LayTable[[Dato]:[Dato]],"&lt;="&amp;EOMONTH(H$8,0),LayTable[[Bookmaker]:[Bookmaker]],$A62)+SUMIFS(BetTable[[AR_per_bookie]:[AR_per_bookie]],BetTable[[B1]:[B1]],$A62,BetTable[[Date]:[Date]], "&gt;="&amp;H$8,BetTable[[Date]:[Date]],"&lt;="&amp;EOMONTH(H$8,0))+SUMIFS(BetTable[[AR_per_bookie]:[AR_per_bookie]],BetTable[[B2]:[B2]],$A62,BetTable[[Date]:[Date]], "&gt;="&amp;H$8,BetTable[[Date]:[Date]],"&lt;="&amp;EOMONTH(H$8,0))+SUMIFS(BetTable[[AR_per_bookie]:[AR_per_bookie]],BetTable[[B3]:[B3]],$A62,BetTable[[Date]:[Date]], "&gt;="&amp;H$8,BetTable[[Date]:[Date]],"&lt;="&amp;EOMONTH(H$8,0))</f>
        <v>0</v>
      </c>
      <c r="I62" s="126">
        <f>SUMIFS(DWbonus[[Sum]:[Sum]],DWbonus[[Dato]:[Dato]], "&gt;="&amp;I$8,DWbonus[[Dato]:[Dato]],"&lt;="&amp;EOMONTH(I$8,0),DWbonus[[Bookie]:[Bookie]],$A62)+SUMIFS(LayTable[[Faktisk res]:[Faktisk res]],LayTable[[Dato]:[Dato]],"&gt;="&amp;I$8,LayTable[[Dato]:[Dato]],"&lt;="&amp;EOMONTH(I$8,0),LayTable[[Bookmaker]:[Bookmaker]],$A62)+SUMIFS(BetTable[[AR_per_bookie]:[AR_per_bookie]],BetTable[[B1]:[B1]],$A62,BetTable[[Date]:[Date]], "&gt;="&amp;I$8,BetTable[[Date]:[Date]],"&lt;="&amp;EOMONTH(I$8,0))+SUMIFS(BetTable[[AR_per_bookie]:[AR_per_bookie]],BetTable[[B2]:[B2]],$A62,BetTable[[Date]:[Date]], "&gt;="&amp;I$8,BetTable[[Date]:[Date]],"&lt;="&amp;EOMONTH(I$8,0))+SUMIFS(BetTable[[AR_per_bookie]:[AR_per_bookie]],BetTable[[B3]:[B3]],$A62,BetTable[[Date]:[Date]], "&gt;="&amp;I$8,BetTable[[Date]:[Date]],"&lt;="&amp;EOMONTH(I$8,0))</f>
        <v>0</v>
      </c>
      <c r="J62" s="126">
        <f>SUMIFS(DWbonus[[Sum]:[Sum]],DWbonus[[Dato]:[Dato]], "&gt;="&amp;J$8,DWbonus[[Dato]:[Dato]],"&lt;="&amp;EOMONTH(J$8,0),DWbonus[[Bookie]:[Bookie]],$A62)+SUMIFS(LayTable[[Faktisk res]:[Faktisk res]],LayTable[[Dato]:[Dato]],"&gt;="&amp;J$8,LayTable[[Dato]:[Dato]],"&lt;="&amp;EOMONTH(J$8,0),LayTable[[Bookmaker]:[Bookmaker]],$A62)+SUMIFS(BetTable[[AR_per_bookie]:[AR_per_bookie]],BetTable[[B1]:[B1]],$A62,BetTable[[Date]:[Date]], "&gt;="&amp;J$8,BetTable[[Date]:[Date]],"&lt;="&amp;EOMONTH(J$8,0))+SUMIFS(BetTable[[AR_per_bookie]:[AR_per_bookie]],BetTable[[B2]:[B2]],$A62,BetTable[[Date]:[Date]], "&gt;="&amp;J$8,BetTable[[Date]:[Date]],"&lt;="&amp;EOMONTH(J$8,0))+SUMIFS(BetTable[[AR_per_bookie]:[AR_per_bookie]],BetTable[[B3]:[B3]],$A62,BetTable[[Date]:[Date]], "&gt;="&amp;J$8,BetTable[[Date]:[Date]],"&lt;="&amp;EOMONTH(J$8,0))</f>
        <v>0</v>
      </c>
      <c r="K62" s="126">
        <f>SUMIFS(DWbonus[[Sum]:[Sum]],DWbonus[[Dato]:[Dato]], "&gt;="&amp;K$8,DWbonus[[Dato]:[Dato]],"&lt;="&amp;EOMONTH(K$8,0),DWbonus[[Bookie]:[Bookie]],$A62)+SUMIFS(LayTable[[Faktisk res]:[Faktisk res]],LayTable[[Dato]:[Dato]],"&gt;="&amp;K$8,LayTable[[Dato]:[Dato]],"&lt;="&amp;EOMONTH(K$8,0),LayTable[[Bookmaker]:[Bookmaker]],$A62)+SUMIFS(BetTable[[AR_per_bookie]:[AR_per_bookie]],BetTable[[B1]:[B1]],$A62,BetTable[[Date]:[Date]], "&gt;="&amp;K$8,BetTable[[Date]:[Date]],"&lt;="&amp;EOMONTH(K$8,0))+SUMIFS(BetTable[[AR_per_bookie]:[AR_per_bookie]],BetTable[[B2]:[B2]],$A62,BetTable[[Date]:[Date]], "&gt;="&amp;K$8,BetTable[[Date]:[Date]],"&lt;="&amp;EOMONTH(K$8,0))+SUMIFS(BetTable[[AR_per_bookie]:[AR_per_bookie]],BetTable[[B3]:[B3]],$A62,BetTable[[Date]:[Date]], "&gt;="&amp;K$8,BetTable[[Date]:[Date]],"&lt;="&amp;EOMONTH(K$8,0))</f>
        <v>0</v>
      </c>
      <c r="L62" s="126">
        <f>SUMIFS(DWbonus[[Sum]:[Sum]],DWbonus[[Dato]:[Dato]], "&gt;="&amp;L$8,DWbonus[[Dato]:[Dato]],"&lt;="&amp;EOMONTH(L$8,0),DWbonus[[Bookie]:[Bookie]],$A62)+SUMIFS(LayTable[[Faktisk res]:[Faktisk res]],LayTable[[Dato]:[Dato]],"&gt;="&amp;L$8,LayTable[[Dato]:[Dato]],"&lt;="&amp;EOMONTH(L$8,0),LayTable[[Bookmaker]:[Bookmaker]],$A62)+SUMIFS(BetTable[[AR_per_bookie]:[AR_per_bookie]],BetTable[[B1]:[B1]],$A62,BetTable[[Date]:[Date]], "&gt;="&amp;L$8,BetTable[[Date]:[Date]],"&lt;="&amp;EOMONTH(L$8,0))+SUMIFS(BetTable[[AR_per_bookie]:[AR_per_bookie]],BetTable[[B2]:[B2]],$A62,BetTable[[Date]:[Date]], "&gt;="&amp;L$8,BetTable[[Date]:[Date]],"&lt;="&amp;EOMONTH(L$8,0))+SUMIFS(BetTable[[AR_per_bookie]:[AR_per_bookie]],BetTable[[B3]:[B3]],$A62,BetTable[[Date]:[Date]], "&gt;="&amp;L$8,BetTable[[Date]:[Date]],"&lt;="&amp;EOMONTH(L$8,0))</f>
        <v>0</v>
      </c>
      <c r="M62" s="126">
        <f>SUMIFS(DWbonus[[Sum]:[Sum]],DWbonus[[Dato]:[Dato]], "&gt;="&amp;M$8,DWbonus[[Dato]:[Dato]],"&lt;="&amp;EOMONTH(M$8,0),DWbonus[[Bookie]:[Bookie]],$A62)+SUMIFS(LayTable[[Faktisk res]:[Faktisk res]],LayTable[[Dato]:[Dato]],"&gt;="&amp;M$8,LayTable[[Dato]:[Dato]],"&lt;="&amp;EOMONTH(M$8,0),LayTable[[Bookmaker]:[Bookmaker]],$A62)+SUMIFS(BetTable[[AR_per_bookie]:[AR_per_bookie]],BetTable[[B1]:[B1]],$A62,BetTable[[Date]:[Date]], "&gt;="&amp;M$8,BetTable[[Date]:[Date]],"&lt;="&amp;EOMONTH(M$8,0))+SUMIFS(BetTable[[AR_per_bookie]:[AR_per_bookie]],BetTable[[B2]:[B2]],$A62,BetTable[[Date]:[Date]], "&gt;="&amp;M$8,BetTable[[Date]:[Date]],"&lt;="&amp;EOMONTH(M$8,0))+SUMIFS(BetTable[[AR_per_bookie]:[AR_per_bookie]],BetTable[[B3]:[B3]],$A62,BetTable[[Date]:[Date]], "&gt;="&amp;M$8,BetTable[[Date]:[Date]],"&lt;="&amp;EOMONTH(M$8,0))</f>
        <v>0</v>
      </c>
      <c r="N62" s="126">
        <f>SUMIFS(DWbonus[[Sum]:[Sum]],DWbonus[[Dato]:[Dato]], "&gt;="&amp;N$8,DWbonus[[Dato]:[Dato]],"&lt;="&amp;EOMONTH(N$8,0),DWbonus[[Bookie]:[Bookie]],$A62)+SUMIFS(LayTable[[Faktisk res]:[Faktisk res]],LayTable[[Dato]:[Dato]],"&gt;="&amp;N$8,LayTable[[Dato]:[Dato]],"&lt;="&amp;EOMONTH(N$8,0),LayTable[[Bookmaker]:[Bookmaker]],$A62)+SUMIFS(BetTable[[AR_per_bookie]:[AR_per_bookie]],BetTable[[B1]:[B1]],$A62,BetTable[[Date]:[Date]], "&gt;="&amp;N$8,BetTable[[Date]:[Date]],"&lt;="&amp;EOMONTH(N$8,0))+SUMIFS(BetTable[[AR_per_bookie]:[AR_per_bookie]],BetTable[[B2]:[B2]],$A62,BetTable[[Date]:[Date]], "&gt;="&amp;N$8,BetTable[[Date]:[Date]],"&lt;="&amp;EOMONTH(N$8,0))+SUMIFS(BetTable[[AR_per_bookie]:[AR_per_bookie]],BetTable[[B3]:[B3]],$A62,BetTable[[Date]:[Date]], "&gt;="&amp;N$8,BetTable[[Date]:[Date]],"&lt;="&amp;EOMONTH(N$8,0))</f>
        <v>0</v>
      </c>
      <c r="O62" s="126">
        <f>SUMIFS(DWbonus[[Sum]:[Sum]],DWbonus[[Dato]:[Dato]], "&gt;="&amp;O$8,DWbonus[[Dato]:[Dato]],"&lt;="&amp;EOMONTH(O$8,0),DWbonus[[Bookie]:[Bookie]],$A62)+SUMIFS(LayTable[[Faktisk res]:[Faktisk res]],LayTable[[Dato]:[Dato]],"&gt;="&amp;O$8,LayTable[[Dato]:[Dato]],"&lt;="&amp;EOMONTH(O$8,0),LayTable[[Bookmaker]:[Bookmaker]],$A62)+SUMIFS(BetTable[[AR_per_bookie]:[AR_per_bookie]],BetTable[[B1]:[B1]],$A62,BetTable[[Date]:[Date]], "&gt;="&amp;O$8,BetTable[[Date]:[Date]],"&lt;="&amp;EOMONTH(O$8,0))+SUMIFS(BetTable[[AR_per_bookie]:[AR_per_bookie]],BetTable[[B2]:[B2]],$A62,BetTable[[Date]:[Date]], "&gt;="&amp;O$8,BetTable[[Date]:[Date]],"&lt;="&amp;EOMONTH(O$8,0))+SUMIFS(BetTable[[AR_per_bookie]:[AR_per_bookie]],BetTable[[B3]:[B3]],$A62,BetTable[[Date]:[Date]], "&gt;="&amp;O$8,BetTable[[Date]:[Date]],"&lt;="&amp;EOMONTH(O$8,0))</f>
        <v>0</v>
      </c>
      <c r="P62" s="126">
        <f>SUMIFS(DWbonus[[Sum]:[Sum]],DWbonus[[Dato]:[Dato]], "&gt;="&amp;P$8,DWbonus[[Dato]:[Dato]],"&lt;="&amp;EOMONTH(P$8,0),DWbonus[[Bookie]:[Bookie]],$A62)+SUMIFS(LayTable[[Faktisk res]:[Faktisk res]],LayTable[[Dato]:[Dato]],"&gt;="&amp;P$8,LayTable[[Dato]:[Dato]],"&lt;="&amp;EOMONTH(P$8,0),LayTable[[Bookmaker]:[Bookmaker]],$A62)+SUMIFS(BetTable[[AR_per_bookie]:[AR_per_bookie]],BetTable[[B1]:[B1]],$A62,BetTable[[Date]:[Date]], "&gt;="&amp;P$8,BetTable[[Date]:[Date]],"&lt;="&amp;EOMONTH(P$8,0))+SUMIFS(BetTable[[AR_per_bookie]:[AR_per_bookie]],BetTable[[B2]:[B2]],$A62,BetTable[[Date]:[Date]], "&gt;="&amp;P$8,BetTable[[Date]:[Date]],"&lt;="&amp;EOMONTH(P$8,0))+SUMIFS(BetTable[[AR_per_bookie]:[AR_per_bookie]],BetTable[[B3]:[B3]],$A62,BetTable[[Date]:[Date]], "&gt;="&amp;P$8,BetTable[[Date]:[Date]],"&lt;="&amp;EOMONTH(P$8,0))</f>
        <v>0</v>
      </c>
      <c r="Q62" s="126">
        <f>SUMIFS(DWbonus[[Sum]:[Sum]],DWbonus[[Dato]:[Dato]], "&gt;="&amp;Q$8,DWbonus[[Dato]:[Dato]],"&lt;="&amp;EOMONTH(Q$8,0),DWbonus[[Bookie]:[Bookie]],$A62)+SUMIFS(LayTable[[Faktisk res]:[Faktisk res]],LayTable[[Dato]:[Dato]],"&gt;="&amp;Q$8,LayTable[[Dato]:[Dato]],"&lt;="&amp;EOMONTH(Q$8,0),LayTable[[Bookmaker]:[Bookmaker]],$A62)+SUMIFS(BetTable[[AR_per_bookie]:[AR_per_bookie]],BetTable[[B1]:[B1]],$A62,BetTable[[Date]:[Date]], "&gt;="&amp;Q$8,BetTable[[Date]:[Date]],"&lt;="&amp;EOMONTH(Q$8,0))+SUMIFS(BetTable[[AR_per_bookie]:[AR_per_bookie]],BetTable[[B2]:[B2]],$A62,BetTable[[Date]:[Date]], "&gt;="&amp;Q$8,BetTable[[Date]:[Date]],"&lt;="&amp;EOMONTH(Q$8,0))+SUMIFS(BetTable[[AR_per_bookie]:[AR_per_bookie]],BetTable[[B3]:[B3]],$A62,BetTable[[Date]:[Date]], "&gt;="&amp;Q$8,BetTable[[Date]:[Date]],"&lt;="&amp;EOMONTH(Q$8,0))</f>
        <v>0</v>
      </c>
      <c r="R62" s="126">
        <f>SUMIFS(DWbonus[[Sum]:[Sum]],DWbonus[[Dato]:[Dato]], "&gt;="&amp;R$8,DWbonus[[Dato]:[Dato]],"&lt;="&amp;EOMONTH(R$8,0),DWbonus[[Bookie]:[Bookie]],$A62)+SUMIFS(LayTable[[Faktisk res]:[Faktisk res]],LayTable[[Dato]:[Dato]],"&gt;="&amp;R$8,LayTable[[Dato]:[Dato]],"&lt;="&amp;EOMONTH(R$8,0),LayTable[[Bookmaker]:[Bookmaker]],$A62)+SUMIFS(BetTable[[AR_per_bookie]:[AR_per_bookie]],BetTable[[B1]:[B1]],$A62,BetTable[[Date]:[Date]], "&gt;="&amp;R$8,BetTable[[Date]:[Date]],"&lt;="&amp;EOMONTH(R$8,0))+SUMIFS(BetTable[[AR_per_bookie]:[AR_per_bookie]],BetTable[[B2]:[B2]],$A62,BetTable[[Date]:[Date]], "&gt;="&amp;R$8,BetTable[[Date]:[Date]],"&lt;="&amp;EOMONTH(R$8,0))+SUMIFS(BetTable[[AR_per_bookie]:[AR_per_bookie]],BetTable[[B3]:[B3]],$A62,BetTable[[Date]:[Date]], "&gt;="&amp;R$8,BetTable[[Date]:[Date]],"&lt;="&amp;EOMONTH(R$8,0))</f>
        <v>0</v>
      </c>
      <c r="S62" s="126">
        <f>SUMIFS(DWbonus[[Sum]:[Sum]],DWbonus[[Dato]:[Dato]], "&gt;="&amp;S$8,DWbonus[[Dato]:[Dato]],"&lt;="&amp;EOMONTH(S$8,0),DWbonus[[Bookie]:[Bookie]],$A62)+SUMIFS(LayTable[[Faktisk res]:[Faktisk res]],LayTable[[Dato]:[Dato]],"&gt;="&amp;S$8,LayTable[[Dato]:[Dato]],"&lt;="&amp;EOMONTH(S$8,0),LayTable[[Bookmaker]:[Bookmaker]],$A62)+SUMIFS(BetTable[[AR_per_bookie]:[AR_per_bookie]],BetTable[[B1]:[B1]],$A62,BetTable[[Date]:[Date]], "&gt;="&amp;S$8,BetTable[[Date]:[Date]],"&lt;="&amp;EOMONTH(S$8,0))+SUMIFS(BetTable[[AR_per_bookie]:[AR_per_bookie]],BetTable[[B2]:[B2]],$A62,BetTable[[Date]:[Date]], "&gt;="&amp;S$8,BetTable[[Date]:[Date]],"&lt;="&amp;EOMONTH(S$8,0))+SUMIFS(BetTable[[AR_per_bookie]:[AR_per_bookie]],BetTable[[B3]:[B3]],$A62,BetTable[[Date]:[Date]], "&gt;="&amp;S$8,BetTable[[Date]:[Date]],"&lt;="&amp;EOMONTH(S$8,0))</f>
        <v>0</v>
      </c>
    </row>
    <row r="63" spans="1:19">
      <c r="A63" s="115" t="str">
        <f>BookieNavn!I55</f>
        <v>Redarmybet</v>
      </c>
      <c r="B63" s="126">
        <f>SUMIF(Penger!D$1:D$50072,A63,Penger!F$1:F$50072)</f>
        <v>0</v>
      </c>
      <c r="C63" s="126">
        <f>SUMIF(Penger!T$1:T$50072,A63,Penger!U$1:U$50072)</f>
        <v>0</v>
      </c>
      <c r="D63" s="126">
        <f ca="1">SUMIF(Spill!C$1:C$499895,A63,Spill!T$1:T$49895)+C63</f>
        <v>0</v>
      </c>
      <c r="E63" s="126">
        <f>SUMIF(Spill!C$1:C$49895,A63,Spill!T$1:T$49895)</f>
        <v>0</v>
      </c>
      <c r="F63" s="121" t="e">
        <f t="shared" ca="1" si="1"/>
        <v>#DIV/0!</v>
      </c>
      <c r="H63" s="126">
        <f>SUMIFS(DWbonus[[Sum]:[Sum]],DWbonus[[Dato]:[Dato]], "&gt;="&amp;H$8,DWbonus[[Dato]:[Dato]],"&lt;="&amp;EOMONTH(H$8,0),DWbonus[[Bookie]:[Bookie]],$A63)+SUMIFS(LayTable[[Faktisk res]:[Faktisk res]],LayTable[[Dato]:[Dato]],"&gt;="&amp;H$8,LayTable[[Dato]:[Dato]],"&lt;="&amp;EOMONTH(H$8,0),LayTable[[Bookmaker]:[Bookmaker]],$A63)+SUMIFS(BetTable[[AR_per_bookie]:[AR_per_bookie]],BetTable[[B1]:[B1]],$A63,BetTable[[Date]:[Date]], "&gt;="&amp;H$8,BetTable[[Date]:[Date]],"&lt;="&amp;EOMONTH(H$8,0))+SUMIFS(BetTable[[AR_per_bookie]:[AR_per_bookie]],BetTable[[B2]:[B2]],$A63,BetTable[[Date]:[Date]], "&gt;="&amp;H$8,BetTable[[Date]:[Date]],"&lt;="&amp;EOMONTH(H$8,0))+SUMIFS(BetTable[[AR_per_bookie]:[AR_per_bookie]],BetTable[[B3]:[B3]],$A63,BetTable[[Date]:[Date]], "&gt;="&amp;H$8,BetTable[[Date]:[Date]],"&lt;="&amp;EOMONTH(H$8,0))</f>
        <v>0</v>
      </c>
      <c r="I63" s="126">
        <f>SUMIFS(DWbonus[[Sum]:[Sum]],DWbonus[[Dato]:[Dato]], "&gt;="&amp;I$8,DWbonus[[Dato]:[Dato]],"&lt;="&amp;EOMONTH(I$8,0),DWbonus[[Bookie]:[Bookie]],$A63)+SUMIFS(LayTable[[Faktisk res]:[Faktisk res]],LayTable[[Dato]:[Dato]],"&gt;="&amp;I$8,LayTable[[Dato]:[Dato]],"&lt;="&amp;EOMONTH(I$8,0),LayTable[[Bookmaker]:[Bookmaker]],$A63)+SUMIFS(BetTable[[AR_per_bookie]:[AR_per_bookie]],BetTable[[B1]:[B1]],$A63,BetTable[[Date]:[Date]], "&gt;="&amp;I$8,BetTable[[Date]:[Date]],"&lt;="&amp;EOMONTH(I$8,0))+SUMIFS(BetTable[[AR_per_bookie]:[AR_per_bookie]],BetTable[[B2]:[B2]],$A63,BetTable[[Date]:[Date]], "&gt;="&amp;I$8,BetTable[[Date]:[Date]],"&lt;="&amp;EOMONTH(I$8,0))+SUMIFS(BetTable[[AR_per_bookie]:[AR_per_bookie]],BetTable[[B3]:[B3]],$A63,BetTable[[Date]:[Date]], "&gt;="&amp;I$8,BetTable[[Date]:[Date]],"&lt;="&amp;EOMONTH(I$8,0))</f>
        <v>0</v>
      </c>
      <c r="J63" s="126">
        <f>SUMIFS(DWbonus[[Sum]:[Sum]],DWbonus[[Dato]:[Dato]], "&gt;="&amp;J$8,DWbonus[[Dato]:[Dato]],"&lt;="&amp;EOMONTH(J$8,0),DWbonus[[Bookie]:[Bookie]],$A63)+SUMIFS(LayTable[[Faktisk res]:[Faktisk res]],LayTable[[Dato]:[Dato]],"&gt;="&amp;J$8,LayTable[[Dato]:[Dato]],"&lt;="&amp;EOMONTH(J$8,0),LayTable[[Bookmaker]:[Bookmaker]],$A63)+SUMIFS(BetTable[[AR_per_bookie]:[AR_per_bookie]],BetTable[[B1]:[B1]],$A63,BetTable[[Date]:[Date]], "&gt;="&amp;J$8,BetTable[[Date]:[Date]],"&lt;="&amp;EOMONTH(J$8,0))+SUMIFS(BetTable[[AR_per_bookie]:[AR_per_bookie]],BetTable[[B2]:[B2]],$A63,BetTable[[Date]:[Date]], "&gt;="&amp;J$8,BetTable[[Date]:[Date]],"&lt;="&amp;EOMONTH(J$8,0))+SUMIFS(BetTable[[AR_per_bookie]:[AR_per_bookie]],BetTable[[B3]:[B3]],$A63,BetTable[[Date]:[Date]], "&gt;="&amp;J$8,BetTable[[Date]:[Date]],"&lt;="&amp;EOMONTH(J$8,0))</f>
        <v>0</v>
      </c>
      <c r="K63" s="126">
        <f>SUMIFS(DWbonus[[Sum]:[Sum]],DWbonus[[Dato]:[Dato]], "&gt;="&amp;K$8,DWbonus[[Dato]:[Dato]],"&lt;="&amp;EOMONTH(K$8,0),DWbonus[[Bookie]:[Bookie]],$A63)+SUMIFS(LayTable[[Faktisk res]:[Faktisk res]],LayTable[[Dato]:[Dato]],"&gt;="&amp;K$8,LayTable[[Dato]:[Dato]],"&lt;="&amp;EOMONTH(K$8,0),LayTable[[Bookmaker]:[Bookmaker]],$A63)+SUMIFS(BetTable[[AR_per_bookie]:[AR_per_bookie]],BetTable[[B1]:[B1]],$A63,BetTable[[Date]:[Date]], "&gt;="&amp;K$8,BetTable[[Date]:[Date]],"&lt;="&amp;EOMONTH(K$8,0))+SUMIFS(BetTable[[AR_per_bookie]:[AR_per_bookie]],BetTable[[B2]:[B2]],$A63,BetTable[[Date]:[Date]], "&gt;="&amp;K$8,BetTable[[Date]:[Date]],"&lt;="&amp;EOMONTH(K$8,0))+SUMIFS(BetTable[[AR_per_bookie]:[AR_per_bookie]],BetTable[[B3]:[B3]],$A63,BetTable[[Date]:[Date]], "&gt;="&amp;K$8,BetTable[[Date]:[Date]],"&lt;="&amp;EOMONTH(K$8,0))</f>
        <v>0</v>
      </c>
      <c r="L63" s="126">
        <f>SUMIFS(DWbonus[[Sum]:[Sum]],DWbonus[[Dato]:[Dato]], "&gt;="&amp;L$8,DWbonus[[Dato]:[Dato]],"&lt;="&amp;EOMONTH(L$8,0),DWbonus[[Bookie]:[Bookie]],$A63)+SUMIFS(LayTable[[Faktisk res]:[Faktisk res]],LayTable[[Dato]:[Dato]],"&gt;="&amp;L$8,LayTable[[Dato]:[Dato]],"&lt;="&amp;EOMONTH(L$8,0),LayTable[[Bookmaker]:[Bookmaker]],$A63)+SUMIFS(BetTable[[AR_per_bookie]:[AR_per_bookie]],BetTable[[B1]:[B1]],$A63,BetTable[[Date]:[Date]], "&gt;="&amp;L$8,BetTable[[Date]:[Date]],"&lt;="&amp;EOMONTH(L$8,0))+SUMIFS(BetTable[[AR_per_bookie]:[AR_per_bookie]],BetTable[[B2]:[B2]],$A63,BetTable[[Date]:[Date]], "&gt;="&amp;L$8,BetTable[[Date]:[Date]],"&lt;="&amp;EOMONTH(L$8,0))+SUMIFS(BetTable[[AR_per_bookie]:[AR_per_bookie]],BetTable[[B3]:[B3]],$A63,BetTable[[Date]:[Date]], "&gt;="&amp;L$8,BetTable[[Date]:[Date]],"&lt;="&amp;EOMONTH(L$8,0))</f>
        <v>0</v>
      </c>
      <c r="M63" s="126">
        <f>SUMIFS(DWbonus[[Sum]:[Sum]],DWbonus[[Dato]:[Dato]], "&gt;="&amp;M$8,DWbonus[[Dato]:[Dato]],"&lt;="&amp;EOMONTH(M$8,0),DWbonus[[Bookie]:[Bookie]],$A63)+SUMIFS(LayTable[[Faktisk res]:[Faktisk res]],LayTable[[Dato]:[Dato]],"&gt;="&amp;M$8,LayTable[[Dato]:[Dato]],"&lt;="&amp;EOMONTH(M$8,0),LayTable[[Bookmaker]:[Bookmaker]],$A63)+SUMIFS(BetTable[[AR_per_bookie]:[AR_per_bookie]],BetTable[[B1]:[B1]],$A63,BetTable[[Date]:[Date]], "&gt;="&amp;M$8,BetTable[[Date]:[Date]],"&lt;="&amp;EOMONTH(M$8,0))+SUMIFS(BetTable[[AR_per_bookie]:[AR_per_bookie]],BetTable[[B2]:[B2]],$A63,BetTable[[Date]:[Date]], "&gt;="&amp;M$8,BetTable[[Date]:[Date]],"&lt;="&amp;EOMONTH(M$8,0))+SUMIFS(BetTable[[AR_per_bookie]:[AR_per_bookie]],BetTable[[B3]:[B3]],$A63,BetTable[[Date]:[Date]], "&gt;="&amp;M$8,BetTable[[Date]:[Date]],"&lt;="&amp;EOMONTH(M$8,0))</f>
        <v>0</v>
      </c>
      <c r="N63" s="126">
        <f>SUMIFS(DWbonus[[Sum]:[Sum]],DWbonus[[Dato]:[Dato]], "&gt;="&amp;N$8,DWbonus[[Dato]:[Dato]],"&lt;="&amp;EOMONTH(N$8,0),DWbonus[[Bookie]:[Bookie]],$A63)+SUMIFS(LayTable[[Faktisk res]:[Faktisk res]],LayTable[[Dato]:[Dato]],"&gt;="&amp;N$8,LayTable[[Dato]:[Dato]],"&lt;="&amp;EOMONTH(N$8,0),LayTable[[Bookmaker]:[Bookmaker]],$A63)+SUMIFS(BetTable[[AR_per_bookie]:[AR_per_bookie]],BetTable[[B1]:[B1]],$A63,BetTable[[Date]:[Date]], "&gt;="&amp;N$8,BetTable[[Date]:[Date]],"&lt;="&amp;EOMONTH(N$8,0))+SUMIFS(BetTable[[AR_per_bookie]:[AR_per_bookie]],BetTable[[B2]:[B2]],$A63,BetTable[[Date]:[Date]], "&gt;="&amp;N$8,BetTable[[Date]:[Date]],"&lt;="&amp;EOMONTH(N$8,0))+SUMIFS(BetTable[[AR_per_bookie]:[AR_per_bookie]],BetTable[[B3]:[B3]],$A63,BetTable[[Date]:[Date]], "&gt;="&amp;N$8,BetTable[[Date]:[Date]],"&lt;="&amp;EOMONTH(N$8,0))</f>
        <v>0</v>
      </c>
      <c r="O63" s="126">
        <f>SUMIFS(DWbonus[[Sum]:[Sum]],DWbonus[[Dato]:[Dato]], "&gt;="&amp;O$8,DWbonus[[Dato]:[Dato]],"&lt;="&amp;EOMONTH(O$8,0),DWbonus[[Bookie]:[Bookie]],$A63)+SUMIFS(LayTable[[Faktisk res]:[Faktisk res]],LayTable[[Dato]:[Dato]],"&gt;="&amp;O$8,LayTable[[Dato]:[Dato]],"&lt;="&amp;EOMONTH(O$8,0),LayTable[[Bookmaker]:[Bookmaker]],$A63)+SUMIFS(BetTable[[AR_per_bookie]:[AR_per_bookie]],BetTable[[B1]:[B1]],$A63,BetTable[[Date]:[Date]], "&gt;="&amp;O$8,BetTable[[Date]:[Date]],"&lt;="&amp;EOMONTH(O$8,0))+SUMIFS(BetTable[[AR_per_bookie]:[AR_per_bookie]],BetTable[[B2]:[B2]],$A63,BetTable[[Date]:[Date]], "&gt;="&amp;O$8,BetTable[[Date]:[Date]],"&lt;="&amp;EOMONTH(O$8,0))+SUMIFS(BetTable[[AR_per_bookie]:[AR_per_bookie]],BetTable[[B3]:[B3]],$A63,BetTable[[Date]:[Date]], "&gt;="&amp;O$8,BetTable[[Date]:[Date]],"&lt;="&amp;EOMONTH(O$8,0))</f>
        <v>0</v>
      </c>
      <c r="P63" s="126">
        <f>SUMIFS(DWbonus[[Sum]:[Sum]],DWbonus[[Dato]:[Dato]], "&gt;="&amp;P$8,DWbonus[[Dato]:[Dato]],"&lt;="&amp;EOMONTH(P$8,0),DWbonus[[Bookie]:[Bookie]],$A63)+SUMIFS(LayTable[[Faktisk res]:[Faktisk res]],LayTable[[Dato]:[Dato]],"&gt;="&amp;P$8,LayTable[[Dato]:[Dato]],"&lt;="&amp;EOMONTH(P$8,0),LayTable[[Bookmaker]:[Bookmaker]],$A63)+SUMIFS(BetTable[[AR_per_bookie]:[AR_per_bookie]],BetTable[[B1]:[B1]],$A63,BetTable[[Date]:[Date]], "&gt;="&amp;P$8,BetTable[[Date]:[Date]],"&lt;="&amp;EOMONTH(P$8,0))+SUMIFS(BetTable[[AR_per_bookie]:[AR_per_bookie]],BetTable[[B2]:[B2]],$A63,BetTable[[Date]:[Date]], "&gt;="&amp;P$8,BetTable[[Date]:[Date]],"&lt;="&amp;EOMONTH(P$8,0))+SUMIFS(BetTable[[AR_per_bookie]:[AR_per_bookie]],BetTable[[B3]:[B3]],$A63,BetTable[[Date]:[Date]], "&gt;="&amp;P$8,BetTable[[Date]:[Date]],"&lt;="&amp;EOMONTH(P$8,0))</f>
        <v>0</v>
      </c>
      <c r="Q63" s="126">
        <f>SUMIFS(DWbonus[[Sum]:[Sum]],DWbonus[[Dato]:[Dato]], "&gt;="&amp;Q$8,DWbonus[[Dato]:[Dato]],"&lt;="&amp;EOMONTH(Q$8,0),DWbonus[[Bookie]:[Bookie]],$A63)+SUMIFS(LayTable[[Faktisk res]:[Faktisk res]],LayTable[[Dato]:[Dato]],"&gt;="&amp;Q$8,LayTable[[Dato]:[Dato]],"&lt;="&amp;EOMONTH(Q$8,0),LayTable[[Bookmaker]:[Bookmaker]],$A63)+SUMIFS(BetTable[[AR_per_bookie]:[AR_per_bookie]],BetTable[[B1]:[B1]],$A63,BetTable[[Date]:[Date]], "&gt;="&amp;Q$8,BetTable[[Date]:[Date]],"&lt;="&amp;EOMONTH(Q$8,0))+SUMIFS(BetTable[[AR_per_bookie]:[AR_per_bookie]],BetTable[[B2]:[B2]],$A63,BetTable[[Date]:[Date]], "&gt;="&amp;Q$8,BetTable[[Date]:[Date]],"&lt;="&amp;EOMONTH(Q$8,0))+SUMIFS(BetTable[[AR_per_bookie]:[AR_per_bookie]],BetTable[[B3]:[B3]],$A63,BetTable[[Date]:[Date]], "&gt;="&amp;Q$8,BetTable[[Date]:[Date]],"&lt;="&amp;EOMONTH(Q$8,0))</f>
        <v>0</v>
      </c>
      <c r="R63" s="126">
        <f>SUMIFS(DWbonus[[Sum]:[Sum]],DWbonus[[Dato]:[Dato]], "&gt;="&amp;R$8,DWbonus[[Dato]:[Dato]],"&lt;="&amp;EOMONTH(R$8,0),DWbonus[[Bookie]:[Bookie]],$A63)+SUMIFS(LayTable[[Faktisk res]:[Faktisk res]],LayTable[[Dato]:[Dato]],"&gt;="&amp;R$8,LayTable[[Dato]:[Dato]],"&lt;="&amp;EOMONTH(R$8,0),LayTable[[Bookmaker]:[Bookmaker]],$A63)+SUMIFS(BetTable[[AR_per_bookie]:[AR_per_bookie]],BetTable[[B1]:[B1]],$A63,BetTable[[Date]:[Date]], "&gt;="&amp;R$8,BetTable[[Date]:[Date]],"&lt;="&amp;EOMONTH(R$8,0))+SUMIFS(BetTable[[AR_per_bookie]:[AR_per_bookie]],BetTable[[B2]:[B2]],$A63,BetTable[[Date]:[Date]], "&gt;="&amp;R$8,BetTable[[Date]:[Date]],"&lt;="&amp;EOMONTH(R$8,0))+SUMIFS(BetTable[[AR_per_bookie]:[AR_per_bookie]],BetTable[[B3]:[B3]],$A63,BetTable[[Date]:[Date]], "&gt;="&amp;R$8,BetTable[[Date]:[Date]],"&lt;="&amp;EOMONTH(R$8,0))</f>
        <v>0</v>
      </c>
      <c r="S63" s="126">
        <f>SUMIFS(DWbonus[[Sum]:[Sum]],DWbonus[[Dato]:[Dato]], "&gt;="&amp;S$8,DWbonus[[Dato]:[Dato]],"&lt;="&amp;EOMONTH(S$8,0),DWbonus[[Bookie]:[Bookie]],$A63)+SUMIFS(LayTable[[Faktisk res]:[Faktisk res]],LayTable[[Dato]:[Dato]],"&gt;="&amp;S$8,LayTable[[Dato]:[Dato]],"&lt;="&amp;EOMONTH(S$8,0),LayTable[[Bookmaker]:[Bookmaker]],$A63)+SUMIFS(BetTable[[AR_per_bookie]:[AR_per_bookie]],BetTable[[B1]:[B1]],$A63,BetTable[[Date]:[Date]], "&gt;="&amp;S$8,BetTable[[Date]:[Date]],"&lt;="&amp;EOMONTH(S$8,0))+SUMIFS(BetTable[[AR_per_bookie]:[AR_per_bookie]],BetTable[[B2]:[B2]],$A63,BetTable[[Date]:[Date]], "&gt;="&amp;S$8,BetTable[[Date]:[Date]],"&lt;="&amp;EOMONTH(S$8,0))+SUMIFS(BetTable[[AR_per_bookie]:[AR_per_bookie]],BetTable[[B3]:[B3]],$A63,BetTable[[Date]:[Date]], "&gt;="&amp;S$8,BetTable[[Date]:[Date]],"&lt;="&amp;EOMONTH(S$8,0))</f>
        <v>0</v>
      </c>
    </row>
    <row r="64" spans="1:19">
      <c r="A64" s="115" t="str">
        <f>BookieNavn!I56</f>
        <v>Redbet</v>
      </c>
      <c r="B64" s="126">
        <f>SUMIF(Penger!D$1:D$50072,A64,Penger!F$1:F$50072)</f>
        <v>0</v>
      </c>
      <c r="C64" s="126">
        <f>SUMIF(Penger!T$1:T$50072,A64,Penger!U$1:U$50072)</f>
        <v>0</v>
      </c>
      <c r="D64" s="126">
        <f ca="1">SUMIF(Spill!C$1:C$499895,A64,Spill!T$1:T$49895)+C64</f>
        <v>0</v>
      </c>
      <c r="E64" s="126">
        <f>SUMIF(Spill!C$1:C$49895,A64,Spill!T$1:T$49895)</f>
        <v>0</v>
      </c>
      <c r="F64" s="121" t="e">
        <f t="shared" ca="1" si="1"/>
        <v>#DIV/0!</v>
      </c>
      <c r="H64" s="126">
        <f>SUMIFS(DWbonus[[Sum]:[Sum]],DWbonus[[Dato]:[Dato]], "&gt;="&amp;H$8,DWbonus[[Dato]:[Dato]],"&lt;="&amp;EOMONTH(H$8,0),DWbonus[[Bookie]:[Bookie]],$A64)+SUMIFS(LayTable[[Faktisk res]:[Faktisk res]],LayTable[[Dato]:[Dato]],"&gt;="&amp;H$8,LayTable[[Dato]:[Dato]],"&lt;="&amp;EOMONTH(H$8,0),LayTable[[Bookmaker]:[Bookmaker]],$A64)+SUMIFS(BetTable[[AR_per_bookie]:[AR_per_bookie]],BetTable[[B1]:[B1]],$A64,BetTable[[Date]:[Date]], "&gt;="&amp;H$8,BetTable[[Date]:[Date]],"&lt;="&amp;EOMONTH(H$8,0))+SUMIFS(BetTable[[AR_per_bookie]:[AR_per_bookie]],BetTable[[B2]:[B2]],$A64,BetTable[[Date]:[Date]], "&gt;="&amp;H$8,BetTable[[Date]:[Date]],"&lt;="&amp;EOMONTH(H$8,0))+SUMIFS(BetTable[[AR_per_bookie]:[AR_per_bookie]],BetTable[[B3]:[B3]],$A64,BetTable[[Date]:[Date]], "&gt;="&amp;H$8,BetTable[[Date]:[Date]],"&lt;="&amp;EOMONTH(H$8,0))</f>
        <v>0</v>
      </c>
      <c r="I64" s="126">
        <f>SUMIFS(DWbonus[[Sum]:[Sum]],DWbonus[[Dato]:[Dato]], "&gt;="&amp;I$8,DWbonus[[Dato]:[Dato]],"&lt;="&amp;EOMONTH(I$8,0),DWbonus[[Bookie]:[Bookie]],$A64)+SUMIFS(LayTable[[Faktisk res]:[Faktisk res]],LayTable[[Dato]:[Dato]],"&gt;="&amp;I$8,LayTable[[Dato]:[Dato]],"&lt;="&amp;EOMONTH(I$8,0),LayTable[[Bookmaker]:[Bookmaker]],$A64)+SUMIFS(BetTable[[AR_per_bookie]:[AR_per_bookie]],BetTable[[B1]:[B1]],$A64,BetTable[[Date]:[Date]], "&gt;="&amp;I$8,BetTable[[Date]:[Date]],"&lt;="&amp;EOMONTH(I$8,0))+SUMIFS(BetTable[[AR_per_bookie]:[AR_per_bookie]],BetTable[[B2]:[B2]],$A64,BetTable[[Date]:[Date]], "&gt;="&amp;I$8,BetTable[[Date]:[Date]],"&lt;="&amp;EOMONTH(I$8,0))+SUMIFS(BetTable[[AR_per_bookie]:[AR_per_bookie]],BetTable[[B3]:[B3]],$A64,BetTable[[Date]:[Date]], "&gt;="&amp;I$8,BetTable[[Date]:[Date]],"&lt;="&amp;EOMONTH(I$8,0))</f>
        <v>0</v>
      </c>
      <c r="J64" s="126">
        <f>SUMIFS(DWbonus[[Sum]:[Sum]],DWbonus[[Dato]:[Dato]], "&gt;="&amp;J$8,DWbonus[[Dato]:[Dato]],"&lt;="&amp;EOMONTH(J$8,0),DWbonus[[Bookie]:[Bookie]],$A64)+SUMIFS(LayTable[[Faktisk res]:[Faktisk res]],LayTable[[Dato]:[Dato]],"&gt;="&amp;J$8,LayTable[[Dato]:[Dato]],"&lt;="&amp;EOMONTH(J$8,0),LayTable[[Bookmaker]:[Bookmaker]],$A64)+SUMIFS(BetTable[[AR_per_bookie]:[AR_per_bookie]],BetTable[[B1]:[B1]],$A64,BetTable[[Date]:[Date]], "&gt;="&amp;J$8,BetTable[[Date]:[Date]],"&lt;="&amp;EOMONTH(J$8,0))+SUMIFS(BetTable[[AR_per_bookie]:[AR_per_bookie]],BetTable[[B2]:[B2]],$A64,BetTable[[Date]:[Date]], "&gt;="&amp;J$8,BetTable[[Date]:[Date]],"&lt;="&amp;EOMONTH(J$8,0))+SUMIFS(BetTable[[AR_per_bookie]:[AR_per_bookie]],BetTable[[B3]:[B3]],$A64,BetTable[[Date]:[Date]], "&gt;="&amp;J$8,BetTable[[Date]:[Date]],"&lt;="&amp;EOMONTH(J$8,0))</f>
        <v>0</v>
      </c>
      <c r="K64" s="126">
        <f>SUMIFS(DWbonus[[Sum]:[Sum]],DWbonus[[Dato]:[Dato]], "&gt;="&amp;K$8,DWbonus[[Dato]:[Dato]],"&lt;="&amp;EOMONTH(K$8,0),DWbonus[[Bookie]:[Bookie]],$A64)+SUMIFS(LayTable[[Faktisk res]:[Faktisk res]],LayTable[[Dato]:[Dato]],"&gt;="&amp;K$8,LayTable[[Dato]:[Dato]],"&lt;="&amp;EOMONTH(K$8,0),LayTable[[Bookmaker]:[Bookmaker]],$A64)+SUMIFS(BetTable[[AR_per_bookie]:[AR_per_bookie]],BetTable[[B1]:[B1]],$A64,BetTable[[Date]:[Date]], "&gt;="&amp;K$8,BetTable[[Date]:[Date]],"&lt;="&amp;EOMONTH(K$8,0))+SUMIFS(BetTable[[AR_per_bookie]:[AR_per_bookie]],BetTable[[B2]:[B2]],$A64,BetTable[[Date]:[Date]], "&gt;="&amp;K$8,BetTable[[Date]:[Date]],"&lt;="&amp;EOMONTH(K$8,0))+SUMIFS(BetTable[[AR_per_bookie]:[AR_per_bookie]],BetTable[[B3]:[B3]],$A64,BetTable[[Date]:[Date]], "&gt;="&amp;K$8,BetTable[[Date]:[Date]],"&lt;="&amp;EOMONTH(K$8,0))</f>
        <v>0</v>
      </c>
      <c r="L64" s="126">
        <f>SUMIFS(DWbonus[[Sum]:[Sum]],DWbonus[[Dato]:[Dato]], "&gt;="&amp;L$8,DWbonus[[Dato]:[Dato]],"&lt;="&amp;EOMONTH(L$8,0),DWbonus[[Bookie]:[Bookie]],$A64)+SUMIFS(LayTable[[Faktisk res]:[Faktisk res]],LayTable[[Dato]:[Dato]],"&gt;="&amp;L$8,LayTable[[Dato]:[Dato]],"&lt;="&amp;EOMONTH(L$8,0),LayTable[[Bookmaker]:[Bookmaker]],$A64)+SUMIFS(BetTable[[AR_per_bookie]:[AR_per_bookie]],BetTable[[B1]:[B1]],$A64,BetTable[[Date]:[Date]], "&gt;="&amp;L$8,BetTable[[Date]:[Date]],"&lt;="&amp;EOMONTH(L$8,0))+SUMIFS(BetTable[[AR_per_bookie]:[AR_per_bookie]],BetTable[[B2]:[B2]],$A64,BetTable[[Date]:[Date]], "&gt;="&amp;L$8,BetTable[[Date]:[Date]],"&lt;="&amp;EOMONTH(L$8,0))+SUMIFS(BetTable[[AR_per_bookie]:[AR_per_bookie]],BetTable[[B3]:[B3]],$A64,BetTable[[Date]:[Date]], "&gt;="&amp;L$8,BetTable[[Date]:[Date]],"&lt;="&amp;EOMONTH(L$8,0))</f>
        <v>0</v>
      </c>
      <c r="M64" s="126">
        <f>SUMIFS(DWbonus[[Sum]:[Sum]],DWbonus[[Dato]:[Dato]], "&gt;="&amp;M$8,DWbonus[[Dato]:[Dato]],"&lt;="&amp;EOMONTH(M$8,0),DWbonus[[Bookie]:[Bookie]],$A64)+SUMIFS(LayTable[[Faktisk res]:[Faktisk res]],LayTable[[Dato]:[Dato]],"&gt;="&amp;M$8,LayTable[[Dato]:[Dato]],"&lt;="&amp;EOMONTH(M$8,0),LayTable[[Bookmaker]:[Bookmaker]],$A64)+SUMIFS(BetTable[[AR_per_bookie]:[AR_per_bookie]],BetTable[[B1]:[B1]],$A64,BetTable[[Date]:[Date]], "&gt;="&amp;M$8,BetTable[[Date]:[Date]],"&lt;="&amp;EOMONTH(M$8,0))+SUMIFS(BetTable[[AR_per_bookie]:[AR_per_bookie]],BetTable[[B2]:[B2]],$A64,BetTable[[Date]:[Date]], "&gt;="&amp;M$8,BetTable[[Date]:[Date]],"&lt;="&amp;EOMONTH(M$8,0))+SUMIFS(BetTable[[AR_per_bookie]:[AR_per_bookie]],BetTable[[B3]:[B3]],$A64,BetTable[[Date]:[Date]], "&gt;="&amp;M$8,BetTable[[Date]:[Date]],"&lt;="&amp;EOMONTH(M$8,0))</f>
        <v>0</v>
      </c>
      <c r="N64" s="126">
        <f>SUMIFS(DWbonus[[Sum]:[Sum]],DWbonus[[Dato]:[Dato]], "&gt;="&amp;N$8,DWbonus[[Dato]:[Dato]],"&lt;="&amp;EOMONTH(N$8,0),DWbonus[[Bookie]:[Bookie]],$A64)+SUMIFS(LayTable[[Faktisk res]:[Faktisk res]],LayTable[[Dato]:[Dato]],"&gt;="&amp;N$8,LayTable[[Dato]:[Dato]],"&lt;="&amp;EOMONTH(N$8,0),LayTable[[Bookmaker]:[Bookmaker]],$A64)+SUMIFS(BetTable[[AR_per_bookie]:[AR_per_bookie]],BetTable[[B1]:[B1]],$A64,BetTable[[Date]:[Date]], "&gt;="&amp;N$8,BetTable[[Date]:[Date]],"&lt;="&amp;EOMONTH(N$8,0))+SUMIFS(BetTable[[AR_per_bookie]:[AR_per_bookie]],BetTable[[B2]:[B2]],$A64,BetTable[[Date]:[Date]], "&gt;="&amp;N$8,BetTable[[Date]:[Date]],"&lt;="&amp;EOMONTH(N$8,0))+SUMIFS(BetTable[[AR_per_bookie]:[AR_per_bookie]],BetTable[[B3]:[B3]],$A64,BetTable[[Date]:[Date]], "&gt;="&amp;N$8,BetTable[[Date]:[Date]],"&lt;="&amp;EOMONTH(N$8,0))</f>
        <v>0</v>
      </c>
      <c r="O64" s="126">
        <f>SUMIFS(DWbonus[[Sum]:[Sum]],DWbonus[[Dato]:[Dato]], "&gt;="&amp;O$8,DWbonus[[Dato]:[Dato]],"&lt;="&amp;EOMONTH(O$8,0),DWbonus[[Bookie]:[Bookie]],$A64)+SUMIFS(LayTable[[Faktisk res]:[Faktisk res]],LayTable[[Dato]:[Dato]],"&gt;="&amp;O$8,LayTable[[Dato]:[Dato]],"&lt;="&amp;EOMONTH(O$8,0),LayTable[[Bookmaker]:[Bookmaker]],$A64)+SUMIFS(BetTable[[AR_per_bookie]:[AR_per_bookie]],BetTable[[B1]:[B1]],$A64,BetTable[[Date]:[Date]], "&gt;="&amp;O$8,BetTable[[Date]:[Date]],"&lt;="&amp;EOMONTH(O$8,0))+SUMIFS(BetTable[[AR_per_bookie]:[AR_per_bookie]],BetTable[[B2]:[B2]],$A64,BetTable[[Date]:[Date]], "&gt;="&amp;O$8,BetTable[[Date]:[Date]],"&lt;="&amp;EOMONTH(O$8,0))+SUMIFS(BetTable[[AR_per_bookie]:[AR_per_bookie]],BetTable[[B3]:[B3]],$A64,BetTable[[Date]:[Date]], "&gt;="&amp;O$8,BetTable[[Date]:[Date]],"&lt;="&amp;EOMONTH(O$8,0))</f>
        <v>0</v>
      </c>
      <c r="P64" s="126">
        <f>SUMIFS(DWbonus[[Sum]:[Sum]],DWbonus[[Dato]:[Dato]], "&gt;="&amp;P$8,DWbonus[[Dato]:[Dato]],"&lt;="&amp;EOMONTH(P$8,0),DWbonus[[Bookie]:[Bookie]],$A64)+SUMIFS(LayTable[[Faktisk res]:[Faktisk res]],LayTable[[Dato]:[Dato]],"&gt;="&amp;P$8,LayTable[[Dato]:[Dato]],"&lt;="&amp;EOMONTH(P$8,0),LayTable[[Bookmaker]:[Bookmaker]],$A64)+SUMIFS(BetTable[[AR_per_bookie]:[AR_per_bookie]],BetTable[[B1]:[B1]],$A64,BetTable[[Date]:[Date]], "&gt;="&amp;P$8,BetTable[[Date]:[Date]],"&lt;="&amp;EOMONTH(P$8,0))+SUMIFS(BetTable[[AR_per_bookie]:[AR_per_bookie]],BetTable[[B2]:[B2]],$A64,BetTable[[Date]:[Date]], "&gt;="&amp;P$8,BetTable[[Date]:[Date]],"&lt;="&amp;EOMONTH(P$8,0))+SUMIFS(BetTable[[AR_per_bookie]:[AR_per_bookie]],BetTable[[B3]:[B3]],$A64,BetTable[[Date]:[Date]], "&gt;="&amp;P$8,BetTable[[Date]:[Date]],"&lt;="&amp;EOMONTH(P$8,0))</f>
        <v>0</v>
      </c>
      <c r="Q64" s="126">
        <f>SUMIFS(DWbonus[[Sum]:[Sum]],DWbonus[[Dato]:[Dato]], "&gt;="&amp;Q$8,DWbonus[[Dato]:[Dato]],"&lt;="&amp;EOMONTH(Q$8,0),DWbonus[[Bookie]:[Bookie]],$A64)+SUMIFS(LayTable[[Faktisk res]:[Faktisk res]],LayTable[[Dato]:[Dato]],"&gt;="&amp;Q$8,LayTable[[Dato]:[Dato]],"&lt;="&amp;EOMONTH(Q$8,0),LayTable[[Bookmaker]:[Bookmaker]],$A64)+SUMIFS(BetTable[[AR_per_bookie]:[AR_per_bookie]],BetTable[[B1]:[B1]],$A64,BetTable[[Date]:[Date]], "&gt;="&amp;Q$8,BetTable[[Date]:[Date]],"&lt;="&amp;EOMONTH(Q$8,0))+SUMIFS(BetTable[[AR_per_bookie]:[AR_per_bookie]],BetTable[[B2]:[B2]],$A64,BetTable[[Date]:[Date]], "&gt;="&amp;Q$8,BetTable[[Date]:[Date]],"&lt;="&amp;EOMONTH(Q$8,0))+SUMIFS(BetTable[[AR_per_bookie]:[AR_per_bookie]],BetTable[[B3]:[B3]],$A64,BetTable[[Date]:[Date]], "&gt;="&amp;Q$8,BetTable[[Date]:[Date]],"&lt;="&amp;EOMONTH(Q$8,0))</f>
        <v>0</v>
      </c>
      <c r="R64" s="126">
        <f>SUMIFS(DWbonus[[Sum]:[Sum]],DWbonus[[Dato]:[Dato]], "&gt;="&amp;R$8,DWbonus[[Dato]:[Dato]],"&lt;="&amp;EOMONTH(R$8,0),DWbonus[[Bookie]:[Bookie]],$A64)+SUMIFS(LayTable[[Faktisk res]:[Faktisk res]],LayTable[[Dato]:[Dato]],"&gt;="&amp;R$8,LayTable[[Dato]:[Dato]],"&lt;="&amp;EOMONTH(R$8,0),LayTable[[Bookmaker]:[Bookmaker]],$A64)+SUMIFS(BetTable[[AR_per_bookie]:[AR_per_bookie]],BetTable[[B1]:[B1]],$A64,BetTable[[Date]:[Date]], "&gt;="&amp;R$8,BetTable[[Date]:[Date]],"&lt;="&amp;EOMONTH(R$8,0))+SUMIFS(BetTable[[AR_per_bookie]:[AR_per_bookie]],BetTable[[B2]:[B2]],$A64,BetTable[[Date]:[Date]], "&gt;="&amp;R$8,BetTable[[Date]:[Date]],"&lt;="&amp;EOMONTH(R$8,0))+SUMIFS(BetTable[[AR_per_bookie]:[AR_per_bookie]],BetTable[[B3]:[B3]],$A64,BetTable[[Date]:[Date]], "&gt;="&amp;R$8,BetTable[[Date]:[Date]],"&lt;="&amp;EOMONTH(R$8,0))</f>
        <v>0</v>
      </c>
      <c r="S64" s="126">
        <f>SUMIFS(DWbonus[[Sum]:[Sum]],DWbonus[[Dato]:[Dato]], "&gt;="&amp;S$8,DWbonus[[Dato]:[Dato]],"&lt;="&amp;EOMONTH(S$8,0),DWbonus[[Bookie]:[Bookie]],$A64)+SUMIFS(LayTable[[Faktisk res]:[Faktisk res]],LayTable[[Dato]:[Dato]],"&gt;="&amp;S$8,LayTable[[Dato]:[Dato]],"&lt;="&amp;EOMONTH(S$8,0),LayTable[[Bookmaker]:[Bookmaker]],$A64)+SUMIFS(BetTable[[AR_per_bookie]:[AR_per_bookie]],BetTable[[B1]:[B1]],$A64,BetTable[[Date]:[Date]], "&gt;="&amp;S$8,BetTable[[Date]:[Date]],"&lt;="&amp;EOMONTH(S$8,0))+SUMIFS(BetTable[[AR_per_bookie]:[AR_per_bookie]],BetTable[[B2]:[B2]],$A64,BetTable[[Date]:[Date]], "&gt;="&amp;S$8,BetTable[[Date]:[Date]],"&lt;="&amp;EOMONTH(S$8,0))+SUMIFS(BetTable[[AR_per_bookie]:[AR_per_bookie]],BetTable[[B3]:[B3]],$A64,BetTable[[Date]:[Date]], "&gt;="&amp;S$8,BetTable[[Date]:[Date]],"&lt;="&amp;EOMONTH(S$8,0))</f>
        <v>0</v>
      </c>
    </row>
    <row r="65" spans="1:19">
      <c r="A65" s="115" t="str">
        <f>BookieNavn!I57</f>
        <v>Redsbet</v>
      </c>
      <c r="B65" s="126">
        <f>SUMIF(Penger!D$1:D$50072,A65,Penger!F$1:F$50072)</f>
        <v>0</v>
      </c>
      <c r="C65" s="126">
        <f>SUMIF(Penger!T$1:T$50072,A65,Penger!U$1:U$50072)</f>
        <v>0</v>
      </c>
      <c r="D65" s="126">
        <f ca="1">SUMIF(Spill!C$1:C$499895,A65,Spill!T$1:T$49895)+C65</f>
        <v>0</v>
      </c>
      <c r="E65" s="126">
        <f>SUMIF(Spill!C$1:C$49895,A65,Spill!T$1:T$49895)</f>
        <v>0</v>
      </c>
      <c r="F65" s="121" t="e">
        <f t="shared" ca="1" si="1"/>
        <v>#DIV/0!</v>
      </c>
      <c r="H65" s="126">
        <f>SUMIFS(DWbonus[[Sum]:[Sum]],DWbonus[[Dato]:[Dato]], "&gt;="&amp;H$8,DWbonus[[Dato]:[Dato]],"&lt;="&amp;EOMONTH(H$8,0),DWbonus[[Bookie]:[Bookie]],$A65)+SUMIFS(LayTable[[Faktisk res]:[Faktisk res]],LayTable[[Dato]:[Dato]],"&gt;="&amp;H$8,LayTable[[Dato]:[Dato]],"&lt;="&amp;EOMONTH(H$8,0),LayTable[[Bookmaker]:[Bookmaker]],$A65)+SUMIFS(BetTable[[AR_per_bookie]:[AR_per_bookie]],BetTable[[B1]:[B1]],$A65,BetTable[[Date]:[Date]], "&gt;="&amp;H$8,BetTable[[Date]:[Date]],"&lt;="&amp;EOMONTH(H$8,0))+SUMIFS(BetTable[[AR_per_bookie]:[AR_per_bookie]],BetTable[[B2]:[B2]],$A65,BetTable[[Date]:[Date]], "&gt;="&amp;H$8,BetTable[[Date]:[Date]],"&lt;="&amp;EOMONTH(H$8,0))+SUMIFS(BetTable[[AR_per_bookie]:[AR_per_bookie]],BetTable[[B3]:[B3]],$A65,BetTable[[Date]:[Date]], "&gt;="&amp;H$8,BetTable[[Date]:[Date]],"&lt;="&amp;EOMONTH(H$8,0))</f>
        <v>0</v>
      </c>
      <c r="I65" s="126">
        <f>SUMIFS(DWbonus[[Sum]:[Sum]],DWbonus[[Dato]:[Dato]], "&gt;="&amp;I$8,DWbonus[[Dato]:[Dato]],"&lt;="&amp;EOMONTH(I$8,0),DWbonus[[Bookie]:[Bookie]],$A65)+SUMIFS(LayTable[[Faktisk res]:[Faktisk res]],LayTable[[Dato]:[Dato]],"&gt;="&amp;I$8,LayTable[[Dato]:[Dato]],"&lt;="&amp;EOMONTH(I$8,0),LayTable[[Bookmaker]:[Bookmaker]],$A65)+SUMIFS(BetTable[[AR_per_bookie]:[AR_per_bookie]],BetTable[[B1]:[B1]],$A65,BetTable[[Date]:[Date]], "&gt;="&amp;I$8,BetTable[[Date]:[Date]],"&lt;="&amp;EOMONTH(I$8,0))+SUMIFS(BetTable[[AR_per_bookie]:[AR_per_bookie]],BetTable[[B2]:[B2]],$A65,BetTable[[Date]:[Date]], "&gt;="&amp;I$8,BetTable[[Date]:[Date]],"&lt;="&amp;EOMONTH(I$8,0))+SUMIFS(BetTable[[AR_per_bookie]:[AR_per_bookie]],BetTable[[B3]:[B3]],$A65,BetTable[[Date]:[Date]], "&gt;="&amp;I$8,BetTable[[Date]:[Date]],"&lt;="&amp;EOMONTH(I$8,0))</f>
        <v>0</v>
      </c>
      <c r="J65" s="126">
        <f>SUMIFS(DWbonus[[Sum]:[Sum]],DWbonus[[Dato]:[Dato]], "&gt;="&amp;J$8,DWbonus[[Dato]:[Dato]],"&lt;="&amp;EOMONTH(J$8,0),DWbonus[[Bookie]:[Bookie]],$A65)+SUMIFS(LayTable[[Faktisk res]:[Faktisk res]],LayTable[[Dato]:[Dato]],"&gt;="&amp;J$8,LayTable[[Dato]:[Dato]],"&lt;="&amp;EOMONTH(J$8,0),LayTable[[Bookmaker]:[Bookmaker]],$A65)+SUMIFS(BetTable[[AR_per_bookie]:[AR_per_bookie]],BetTable[[B1]:[B1]],$A65,BetTable[[Date]:[Date]], "&gt;="&amp;J$8,BetTable[[Date]:[Date]],"&lt;="&amp;EOMONTH(J$8,0))+SUMIFS(BetTable[[AR_per_bookie]:[AR_per_bookie]],BetTable[[B2]:[B2]],$A65,BetTable[[Date]:[Date]], "&gt;="&amp;J$8,BetTable[[Date]:[Date]],"&lt;="&amp;EOMONTH(J$8,0))+SUMIFS(BetTable[[AR_per_bookie]:[AR_per_bookie]],BetTable[[B3]:[B3]],$A65,BetTable[[Date]:[Date]], "&gt;="&amp;J$8,BetTable[[Date]:[Date]],"&lt;="&amp;EOMONTH(J$8,0))</f>
        <v>0</v>
      </c>
      <c r="K65" s="126">
        <f>SUMIFS(DWbonus[[Sum]:[Sum]],DWbonus[[Dato]:[Dato]], "&gt;="&amp;K$8,DWbonus[[Dato]:[Dato]],"&lt;="&amp;EOMONTH(K$8,0),DWbonus[[Bookie]:[Bookie]],$A65)+SUMIFS(LayTable[[Faktisk res]:[Faktisk res]],LayTable[[Dato]:[Dato]],"&gt;="&amp;K$8,LayTable[[Dato]:[Dato]],"&lt;="&amp;EOMONTH(K$8,0),LayTable[[Bookmaker]:[Bookmaker]],$A65)+SUMIFS(BetTable[[AR_per_bookie]:[AR_per_bookie]],BetTable[[B1]:[B1]],$A65,BetTable[[Date]:[Date]], "&gt;="&amp;K$8,BetTable[[Date]:[Date]],"&lt;="&amp;EOMONTH(K$8,0))+SUMIFS(BetTable[[AR_per_bookie]:[AR_per_bookie]],BetTable[[B2]:[B2]],$A65,BetTable[[Date]:[Date]], "&gt;="&amp;K$8,BetTable[[Date]:[Date]],"&lt;="&amp;EOMONTH(K$8,0))+SUMIFS(BetTable[[AR_per_bookie]:[AR_per_bookie]],BetTable[[B3]:[B3]],$A65,BetTable[[Date]:[Date]], "&gt;="&amp;K$8,BetTable[[Date]:[Date]],"&lt;="&amp;EOMONTH(K$8,0))</f>
        <v>0</v>
      </c>
      <c r="L65" s="126">
        <f>SUMIFS(DWbonus[[Sum]:[Sum]],DWbonus[[Dato]:[Dato]], "&gt;="&amp;L$8,DWbonus[[Dato]:[Dato]],"&lt;="&amp;EOMONTH(L$8,0),DWbonus[[Bookie]:[Bookie]],$A65)+SUMIFS(LayTable[[Faktisk res]:[Faktisk res]],LayTable[[Dato]:[Dato]],"&gt;="&amp;L$8,LayTable[[Dato]:[Dato]],"&lt;="&amp;EOMONTH(L$8,0),LayTable[[Bookmaker]:[Bookmaker]],$A65)+SUMIFS(BetTable[[AR_per_bookie]:[AR_per_bookie]],BetTable[[B1]:[B1]],$A65,BetTable[[Date]:[Date]], "&gt;="&amp;L$8,BetTable[[Date]:[Date]],"&lt;="&amp;EOMONTH(L$8,0))+SUMIFS(BetTable[[AR_per_bookie]:[AR_per_bookie]],BetTable[[B2]:[B2]],$A65,BetTable[[Date]:[Date]], "&gt;="&amp;L$8,BetTable[[Date]:[Date]],"&lt;="&amp;EOMONTH(L$8,0))+SUMIFS(BetTable[[AR_per_bookie]:[AR_per_bookie]],BetTable[[B3]:[B3]],$A65,BetTable[[Date]:[Date]], "&gt;="&amp;L$8,BetTable[[Date]:[Date]],"&lt;="&amp;EOMONTH(L$8,0))</f>
        <v>0</v>
      </c>
      <c r="M65" s="126">
        <f>SUMIFS(DWbonus[[Sum]:[Sum]],DWbonus[[Dato]:[Dato]], "&gt;="&amp;M$8,DWbonus[[Dato]:[Dato]],"&lt;="&amp;EOMONTH(M$8,0),DWbonus[[Bookie]:[Bookie]],$A65)+SUMIFS(LayTable[[Faktisk res]:[Faktisk res]],LayTable[[Dato]:[Dato]],"&gt;="&amp;M$8,LayTable[[Dato]:[Dato]],"&lt;="&amp;EOMONTH(M$8,0),LayTable[[Bookmaker]:[Bookmaker]],$A65)+SUMIFS(BetTable[[AR_per_bookie]:[AR_per_bookie]],BetTable[[B1]:[B1]],$A65,BetTable[[Date]:[Date]], "&gt;="&amp;M$8,BetTable[[Date]:[Date]],"&lt;="&amp;EOMONTH(M$8,0))+SUMIFS(BetTable[[AR_per_bookie]:[AR_per_bookie]],BetTable[[B2]:[B2]],$A65,BetTable[[Date]:[Date]], "&gt;="&amp;M$8,BetTable[[Date]:[Date]],"&lt;="&amp;EOMONTH(M$8,0))+SUMIFS(BetTable[[AR_per_bookie]:[AR_per_bookie]],BetTable[[B3]:[B3]],$A65,BetTable[[Date]:[Date]], "&gt;="&amp;M$8,BetTable[[Date]:[Date]],"&lt;="&amp;EOMONTH(M$8,0))</f>
        <v>0</v>
      </c>
      <c r="N65" s="126">
        <f>SUMIFS(DWbonus[[Sum]:[Sum]],DWbonus[[Dato]:[Dato]], "&gt;="&amp;N$8,DWbonus[[Dato]:[Dato]],"&lt;="&amp;EOMONTH(N$8,0),DWbonus[[Bookie]:[Bookie]],$A65)+SUMIFS(LayTable[[Faktisk res]:[Faktisk res]],LayTable[[Dato]:[Dato]],"&gt;="&amp;N$8,LayTable[[Dato]:[Dato]],"&lt;="&amp;EOMONTH(N$8,0),LayTable[[Bookmaker]:[Bookmaker]],$A65)+SUMIFS(BetTable[[AR_per_bookie]:[AR_per_bookie]],BetTable[[B1]:[B1]],$A65,BetTable[[Date]:[Date]], "&gt;="&amp;N$8,BetTable[[Date]:[Date]],"&lt;="&amp;EOMONTH(N$8,0))+SUMIFS(BetTable[[AR_per_bookie]:[AR_per_bookie]],BetTable[[B2]:[B2]],$A65,BetTable[[Date]:[Date]], "&gt;="&amp;N$8,BetTable[[Date]:[Date]],"&lt;="&amp;EOMONTH(N$8,0))+SUMIFS(BetTable[[AR_per_bookie]:[AR_per_bookie]],BetTable[[B3]:[B3]],$A65,BetTable[[Date]:[Date]], "&gt;="&amp;N$8,BetTable[[Date]:[Date]],"&lt;="&amp;EOMONTH(N$8,0))</f>
        <v>0</v>
      </c>
      <c r="O65" s="126">
        <f>SUMIFS(DWbonus[[Sum]:[Sum]],DWbonus[[Dato]:[Dato]], "&gt;="&amp;O$8,DWbonus[[Dato]:[Dato]],"&lt;="&amp;EOMONTH(O$8,0),DWbonus[[Bookie]:[Bookie]],$A65)+SUMIFS(LayTable[[Faktisk res]:[Faktisk res]],LayTable[[Dato]:[Dato]],"&gt;="&amp;O$8,LayTable[[Dato]:[Dato]],"&lt;="&amp;EOMONTH(O$8,0),LayTable[[Bookmaker]:[Bookmaker]],$A65)+SUMIFS(BetTable[[AR_per_bookie]:[AR_per_bookie]],BetTable[[B1]:[B1]],$A65,BetTable[[Date]:[Date]], "&gt;="&amp;O$8,BetTable[[Date]:[Date]],"&lt;="&amp;EOMONTH(O$8,0))+SUMIFS(BetTable[[AR_per_bookie]:[AR_per_bookie]],BetTable[[B2]:[B2]],$A65,BetTable[[Date]:[Date]], "&gt;="&amp;O$8,BetTable[[Date]:[Date]],"&lt;="&amp;EOMONTH(O$8,0))+SUMIFS(BetTable[[AR_per_bookie]:[AR_per_bookie]],BetTable[[B3]:[B3]],$A65,BetTable[[Date]:[Date]], "&gt;="&amp;O$8,BetTable[[Date]:[Date]],"&lt;="&amp;EOMONTH(O$8,0))</f>
        <v>0</v>
      </c>
      <c r="P65" s="126">
        <f>SUMIFS(DWbonus[[Sum]:[Sum]],DWbonus[[Dato]:[Dato]], "&gt;="&amp;P$8,DWbonus[[Dato]:[Dato]],"&lt;="&amp;EOMONTH(P$8,0),DWbonus[[Bookie]:[Bookie]],$A65)+SUMIFS(LayTable[[Faktisk res]:[Faktisk res]],LayTable[[Dato]:[Dato]],"&gt;="&amp;P$8,LayTable[[Dato]:[Dato]],"&lt;="&amp;EOMONTH(P$8,0),LayTable[[Bookmaker]:[Bookmaker]],$A65)+SUMIFS(BetTable[[AR_per_bookie]:[AR_per_bookie]],BetTable[[B1]:[B1]],$A65,BetTable[[Date]:[Date]], "&gt;="&amp;P$8,BetTable[[Date]:[Date]],"&lt;="&amp;EOMONTH(P$8,0))+SUMIFS(BetTable[[AR_per_bookie]:[AR_per_bookie]],BetTable[[B2]:[B2]],$A65,BetTable[[Date]:[Date]], "&gt;="&amp;P$8,BetTable[[Date]:[Date]],"&lt;="&amp;EOMONTH(P$8,0))+SUMIFS(BetTable[[AR_per_bookie]:[AR_per_bookie]],BetTable[[B3]:[B3]],$A65,BetTable[[Date]:[Date]], "&gt;="&amp;P$8,BetTable[[Date]:[Date]],"&lt;="&amp;EOMONTH(P$8,0))</f>
        <v>0</v>
      </c>
      <c r="Q65" s="126">
        <f>SUMIFS(DWbonus[[Sum]:[Sum]],DWbonus[[Dato]:[Dato]], "&gt;="&amp;Q$8,DWbonus[[Dato]:[Dato]],"&lt;="&amp;EOMONTH(Q$8,0),DWbonus[[Bookie]:[Bookie]],$A65)+SUMIFS(LayTable[[Faktisk res]:[Faktisk res]],LayTable[[Dato]:[Dato]],"&gt;="&amp;Q$8,LayTable[[Dato]:[Dato]],"&lt;="&amp;EOMONTH(Q$8,0),LayTable[[Bookmaker]:[Bookmaker]],$A65)+SUMIFS(BetTable[[AR_per_bookie]:[AR_per_bookie]],BetTable[[B1]:[B1]],$A65,BetTable[[Date]:[Date]], "&gt;="&amp;Q$8,BetTable[[Date]:[Date]],"&lt;="&amp;EOMONTH(Q$8,0))+SUMIFS(BetTable[[AR_per_bookie]:[AR_per_bookie]],BetTable[[B2]:[B2]],$A65,BetTable[[Date]:[Date]], "&gt;="&amp;Q$8,BetTable[[Date]:[Date]],"&lt;="&amp;EOMONTH(Q$8,0))+SUMIFS(BetTable[[AR_per_bookie]:[AR_per_bookie]],BetTable[[B3]:[B3]],$A65,BetTable[[Date]:[Date]], "&gt;="&amp;Q$8,BetTable[[Date]:[Date]],"&lt;="&amp;EOMONTH(Q$8,0))</f>
        <v>0</v>
      </c>
      <c r="R65" s="126">
        <f>SUMIFS(DWbonus[[Sum]:[Sum]],DWbonus[[Dato]:[Dato]], "&gt;="&amp;R$8,DWbonus[[Dato]:[Dato]],"&lt;="&amp;EOMONTH(R$8,0),DWbonus[[Bookie]:[Bookie]],$A65)+SUMIFS(LayTable[[Faktisk res]:[Faktisk res]],LayTable[[Dato]:[Dato]],"&gt;="&amp;R$8,LayTable[[Dato]:[Dato]],"&lt;="&amp;EOMONTH(R$8,0),LayTable[[Bookmaker]:[Bookmaker]],$A65)+SUMIFS(BetTable[[AR_per_bookie]:[AR_per_bookie]],BetTable[[B1]:[B1]],$A65,BetTable[[Date]:[Date]], "&gt;="&amp;R$8,BetTable[[Date]:[Date]],"&lt;="&amp;EOMONTH(R$8,0))+SUMIFS(BetTable[[AR_per_bookie]:[AR_per_bookie]],BetTable[[B2]:[B2]],$A65,BetTable[[Date]:[Date]], "&gt;="&amp;R$8,BetTable[[Date]:[Date]],"&lt;="&amp;EOMONTH(R$8,0))+SUMIFS(BetTable[[AR_per_bookie]:[AR_per_bookie]],BetTable[[B3]:[B3]],$A65,BetTable[[Date]:[Date]], "&gt;="&amp;R$8,BetTable[[Date]:[Date]],"&lt;="&amp;EOMONTH(R$8,0))</f>
        <v>0</v>
      </c>
      <c r="S65" s="126">
        <f>SUMIFS(DWbonus[[Sum]:[Sum]],DWbonus[[Dato]:[Dato]], "&gt;="&amp;S$8,DWbonus[[Dato]:[Dato]],"&lt;="&amp;EOMONTH(S$8,0),DWbonus[[Bookie]:[Bookie]],$A65)+SUMIFS(LayTable[[Faktisk res]:[Faktisk res]],LayTable[[Dato]:[Dato]],"&gt;="&amp;S$8,LayTable[[Dato]:[Dato]],"&lt;="&amp;EOMONTH(S$8,0),LayTable[[Bookmaker]:[Bookmaker]],$A65)+SUMIFS(BetTable[[AR_per_bookie]:[AR_per_bookie]],BetTable[[B1]:[B1]],$A65,BetTable[[Date]:[Date]], "&gt;="&amp;S$8,BetTable[[Date]:[Date]],"&lt;="&amp;EOMONTH(S$8,0))+SUMIFS(BetTable[[AR_per_bookie]:[AR_per_bookie]],BetTable[[B2]:[B2]],$A65,BetTable[[Date]:[Date]], "&gt;="&amp;S$8,BetTable[[Date]:[Date]],"&lt;="&amp;EOMONTH(S$8,0))+SUMIFS(BetTable[[AR_per_bookie]:[AR_per_bookie]],BetTable[[B3]:[B3]],$A65,BetTable[[Date]:[Date]], "&gt;="&amp;S$8,BetTable[[Date]:[Date]],"&lt;="&amp;EOMONTH(S$8,0))</f>
        <v>0</v>
      </c>
    </row>
    <row r="66" spans="1:19">
      <c r="A66" s="115" t="str">
        <f>BookieNavn!I58</f>
        <v>Rivalo</v>
      </c>
      <c r="B66" s="126">
        <f>SUMIF(Penger!D$1:D$50072,A66,Penger!F$1:F$50072)</f>
        <v>0</v>
      </c>
      <c r="C66" s="126">
        <f>SUMIF(Penger!T$1:T$50072,A66,Penger!U$1:U$50072)</f>
        <v>0</v>
      </c>
      <c r="D66" s="126">
        <f ca="1">SUMIF(Spill!C$1:C$499895,A66,Spill!T$1:T$49895)+C66</f>
        <v>0</v>
      </c>
      <c r="E66" s="126">
        <f>SUMIF(Spill!C$1:C$49895,A66,Spill!T$1:T$49895)</f>
        <v>0</v>
      </c>
      <c r="F66" s="121" t="e">
        <f t="shared" ca="1" si="1"/>
        <v>#DIV/0!</v>
      </c>
      <c r="H66" s="126">
        <f>SUMIFS(DWbonus[[Sum]:[Sum]],DWbonus[[Dato]:[Dato]], "&gt;="&amp;H$8,DWbonus[[Dato]:[Dato]],"&lt;="&amp;EOMONTH(H$8,0),DWbonus[[Bookie]:[Bookie]],$A66)+SUMIFS(LayTable[[Faktisk res]:[Faktisk res]],LayTable[[Dato]:[Dato]],"&gt;="&amp;H$8,LayTable[[Dato]:[Dato]],"&lt;="&amp;EOMONTH(H$8,0),LayTable[[Bookmaker]:[Bookmaker]],$A66)+SUMIFS(BetTable[[AR_per_bookie]:[AR_per_bookie]],BetTable[[B1]:[B1]],$A66,BetTable[[Date]:[Date]], "&gt;="&amp;H$8,BetTable[[Date]:[Date]],"&lt;="&amp;EOMONTH(H$8,0))+SUMIFS(BetTable[[AR_per_bookie]:[AR_per_bookie]],BetTable[[B2]:[B2]],$A66,BetTable[[Date]:[Date]], "&gt;="&amp;H$8,BetTable[[Date]:[Date]],"&lt;="&amp;EOMONTH(H$8,0))+SUMIFS(BetTable[[AR_per_bookie]:[AR_per_bookie]],BetTable[[B3]:[B3]],$A66,BetTable[[Date]:[Date]], "&gt;="&amp;H$8,BetTable[[Date]:[Date]],"&lt;="&amp;EOMONTH(H$8,0))</f>
        <v>0</v>
      </c>
      <c r="I66" s="126">
        <f>SUMIFS(DWbonus[[Sum]:[Sum]],DWbonus[[Dato]:[Dato]], "&gt;="&amp;I$8,DWbonus[[Dato]:[Dato]],"&lt;="&amp;EOMONTH(I$8,0),DWbonus[[Bookie]:[Bookie]],$A66)+SUMIFS(LayTable[[Faktisk res]:[Faktisk res]],LayTable[[Dato]:[Dato]],"&gt;="&amp;I$8,LayTable[[Dato]:[Dato]],"&lt;="&amp;EOMONTH(I$8,0),LayTable[[Bookmaker]:[Bookmaker]],$A66)+SUMIFS(BetTable[[AR_per_bookie]:[AR_per_bookie]],BetTable[[B1]:[B1]],$A66,BetTable[[Date]:[Date]], "&gt;="&amp;I$8,BetTable[[Date]:[Date]],"&lt;="&amp;EOMONTH(I$8,0))+SUMIFS(BetTable[[AR_per_bookie]:[AR_per_bookie]],BetTable[[B2]:[B2]],$A66,BetTable[[Date]:[Date]], "&gt;="&amp;I$8,BetTable[[Date]:[Date]],"&lt;="&amp;EOMONTH(I$8,0))+SUMIFS(BetTable[[AR_per_bookie]:[AR_per_bookie]],BetTable[[B3]:[B3]],$A66,BetTable[[Date]:[Date]], "&gt;="&amp;I$8,BetTable[[Date]:[Date]],"&lt;="&amp;EOMONTH(I$8,0))</f>
        <v>0</v>
      </c>
      <c r="J66" s="126">
        <f>SUMIFS(DWbonus[[Sum]:[Sum]],DWbonus[[Dato]:[Dato]], "&gt;="&amp;J$8,DWbonus[[Dato]:[Dato]],"&lt;="&amp;EOMONTH(J$8,0),DWbonus[[Bookie]:[Bookie]],$A66)+SUMIFS(LayTable[[Faktisk res]:[Faktisk res]],LayTable[[Dato]:[Dato]],"&gt;="&amp;J$8,LayTable[[Dato]:[Dato]],"&lt;="&amp;EOMONTH(J$8,0),LayTable[[Bookmaker]:[Bookmaker]],$A66)+SUMIFS(BetTable[[AR_per_bookie]:[AR_per_bookie]],BetTable[[B1]:[B1]],$A66,BetTable[[Date]:[Date]], "&gt;="&amp;J$8,BetTable[[Date]:[Date]],"&lt;="&amp;EOMONTH(J$8,0))+SUMIFS(BetTable[[AR_per_bookie]:[AR_per_bookie]],BetTable[[B2]:[B2]],$A66,BetTable[[Date]:[Date]], "&gt;="&amp;J$8,BetTable[[Date]:[Date]],"&lt;="&amp;EOMONTH(J$8,0))+SUMIFS(BetTable[[AR_per_bookie]:[AR_per_bookie]],BetTable[[B3]:[B3]],$A66,BetTable[[Date]:[Date]], "&gt;="&amp;J$8,BetTable[[Date]:[Date]],"&lt;="&amp;EOMONTH(J$8,0))</f>
        <v>0</v>
      </c>
      <c r="K66" s="126">
        <f>SUMIFS(DWbonus[[Sum]:[Sum]],DWbonus[[Dato]:[Dato]], "&gt;="&amp;K$8,DWbonus[[Dato]:[Dato]],"&lt;="&amp;EOMONTH(K$8,0),DWbonus[[Bookie]:[Bookie]],$A66)+SUMIFS(LayTable[[Faktisk res]:[Faktisk res]],LayTable[[Dato]:[Dato]],"&gt;="&amp;K$8,LayTable[[Dato]:[Dato]],"&lt;="&amp;EOMONTH(K$8,0),LayTable[[Bookmaker]:[Bookmaker]],$A66)+SUMIFS(BetTable[[AR_per_bookie]:[AR_per_bookie]],BetTable[[B1]:[B1]],$A66,BetTable[[Date]:[Date]], "&gt;="&amp;K$8,BetTable[[Date]:[Date]],"&lt;="&amp;EOMONTH(K$8,0))+SUMIFS(BetTable[[AR_per_bookie]:[AR_per_bookie]],BetTable[[B2]:[B2]],$A66,BetTable[[Date]:[Date]], "&gt;="&amp;K$8,BetTable[[Date]:[Date]],"&lt;="&amp;EOMONTH(K$8,0))+SUMIFS(BetTable[[AR_per_bookie]:[AR_per_bookie]],BetTable[[B3]:[B3]],$A66,BetTable[[Date]:[Date]], "&gt;="&amp;K$8,BetTable[[Date]:[Date]],"&lt;="&amp;EOMONTH(K$8,0))</f>
        <v>0</v>
      </c>
      <c r="L66" s="126">
        <f>SUMIFS(DWbonus[[Sum]:[Sum]],DWbonus[[Dato]:[Dato]], "&gt;="&amp;L$8,DWbonus[[Dato]:[Dato]],"&lt;="&amp;EOMONTH(L$8,0),DWbonus[[Bookie]:[Bookie]],$A66)+SUMIFS(LayTable[[Faktisk res]:[Faktisk res]],LayTable[[Dato]:[Dato]],"&gt;="&amp;L$8,LayTable[[Dato]:[Dato]],"&lt;="&amp;EOMONTH(L$8,0),LayTable[[Bookmaker]:[Bookmaker]],$A66)+SUMIFS(BetTable[[AR_per_bookie]:[AR_per_bookie]],BetTable[[B1]:[B1]],$A66,BetTable[[Date]:[Date]], "&gt;="&amp;L$8,BetTable[[Date]:[Date]],"&lt;="&amp;EOMONTH(L$8,0))+SUMIFS(BetTable[[AR_per_bookie]:[AR_per_bookie]],BetTable[[B2]:[B2]],$A66,BetTable[[Date]:[Date]], "&gt;="&amp;L$8,BetTable[[Date]:[Date]],"&lt;="&amp;EOMONTH(L$8,0))+SUMIFS(BetTable[[AR_per_bookie]:[AR_per_bookie]],BetTable[[B3]:[B3]],$A66,BetTable[[Date]:[Date]], "&gt;="&amp;L$8,BetTable[[Date]:[Date]],"&lt;="&amp;EOMONTH(L$8,0))</f>
        <v>0</v>
      </c>
      <c r="M66" s="126">
        <f>SUMIFS(DWbonus[[Sum]:[Sum]],DWbonus[[Dato]:[Dato]], "&gt;="&amp;M$8,DWbonus[[Dato]:[Dato]],"&lt;="&amp;EOMONTH(M$8,0),DWbonus[[Bookie]:[Bookie]],$A66)+SUMIFS(LayTable[[Faktisk res]:[Faktisk res]],LayTable[[Dato]:[Dato]],"&gt;="&amp;M$8,LayTable[[Dato]:[Dato]],"&lt;="&amp;EOMONTH(M$8,0),LayTable[[Bookmaker]:[Bookmaker]],$A66)+SUMIFS(BetTable[[AR_per_bookie]:[AR_per_bookie]],BetTable[[B1]:[B1]],$A66,BetTable[[Date]:[Date]], "&gt;="&amp;M$8,BetTable[[Date]:[Date]],"&lt;="&amp;EOMONTH(M$8,0))+SUMIFS(BetTable[[AR_per_bookie]:[AR_per_bookie]],BetTable[[B2]:[B2]],$A66,BetTable[[Date]:[Date]], "&gt;="&amp;M$8,BetTable[[Date]:[Date]],"&lt;="&amp;EOMONTH(M$8,0))+SUMIFS(BetTable[[AR_per_bookie]:[AR_per_bookie]],BetTable[[B3]:[B3]],$A66,BetTable[[Date]:[Date]], "&gt;="&amp;M$8,BetTable[[Date]:[Date]],"&lt;="&amp;EOMONTH(M$8,0))</f>
        <v>0</v>
      </c>
      <c r="N66" s="126">
        <f>SUMIFS(DWbonus[[Sum]:[Sum]],DWbonus[[Dato]:[Dato]], "&gt;="&amp;N$8,DWbonus[[Dato]:[Dato]],"&lt;="&amp;EOMONTH(N$8,0),DWbonus[[Bookie]:[Bookie]],$A66)+SUMIFS(LayTable[[Faktisk res]:[Faktisk res]],LayTable[[Dato]:[Dato]],"&gt;="&amp;N$8,LayTable[[Dato]:[Dato]],"&lt;="&amp;EOMONTH(N$8,0),LayTable[[Bookmaker]:[Bookmaker]],$A66)+SUMIFS(BetTable[[AR_per_bookie]:[AR_per_bookie]],BetTable[[B1]:[B1]],$A66,BetTable[[Date]:[Date]], "&gt;="&amp;N$8,BetTable[[Date]:[Date]],"&lt;="&amp;EOMONTH(N$8,0))+SUMIFS(BetTable[[AR_per_bookie]:[AR_per_bookie]],BetTable[[B2]:[B2]],$A66,BetTable[[Date]:[Date]], "&gt;="&amp;N$8,BetTable[[Date]:[Date]],"&lt;="&amp;EOMONTH(N$8,0))+SUMIFS(BetTable[[AR_per_bookie]:[AR_per_bookie]],BetTable[[B3]:[B3]],$A66,BetTable[[Date]:[Date]], "&gt;="&amp;N$8,BetTable[[Date]:[Date]],"&lt;="&amp;EOMONTH(N$8,0))</f>
        <v>0</v>
      </c>
      <c r="O66" s="126">
        <f>SUMIFS(DWbonus[[Sum]:[Sum]],DWbonus[[Dato]:[Dato]], "&gt;="&amp;O$8,DWbonus[[Dato]:[Dato]],"&lt;="&amp;EOMONTH(O$8,0),DWbonus[[Bookie]:[Bookie]],$A66)+SUMIFS(LayTable[[Faktisk res]:[Faktisk res]],LayTable[[Dato]:[Dato]],"&gt;="&amp;O$8,LayTable[[Dato]:[Dato]],"&lt;="&amp;EOMONTH(O$8,0),LayTable[[Bookmaker]:[Bookmaker]],$A66)+SUMIFS(BetTable[[AR_per_bookie]:[AR_per_bookie]],BetTable[[B1]:[B1]],$A66,BetTable[[Date]:[Date]], "&gt;="&amp;O$8,BetTable[[Date]:[Date]],"&lt;="&amp;EOMONTH(O$8,0))+SUMIFS(BetTable[[AR_per_bookie]:[AR_per_bookie]],BetTable[[B2]:[B2]],$A66,BetTable[[Date]:[Date]], "&gt;="&amp;O$8,BetTable[[Date]:[Date]],"&lt;="&amp;EOMONTH(O$8,0))+SUMIFS(BetTable[[AR_per_bookie]:[AR_per_bookie]],BetTable[[B3]:[B3]],$A66,BetTable[[Date]:[Date]], "&gt;="&amp;O$8,BetTable[[Date]:[Date]],"&lt;="&amp;EOMONTH(O$8,0))</f>
        <v>0</v>
      </c>
      <c r="P66" s="126">
        <f>SUMIFS(DWbonus[[Sum]:[Sum]],DWbonus[[Dato]:[Dato]], "&gt;="&amp;P$8,DWbonus[[Dato]:[Dato]],"&lt;="&amp;EOMONTH(P$8,0),DWbonus[[Bookie]:[Bookie]],$A66)+SUMIFS(LayTable[[Faktisk res]:[Faktisk res]],LayTable[[Dato]:[Dato]],"&gt;="&amp;P$8,LayTable[[Dato]:[Dato]],"&lt;="&amp;EOMONTH(P$8,0),LayTable[[Bookmaker]:[Bookmaker]],$A66)+SUMIFS(BetTable[[AR_per_bookie]:[AR_per_bookie]],BetTable[[B1]:[B1]],$A66,BetTable[[Date]:[Date]], "&gt;="&amp;P$8,BetTable[[Date]:[Date]],"&lt;="&amp;EOMONTH(P$8,0))+SUMIFS(BetTable[[AR_per_bookie]:[AR_per_bookie]],BetTable[[B2]:[B2]],$A66,BetTable[[Date]:[Date]], "&gt;="&amp;P$8,BetTable[[Date]:[Date]],"&lt;="&amp;EOMONTH(P$8,0))+SUMIFS(BetTable[[AR_per_bookie]:[AR_per_bookie]],BetTable[[B3]:[B3]],$A66,BetTable[[Date]:[Date]], "&gt;="&amp;P$8,BetTable[[Date]:[Date]],"&lt;="&amp;EOMONTH(P$8,0))</f>
        <v>0</v>
      </c>
      <c r="Q66" s="126">
        <f>SUMIFS(DWbonus[[Sum]:[Sum]],DWbonus[[Dato]:[Dato]], "&gt;="&amp;Q$8,DWbonus[[Dato]:[Dato]],"&lt;="&amp;EOMONTH(Q$8,0),DWbonus[[Bookie]:[Bookie]],$A66)+SUMIFS(LayTable[[Faktisk res]:[Faktisk res]],LayTable[[Dato]:[Dato]],"&gt;="&amp;Q$8,LayTable[[Dato]:[Dato]],"&lt;="&amp;EOMONTH(Q$8,0),LayTable[[Bookmaker]:[Bookmaker]],$A66)+SUMIFS(BetTable[[AR_per_bookie]:[AR_per_bookie]],BetTable[[B1]:[B1]],$A66,BetTable[[Date]:[Date]], "&gt;="&amp;Q$8,BetTable[[Date]:[Date]],"&lt;="&amp;EOMONTH(Q$8,0))+SUMIFS(BetTable[[AR_per_bookie]:[AR_per_bookie]],BetTable[[B2]:[B2]],$A66,BetTable[[Date]:[Date]], "&gt;="&amp;Q$8,BetTable[[Date]:[Date]],"&lt;="&amp;EOMONTH(Q$8,0))+SUMIFS(BetTable[[AR_per_bookie]:[AR_per_bookie]],BetTable[[B3]:[B3]],$A66,BetTable[[Date]:[Date]], "&gt;="&amp;Q$8,BetTable[[Date]:[Date]],"&lt;="&amp;EOMONTH(Q$8,0))</f>
        <v>0</v>
      </c>
      <c r="R66" s="126">
        <f>SUMIFS(DWbonus[[Sum]:[Sum]],DWbonus[[Dato]:[Dato]], "&gt;="&amp;R$8,DWbonus[[Dato]:[Dato]],"&lt;="&amp;EOMONTH(R$8,0),DWbonus[[Bookie]:[Bookie]],$A66)+SUMIFS(LayTable[[Faktisk res]:[Faktisk res]],LayTable[[Dato]:[Dato]],"&gt;="&amp;R$8,LayTable[[Dato]:[Dato]],"&lt;="&amp;EOMONTH(R$8,0),LayTable[[Bookmaker]:[Bookmaker]],$A66)+SUMIFS(BetTable[[AR_per_bookie]:[AR_per_bookie]],BetTable[[B1]:[B1]],$A66,BetTable[[Date]:[Date]], "&gt;="&amp;R$8,BetTable[[Date]:[Date]],"&lt;="&amp;EOMONTH(R$8,0))+SUMIFS(BetTable[[AR_per_bookie]:[AR_per_bookie]],BetTable[[B2]:[B2]],$A66,BetTable[[Date]:[Date]], "&gt;="&amp;R$8,BetTable[[Date]:[Date]],"&lt;="&amp;EOMONTH(R$8,0))+SUMIFS(BetTable[[AR_per_bookie]:[AR_per_bookie]],BetTable[[B3]:[B3]],$A66,BetTable[[Date]:[Date]], "&gt;="&amp;R$8,BetTable[[Date]:[Date]],"&lt;="&amp;EOMONTH(R$8,0))</f>
        <v>0</v>
      </c>
      <c r="S66" s="126">
        <f>SUMIFS(DWbonus[[Sum]:[Sum]],DWbonus[[Dato]:[Dato]], "&gt;="&amp;S$8,DWbonus[[Dato]:[Dato]],"&lt;="&amp;EOMONTH(S$8,0),DWbonus[[Bookie]:[Bookie]],$A66)+SUMIFS(LayTable[[Faktisk res]:[Faktisk res]],LayTable[[Dato]:[Dato]],"&gt;="&amp;S$8,LayTable[[Dato]:[Dato]],"&lt;="&amp;EOMONTH(S$8,0),LayTable[[Bookmaker]:[Bookmaker]],$A66)+SUMIFS(BetTable[[AR_per_bookie]:[AR_per_bookie]],BetTable[[B1]:[B1]],$A66,BetTable[[Date]:[Date]], "&gt;="&amp;S$8,BetTable[[Date]:[Date]],"&lt;="&amp;EOMONTH(S$8,0))+SUMIFS(BetTable[[AR_per_bookie]:[AR_per_bookie]],BetTable[[B2]:[B2]],$A66,BetTable[[Date]:[Date]], "&gt;="&amp;S$8,BetTable[[Date]:[Date]],"&lt;="&amp;EOMONTH(S$8,0))+SUMIFS(BetTable[[AR_per_bookie]:[AR_per_bookie]],BetTable[[B3]:[B3]],$A66,BetTable[[Date]:[Date]], "&gt;="&amp;S$8,BetTable[[Date]:[Date]],"&lt;="&amp;EOMONTH(S$8,0))</f>
        <v>0</v>
      </c>
    </row>
    <row r="67" spans="1:19">
      <c r="A67" s="115" t="str">
        <f>BookieNavn!I59</f>
        <v>Rizk</v>
      </c>
      <c r="B67" s="126">
        <f>SUMIF(Penger!D$1:D$50072,A67,Penger!F$1:F$50072)</f>
        <v>0</v>
      </c>
      <c r="C67" s="126">
        <f>SUMIF(Penger!T$1:T$50072,A67,Penger!U$1:U$50072)</f>
        <v>0</v>
      </c>
      <c r="D67" s="126">
        <f ca="1">SUMIF(Spill!C$1:C$499895,A67,Spill!T$1:T$49895)+C67</f>
        <v>0</v>
      </c>
      <c r="E67" s="126">
        <f>SUMIF(Spill!C$1:C$49895,A67,Spill!T$1:T$49895)</f>
        <v>0</v>
      </c>
      <c r="F67" s="121" t="e">
        <f t="shared" ca="1" si="1"/>
        <v>#DIV/0!</v>
      </c>
      <c r="H67" s="126">
        <f>SUMIFS(DWbonus[[Sum]:[Sum]],DWbonus[[Dato]:[Dato]], "&gt;="&amp;H$8,DWbonus[[Dato]:[Dato]],"&lt;="&amp;EOMONTH(H$8,0),DWbonus[[Bookie]:[Bookie]],$A67)+SUMIFS(LayTable[[Faktisk res]:[Faktisk res]],LayTable[[Dato]:[Dato]],"&gt;="&amp;H$8,LayTable[[Dato]:[Dato]],"&lt;="&amp;EOMONTH(H$8,0),LayTable[[Bookmaker]:[Bookmaker]],$A67)+SUMIFS(BetTable[[AR_per_bookie]:[AR_per_bookie]],BetTable[[B1]:[B1]],$A67,BetTable[[Date]:[Date]], "&gt;="&amp;H$8,BetTable[[Date]:[Date]],"&lt;="&amp;EOMONTH(H$8,0))+SUMIFS(BetTable[[AR_per_bookie]:[AR_per_bookie]],BetTable[[B2]:[B2]],$A67,BetTable[[Date]:[Date]], "&gt;="&amp;H$8,BetTable[[Date]:[Date]],"&lt;="&amp;EOMONTH(H$8,0))+SUMIFS(BetTable[[AR_per_bookie]:[AR_per_bookie]],BetTable[[B3]:[B3]],$A67,BetTable[[Date]:[Date]], "&gt;="&amp;H$8,BetTable[[Date]:[Date]],"&lt;="&amp;EOMONTH(H$8,0))</f>
        <v>0</v>
      </c>
      <c r="I67" s="126">
        <f>SUMIFS(DWbonus[[Sum]:[Sum]],DWbonus[[Dato]:[Dato]], "&gt;="&amp;I$8,DWbonus[[Dato]:[Dato]],"&lt;="&amp;EOMONTH(I$8,0),DWbonus[[Bookie]:[Bookie]],$A67)+SUMIFS(LayTable[[Faktisk res]:[Faktisk res]],LayTable[[Dato]:[Dato]],"&gt;="&amp;I$8,LayTable[[Dato]:[Dato]],"&lt;="&amp;EOMONTH(I$8,0),LayTable[[Bookmaker]:[Bookmaker]],$A67)+SUMIFS(BetTable[[AR_per_bookie]:[AR_per_bookie]],BetTable[[B1]:[B1]],$A67,BetTable[[Date]:[Date]], "&gt;="&amp;I$8,BetTable[[Date]:[Date]],"&lt;="&amp;EOMONTH(I$8,0))+SUMIFS(BetTable[[AR_per_bookie]:[AR_per_bookie]],BetTable[[B2]:[B2]],$A67,BetTable[[Date]:[Date]], "&gt;="&amp;I$8,BetTable[[Date]:[Date]],"&lt;="&amp;EOMONTH(I$8,0))+SUMIFS(BetTable[[AR_per_bookie]:[AR_per_bookie]],BetTable[[B3]:[B3]],$A67,BetTable[[Date]:[Date]], "&gt;="&amp;I$8,BetTable[[Date]:[Date]],"&lt;="&amp;EOMONTH(I$8,0))</f>
        <v>0</v>
      </c>
      <c r="J67" s="126">
        <f>SUMIFS(DWbonus[[Sum]:[Sum]],DWbonus[[Dato]:[Dato]], "&gt;="&amp;J$8,DWbonus[[Dato]:[Dato]],"&lt;="&amp;EOMONTH(J$8,0),DWbonus[[Bookie]:[Bookie]],$A67)+SUMIFS(LayTable[[Faktisk res]:[Faktisk res]],LayTable[[Dato]:[Dato]],"&gt;="&amp;J$8,LayTable[[Dato]:[Dato]],"&lt;="&amp;EOMONTH(J$8,0),LayTable[[Bookmaker]:[Bookmaker]],$A67)+SUMIFS(BetTable[[AR_per_bookie]:[AR_per_bookie]],BetTable[[B1]:[B1]],$A67,BetTable[[Date]:[Date]], "&gt;="&amp;J$8,BetTable[[Date]:[Date]],"&lt;="&amp;EOMONTH(J$8,0))+SUMIFS(BetTable[[AR_per_bookie]:[AR_per_bookie]],BetTable[[B2]:[B2]],$A67,BetTable[[Date]:[Date]], "&gt;="&amp;J$8,BetTable[[Date]:[Date]],"&lt;="&amp;EOMONTH(J$8,0))+SUMIFS(BetTable[[AR_per_bookie]:[AR_per_bookie]],BetTable[[B3]:[B3]],$A67,BetTable[[Date]:[Date]], "&gt;="&amp;J$8,BetTable[[Date]:[Date]],"&lt;="&amp;EOMONTH(J$8,0))</f>
        <v>0</v>
      </c>
      <c r="K67" s="126">
        <f>SUMIFS(DWbonus[[Sum]:[Sum]],DWbonus[[Dato]:[Dato]], "&gt;="&amp;K$8,DWbonus[[Dato]:[Dato]],"&lt;="&amp;EOMONTH(K$8,0),DWbonus[[Bookie]:[Bookie]],$A67)+SUMIFS(LayTable[[Faktisk res]:[Faktisk res]],LayTable[[Dato]:[Dato]],"&gt;="&amp;K$8,LayTable[[Dato]:[Dato]],"&lt;="&amp;EOMONTH(K$8,0),LayTable[[Bookmaker]:[Bookmaker]],$A67)+SUMIFS(BetTable[[AR_per_bookie]:[AR_per_bookie]],BetTable[[B1]:[B1]],$A67,BetTable[[Date]:[Date]], "&gt;="&amp;K$8,BetTable[[Date]:[Date]],"&lt;="&amp;EOMONTH(K$8,0))+SUMIFS(BetTable[[AR_per_bookie]:[AR_per_bookie]],BetTable[[B2]:[B2]],$A67,BetTable[[Date]:[Date]], "&gt;="&amp;K$8,BetTable[[Date]:[Date]],"&lt;="&amp;EOMONTH(K$8,0))+SUMIFS(BetTable[[AR_per_bookie]:[AR_per_bookie]],BetTable[[B3]:[B3]],$A67,BetTable[[Date]:[Date]], "&gt;="&amp;K$8,BetTable[[Date]:[Date]],"&lt;="&amp;EOMONTH(K$8,0))</f>
        <v>0</v>
      </c>
      <c r="L67" s="126">
        <f>SUMIFS(DWbonus[[Sum]:[Sum]],DWbonus[[Dato]:[Dato]], "&gt;="&amp;L$8,DWbonus[[Dato]:[Dato]],"&lt;="&amp;EOMONTH(L$8,0),DWbonus[[Bookie]:[Bookie]],$A67)+SUMIFS(LayTable[[Faktisk res]:[Faktisk res]],LayTable[[Dato]:[Dato]],"&gt;="&amp;L$8,LayTable[[Dato]:[Dato]],"&lt;="&amp;EOMONTH(L$8,0),LayTable[[Bookmaker]:[Bookmaker]],$A67)+SUMIFS(BetTable[[AR_per_bookie]:[AR_per_bookie]],BetTable[[B1]:[B1]],$A67,BetTable[[Date]:[Date]], "&gt;="&amp;L$8,BetTable[[Date]:[Date]],"&lt;="&amp;EOMONTH(L$8,0))+SUMIFS(BetTable[[AR_per_bookie]:[AR_per_bookie]],BetTable[[B2]:[B2]],$A67,BetTable[[Date]:[Date]], "&gt;="&amp;L$8,BetTable[[Date]:[Date]],"&lt;="&amp;EOMONTH(L$8,0))+SUMIFS(BetTable[[AR_per_bookie]:[AR_per_bookie]],BetTable[[B3]:[B3]],$A67,BetTable[[Date]:[Date]], "&gt;="&amp;L$8,BetTable[[Date]:[Date]],"&lt;="&amp;EOMONTH(L$8,0))</f>
        <v>0</v>
      </c>
      <c r="M67" s="126">
        <f>SUMIFS(DWbonus[[Sum]:[Sum]],DWbonus[[Dato]:[Dato]], "&gt;="&amp;M$8,DWbonus[[Dato]:[Dato]],"&lt;="&amp;EOMONTH(M$8,0),DWbonus[[Bookie]:[Bookie]],$A67)+SUMIFS(LayTable[[Faktisk res]:[Faktisk res]],LayTable[[Dato]:[Dato]],"&gt;="&amp;M$8,LayTable[[Dato]:[Dato]],"&lt;="&amp;EOMONTH(M$8,0),LayTable[[Bookmaker]:[Bookmaker]],$A67)+SUMIFS(BetTable[[AR_per_bookie]:[AR_per_bookie]],BetTable[[B1]:[B1]],$A67,BetTable[[Date]:[Date]], "&gt;="&amp;M$8,BetTable[[Date]:[Date]],"&lt;="&amp;EOMONTH(M$8,0))+SUMIFS(BetTable[[AR_per_bookie]:[AR_per_bookie]],BetTable[[B2]:[B2]],$A67,BetTable[[Date]:[Date]], "&gt;="&amp;M$8,BetTable[[Date]:[Date]],"&lt;="&amp;EOMONTH(M$8,0))+SUMIFS(BetTable[[AR_per_bookie]:[AR_per_bookie]],BetTable[[B3]:[B3]],$A67,BetTable[[Date]:[Date]], "&gt;="&amp;M$8,BetTable[[Date]:[Date]],"&lt;="&amp;EOMONTH(M$8,0))</f>
        <v>0</v>
      </c>
      <c r="N67" s="126">
        <f>SUMIFS(DWbonus[[Sum]:[Sum]],DWbonus[[Dato]:[Dato]], "&gt;="&amp;N$8,DWbonus[[Dato]:[Dato]],"&lt;="&amp;EOMONTH(N$8,0),DWbonus[[Bookie]:[Bookie]],$A67)+SUMIFS(LayTable[[Faktisk res]:[Faktisk res]],LayTable[[Dato]:[Dato]],"&gt;="&amp;N$8,LayTable[[Dato]:[Dato]],"&lt;="&amp;EOMONTH(N$8,0),LayTable[[Bookmaker]:[Bookmaker]],$A67)+SUMIFS(BetTable[[AR_per_bookie]:[AR_per_bookie]],BetTable[[B1]:[B1]],$A67,BetTable[[Date]:[Date]], "&gt;="&amp;N$8,BetTable[[Date]:[Date]],"&lt;="&amp;EOMONTH(N$8,0))+SUMIFS(BetTable[[AR_per_bookie]:[AR_per_bookie]],BetTable[[B2]:[B2]],$A67,BetTable[[Date]:[Date]], "&gt;="&amp;N$8,BetTable[[Date]:[Date]],"&lt;="&amp;EOMONTH(N$8,0))+SUMIFS(BetTable[[AR_per_bookie]:[AR_per_bookie]],BetTable[[B3]:[B3]],$A67,BetTable[[Date]:[Date]], "&gt;="&amp;N$8,BetTable[[Date]:[Date]],"&lt;="&amp;EOMONTH(N$8,0))</f>
        <v>0</v>
      </c>
      <c r="O67" s="126">
        <f>SUMIFS(DWbonus[[Sum]:[Sum]],DWbonus[[Dato]:[Dato]], "&gt;="&amp;O$8,DWbonus[[Dato]:[Dato]],"&lt;="&amp;EOMONTH(O$8,0),DWbonus[[Bookie]:[Bookie]],$A67)+SUMIFS(LayTable[[Faktisk res]:[Faktisk res]],LayTable[[Dato]:[Dato]],"&gt;="&amp;O$8,LayTable[[Dato]:[Dato]],"&lt;="&amp;EOMONTH(O$8,0),LayTable[[Bookmaker]:[Bookmaker]],$A67)+SUMIFS(BetTable[[AR_per_bookie]:[AR_per_bookie]],BetTable[[B1]:[B1]],$A67,BetTable[[Date]:[Date]], "&gt;="&amp;O$8,BetTable[[Date]:[Date]],"&lt;="&amp;EOMONTH(O$8,0))+SUMIFS(BetTable[[AR_per_bookie]:[AR_per_bookie]],BetTable[[B2]:[B2]],$A67,BetTable[[Date]:[Date]], "&gt;="&amp;O$8,BetTable[[Date]:[Date]],"&lt;="&amp;EOMONTH(O$8,0))+SUMIFS(BetTable[[AR_per_bookie]:[AR_per_bookie]],BetTable[[B3]:[B3]],$A67,BetTable[[Date]:[Date]], "&gt;="&amp;O$8,BetTable[[Date]:[Date]],"&lt;="&amp;EOMONTH(O$8,0))</f>
        <v>0</v>
      </c>
      <c r="P67" s="126">
        <f>SUMIFS(DWbonus[[Sum]:[Sum]],DWbonus[[Dato]:[Dato]], "&gt;="&amp;P$8,DWbonus[[Dato]:[Dato]],"&lt;="&amp;EOMONTH(P$8,0),DWbonus[[Bookie]:[Bookie]],$A67)+SUMIFS(LayTable[[Faktisk res]:[Faktisk res]],LayTable[[Dato]:[Dato]],"&gt;="&amp;P$8,LayTable[[Dato]:[Dato]],"&lt;="&amp;EOMONTH(P$8,0),LayTable[[Bookmaker]:[Bookmaker]],$A67)+SUMIFS(BetTable[[AR_per_bookie]:[AR_per_bookie]],BetTable[[B1]:[B1]],$A67,BetTable[[Date]:[Date]], "&gt;="&amp;P$8,BetTable[[Date]:[Date]],"&lt;="&amp;EOMONTH(P$8,0))+SUMIFS(BetTable[[AR_per_bookie]:[AR_per_bookie]],BetTable[[B2]:[B2]],$A67,BetTable[[Date]:[Date]], "&gt;="&amp;P$8,BetTable[[Date]:[Date]],"&lt;="&amp;EOMONTH(P$8,0))+SUMIFS(BetTable[[AR_per_bookie]:[AR_per_bookie]],BetTable[[B3]:[B3]],$A67,BetTable[[Date]:[Date]], "&gt;="&amp;P$8,BetTable[[Date]:[Date]],"&lt;="&amp;EOMONTH(P$8,0))</f>
        <v>0</v>
      </c>
      <c r="Q67" s="126">
        <f>SUMIFS(DWbonus[[Sum]:[Sum]],DWbonus[[Dato]:[Dato]], "&gt;="&amp;Q$8,DWbonus[[Dato]:[Dato]],"&lt;="&amp;EOMONTH(Q$8,0),DWbonus[[Bookie]:[Bookie]],$A67)+SUMIFS(LayTable[[Faktisk res]:[Faktisk res]],LayTable[[Dato]:[Dato]],"&gt;="&amp;Q$8,LayTable[[Dato]:[Dato]],"&lt;="&amp;EOMONTH(Q$8,0),LayTable[[Bookmaker]:[Bookmaker]],$A67)+SUMIFS(BetTable[[AR_per_bookie]:[AR_per_bookie]],BetTable[[B1]:[B1]],$A67,BetTable[[Date]:[Date]], "&gt;="&amp;Q$8,BetTable[[Date]:[Date]],"&lt;="&amp;EOMONTH(Q$8,0))+SUMIFS(BetTable[[AR_per_bookie]:[AR_per_bookie]],BetTable[[B2]:[B2]],$A67,BetTable[[Date]:[Date]], "&gt;="&amp;Q$8,BetTable[[Date]:[Date]],"&lt;="&amp;EOMONTH(Q$8,0))+SUMIFS(BetTable[[AR_per_bookie]:[AR_per_bookie]],BetTable[[B3]:[B3]],$A67,BetTable[[Date]:[Date]], "&gt;="&amp;Q$8,BetTable[[Date]:[Date]],"&lt;="&amp;EOMONTH(Q$8,0))</f>
        <v>0</v>
      </c>
      <c r="R67" s="126">
        <f>SUMIFS(DWbonus[[Sum]:[Sum]],DWbonus[[Dato]:[Dato]], "&gt;="&amp;R$8,DWbonus[[Dato]:[Dato]],"&lt;="&amp;EOMONTH(R$8,0),DWbonus[[Bookie]:[Bookie]],$A67)+SUMIFS(LayTable[[Faktisk res]:[Faktisk res]],LayTable[[Dato]:[Dato]],"&gt;="&amp;R$8,LayTable[[Dato]:[Dato]],"&lt;="&amp;EOMONTH(R$8,0),LayTable[[Bookmaker]:[Bookmaker]],$A67)+SUMIFS(BetTable[[AR_per_bookie]:[AR_per_bookie]],BetTable[[B1]:[B1]],$A67,BetTable[[Date]:[Date]], "&gt;="&amp;R$8,BetTable[[Date]:[Date]],"&lt;="&amp;EOMONTH(R$8,0))+SUMIFS(BetTable[[AR_per_bookie]:[AR_per_bookie]],BetTable[[B2]:[B2]],$A67,BetTable[[Date]:[Date]], "&gt;="&amp;R$8,BetTable[[Date]:[Date]],"&lt;="&amp;EOMONTH(R$8,0))+SUMIFS(BetTable[[AR_per_bookie]:[AR_per_bookie]],BetTable[[B3]:[B3]],$A67,BetTable[[Date]:[Date]], "&gt;="&amp;R$8,BetTable[[Date]:[Date]],"&lt;="&amp;EOMONTH(R$8,0))</f>
        <v>0</v>
      </c>
      <c r="S67" s="126">
        <f>SUMIFS(DWbonus[[Sum]:[Sum]],DWbonus[[Dato]:[Dato]], "&gt;="&amp;S$8,DWbonus[[Dato]:[Dato]],"&lt;="&amp;EOMONTH(S$8,0),DWbonus[[Bookie]:[Bookie]],$A67)+SUMIFS(LayTable[[Faktisk res]:[Faktisk res]],LayTable[[Dato]:[Dato]],"&gt;="&amp;S$8,LayTable[[Dato]:[Dato]],"&lt;="&amp;EOMONTH(S$8,0),LayTable[[Bookmaker]:[Bookmaker]],$A67)+SUMIFS(BetTable[[AR_per_bookie]:[AR_per_bookie]],BetTable[[B1]:[B1]],$A67,BetTable[[Date]:[Date]], "&gt;="&amp;S$8,BetTable[[Date]:[Date]],"&lt;="&amp;EOMONTH(S$8,0))+SUMIFS(BetTable[[AR_per_bookie]:[AR_per_bookie]],BetTable[[B2]:[B2]],$A67,BetTable[[Date]:[Date]], "&gt;="&amp;S$8,BetTable[[Date]:[Date]],"&lt;="&amp;EOMONTH(S$8,0))+SUMIFS(BetTable[[AR_per_bookie]:[AR_per_bookie]],BetTable[[B3]:[B3]],$A67,BetTable[[Date]:[Date]], "&gt;="&amp;S$8,BetTable[[Date]:[Date]],"&lt;="&amp;EOMONTH(S$8,0))</f>
        <v>0</v>
      </c>
    </row>
    <row r="68" spans="1:19">
      <c r="A68" s="115" t="str">
        <f>BookieNavn!I60</f>
        <v>SBOBet</v>
      </c>
      <c r="B68" s="126">
        <f>SUMIF(Penger!D$1:D$50072,A68,Penger!F$1:F$50072)</f>
        <v>0</v>
      </c>
      <c r="C68" s="126">
        <f>SUMIF(Penger!T$1:T$50072,A68,Penger!U$1:U$50072)</f>
        <v>0</v>
      </c>
      <c r="D68" s="126">
        <f ca="1">SUMIF(Spill!C$1:C$499895,A68,Spill!T$1:T$49895)+C68</f>
        <v>0</v>
      </c>
      <c r="E68" s="126">
        <f>SUMIF(Spill!C$1:C$49895,A68,Spill!T$1:T$49895)</f>
        <v>0</v>
      </c>
      <c r="F68" s="121" t="e">
        <f t="shared" ca="1" si="1"/>
        <v>#DIV/0!</v>
      </c>
      <c r="H68" s="126">
        <f>SUMIFS(DWbonus[[Sum]:[Sum]],DWbonus[[Dato]:[Dato]], "&gt;="&amp;H$8,DWbonus[[Dato]:[Dato]],"&lt;="&amp;EOMONTH(H$8,0),DWbonus[[Bookie]:[Bookie]],$A68)+SUMIFS(LayTable[[Faktisk res]:[Faktisk res]],LayTable[[Dato]:[Dato]],"&gt;="&amp;H$8,LayTable[[Dato]:[Dato]],"&lt;="&amp;EOMONTH(H$8,0),LayTable[[Bookmaker]:[Bookmaker]],$A68)+SUMIFS(BetTable[[AR_per_bookie]:[AR_per_bookie]],BetTable[[B1]:[B1]],$A68,BetTable[[Date]:[Date]], "&gt;="&amp;H$8,BetTable[[Date]:[Date]],"&lt;="&amp;EOMONTH(H$8,0))+SUMIFS(BetTable[[AR_per_bookie]:[AR_per_bookie]],BetTable[[B2]:[B2]],$A68,BetTable[[Date]:[Date]], "&gt;="&amp;H$8,BetTable[[Date]:[Date]],"&lt;="&amp;EOMONTH(H$8,0))+SUMIFS(BetTable[[AR_per_bookie]:[AR_per_bookie]],BetTable[[B3]:[B3]],$A68,BetTable[[Date]:[Date]], "&gt;="&amp;H$8,BetTable[[Date]:[Date]],"&lt;="&amp;EOMONTH(H$8,0))</f>
        <v>0</v>
      </c>
      <c r="I68" s="126">
        <f>SUMIFS(DWbonus[[Sum]:[Sum]],DWbonus[[Dato]:[Dato]], "&gt;="&amp;I$8,DWbonus[[Dato]:[Dato]],"&lt;="&amp;EOMONTH(I$8,0),DWbonus[[Bookie]:[Bookie]],$A68)+SUMIFS(LayTable[[Faktisk res]:[Faktisk res]],LayTable[[Dato]:[Dato]],"&gt;="&amp;I$8,LayTable[[Dato]:[Dato]],"&lt;="&amp;EOMONTH(I$8,0),LayTable[[Bookmaker]:[Bookmaker]],$A68)+SUMIFS(BetTable[[AR_per_bookie]:[AR_per_bookie]],BetTable[[B1]:[B1]],$A68,BetTable[[Date]:[Date]], "&gt;="&amp;I$8,BetTable[[Date]:[Date]],"&lt;="&amp;EOMONTH(I$8,0))+SUMIFS(BetTable[[AR_per_bookie]:[AR_per_bookie]],BetTable[[B2]:[B2]],$A68,BetTable[[Date]:[Date]], "&gt;="&amp;I$8,BetTable[[Date]:[Date]],"&lt;="&amp;EOMONTH(I$8,0))+SUMIFS(BetTable[[AR_per_bookie]:[AR_per_bookie]],BetTable[[B3]:[B3]],$A68,BetTable[[Date]:[Date]], "&gt;="&amp;I$8,BetTable[[Date]:[Date]],"&lt;="&amp;EOMONTH(I$8,0))</f>
        <v>0</v>
      </c>
      <c r="J68" s="126">
        <f>SUMIFS(DWbonus[[Sum]:[Sum]],DWbonus[[Dato]:[Dato]], "&gt;="&amp;J$8,DWbonus[[Dato]:[Dato]],"&lt;="&amp;EOMONTH(J$8,0),DWbonus[[Bookie]:[Bookie]],$A68)+SUMIFS(LayTable[[Faktisk res]:[Faktisk res]],LayTable[[Dato]:[Dato]],"&gt;="&amp;J$8,LayTable[[Dato]:[Dato]],"&lt;="&amp;EOMONTH(J$8,0),LayTable[[Bookmaker]:[Bookmaker]],$A68)+SUMIFS(BetTable[[AR_per_bookie]:[AR_per_bookie]],BetTable[[B1]:[B1]],$A68,BetTable[[Date]:[Date]], "&gt;="&amp;J$8,BetTable[[Date]:[Date]],"&lt;="&amp;EOMONTH(J$8,0))+SUMIFS(BetTable[[AR_per_bookie]:[AR_per_bookie]],BetTable[[B2]:[B2]],$A68,BetTable[[Date]:[Date]], "&gt;="&amp;J$8,BetTable[[Date]:[Date]],"&lt;="&amp;EOMONTH(J$8,0))+SUMIFS(BetTable[[AR_per_bookie]:[AR_per_bookie]],BetTable[[B3]:[B3]],$A68,BetTable[[Date]:[Date]], "&gt;="&amp;J$8,BetTable[[Date]:[Date]],"&lt;="&amp;EOMONTH(J$8,0))</f>
        <v>0</v>
      </c>
      <c r="K68" s="126">
        <f>SUMIFS(DWbonus[[Sum]:[Sum]],DWbonus[[Dato]:[Dato]], "&gt;="&amp;K$8,DWbonus[[Dato]:[Dato]],"&lt;="&amp;EOMONTH(K$8,0),DWbonus[[Bookie]:[Bookie]],$A68)+SUMIFS(LayTable[[Faktisk res]:[Faktisk res]],LayTable[[Dato]:[Dato]],"&gt;="&amp;K$8,LayTable[[Dato]:[Dato]],"&lt;="&amp;EOMONTH(K$8,0),LayTable[[Bookmaker]:[Bookmaker]],$A68)+SUMIFS(BetTable[[AR_per_bookie]:[AR_per_bookie]],BetTable[[B1]:[B1]],$A68,BetTable[[Date]:[Date]], "&gt;="&amp;K$8,BetTable[[Date]:[Date]],"&lt;="&amp;EOMONTH(K$8,0))+SUMIFS(BetTable[[AR_per_bookie]:[AR_per_bookie]],BetTable[[B2]:[B2]],$A68,BetTable[[Date]:[Date]], "&gt;="&amp;K$8,BetTable[[Date]:[Date]],"&lt;="&amp;EOMONTH(K$8,0))+SUMIFS(BetTable[[AR_per_bookie]:[AR_per_bookie]],BetTable[[B3]:[B3]],$A68,BetTable[[Date]:[Date]], "&gt;="&amp;K$8,BetTable[[Date]:[Date]],"&lt;="&amp;EOMONTH(K$8,0))</f>
        <v>0</v>
      </c>
      <c r="L68" s="126">
        <f>SUMIFS(DWbonus[[Sum]:[Sum]],DWbonus[[Dato]:[Dato]], "&gt;="&amp;L$8,DWbonus[[Dato]:[Dato]],"&lt;="&amp;EOMONTH(L$8,0),DWbonus[[Bookie]:[Bookie]],$A68)+SUMIFS(LayTable[[Faktisk res]:[Faktisk res]],LayTable[[Dato]:[Dato]],"&gt;="&amp;L$8,LayTable[[Dato]:[Dato]],"&lt;="&amp;EOMONTH(L$8,0),LayTable[[Bookmaker]:[Bookmaker]],$A68)+SUMIFS(BetTable[[AR_per_bookie]:[AR_per_bookie]],BetTable[[B1]:[B1]],$A68,BetTable[[Date]:[Date]], "&gt;="&amp;L$8,BetTable[[Date]:[Date]],"&lt;="&amp;EOMONTH(L$8,0))+SUMIFS(BetTable[[AR_per_bookie]:[AR_per_bookie]],BetTable[[B2]:[B2]],$A68,BetTable[[Date]:[Date]], "&gt;="&amp;L$8,BetTable[[Date]:[Date]],"&lt;="&amp;EOMONTH(L$8,0))+SUMIFS(BetTable[[AR_per_bookie]:[AR_per_bookie]],BetTable[[B3]:[B3]],$A68,BetTable[[Date]:[Date]], "&gt;="&amp;L$8,BetTable[[Date]:[Date]],"&lt;="&amp;EOMONTH(L$8,0))</f>
        <v>0</v>
      </c>
      <c r="M68" s="126">
        <f>SUMIFS(DWbonus[[Sum]:[Sum]],DWbonus[[Dato]:[Dato]], "&gt;="&amp;M$8,DWbonus[[Dato]:[Dato]],"&lt;="&amp;EOMONTH(M$8,0),DWbonus[[Bookie]:[Bookie]],$A68)+SUMIFS(LayTable[[Faktisk res]:[Faktisk res]],LayTable[[Dato]:[Dato]],"&gt;="&amp;M$8,LayTable[[Dato]:[Dato]],"&lt;="&amp;EOMONTH(M$8,0),LayTable[[Bookmaker]:[Bookmaker]],$A68)+SUMIFS(BetTable[[AR_per_bookie]:[AR_per_bookie]],BetTable[[B1]:[B1]],$A68,BetTable[[Date]:[Date]], "&gt;="&amp;M$8,BetTable[[Date]:[Date]],"&lt;="&amp;EOMONTH(M$8,0))+SUMIFS(BetTable[[AR_per_bookie]:[AR_per_bookie]],BetTable[[B2]:[B2]],$A68,BetTable[[Date]:[Date]], "&gt;="&amp;M$8,BetTable[[Date]:[Date]],"&lt;="&amp;EOMONTH(M$8,0))+SUMIFS(BetTable[[AR_per_bookie]:[AR_per_bookie]],BetTable[[B3]:[B3]],$A68,BetTable[[Date]:[Date]], "&gt;="&amp;M$8,BetTable[[Date]:[Date]],"&lt;="&amp;EOMONTH(M$8,0))</f>
        <v>0</v>
      </c>
      <c r="N68" s="126">
        <f>SUMIFS(DWbonus[[Sum]:[Sum]],DWbonus[[Dato]:[Dato]], "&gt;="&amp;N$8,DWbonus[[Dato]:[Dato]],"&lt;="&amp;EOMONTH(N$8,0),DWbonus[[Bookie]:[Bookie]],$A68)+SUMIFS(LayTable[[Faktisk res]:[Faktisk res]],LayTable[[Dato]:[Dato]],"&gt;="&amp;N$8,LayTable[[Dato]:[Dato]],"&lt;="&amp;EOMONTH(N$8,0),LayTable[[Bookmaker]:[Bookmaker]],$A68)+SUMIFS(BetTable[[AR_per_bookie]:[AR_per_bookie]],BetTable[[B1]:[B1]],$A68,BetTable[[Date]:[Date]], "&gt;="&amp;N$8,BetTable[[Date]:[Date]],"&lt;="&amp;EOMONTH(N$8,0))+SUMIFS(BetTable[[AR_per_bookie]:[AR_per_bookie]],BetTable[[B2]:[B2]],$A68,BetTable[[Date]:[Date]], "&gt;="&amp;N$8,BetTable[[Date]:[Date]],"&lt;="&amp;EOMONTH(N$8,0))+SUMIFS(BetTable[[AR_per_bookie]:[AR_per_bookie]],BetTable[[B3]:[B3]],$A68,BetTable[[Date]:[Date]], "&gt;="&amp;N$8,BetTable[[Date]:[Date]],"&lt;="&amp;EOMONTH(N$8,0))</f>
        <v>0</v>
      </c>
      <c r="O68" s="126">
        <f>SUMIFS(DWbonus[[Sum]:[Sum]],DWbonus[[Dato]:[Dato]], "&gt;="&amp;O$8,DWbonus[[Dato]:[Dato]],"&lt;="&amp;EOMONTH(O$8,0),DWbonus[[Bookie]:[Bookie]],$A68)+SUMIFS(LayTable[[Faktisk res]:[Faktisk res]],LayTable[[Dato]:[Dato]],"&gt;="&amp;O$8,LayTable[[Dato]:[Dato]],"&lt;="&amp;EOMONTH(O$8,0),LayTable[[Bookmaker]:[Bookmaker]],$A68)+SUMIFS(BetTable[[AR_per_bookie]:[AR_per_bookie]],BetTable[[B1]:[B1]],$A68,BetTable[[Date]:[Date]], "&gt;="&amp;O$8,BetTable[[Date]:[Date]],"&lt;="&amp;EOMONTH(O$8,0))+SUMIFS(BetTable[[AR_per_bookie]:[AR_per_bookie]],BetTable[[B2]:[B2]],$A68,BetTable[[Date]:[Date]], "&gt;="&amp;O$8,BetTable[[Date]:[Date]],"&lt;="&amp;EOMONTH(O$8,0))+SUMIFS(BetTable[[AR_per_bookie]:[AR_per_bookie]],BetTable[[B3]:[B3]],$A68,BetTable[[Date]:[Date]], "&gt;="&amp;O$8,BetTable[[Date]:[Date]],"&lt;="&amp;EOMONTH(O$8,0))</f>
        <v>0</v>
      </c>
      <c r="P68" s="126">
        <f>SUMIFS(DWbonus[[Sum]:[Sum]],DWbonus[[Dato]:[Dato]], "&gt;="&amp;P$8,DWbonus[[Dato]:[Dato]],"&lt;="&amp;EOMONTH(P$8,0),DWbonus[[Bookie]:[Bookie]],$A68)+SUMIFS(LayTable[[Faktisk res]:[Faktisk res]],LayTable[[Dato]:[Dato]],"&gt;="&amp;P$8,LayTable[[Dato]:[Dato]],"&lt;="&amp;EOMONTH(P$8,0),LayTable[[Bookmaker]:[Bookmaker]],$A68)+SUMIFS(BetTable[[AR_per_bookie]:[AR_per_bookie]],BetTable[[B1]:[B1]],$A68,BetTable[[Date]:[Date]], "&gt;="&amp;P$8,BetTable[[Date]:[Date]],"&lt;="&amp;EOMONTH(P$8,0))+SUMIFS(BetTable[[AR_per_bookie]:[AR_per_bookie]],BetTable[[B2]:[B2]],$A68,BetTable[[Date]:[Date]], "&gt;="&amp;P$8,BetTable[[Date]:[Date]],"&lt;="&amp;EOMONTH(P$8,0))+SUMIFS(BetTable[[AR_per_bookie]:[AR_per_bookie]],BetTable[[B3]:[B3]],$A68,BetTable[[Date]:[Date]], "&gt;="&amp;P$8,BetTable[[Date]:[Date]],"&lt;="&amp;EOMONTH(P$8,0))</f>
        <v>0</v>
      </c>
      <c r="Q68" s="126">
        <f>SUMIFS(DWbonus[[Sum]:[Sum]],DWbonus[[Dato]:[Dato]], "&gt;="&amp;Q$8,DWbonus[[Dato]:[Dato]],"&lt;="&amp;EOMONTH(Q$8,0),DWbonus[[Bookie]:[Bookie]],$A68)+SUMIFS(LayTable[[Faktisk res]:[Faktisk res]],LayTable[[Dato]:[Dato]],"&gt;="&amp;Q$8,LayTable[[Dato]:[Dato]],"&lt;="&amp;EOMONTH(Q$8,0),LayTable[[Bookmaker]:[Bookmaker]],$A68)+SUMIFS(BetTable[[AR_per_bookie]:[AR_per_bookie]],BetTable[[B1]:[B1]],$A68,BetTable[[Date]:[Date]], "&gt;="&amp;Q$8,BetTable[[Date]:[Date]],"&lt;="&amp;EOMONTH(Q$8,0))+SUMIFS(BetTable[[AR_per_bookie]:[AR_per_bookie]],BetTable[[B2]:[B2]],$A68,BetTable[[Date]:[Date]], "&gt;="&amp;Q$8,BetTable[[Date]:[Date]],"&lt;="&amp;EOMONTH(Q$8,0))+SUMIFS(BetTable[[AR_per_bookie]:[AR_per_bookie]],BetTable[[B3]:[B3]],$A68,BetTable[[Date]:[Date]], "&gt;="&amp;Q$8,BetTable[[Date]:[Date]],"&lt;="&amp;EOMONTH(Q$8,0))</f>
        <v>0</v>
      </c>
      <c r="R68" s="126">
        <f>SUMIFS(DWbonus[[Sum]:[Sum]],DWbonus[[Dato]:[Dato]], "&gt;="&amp;R$8,DWbonus[[Dato]:[Dato]],"&lt;="&amp;EOMONTH(R$8,0),DWbonus[[Bookie]:[Bookie]],$A68)+SUMIFS(LayTable[[Faktisk res]:[Faktisk res]],LayTable[[Dato]:[Dato]],"&gt;="&amp;R$8,LayTable[[Dato]:[Dato]],"&lt;="&amp;EOMONTH(R$8,0),LayTable[[Bookmaker]:[Bookmaker]],$A68)+SUMIFS(BetTable[[AR_per_bookie]:[AR_per_bookie]],BetTable[[B1]:[B1]],$A68,BetTable[[Date]:[Date]], "&gt;="&amp;R$8,BetTable[[Date]:[Date]],"&lt;="&amp;EOMONTH(R$8,0))+SUMIFS(BetTable[[AR_per_bookie]:[AR_per_bookie]],BetTable[[B2]:[B2]],$A68,BetTable[[Date]:[Date]], "&gt;="&amp;R$8,BetTable[[Date]:[Date]],"&lt;="&amp;EOMONTH(R$8,0))+SUMIFS(BetTable[[AR_per_bookie]:[AR_per_bookie]],BetTable[[B3]:[B3]],$A68,BetTable[[Date]:[Date]], "&gt;="&amp;R$8,BetTable[[Date]:[Date]],"&lt;="&amp;EOMONTH(R$8,0))</f>
        <v>0</v>
      </c>
      <c r="S68" s="126">
        <f>SUMIFS(DWbonus[[Sum]:[Sum]],DWbonus[[Dato]:[Dato]], "&gt;="&amp;S$8,DWbonus[[Dato]:[Dato]],"&lt;="&amp;EOMONTH(S$8,0),DWbonus[[Bookie]:[Bookie]],$A68)+SUMIFS(LayTable[[Faktisk res]:[Faktisk res]],LayTable[[Dato]:[Dato]],"&gt;="&amp;S$8,LayTable[[Dato]:[Dato]],"&lt;="&amp;EOMONTH(S$8,0),LayTable[[Bookmaker]:[Bookmaker]],$A68)+SUMIFS(BetTable[[AR_per_bookie]:[AR_per_bookie]],BetTable[[B1]:[B1]],$A68,BetTable[[Date]:[Date]], "&gt;="&amp;S$8,BetTable[[Date]:[Date]],"&lt;="&amp;EOMONTH(S$8,0))+SUMIFS(BetTable[[AR_per_bookie]:[AR_per_bookie]],BetTable[[B2]:[B2]],$A68,BetTable[[Date]:[Date]], "&gt;="&amp;S$8,BetTable[[Date]:[Date]],"&lt;="&amp;EOMONTH(S$8,0))+SUMIFS(BetTable[[AR_per_bookie]:[AR_per_bookie]],BetTable[[B3]:[B3]],$A68,BetTable[[Date]:[Date]], "&gt;="&amp;S$8,BetTable[[Date]:[Date]],"&lt;="&amp;EOMONTH(S$8,0))</f>
        <v>0</v>
      </c>
    </row>
    <row r="69" spans="1:19">
      <c r="A69" s="115" t="str">
        <f>BookieNavn!I61</f>
        <v>Scandibet</v>
      </c>
      <c r="B69" s="126">
        <f>SUMIF(Penger!D$1:D$50072,A69,Penger!F$1:F$50072)</f>
        <v>0</v>
      </c>
      <c r="C69" s="126">
        <f>SUMIF(Penger!T$1:T$50072,A69,Penger!U$1:U$50072)</f>
        <v>0</v>
      </c>
      <c r="D69" s="126">
        <f ca="1">SUMIF(Spill!C$1:C$499895,A69,Spill!T$1:T$49895)+C69</f>
        <v>0</v>
      </c>
      <c r="E69" s="126">
        <f>SUMIF(Spill!C$1:C$49895,A69,Spill!T$1:T$49895)</f>
        <v>0</v>
      </c>
      <c r="F69" s="121" t="e">
        <f t="shared" ca="1" si="1"/>
        <v>#DIV/0!</v>
      </c>
      <c r="H69" s="126">
        <f>SUMIFS(DWbonus[[Sum]:[Sum]],DWbonus[[Dato]:[Dato]], "&gt;="&amp;H$8,DWbonus[[Dato]:[Dato]],"&lt;="&amp;EOMONTH(H$8,0),DWbonus[[Bookie]:[Bookie]],$A69)+SUMIFS(LayTable[[Faktisk res]:[Faktisk res]],LayTable[[Dato]:[Dato]],"&gt;="&amp;H$8,LayTable[[Dato]:[Dato]],"&lt;="&amp;EOMONTH(H$8,0),LayTable[[Bookmaker]:[Bookmaker]],$A69)+SUMIFS(BetTable[[AR_per_bookie]:[AR_per_bookie]],BetTable[[B1]:[B1]],$A69,BetTable[[Date]:[Date]], "&gt;="&amp;H$8,BetTable[[Date]:[Date]],"&lt;="&amp;EOMONTH(H$8,0))+SUMIFS(BetTable[[AR_per_bookie]:[AR_per_bookie]],BetTable[[B2]:[B2]],$A69,BetTable[[Date]:[Date]], "&gt;="&amp;H$8,BetTable[[Date]:[Date]],"&lt;="&amp;EOMONTH(H$8,0))+SUMIFS(BetTable[[AR_per_bookie]:[AR_per_bookie]],BetTable[[B3]:[B3]],$A69,BetTable[[Date]:[Date]], "&gt;="&amp;H$8,BetTable[[Date]:[Date]],"&lt;="&amp;EOMONTH(H$8,0))</f>
        <v>0</v>
      </c>
      <c r="I69" s="126">
        <f>SUMIFS(DWbonus[[Sum]:[Sum]],DWbonus[[Dato]:[Dato]], "&gt;="&amp;I$8,DWbonus[[Dato]:[Dato]],"&lt;="&amp;EOMONTH(I$8,0),DWbonus[[Bookie]:[Bookie]],$A69)+SUMIFS(LayTable[[Faktisk res]:[Faktisk res]],LayTable[[Dato]:[Dato]],"&gt;="&amp;I$8,LayTable[[Dato]:[Dato]],"&lt;="&amp;EOMONTH(I$8,0),LayTable[[Bookmaker]:[Bookmaker]],$A69)+SUMIFS(BetTable[[AR_per_bookie]:[AR_per_bookie]],BetTable[[B1]:[B1]],$A69,BetTable[[Date]:[Date]], "&gt;="&amp;I$8,BetTable[[Date]:[Date]],"&lt;="&amp;EOMONTH(I$8,0))+SUMIFS(BetTable[[AR_per_bookie]:[AR_per_bookie]],BetTable[[B2]:[B2]],$A69,BetTable[[Date]:[Date]], "&gt;="&amp;I$8,BetTable[[Date]:[Date]],"&lt;="&amp;EOMONTH(I$8,0))+SUMIFS(BetTable[[AR_per_bookie]:[AR_per_bookie]],BetTable[[B3]:[B3]],$A69,BetTable[[Date]:[Date]], "&gt;="&amp;I$8,BetTable[[Date]:[Date]],"&lt;="&amp;EOMONTH(I$8,0))</f>
        <v>0</v>
      </c>
      <c r="J69" s="126">
        <f>SUMIFS(DWbonus[[Sum]:[Sum]],DWbonus[[Dato]:[Dato]], "&gt;="&amp;J$8,DWbonus[[Dato]:[Dato]],"&lt;="&amp;EOMONTH(J$8,0),DWbonus[[Bookie]:[Bookie]],$A69)+SUMIFS(LayTable[[Faktisk res]:[Faktisk res]],LayTable[[Dato]:[Dato]],"&gt;="&amp;J$8,LayTable[[Dato]:[Dato]],"&lt;="&amp;EOMONTH(J$8,0),LayTable[[Bookmaker]:[Bookmaker]],$A69)+SUMIFS(BetTable[[AR_per_bookie]:[AR_per_bookie]],BetTable[[B1]:[B1]],$A69,BetTable[[Date]:[Date]], "&gt;="&amp;J$8,BetTable[[Date]:[Date]],"&lt;="&amp;EOMONTH(J$8,0))+SUMIFS(BetTable[[AR_per_bookie]:[AR_per_bookie]],BetTable[[B2]:[B2]],$A69,BetTable[[Date]:[Date]], "&gt;="&amp;J$8,BetTable[[Date]:[Date]],"&lt;="&amp;EOMONTH(J$8,0))+SUMIFS(BetTable[[AR_per_bookie]:[AR_per_bookie]],BetTable[[B3]:[B3]],$A69,BetTable[[Date]:[Date]], "&gt;="&amp;J$8,BetTable[[Date]:[Date]],"&lt;="&amp;EOMONTH(J$8,0))</f>
        <v>0</v>
      </c>
      <c r="K69" s="126">
        <f>SUMIFS(DWbonus[[Sum]:[Sum]],DWbonus[[Dato]:[Dato]], "&gt;="&amp;K$8,DWbonus[[Dato]:[Dato]],"&lt;="&amp;EOMONTH(K$8,0),DWbonus[[Bookie]:[Bookie]],$A69)+SUMIFS(LayTable[[Faktisk res]:[Faktisk res]],LayTable[[Dato]:[Dato]],"&gt;="&amp;K$8,LayTable[[Dato]:[Dato]],"&lt;="&amp;EOMONTH(K$8,0),LayTable[[Bookmaker]:[Bookmaker]],$A69)+SUMIFS(BetTable[[AR_per_bookie]:[AR_per_bookie]],BetTable[[B1]:[B1]],$A69,BetTable[[Date]:[Date]], "&gt;="&amp;K$8,BetTable[[Date]:[Date]],"&lt;="&amp;EOMONTH(K$8,0))+SUMIFS(BetTable[[AR_per_bookie]:[AR_per_bookie]],BetTable[[B2]:[B2]],$A69,BetTable[[Date]:[Date]], "&gt;="&amp;K$8,BetTable[[Date]:[Date]],"&lt;="&amp;EOMONTH(K$8,0))+SUMIFS(BetTable[[AR_per_bookie]:[AR_per_bookie]],BetTable[[B3]:[B3]],$A69,BetTable[[Date]:[Date]], "&gt;="&amp;K$8,BetTable[[Date]:[Date]],"&lt;="&amp;EOMONTH(K$8,0))</f>
        <v>0</v>
      </c>
      <c r="L69" s="126">
        <f>SUMIFS(DWbonus[[Sum]:[Sum]],DWbonus[[Dato]:[Dato]], "&gt;="&amp;L$8,DWbonus[[Dato]:[Dato]],"&lt;="&amp;EOMONTH(L$8,0),DWbonus[[Bookie]:[Bookie]],$A69)+SUMIFS(LayTable[[Faktisk res]:[Faktisk res]],LayTable[[Dato]:[Dato]],"&gt;="&amp;L$8,LayTable[[Dato]:[Dato]],"&lt;="&amp;EOMONTH(L$8,0),LayTable[[Bookmaker]:[Bookmaker]],$A69)+SUMIFS(BetTable[[AR_per_bookie]:[AR_per_bookie]],BetTable[[B1]:[B1]],$A69,BetTable[[Date]:[Date]], "&gt;="&amp;L$8,BetTable[[Date]:[Date]],"&lt;="&amp;EOMONTH(L$8,0))+SUMIFS(BetTable[[AR_per_bookie]:[AR_per_bookie]],BetTable[[B2]:[B2]],$A69,BetTable[[Date]:[Date]], "&gt;="&amp;L$8,BetTable[[Date]:[Date]],"&lt;="&amp;EOMONTH(L$8,0))+SUMIFS(BetTable[[AR_per_bookie]:[AR_per_bookie]],BetTable[[B3]:[B3]],$A69,BetTable[[Date]:[Date]], "&gt;="&amp;L$8,BetTable[[Date]:[Date]],"&lt;="&amp;EOMONTH(L$8,0))</f>
        <v>0</v>
      </c>
      <c r="M69" s="126">
        <f>SUMIFS(DWbonus[[Sum]:[Sum]],DWbonus[[Dato]:[Dato]], "&gt;="&amp;M$8,DWbonus[[Dato]:[Dato]],"&lt;="&amp;EOMONTH(M$8,0),DWbonus[[Bookie]:[Bookie]],$A69)+SUMIFS(LayTable[[Faktisk res]:[Faktisk res]],LayTable[[Dato]:[Dato]],"&gt;="&amp;M$8,LayTable[[Dato]:[Dato]],"&lt;="&amp;EOMONTH(M$8,0),LayTable[[Bookmaker]:[Bookmaker]],$A69)+SUMIFS(BetTable[[AR_per_bookie]:[AR_per_bookie]],BetTable[[B1]:[B1]],$A69,BetTable[[Date]:[Date]], "&gt;="&amp;M$8,BetTable[[Date]:[Date]],"&lt;="&amp;EOMONTH(M$8,0))+SUMIFS(BetTable[[AR_per_bookie]:[AR_per_bookie]],BetTable[[B2]:[B2]],$A69,BetTable[[Date]:[Date]], "&gt;="&amp;M$8,BetTable[[Date]:[Date]],"&lt;="&amp;EOMONTH(M$8,0))+SUMIFS(BetTable[[AR_per_bookie]:[AR_per_bookie]],BetTable[[B3]:[B3]],$A69,BetTable[[Date]:[Date]], "&gt;="&amp;M$8,BetTable[[Date]:[Date]],"&lt;="&amp;EOMONTH(M$8,0))</f>
        <v>0</v>
      </c>
      <c r="N69" s="126">
        <f>SUMIFS(DWbonus[[Sum]:[Sum]],DWbonus[[Dato]:[Dato]], "&gt;="&amp;N$8,DWbonus[[Dato]:[Dato]],"&lt;="&amp;EOMONTH(N$8,0),DWbonus[[Bookie]:[Bookie]],$A69)+SUMIFS(LayTable[[Faktisk res]:[Faktisk res]],LayTable[[Dato]:[Dato]],"&gt;="&amp;N$8,LayTable[[Dato]:[Dato]],"&lt;="&amp;EOMONTH(N$8,0),LayTable[[Bookmaker]:[Bookmaker]],$A69)+SUMIFS(BetTable[[AR_per_bookie]:[AR_per_bookie]],BetTable[[B1]:[B1]],$A69,BetTable[[Date]:[Date]], "&gt;="&amp;N$8,BetTable[[Date]:[Date]],"&lt;="&amp;EOMONTH(N$8,0))+SUMIFS(BetTable[[AR_per_bookie]:[AR_per_bookie]],BetTable[[B2]:[B2]],$A69,BetTable[[Date]:[Date]], "&gt;="&amp;N$8,BetTable[[Date]:[Date]],"&lt;="&amp;EOMONTH(N$8,0))+SUMIFS(BetTable[[AR_per_bookie]:[AR_per_bookie]],BetTable[[B3]:[B3]],$A69,BetTable[[Date]:[Date]], "&gt;="&amp;N$8,BetTable[[Date]:[Date]],"&lt;="&amp;EOMONTH(N$8,0))</f>
        <v>0</v>
      </c>
      <c r="O69" s="126">
        <f>SUMIFS(DWbonus[[Sum]:[Sum]],DWbonus[[Dato]:[Dato]], "&gt;="&amp;O$8,DWbonus[[Dato]:[Dato]],"&lt;="&amp;EOMONTH(O$8,0),DWbonus[[Bookie]:[Bookie]],$A69)+SUMIFS(LayTable[[Faktisk res]:[Faktisk res]],LayTable[[Dato]:[Dato]],"&gt;="&amp;O$8,LayTable[[Dato]:[Dato]],"&lt;="&amp;EOMONTH(O$8,0),LayTable[[Bookmaker]:[Bookmaker]],$A69)+SUMIFS(BetTable[[AR_per_bookie]:[AR_per_bookie]],BetTable[[B1]:[B1]],$A69,BetTable[[Date]:[Date]], "&gt;="&amp;O$8,BetTable[[Date]:[Date]],"&lt;="&amp;EOMONTH(O$8,0))+SUMIFS(BetTable[[AR_per_bookie]:[AR_per_bookie]],BetTable[[B2]:[B2]],$A69,BetTable[[Date]:[Date]], "&gt;="&amp;O$8,BetTable[[Date]:[Date]],"&lt;="&amp;EOMONTH(O$8,0))+SUMIFS(BetTable[[AR_per_bookie]:[AR_per_bookie]],BetTable[[B3]:[B3]],$A69,BetTable[[Date]:[Date]], "&gt;="&amp;O$8,BetTable[[Date]:[Date]],"&lt;="&amp;EOMONTH(O$8,0))</f>
        <v>0</v>
      </c>
      <c r="P69" s="126">
        <f>SUMIFS(DWbonus[[Sum]:[Sum]],DWbonus[[Dato]:[Dato]], "&gt;="&amp;P$8,DWbonus[[Dato]:[Dato]],"&lt;="&amp;EOMONTH(P$8,0),DWbonus[[Bookie]:[Bookie]],$A69)+SUMIFS(LayTable[[Faktisk res]:[Faktisk res]],LayTable[[Dato]:[Dato]],"&gt;="&amp;P$8,LayTable[[Dato]:[Dato]],"&lt;="&amp;EOMONTH(P$8,0),LayTable[[Bookmaker]:[Bookmaker]],$A69)+SUMIFS(BetTable[[AR_per_bookie]:[AR_per_bookie]],BetTable[[B1]:[B1]],$A69,BetTable[[Date]:[Date]], "&gt;="&amp;P$8,BetTable[[Date]:[Date]],"&lt;="&amp;EOMONTH(P$8,0))+SUMIFS(BetTable[[AR_per_bookie]:[AR_per_bookie]],BetTable[[B2]:[B2]],$A69,BetTable[[Date]:[Date]], "&gt;="&amp;P$8,BetTable[[Date]:[Date]],"&lt;="&amp;EOMONTH(P$8,0))+SUMIFS(BetTable[[AR_per_bookie]:[AR_per_bookie]],BetTable[[B3]:[B3]],$A69,BetTable[[Date]:[Date]], "&gt;="&amp;P$8,BetTable[[Date]:[Date]],"&lt;="&amp;EOMONTH(P$8,0))</f>
        <v>0</v>
      </c>
      <c r="Q69" s="126">
        <f>SUMIFS(DWbonus[[Sum]:[Sum]],DWbonus[[Dato]:[Dato]], "&gt;="&amp;Q$8,DWbonus[[Dato]:[Dato]],"&lt;="&amp;EOMONTH(Q$8,0),DWbonus[[Bookie]:[Bookie]],$A69)+SUMIFS(LayTable[[Faktisk res]:[Faktisk res]],LayTable[[Dato]:[Dato]],"&gt;="&amp;Q$8,LayTable[[Dato]:[Dato]],"&lt;="&amp;EOMONTH(Q$8,0),LayTable[[Bookmaker]:[Bookmaker]],$A69)+SUMIFS(BetTable[[AR_per_bookie]:[AR_per_bookie]],BetTable[[B1]:[B1]],$A69,BetTable[[Date]:[Date]], "&gt;="&amp;Q$8,BetTable[[Date]:[Date]],"&lt;="&amp;EOMONTH(Q$8,0))+SUMIFS(BetTable[[AR_per_bookie]:[AR_per_bookie]],BetTable[[B2]:[B2]],$A69,BetTable[[Date]:[Date]], "&gt;="&amp;Q$8,BetTable[[Date]:[Date]],"&lt;="&amp;EOMONTH(Q$8,0))+SUMIFS(BetTable[[AR_per_bookie]:[AR_per_bookie]],BetTable[[B3]:[B3]],$A69,BetTable[[Date]:[Date]], "&gt;="&amp;Q$8,BetTable[[Date]:[Date]],"&lt;="&amp;EOMONTH(Q$8,0))</f>
        <v>0</v>
      </c>
      <c r="R69" s="126">
        <f>SUMIFS(DWbonus[[Sum]:[Sum]],DWbonus[[Dato]:[Dato]], "&gt;="&amp;R$8,DWbonus[[Dato]:[Dato]],"&lt;="&amp;EOMONTH(R$8,0),DWbonus[[Bookie]:[Bookie]],$A69)+SUMIFS(LayTable[[Faktisk res]:[Faktisk res]],LayTable[[Dato]:[Dato]],"&gt;="&amp;R$8,LayTable[[Dato]:[Dato]],"&lt;="&amp;EOMONTH(R$8,0),LayTable[[Bookmaker]:[Bookmaker]],$A69)+SUMIFS(BetTable[[AR_per_bookie]:[AR_per_bookie]],BetTable[[B1]:[B1]],$A69,BetTable[[Date]:[Date]], "&gt;="&amp;R$8,BetTable[[Date]:[Date]],"&lt;="&amp;EOMONTH(R$8,0))+SUMIFS(BetTable[[AR_per_bookie]:[AR_per_bookie]],BetTable[[B2]:[B2]],$A69,BetTable[[Date]:[Date]], "&gt;="&amp;R$8,BetTable[[Date]:[Date]],"&lt;="&amp;EOMONTH(R$8,0))+SUMIFS(BetTable[[AR_per_bookie]:[AR_per_bookie]],BetTable[[B3]:[B3]],$A69,BetTable[[Date]:[Date]], "&gt;="&amp;R$8,BetTable[[Date]:[Date]],"&lt;="&amp;EOMONTH(R$8,0))</f>
        <v>0</v>
      </c>
      <c r="S69" s="126">
        <f>SUMIFS(DWbonus[[Sum]:[Sum]],DWbonus[[Dato]:[Dato]], "&gt;="&amp;S$8,DWbonus[[Dato]:[Dato]],"&lt;="&amp;EOMONTH(S$8,0),DWbonus[[Bookie]:[Bookie]],$A69)+SUMIFS(LayTable[[Faktisk res]:[Faktisk res]],LayTable[[Dato]:[Dato]],"&gt;="&amp;S$8,LayTable[[Dato]:[Dato]],"&lt;="&amp;EOMONTH(S$8,0),LayTable[[Bookmaker]:[Bookmaker]],$A69)+SUMIFS(BetTable[[AR_per_bookie]:[AR_per_bookie]],BetTable[[B1]:[B1]],$A69,BetTable[[Date]:[Date]], "&gt;="&amp;S$8,BetTable[[Date]:[Date]],"&lt;="&amp;EOMONTH(S$8,0))+SUMIFS(BetTable[[AR_per_bookie]:[AR_per_bookie]],BetTable[[B2]:[B2]],$A69,BetTable[[Date]:[Date]], "&gt;="&amp;S$8,BetTable[[Date]:[Date]],"&lt;="&amp;EOMONTH(S$8,0))+SUMIFS(BetTable[[AR_per_bookie]:[AR_per_bookie]],BetTable[[B3]:[B3]],$A69,BetTable[[Date]:[Date]], "&gt;="&amp;S$8,BetTable[[Date]:[Date]],"&lt;="&amp;EOMONTH(S$8,0))</f>
        <v>0</v>
      </c>
    </row>
    <row r="70" spans="1:19">
      <c r="A70" s="115" t="str">
        <f>BookieNavn!I62</f>
        <v>Spilleautomater</v>
      </c>
      <c r="B70" s="126">
        <f>SUMIF(Penger!D$1:D$50072,A70,Penger!F$1:F$50072)</f>
        <v>0</v>
      </c>
      <c r="C70" s="126">
        <f>SUMIF(Penger!T$1:T$50072,A70,Penger!U$1:U$50072)</f>
        <v>0</v>
      </c>
      <c r="D70" s="126">
        <f ca="1">SUMIF(Spill!C$1:C$499895,A70,Spill!T$1:T$49895)+C70</f>
        <v>0</v>
      </c>
      <c r="E70" s="126">
        <f>SUMIF(Spill!C$1:C$49895,A70,Spill!T$1:T$49895)</f>
        <v>0</v>
      </c>
      <c r="F70" s="121" t="e">
        <f t="shared" ca="1" si="1"/>
        <v>#DIV/0!</v>
      </c>
      <c r="H70" s="126">
        <f>SUMIFS(DWbonus[[Sum]:[Sum]],DWbonus[[Dato]:[Dato]], "&gt;="&amp;H$8,DWbonus[[Dato]:[Dato]],"&lt;="&amp;EOMONTH(H$8,0),DWbonus[[Bookie]:[Bookie]],$A70)+SUMIFS(LayTable[[Faktisk res]:[Faktisk res]],LayTable[[Dato]:[Dato]],"&gt;="&amp;H$8,LayTable[[Dato]:[Dato]],"&lt;="&amp;EOMONTH(H$8,0),LayTable[[Bookmaker]:[Bookmaker]],$A70)+SUMIFS(BetTable[[AR_per_bookie]:[AR_per_bookie]],BetTable[[B1]:[B1]],$A70,BetTable[[Date]:[Date]], "&gt;="&amp;H$8,BetTable[[Date]:[Date]],"&lt;="&amp;EOMONTH(H$8,0))+SUMIFS(BetTable[[AR_per_bookie]:[AR_per_bookie]],BetTable[[B2]:[B2]],$A70,BetTable[[Date]:[Date]], "&gt;="&amp;H$8,BetTable[[Date]:[Date]],"&lt;="&amp;EOMONTH(H$8,0))+SUMIFS(BetTable[[AR_per_bookie]:[AR_per_bookie]],BetTable[[B3]:[B3]],$A70,BetTable[[Date]:[Date]], "&gt;="&amp;H$8,BetTable[[Date]:[Date]],"&lt;="&amp;EOMONTH(H$8,0))</f>
        <v>0</v>
      </c>
      <c r="I70" s="126">
        <f>SUMIFS(DWbonus[[Sum]:[Sum]],DWbonus[[Dato]:[Dato]], "&gt;="&amp;I$8,DWbonus[[Dato]:[Dato]],"&lt;="&amp;EOMONTH(I$8,0),DWbonus[[Bookie]:[Bookie]],$A70)+SUMIFS(LayTable[[Faktisk res]:[Faktisk res]],LayTable[[Dato]:[Dato]],"&gt;="&amp;I$8,LayTable[[Dato]:[Dato]],"&lt;="&amp;EOMONTH(I$8,0),LayTable[[Bookmaker]:[Bookmaker]],$A70)+SUMIFS(BetTable[[AR_per_bookie]:[AR_per_bookie]],BetTable[[B1]:[B1]],$A70,BetTable[[Date]:[Date]], "&gt;="&amp;I$8,BetTable[[Date]:[Date]],"&lt;="&amp;EOMONTH(I$8,0))+SUMIFS(BetTable[[AR_per_bookie]:[AR_per_bookie]],BetTable[[B2]:[B2]],$A70,BetTable[[Date]:[Date]], "&gt;="&amp;I$8,BetTable[[Date]:[Date]],"&lt;="&amp;EOMONTH(I$8,0))+SUMIFS(BetTable[[AR_per_bookie]:[AR_per_bookie]],BetTable[[B3]:[B3]],$A70,BetTable[[Date]:[Date]], "&gt;="&amp;I$8,BetTable[[Date]:[Date]],"&lt;="&amp;EOMONTH(I$8,0))</f>
        <v>0</v>
      </c>
      <c r="J70" s="126">
        <f>SUMIFS(DWbonus[[Sum]:[Sum]],DWbonus[[Dato]:[Dato]], "&gt;="&amp;J$8,DWbonus[[Dato]:[Dato]],"&lt;="&amp;EOMONTH(J$8,0),DWbonus[[Bookie]:[Bookie]],$A70)+SUMIFS(LayTable[[Faktisk res]:[Faktisk res]],LayTable[[Dato]:[Dato]],"&gt;="&amp;J$8,LayTable[[Dato]:[Dato]],"&lt;="&amp;EOMONTH(J$8,0),LayTable[[Bookmaker]:[Bookmaker]],$A70)+SUMIFS(BetTable[[AR_per_bookie]:[AR_per_bookie]],BetTable[[B1]:[B1]],$A70,BetTable[[Date]:[Date]], "&gt;="&amp;J$8,BetTable[[Date]:[Date]],"&lt;="&amp;EOMONTH(J$8,0))+SUMIFS(BetTable[[AR_per_bookie]:[AR_per_bookie]],BetTable[[B2]:[B2]],$A70,BetTable[[Date]:[Date]], "&gt;="&amp;J$8,BetTable[[Date]:[Date]],"&lt;="&amp;EOMONTH(J$8,0))+SUMIFS(BetTable[[AR_per_bookie]:[AR_per_bookie]],BetTable[[B3]:[B3]],$A70,BetTable[[Date]:[Date]], "&gt;="&amp;J$8,BetTable[[Date]:[Date]],"&lt;="&amp;EOMONTH(J$8,0))</f>
        <v>0</v>
      </c>
      <c r="K70" s="126">
        <f>SUMIFS(DWbonus[[Sum]:[Sum]],DWbonus[[Dato]:[Dato]], "&gt;="&amp;K$8,DWbonus[[Dato]:[Dato]],"&lt;="&amp;EOMONTH(K$8,0),DWbonus[[Bookie]:[Bookie]],$A70)+SUMIFS(LayTable[[Faktisk res]:[Faktisk res]],LayTable[[Dato]:[Dato]],"&gt;="&amp;K$8,LayTable[[Dato]:[Dato]],"&lt;="&amp;EOMONTH(K$8,0),LayTable[[Bookmaker]:[Bookmaker]],$A70)+SUMIFS(BetTable[[AR_per_bookie]:[AR_per_bookie]],BetTable[[B1]:[B1]],$A70,BetTable[[Date]:[Date]], "&gt;="&amp;K$8,BetTable[[Date]:[Date]],"&lt;="&amp;EOMONTH(K$8,0))+SUMIFS(BetTable[[AR_per_bookie]:[AR_per_bookie]],BetTable[[B2]:[B2]],$A70,BetTable[[Date]:[Date]], "&gt;="&amp;K$8,BetTable[[Date]:[Date]],"&lt;="&amp;EOMONTH(K$8,0))+SUMIFS(BetTable[[AR_per_bookie]:[AR_per_bookie]],BetTable[[B3]:[B3]],$A70,BetTable[[Date]:[Date]], "&gt;="&amp;K$8,BetTable[[Date]:[Date]],"&lt;="&amp;EOMONTH(K$8,0))</f>
        <v>0</v>
      </c>
      <c r="L70" s="126">
        <f>SUMIFS(DWbonus[[Sum]:[Sum]],DWbonus[[Dato]:[Dato]], "&gt;="&amp;L$8,DWbonus[[Dato]:[Dato]],"&lt;="&amp;EOMONTH(L$8,0),DWbonus[[Bookie]:[Bookie]],$A70)+SUMIFS(LayTable[[Faktisk res]:[Faktisk res]],LayTable[[Dato]:[Dato]],"&gt;="&amp;L$8,LayTable[[Dato]:[Dato]],"&lt;="&amp;EOMONTH(L$8,0),LayTable[[Bookmaker]:[Bookmaker]],$A70)+SUMIFS(BetTable[[AR_per_bookie]:[AR_per_bookie]],BetTable[[B1]:[B1]],$A70,BetTable[[Date]:[Date]], "&gt;="&amp;L$8,BetTable[[Date]:[Date]],"&lt;="&amp;EOMONTH(L$8,0))+SUMIFS(BetTable[[AR_per_bookie]:[AR_per_bookie]],BetTable[[B2]:[B2]],$A70,BetTable[[Date]:[Date]], "&gt;="&amp;L$8,BetTable[[Date]:[Date]],"&lt;="&amp;EOMONTH(L$8,0))+SUMIFS(BetTable[[AR_per_bookie]:[AR_per_bookie]],BetTable[[B3]:[B3]],$A70,BetTable[[Date]:[Date]], "&gt;="&amp;L$8,BetTable[[Date]:[Date]],"&lt;="&amp;EOMONTH(L$8,0))</f>
        <v>0</v>
      </c>
      <c r="M70" s="126">
        <f>SUMIFS(DWbonus[[Sum]:[Sum]],DWbonus[[Dato]:[Dato]], "&gt;="&amp;M$8,DWbonus[[Dato]:[Dato]],"&lt;="&amp;EOMONTH(M$8,0),DWbonus[[Bookie]:[Bookie]],$A70)+SUMIFS(LayTable[[Faktisk res]:[Faktisk res]],LayTable[[Dato]:[Dato]],"&gt;="&amp;M$8,LayTable[[Dato]:[Dato]],"&lt;="&amp;EOMONTH(M$8,0),LayTable[[Bookmaker]:[Bookmaker]],$A70)+SUMIFS(BetTable[[AR_per_bookie]:[AR_per_bookie]],BetTable[[B1]:[B1]],$A70,BetTable[[Date]:[Date]], "&gt;="&amp;M$8,BetTable[[Date]:[Date]],"&lt;="&amp;EOMONTH(M$8,0))+SUMIFS(BetTable[[AR_per_bookie]:[AR_per_bookie]],BetTable[[B2]:[B2]],$A70,BetTable[[Date]:[Date]], "&gt;="&amp;M$8,BetTable[[Date]:[Date]],"&lt;="&amp;EOMONTH(M$8,0))+SUMIFS(BetTable[[AR_per_bookie]:[AR_per_bookie]],BetTable[[B3]:[B3]],$A70,BetTable[[Date]:[Date]], "&gt;="&amp;M$8,BetTable[[Date]:[Date]],"&lt;="&amp;EOMONTH(M$8,0))</f>
        <v>0</v>
      </c>
      <c r="N70" s="126">
        <f>SUMIFS(DWbonus[[Sum]:[Sum]],DWbonus[[Dato]:[Dato]], "&gt;="&amp;N$8,DWbonus[[Dato]:[Dato]],"&lt;="&amp;EOMONTH(N$8,0),DWbonus[[Bookie]:[Bookie]],$A70)+SUMIFS(LayTable[[Faktisk res]:[Faktisk res]],LayTable[[Dato]:[Dato]],"&gt;="&amp;N$8,LayTable[[Dato]:[Dato]],"&lt;="&amp;EOMONTH(N$8,0),LayTable[[Bookmaker]:[Bookmaker]],$A70)+SUMIFS(BetTable[[AR_per_bookie]:[AR_per_bookie]],BetTable[[B1]:[B1]],$A70,BetTable[[Date]:[Date]], "&gt;="&amp;N$8,BetTable[[Date]:[Date]],"&lt;="&amp;EOMONTH(N$8,0))+SUMIFS(BetTable[[AR_per_bookie]:[AR_per_bookie]],BetTable[[B2]:[B2]],$A70,BetTable[[Date]:[Date]], "&gt;="&amp;N$8,BetTable[[Date]:[Date]],"&lt;="&amp;EOMONTH(N$8,0))+SUMIFS(BetTable[[AR_per_bookie]:[AR_per_bookie]],BetTable[[B3]:[B3]],$A70,BetTable[[Date]:[Date]], "&gt;="&amp;N$8,BetTable[[Date]:[Date]],"&lt;="&amp;EOMONTH(N$8,0))</f>
        <v>0</v>
      </c>
      <c r="O70" s="126">
        <f>SUMIFS(DWbonus[[Sum]:[Sum]],DWbonus[[Dato]:[Dato]], "&gt;="&amp;O$8,DWbonus[[Dato]:[Dato]],"&lt;="&amp;EOMONTH(O$8,0),DWbonus[[Bookie]:[Bookie]],$A70)+SUMIFS(LayTable[[Faktisk res]:[Faktisk res]],LayTable[[Dato]:[Dato]],"&gt;="&amp;O$8,LayTable[[Dato]:[Dato]],"&lt;="&amp;EOMONTH(O$8,0),LayTable[[Bookmaker]:[Bookmaker]],$A70)+SUMIFS(BetTable[[AR_per_bookie]:[AR_per_bookie]],BetTable[[B1]:[B1]],$A70,BetTable[[Date]:[Date]], "&gt;="&amp;O$8,BetTable[[Date]:[Date]],"&lt;="&amp;EOMONTH(O$8,0))+SUMIFS(BetTable[[AR_per_bookie]:[AR_per_bookie]],BetTable[[B2]:[B2]],$A70,BetTable[[Date]:[Date]], "&gt;="&amp;O$8,BetTable[[Date]:[Date]],"&lt;="&amp;EOMONTH(O$8,0))+SUMIFS(BetTable[[AR_per_bookie]:[AR_per_bookie]],BetTable[[B3]:[B3]],$A70,BetTable[[Date]:[Date]], "&gt;="&amp;O$8,BetTable[[Date]:[Date]],"&lt;="&amp;EOMONTH(O$8,0))</f>
        <v>0</v>
      </c>
      <c r="P70" s="126">
        <f>SUMIFS(DWbonus[[Sum]:[Sum]],DWbonus[[Dato]:[Dato]], "&gt;="&amp;P$8,DWbonus[[Dato]:[Dato]],"&lt;="&amp;EOMONTH(P$8,0),DWbonus[[Bookie]:[Bookie]],$A70)+SUMIFS(LayTable[[Faktisk res]:[Faktisk res]],LayTable[[Dato]:[Dato]],"&gt;="&amp;P$8,LayTable[[Dato]:[Dato]],"&lt;="&amp;EOMONTH(P$8,0),LayTable[[Bookmaker]:[Bookmaker]],$A70)+SUMIFS(BetTable[[AR_per_bookie]:[AR_per_bookie]],BetTable[[B1]:[B1]],$A70,BetTable[[Date]:[Date]], "&gt;="&amp;P$8,BetTable[[Date]:[Date]],"&lt;="&amp;EOMONTH(P$8,0))+SUMIFS(BetTable[[AR_per_bookie]:[AR_per_bookie]],BetTable[[B2]:[B2]],$A70,BetTable[[Date]:[Date]], "&gt;="&amp;P$8,BetTable[[Date]:[Date]],"&lt;="&amp;EOMONTH(P$8,0))+SUMIFS(BetTable[[AR_per_bookie]:[AR_per_bookie]],BetTable[[B3]:[B3]],$A70,BetTable[[Date]:[Date]], "&gt;="&amp;P$8,BetTable[[Date]:[Date]],"&lt;="&amp;EOMONTH(P$8,0))</f>
        <v>0</v>
      </c>
      <c r="Q70" s="126">
        <f>SUMIFS(DWbonus[[Sum]:[Sum]],DWbonus[[Dato]:[Dato]], "&gt;="&amp;Q$8,DWbonus[[Dato]:[Dato]],"&lt;="&amp;EOMONTH(Q$8,0),DWbonus[[Bookie]:[Bookie]],$A70)+SUMIFS(LayTable[[Faktisk res]:[Faktisk res]],LayTable[[Dato]:[Dato]],"&gt;="&amp;Q$8,LayTable[[Dato]:[Dato]],"&lt;="&amp;EOMONTH(Q$8,0),LayTable[[Bookmaker]:[Bookmaker]],$A70)+SUMIFS(BetTable[[AR_per_bookie]:[AR_per_bookie]],BetTable[[B1]:[B1]],$A70,BetTable[[Date]:[Date]], "&gt;="&amp;Q$8,BetTable[[Date]:[Date]],"&lt;="&amp;EOMONTH(Q$8,0))+SUMIFS(BetTable[[AR_per_bookie]:[AR_per_bookie]],BetTable[[B2]:[B2]],$A70,BetTable[[Date]:[Date]], "&gt;="&amp;Q$8,BetTable[[Date]:[Date]],"&lt;="&amp;EOMONTH(Q$8,0))+SUMIFS(BetTable[[AR_per_bookie]:[AR_per_bookie]],BetTable[[B3]:[B3]],$A70,BetTable[[Date]:[Date]], "&gt;="&amp;Q$8,BetTable[[Date]:[Date]],"&lt;="&amp;EOMONTH(Q$8,0))</f>
        <v>0</v>
      </c>
      <c r="R70" s="126">
        <f>SUMIFS(DWbonus[[Sum]:[Sum]],DWbonus[[Dato]:[Dato]], "&gt;="&amp;R$8,DWbonus[[Dato]:[Dato]],"&lt;="&amp;EOMONTH(R$8,0),DWbonus[[Bookie]:[Bookie]],$A70)+SUMIFS(LayTable[[Faktisk res]:[Faktisk res]],LayTable[[Dato]:[Dato]],"&gt;="&amp;R$8,LayTable[[Dato]:[Dato]],"&lt;="&amp;EOMONTH(R$8,0),LayTable[[Bookmaker]:[Bookmaker]],$A70)+SUMIFS(BetTable[[AR_per_bookie]:[AR_per_bookie]],BetTable[[B1]:[B1]],$A70,BetTable[[Date]:[Date]], "&gt;="&amp;R$8,BetTable[[Date]:[Date]],"&lt;="&amp;EOMONTH(R$8,0))+SUMIFS(BetTable[[AR_per_bookie]:[AR_per_bookie]],BetTable[[B2]:[B2]],$A70,BetTable[[Date]:[Date]], "&gt;="&amp;R$8,BetTable[[Date]:[Date]],"&lt;="&amp;EOMONTH(R$8,0))+SUMIFS(BetTable[[AR_per_bookie]:[AR_per_bookie]],BetTable[[B3]:[B3]],$A70,BetTable[[Date]:[Date]], "&gt;="&amp;R$8,BetTable[[Date]:[Date]],"&lt;="&amp;EOMONTH(R$8,0))</f>
        <v>0</v>
      </c>
      <c r="S70" s="126">
        <f>SUMIFS(DWbonus[[Sum]:[Sum]],DWbonus[[Dato]:[Dato]], "&gt;="&amp;S$8,DWbonus[[Dato]:[Dato]],"&lt;="&amp;EOMONTH(S$8,0),DWbonus[[Bookie]:[Bookie]],$A70)+SUMIFS(LayTable[[Faktisk res]:[Faktisk res]],LayTable[[Dato]:[Dato]],"&gt;="&amp;S$8,LayTable[[Dato]:[Dato]],"&lt;="&amp;EOMONTH(S$8,0),LayTable[[Bookmaker]:[Bookmaker]],$A70)+SUMIFS(BetTable[[AR_per_bookie]:[AR_per_bookie]],BetTable[[B1]:[B1]],$A70,BetTable[[Date]:[Date]], "&gt;="&amp;S$8,BetTable[[Date]:[Date]],"&lt;="&amp;EOMONTH(S$8,0))+SUMIFS(BetTable[[AR_per_bookie]:[AR_per_bookie]],BetTable[[B2]:[B2]],$A70,BetTable[[Date]:[Date]], "&gt;="&amp;S$8,BetTable[[Date]:[Date]],"&lt;="&amp;EOMONTH(S$8,0))+SUMIFS(BetTable[[AR_per_bookie]:[AR_per_bookie]],BetTable[[B3]:[B3]],$A70,BetTable[[Date]:[Date]], "&gt;="&amp;S$8,BetTable[[Date]:[Date]],"&lt;="&amp;EOMONTH(S$8,0))</f>
        <v>0</v>
      </c>
    </row>
    <row r="71" spans="1:19">
      <c r="A71" s="115" t="str">
        <f>BookieNavn!I63</f>
        <v>Spinsports</v>
      </c>
      <c r="B71" s="126">
        <f>SUMIF(Penger!D$1:D$50072,A71,Penger!F$1:F$50072)</f>
        <v>0</v>
      </c>
      <c r="C71" s="126">
        <f>SUMIF(Penger!T$1:T$50072,A71,Penger!U$1:U$50072)</f>
        <v>0</v>
      </c>
      <c r="D71" s="126">
        <f ca="1">SUMIF(Spill!C$1:C$499895,A71,Spill!T$1:T$49895)+C71</f>
        <v>0</v>
      </c>
      <c r="E71" s="126">
        <f>SUMIF(Spill!C$1:C$49895,A71,Spill!T$1:T$49895)</f>
        <v>0</v>
      </c>
      <c r="F71" s="121" t="e">
        <f t="shared" ca="1" si="1"/>
        <v>#DIV/0!</v>
      </c>
      <c r="H71" s="126">
        <f>SUMIFS(DWbonus[[Sum]:[Sum]],DWbonus[[Dato]:[Dato]], "&gt;="&amp;H$8,DWbonus[[Dato]:[Dato]],"&lt;="&amp;EOMONTH(H$8,0),DWbonus[[Bookie]:[Bookie]],$A71)+SUMIFS(LayTable[[Faktisk res]:[Faktisk res]],LayTable[[Dato]:[Dato]],"&gt;="&amp;H$8,LayTable[[Dato]:[Dato]],"&lt;="&amp;EOMONTH(H$8,0),LayTable[[Bookmaker]:[Bookmaker]],$A71)+SUMIFS(BetTable[[AR_per_bookie]:[AR_per_bookie]],BetTable[[B1]:[B1]],$A71,BetTable[[Date]:[Date]], "&gt;="&amp;H$8,BetTable[[Date]:[Date]],"&lt;="&amp;EOMONTH(H$8,0))+SUMIFS(BetTable[[AR_per_bookie]:[AR_per_bookie]],BetTable[[B2]:[B2]],$A71,BetTable[[Date]:[Date]], "&gt;="&amp;H$8,BetTable[[Date]:[Date]],"&lt;="&amp;EOMONTH(H$8,0))+SUMIFS(BetTable[[AR_per_bookie]:[AR_per_bookie]],BetTable[[B3]:[B3]],$A71,BetTable[[Date]:[Date]], "&gt;="&amp;H$8,BetTable[[Date]:[Date]],"&lt;="&amp;EOMONTH(H$8,0))</f>
        <v>0</v>
      </c>
      <c r="I71" s="126">
        <f>SUMIFS(DWbonus[[Sum]:[Sum]],DWbonus[[Dato]:[Dato]], "&gt;="&amp;I$8,DWbonus[[Dato]:[Dato]],"&lt;="&amp;EOMONTH(I$8,0),DWbonus[[Bookie]:[Bookie]],$A71)+SUMIFS(LayTable[[Faktisk res]:[Faktisk res]],LayTable[[Dato]:[Dato]],"&gt;="&amp;I$8,LayTable[[Dato]:[Dato]],"&lt;="&amp;EOMONTH(I$8,0),LayTable[[Bookmaker]:[Bookmaker]],$A71)+SUMIFS(BetTable[[AR_per_bookie]:[AR_per_bookie]],BetTable[[B1]:[B1]],$A71,BetTable[[Date]:[Date]], "&gt;="&amp;I$8,BetTable[[Date]:[Date]],"&lt;="&amp;EOMONTH(I$8,0))+SUMIFS(BetTable[[AR_per_bookie]:[AR_per_bookie]],BetTable[[B2]:[B2]],$A71,BetTable[[Date]:[Date]], "&gt;="&amp;I$8,BetTable[[Date]:[Date]],"&lt;="&amp;EOMONTH(I$8,0))+SUMIFS(BetTable[[AR_per_bookie]:[AR_per_bookie]],BetTable[[B3]:[B3]],$A71,BetTable[[Date]:[Date]], "&gt;="&amp;I$8,BetTable[[Date]:[Date]],"&lt;="&amp;EOMONTH(I$8,0))</f>
        <v>0</v>
      </c>
      <c r="J71" s="126">
        <f>SUMIFS(DWbonus[[Sum]:[Sum]],DWbonus[[Dato]:[Dato]], "&gt;="&amp;J$8,DWbonus[[Dato]:[Dato]],"&lt;="&amp;EOMONTH(J$8,0),DWbonus[[Bookie]:[Bookie]],$A71)+SUMIFS(LayTable[[Faktisk res]:[Faktisk res]],LayTable[[Dato]:[Dato]],"&gt;="&amp;J$8,LayTable[[Dato]:[Dato]],"&lt;="&amp;EOMONTH(J$8,0),LayTable[[Bookmaker]:[Bookmaker]],$A71)+SUMIFS(BetTable[[AR_per_bookie]:[AR_per_bookie]],BetTable[[B1]:[B1]],$A71,BetTable[[Date]:[Date]], "&gt;="&amp;J$8,BetTable[[Date]:[Date]],"&lt;="&amp;EOMONTH(J$8,0))+SUMIFS(BetTable[[AR_per_bookie]:[AR_per_bookie]],BetTable[[B2]:[B2]],$A71,BetTable[[Date]:[Date]], "&gt;="&amp;J$8,BetTable[[Date]:[Date]],"&lt;="&amp;EOMONTH(J$8,0))+SUMIFS(BetTable[[AR_per_bookie]:[AR_per_bookie]],BetTable[[B3]:[B3]],$A71,BetTable[[Date]:[Date]], "&gt;="&amp;J$8,BetTable[[Date]:[Date]],"&lt;="&amp;EOMONTH(J$8,0))</f>
        <v>0</v>
      </c>
      <c r="K71" s="126">
        <f>SUMIFS(DWbonus[[Sum]:[Sum]],DWbonus[[Dato]:[Dato]], "&gt;="&amp;K$8,DWbonus[[Dato]:[Dato]],"&lt;="&amp;EOMONTH(K$8,0),DWbonus[[Bookie]:[Bookie]],$A71)+SUMIFS(LayTable[[Faktisk res]:[Faktisk res]],LayTable[[Dato]:[Dato]],"&gt;="&amp;K$8,LayTable[[Dato]:[Dato]],"&lt;="&amp;EOMONTH(K$8,0),LayTable[[Bookmaker]:[Bookmaker]],$A71)+SUMIFS(BetTable[[AR_per_bookie]:[AR_per_bookie]],BetTable[[B1]:[B1]],$A71,BetTable[[Date]:[Date]], "&gt;="&amp;K$8,BetTable[[Date]:[Date]],"&lt;="&amp;EOMONTH(K$8,0))+SUMIFS(BetTable[[AR_per_bookie]:[AR_per_bookie]],BetTable[[B2]:[B2]],$A71,BetTable[[Date]:[Date]], "&gt;="&amp;K$8,BetTable[[Date]:[Date]],"&lt;="&amp;EOMONTH(K$8,0))+SUMIFS(BetTable[[AR_per_bookie]:[AR_per_bookie]],BetTable[[B3]:[B3]],$A71,BetTable[[Date]:[Date]], "&gt;="&amp;K$8,BetTable[[Date]:[Date]],"&lt;="&amp;EOMONTH(K$8,0))</f>
        <v>0</v>
      </c>
      <c r="L71" s="126">
        <f>SUMIFS(DWbonus[[Sum]:[Sum]],DWbonus[[Dato]:[Dato]], "&gt;="&amp;L$8,DWbonus[[Dato]:[Dato]],"&lt;="&amp;EOMONTH(L$8,0),DWbonus[[Bookie]:[Bookie]],$A71)+SUMIFS(LayTable[[Faktisk res]:[Faktisk res]],LayTable[[Dato]:[Dato]],"&gt;="&amp;L$8,LayTable[[Dato]:[Dato]],"&lt;="&amp;EOMONTH(L$8,0),LayTable[[Bookmaker]:[Bookmaker]],$A71)+SUMIFS(BetTable[[AR_per_bookie]:[AR_per_bookie]],BetTable[[B1]:[B1]],$A71,BetTable[[Date]:[Date]], "&gt;="&amp;L$8,BetTable[[Date]:[Date]],"&lt;="&amp;EOMONTH(L$8,0))+SUMIFS(BetTable[[AR_per_bookie]:[AR_per_bookie]],BetTable[[B2]:[B2]],$A71,BetTable[[Date]:[Date]], "&gt;="&amp;L$8,BetTable[[Date]:[Date]],"&lt;="&amp;EOMONTH(L$8,0))+SUMIFS(BetTable[[AR_per_bookie]:[AR_per_bookie]],BetTable[[B3]:[B3]],$A71,BetTable[[Date]:[Date]], "&gt;="&amp;L$8,BetTable[[Date]:[Date]],"&lt;="&amp;EOMONTH(L$8,0))</f>
        <v>0</v>
      </c>
      <c r="M71" s="126">
        <f>SUMIFS(DWbonus[[Sum]:[Sum]],DWbonus[[Dato]:[Dato]], "&gt;="&amp;M$8,DWbonus[[Dato]:[Dato]],"&lt;="&amp;EOMONTH(M$8,0),DWbonus[[Bookie]:[Bookie]],$A71)+SUMIFS(LayTable[[Faktisk res]:[Faktisk res]],LayTable[[Dato]:[Dato]],"&gt;="&amp;M$8,LayTable[[Dato]:[Dato]],"&lt;="&amp;EOMONTH(M$8,0),LayTable[[Bookmaker]:[Bookmaker]],$A71)+SUMIFS(BetTable[[AR_per_bookie]:[AR_per_bookie]],BetTable[[B1]:[B1]],$A71,BetTable[[Date]:[Date]], "&gt;="&amp;M$8,BetTable[[Date]:[Date]],"&lt;="&amp;EOMONTH(M$8,0))+SUMIFS(BetTable[[AR_per_bookie]:[AR_per_bookie]],BetTable[[B2]:[B2]],$A71,BetTable[[Date]:[Date]], "&gt;="&amp;M$8,BetTable[[Date]:[Date]],"&lt;="&amp;EOMONTH(M$8,0))+SUMIFS(BetTable[[AR_per_bookie]:[AR_per_bookie]],BetTable[[B3]:[B3]],$A71,BetTable[[Date]:[Date]], "&gt;="&amp;M$8,BetTable[[Date]:[Date]],"&lt;="&amp;EOMONTH(M$8,0))</f>
        <v>0</v>
      </c>
      <c r="N71" s="126">
        <f>SUMIFS(DWbonus[[Sum]:[Sum]],DWbonus[[Dato]:[Dato]], "&gt;="&amp;N$8,DWbonus[[Dato]:[Dato]],"&lt;="&amp;EOMONTH(N$8,0),DWbonus[[Bookie]:[Bookie]],$A71)+SUMIFS(LayTable[[Faktisk res]:[Faktisk res]],LayTable[[Dato]:[Dato]],"&gt;="&amp;N$8,LayTable[[Dato]:[Dato]],"&lt;="&amp;EOMONTH(N$8,0),LayTable[[Bookmaker]:[Bookmaker]],$A71)+SUMIFS(BetTable[[AR_per_bookie]:[AR_per_bookie]],BetTable[[B1]:[B1]],$A71,BetTable[[Date]:[Date]], "&gt;="&amp;N$8,BetTable[[Date]:[Date]],"&lt;="&amp;EOMONTH(N$8,0))+SUMIFS(BetTable[[AR_per_bookie]:[AR_per_bookie]],BetTable[[B2]:[B2]],$A71,BetTable[[Date]:[Date]], "&gt;="&amp;N$8,BetTable[[Date]:[Date]],"&lt;="&amp;EOMONTH(N$8,0))+SUMIFS(BetTable[[AR_per_bookie]:[AR_per_bookie]],BetTable[[B3]:[B3]],$A71,BetTable[[Date]:[Date]], "&gt;="&amp;N$8,BetTable[[Date]:[Date]],"&lt;="&amp;EOMONTH(N$8,0))</f>
        <v>0</v>
      </c>
      <c r="O71" s="126">
        <f>SUMIFS(DWbonus[[Sum]:[Sum]],DWbonus[[Dato]:[Dato]], "&gt;="&amp;O$8,DWbonus[[Dato]:[Dato]],"&lt;="&amp;EOMONTH(O$8,0),DWbonus[[Bookie]:[Bookie]],$A71)+SUMIFS(LayTable[[Faktisk res]:[Faktisk res]],LayTable[[Dato]:[Dato]],"&gt;="&amp;O$8,LayTable[[Dato]:[Dato]],"&lt;="&amp;EOMONTH(O$8,0),LayTable[[Bookmaker]:[Bookmaker]],$A71)+SUMIFS(BetTable[[AR_per_bookie]:[AR_per_bookie]],BetTable[[B1]:[B1]],$A71,BetTable[[Date]:[Date]], "&gt;="&amp;O$8,BetTable[[Date]:[Date]],"&lt;="&amp;EOMONTH(O$8,0))+SUMIFS(BetTable[[AR_per_bookie]:[AR_per_bookie]],BetTable[[B2]:[B2]],$A71,BetTable[[Date]:[Date]], "&gt;="&amp;O$8,BetTable[[Date]:[Date]],"&lt;="&amp;EOMONTH(O$8,0))+SUMIFS(BetTable[[AR_per_bookie]:[AR_per_bookie]],BetTable[[B3]:[B3]],$A71,BetTable[[Date]:[Date]], "&gt;="&amp;O$8,BetTable[[Date]:[Date]],"&lt;="&amp;EOMONTH(O$8,0))</f>
        <v>0</v>
      </c>
      <c r="P71" s="126">
        <f>SUMIFS(DWbonus[[Sum]:[Sum]],DWbonus[[Dato]:[Dato]], "&gt;="&amp;P$8,DWbonus[[Dato]:[Dato]],"&lt;="&amp;EOMONTH(P$8,0),DWbonus[[Bookie]:[Bookie]],$A71)+SUMIFS(LayTable[[Faktisk res]:[Faktisk res]],LayTable[[Dato]:[Dato]],"&gt;="&amp;P$8,LayTable[[Dato]:[Dato]],"&lt;="&amp;EOMONTH(P$8,0),LayTable[[Bookmaker]:[Bookmaker]],$A71)+SUMIFS(BetTable[[AR_per_bookie]:[AR_per_bookie]],BetTable[[B1]:[B1]],$A71,BetTable[[Date]:[Date]], "&gt;="&amp;P$8,BetTable[[Date]:[Date]],"&lt;="&amp;EOMONTH(P$8,0))+SUMIFS(BetTable[[AR_per_bookie]:[AR_per_bookie]],BetTable[[B2]:[B2]],$A71,BetTable[[Date]:[Date]], "&gt;="&amp;P$8,BetTable[[Date]:[Date]],"&lt;="&amp;EOMONTH(P$8,0))+SUMIFS(BetTable[[AR_per_bookie]:[AR_per_bookie]],BetTable[[B3]:[B3]],$A71,BetTable[[Date]:[Date]], "&gt;="&amp;P$8,BetTable[[Date]:[Date]],"&lt;="&amp;EOMONTH(P$8,0))</f>
        <v>0</v>
      </c>
      <c r="Q71" s="126">
        <f>SUMIFS(DWbonus[[Sum]:[Sum]],DWbonus[[Dato]:[Dato]], "&gt;="&amp;Q$8,DWbonus[[Dato]:[Dato]],"&lt;="&amp;EOMONTH(Q$8,0),DWbonus[[Bookie]:[Bookie]],$A71)+SUMIFS(LayTable[[Faktisk res]:[Faktisk res]],LayTable[[Dato]:[Dato]],"&gt;="&amp;Q$8,LayTable[[Dato]:[Dato]],"&lt;="&amp;EOMONTH(Q$8,0),LayTable[[Bookmaker]:[Bookmaker]],$A71)+SUMIFS(BetTable[[AR_per_bookie]:[AR_per_bookie]],BetTable[[B1]:[B1]],$A71,BetTable[[Date]:[Date]], "&gt;="&amp;Q$8,BetTable[[Date]:[Date]],"&lt;="&amp;EOMONTH(Q$8,0))+SUMIFS(BetTable[[AR_per_bookie]:[AR_per_bookie]],BetTable[[B2]:[B2]],$A71,BetTable[[Date]:[Date]], "&gt;="&amp;Q$8,BetTable[[Date]:[Date]],"&lt;="&amp;EOMONTH(Q$8,0))+SUMIFS(BetTable[[AR_per_bookie]:[AR_per_bookie]],BetTable[[B3]:[B3]],$A71,BetTable[[Date]:[Date]], "&gt;="&amp;Q$8,BetTable[[Date]:[Date]],"&lt;="&amp;EOMONTH(Q$8,0))</f>
        <v>0</v>
      </c>
      <c r="R71" s="126">
        <f>SUMIFS(DWbonus[[Sum]:[Sum]],DWbonus[[Dato]:[Dato]], "&gt;="&amp;R$8,DWbonus[[Dato]:[Dato]],"&lt;="&amp;EOMONTH(R$8,0),DWbonus[[Bookie]:[Bookie]],$A71)+SUMIFS(LayTable[[Faktisk res]:[Faktisk res]],LayTable[[Dato]:[Dato]],"&gt;="&amp;R$8,LayTable[[Dato]:[Dato]],"&lt;="&amp;EOMONTH(R$8,0),LayTable[[Bookmaker]:[Bookmaker]],$A71)+SUMIFS(BetTable[[AR_per_bookie]:[AR_per_bookie]],BetTable[[B1]:[B1]],$A71,BetTable[[Date]:[Date]], "&gt;="&amp;R$8,BetTable[[Date]:[Date]],"&lt;="&amp;EOMONTH(R$8,0))+SUMIFS(BetTable[[AR_per_bookie]:[AR_per_bookie]],BetTable[[B2]:[B2]],$A71,BetTable[[Date]:[Date]], "&gt;="&amp;R$8,BetTable[[Date]:[Date]],"&lt;="&amp;EOMONTH(R$8,0))+SUMIFS(BetTable[[AR_per_bookie]:[AR_per_bookie]],BetTable[[B3]:[B3]],$A71,BetTable[[Date]:[Date]], "&gt;="&amp;R$8,BetTable[[Date]:[Date]],"&lt;="&amp;EOMONTH(R$8,0))</f>
        <v>0</v>
      </c>
      <c r="S71" s="126">
        <f>SUMIFS(DWbonus[[Sum]:[Sum]],DWbonus[[Dato]:[Dato]], "&gt;="&amp;S$8,DWbonus[[Dato]:[Dato]],"&lt;="&amp;EOMONTH(S$8,0),DWbonus[[Bookie]:[Bookie]],$A71)+SUMIFS(LayTable[[Faktisk res]:[Faktisk res]],LayTable[[Dato]:[Dato]],"&gt;="&amp;S$8,LayTable[[Dato]:[Dato]],"&lt;="&amp;EOMONTH(S$8,0),LayTable[[Bookmaker]:[Bookmaker]],$A71)+SUMIFS(BetTable[[AR_per_bookie]:[AR_per_bookie]],BetTable[[B1]:[B1]],$A71,BetTable[[Date]:[Date]], "&gt;="&amp;S$8,BetTable[[Date]:[Date]],"&lt;="&amp;EOMONTH(S$8,0))+SUMIFS(BetTable[[AR_per_bookie]:[AR_per_bookie]],BetTable[[B2]:[B2]],$A71,BetTable[[Date]:[Date]], "&gt;="&amp;S$8,BetTable[[Date]:[Date]],"&lt;="&amp;EOMONTH(S$8,0))+SUMIFS(BetTable[[AR_per_bookie]:[AR_per_bookie]],BetTable[[B3]:[B3]],$A71,BetTable[[Date]:[Date]], "&gt;="&amp;S$8,BetTable[[Date]:[Date]],"&lt;="&amp;EOMONTH(S$8,0))</f>
        <v>0</v>
      </c>
    </row>
    <row r="72" spans="1:19">
      <c r="A72" s="115" t="str">
        <f>BookieNavn!I64</f>
        <v>Sportmarket</v>
      </c>
      <c r="B72" s="126">
        <f>SUMIF(Penger!D$1:D$50072,A72,Penger!F$1:F$50072)</f>
        <v>0</v>
      </c>
      <c r="C72" s="126">
        <f>SUMIF(Penger!T$1:T$50072,A72,Penger!U$1:U$50072)</f>
        <v>0</v>
      </c>
      <c r="D72" s="126">
        <f ca="1">SUMIF(Spill!C$1:C$499895,A72,Spill!T$1:T$49895)+C72</f>
        <v>0</v>
      </c>
      <c r="E72" s="126">
        <f>SUMIF(Spill!C$1:C$49895,A72,Spill!T$1:T$49895)</f>
        <v>0</v>
      </c>
      <c r="F72" s="121" t="e">
        <f t="shared" ca="1" si="1"/>
        <v>#DIV/0!</v>
      </c>
      <c r="H72" s="126">
        <f>SUMIFS(DWbonus[[Sum]:[Sum]],DWbonus[[Dato]:[Dato]], "&gt;="&amp;H$8,DWbonus[[Dato]:[Dato]],"&lt;="&amp;EOMONTH(H$8,0),DWbonus[[Bookie]:[Bookie]],$A72)+SUMIFS(LayTable[[Faktisk res]:[Faktisk res]],LayTable[[Dato]:[Dato]],"&gt;="&amp;H$8,LayTable[[Dato]:[Dato]],"&lt;="&amp;EOMONTH(H$8,0),LayTable[[Bookmaker]:[Bookmaker]],$A72)+SUMIFS(BetTable[[AR_per_bookie]:[AR_per_bookie]],BetTable[[B1]:[B1]],$A72,BetTable[[Date]:[Date]], "&gt;="&amp;H$8,BetTable[[Date]:[Date]],"&lt;="&amp;EOMONTH(H$8,0))+SUMIFS(BetTable[[AR_per_bookie]:[AR_per_bookie]],BetTable[[B2]:[B2]],$A72,BetTable[[Date]:[Date]], "&gt;="&amp;H$8,BetTable[[Date]:[Date]],"&lt;="&amp;EOMONTH(H$8,0))+SUMIFS(BetTable[[AR_per_bookie]:[AR_per_bookie]],BetTable[[B3]:[B3]],$A72,BetTable[[Date]:[Date]], "&gt;="&amp;H$8,BetTable[[Date]:[Date]],"&lt;="&amp;EOMONTH(H$8,0))</f>
        <v>0</v>
      </c>
      <c r="I72" s="126">
        <f>SUMIFS(DWbonus[[Sum]:[Sum]],DWbonus[[Dato]:[Dato]], "&gt;="&amp;I$8,DWbonus[[Dato]:[Dato]],"&lt;="&amp;EOMONTH(I$8,0),DWbonus[[Bookie]:[Bookie]],$A72)+SUMIFS(LayTable[[Faktisk res]:[Faktisk res]],LayTable[[Dato]:[Dato]],"&gt;="&amp;I$8,LayTable[[Dato]:[Dato]],"&lt;="&amp;EOMONTH(I$8,0),LayTable[[Bookmaker]:[Bookmaker]],$A72)+SUMIFS(BetTable[[AR_per_bookie]:[AR_per_bookie]],BetTable[[B1]:[B1]],$A72,BetTable[[Date]:[Date]], "&gt;="&amp;I$8,BetTable[[Date]:[Date]],"&lt;="&amp;EOMONTH(I$8,0))+SUMIFS(BetTable[[AR_per_bookie]:[AR_per_bookie]],BetTable[[B2]:[B2]],$A72,BetTable[[Date]:[Date]], "&gt;="&amp;I$8,BetTable[[Date]:[Date]],"&lt;="&amp;EOMONTH(I$8,0))+SUMIFS(BetTable[[AR_per_bookie]:[AR_per_bookie]],BetTable[[B3]:[B3]],$A72,BetTable[[Date]:[Date]], "&gt;="&amp;I$8,BetTable[[Date]:[Date]],"&lt;="&amp;EOMONTH(I$8,0))</f>
        <v>0</v>
      </c>
      <c r="J72" s="126">
        <f>SUMIFS(DWbonus[[Sum]:[Sum]],DWbonus[[Dato]:[Dato]], "&gt;="&amp;J$8,DWbonus[[Dato]:[Dato]],"&lt;="&amp;EOMONTH(J$8,0),DWbonus[[Bookie]:[Bookie]],$A72)+SUMIFS(LayTable[[Faktisk res]:[Faktisk res]],LayTable[[Dato]:[Dato]],"&gt;="&amp;J$8,LayTable[[Dato]:[Dato]],"&lt;="&amp;EOMONTH(J$8,0),LayTable[[Bookmaker]:[Bookmaker]],$A72)+SUMIFS(BetTable[[AR_per_bookie]:[AR_per_bookie]],BetTable[[B1]:[B1]],$A72,BetTable[[Date]:[Date]], "&gt;="&amp;J$8,BetTable[[Date]:[Date]],"&lt;="&amp;EOMONTH(J$8,0))+SUMIFS(BetTable[[AR_per_bookie]:[AR_per_bookie]],BetTable[[B2]:[B2]],$A72,BetTable[[Date]:[Date]], "&gt;="&amp;J$8,BetTable[[Date]:[Date]],"&lt;="&amp;EOMONTH(J$8,0))+SUMIFS(BetTable[[AR_per_bookie]:[AR_per_bookie]],BetTable[[B3]:[B3]],$A72,BetTable[[Date]:[Date]], "&gt;="&amp;J$8,BetTable[[Date]:[Date]],"&lt;="&amp;EOMONTH(J$8,0))</f>
        <v>0</v>
      </c>
      <c r="K72" s="126">
        <f>SUMIFS(DWbonus[[Sum]:[Sum]],DWbonus[[Dato]:[Dato]], "&gt;="&amp;K$8,DWbonus[[Dato]:[Dato]],"&lt;="&amp;EOMONTH(K$8,0),DWbonus[[Bookie]:[Bookie]],$A72)+SUMIFS(LayTable[[Faktisk res]:[Faktisk res]],LayTable[[Dato]:[Dato]],"&gt;="&amp;K$8,LayTable[[Dato]:[Dato]],"&lt;="&amp;EOMONTH(K$8,0),LayTable[[Bookmaker]:[Bookmaker]],$A72)+SUMIFS(BetTable[[AR_per_bookie]:[AR_per_bookie]],BetTable[[B1]:[B1]],$A72,BetTable[[Date]:[Date]], "&gt;="&amp;K$8,BetTable[[Date]:[Date]],"&lt;="&amp;EOMONTH(K$8,0))+SUMIFS(BetTable[[AR_per_bookie]:[AR_per_bookie]],BetTable[[B2]:[B2]],$A72,BetTable[[Date]:[Date]], "&gt;="&amp;K$8,BetTable[[Date]:[Date]],"&lt;="&amp;EOMONTH(K$8,0))+SUMIFS(BetTable[[AR_per_bookie]:[AR_per_bookie]],BetTable[[B3]:[B3]],$A72,BetTable[[Date]:[Date]], "&gt;="&amp;K$8,BetTable[[Date]:[Date]],"&lt;="&amp;EOMONTH(K$8,0))</f>
        <v>0</v>
      </c>
      <c r="L72" s="126">
        <f>SUMIFS(DWbonus[[Sum]:[Sum]],DWbonus[[Dato]:[Dato]], "&gt;="&amp;L$8,DWbonus[[Dato]:[Dato]],"&lt;="&amp;EOMONTH(L$8,0),DWbonus[[Bookie]:[Bookie]],$A72)+SUMIFS(LayTable[[Faktisk res]:[Faktisk res]],LayTable[[Dato]:[Dato]],"&gt;="&amp;L$8,LayTable[[Dato]:[Dato]],"&lt;="&amp;EOMONTH(L$8,0),LayTable[[Bookmaker]:[Bookmaker]],$A72)+SUMIFS(BetTable[[AR_per_bookie]:[AR_per_bookie]],BetTable[[B1]:[B1]],$A72,BetTable[[Date]:[Date]], "&gt;="&amp;L$8,BetTable[[Date]:[Date]],"&lt;="&amp;EOMONTH(L$8,0))+SUMIFS(BetTable[[AR_per_bookie]:[AR_per_bookie]],BetTable[[B2]:[B2]],$A72,BetTable[[Date]:[Date]], "&gt;="&amp;L$8,BetTable[[Date]:[Date]],"&lt;="&amp;EOMONTH(L$8,0))+SUMIFS(BetTable[[AR_per_bookie]:[AR_per_bookie]],BetTable[[B3]:[B3]],$A72,BetTable[[Date]:[Date]], "&gt;="&amp;L$8,BetTable[[Date]:[Date]],"&lt;="&amp;EOMONTH(L$8,0))</f>
        <v>0</v>
      </c>
      <c r="M72" s="126">
        <f>SUMIFS(DWbonus[[Sum]:[Sum]],DWbonus[[Dato]:[Dato]], "&gt;="&amp;M$8,DWbonus[[Dato]:[Dato]],"&lt;="&amp;EOMONTH(M$8,0),DWbonus[[Bookie]:[Bookie]],$A72)+SUMIFS(LayTable[[Faktisk res]:[Faktisk res]],LayTable[[Dato]:[Dato]],"&gt;="&amp;M$8,LayTable[[Dato]:[Dato]],"&lt;="&amp;EOMONTH(M$8,0),LayTable[[Bookmaker]:[Bookmaker]],$A72)+SUMIFS(BetTable[[AR_per_bookie]:[AR_per_bookie]],BetTable[[B1]:[B1]],$A72,BetTable[[Date]:[Date]], "&gt;="&amp;M$8,BetTable[[Date]:[Date]],"&lt;="&amp;EOMONTH(M$8,0))+SUMIFS(BetTable[[AR_per_bookie]:[AR_per_bookie]],BetTable[[B2]:[B2]],$A72,BetTable[[Date]:[Date]], "&gt;="&amp;M$8,BetTable[[Date]:[Date]],"&lt;="&amp;EOMONTH(M$8,0))+SUMIFS(BetTable[[AR_per_bookie]:[AR_per_bookie]],BetTable[[B3]:[B3]],$A72,BetTable[[Date]:[Date]], "&gt;="&amp;M$8,BetTable[[Date]:[Date]],"&lt;="&amp;EOMONTH(M$8,0))</f>
        <v>0</v>
      </c>
      <c r="N72" s="126">
        <f>SUMIFS(DWbonus[[Sum]:[Sum]],DWbonus[[Dato]:[Dato]], "&gt;="&amp;N$8,DWbonus[[Dato]:[Dato]],"&lt;="&amp;EOMONTH(N$8,0),DWbonus[[Bookie]:[Bookie]],$A72)+SUMIFS(LayTable[[Faktisk res]:[Faktisk res]],LayTable[[Dato]:[Dato]],"&gt;="&amp;N$8,LayTable[[Dato]:[Dato]],"&lt;="&amp;EOMONTH(N$8,0),LayTable[[Bookmaker]:[Bookmaker]],$A72)+SUMIFS(BetTable[[AR_per_bookie]:[AR_per_bookie]],BetTable[[B1]:[B1]],$A72,BetTable[[Date]:[Date]], "&gt;="&amp;N$8,BetTable[[Date]:[Date]],"&lt;="&amp;EOMONTH(N$8,0))+SUMIFS(BetTable[[AR_per_bookie]:[AR_per_bookie]],BetTable[[B2]:[B2]],$A72,BetTable[[Date]:[Date]], "&gt;="&amp;N$8,BetTable[[Date]:[Date]],"&lt;="&amp;EOMONTH(N$8,0))+SUMIFS(BetTable[[AR_per_bookie]:[AR_per_bookie]],BetTable[[B3]:[B3]],$A72,BetTable[[Date]:[Date]], "&gt;="&amp;N$8,BetTable[[Date]:[Date]],"&lt;="&amp;EOMONTH(N$8,0))</f>
        <v>0</v>
      </c>
      <c r="O72" s="126">
        <f>SUMIFS(DWbonus[[Sum]:[Sum]],DWbonus[[Dato]:[Dato]], "&gt;="&amp;O$8,DWbonus[[Dato]:[Dato]],"&lt;="&amp;EOMONTH(O$8,0),DWbonus[[Bookie]:[Bookie]],$A72)+SUMIFS(LayTable[[Faktisk res]:[Faktisk res]],LayTable[[Dato]:[Dato]],"&gt;="&amp;O$8,LayTable[[Dato]:[Dato]],"&lt;="&amp;EOMONTH(O$8,0),LayTable[[Bookmaker]:[Bookmaker]],$A72)+SUMIFS(BetTable[[AR_per_bookie]:[AR_per_bookie]],BetTable[[B1]:[B1]],$A72,BetTable[[Date]:[Date]], "&gt;="&amp;O$8,BetTable[[Date]:[Date]],"&lt;="&amp;EOMONTH(O$8,0))+SUMIFS(BetTable[[AR_per_bookie]:[AR_per_bookie]],BetTable[[B2]:[B2]],$A72,BetTable[[Date]:[Date]], "&gt;="&amp;O$8,BetTable[[Date]:[Date]],"&lt;="&amp;EOMONTH(O$8,0))+SUMIFS(BetTable[[AR_per_bookie]:[AR_per_bookie]],BetTable[[B3]:[B3]],$A72,BetTable[[Date]:[Date]], "&gt;="&amp;O$8,BetTable[[Date]:[Date]],"&lt;="&amp;EOMONTH(O$8,0))</f>
        <v>0</v>
      </c>
      <c r="P72" s="126">
        <f>SUMIFS(DWbonus[[Sum]:[Sum]],DWbonus[[Dato]:[Dato]], "&gt;="&amp;P$8,DWbonus[[Dato]:[Dato]],"&lt;="&amp;EOMONTH(P$8,0),DWbonus[[Bookie]:[Bookie]],$A72)+SUMIFS(LayTable[[Faktisk res]:[Faktisk res]],LayTable[[Dato]:[Dato]],"&gt;="&amp;P$8,LayTable[[Dato]:[Dato]],"&lt;="&amp;EOMONTH(P$8,0),LayTable[[Bookmaker]:[Bookmaker]],$A72)+SUMIFS(BetTable[[AR_per_bookie]:[AR_per_bookie]],BetTable[[B1]:[B1]],$A72,BetTable[[Date]:[Date]], "&gt;="&amp;P$8,BetTable[[Date]:[Date]],"&lt;="&amp;EOMONTH(P$8,0))+SUMIFS(BetTable[[AR_per_bookie]:[AR_per_bookie]],BetTable[[B2]:[B2]],$A72,BetTable[[Date]:[Date]], "&gt;="&amp;P$8,BetTable[[Date]:[Date]],"&lt;="&amp;EOMONTH(P$8,0))+SUMIFS(BetTable[[AR_per_bookie]:[AR_per_bookie]],BetTable[[B3]:[B3]],$A72,BetTable[[Date]:[Date]], "&gt;="&amp;P$8,BetTable[[Date]:[Date]],"&lt;="&amp;EOMONTH(P$8,0))</f>
        <v>0</v>
      </c>
      <c r="Q72" s="126">
        <f>SUMIFS(DWbonus[[Sum]:[Sum]],DWbonus[[Dato]:[Dato]], "&gt;="&amp;Q$8,DWbonus[[Dato]:[Dato]],"&lt;="&amp;EOMONTH(Q$8,0),DWbonus[[Bookie]:[Bookie]],$A72)+SUMIFS(LayTable[[Faktisk res]:[Faktisk res]],LayTable[[Dato]:[Dato]],"&gt;="&amp;Q$8,LayTable[[Dato]:[Dato]],"&lt;="&amp;EOMONTH(Q$8,0),LayTable[[Bookmaker]:[Bookmaker]],$A72)+SUMIFS(BetTable[[AR_per_bookie]:[AR_per_bookie]],BetTable[[B1]:[B1]],$A72,BetTable[[Date]:[Date]], "&gt;="&amp;Q$8,BetTable[[Date]:[Date]],"&lt;="&amp;EOMONTH(Q$8,0))+SUMIFS(BetTable[[AR_per_bookie]:[AR_per_bookie]],BetTable[[B2]:[B2]],$A72,BetTable[[Date]:[Date]], "&gt;="&amp;Q$8,BetTable[[Date]:[Date]],"&lt;="&amp;EOMONTH(Q$8,0))+SUMIFS(BetTable[[AR_per_bookie]:[AR_per_bookie]],BetTable[[B3]:[B3]],$A72,BetTable[[Date]:[Date]], "&gt;="&amp;Q$8,BetTable[[Date]:[Date]],"&lt;="&amp;EOMONTH(Q$8,0))</f>
        <v>0</v>
      </c>
      <c r="R72" s="126">
        <f>SUMIFS(DWbonus[[Sum]:[Sum]],DWbonus[[Dato]:[Dato]], "&gt;="&amp;R$8,DWbonus[[Dato]:[Dato]],"&lt;="&amp;EOMONTH(R$8,0),DWbonus[[Bookie]:[Bookie]],$A72)+SUMIFS(LayTable[[Faktisk res]:[Faktisk res]],LayTable[[Dato]:[Dato]],"&gt;="&amp;R$8,LayTable[[Dato]:[Dato]],"&lt;="&amp;EOMONTH(R$8,0),LayTable[[Bookmaker]:[Bookmaker]],$A72)+SUMIFS(BetTable[[AR_per_bookie]:[AR_per_bookie]],BetTable[[B1]:[B1]],$A72,BetTable[[Date]:[Date]], "&gt;="&amp;R$8,BetTable[[Date]:[Date]],"&lt;="&amp;EOMONTH(R$8,0))+SUMIFS(BetTable[[AR_per_bookie]:[AR_per_bookie]],BetTable[[B2]:[B2]],$A72,BetTable[[Date]:[Date]], "&gt;="&amp;R$8,BetTable[[Date]:[Date]],"&lt;="&amp;EOMONTH(R$8,0))+SUMIFS(BetTable[[AR_per_bookie]:[AR_per_bookie]],BetTable[[B3]:[B3]],$A72,BetTable[[Date]:[Date]], "&gt;="&amp;R$8,BetTable[[Date]:[Date]],"&lt;="&amp;EOMONTH(R$8,0))</f>
        <v>0</v>
      </c>
      <c r="S72" s="126">
        <f>SUMIFS(DWbonus[[Sum]:[Sum]],DWbonus[[Dato]:[Dato]], "&gt;="&amp;S$8,DWbonus[[Dato]:[Dato]],"&lt;="&amp;EOMONTH(S$8,0),DWbonus[[Bookie]:[Bookie]],$A72)+SUMIFS(LayTable[[Faktisk res]:[Faktisk res]],LayTable[[Dato]:[Dato]],"&gt;="&amp;S$8,LayTable[[Dato]:[Dato]],"&lt;="&amp;EOMONTH(S$8,0),LayTable[[Bookmaker]:[Bookmaker]],$A72)+SUMIFS(BetTable[[AR_per_bookie]:[AR_per_bookie]],BetTable[[B1]:[B1]],$A72,BetTable[[Date]:[Date]], "&gt;="&amp;S$8,BetTable[[Date]:[Date]],"&lt;="&amp;EOMONTH(S$8,0))+SUMIFS(BetTable[[AR_per_bookie]:[AR_per_bookie]],BetTable[[B2]:[B2]],$A72,BetTable[[Date]:[Date]], "&gt;="&amp;S$8,BetTable[[Date]:[Date]],"&lt;="&amp;EOMONTH(S$8,0))+SUMIFS(BetTable[[AR_per_bookie]:[AR_per_bookie]],BetTable[[B3]:[B3]],$A72,BetTable[[Date]:[Date]], "&gt;="&amp;S$8,BetTable[[Date]:[Date]],"&lt;="&amp;EOMONTH(S$8,0))</f>
        <v>0</v>
      </c>
    </row>
    <row r="73" spans="1:19">
      <c r="A73" s="115" t="str">
        <f>BookieNavn!I65</f>
        <v>Storspiller</v>
      </c>
      <c r="B73" s="126">
        <f>SUMIF(Penger!D$1:D$50072,A73,Penger!F$1:F$50072)</f>
        <v>0</v>
      </c>
      <c r="C73" s="126">
        <f>SUMIF(Penger!T$1:T$50072,A73,Penger!U$1:U$50072)</f>
        <v>0</v>
      </c>
      <c r="D73" s="126">
        <f ca="1">SUMIF(Spill!C$1:C$499895,A73,Spill!T$1:T$49895)+C73</f>
        <v>0</v>
      </c>
      <c r="E73" s="126">
        <f>SUMIF(Spill!C$1:C$49895,A73,Spill!T$1:T$49895)</f>
        <v>0</v>
      </c>
      <c r="F73" s="121" t="e">
        <f t="shared" ca="1" si="1"/>
        <v>#DIV/0!</v>
      </c>
      <c r="H73" s="126">
        <f>SUMIFS(DWbonus[[Sum]:[Sum]],DWbonus[[Dato]:[Dato]], "&gt;="&amp;H$8,DWbonus[[Dato]:[Dato]],"&lt;="&amp;EOMONTH(H$8,0),DWbonus[[Bookie]:[Bookie]],$A73)+SUMIFS(LayTable[[Faktisk res]:[Faktisk res]],LayTable[[Dato]:[Dato]],"&gt;="&amp;H$8,LayTable[[Dato]:[Dato]],"&lt;="&amp;EOMONTH(H$8,0),LayTable[[Bookmaker]:[Bookmaker]],$A73)+SUMIFS(BetTable[[AR_per_bookie]:[AR_per_bookie]],BetTable[[B1]:[B1]],$A73,BetTable[[Date]:[Date]], "&gt;="&amp;H$8,BetTable[[Date]:[Date]],"&lt;="&amp;EOMONTH(H$8,0))+SUMIFS(BetTable[[AR_per_bookie]:[AR_per_bookie]],BetTable[[B2]:[B2]],$A73,BetTable[[Date]:[Date]], "&gt;="&amp;H$8,BetTable[[Date]:[Date]],"&lt;="&amp;EOMONTH(H$8,0))+SUMIFS(BetTable[[AR_per_bookie]:[AR_per_bookie]],BetTable[[B3]:[B3]],$A73,BetTable[[Date]:[Date]], "&gt;="&amp;H$8,BetTable[[Date]:[Date]],"&lt;="&amp;EOMONTH(H$8,0))</f>
        <v>0</v>
      </c>
      <c r="I73" s="126">
        <f>SUMIFS(DWbonus[[Sum]:[Sum]],DWbonus[[Dato]:[Dato]], "&gt;="&amp;I$8,DWbonus[[Dato]:[Dato]],"&lt;="&amp;EOMONTH(I$8,0),DWbonus[[Bookie]:[Bookie]],$A73)+SUMIFS(LayTable[[Faktisk res]:[Faktisk res]],LayTable[[Dato]:[Dato]],"&gt;="&amp;I$8,LayTable[[Dato]:[Dato]],"&lt;="&amp;EOMONTH(I$8,0),LayTable[[Bookmaker]:[Bookmaker]],$A73)+SUMIFS(BetTable[[AR_per_bookie]:[AR_per_bookie]],BetTable[[B1]:[B1]],$A73,BetTable[[Date]:[Date]], "&gt;="&amp;I$8,BetTable[[Date]:[Date]],"&lt;="&amp;EOMONTH(I$8,0))+SUMIFS(BetTable[[AR_per_bookie]:[AR_per_bookie]],BetTable[[B2]:[B2]],$A73,BetTable[[Date]:[Date]], "&gt;="&amp;I$8,BetTable[[Date]:[Date]],"&lt;="&amp;EOMONTH(I$8,0))+SUMIFS(BetTable[[AR_per_bookie]:[AR_per_bookie]],BetTable[[B3]:[B3]],$A73,BetTable[[Date]:[Date]], "&gt;="&amp;I$8,BetTable[[Date]:[Date]],"&lt;="&amp;EOMONTH(I$8,0))</f>
        <v>0</v>
      </c>
      <c r="J73" s="126">
        <f>SUMIFS(DWbonus[[Sum]:[Sum]],DWbonus[[Dato]:[Dato]], "&gt;="&amp;J$8,DWbonus[[Dato]:[Dato]],"&lt;="&amp;EOMONTH(J$8,0),DWbonus[[Bookie]:[Bookie]],$A73)+SUMIFS(LayTable[[Faktisk res]:[Faktisk res]],LayTable[[Dato]:[Dato]],"&gt;="&amp;J$8,LayTable[[Dato]:[Dato]],"&lt;="&amp;EOMONTH(J$8,0),LayTable[[Bookmaker]:[Bookmaker]],$A73)+SUMIFS(BetTable[[AR_per_bookie]:[AR_per_bookie]],BetTable[[B1]:[B1]],$A73,BetTable[[Date]:[Date]], "&gt;="&amp;J$8,BetTable[[Date]:[Date]],"&lt;="&amp;EOMONTH(J$8,0))+SUMIFS(BetTable[[AR_per_bookie]:[AR_per_bookie]],BetTable[[B2]:[B2]],$A73,BetTable[[Date]:[Date]], "&gt;="&amp;J$8,BetTable[[Date]:[Date]],"&lt;="&amp;EOMONTH(J$8,0))+SUMIFS(BetTable[[AR_per_bookie]:[AR_per_bookie]],BetTable[[B3]:[B3]],$A73,BetTable[[Date]:[Date]], "&gt;="&amp;J$8,BetTable[[Date]:[Date]],"&lt;="&amp;EOMONTH(J$8,0))</f>
        <v>0</v>
      </c>
      <c r="K73" s="126">
        <f>SUMIFS(DWbonus[[Sum]:[Sum]],DWbonus[[Dato]:[Dato]], "&gt;="&amp;K$8,DWbonus[[Dato]:[Dato]],"&lt;="&amp;EOMONTH(K$8,0),DWbonus[[Bookie]:[Bookie]],$A73)+SUMIFS(LayTable[[Faktisk res]:[Faktisk res]],LayTable[[Dato]:[Dato]],"&gt;="&amp;K$8,LayTable[[Dato]:[Dato]],"&lt;="&amp;EOMONTH(K$8,0),LayTable[[Bookmaker]:[Bookmaker]],$A73)+SUMIFS(BetTable[[AR_per_bookie]:[AR_per_bookie]],BetTable[[B1]:[B1]],$A73,BetTable[[Date]:[Date]], "&gt;="&amp;K$8,BetTable[[Date]:[Date]],"&lt;="&amp;EOMONTH(K$8,0))+SUMIFS(BetTable[[AR_per_bookie]:[AR_per_bookie]],BetTable[[B2]:[B2]],$A73,BetTable[[Date]:[Date]], "&gt;="&amp;K$8,BetTable[[Date]:[Date]],"&lt;="&amp;EOMONTH(K$8,0))+SUMIFS(BetTable[[AR_per_bookie]:[AR_per_bookie]],BetTable[[B3]:[B3]],$A73,BetTable[[Date]:[Date]], "&gt;="&amp;K$8,BetTable[[Date]:[Date]],"&lt;="&amp;EOMONTH(K$8,0))</f>
        <v>0</v>
      </c>
      <c r="L73" s="126">
        <f>SUMIFS(DWbonus[[Sum]:[Sum]],DWbonus[[Dato]:[Dato]], "&gt;="&amp;L$8,DWbonus[[Dato]:[Dato]],"&lt;="&amp;EOMONTH(L$8,0),DWbonus[[Bookie]:[Bookie]],$A73)+SUMIFS(LayTable[[Faktisk res]:[Faktisk res]],LayTable[[Dato]:[Dato]],"&gt;="&amp;L$8,LayTable[[Dato]:[Dato]],"&lt;="&amp;EOMONTH(L$8,0),LayTable[[Bookmaker]:[Bookmaker]],$A73)+SUMIFS(BetTable[[AR_per_bookie]:[AR_per_bookie]],BetTable[[B1]:[B1]],$A73,BetTable[[Date]:[Date]], "&gt;="&amp;L$8,BetTable[[Date]:[Date]],"&lt;="&amp;EOMONTH(L$8,0))+SUMIFS(BetTable[[AR_per_bookie]:[AR_per_bookie]],BetTable[[B2]:[B2]],$A73,BetTable[[Date]:[Date]], "&gt;="&amp;L$8,BetTable[[Date]:[Date]],"&lt;="&amp;EOMONTH(L$8,0))+SUMIFS(BetTable[[AR_per_bookie]:[AR_per_bookie]],BetTable[[B3]:[B3]],$A73,BetTable[[Date]:[Date]], "&gt;="&amp;L$8,BetTable[[Date]:[Date]],"&lt;="&amp;EOMONTH(L$8,0))</f>
        <v>0</v>
      </c>
      <c r="M73" s="126">
        <f>SUMIFS(DWbonus[[Sum]:[Sum]],DWbonus[[Dato]:[Dato]], "&gt;="&amp;M$8,DWbonus[[Dato]:[Dato]],"&lt;="&amp;EOMONTH(M$8,0),DWbonus[[Bookie]:[Bookie]],$A73)+SUMIFS(LayTable[[Faktisk res]:[Faktisk res]],LayTable[[Dato]:[Dato]],"&gt;="&amp;M$8,LayTable[[Dato]:[Dato]],"&lt;="&amp;EOMONTH(M$8,0),LayTable[[Bookmaker]:[Bookmaker]],$A73)+SUMIFS(BetTable[[AR_per_bookie]:[AR_per_bookie]],BetTable[[B1]:[B1]],$A73,BetTable[[Date]:[Date]], "&gt;="&amp;M$8,BetTable[[Date]:[Date]],"&lt;="&amp;EOMONTH(M$8,0))+SUMIFS(BetTable[[AR_per_bookie]:[AR_per_bookie]],BetTable[[B2]:[B2]],$A73,BetTable[[Date]:[Date]], "&gt;="&amp;M$8,BetTable[[Date]:[Date]],"&lt;="&amp;EOMONTH(M$8,0))+SUMIFS(BetTable[[AR_per_bookie]:[AR_per_bookie]],BetTable[[B3]:[B3]],$A73,BetTable[[Date]:[Date]], "&gt;="&amp;M$8,BetTable[[Date]:[Date]],"&lt;="&amp;EOMONTH(M$8,0))</f>
        <v>0</v>
      </c>
      <c r="N73" s="126">
        <f>SUMIFS(DWbonus[[Sum]:[Sum]],DWbonus[[Dato]:[Dato]], "&gt;="&amp;N$8,DWbonus[[Dato]:[Dato]],"&lt;="&amp;EOMONTH(N$8,0),DWbonus[[Bookie]:[Bookie]],$A73)+SUMIFS(LayTable[[Faktisk res]:[Faktisk res]],LayTable[[Dato]:[Dato]],"&gt;="&amp;N$8,LayTable[[Dato]:[Dato]],"&lt;="&amp;EOMONTH(N$8,0),LayTable[[Bookmaker]:[Bookmaker]],$A73)+SUMIFS(BetTable[[AR_per_bookie]:[AR_per_bookie]],BetTable[[B1]:[B1]],$A73,BetTable[[Date]:[Date]], "&gt;="&amp;N$8,BetTable[[Date]:[Date]],"&lt;="&amp;EOMONTH(N$8,0))+SUMIFS(BetTable[[AR_per_bookie]:[AR_per_bookie]],BetTable[[B2]:[B2]],$A73,BetTable[[Date]:[Date]], "&gt;="&amp;N$8,BetTable[[Date]:[Date]],"&lt;="&amp;EOMONTH(N$8,0))+SUMIFS(BetTable[[AR_per_bookie]:[AR_per_bookie]],BetTable[[B3]:[B3]],$A73,BetTable[[Date]:[Date]], "&gt;="&amp;N$8,BetTable[[Date]:[Date]],"&lt;="&amp;EOMONTH(N$8,0))</f>
        <v>0</v>
      </c>
      <c r="O73" s="126">
        <f>SUMIFS(DWbonus[[Sum]:[Sum]],DWbonus[[Dato]:[Dato]], "&gt;="&amp;O$8,DWbonus[[Dato]:[Dato]],"&lt;="&amp;EOMONTH(O$8,0),DWbonus[[Bookie]:[Bookie]],$A73)+SUMIFS(LayTable[[Faktisk res]:[Faktisk res]],LayTable[[Dato]:[Dato]],"&gt;="&amp;O$8,LayTable[[Dato]:[Dato]],"&lt;="&amp;EOMONTH(O$8,0),LayTable[[Bookmaker]:[Bookmaker]],$A73)+SUMIFS(BetTable[[AR_per_bookie]:[AR_per_bookie]],BetTable[[B1]:[B1]],$A73,BetTable[[Date]:[Date]], "&gt;="&amp;O$8,BetTable[[Date]:[Date]],"&lt;="&amp;EOMONTH(O$8,0))+SUMIFS(BetTable[[AR_per_bookie]:[AR_per_bookie]],BetTable[[B2]:[B2]],$A73,BetTable[[Date]:[Date]], "&gt;="&amp;O$8,BetTable[[Date]:[Date]],"&lt;="&amp;EOMONTH(O$8,0))+SUMIFS(BetTable[[AR_per_bookie]:[AR_per_bookie]],BetTable[[B3]:[B3]],$A73,BetTable[[Date]:[Date]], "&gt;="&amp;O$8,BetTable[[Date]:[Date]],"&lt;="&amp;EOMONTH(O$8,0))</f>
        <v>0</v>
      </c>
      <c r="P73" s="126">
        <f>SUMIFS(DWbonus[[Sum]:[Sum]],DWbonus[[Dato]:[Dato]], "&gt;="&amp;P$8,DWbonus[[Dato]:[Dato]],"&lt;="&amp;EOMONTH(P$8,0),DWbonus[[Bookie]:[Bookie]],$A73)+SUMIFS(LayTable[[Faktisk res]:[Faktisk res]],LayTable[[Dato]:[Dato]],"&gt;="&amp;P$8,LayTable[[Dato]:[Dato]],"&lt;="&amp;EOMONTH(P$8,0),LayTable[[Bookmaker]:[Bookmaker]],$A73)+SUMIFS(BetTable[[AR_per_bookie]:[AR_per_bookie]],BetTable[[B1]:[B1]],$A73,BetTable[[Date]:[Date]], "&gt;="&amp;P$8,BetTable[[Date]:[Date]],"&lt;="&amp;EOMONTH(P$8,0))+SUMIFS(BetTable[[AR_per_bookie]:[AR_per_bookie]],BetTable[[B2]:[B2]],$A73,BetTable[[Date]:[Date]], "&gt;="&amp;P$8,BetTable[[Date]:[Date]],"&lt;="&amp;EOMONTH(P$8,0))+SUMIFS(BetTable[[AR_per_bookie]:[AR_per_bookie]],BetTable[[B3]:[B3]],$A73,BetTable[[Date]:[Date]], "&gt;="&amp;P$8,BetTable[[Date]:[Date]],"&lt;="&amp;EOMONTH(P$8,0))</f>
        <v>0</v>
      </c>
      <c r="Q73" s="126">
        <f>SUMIFS(DWbonus[[Sum]:[Sum]],DWbonus[[Dato]:[Dato]], "&gt;="&amp;Q$8,DWbonus[[Dato]:[Dato]],"&lt;="&amp;EOMONTH(Q$8,0),DWbonus[[Bookie]:[Bookie]],$A73)+SUMIFS(LayTable[[Faktisk res]:[Faktisk res]],LayTable[[Dato]:[Dato]],"&gt;="&amp;Q$8,LayTable[[Dato]:[Dato]],"&lt;="&amp;EOMONTH(Q$8,0),LayTable[[Bookmaker]:[Bookmaker]],$A73)+SUMIFS(BetTable[[AR_per_bookie]:[AR_per_bookie]],BetTable[[B1]:[B1]],$A73,BetTable[[Date]:[Date]], "&gt;="&amp;Q$8,BetTable[[Date]:[Date]],"&lt;="&amp;EOMONTH(Q$8,0))+SUMIFS(BetTable[[AR_per_bookie]:[AR_per_bookie]],BetTable[[B2]:[B2]],$A73,BetTable[[Date]:[Date]], "&gt;="&amp;Q$8,BetTable[[Date]:[Date]],"&lt;="&amp;EOMONTH(Q$8,0))+SUMIFS(BetTable[[AR_per_bookie]:[AR_per_bookie]],BetTable[[B3]:[B3]],$A73,BetTable[[Date]:[Date]], "&gt;="&amp;Q$8,BetTable[[Date]:[Date]],"&lt;="&amp;EOMONTH(Q$8,0))</f>
        <v>0</v>
      </c>
      <c r="R73" s="126">
        <f>SUMIFS(DWbonus[[Sum]:[Sum]],DWbonus[[Dato]:[Dato]], "&gt;="&amp;R$8,DWbonus[[Dato]:[Dato]],"&lt;="&amp;EOMONTH(R$8,0),DWbonus[[Bookie]:[Bookie]],$A73)+SUMIFS(LayTable[[Faktisk res]:[Faktisk res]],LayTable[[Dato]:[Dato]],"&gt;="&amp;R$8,LayTable[[Dato]:[Dato]],"&lt;="&amp;EOMONTH(R$8,0),LayTable[[Bookmaker]:[Bookmaker]],$A73)+SUMIFS(BetTable[[AR_per_bookie]:[AR_per_bookie]],BetTable[[B1]:[B1]],$A73,BetTable[[Date]:[Date]], "&gt;="&amp;R$8,BetTable[[Date]:[Date]],"&lt;="&amp;EOMONTH(R$8,0))+SUMIFS(BetTable[[AR_per_bookie]:[AR_per_bookie]],BetTable[[B2]:[B2]],$A73,BetTable[[Date]:[Date]], "&gt;="&amp;R$8,BetTable[[Date]:[Date]],"&lt;="&amp;EOMONTH(R$8,0))+SUMIFS(BetTable[[AR_per_bookie]:[AR_per_bookie]],BetTable[[B3]:[B3]],$A73,BetTable[[Date]:[Date]], "&gt;="&amp;R$8,BetTable[[Date]:[Date]],"&lt;="&amp;EOMONTH(R$8,0))</f>
        <v>0</v>
      </c>
      <c r="S73" s="126">
        <f>SUMIFS(DWbonus[[Sum]:[Sum]],DWbonus[[Dato]:[Dato]], "&gt;="&amp;S$8,DWbonus[[Dato]:[Dato]],"&lt;="&amp;EOMONTH(S$8,0),DWbonus[[Bookie]:[Bookie]],$A73)+SUMIFS(LayTable[[Faktisk res]:[Faktisk res]],LayTable[[Dato]:[Dato]],"&gt;="&amp;S$8,LayTable[[Dato]:[Dato]],"&lt;="&amp;EOMONTH(S$8,0),LayTable[[Bookmaker]:[Bookmaker]],$A73)+SUMIFS(BetTable[[AR_per_bookie]:[AR_per_bookie]],BetTable[[B1]:[B1]],$A73,BetTable[[Date]:[Date]], "&gt;="&amp;S$8,BetTable[[Date]:[Date]],"&lt;="&amp;EOMONTH(S$8,0))+SUMIFS(BetTable[[AR_per_bookie]:[AR_per_bookie]],BetTable[[B2]:[B2]],$A73,BetTable[[Date]:[Date]], "&gt;="&amp;S$8,BetTable[[Date]:[Date]],"&lt;="&amp;EOMONTH(S$8,0))+SUMIFS(BetTable[[AR_per_bookie]:[AR_per_bookie]],BetTable[[B3]:[B3]],$A73,BetTable[[Date]:[Date]], "&gt;="&amp;S$8,BetTable[[Date]:[Date]],"&lt;="&amp;EOMONTH(S$8,0))</f>
        <v>0</v>
      </c>
    </row>
    <row r="74" spans="1:19">
      <c r="A74" s="115" t="str">
        <f>BookieNavn!I66</f>
        <v>Sunmaker</v>
      </c>
      <c r="B74" s="126">
        <f>SUMIF(Penger!D$1:D$50072,A74,Penger!F$1:F$50072)</f>
        <v>0</v>
      </c>
      <c r="C74" s="126">
        <f>SUMIF(Penger!T$1:T$50072,A74,Penger!U$1:U$50072)</f>
        <v>0</v>
      </c>
      <c r="D74" s="126">
        <f ca="1">SUMIF(Spill!C$1:C$499895,A74,Spill!T$1:T$49895)+C74</f>
        <v>0</v>
      </c>
      <c r="E74" s="126">
        <f>SUMIF(Spill!C$1:C$49895,A74,Spill!T$1:T$49895)</f>
        <v>0</v>
      </c>
      <c r="F74" s="121" t="e">
        <f t="shared" ca="1" si="1"/>
        <v>#DIV/0!</v>
      </c>
      <c r="H74" s="126">
        <f>SUMIFS(DWbonus[[Sum]:[Sum]],DWbonus[[Dato]:[Dato]], "&gt;="&amp;H$8,DWbonus[[Dato]:[Dato]],"&lt;="&amp;EOMONTH(H$8,0),DWbonus[[Bookie]:[Bookie]],$A74)+SUMIFS(LayTable[[Faktisk res]:[Faktisk res]],LayTable[[Dato]:[Dato]],"&gt;="&amp;H$8,LayTable[[Dato]:[Dato]],"&lt;="&amp;EOMONTH(H$8,0),LayTable[[Bookmaker]:[Bookmaker]],$A74)+SUMIFS(BetTable[[AR_per_bookie]:[AR_per_bookie]],BetTable[[B1]:[B1]],$A74,BetTable[[Date]:[Date]], "&gt;="&amp;H$8,BetTable[[Date]:[Date]],"&lt;="&amp;EOMONTH(H$8,0))+SUMIFS(BetTable[[AR_per_bookie]:[AR_per_bookie]],BetTable[[B2]:[B2]],$A74,BetTable[[Date]:[Date]], "&gt;="&amp;H$8,BetTable[[Date]:[Date]],"&lt;="&amp;EOMONTH(H$8,0))+SUMIFS(BetTable[[AR_per_bookie]:[AR_per_bookie]],BetTable[[B3]:[B3]],$A74,BetTable[[Date]:[Date]], "&gt;="&amp;H$8,BetTable[[Date]:[Date]],"&lt;="&amp;EOMONTH(H$8,0))</f>
        <v>0</v>
      </c>
      <c r="I74" s="126">
        <f>SUMIFS(DWbonus[[Sum]:[Sum]],DWbonus[[Dato]:[Dato]], "&gt;="&amp;I$8,DWbonus[[Dato]:[Dato]],"&lt;="&amp;EOMONTH(I$8,0),DWbonus[[Bookie]:[Bookie]],$A74)+SUMIFS(LayTable[[Faktisk res]:[Faktisk res]],LayTable[[Dato]:[Dato]],"&gt;="&amp;I$8,LayTable[[Dato]:[Dato]],"&lt;="&amp;EOMONTH(I$8,0),LayTable[[Bookmaker]:[Bookmaker]],$A74)+SUMIFS(BetTable[[AR_per_bookie]:[AR_per_bookie]],BetTable[[B1]:[B1]],$A74,BetTable[[Date]:[Date]], "&gt;="&amp;I$8,BetTable[[Date]:[Date]],"&lt;="&amp;EOMONTH(I$8,0))+SUMIFS(BetTable[[AR_per_bookie]:[AR_per_bookie]],BetTable[[B2]:[B2]],$A74,BetTable[[Date]:[Date]], "&gt;="&amp;I$8,BetTable[[Date]:[Date]],"&lt;="&amp;EOMONTH(I$8,0))+SUMIFS(BetTable[[AR_per_bookie]:[AR_per_bookie]],BetTable[[B3]:[B3]],$A74,BetTable[[Date]:[Date]], "&gt;="&amp;I$8,BetTable[[Date]:[Date]],"&lt;="&amp;EOMONTH(I$8,0))</f>
        <v>0</v>
      </c>
      <c r="J74" s="126">
        <f>SUMIFS(DWbonus[[Sum]:[Sum]],DWbonus[[Dato]:[Dato]], "&gt;="&amp;J$8,DWbonus[[Dato]:[Dato]],"&lt;="&amp;EOMONTH(J$8,0),DWbonus[[Bookie]:[Bookie]],$A74)+SUMIFS(LayTable[[Faktisk res]:[Faktisk res]],LayTable[[Dato]:[Dato]],"&gt;="&amp;J$8,LayTable[[Dato]:[Dato]],"&lt;="&amp;EOMONTH(J$8,0),LayTable[[Bookmaker]:[Bookmaker]],$A74)+SUMIFS(BetTable[[AR_per_bookie]:[AR_per_bookie]],BetTable[[B1]:[B1]],$A74,BetTable[[Date]:[Date]], "&gt;="&amp;J$8,BetTable[[Date]:[Date]],"&lt;="&amp;EOMONTH(J$8,0))+SUMIFS(BetTable[[AR_per_bookie]:[AR_per_bookie]],BetTable[[B2]:[B2]],$A74,BetTable[[Date]:[Date]], "&gt;="&amp;J$8,BetTable[[Date]:[Date]],"&lt;="&amp;EOMONTH(J$8,0))+SUMIFS(BetTable[[AR_per_bookie]:[AR_per_bookie]],BetTable[[B3]:[B3]],$A74,BetTable[[Date]:[Date]], "&gt;="&amp;J$8,BetTable[[Date]:[Date]],"&lt;="&amp;EOMONTH(J$8,0))</f>
        <v>0</v>
      </c>
      <c r="K74" s="126">
        <f>SUMIFS(DWbonus[[Sum]:[Sum]],DWbonus[[Dato]:[Dato]], "&gt;="&amp;K$8,DWbonus[[Dato]:[Dato]],"&lt;="&amp;EOMONTH(K$8,0),DWbonus[[Bookie]:[Bookie]],$A74)+SUMIFS(LayTable[[Faktisk res]:[Faktisk res]],LayTable[[Dato]:[Dato]],"&gt;="&amp;K$8,LayTable[[Dato]:[Dato]],"&lt;="&amp;EOMONTH(K$8,0),LayTable[[Bookmaker]:[Bookmaker]],$A74)+SUMIFS(BetTable[[AR_per_bookie]:[AR_per_bookie]],BetTable[[B1]:[B1]],$A74,BetTable[[Date]:[Date]], "&gt;="&amp;K$8,BetTable[[Date]:[Date]],"&lt;="&amp;EOMONTH(K$8,0))+SUMIFS(BetTable[[AR_per_bookie]:[AR_per_bookie]],BetTable[[B2]:[B2]],$A74,BetTable[[Date]:[Date]], "&gt;="&amp;K$8,BetTable[[Date]:[Date]],"&lt;="&amp;EOMONTH(K$8,0))+SUMIFS(BetTable[[AR_per_bookie]:[AR_per_bookie]],BetTable[[B3]:[B3]],$A74,BetTable[[Date]:[Date]], "&gt;="&amp;K$8,BetTable[[Date]:[Date]],"&lt;="&amp;EOMONTH(K$8,0))</f>
        <v>0</v>
      </c>
      <c r="L74" s="126">
        <f>SUMIFS(DWbonus[[Sum]:[Sum]],DWbonus[[Dato]:[Dato]], "&gt;="&amp;L$8,DWbonus[[Dato]:[Dato]],"&lt;="&amp;EOMONTH(L$8,0),DWbonus[[Bookie]:[Bookie]],$A74)+SUMIFS(LayTable[[Faktisk res]:[Faktisk res]],LayTable[[Dato]:[Dato]],"&gt;="&amp;L$8,LayTable[[Dato]:[Dato]],"&lt;="&amp;EOMONTH(L$8,0),LayTable[[Bookmaker]:[Bookmaker]],$A74)+SUMIFS(BetTable[[AR_per_bookie]:[AR_per_bookie]],BetTable[[B1]:[B1]],$A74,BetTable[[Date]:[Date]], "&gt;="&amp;L$8,BetTable[[Date]:[Date]],"&lt;="&amp;EOMONTH(L$8,0))+SUMIFS(BetTable[[AR_per_bookie]:[AR_per_bookie]],BetTable[[B2]:[B2]],$A74,BetTable[[Date]:[Date]], "&gt;="&amp;L$8,BetTable[[Date]:[Date]],"&lt;="&amp;EOMONTH(L$8,0))+SUMIFS(BetTable[[AR_per_bookie]:[AR_per_bookie]],BetTable[[B3]:[B3]],$A74,BetTable[[Date]:[Date]], "&gt;="&amp;L$8,BetTable[[Date]:[Date]],"&lt;="&amp;EOMONTH(L$8,0))</f>
        <v>0</v>
      </c>
      <c r="M74" s="126">
        <f>SUMIFS(DWbonus[[Sum]:[Sum]],DWbonus[[Dato]:[Dato]], "&gt;="&amp;M$8,DWbonus[[Dato]:[Dato]],"&lt;="&amp;EOMONTH(M$8,0),DWbonus[[Bookie]:[Bookie]],$A74)+SUMIFS(LayTable[[Faktisk res]:[Faktisk res]],LayTable[[Dato]:[Dato]],"&gt;="&amp;M$8,LayTable[[Dato]:[Dato]],"&lt;="&amp;EOMONTH(M$8,0),LayTable[[Bookmaker]:[Bookmaker]],$A74)+SUMIFS(BetTable[[AR_per_bookie]:[AR_per_bookie]],BetTable[[B1]:[B1]],$A74,BetTable[[Date]:[Date]], "&gt;="&amp;M$8,BetTable[[Date]:[Date]],"&lt;="&amp;EOMONTH(M$8,0))+SUMIFS(BetTable[[AR_per_bookie]:[AR_per_bookie]],BetTable[[B2]:[B2]],$A74,BetTable[[Date]:[Date]], "&gt;="&amp;M$8,BetTable[[Date]:[Date]],"&lt;="&amp;EOMONTH(M$8,0))+SUMIFS(BetTable[[AR_per_bookie]:[AR_per_bookie]],BetTable[[B3]:[B3]],$A74,BetTable[[Date]:[Date]], "&gt;="&amp;M$8,BetTable[[Date]:[Date]],"&lt;="&amp;EOMONTH(M$8,0))</f>
        <v>0</v>
      </c>
      <c r="N74" s="126">
        <f>SUMIFS(DWbonus[[Sum]:[Sum]],DWbonus[[Dato]:[Dato]], "&gt;="&amp;N$8,DWbonus[[Dato]:[Dato]],"&lt;="&amp;EOMONTH(N$8,0),DWbonus[[Bookie]:[Bookie]],$A74)+SUMIFS(LayTable[[Faktisk res]:[Faktisk res]],LayTable[[Dato]:[Dato]],"&gt;="&amp;N$8,LayTable[[Dato]:[Dato]],"&lt;="&amp;EOMONTH(N$8,0),LayTable[[Bookmaker]:[Bookmaker]],$A74)+SUMIFS(BetTable[[AR_per_bookie]:[AR_per_bookie]],BetTable[[B1]:[B1]],$A74,BetTable[[Date]:[Date]], "&gt;="&amp;N$8,BetTable[[Date]:[Date]],"&lt;="&amp;EOMONTH(N$8,0))+SUMIFS(BetTable[[AR_per_bookie]:[AR_per_bookie]],BetTable[[B2]:[B2]],$A74,BetTable[[Date]:[Date]], "&gt;="&amp;N$8,BetTable[[Date]:[Date]],"&lt;="&amp;EOMONTH(N$8,0))+SUMIFS(BetTable[[AR_per_bookie]:[AR_per_bookie]],BetTable[[B3]:[B3]],$A74,BetTable[[Date]:[Date]], "&gt;="&amp;N$8,BetTable[[Date]:[Date]],"&lt;="&amp;EOMONTH(N$8,0))</f>
        <v>0</v>
      </c>
      <c r="O74" s="126">
        <f>SUMIFS(DWbonus[[Sum]:[Sum]],DWbonus[[Dato]:[Dato]], "&gt;="&amp;O$8,DWbonus[[Dato]:[Dato]],"&lt;="&amp;EOMONTH(O$8,0),DWbonus[[Bookie]:[Bookie]],$A74)+SUMIFS(LayTable[[Faktisk res]:[Faktisk res]],LayTable[[Dato]:[Dato]],"&gt;="&amp;O$8,LayTable[[Dato]:[Dato]],"&lt;="&amp;EOMONTH(O$8,0),LayTable[[Bookmaker]:[Bookmaker]],$A74)+SUMIFS(BetTable[[AR_per_bookie]:[AR_per_bookie]],BetTable[[B1]:[B1]],$A74,BetTable[[Date]:[Date]], "&gt;="&amp;O$8,BetTable[[Date]:[Date]],"&lt;="&amp;EOMONTH(O$8,0))+SUMIFS(BetTable[[AR_per_bookie]:[AR_per_bookie]],BetTable[[B2]:[B2]],$A74,BetTable[[Date]:[Date]], "&gt;="&amp;O$8,BetTable[[Date]:[Date]],"&lt;="&amp;EOMONTH(O$8,0))+SUMIFS(BetTable[[AR_per_bookie]:[AR_per_bookie]],BetTable[[B3]:[B3]],$A74,BetTable[[Date]:[Date]], "&gt;="&amp;O$8,BetTable[[Date]:[Date]],"&lt;="&amp;EOMONTH(O$8,0))</f>
        <v>0</v>
      </c>
      <c r="P74" s="126">
        <f>SUMIFS(DWbonus[[Sum]:[Sum]],DWbonus[[Dato]:[Dato]], "&gt;="&amp;P$8,DWbonus[[Dato]:[Dato]],"&lt;="&amp;EOMONTH(P$8,0),DWbonus[[Bookie]:[Bookie]],$A74)+SUMIFS(LayTable[[Faktisk res]:[Faktisk res]],LayTable[[Dato]:[Dato]],"&gt;="&amp;P$8,LayTable[[Dato]:[Dato]],"&lt;="&amp;EOMONTH(P$8,0),LayTable[[Bookmaker]:[Bookmaker]],$A74)+SUMIFS(BetTable[[AR_per_bookie]:[AR_per_bookie]],BetTable[[B1]:[B1]],$A74,BetTable[[Date]:[Date]], "&gt;="&amp;P$8,BetTable[[Date]:[Date]],"&lt;="&amp;EOMONTH(P$8,0))+SUMIFS(BetTable[[AR_per_bookie]:[AR_per_bookie]],BetTable[[B2]:[B2]],$A74,BetTable[[Date]:[Date]], "&gt;="&amp;P$8,BetTable[[Date]:[Date]],"&lt;="&amp;EOMONTH(P$8,0))+SUMIFS(BetTable[[AR_per_bookie]:[AR_per_bookie]],BetTable[[B3]:[B3]],$A74,BetTable[[Date]:[Date]], "&gt;="&amp;P$8,BetTable[[Date]:[Date]],"&lt;="&amp;EOMONTH(P$8,0))</f>
        <v>0</v>
      </c>
      <c r="Q74" s="126">
        <f>SUMIFS(DWbonus[[Sum]:[Sum]],DWbonus[[Dato]:[Dato]], "&gt;="&amp;Q$8,DWbonus[[Dato]:[Dato]],"&lt;="&amp;EOMONTH(Q$8,0),DWbonus[[Bookie]:[Bookie]],$A74)+SUMIFS(LayTable[[Faktisk res]:[Faktisk res]],LayTable[[Dato]:[Dato]],"&gt;="&amp;Q$8,LayTable[[Dato]:[Dato]],"&lt;="&amp;EOMONTH(Q$8,0),LayTable[[Bookmaker]:[Bookmaker]],$A74)+SUMIFS(BetTable[[AR_per_bookie]:[AR_per_bookie]],BetTable[[B1]:[B1]],$A74,BetTable[[Date]:[Date]], "&gt;="&amp;Q$8,BetTable[[Date]:[Date]],"&lt;="&amp;EOMONTH(Q$8,0))+SUMIFS(BetTable[[AR_per_bookie]:[AR_per_bookie]],BetTable[[B2]:[B2]],$A74,BetTable[[Date]:[Date]], "&gt;="&amp;Q$8,BetTable[[Date]:[Date]],"&lt;="&amp;EOMONTH(Q$8,0))+SUMIFS(BetTable[[AR_per_bookie]:[AR_per_bookie]],BetTable[[B3]:[B3]],$A74,BetTable[[Date]:[Date]], "&gt;="&amp;Q$8,BetTable[[Date]:[Date]],"&lt;="&amp;EOMONTH(Q$8,0))</f>
        <v>0</v>
      </c>
      <c r="R74" s="126">
        <f>SUMIFS(DWbonus[[Sum]:[Sum]],DWbonus[[Dato]:[Dato]], "&gt;="&amp;R$8,DWbonus[[Dato]:[Dato]],"&lt;="&amp;EOMONTH(R$8,0),DWbonus[[Bookie]:[Bookie]],$A74)+SUMIFS(LayTable[[Faktisk res]:[Faktisk res]],LayTable[[Dato]:[Dato]],"&gt;="&amp;R$8,LayTable[[Dato]:[Dato]],"&lt;="&amp;EOMONTH(R$8,0),LayTable[[Bookmaker]:[Bookmaker]],$A74)+SUMIFS(BetTable[[AR_per_bookie]:[AR_per_bookie]],BetTable[[B1]:[B1]],$A74,BetTable[[Date]:[Date]], "&gt;="&amp;R$8,BetTable[[Date]:[Date]],"&lt;="&amp;EOMONTH(R$8,0))+SUMIFS(BetTable[[AR_per_bookie]:[AR_per_bookie]],BetTable[[B2]:[B2]],$A74,BetTable[[Date]:[Date]], "&gt;="&amp;R$8,BetTable[[Date]:[Date]],"&lt;="&amp;EOMONTH(R$8,0))+SUMIFS(BetTable[[AR_per_bookie]:[AR_per_bookie]],BetTable[[B3]:[B3]],$A74,BetTable[[Date]:[Date]], "&gt;="&amp;R$8,BetTable[[Date]:[Date]],"&lt;="&amp;EOMONTH(R$8,0))</f>
        <v>0</v>
      </c>
      <c r="S74" s="126">
        <f>SUMIFS(DWbonus[[Sum]:[Sum]],DWbonus[[Dato]:[Dato]], "&gt;="&amp;S$8,DWbonus[[Dato]:[Dato]],"&lt;="&amp;EOMONTH(S$8,0),DWbonus[[Bookie]:[Bookie]],$A74)+SUMIFS(LayTable[[Faktisk res]:[Faktisk res]],LayTable[[Dato]:[Dato]],"&gt;="&amp;S$8,LayTable[[Dato]:[Dato]],"&lt;="&amp;EOMONTH(S$8,0),LayTable[[Bookmaker]:[Bookmaker]],$A74)+SUMIFS(BetTable[[AR_per_bookie]:[AR_per_bookie]],BetTable[[B1]:[B1]],$A74,BetTable[[Date]:[Date]], "&gt;="&amp;S$8,BetTable[[Date]:[Date]],"&lt;="&amp;EOMONTH(S$8,0))+SUMIFS(BetTable[[AR_per_bookie]:[AR_per_bookie]],BetTable[[B2]:[B2]],$A74,BetTable[[Date]:[Date]], "&gt;="&amp;S$8,BetTable[[Date]:[Date]],"&lt;="&amp;EOMONTH(S$8,0))+SUMIFS(BetTable[[AR_per_bookie]:[AR_per_bookie]],BetTable[[B3]:[B3]],$A74,BetTable[[Date]:[Date]], "&gt;="&amp;S$8,BetTable[[Date]:[Date]],"&lt;="&amp;EOMONTH(S$8,0))</f>
        <v>0</v>
      </c>
    </row>
    <row r="75" spans="1:19">
      <c r="A75" s="115" t="str">
        <f>BookieNavn!I67</f>
        <v>Superlenny</v>
      </c>
      <c r="B75" s="126">
        <f>SUMIF(Penger!D$1:D$50072,A75,Penger!F$1:F$50072)</f>
        <v>0</v>
      </c>
      <c r="C75" s="126">
        <f>SUMIF(Penger!T$1:T$50072,A75,Penger!U$1:U$50072)</f>
        <v>0</v>
      </c>
      <c r="D75" s="126">
        <f ca="1">SUMIF(Spill!C$1:C$499895,A75,Spill!T$1:T$49895)+C75</f>
        <v>0</v>
      </c>
      <c r="E75" s="126">
        <f>SUMIF(Spill!C$1:C$49895,A75,Spill!T$1:T$49895)</f>
        <v>0</v>
      </c>
      <c r="F75" s="121" t="e">
        <f t="shared" ca="1" si="1"/>
        <v>#DIV/0!</v>
      </c>
      <c r="H75" s="126">
        <f>SUMIFS(DWbonus[[Sum]:[Sum]],DWbonus[[Dato]:[Dato]], "&gt;="&amp;H$8,DWbonus[[Dato]:[Dato]],"&lt;="&amp;EOMONTH(H$8,0),DWbonus[[Bookie]:[Bookie]],$A75)+SUMIFS(LayTable[[Faktisk res]:[Faktisk res]],LayTable[[Dato]:[Dato]],"&gt;="&amp;H$8,LayTable[[Dato]:[Dato]],"&lt;="&amp;EOMONTH(H$8,0),LayTable[[Bookmaker]:[Bookmaker]],$A75)+SUMIFS(BetTable[[AR_per_bookie]:[AR_per_bookie]],BetTable[[B1]:[B1]],$A75,BetTable[[Date]:[Date]], "&gt;="&amp;H$8,BetTable[[Date]:[Date]],"&lt;="&amp;EOMONTH(H$8,0))+SUMIFS(BetTable[[AR_per_bookie]:[AR_per_bookie]],BetTable[[B2]:[B2]],$A75,BetTable[[Date]:[Date]], "&gt;="&amp;H$8,BetTable[[Date]:[Date]],"&lt;="&amp;EOMONTH(H$8,0))+SUMIFS(BetTable[[AR_per_bookie]:[AR_per_bookie]],BetTable[[B3]:[B3]],$A75,BetTable[[Date]:[Date]], "&gt;="&amp;H$8,BetTable[[Date]:[Date]],"&lt;="&amp;EOMONTH(H$8,0))</f>
        <v>0</v>
      </c>
      <c r="I75" s="126">
        <f>SUMIFS(DWbonus[[Sum]:[Sum]],DWbonus[[Dato]:[Dato]], "&gt;="&amp;I$8,DWbonus[[Dato]:[Dato]],"&lt;="&amp;EOMONTH(I$8,0),DWbonus[[Bookie]:[Bookie]],$A75)+SUMIFS(LayTable[[Faktisk res]:[Faktisk res]],LayTable[[Dato]:[Dato]],"&gt;="&amp;I$8,LayTable[[Dato]:[Dato]],"&lt;="&amp;EOMONTH(I$8,0),LayTable[[Bookmaker]:[Bookmaker]],$A75)+SUMIFS(BetTable[[AR_per_bookie]:[AR_per_bookie]],BetTable[[B1]:[B1]],$A75,BetTable[[Date]:[Date]], "&gt;="&amp;I$8,BetTable[[Date]:[Date]],"&lt;="&amp;EOMONTH(I$8,0))+SUMIFS(BetTable[[AR_per_bookie]:[AR_per_bookie]],BetTable[[B2]:[B2]],$A75,BetTable[[Date]:[Date]], "&gt;="&amp;I$8,BetTable[[Date]:[Date]],"&lt;="&amp;EOMONTH(I$8,0))+SUMIFS(BetTable[[AR_per_bookie]:[AR_per_bookie]],BetTable[[B3]:[B3]],$A75,BetTable[[Date]:[Date]], "&gt;="&amp;I$8,BetTable[[Date]:[Date]],"&lt;="&amp;EOMONTH(I$8,0))</f>
        <v>0</v>
      </c>
      <c r="J75" s="126">
        <f>SUMIFS(DWbonus[[Sum]:[Sum]],DWbonus[[Dato]:[Dato]], "&gt;="&amp;J$8,DWbonus[[Dato]:[Dato]],"&lt;="&amp;EOMONTH(J$8,0),DWbonus[[Bookie]:[Bookie]],$A75)+SUMIFS(LayTable[[Faktisk res]:[Faktisk res]],LayTable[[Dato]:[Dato]],"&gt;="&amp;J$8,LayTable[[Dato]:[Dato]],"&lt;="&amp;EOMONTH(J$8,0),LayTable[[Bookmaker]:[Bookmaker]],$A75)+SUMIFS(BetTable[[AR_per_bookie]:[AR_per_bookie]],BetTable[[B1]:[B1]],$A75,BetTable[[Date]:[Date]], "&gt;="&amp;J$8,BetTable[[Date]:[Date]],"&lt;="&amp;EOMONTH(J$8,0))+SUMIFS(BetTable[[AR_per_bookie]:[AR_per_bookie]],BetTable[[B2]:[B2]],$A75,BetTable[[Date]:[Date]], "&gt;="&amp;J$8,BetTable[[Date]:[Date]],"&lt;="&amp;EOMONTH(J$8,0))+SUMIFS(BetTable[[AR_per_bookie]:[AR_per_bookie]],BetTable[[B3]:[B3]],$A75,BetTable[[Date]:[Date]], "&gt;="&amp;J$8,BetTable[[Date]:[Date]],"&lt;="&amp;EOMONTH(J$8,0))</f>
        <v>0</v>
      </c>
      <c r="K75" s="126">
        <f>SUMIFS(DWbonus[[Sum]:[Sum]],DWbonus[[Dato]:[Dato]], "&gt;="&amp;K$8,DWbonus[[Dato]:[Dato]],"&lt;="&amp;EOMONTH(K$8,0),DWbonus[[Bookie]:[Bookie]],$A75)+SUMIFS(LayTable[[Faktisk res]:[Faktisk res]],LayTable[[Dato]:[Dato]],"&gt;="&amp;K$8,LayTable[[Dato]:[Dato]],"&lt;="&amp;EOMONTH(K$8,0),LayTable[[Bookmaker]:[Bookmaker]],$A75)+SUMIFS(BetTable[[AR_per_bookie]:[AR_per_bookie]],BetTable[[B1]:[B1]],$A75,BetTable[[Date]:[Date]], "&gt;="&amp;K$8,BetTable[[Date]:[Date]],"&lt;="&amp;EOMONTH(K$8,0))+SUMIFS(BetTable[[AR_per_bookie]:[AR_per_bookie]],BetTable[[B2]:[B2]],$A75,BetTable[[Date]:[Date]], "&gt;="&amp;K$8,BetTable[[Date]:[Date]],"&lt;="&amp;EOMONTH(K$8,0))+SUMIFS(BetTable[[AR_per_bookie]:[AR_per_bookie]],BetTable[[B3]:[B3]],$A75,BetTable[[Date]:[Date]], "&gt;="&amp;K$8,BetTable[[Date]:[Date]],"&lt;="&amp;EOMONTH(K$8,0))</f>
        <v>0</v>
      </c>
      <c r="L75" s="126">
        <f>SUMIFS(DWbonus[[Sum]:[Sum]],DWbonus[[Dato]:[Dato]], "&gt;="&amp;L$8,DWbonus[[Dato]:[Dato]],"&lt;="&amp;EOMONTH(L$8,0),DWbonus[[Bookie]:[Bookie]],$A75)+SUMIFS(LayTable[[Faktisk res]:[Faktisk res]],LayTable[[Dato]:[Dato]],"&gt;="&amp;L$8,LayTable[[Dato]:[Dato]],"&lt;="&amp;EOMONTH(L$8,0),LayTable[[Bookmaker]:[Bookmaker]],$A75)+SUMIFS(BetTable[[AR_per_bookie]:[AR_per_bookie]],BetTable[[B1]:[B1]],$A75,BetTable[[Date]:[Date]], "&gt;="&amp;L$8,BetTable[[Date]:[Date]],"&lt;="&amp;EOMONTH(L$8,0))+SUMIFS(BetTable[[AR_per_bookie]:[AR_per_bookie]],BetTable[[B2]:[B2]],$A75,BetTable[[Date]:[Date]], "&gt;="&amp;L$8,BetTable[[Date]:[Date]],"&lt;="&amp;EOMONTH(L$8,0))+SUMIFS(BetTable[[AR_per_bookie]:[AR_per_bookie]],BetTable[[B3]:[B3]],$A75,BetTable[[Date]:[Date]], "&gt;="&amp;L$8,BetTable[[Date]:[Date]],"&lt;="&amp;EOMONTH(L$8,0))</f>
        <v>0</v>
      </c>
      <c r="M75" s="126">
        <f>SUMIFS(DWbonus[[Sum]:[Sum]],DWbonus[[Dato]:[Dato]], "&gt;="&amp;M$8,DWbonus[[Dato]:[Dato]],"&lt;="&amp;EOMONTH(M$8,0),DWbonus[[Bookie]:[Bookie]],$A75)+SUMIFS(LayTable[[Faktisk res]:[Faktisk res]],LayTable[[Dato]:[Dato]],"&gt;="&amp;M$8,LayTable[[Dato]:[Dato]],"&lt;="&amp;EOMONTH(M$8,0),LayTable[[Bookmaker]:[Bookmaker]],$A75)+SUMIFS(BetTable[[AR_per_bookie]:[AR_per_bookie]],BetTable[[B1]:[B1]],$A75,BetTable[[Date]:[Date]], "&gt;="&amp;M$8,BetTable[[Date]:[Date]],"&lt;="&amp;EOMONTH(M$8,0))+SUMIFS(BetTable[[AR_per_bookie]:[AR_per_bookie]],BetTable[[B2]:[B2]],$A75,BetTable[[Date]:[Date]], "&gt;="&amp;M$8,BetTable[[Date]:[Date]],"&lt;="&amp;EOMONTH(M$8,0))+SUMIFS(BetTable[[AR_per_bookie]:[AR_per_bookie]],BetTable[[B3]:[B3]],$A75,BetTable[[Date]:[Date]], "&gt;="&amp;M$8,BetTable[[Date]:[Date]],"&lt;="&amp;EOMONTH(M$8,0))</f>
        <v>0</v>
      </c>
      <c r="N75" s="126">
        <f>SUMIFS(DWbonus[[Sum]:[Sum]],DWbonus[[Dato]:[Dato]], "&gt;="&amp;N$8,DWbonus[[Dato]:[Dato]],"&lt;="&amp;EOMONTH(N$8,0),DWbonus[[Bookie]:[Bookie]],$A75)+SUMIFS(LayTable[[Faktisk res]:[Faktisk res]],LayTable[[Dato]:[Dato]],"&gt;="&amp;N$8,LayTable[[Dato]:[Dato]],"&lt;="&amp;EOMONTH(N$8,0),LayTable[[Bookmaker]:[Bookmaker]],$A75)+SUMIFS(BetTable[[AR_per_bookie]:[AR_per_bookie]],BetTable[[B1]:[B1]],$A75,BetTable[[Date]:[Date]], "&gt;="&amp;N$8,BetTable[[Date]:[Date]],"&lt;="&amp;EOMONTH(N$8,0))+SUMIFS(BetTable[[AR_per_bookie]:[AR_per_bookie]],BetTable[[B2]:[B2]],$A75,BetTable[[Date]:[Date]], "&gt;="&amp;N$8,BetTable[[Date]:[Date]],"&lt;="&amp;EOMONTH(N$8,0))+SUMIFS(BetTable[[AR_per_bookie]:[AR_per_bookie]],BetTable[[B3]:[B3]],$A75,BetTable[[Date]:[Date]], "&gt;="&amp;N$8,BetTable[[Date]:[Date]],"&lt;="&amp;EOMONTH(N$8,0))</f>
        <v>0</v>
      </c>
      <c r="O75" s="126">
        <f>SUMIFS(DWbonus[[Sum]:[Sum]],DWbonus[[Dato]:[Dato]], "&gt;="&amp;O$8,DWbonus[[Dato]:[Dato]],"&lt;="&amp;EOMONTH(O$8,0),DWbonus[[Bookie]:[Bookie]],$A75)+SUMIFS(LayTable[[Faktisk res]:[Faktisk res]],LayTable[[Dato]:[Dato]],"&gt;="&amp;O$8,LayTable[[Dato]:[Dato]],"&lt;="&amp;EOMONTH(O$8,0),LayTable[[Bookmaker]:[Bookmaker]],$A75)+SUMIFS(BetTable[[AR_per_bookie]:[AR_per_bookie]],BetTable[[B1]:[B1]],$A75,BetTable[[Date]:[Date]], "&gt;="&amp;O$8,BetTable[[Date]:[Date]],"&lt;="&amp;EOMONTH(O$8,0))+SUMIFS(BetTable[[AR_per_bookie]:[AR_per_bookie]],BetTable[[B2]:[B2]],$A75,BetTable[[Date]:[Date]], "&gt;="&amp;O$8,BetTable[[Date]:[Date]],"&lt;="&amp;EOMONTH(O$8,0))+SUMIFS(BetTable[[AR_per_bookie]:[AR_per_bookie]],BetTable[[B3]:[B3]],$A75,BetTable[[Date]:[Date]], "&gt;="&amp;O$8,BetTable[[Date]:[Date]],"&lt;="&amp;EOMONTH(O$8,0))</f>
        <v>0</v>
      </c>
      <c r="P75" s="126">
        <f>SUMIFS(DWbonus[[Sum]:[Sum]],DWbonus[[Dato]:[Dato]], "&gt;="&amp;P$8,DWbonus[[Dato]:[Dato]],"&lt;="&amp;EOMONTH(P$8,0),DWbonus[[Bookie]:[Bookie]],$A75)+SUMIFS(LayTable[[Faktisk res]:[Faktisk res]],LayTable[[Dato]:[Dato]],"&gt;="&amp;P$8,LayTable[[Dato]:[Dato]],"&lt;="&amp;EOMONTH(P$8,0),LayTable[[Bookmaker]:[Bookmaker]],$A75)+SUMIFS(BetTable[[AR_per_bookie]:[AR_per_bookie]],BetTable[[B1]:[B1]],$A75,BetTable[[Date]:[Date]], "&gt;="&amp;P$8,BetTable[[Date]:[Date]],"&lt;="&amp;EOMONTH(P$8,0))+SUMIFS(BetTable[[AR_per_bookie]:[AR_per_bookie]],BetTable[[B2]:[B2]],$A75,BetTable[[Date]:[Date]], "&gt;="&amp;P$8,BetTable[[Date]:[Date]],"&lt;="&amp;EOMONTH(P$8,0))+SUMIFS(BetTable[[AR_per_bookie]:[AR_per_bookie]],BetTable[[B3]:[B3]],$A75,BetTable[[Date]:[Date]], "&gt;="&amp;P$8,BetTable[[Date]:[Date]],"&lt;="&amp;EOMONTH(P$8,0))</f>
        <v>0</v>
      </c>
      <c r="Q75" s="126">
        <f>SUMIFS(DWbonus[[Sum]:[Sum]],DWbonus[[Dato]:[Dato]], "&gt;="&amp;Q$8,DWbonus[[Dato]:[Dato]],"&lt;="&amp;EOMONTH(Q$8,0),DWbonus[[Bookie]:[Bookie]],$A75)+SUMIFS(LayTable[[Faktisk res]:[Faktisk res]],LayTable[[Dato]:[Dato]],"&gt;="&amp;Q$8,LayTable[[Dato]:[Dato]],"&lt;="&amp;EOMONTH(Q$8,0),LayTable[[Bookmaker]:[Bookmaker]],$A75)+SUMIFS(BetTable[[AR_per_bookie]:[AR_per_bookie]],BetTable[[B1]:[B1]],$A75,BetTable[[Date]:[Date]], "&gt;="&amp;Q$8,BetTable[[Date]:[Date]],"&lt;="&amp;EOMONTH(Q$8,0))+SUMIFS(BetTable[[AR_per_bookie]:[AR_per_bookie]],BetTable[[B2]:[B2]],$A75,BetTable[[Date]:[Date]], "&gt;="&amp;Q$8,BetTable[[Date]:[Date]],"&lt;="&amp;EOMONTH(Q$8,0))+SUMIFS(BetTable[[AR_per_bookie]:[AR_per_bookie]],BetTable[[B3]:[B3]],$A75,BetTable[[Date]:[Date]], "&gt;="&amp;Q$8,BetTable[[Date]:[Date]],"&lt;="&amp;EOMONTH(Q$8,0))</f>
        <v>0</v>
      </c>
      <c r="R75" s="126">
        <f>SUMIFS(DWbonus[[Sum]:[Sum]],DWbonus[[Dato]:[Dato]], "&gt;="&amp;R$8,DWbonus[[Dato]:[Dato]],"&lt;="&amp;EOMONTH(R$8,0),DWbonus[[Bookie]:[Bookie]],$A75)+SUMIFS(LayTable[[Faktisk res]:[Faktisk res]],LayTable[[Dato]:[Dato]],"&gt;="&amp;R$8,LayTable[[Dato]:[Dato]],"&lt;="&amp;EOMONTH(R$8,0),LayTable[[Bookmaker]:[Bookmaker]],$A75)+SUMIFS(BetTable[[AR_per_bookie]:[AR_per_bookie]],BetTable[[B1]:[B1]],$A75,BetTable[[Date]:[Date]], "&gt;="&amp;R$8,BetTable[[Date]:[Date]],"&lt;="&amp;EOMONTH(R$8,0))+SUMIFS(BetTable[[AR_per_bookie]:[AR_per_bookie]],BetTable[[B2]:[B2]],$A75,BetTable[[Date]:[Date]], "&gt;="&amp;R$8,BetTable[[Date]:[Date]],"&lt;="&amp;EOMONTH(R$8,0))+SUMIFS(BetTable[[AR_per_bookie]:[AR_per_bookie]],BetTable[[B3]:[B3]],$A75,BetTable[[Date]:[Date]], "&gt;="&amp;R$8,BetTable[[Date]:[Date]],"&lt;="&amp;EOMONTH(R$8,0))</f>
        <v>0</v>
      </c>
      <c r="S75" s="126">
        <f>SUMIFS(DWbonus[[Sum]:[Sum]],DWbonus[[Dato]:[Dato]], "&gt;="&amp;S$8,DWbonus[[Dato]:[Dato]],"&lt;="&amp;EOMONTH(S$8,0),DWbonus[[Bookie]:[Bookie]],$A75)+SUMIFS(LayTable[[Faktisk res]:[Faktisk res]],LayTable[[Dato]:[Dato]],"&gt;="&amp;S$8,LayTable[[Dato]:[Dato]],"&lt;="&amp;EOMONTH(S$8,0),LayTable[[Bookmaker]:[Bookmaker]],$A75)+SUMIFS(BetTable[[AR_per_bookie]:[AR_per_bookie]],BetTable[[B1]:[B1]],$A75,BetTable[[Date]:[Date]], "&gt;="&amp;S$8,BetTable[[Date]:[Date]],"&lt;="&amp;EOMONTH(S$8,0))+SUMIFS(BetTable[[AR_per_bookie]:[AR_per_bookie]],BetTable[[B2]:[B2]],$A75,BetTable[[Date]:[Date]], "&gt;="&amp;S$8,BetTable[[Date]:[Date]],"&lt;="&amp;EOMONTH(S$8,0))+SUMIFS(BetTable[[AR_per_bookie]:[AR_per_bookie]],BetTable[[B3]:[B3]],$A75,BetTable[[Date]:[Date]], "&gt;="&amp;S$8,BetTable[[Date]:[Date]],"&lt;="&amp;EOMONTH(S$8,0))</f>
        <v>0</v>
      </c>
    </row>
    <row r="76" spans="1:19">
      <c r="A76" s="115" t="str">
        <f>BookieNavn!I68</f>
        <v>Titanbet</v>
      </c>
      <c r="B76" s="126">
        <f>SUMIF(Penger!D$1:D$50072,A76,Penger!F$1:F$50072)</f>
        <v>0</v>
      </c>
      <c r="C76" s="126">
        <f>SUMIF(Penger!T$1:T$50072,A76,Penger!U$1:U$50072)</f>
        <v>0</v>
      </c>
      <c r="D76" s="126">
        <f ca="1">SUMIF(Spill!C$1:C$499895,A76,Spill!T$1:T$49895)+C76</f>
        <v>0</v>
      </c>
      <c r="E76" s="126">
        <f>SUMIF(Spill!C$1:C$49895,A76,Spill!T$1:T$49895)</f>
        <v>0</v>
      </c>
      <c r="F76" s="121" t="e">
        <f t="shared" ref="F76:F139" ca="1" si="2">D76/C76</f>
        <v>#DIV/0!</v>
      </c>
      <c r="H76" s="126">
        <f>SUMIFS(DWbonus[[Sum]:[Sum]],DWbonus[[Dato]:[Dato]], "&gt;="&amp;H$8,DWbonus[[Dato]:[Dato]],"&lt;="&amp;EOMONTH(H$8,0),DWbonus[[Bookie]:[Bookie]],$A76)+SUMIFS(LayTable[[Faktisk res]:[Faktisk res]],LayTable[[Dato]:[Dato]],"&gt;="&amp;H$8,LayTable[[Dato]:[Dato]],"&lt;="&amp;EOMONTH(H$8,0),LayTable[[Bookmaker]:[Bookmaker]],$A76)+SUMIFS(BetTable[[AR_per_bookie]:[AR_per_bookie]],BetTable[[B1]:[B1]],$A76,BetTable[[Date]:[Date]], "&gt;="&amp;H$8,BetTable[[Date]:[Date]],"&lt;="&amp;EOMONTH(H$8,0))+SUMIFS(BetTable[[AR_per_bookie]:[AR_per_bookie]],BetTable[[B2]:[B2]],$A76,BetTable[[Date]:[Date]], "&gt;="&amp;H$8,BetTable[[Date]:[Date]],"&lt;="&amp;EOMONTH(H$8,0))+SUMIFS(BetTable[[AR_per_bookie]:[AR_per_bookie]],BetTable[[B3]:[B3]],$A76,BetTable[[Date]:[Date]], "&gt;="&amp;H$8,BetTable[[Date]:[Date]],"&lt;="&amp;EOMONTH(H$8,0))</f>
        <v>0</v>
      </c>
      <c r="I76" s="126">
        <f>SUMIFS(DWbonus[[Sum]:[Sum]],DWbonus[[Dato]:[Dato]], "&gt;="&amp;I$8,DWbonus[[Dato]:[Dato]],"&lt;="&amp;EOMONTH(I$8,0),DWbonus[[Bookie]:[Bookie]],$A76)+SUMIFS(LayTable[[Faktisk res]:[Faktisk res]],LayTable[[Dato]:[Dato]],"&gt;="&amp;I$8,LayTable[[Dato]:[Dato]],"&lt;="&amp;EOMONTH(I$8,0),LayTable[[Bookmaker]:[Bookmaker]],$A76)+SUMIFS(BetTable[[AR_per_bookie]:[AR_per_bookie]],BetTable[[B1]:[B1]],$A76,BetTable[[Date]:[Date]], "&gt;="&amp;I$8,BetTable[[Date]:[Date]],"&lt;="&amp;EOMONTH(I$8,0))+SUMIFS(BetTable[[AR_per_bookie]:[AR_per_bookie]],BetTable[[B2]:[B2]],$A76,BetTable[[Date]:[Date]], "&gt;="&amp;I$8,BetTable[[Date]:[Date]],"&lt;="&amp;EOMONTH(I$8,0))+SUMIFS(BetTable[[AR_per_bookie]:[AR_per_bookie]],BetTable[[B3]:[B3]],$A76,BetTable[[Date]:[Date]], "&gt;="&amp;I$8,BetTable[[Date]:[Date]],"&lt;="&amp;EOMONTH(I$8,0))</f>
        <v>0</v>
      </c>
      <c r="J76" s="126">
        <f>SUMIFS(DWbonus[[Sum]:[Sum]],DWbonus[[Dato]:[Dato]], "&gt;="&amp;J$8,DWbonus[[Dato]:[Dato]],"&lt;="&amp;EOMONTH(J$8,0),DWbonus[[Bookie]:[Bookie]],$A76)+SUMIFS(LayTable[[Faktisk res]:[Faktisk res]],LayTable[[Dato]:[Dato]],"&gt;="&amp;J$8,LayTable[[Dato]:[Dato]],"&lt;="&amp;EOMONTH(J$8,0),LayTable[[Bookmaker]:[Bookmaker]],$A76)+SUMIFS(BetTable[[AR_per_bookie]:[AR_per_bookie]],BetTable[[B1]:[B1]],$A76,BetTable[[Date]:[Date]], "&gt;="&amp;J$8,BetTable[[Date]:[Date]],"&lt;="&amp;EOMONTH(J$8,0))+SUMIFS(BetTable[[AR_per_bookie]:[AR_per_bookie]],BetTable[[B2]:[B2]],$A76,BetTable[[Date]:[Date]], "&gt;="&amp;J$8,BetTable[[Date]:[Date]],"&lt;="&amp;EOMONTH(J$8,0))+SUMIFS(BetTable[[AR_per_bookie]:[AR_per_bookie]],BetTable[[B3]:[B3]],$A76,BetTable[[Date]:[Date]], "&gt;="&amp;J$8,BetTable[[Date]:[Date]],"&lt;="&amp;EOMONTH(J$8,0))</f>
        <v>0</v>
      </c>
      <c r="K76" s="126">
        <f>SUMIFS(DWbonus[[Sum]:[Sum]],DWbonus[[Dato]:[Dato]], "&gt;="&amp;K$8,DWbonus[[Dato]:[Dato]],"&lt;="&amp;EOMONTH(K$8,0),DWbonus[[Bookie]:[Bookie]],$A76)+SUMIFS(LayTable[[Faktisk res]:[Faktisk res]],LayTable[[Dato]:[Dato]],"&gt;="&amp;K$8,LayTable[[Dato]:[Dato]],"&lt;="&amp;EOMONTH(K$8,0),LayTable[[Bookmaker]:[Bookmaker]],$A76)+SUMIFS(BetTable[[AR_per_bookie]:[AR_per_bookie]],BetTable[[B1]:[B1]],$A76,BetTable[[Date]:[Date]], "&gt;="&amp;K$8,BetTable[[Date]:[Date]],"&lt;="&amp;EOMONTH(K$8,0))+SUMIFS(BetTable[[AR_per_bookie]:[AR_per_bookie]],BetTable[[B2]:[B2]],$A76,BetTable[[Date]:[Date]], "&gt;="&amp;K$8,BetTable[[Date]:[Date]],"&lt;="&amp;EOMONTH(K$8,0))+SUMIFS(BetTable[[AR_per_bookie]:[AR_per_bookie]],BetTable[[B3]:[B3]],$A76,BetTable[[Date]:[Date]], "&gt;="&amp;K$8,BetTable[[Date]:[Date]],"&lt;="&amp;EOMONTH(K$8,0))</f>
        <v>0</v>
      </c>
      <c r="L76" s="126">
        <f>SUMIFS(DWbonus[[Sum]:[Sum]],DWbonus[[Dato]:[Dato]], "&gt;="&amp;L$8,DWbonus[[Dato]:[Dato]],"&lt;="&amp;EOMONTH(L$8,0),DWbonus[[Bookie]:[Bookie]],$A76)+SUMIFS(LayTable[[Faktisk res]:[Faktisk res]],LayTable[[Dato]:[Dato]],"&gt;="&amp;L$8,LayTable[[Dato]:[Dato]],"&lt;="&amp;EOMONTH(L$8,0),LayTable[[Bookmaker]:[Bookmaker]],$A76)+SUMIFS(BetTable[[AR_per_bookie]:[AR_per_bookie]],BetTable[[B1]:[B1]],$A76,BetTable[[Date]:[Date]], "&gt;="&amp;L$8,BetTable[[Date]:[Date]],"&lt;="&amp;EOMONTH(L$8,0))+SUMIFS(BetTable[[AR_per_bookie]:[AR_per_bookie]],BetTable[[B2]:[B2]],$A76,BetTable[[Date]:[Date]], "&gt;="&amp;L$8,BetTable[[Date]:[Date]],"&lt;="&amp;EOMONTH(L$8,0))+SUMIFS(BetTable[[AR_per_bookie]:[AR_per_bookie]],BetTable[[B3]:[B3]],$A76,BetTable[[Date]:[Date]], "&gt;="&amp;L$8,BetTable[[Date]:[Date]],"&lt;="&amp;EOMONTH(L$8,0))</f>
        <v>0</v>
      </c>
      <c r="M76" s="126">
        <f>SUMIFS(DWbonus[[Sum]:[Sum]],DWbonus[[Dato]:[Dato]], "&gt;="&amp;M$8,DWbonus[[Dato]:[Dato]],"&lt;="&amp;EOMONTH(M$8,0),DWbonus[[Bookie]:[Bookie]],$A76)+SUMIFS(LayTable[[Faktisk res]:[Faktisk res]],LayTable[[Dato]:[Dato]],"&gt;="&amp;M$8,LayTable[[Dato]:[Dato]],"&lt;="&amp;EOMONTH(M$8,0),LayTable[[Bookmaker]:[Bookmaker]],$A76)+SUMIFS(BetTable[[AR_per_bookie]:[AR_per_bookie]],BetTable[[B1]:[B1]],$A76,BetTable[[Date]:[Date]], "&gt;="&amp;M$8,BetTable[[Date]:[Date]],"&lt;="&amp;EOMONTH(M$8,0))+SUMIFS(BetTable[[AR_per_bookie]:[AR_per_bookie]],BetTable[[B2]:[B2]],$A76,BetTable[[Date]:[Date]], "&gt;="&amp;M$8,BetTable[[Date]:[Date]],"&lt;="&amp;EOMONTH(M$8,0))+SUMIFS(BetTable[[AR_per_bookie]:[AR_per_bookie]],BetTable[[B3]:[B3]],$A76,BetTable[[Date]:[Date]], "&gt;="&amp;M$8,BetTable[[Date]:[Date]],"&lt;="&amp;EOMONTH(M$8,0))</f>
        <v>0</v>
      </c>
      <c r="N76" s="126">
        <f>SUMIFS(DWbonus[[Sum]:[Sum]],DWbonus[[Dato]:[Dato]], "&gt;="&amp;N$8,DWbonus[[Dato]:[Dato]],"&lt;="&amp;EOMONTH(N$8,0),DWbonus[[Bookie]:[Bookie]],$A76)+SUMIFS(LayTable[[Faktisk res]:[Faktisk res]],LayTable[[Dato]:[Dato]],"&gt;="&amp;N$8,LayTable[[Dato]:[Dato]],"&lt;="&amp;EOMONTH(N$8,0),LayTable[[Bookmaker]:[Bookmaker]],$A76)+SUMIFS(BetTable[[AR_per_bookie]:[AR_per_bookie]],BetTable[[B1]:[B1]],$A76,BetTable[[Date]:[Date]], "&gt;="&amp;N$8,BetTable[[Date]:[Date]],"&lt;="&amp;EOMONTH(N$8,0))+SUMIFS(BetTable[[AR_per_bookie]:[AR_per_bookie]],BetTable[[B2]:[B2]],$A76,BetTable[[Date]:[Date]], "&gt;="&amp;N$8,BetTable[[Date]:[Date]],"&lt;="&amp;EOMONTH(N$8,0))+SUMIFS(BetTable[[AR_per_bookie]:[AR_per_bookie]],BetTable[[B3]:[B3]],$A76,BetTable[[Date]:[Date]], "&gt;="&amp;N$8,BetTable[[Date]:[Date]],"&lt;="&amp;EOMONTH(N$8,0))</f>
        <v>0</v>
      </c>
      <c r="O76" s="126">
        <f>SUMIFS(DWbonus[[Sum]:[Sum]],DWbonus[[Dato]:[Dato]], "&gt;="&amp;O$8,DWbonus[[Dato]:[Dato]],"&lt;="&amp;EOMONTH(O$8,0),DWbonus[[Bookie]:[Bookie]],$A76)+SUMIFS(LayTable[[Faktisk res]:[Faktisk res]],LayTable[[Dato]:[Dato]],"&gt;="&amp;O$8,LayTable[[Dato]:[Dato]],"&lt;="&amp;EOMONTH(O$8,0),LayTable[[Bookmaker]:[Bookmaker]],$A76)+SUMIFS(BetTable[[AR_per_bookie]:[AR_per_bookie]],BetTable[[B1]:[B1]],$A76,BetTable[[Date]:[Date]], "&gt;="&amp;O$8,BetTable[[Date]:[Date]],"&lt;="&amp;EOMONTH(O$8,0))+SUMIFS(BetTable[[AR_per_bookie]:[AR_per_bookie]],BetTable[[B2]:[B2]],$A76,BetTable[[Date]:[Date]], "&gt;="&amp;O$8,BetTable[[Date]:[Date]],"&lt;="&amp;EOMONTH(O$8,0))+SUMIFS(BetTable[[AR_per_bookie]:[AR_per_bookie]],BetTable[[B3]:[B3]],$A76,BetTable[[Date]:[Date]], "&gt;="&amp;O$8,BetTable[[Date]:[Date]],"&lt;="&amp;EOMONTH(O$8,0))</f>
        <v>0</v>
      </c>
      <c r="P76" s="126">
        <f>SUMIFS(DWbonus[[Sum]:[Sum]],DWbonus[[Dato]:[Dato]], "&gt;="&amp;P$8,DWbonus[[Dato]:[Dato]],"&lt;="&amp;EOMONTH(P$8,0),DWbonus[[Bookie]:[Bookie]],$A76)+SUMIFS(LayTable[[Faktisk res]:[Faktisk res]],LayTable[[Dato]:[Dato]],"&gt;="&amp;P$8,LayTable[[Dato]:[Dato]],"&lt;="&amp;EOMONTH(P$8,0),LayTable[[Bookmaker]:[Bookmaker]],$A76)+SUMIFS(BetTable[[AR_per_bookie]:[AR_per_bookie]],BetTable[[B1]:[B1]],$A76,BetTable[[Date]:[Date]], "&gt;="&amp;P$8,BetTable[[Date]:[Date]],"&lt;="&amp;EOMONTH(P$8,0))+SUMIFS(BetTable[[AR_per_bookie]:[AR_per_bookie]],BetTable[[B2]:[B2]],$A76,BetTable[[Date]:[Date]], "&gt;="&amp;P$8,BetTable[[Date]:[Date]],"&lt;="&amp;EOMONTH(P$8,0))+SUMIFS(BetTable[[AR_per_bookie]:[AR_per_bookie]],BetTable[[B3]:[B3]],$A76,BetTable[[Date]:[Date]], "&gt;="&amp;P$8,BetTable[[Date]:[Date]],"&lt;="&amp;EOMONTH(P$8,0))</f>
        <v>0</v>
      </c>
      <c r="Q76" s="126">
        <f>SUMIFS(DWbonus[[Sum]:[Sum]],DWbonus[[Dato]:[Dato]], "&gt;="&amp;Q$8,DWbonus[[Dato]:[Dato]],"&lt;="&amp;EOMONTH(Q$8,0),DWbonus[[Bookie]:[Bookie]],$A76)+SUMIFS(LayTable[[Faktisk res]:[Faktisk res]],LayTable[[Dato]:[Dato]],"&gt;="&amp;Q$8,LayTable[[Dato]:[Dato]],"&lt;="&amp;EOMONTH(Q$8,0),LayTable[[Bookmaker]:[Bookmaker]],$A76)+SUMIFS(BetTable[[AR_per_bookie]:[AR_per_bookie]],BetTable[[B1]:[B1]],$A76,BetTable[[Date]:[Date]], "&gt;="&amp;Q$8,BetTable[[Date]:[Date]],"&lt;="&amp;EOMONTH(Q$8,0))+SUMIFS(BetTable[[AR_per_bookie]:[AR_per_bookie]],BetTable[[B2]:[B2]],$A76,BetTable[[Date]:[Date]], "&gt;="&amp;Q$8,BetTable[[Date]:[Date]],"&lt;="&amp;EOMONTH(Q$8,0))+SUMIFS(BetTable[[AR_per_bookie]:[AR_per_bookie]],BetTable[[B3]:[B3]],$A76,BetTable[[Date]:[Date]], "&gt;="&amp;Q$8,BetTable[[Date]:[Date]],"&lt;="&amp;EOMONTH(Q$8,0))</f>
        <v>0</v>
      </c>
      <c r="R76" s="126">
        <f>SUMIFS(DWbonus[[Sum]:[Sum]],DWbonus[[Dato]:[Dato]], "&gt;="&amp;R$8,DWbonus[[Dato]:[Dato]],"&lt;="&amp;EOMONTH(R$8,0),DWbonus[[Bookie]:[Bookie]],$A76)+SUMIFS(LayTable[[Faktisk res]:[Faktisk res]],LayTable[[Dato]:[Dato]],"&gt;="&amp;R$8,LayTable[[Dato]:[Dato]],"&lt;="&amp;EOMONTH(R$8,0),LayTable[[Bookmaker]:[Bookmaker]],$A76)+SUMIFS(BetTable[[AR_per_bookie]:[AR_per_bookie]],BetTable[[B1]:[B1]],$A76,BetTable[[Date]:[Date]], "&gt;="&amp;R$8,BetTable[[Date]:[Date]],"&lt;="&amp;EOMONTH(R$8,0))+SUMIFS(BetTable[[AR_per_bookie]:[AR_per_bookie]],BetTable[[B2]:[B2]],$A76,BetTable[[Date]:[Date]], "&gt;="&amp;R$8,BetTable[[Date]:[Date]],"&lt;="&amp;EOMONTH(R$8,0))+SUMIFS(BetTable[[AR_per_bookie]:[AR_per_bookie]],BetTable[[B3]:[B3]],$A76,BetTable[[Date]:[Date]], "&gt;="&amp;R$8,BetTable[[Date]:[Date]],"&lt;="&amp;EOMONTH(R$8,0))</f>
        <v>0</v>
      </c>
      <c r="S76" s="126">
        <f>SUMIFS(DWbonus[[Sum]:[Sum]],DWbonus[[Dato]:[Dato]], "&gt;="&amp;S$8,DWbonus[[Dato]:[Dato]],"&lt;="&amp;EOMONTH(S$8,0),DWbonus[[Bookie]:[Bookie]],$A76)+SUMIFS(LayTable[[Faktisk res]:[Faktisk res]],LayTable[[Dato]:[Dato]],"&gt;="&amp;S$8,LayTable[[Dato]:[Dato]],"&lt;="&amp;EOMONTH(S$8,0),LayTable[[Bookmaker]:[Bookmaker]],$A76)+SUMIFS(BetTable[[AR_per_bookie]:[AR_per_bookie]],BetTable[[B1]:[B1]],$A76,BetTable[[Date]:[Date]], "&gt;="&amp;S$8,BetTable[[Date]:[Date]],"&lt;="&amp;EOMONTH(S$8,0))+SUMIFS(BetTable[[AR_per_bookie]:[AR_per_bookie]],BetTable[[B2]:[B2]],$A76,BetTable[[Date]:[Date]], "&gt;="&amp;S$8,BetTable[[Date]:[Date]],"&lt;="&amp;EOMONTH(S$8,0))+SUMIFS(BetTable[[AR_per_bookie]:[AR_per_bookie]],BetTable[[B3]:[B3]],$A76,BetTable[[Date]:[Date]], "&gt;="&amp;S$8,BetTable[[Date]:[Date]],"&lt;="&amp;EOMONTH(S$8,0))</f>
        <v>0</v>
      </c>
    </row>
    <row r="77" spans="1:19">
      <c r="A77" s="115" t="str">
        <f>BookieNavn!I69</f>
        <v>Unibet</v>
      </c>
      <c r="B77" s="126">
        <f>SUMIF(Penger!D$1:D$50072,A77,Penger!F$1:F$50072)</f>
        <v>0</v>
      </c>
      <c r="C77" s="126">
        <f>SUMIF(Penger!T$1:T$50072,A77,Penger!U$1:U$50072)</f>
        <v>0</v>
      </c>
      <c r="D77" s="126">
        <f ca="1">SUMIF(Spill!C$1:C$499895,A77,Spill!T$1:T$49895)+C77</f>
        <v>0</v>
      </c>
      <c r="E77" s="126">
        <f>SUMIF(Spill!C$1:C$49895,A77,Spill!T$1:T$49895)</f>
        <v>0</v>
      </c>
      <c r="F77" s="121" t="e">
        <f t="shared" ca="1" si="2"/>
        <v>#DIV/0!</v>
      </c>
      <c r="H77" s="126">
        <f>SUMIFS(DWbonus[[Sum]:[Sum]],DWbonus[[Dato]:[Dato]], "&gt;="&amp;H$8,DWbonus[[Dato]:[Dato]],"&lt;="&amp;EOMONTH(H$8,0),DWbonus[[Bookie]:[Bookie]],$A77)+SUMIFS(LayTable[[Faktisk res]:[Faktisk res]],LayTable[[Dato]:[Dato]],"&gt;="&amp;H$8,LayTable[[Dato]:[Dato]],"&lt;="&amp;EOMONTH(H$8,0),LayTable[[Bookmaker]:[Bookmaker]],$A77)+SUMIFS(BetTable[[AR_per_bookie]:[AR_per_bookie]],BetTable[[B1]:[B1]],$A77,BetTable[[Date]:[Date]], "&gt;="&amp;H$8,BetTable[[Date]:[Date]],"&lt;="&amp;EOMONTH(H$8,0))+SUMIFS(BetTable[[AR_per_bookie]:[AR_per_bookie]],BetTable[[B2]:[B2]],$A77,BetTable[[Date]:[Date]], "&gt;="&amp;H$8,BetTable[[Date]:[Date]],"&lt;="&amp;EOMONTH(H$8,0))+SUMIFS(BetTable[[AR_per_bookie]:[AR_per_bookie]],BetTable[[B3]:[B3]],$A77,BetTable[[Date]:[Date]], "&gt;="&amp;H$8,BetTable[[Date]:[Date]],"&lt;="&amp;EOMONTH(H$8,0))</f>
        <v>0</v>
      </c>
      <c r="I77" s="126">
        <f>SUMIFS(DWbonus[[Sum]:[Sum]],DWbonus[[Dato]:[Dato]], "&gt;="&amp;I$8,DWbonus[[Dato]:[Dato]],"&lt;="&amp;EOMONTH(I$8,0),DWbonus[[Bookie]:[Bookie]],$A77)+SUMIFS(LayTable[[Faktisk res]:[Faktisk res]],LayTable[[Dato]:[Dato]],"&gt;="&amp;I$8,LayTable[[Dato]:[Dato]],"&lt;="&amp;EOMONTH(I$8,0),LayTable[[Bookmaker]:[Bookmaker]],$A77)+SUMIFS(BetTable[[AR_per_bookie]:[AR_per_bookie]],BetTable[[B1]:[B1]],$A77,BetTable[[Date]:[Date]], "&gt;="&amp;I$8,BetTable[[Date]:[Date]],"&lt;="&amp;EOMONTH(I$8,0))+SUMIFS(BetTable[[AR_per_bookie]:[AR_per_bookie]],BetTable[[B2]:[B2]],$A77,BetTable[[Date]:[Date]], "&gt;="&amp;I$8,BetTable[[Date]:[Date]],"&lt;="&amp;EOMONTH(I$8,0))+SUMIFS(BetTable[[AR_per_bookie]:[AR_per_bookie]],BetTable[[B3]:[B3]],$A77,BetTable[[Date]:[Date]], "&gt;="&amp;I$8,BetTable[[Date]:[Date]],"&lt;="&amp;EOMONTH(I$8,0))</f>
        <v>0</v>
      </c>
      <c r="J77" s="126">
        <f>SUMIFS(DWbonus[[Sum]:[Sum]],DWbonus[[Dato]:[Dato]], "&gt;="&amp;J$8,DWbonus[[Dato]:[Dato]],"&lt;="&amp;EOMONTH(J$8,0),DWbonus[[Bookie]:[Bookie]],$A77)+SUMIFS(LayTable[[Faktisk res]:[Faktisk res]],LayTable[[Dato]:[Dato]],"&gt;="&amp;J$8,LayTable[[Dato]:[Dato]],"&lt;="&amp;EOMONTH(J$8,0),LayTable[[Bookmaker]:[Bookmaker]],$A77)+SUMIFS(BetTable[[AR_per_bookie]:[AR_per_bookie]],BetTable[[B1]:[B1]],$A77,BetTable[[Date]:[Date]], "&gt;="&amp;J$8,BetTable[[Date]:[Date]],"&lt;="&amp;EOMONTH(J$8,0))+SUMIFS(BetTable[[AR_per_bookie]:[AR_per_bookie]],BetTable[[B2]:[B2]],$A77,BetTable[[Date]:[Date]], "&gt;="&amp;J$8,BetTable[[Date]:[Date]],"&lt;="&amp;EOMONTH(J$8,0))+SUMIFS(BetTable[[AR_per_bookie]:[AR_per_bookie]],BetTable[[B3]:[B3]],$A77,BetTable[[Date]:[Date]], "&gt;="&amp;J$8,BetTable[[Date]:[Date]],"&lt;="&amp;EOMONTH(J$8,0))</f>
        <v>0</v>
      </c>
      <c r="K77" s="126">
        <f>SUMIFS(DWbonus[[Sum]:[Sum]],DWbonus[[Dato]:[Dato]], "&gt;="&amp;K$8,DWbonus[[Dato]:[Dato]],"&lt;="&amp;EOMONTH(K$8,0),DWbonus[[Bookie]:[Bookie]],$A77)+SUMIFS(LayTable[[Faktisk res]:[Faktisk res]],LayTable[[Dato]:[Dato]],"&gt;="&amp;K$8,LayTable[[Dato]:[Dato]],"&lt;="&amp;EOMONTH(K$8,0),LayTable[[Bookmaker]:[Bookmaker]],$A77)+SUMIFS(BetTable[[AR_per_bookie]:[AR_per_bookie]],BetTable[[B1]:[B1]],$A77,BetTable[[Date]:[Date]], "&gt;="&amp;K$8,BetTable[[Date]:[Date]],"&lt;="&amp;EOMONTH(K$8,0))+SUMIFS(BetTable[[AR_per_bookie]:[AR_per_bookie]],BetTable[[B2]:[B2]],$A77,BetTable[[Date]:[Date]], "&gt;="&amp;K$8,BetTable[[Date]:[Date]],"&lt;="&amp;EOMONTH(K$8,0))+SUMIFS(BetTable[[AR_per_bookie]:[AR_per_bookie]],BetTable[[B3]:[B3]],$A77,BetTable[[Date]:[Date]], "&gt;="&amp;K$8,BetTable[[Date]:[Date]],"&lt;="&amp;EOMONTH(K$8,0))</f>
        <v>0</v>
      </c>
      <c r="L77" s="126">
        <f>SUMIFS(DWbonus[[Sum]:[Sum]],DWbonus[[Dato]:[Dato]], "&gt;="&amp;L$8,DWbonus[[Dato]:[Dato]],"&lt;="&amp;EOMONTH(L$8,0),DWbonus[[Bookie]:[Bookie]],$A77)+SUMIFS(LayTable[[Faktisk res]:[Faktisk res]],LayTable[[Dato]:[Dato]],"&gt;="&amp;L$8,LayTable[[Dato]:[Dato]],"&lt;="&amp;EOMONTH(L$8,0),LayTable[[Bookmaker]:[Bookmaker]],$A77)+SUMIFS(BetTable[[AR_per_bookie]:[AR_per_bookie]],BetTable[[B1]:[B1]],$A77,BetTable[[Date]:[Date]], "&gt;="&amp;L$8,BetTable[[Date]:[Date]],"&lt;="&amp;EOMONTH(L$8,0))+SUMIFS(BetTable[[AR_per_bookie]:[AR_per_bookie]],BetTable[[B2]:[B2]],$A77,BetTable[[Date]:[Date]], "&gt;="&amp;L$8,BetTable[[Date]:[Date]],"&lt;="&amp;EOMONTH(L$8,0))+SUMIFS(BetTable[[AR_per_bookie]:[AR_per_bookie]],BetTable[[B3]:[B3]],$A77,BetTable[[Date]:[Date]], "&gt;="&amp;L$8,BetTable[[Date]:[Date]],"&lt;="&amp;EOMONTH(L$8,0))</f>
        <v>0</v>
      </c>
      <c r="M77" s="126">
        <f>SUMIFS(DWbonus[[Sum]:[Sum]],DWbonus[[Dato]:[Dato]], "&gt;="&amp;M$8,DWbonus[[Dato]:[Dato]],"&lt;="&amp;EOMONTH(M$8,0),DWbonus[[Bookie]:[Bookie]],$A77)+SUMIFS(LayTable[[Faktisk res]:[Faktisk res]],LayTable[[Dato]:[Dato]],"&gt;="&amp;M$8,LayTable[[Dato]:[Dato]],"&lt;="&amp;EOMONTH(M$8,0),LayTable[[Bookmaker]:[Bookmaker]],$A77)+SUMIFS(BetTable[[AR_per_bookie]:[AR_per_bookie]],BetTable[[B1]:[B1]],$A77,BetTable[[Date]:[Date]], "&gt;="&amp;M$8,BetTable[[Date]:[Date]],"&lt;="&amp;EOMONTH(M$8,0))+SUMIFS(BetTable[[AR_per_bookie]:[AR_per_bookie]],BetTable[[B2]:[B2]],$A77,BetTable[[Date]:[Date]], "&gt;="&amp;M$8,BetTable[[Date]:[Date]],"&lt;="&amp;EOMONTH(M$8,0))+SUMIFS(BetTable[[AR_per_bookie]:[AR_per_bookie]],BetTable[[B3]:[B3]],$A77,BetTable[[Date]:[Date]], "&gt;="&amp;M$8,BetTable[[Date]:[Date]],"&lt;="&amp;EOMONTH(M$8,0))</f>
        <v>0</v>
      </c>
      <c r="N77" s="126">
        <f>SUMIFS(DWbonus[[Sum]:[Sum]],DWbonus[[Dato]:[Dato]], "&gt;="&amp;N$8,DWbonus[[Dato]:[Dato]],"&lt;="&amp;EOMONTH(N$8,0),DWbonus[[Bookie]:[Bookie]],$A77)+SUMIFS(LayTable[[Faktisk res]:[Faktisk res]],LayTable[[Dato]:[Dato]],"&gt;="&amp;N$8,LayTable[[Dato]:[Dato]],"&lt;="&amp;EOMONTH(N$8,0),LayTable[[Bookmaker]:[Bookmaker]],$A77)+SUMIFS(BetTable[[AR_per_bookie]:[AR_per_bookie]],BetTable[[B1]:[B1]],$A77,BetTable[[Date]:[Date]], "&gt;="&amp;N$8,BetTable[[Date]:[Date]],"&lt;="&amp;EOMONTH(N$8,0))+SUMIFS(BetTable[[AR_per_bookie]:[AR_per_bookie]],BetTable[[B2]:[B2]],$A77,BetTable[[Date]:[Date]], "&gt;="&amp;N$8,BetTable[[Date]:[Date]],"&lt;="&amp;EOMONTH(N$8,0))+SUMIFS(BetTable[[AR_per_bookie]:[AR_per_bookie]],BetTable[[B3]:[B3]],$A77,BetTable[[Date]:[Date]], "&gt;="&amp;N$8,BetTable[[Date]:[Date]],"&lt;="&amp;EOMONTH(N$8,0))</f>
        <v>0</v>
      </c>
      <c r="O77" s="126">
        <f>SUMIFS(DWbonus[[Sum]:[Sum]],DWbonus[[Dato]:[Dato]], "&gt;="&amp;O$8,DWbonus[[Dato]:[Dato]],"&lt;="&amp;EOMONTH(O$8,0),DWbonus[[Bookie]:[Bookie]],$A77)+SUMIFS(LayTable[[Faktisk res]:[Faktisk res]],LayTable[[Dato]:[Dato]],"&gt;="&amp;O$8,LayTable[[Dato]:[Dato]],"&lt;="&amp;EOMONTH(O$8,0),LayTable[[Bookmaker]:[Bookmaker]],$A77)+SUMIFS(BetTable[[AR_per_bookie]:[AR_per_bookie]],BetTable[[B1]:[B1]],$A77,BetTable[[Date]:[Date]], "&gt;="&amp;O$8,BetTable[[Date]:[Date]],"&lt;="&amp;EOMONTH(O$8,0))+SUMIFS(BetTable[[AR_per_bookie]:[AR_per_bookie]],BetTable[[B2]:[B2]],$A77,BetTable[[Date]:[Date]], "&gt;="&amp;O$8,BetTable[[Date]:[Date]],"&lt;="&amp;EOMONTH(O$8,0))+SUMIFS(BetTable[[AR_per_bookie]:[AR_per_bookie]],BetTable[[B3]:[B3]],$A77,BetTable[[Date]:[Date]], "&gt;="&amp;O$8,BetTable[[Date]:[Date]],"&lt;="&amp;EOMONTH(O$8,0))</f>
        <v>0</v>
      </c>
      <c r="P77" s="126">
        <f>SUMIFS(DWbonus[[Sum]:[Sum]],DWbonus[[Dato]:[Dato]], "&gt;="&amp;P$8,DWbonus[[Dato]:[Dato]],"&lt;="&amp;EOMONTH(P$8,0),DWbonus[[Bookie]:[Bookie]],$A77)+SUMIFS(LayTable[[Faktisk res]:[Faktisk res]],LayTable[[Dato]:[Dato]],"&gt;="&amp;P$8,LayTable[[Dato]:[Dato]],"&lt;="&amp;EOMONTH(P$8,0),LayTable[[Bookmaker]:[Bookmaker]],$A77)+SUMIFS(BetTable[[AR_per_bookie]:[AR_per_bookie]],BetTable[[B1]:[B1]],$A77,BetTable[[Date]:[Date]], "&gt;="&amp;P$8,BetTable[[Date]:[Date]],"&lt;="&amp;EOMONTH(P$8,0))+SUMIFS(BetTable[[AR_per_bookie]:[AR_per_bookie]],BetTable[[B2]:[B2]],$A77,BetTable[[Date]:[Date]], "&gt;="&amp;P$8,BetTable[[Date]:[Date]],"&lt;="&amp;EOMONTH(P$8,0))+SUMIFS(BetTable[[AR_per_bookie]:[AR_per_bookie]],BetTable[[B3]:[B3]],$A77,BetTable[[Date]:[Date]], "&gt;="&amp;P$8,BetTable[[Date]:[Date]],"&lt;="&amp;EOMONTH(P$8,0))</f>
        <v>0</v>
      </c>
      <c r="Q77" s="126">
        <f>SUMIFS(DWbonus[[Sum]:[Sum]],DWbonus[[Dato]:[Dato]], "&gt;="&amp;Q$8,DWbonus[[Dato]:[Dato]],"&lt;="&amp;EOMONTH(Q$8,0),DWbonus[[Bookie]:[Bookie]],$A77)+SUMIFS(LayTable[[Faktisk res]:[Faktisk res]],LayTable[[Dato]:[Dato]],"&gt;="&amp;Q$8,LayTable[[Dato]:[Dato]],"&lt;="&amp;EOMONTH(Q$8,0),LayTable[[Bookmaker]:[Bookmaker]],$A77)+SUMIFS(BetTable[[AR_per_bookie]:[AR_per_bookie]],BetTable[[B1]:[B1]],$A77,BetTable[[Date]:[Date]], "&gt;="&amp;Q$8,BetTable[[Date]:[Date]],"&lt;="&amp;EOMONTH(Q$8,0))+SUMIFS(BetTable[[AR_per_bookie]:[AR_per_bookie]],BetTable[[B2]:[B2]],$A77,BetTable[[Date]:[Date]], "&gt;="&amp;Q$8,BetTable[[Date]:[Date]],"&lt;="&amp;EOMONTH(Q$8,0))+SUMIFS(BetTable[[AR_per_bookie]:[AR_per_bookie]],BetTable[[B3]:[B3]],$A77,BetTable[[Date]:[Date]], "&gt;="&amp;Q$8,BetTable[[Date]:[Date]],"&lt;="&amp;EOMONTH(Q$8,0))</f>
        <v>0</v>
      </c>
      <c r="R77" s="126">
        <f>SUMIFS(DWbonus[[Sum]:[Sum]],DWbonus[[Dato]:[Dato]], "&gt;="&amp;R$8,DWbonus[[Dato]:[Dato]],"&lt;="&amp;EOMONTH(R$8,0),DWbonus[[Bookie]:[Bookie]],$A77)+SUMIFS(LayTable[[Faktisk res]:[Faktisk res]],LayTable[[Dato]:[Dato]],"&gt;="&amp;R$8,LayTable[[Dato]:[Dato]],"&lt;="&amp;EOMONTH(R$8,0),LayTable[[Bookmaker]:[Bookmaker]],$A77)+SUMIFS(BetTable[[AR_per_bookie]:[AR_per_bookie]],BetTable[[B1]:[B1]],$A77,BetTable[[Date]:[Date]], "&gt;="&amp;R$8,BetTable[[Date]:[Date]],"&lt;="&amp;EOMONTH(R$8,0))+SUMIFS(BetTable[[AR_per_bookie]:[AR_per_bookie]],BetTable[[B2]:[B2]],$A77,BetTable[[Date]:[Date]], "&gt;="&amp;R$8,BetTable[[Date]:[Date]],"&lt;="&amp;EOMONTH(R$8,0))+SUMIFS(BetTable[[AR_per_bookie]:[AR_per_bookie]],BetTable[[B3]:[B3]],$A77,BetTable[[Date]:[Date]], "&gt;="&amp;R$8,BetTable[[Date]:[Date]],"&lt;="&amp;EOMONTH(R$8,0))</f>
        <v>0</v>
      </c>
      <c r="S77" s="126">
        <f>SUMIFS(DWbonus[[Sum]:[Sum]],DWbonus[[Dato]:[Dato]], "&gt;="&amp;S$8,DWbonus[[Dato]:[Dato]],"&lt;="&amp;EOMONTH(S$8,0),DWbonus[[Bookie]:[Bookie]],$A77)+SUMIFS(LayTable[[Faktisk res]:[Faktisk res]],LayTable[[Dato]:[Dato]],"&gt;="&amp;S$8,LayTable[[Dato]:[Dato]],"&lt;="&amp;EOMONTH(S$8,0),LayTable[[Bookmaker]:[Bookmaker]],$A77)+SUMIFS(BetTable[[AR_per_bookie]:[AR_per_bookie]],BetTable[[B1]:[B1]],$A77,BetTable[[Date]:[Date]], "&gt;="&amp;S$8,BetTable[[Date]:[Date]],"&lt;="&amp;EOMONTH(S$8,0))+SUMIFS(BetTable[[AR_per_bookie]:[AR_per_bookie]],BetTable[[B2]:[B2]],$A77,BetTable[[Date]:[Date]], "&gt;="&amp;S$8,BetTable[[Date]:[Date]],"&lt;="&amp;EOMONTH(S$8,0))+SUMIFS(BetTable[[AR_per_bookie]:[AR_per_bookie]],BetTable[[B3]:[B3]],$A77,BetTable[[Date]:[Date]], "&gt;="&amp;S$8,BetTable[[Date]:[Date]],"&lt;="&amp;EOMONTH(S$8,0))</f>
        <v>0</v>
      </c>
    </row>
    <row r="78" spans="1:19">
      <c r="A78" s="115" t="str">
        <f>BookieNavn!I70</f>
        <v>Vervepenger</v>
      </c>
      <c r="B78" s="126">
        <f>SUMIF(Penger!D$1:D$50072,A78,Penger!F$1:F$50072)</f>
        <v>0</v>
      </c>
      <c r="C78" s="126">
        <f>SUMIF(Penger!T$1:T$50072,A78,Penger!U$1:U$50072)</f>
        <v>0</v>
      </c>
      <c r="D78" s="126">
        <f ca="1">SUMIF(Spill!C$1:C$499895,A78,Spill!T$1:T$49895)+C78</f>
        <v>0</v>
      </c>
      <c r="E78" s="126">
        <f>SUMIF(Spill!C$1:C$49895,A78,Spill!T$1:T$49895)</f>
        <v>0</v>
      </c>
      <c r="F78" s="121" t="e">
        <f t="shared" ca="1" si="2"/>
        <v>#DIV/0!</v>
      </c>
      <c r="H78" s="126">
        <f>SUMIFS(DWbonus[[Sum]:[Sum]],DWbonus[[Dato]:[Dato]], "&gt;="&amp;H$8,DWbonus[[Dato]:[Dato]],"&lt;="&amp;EOMONTH(H$8,0),DWbonus[[Bookie]:[Bookie]],$A78)+SUMIFS(LayTable[[Faktisk res]:[Faktisk res]],LayTable[[Dato]:[Dato]],"&gt;="&amp;H$8,LayTable[[Dato]:[Dato]],"&lt;="&amp;EOMONTH(H$8,0),LayTable[[Bookmaker]:[Bookmaker]],$A78)+SUMIFS(BetTable[[AR_per_bookie]:[AR_per_bookie]],BetTable[[B1]:[B1]],$A78,BetTable[[Date]:[Date]], "&gt;="&amp;H$8,BetTable[[Date]:[Date]],"&lt;="&amp;EOMONTH(H$8,0))+SUMIFS(BetTable[[AR_per_bookie]:[AR_per_bookie]],BetTable[[B2]:[B2]],$A78,BetTable[[Date]:[Date]], "&gt;="&amp;H$8,BetTable[[Date]:[Date]],"&lt;="&amp;EOMONTH(H$8,0))+SUMIFS(BetTable[[AR_per_bookie]:[AR_per_bookie]],BetTable[[B3]:[B3]],$A78,BetTable[[Date]:[Date]], "&gt;="&amp;H$8,BetTable[[Date]:[Date]],"&lt;="&amp;EOMONTH(H$8,0))</f>
        <v>0</v>
      </c>
      <c r="I78" s="126">
        <f>SUMIFS(DWbonus[[Sum]:[Sum]],DWbonus[[Dato]:[Dato]], "&gt;="&amp;I$8,DWbonus[[Dato]:[Dato]],"&lt;="&amp;EOMONTH(I$8,0),DWbonus[[Bookie]:[Bookie]],$A78)+SUMIFS(LayTable[[Faktisk res]:[Faktisk res]],LayTable[[Dato]:[Dato]],"&gt;="&amp;I$8,LayTable[[Dato]:[Dato]],"&lt;="&amp;EOMONTH(I$8,0),LayTable[[Bookmaker]:[Bookmaker]],$A78)+SUMIFS(BetTable[[AR_per_bookie]:[AR_per_bookie]],BetTable[[B1]:[B1]],$A78,BetTable[[Date]:[Date]], "&gt;="&amp;I$8,BetTable[[Date]:[Date]],"&lt;="&amp;EOMONTH(I$8,0))+SUMIFS(BetTable[[AR_per_bookie]:[AR_per_bookie]],BetTable[[B2]:[B2]],$A78,BetTable[[Date]:[Date]], "&gt;="&amp;I$8,BetTable[[Date]:[Date]],"&lt;="&amp;EOMONTH(I$8,0))+SUMIFS(BetTable[[AR_per_bookie]:[AR_per_bookie]],BetTable[[B3]:[B3]],$A78,BetTable[[Date]:[Date]], "&gt;="&amp;I$8,BetTable[[Date]:[Date]],"&lt;="&amp;EOMONTH(I$8,0))</f>
        <v>0</v>
      </c>
      <c r="J78" s="126">
        <f>SUMIFS(DWbonus[[Sum]:[Sum]],DWbonus[[Dato]:[Dato]], "&gt;="&amp;J$8,DWbonus[[Dato]:[Dato]],"&lt;="&amp;EOMONTH(J$8,0),DWbonus[[Bookie]:[Bookie]],$A78)+SUMIFS(LayTable[[Faktisk res]:[Faktisk res]],LayTable[[Dato]:[Dato]],"&gt;="&amp;J$8,LayTable[[Dato]:[Dato]],"&lt;="&amp;EOMONTH(J$8,0),LayTable[[Bookmaker]:[Bookmaker]],$A78)+SUMIFS(BetTable[[AR_per_bookie]:[AR_per_bookie]],BetTable[[B1]:[B1]],$A78,BetTable[[Date]:[Date]], "&gt;="&amp;J$8,BetTable[[Date]:[Date]],"&lt;="&amp;EOMONTH(J$8,0))+SUMIFS(BetTable[[AR_per_bookie]:[AR_per_bookie]],BetTable[[B2]:[B2]],$A78,BetTable[[Date]:[Date]], "&gt;="&amp;J$8,BetTable[[Date]:[Date]],"&lt;="&amp;EOMONTH(J$8,0))+SUMIFS(BetTable[[AR_per_bookie]:[AR_per_bookie]],BetTable[[B3]:[B3]],$A78,BetTable[[Date]:[Date]], "&gt;="&amp;J$8,BetTable[[Date]:[Date]],"&lt;="&amp;EOMONTH(J$8,0))</f>
        <v>0</v>
      </c>
      <c r="K78" s="126">
        <f>SUMIFS(DWbonus[[Sum]:[Sum]],DWbonus[[Dato]:[Dato]], "&gt;="&amp;K$8,DWbonus[[Dato]:[Dato]],"&lt;="&amp;EOMONTH(K$8,0),DWbonus[[Bookie]:[Bookie]],$A78)+SUMIFS(LayTable[[Faktisk res]:[Faktisk res]],LayTable[[Dato]:[Dato]],"&gt;="&amp;K$8,LayTable[[Dato]:[Dato]],"&lt;="&amp;EOMONTH(K$8,0),LayTable[[Bookmaker]:[Bookmaker]],$A78)+SUMIFS(BetTable[[AR_per_bookie]:[AR_per_bookie]],BetTable[[B1]:[B1]],$A78,BetTable[[Date]:[Date]], "&gt;="&amp;K$8,BetTable[[Date]:[Date]],"&lt;="&amp;EOMONTH(K$8,0))+SUMIFS(BetTable[[AR_per_bookie]:[AR_per_bookie]],BetTable[[B2]:[B2]],$A78,BetTable[[Date]:[Date]], "&gt;="&amp;K$8,BetTable[[Date]:[Date]],"&lt;="&amp;EOMONTH(K$8,0))+SUMIFS(BetTable[[AR_per_bookie]:[AR_per_bookie]],BetTable[[B3]:[B3]],$A78,BetTable[[Date]:[Date]], "&gt;="&amp;K$8,BetTable[[Date]:[Date]],"&lt;="&amp;EOMONTH(K$8,0))</f>
        <v>0</v>
      </c>
      <c r="L78" s="126">
        <f>SUMIFS(DWbonus[[Sum]:[Sum]],DWbonus[[Dato]:[Dato]], "&gt;="&amp;L$8,DWbonus[[Dato]:[Dato]],"&lt;="&amp;EOMONTH(L$8,0),DWbonus[[Bookie]:[Bookie]],$A78)+SUMIFS(LayTable[[Faktisk res]:[Faktisk res]],LayTable[[Dato]:[Dato]],"&gt;="&amp;L$8,LayTable[[Dato]:[Dato]],"&lt;="&amp;EOMONTH(L$8,0),LayTable[[Bookmaker]:[Bookmaker]],$A78)+SUMIFS(BetTable[[AR_per_bookie]:[AR_per_bookie]],BetTable[[B1]:[B1]],$A78,BetTable[[Date]:[Date]], "&gt;="&amp;L$8,BetTable[[Date]:[Date]],"&lt;="&amp;EOMONTH(L$8,0))+SUMIFS(BetTable[[AR_per_bookie]:[AR_per_bookie]],BetTable[[B2]:[B2]],$A78,BetTable[[Date]:[Date]], "&gt;="&amp;L$8,BetTable[[Date]:[Date]],"&lt;="&amp;EOMONTH(L$8,0))+SUMIFS(BetTable[[AR_per_bookie]:[AR_per_bookie]],BetTable[[B3]:[B3]],$A78,BetTable[[Date]:[Date]], "&gt;="&amp;L$8,BetTable[[Date]:[Date]],"&lt;="&amp;EOMONTH(L$8,0))</f>
        <v>0</v>
      </c>
      <c r="M78" s="126">
        <f>SUMIFS(DWbonus[[Sum]:[Sum]],DWbonus[[Dato]:[Dato]], "&gt;="&amp;M$8,DWbonus[[Dato]:[Dato]],"&lt;="&amp;EOMONTH(M$8,0),DWbonus[[Bookie]:[Bookie]],$A78)+SUMIFS(LayTable[[Faktisk res]:[Faktisk res]],LayTable[[Dato]:[Dato]],"&gt;="&amp;M$8,LayTable[[Dato]:[Dato]],"&lt;="&amp;EOMONTH(M$8,0),LayTable[[Bookmaker]:[Bookmaker]],$A78)+SUMIFS(BetTable[[AR_per_bookie]:[AR_per_bookie]],BetTable[[B1]:[B1]],$A78,BetTable[[Date]:[Date]], "&gt;="&amp;M$8,BetTable[[Date]:[Date]],"&lt;="&amp;EOMONTH(M$8,0))+SUMIFS(BetTable[[AR_per_bookie]:[AR_per_bookie]],BetTable[[B2]:[B2]],$A78,BetTable[[Date]:[Date]], "&gt;="&amp;M$8,BetTable[[Date]:[Date]],"&lt;="&amp;EOMONTH(M$8,0))+SUMIFS(BetTable[[AR_per_bookie]:[AR_per_bookie]],BetTable[[B3]:[B3]],$A78,BetTable[[Date]:[Date]], "&gt;="&amp;M$8,BetTable[[Date]:[Date]],"&lt;="&amp;EOMONTH(M$8,0))</f>
        <v>0</v>
      </c>
      <c r="N78" s="126">
        <f>SUMIFS(DWbonus[[Sum]:[Sum]],DWbonus[[Dato]:[Dato]], "&gt;="&amp;N$8,DWbonus[[Dato]:[Dato]],"&lt;="&amp;EOMONTH(N$8,0),DWbonus[[Bookie]:[Bookie]],$A78)+SUMIFS(LayTable[[Faktisk res]:[Faktisk res]],LayTable[[Dato]:[Dato]],"&gt;="&amp;N$8,LayTable[[Dato]:[Dato]],"&lt;="&amp;EOMONTH(N$8,0),LayTable[[Bookmaker]:[Bookmaker]],$A78)+SUMIFS(BetTable[[AR_per_bookie]:[AR_per_bookie]],BetTable[[B1]:[B1]],$A78,BetTable[[Date]:[Date]], "&gt;="&amp;N$8,BetTable[[Date]:[Date]],"&lt;="&amp;EOMONTH(N$8,0))+SUMIFS(BetTable[[AR_per_bookie]:[AR_per_bookie]],BetTable[[B2]:[B2]],$A78,BetTable[[Date]:[Date]], "&gt;="&amp;N$8,BetTable[[Date]:[Date]],"&lt;="&amp;EOMONTH(N$8,0))+SUMIFS(BetTable[[AR_per_bookie]:[AR_per_bookie]],BetTable[[B3]:[B3]],$A78,BetTable[[Date]:[Date]], "&gt;="&amp;N$8,BetTable[[Date]:[Date]],"&lt;="&amp;EOMONTH(N$8,0))</f>
        <v>0</v>
      </c>
      <c r="O78" s="126">
        <f>SUMIFS(DWbonus[[Sum]:[Sum]],DWbonus[[Dato]:[Dato]], "&gt;="&amp;O$8,DWbonus[[Dato]:[Dato]],"&lt;="&amp;EOMONTH(O$8,0),DWbonus[[Bookie]:[Bookie]],$A78)+SUMIFS(LayTable[[Faktisk res]:[Faktisk res]],LayTable[[Dato]:[Dato]],"&gt;="&amp;O$8,LayTable[[Dato]:[Dato]],"&lt;="&amp;EOMONTH(O$8,0),LayTable[[Bookmaker]:[Bookmaker]],$A78)+SUMIFS(BetTable[[AR_per_bookie]:[AR_per_bookie]],BetTable[[B1]:[B1]],$A78,BetTable[[Date]:[Date]], "&gt;="&amp;O$8,BetTable[[Date]:[Date]],"&lt;="&amp;EOMONTH(O$8,0))+SUMIFS(BetTable[[AR_per_bookie]:[AR_per_bookie]],BetTable[[B2]:[B2]],$A78,BetTable[[Date]:[Date]], "&gt;="&amp;O$8,BetTable[[Date]:[Date]],"&lt;="&amp;EOMONTH(O$8,0))+SUMIFS(BetTable[[AR_per_bookie]:[AR_per_bookie]],BetTable[[B3]:[B3]],$A78,BetTable[[Date]:[Date]], "&gt;="&amp;O$8,BetTable[[Date]:[Date]],"&lt;="&amp;EOMONTH(O$8,0))</f>
        <v>0</v>
      </c>
      <c r="P78" s="126">
        <f>SUMIFS(DWbonus[[Sum]:[Sum]],DWbonus[[Dato]:[Dato]], "&gt;="&amp;P$8,DWbonus[[Dato]:[Dato]],"&lt;="&amp;EOMONTH(P$8,0),DWbonus[[Bookie]:[Bookie]],$A78)+SUMIFS(LayTable[[Faktisk res]:[Faktisk res]],LayTable[[Dato]:[Dato]],"&gt;="&amp;P$8,LayTable[[Dato]:[Dato]],"&lt;="&amp;EOMONTH(P$8,0),LayTable[[Bookmaker]:[Bookmaker]],$A78)+SUMIFS(BetTable[[AR_per_bookie]:[AR_per_bookie]],BetTable[[B1]:[B1]],$A78,BetTable[[Date]:[Date]], "&gt;="&amp;P$8,BetTable[[Date]:[Date]],"&lt;="&amp;EOMONTH(P$8,0))+SUMIFS(BetTable[[AR_per_bookie]:[AR_per_bookie]],BetTable[[B2]:[B2]],$A78,BetTable[[Date]:[Date]], "&gt;="&amp;P$8,BetTable[[Date]:[Date]],"&lt;="&amp;EOMONTH(P$8,0))+SUMIFS(BetTable[[AR_per_bookie]:[AR_per_bookie]],BetTable[[B3]:[B3]],$A78,BetTable[[Date]:[Date]], "&gt;="&amp;P$8,BetTable[[Date]:[Date]],"&lt;="&amp;EOMONTH(P$8,0))</f>
        <v>0</v>
      </c>
      <c r="Q78" s="126">
        <f>SUMIFS(DWbonus[[Sum]:[Sum]],DWbonus[[Dato]:[Dato]], "&gt;="&amp;Q$8,DWbonus[[Dato]:[Dato]],"&lt;="&amp;EOMONTH(Q$8,0),DWbonus[[Bookie]:[Bookie]],$A78)+SUMIFS(LayTable[[Faktisk res]:[Faktisk res]],LayTable[[Dato]:[Dato]],"&gt;="&amp;Q$8,LayTable[[Dato]:[Dato]],"&lt;="&amp;EOMONTH(Q$8,0),LayTable[[Bookmaker]:[Bookmaker]],$A78)+SUMIFS(BetTable[[AR_per_bookie]:[AR_per_bookie]],BetTable[[B1]:[B1]],$A78,BetTable[[Date]:[Date]], "&gt;="&amp;Q$8,BetTable[[Date]:[Date]],"&lt;="&amp;EOMONTH(Q$8,0))+SUMIFS(BetTable[[AR_per_bookie]:[AR_per_bookie]],BetTable[[B2]:[B2]],$A78,BetTable[[Date]:[Date]], "&gt;="&amp;Q$8,BetTable[[Date]:[Date]],"&lt;="&amp;EOMONTH(Q$8,0))+SUMIFS(BetTable[[AR_per_bookie]:[AR_per_bookie]],BetTable[[B3]:[B3]],$A78,BetTable[[Date]:[Date]], "&gt;="&amp;Q$8,BetTable[[Date]:[Date]],"&lt;="&amp;EOMONTH(Q$8,0))</f>
        <v>0</v>
      </c>
      <c r="R78" s="126">
        <f>SUMIFS(DWbonus[[Sum]:[Sum]],DWbonus[[Dato]:[Dato]], "&gt;="&amp;R$8,DWbonus[[Dato]:[Dato]],"&lt;="&amp;EOMONTH(R$8,0),DWbonus[[Bookie]:[Bookie]],$A78)+SUMIFS(LayTable[[Faktisk res]:[Faktisk res]],LayTable[[Dato]:[Dato]],"&gt;="&amp;R$8,LayTable[[Dato]:[Dato]],"&lt;="&amp;EOMONTH(R$8,0),LayTable[[Bookmaker]:[Bookmaker]],$A78)+SUMIFS(BetTable[[AR_per_bookie]:[AR_per_bookie]],BetTable[[B1]:[B1]],$A78,BetTable[[Date]:[Date]], "&gt;="&amp;R$8,BetTable[[Date]:[Date]],"&lt;="&amp;EOMONTH(R$8,0))+SUMIFS(BetTable[[AR_per_bookie]:[AR_per_bookie]],BetTable[[B2]:[B2]],$A78,BetTable[[Date]:[Date]], "&gt;="&amp;R$8,BetTable[[Date]:[Date]],"&lt;="&amp;EOMONTH(R$8,0))+SUMIFS(BetTable[[AR_per_bookie]:[AR_per_bookie]],BetTable[[B3]:[B3]],$A78,BetTable[[Date]:[Date]], "&gt;="&amp;R$8,BetTable[[Date]:[Date]],"&lt;="&amp;EOMONTH(R$8,0))</f>
        <v>0</v>
      </c>
      <c r="S78" s="126">
        <f>SUMIFS(DWbonus[[Sum]:[Sum]],DWbonus[[Dato]:[Dato]], "&gt;="&amp;S$8,DWbonus[[Dato]:[Dato]],"&lt;="&amp;EOMONTH(S$8,0),DWbonus[[Bookie]:[Bookie]],$A78)+SUMIFS(LayTable[[Faktisk res]:[Faktisk res]],LayTable[[Dato]:[Dato]],"&gt;="&amp;S$8,LayTable[[Dato]:[Dato]],"&lt;="&amp;EOMONTH(S$8,0),LayTable[[Bookmaker]:[Bookmaker]],$A78)+SUMIFS(BetTable[[AR_per_bookie]:[AR_per_bookie]],BetTable[[B1]:[B1]],$A78,BetTable[[Date]:[Date]], "&gt;="&amp;S$8,BetTable[[Date]:[Date]],"&lt;="&amp;EOMONTH(S$8,0))+SUMIFS(BetTable[[AR_per_bookie]:[AR_per_bookie]],BetTable[[B2]:[B2]],$A78,BetTable[[Date]:[Date]], "&gt;="&amp;S$8,BetTable[[Date]:[Date]],"&lt;="&amp;EOMONTH(S$8,0))+SUMIFS(BetTable[[AR_per_bookie]:[AR_per_bookie]],BetTable[[B3]:[B3]],$A78,BetTable[[Date]:[Date]], "&gt;="&amp;S$8,BetTable[[Date]:[Date]],"&lt;="&amp;EOMONTH(S$8,0))</f>
        <v>0</v>
      </c>
    </row>
    <row r="79" spans="1:19">
      <c r="A79" s="115" t="str">
        <f>BookieNavn!I71</f>
        <v>VonBets</v>
      </c>
      <c r="B79" s="126">
        <f>SUMIF(Penger!D$1:D$50072,A79,Penger!F$1:F$50072)</f>
        <v>0</v>
      </c>
      <c r="C79" s="126">
        <f>SUMIF(Penger!T$1:T$50072,A79,Penger!U$1:U$50072)</f>
        <v>0</v>
      </c>
      <c r="D79" s="126">
        <f ca="1">SUMIF(Spill!C$1:C$499895,A79,Spill!T$1:T$49895)+C79</f>
        <v>0</v>
      </c>
      <c r="E79" s="126">
        <f>SUMIF(Spill!C$1:C$49895,A79,Spill!T$1:T$49895)</f>
        <v>0</v>
      </c>
      <c r="F79" s="121" t="e">
        <f t="shared" ca="1" si="2"/>
        <v>#DIV/0!</v>
      </c>
      <c r="H79" s="126">
        <f>SUMIFS(DWbonus[[Sum]:[Sum]],DWbonus[[Dato]:[Dato]], "&gt;="&amp;H$8,DWbonus[[Dato]:[Dato]],"&lt;="&amp;EOMONTH(H$8,0),DWbonus[[Bookie]:[Bookie]],$A79)+SUMIFS(LayTable[[Faktisk res]:[Faktisk res]],LayTable[[Dato]:[Dato]],"&gt;="&amp;H$8,LayTable[[Dato]:[Dato]],"&lt;="&amp;EOMONTH(H$8,0),LayTable[[Bookmaker]:[Bookmaker]],$A79)+SUMIFS(BetTable[[AR_per_bookie]:[AR_per_bookie]],BetTable[[B1]:[B1]],$A79,BetTable[[Date]:[Date]], "&gt;="&amp;H$8,BetTable[[Date]:[Date]],"&lt;="&amp;EOMONTH(H$8,0))+SUMIFS(BetTable[[AR_per_bookie]:[AR_per_bookie]],BetTable[[B2]:[B2]],$A79,BetTable[[Date]:[Date]], "&gt;="&amp;H$8,BetTable[[Date]:[Date]],"&lt;="&amp;EOMONTH(H$8,0))+SUMIFS(BetTable[[AR_per_bookie]:[AR_per_bookie]],BetTable[[B3]:[B3]],$A79,BetTable[[Date]:[Date]], "&gt;="&amp;H$8,BetTable[[Date]:[Date]],"&lt;="&amp;EOMONTH(H$8,0))</f>
        <v>0</v>
      </c>
      <c r="I79" s="126">
        <f>SUMIFS(DWbonus[[Sum]:[Sum]],DWbonus[[Dato]:[Dato]], "&gt;="&amp;I$8,DWbonus[[Dato]:[Dato]],"&lt;="&amp;EOMONTH(I$8,0),DWbonus[[Bookie]:[Bookie]],$A79)+SUMIFS(LayTable[[Faktisk res]:[Faktisk res]],LayTable[[Dato]:[Dato]],"&gt;="&amp;I$8,LayTable[[Dato]:[Dato]],"&lt;="&amp;EOMONTH(I$8,0),LayTable[[Bookmaker]:[Bookmaker]],$A79)+SUMIFS(BetTable[[AR_per_bookie]:[AR_per_bookie]],BetTable[[B1]:[B1]],$A79,BetTable[[Date]:[Date]], "&gt;="&amp;I$8,BetTable[[Date]:[Date]],"&lt;="&amp;EOMONTH(I$8,0))+SUMIFS(BetTable[[AR_per_bookie]:[AR_per_bookie]],BetTable[[B2]:[B2]],$A79,BetTable[[Date]:[Date]], "&gt;="&amp;I$8,BetTable[[Date]:[Date]],"&lt;="&amp;EOMONTH(I$8,0))+SUMIFS(BetTable[[AR_per_bookie]:[AR_per_bookie]],BetTable[[B3]:[B3]],$A79,BetTable[[Date]:[Date]], "&gt;="&amp;I$8,BetTable[[Date]:[Date]],"&lt;="&amp;EOMONTH(I$8,0))</f>
        <v>0</v>
      </c>
      <c r="J79" s="126">
        <f>SUMIFS(DWbonus[[Sum]:[Sum]],DWbonus[[Dato]:[Dato]], "&gt;="&amp;J$8,DWbonus[[Dato]:[Dato]],"&lt;="&amp;EOMONTH(J$8,0),DWbonus[[Bookie]:[Bookie]],$A79)+SUMIFS(LayTable[[Faktisk res]:[Faktisk res]],LayTable[[Dato]:[Dato]],"&gt;="&amp;J$8,LayTable[[Dato]:[Dato]],"&lt;="&amp;EOMONTH(J$8,0),LayTable[[Bookmaker]:[Bookmaker]],$A79)+SUMIFS(BetTable[[AR_per_bookie]:[AR_per_bookie]],BetTable[[B1]:[B1]],$A79,BetTable[[Date]:[Date]], "&gt;="&amp;J$8,BetTable[[Date]:[Date]],"&lt;="&amp;EOMONTH(J$8,0))+SUMIFS(BetTable[[AR_per_bookie]:[AR_per_bookie]],BetTable[[B2]:[B2]],$A79,BetTable[[Date]:[Date]], "&gt;="&amp;J$8,BetTable[[Date]:[Date]],"&lt;="&amp;EOMONTH(J$8,0))+SUMIFS(BetTable[[AR_per_bookie]:[AR_per_bookie]],BetTable[[B3]:[B3]],$A79,BetTable[[Date]:[Date]], "&gt;="&amp;J$8,BetTable[[Date]:[Date]],"&lt;="&amp;EOMONTH(J$8,0))</f>
        <v>0</v>
      </c>
      <c r="K79" s="126">
        <f>SUMIFS(DWbonus[[Sum]:[Sum]],DWbonus[[Dato]:[Dato]], "&gt;="&amp;K$8,DWbonus[[Dato]:[Dato]],"&lt;="&amp;EOMONTH(K$8,0),DWbonus[[Bookie]:[Bookie]],$A79)+SUMIFS(LayTable[[Faktisk res]:[Faktisk res]],LayTable[[Dato]:[Dato]],"&gt;="&amp;K$8,LayTable[[Dato]:[Dato]],"&lt;="&amp;EOMONTH(K$8,0),LayTable[[Bookmaker]:[Bookmaker]],$A79)+SUMIFS(BetTable[[AR_per_bookie]:[AR_per_bookie]],BetTable[[B1]:[B1]],$A79,BetTable[[Date]:[Date]], "&gt;="&amp;K$8,BetTable[[Date]:[Date]],"&lt;="&amp;EOMONTH(K$8,0))+SUMIFS(BetTable[[AR_per_bookie]:[AR_per_bookie]],BetTable[[B2]:[B2]],$A79,BetTable[[Date]:[Date]], "&gt;="&amp;K$8,BetTable[[Date]:[Date]],"&lt;="&amp;EOMONTH(K$8,0))+SUMIFS(BetTable[[AR_per_bookie]:[AR_per_bookie]],BetTable[[B3]:[B3]],$A79,BetTable[[Date]:[Date]], "&gt;="&amp;K$8,BetTable[[Date]:[Date]],"&lt;="&amp;EOMONTH(K$8,0))</f>
        <v>0</v>
      </c>
      <c r="L79" s="126">
        <f>SUMIFS(DWbonus[[Sum]:[Sum]],DWbonus[[Dato]:[Dato]], "&gt;="&amp;L$8,DWbonus[[Dato]:[Dato]],"&lt;="&amp;EOMONTH(L$8,0),DWbonus[[Bookie]:[Bookie]],$A79)+SUMIFS(LayTable[[Faktisk res]:[Faktisk res]],LayTable[[Dato]:[Dato]],"&gt;="&amp;L$8,LayTable[[Dato]:[Dato]],"&lt;="&amp;EOMONTH(L$8,0),LayTable[[Bookmaker]:[Bookmaker]],$A79)+SUMIFS(BetTable[[AR_per_bookie]:[AR_per_bookie]],BetTable[[B1]:[B1]],$A79,BetTable[[Date]:[Date]], "&gt;="&amp;L$8,BetTable[[Date]:[Date]],"&lt;="&amp;EOMONTH(L$8,0))+SUMIFS(BetTable[[AR_per_bookie]:[AR_per_bookie]],BetTable[[B2]:[B2]],$A79,BetTable[[Date]:[Date]], "&gt;="&amp;L$8,BetTable[[Date]:[Date]],"&lt;="&amp;EOMONTH(L$8,0))+SUMIFS(BetTable[[AR_per_bookie]:[AR_per_bookie]],BetTable[[B3]:[B3]],$A79,BetTable[[Date]:[Date]], "&gt;="&amp;L$8,BetTable[[Date]:[Date]],"&lt;="&amp;EOMONTH(L$8,0))</f>
        <v>0</v>
      </c>
      <c r="M79" s="126">
        <f>SUMIFS(DWbonus[[Sum]:[Sum]],DWbonus[[Dato]:[Dato]], "&gt;="&amp;M$8,DWbonus[[Dato]:[Dato]],"&lt;="&amp;EOMONTH(M$8,0),DWbonus[[Bookie]:[Bookie]],$A79)+SUMIFS(LayTable[[Faktisk res]:[Faktisk res]],LayTable[[Dato]:[Dato]],"&gt;="&amp;M$8,LayTable[[Dato]:[Dato]],"&lt;="&amp;EOMONTH(M$8,0),LayTable[[Bookmaker]:[Bookmaker]],$A79)+SUMIFS(BetTable[[AR_per_bookie]:[AR_per_bookie]],BetTable[[B1]:[B1]],$A79,BetTable[[Date]:[Date]], "&gt;="&amp;M$8,BetTable[[Date]:[Date]],"&lt;="&amp;EOMONTH(M$8,0))+SUMIFS(BetTable[[AR_per_bookie]:[AR_per_bookie]],BetTable[[B2]:[B2]],$A79,BetTable[[Date]:[Date]], "&gt;="&amp;M$8,BetTable[[Date]:[Date]],"&lt;="&amp;EOMONTH(M$8,0))+SUMIFS(BetTable[[AR_per_bookie]:[AR_per_bookie]],BetTable[[B3]:[B3]],$A79,BetTable[[Date]:[Date]], "&gt;="&amp;M$8,BetTable[[Date]:[Date]],"&lt;="&amp;EOMONTH(M$8,0))</f>
        <v>0</v>
      </c>
      <c r="N79" s="126">
        <f>SUMIFS(DWbonus[[Sum]:[Sum]],DWbonus[[Dato]:[Dato]], "&gt;="&amp;N$8,DWbonus[[Dato]:[Dato]],"&lt;="&amp;EOMONTH(N$8,0),DWbonus[[Bookie]:[Bookie]],$A79)+SUMIFS(LayTable[[Faktisk res]:[Faktisk res]],LayTable[[Dato]:[Dato]],"&gt;="&amp;N$8,LayTable[[Dato]:[Dato]],"&lt;="&amp;EOMONTH(N$8,0),LayTable[[Bookmaker]:[Bookmaker]],$A79)+SUMIFS(BetTable[[AR_per_bookie]:[AR_per_bookie]],BetTable[[B1]:[B1]],$A79,BetTable[[Date]:[Date]], "&gt;="&amp;N$8,BetTable[[Date]:[Date]],"&lt;="&amp;EOMONTH(N$8,0))+SUMIFS(BetTable[[AR_per_bookie]:[AR_per_bookie]],BetTable[[B2]:[B2]],$A79,BetTable[[Date]:[Date]], "&gt;="&amp;N$8,BetTable[[Date]:[Date]],"&lt;="&amp;EOMONTH(N$8,0))+SUMIFS(BetTable[[AR_per_bookie]:[AR_per_bookie]],BetTable[[B3]:[B3]],$A79,BetTable[[Date]:[Date]], "&gt;="&amp;N$8,BetTable[[Date]:[Date]],"&lt;="&amp;EOMONTH(N$8,0))</f>
        <v>0</v>
      </c>
      <c r="O79" s="126">
        <f>SUMIFS(DWbonus[[Sum]:[Sum]],DWbonus[[Dato]:[Dato]], "&gt;="&amp;O$8,DWbonus[[Dato]:[Dato]],"&lt;="&amp;EOMONTH(O$8,0),DWbonus[[Bookie]:[Bookie]],$A79)+SUMIFS(LayTable[[Faktisk res]:[Faktisk res]],LayTable[[Dato]:[Dato]],"&gt;="&amp;O$8,LayTable[[Dato]:[Dato]],"&lt;="&amp;EOMONTH(O$8,0),LayTable[[Bookmaker]:[Bookmaker]],$A79)+SUMIFS(BetTable[[AR_per_bookie]:[AR_per_bookie]],BetTable[[B1]:[B1]],$A79,BetTable[[Date]:[Date]], "&gt;="&amp;O$8,BetTable[[Date]:[Date]],"&lt;="&amp;EOMONTH(O$8,0))+SUMIFS(BetTable[[AR_per_bookie]:[AR_per_bookie]],BetTable[[B2]:[B2]],$A79,BetTable[[Date]:[Date]], "&gt;="&amp;O$8,BetTable[[Date]:[Date]],"&lt;="&amp;EOMONTH(O$8,0))+SUMIFS(BetTable[[AR_per_bookie]:[AR_per_bookie]],BetTable[[B3]:[B3]],$A79,BetTable[[Date]:[Date]], "&gt;="&amp;O$8,BetTable[[Date]:[Date]],"&lt;="&amp;EOMONTH(O$8,0))</f>
        <v>0</v>
      </c>
      <c r="P79" s="126">
        <f>SUMIFS(DWbonus[[Sum]:[Sum]],DWbonus[[Dato]:[Dato]], "&gt;="&amp;P$8,DWbonus[[Dato]:[Dato]],"&lt;="&amp;EOMONTH(P$8,0),DWbonus[[Bookie]:[Bookie]],$A79)+SUMIFS(LayTable[[Faktisk res]:[Faktisk res]],LayTable[[Dato]:[Dato]],"&gt;="&amp;P$8,LayTable[[Dato]:[Dato]],"&lt;="&amp;EOMONTH(P$8,0),LayTable[[Bookmaker]:[Bookmaker]],$A79)+SUMIFS(BetTable[[AR_per_bookie]:[AR_per_bookie]],BetTable[[B1]:[B1]],$A79,BetTable[[Date]:[Date]], "&gt;="&amp;P$8,BetTable[[Date]:[Date]],"&lt;="&amp;EOMONTH(P$8,0))+SUMIFS(BetTable[[AR_per_bookie]:[AR_per_bookie]],BetTable[[B2]:[B2]],$A79,BetTable[[Date]:[Date]], "&gt;="&amp;P$8,BetTable[[Date]:[Date]],"&lt;="&amp;EOMONTH(P$8,0))+SUMIFS(BetTable[[AR_per_bookie]:[AR_per_bookie]],BetTable[[B3]:[B3]],$A79,BetTable[[Date]:[Date]], "&gt;="&amp;P$8,BetTable[[Date]:[Date]],"&lt;="&amp;EOMONTH(P$8,0))</f>
        <v>0</v>
      </c>
      <c r="Q79" s="126">
        <f>SUMIFS(DWbonus[[Sum]:[Sum]],DWbonus[[Dato]:[Dato]], "&gt;="&amp;Q$8,DWbonus[[Dato]:[Dato]],"&lt;="&amp;EOMONTH(Q$8,0),DWbonus[[Bookie]:[Bookie]],$A79)+SUMIFS(LayTable[[Faktisk res]:[Faktisk res]],LayTable[[Dato]:[Dato]],"&gt;="&amp;Q$8,LayTable[[Dato]:[Dato]],"&lt;="&amp;EOMONTH(Q$8,0),LayTable[[Bookmaker]:[Bookmaker]],$A79)+SUMIFS(BetTable[[AR_per_bookie]:[AR_per_bookie]],BetTable[[B1]:[B1]],$A79,BetTable[[Date]:[Date]], "&gt;="&amp;Q$8,BetTable[[Date]:[Date]],"&lt;="&amp;EOMONTH(Q$8,0))+SUMIFS(BetTable[[AR_per_bookie]:[AR_per_bookie]],BetTable[[B2]:[B2]],$A79,BetTable[[Date]:[Date]], "&gt;="&amp;Q$8,BetTable[[Date]:[Date]],"&lt;="&amp;EOMONTH(Q$8,0))+SUMIFS(BetTable[[AR_per_bookie]:[AR_per_bookie]],BetTable[[B3]:[B3]],$A79,BetTable[[Date]:[Date]], "&gt;="&amp;Q$8,BetTable[[Date]:[Date]],"&lt;="&amp;EOMONTH(Q$8,0))</f>
        <v>0</v>
      </c>
      <c r="R79" s="126">
        <f>SUMIFS(DWbonus[[Sum]:[Sum]],DWbonus[[Dato]:[Dato]], "&gt;="&amp;R$8,DWbonus[[Dato]:[Dato]],"&lt;="&amp;EOMONTH(R$8,0),DWbonus[[Bookie]:[Bookie]],$A79)+SUMIFS(LayTable[[Faktisk res]:[Faktisk res]],LayTable[[Dato]:[Dato]],"&gt;="&amp;R$8,LayTable[[Dato]:[Dato]],"&lt;="&amp;EOMONTH(R$8,0),LayTable[[Bookmaker]:[Bookmaker]],$A79)+SUMIFS(BetTable[[AR_per_bookie]:[AR_per_bookie]],BetTable[[B1]:[B1]],$A79,BetTable[[Date]:[Date]], "&gt;="&amp;R$8,BetTable[[Date]:[Date]],"&lt;="&amp;EOMONTH(R$8,0))+SUMIFS(BetTable[[AR_per_bookie]:[AR_per_bookie]],BetTable[[B2]:[B2]],$A79,BetTable[[Date]:[Date]], "&gt;="&amp;R$8,BetTable[[Date]:[Date]],"&lt;="&amp;EOMONTH(R$8,0))+SUMIFS(BetTable[[AR_per_bookie]:[AR_per_bookie]],BetTable[[B3]:[B3]],$A79,BetTable[[Date]:[Date]], "&gt;="&amp;R$8,BetTable[[Date]:[Date]],"&lt;="&amp;EOMONTH(R$8,0))</f>
        <v>0</v>
      </c>
      <c r="S79" s="126">
        <f>SUMIFS(DWbonus[[Sum]:[Sum]],DWbonus[[Dato]:[Dato]], "&gt;="&amp;S$8,DWbonus[[Dato]:[Dato]],"&lt;="&amp;EOMONTH(S$8,0),DWbonus[[Bookie]:[Bookie]],$A79)+SUMIFS(LayTable[[Faktisk res]:[Faktisk res]],LayTable[[Dato]:[Dato]],"&gt;="&amp;S$8,LayTable[[Dato]:[Dato]],"&lt;="&amp;EOMONTH(S$8,0),LayTable[[Bookmaker]:[Bookmaker]],$A79)+SUMIFS(BetTable[[AR_per_bookie]:[AR_per_bookie]],BetTable[[B1]:[B1]],$A79,BetTable[[Date]:[Date]], "&gt;="&amp;S$8,BetTable[[Date]:[Date]],"&lt;="&amp;EOMONTH(S$8,0))+SUMIFS(BetTable[[AR_per_bookie]:[AR_per_bookie]],BetTable[[B2]:[B2]],$A79,BetTable[[Date]:[Date]], "&gt;="&amp;S$8,BetTable[[Date]:[Date]],"&lt;="&amp;EOMONTH(S$8,0))+SUMIFS(BetTable[[AR_per_bookie]:[AR_per_bookie]],BetTable[[B3]:[B3]],$A79,BetTable[[Date]:[Date]], "&gt;="&amp;S$8,BetTable[[Date]:[Date]],"&lt;="&amp;EOMONTH(S$8,0))</f>
        <v>0</v>
      </c>
    </row>
    <row r="80" spans="1:19">
      <c r="A80" s="115" t="str">
        <f>BookieNavn!I72</f>
        <v>Xtip</v>
      </c>
      <c r="B80" s="126">
        <f>SUMIF(Penger!D$1:D$50072,A80,Penger!F$1:F$50072)</f>
        <v>0</v>
      </c>
      <c r="C80" s="126">
        <f>SUMIF(Penger!T$1:T$50072,A80,Penger!U$1:U$50072)</f>
        <v>0</v>
      </c>
      <c r="D80" s="126">
        <f ca="1">SUMIF(Spill!C$1:C$499895,A80,Spill!T$1:T$49895)+C80</f>
        <v>0</v>
      </c>
      <c r="E80" s="126">
        <f>SUMIF(Spill!C$1:C$49895,A80,Spill!T$1:T$49895)</f>
        <v>0</v>
      </c>
      <c r="F80" s="121" t="e">
        <f t="shared" ca="1" si="2"/>
        <v>#DIV/0!</v>
      </c>
      <c r="H80" s="126">
        <f>SUMIFS(DWbonus[[Sum]:[Sum]],DWbonus[[Dato]:[Dato]], "&gt;="&amp;H$8,DWbonus[[Dato]:[Dato]],"&lt;="&amp;EOMONTH(H$8,0),DWbonus[[Bookie]:[Bookie]],$A80)+SUMIFS(LayTable[[Faktisk res]:[Faktisk res]],LayTable[[Dato]:[Dato]],"&gt;="&amp;H$8,LayTable[[Dato]:[Dato]],"&lt;="&amp;EOMONTH(H$8,0),LayTable[[Bookmaker]:[Bookmaker]],$A80)+SUMIFS(BetTable[[AR_per_bookie]:[AR_per_bookie]],BetTable[[B1]:[B1]],$A80,BetTable[[Date]:[Date]], "&gt;="&amp;H$8,BetTable[[Date]:[Date]],"&lt;="&amp;EOMONTH(H$8,0))+SUMIFS(BetTable[[AR_per_bookie]:[AR_per_bookie]],BetTable[[B2]:[B2]],$A80,BetTable[[Date]:[Date]], "&gt;="&amp;H$8,BetTable[[Date]:[Date]],"&lt;="&amp;EOMONTH(H$8,0))+SUMIFS(BetTable[[AR_per_bookie]:[AR_per_bookie]],BetTable[[B3]:[B3]],$A80,BetTable[[Date]:[Date]], "&gt;="&amp;H$8,BetTable[[Date]:[Date]],"&lt;="&amp;EOMONTH(H$8,0))</f>
        <v>0</v>
      </c>
      <c r="I80" s="126">
        <f>SUMIFS(DWbonus[[Sum]:[Sum]],DWbonus[[Dato]:[Dato]], "&gt;="&amp;I$8,DWbonus[[Dato]:[Dato]],"&lt;="&amp;EOMONTH(I$8,0),DWbonus[[Bookie]:[Bookie]],$A80)+SUMIFS(LayTable[[Faktisk res]:[Faktisk res]],LayTable[[Dato]:[Dato]],"&gt;="&amp;I$8,LayTable[[Dato]:[Dato]],"&lt;="&amp;EOMONTH(I$8,0),LayTable[[Bookmaker]:[Bookmaker]],$A80)+SUMIFS(BetTable[[AR_per_bookie]:[AR_per_bookie]],BetTable[[B1]:[B1]],$A80,BetTable[[Date]:[Date]], "&gt;="&amp;I$8,BetTable[[Date]:[Date]],"&lt;="&amp;EOMONTH(I$8,0))+SUMIFS(BetTable[[AR_per_bookie]:[AR_per_bookie]],BetTable[[B2]:[B2]],$A80,BetTable[[Date]:[Date]], "&gt;="&amp;I$8,BetTable[[Date]:[Date]],"&lt;="&amp;EOMONTH(I$8,0))+SUMIFS(BetTable[[AR_per_bookie]:[AR_per_bookie]],BetTable[[B3]:[B3]],$A80,BetTable[[Date]:[Date]], "&gt;="&amp;I$8,BetTable[[Date]:[Date]],"&lt;="&amp;EOMONTH(I$8,0))</f>
        <v>0</v>
      </c>
      <c r="J80" s="126">
        <f>SUMIFS(DWbonus[[Sum]:[Sum]],DWbonus[[Dato]:[Dato]], "&gt;="&amp;J$8,DWbonus[[Dato]:[Dato]],"&lt;="&amp;EOMONTH(J$8,0),DWbonus[[Bookie]:[Bookie]],$A80)+SUMIFS(LayTable[[Faktisk res]:[Faktisk res]],LayTable[[Dato]:[Dato]],"&gt;="&amp;J$8,LayTable[[Dato]:[Dato]],"&lt;="&amp;EOMONTH(J$8,0),LayTable[[Bookmaker]:[Bookmaker]],$A80)+SUMIFS(BetTable[[AR_per_bookie]:[AR_per_bookie]],BetTable[[B1]:[B1]],$A80,BetTable[[Date]:[Date]], "&gt;="&amp;J$8,BetTable[[Date]:[Date]],"&lt;="&amp;EOMONTH(J$8,0))+SUMIFS(BetTable[[AR_per_bookie]:[AR_per_bookie]],BetTable[[B2]:[B2]],$A80,BetTable[[Date]:[Date]], "&gt;="&amp;J$8,BetTable[[Date]:[Date]],"&lt;="&amp;EOMONTH(J$8,0))+SUMIFS(BetTable[[AR_per_bookie]:[AR_per_bookie]],BetTable[[B3]:[B3]],$A80,BetTable[[Date]:[Date]], "&gt;="&amp;J$8,BetTable[[Date]:[Date]],"&lt;="&amp;EOMONTH(J$8,0))</f>
        <v>0</v>
      </c>
      <c r="K80" s="126">
        <f>SUMIFS(DWbonus[[Sum]:[Sum]],DWbonus[[Dato]:[Dato]], "&gt;="&amp;K$8,DWbonus[[Dato]:[Dato]],"&lt;="&amp;EOMONTH(K$8,0),DWbonus[[Bookie]:[Bookie]],$A80)+SUMIFS(LayTable[[Faktisk res]:[Faktisk res]],LayTable[[Dato]:[Dato]],"&gt;="&amp;K$8,LayTable[[Dato]:[Dato]],"&lt;="&amp;EOMONTH(K$8,0),LayTable[[Bookmaker]:[Bookmaker]],$A80)+SUMIFS(BetTable[[AR_per_bookie]:[AR_per_bookie]],BetTable[[B1]:[B1]],$A80,BetTable[[Date]:[Date]], "&gt;="&amp;K$8,BetTable[[Date]:[Date]],"&lt;="&amp;EOMONTH(K$8,0))+SUMIFS(BetTable[[AR_per_bookie]:[AR_per_bookie]],BetTable[[B2]:[B2]],$A80,BetTable[[Date]:[Date]], "&gt;="&amp;K$8,BetTable[[Date]:[Date]],"&lt;="&amp;EOMONTH(K$8,0))+SUMIFS(BetTable[[AR_per_bookie]:[AR_per_bookie]],BetTable[[B3]:[B3]],$A80,BetTable[[Date]:[Date]], "&gt;="&amp;K$8,BetTable[[Date]:[Date]],"&lt;="&amp;EOMONTH(K$8,0))</f>
        <v>0</v>
      </c>
      <c r="L80" s="126">
        <f>SUMIFS(DWbonus[[Sum]:[Sum]],DWbonus[[Dato]:[Dato]], "&gt;="&amp;L$8,DWbonus[[Dato]:[Dato]],"&lt;="&amp;EOMONTH(L$8,0),DWbonus[[Bookie]:[Bookie]],$A80)+SUMIFS(LayTable[[Faktisk res]:[Faktisk res]],LayTable[[Dato]:[Dato]],"&gt;="&amp;L$8,LayTable[[Dato]:[Dato]],"&lt;="&amp;EOMONTH(L$8,0),LayTable[[Bookmaker]:[Bookmaker]],$A80)+SUMIFS(BetTable[[AR_per_bookie]:[AR_per_bookie]],BetTable[[B1]:[B1]],$A80,BetTable[[Date]:[Date]], "&gt;="&amp;L$8,BetTable[[Date]:[Date]],"&lt;="&amp;EOMONTH(L$8,0))+SUMIFS(BetTable[[AR_per_bookie]:[AR_per_bookie]],BetTable[[B2]:[B2]],$A80,BetTable[[Date]:[Date]], "&gt;="&amp;L$8,BetTable[[Date]:[Date]],"&lt;="&amp;EOMONTH(L$8,0))+SUMIFS(BetTable[[AR_per_bookie]:[AR_per_bookie]],BetTable[[B3]:[B3]],$A80,BetTable[[Date]:[Date]], "&gt;="&amp;L$8,BetTable[[Date]:[Date]],"&lt;="&amp;EOMONTH(L$8,0))</f>
        <v>0</v>
      </c>
      <c r="M80" s="126">
        <f>SUMIFS(DWbonus[[Sum]:[Sum]],DWbonus[[Dato]:[Dato]], "&gt;="&amp;M$8,DWbonus[[Dato]:[Dato]],"&lt;="&amp;EOMONTH(M$8,0),DWbonus[[Bookie]:[Bookie]],$A80)+SUMIFS(LayTable[[Faktisk res]:[Faktisk res]],LayTable[[Dato]:[Dato]],"&gt;="&amp;M$8,LayTable[[Dato]:[Dato]],"&lt;="&amp;EOMONTH(M$8,0),LayTable[[Bookmaker]:[Bookmaker]],$A80)+SUMIFS(BetTable[[AR_per_bookie]:[AR_per_bookie]],BetTable[[B1]:[B1]],$A80,BetTable[[Date]:[Date]], "&gt;="&amp;M$8,BetTable[[Date]:[Date]],"&lt;="&amp;EOMONTH(M$8,0))+SUMIFS(BetTable[[AR_per_bookie]:[AR_per_bookie]],BetTable[[B2]:[B2]],$A80,BetTable[[Date]:[Date]], "&gt;="&amp;M$8,BetTable[[Date]:[Date]],"&lt;="&amp;EOMONTH(M$8,0))+SUMIFS(BetTable[[AR_per_bookie]:[AR_per_bookie]],BetTable[[B3]:[B3]],$A80,BetTable[[Date]:[Date]], "&gt;="&amp;M$8,BetTable[[Date]:[Date]],"&lt;="&amp;EOMONTH(M$8,0))</f>
        <v>0</v>
      </c>
      <c r="N80" s="126">
        <f>SUMIFS(DWbonus[[Sum]:[Sum]],DWbonus[[Dato]:[Dato]], "&gt;="&amp;N$8,DWbonus[[Dato]:[Dato]],"&lt;="&amp;EOMONTH(N$8,0),DWbonus[[Bookie]:[Bookie]],$A80)+SUMIFS(LayTable[[Faktisk res]:[Faktisk res]],LayTable[[Dato]:[Dato]],"&gt;="&amp;N$8,LayTable[[Dato]:[Dato]],"&lt;="&amp;EOMONTH(N$8,0),LayTable[[Bookmaker]:[Bookmaker]],$A80)+SUMIFS(BetTable[[AR_per_bookie]:[AR_per_bookie]],BetTable[[B1]:[B1]],$A80,BetTable[[Date]:[Date]], "&gt;="&amp;N$8,BetTable[[Date]:[Date]],"&lt;="&amp;EOMONTH(N$8,0))+SUMIFS(BetTable[[AR_per_bookie]:[AR_per_bookie]],BetTable[[B2]:[B2]],$A80,BetTable[[Date]:[Date]], "&gt;="&amp;N$8,BetTable[[Date]:[Date]],"&lt;="&amp;EOMONTH(N$8,0))+SUMIFS(BetTable[[AR_per_bookie]:[AR_per_bookie]],BetTable[[B3]:[B3]],$A80,BetTable[[Date]:[Date]], "&gt;="&amp;N$8,BetTable[[Date]:[Date]],"&lt;="&amp;EOMONTH(N$8,0))</f>
        <v>0</v>
      </c>
      <c r="O80" s="126">
        <f>SUMIFS(DWbonus[[Sum]:[Sum]],DWbonus[[Dato]:[Dato]], "&gt;="&amp;O$8,DWbonus[[Dato]:[Dato]],"&lt;="&amp;EOMONTH(O$8,0),DWbonus[[Bookie]:[Bookie]],$A80)+SUMIFS(LayTable[[Faktisk res]:[Faktisk res]],LayTable[[Dato]:[Dato]],"&gt;="&amp;O$8,LayTable[[Dato]:[Dato]],"&lt;="&amp;EOMONTH(O$8,0),LayTable[[Bookmaker]:[Bookmaker]],$A80)+SUMIFS(BetTable[[AR_per_bookie]:[AR_per_bookie]],BetTable[[B1]:[B1]],$A80,BetTable[[Date]:[Date]], "&gt;="&amp;O$8,BetTable[[Date]:[Date]],"&lt;="&amp;EOMONTH(O$8,0))+SUMIFS(BetTable[[AR_per_bookie]:[AR_per_bookie]],BetTable[[B2]:[B2]],$A80,BetTable[[Date]:[Date]], "&gt;="&amp;O$8,BetTable[[Date]:[Date]],"&lt;="&amp;EOMONTH(O$8,0))+SUMIFS(BetTable[[AR_per_bookie]:[AR_per_bookie]],BetTable[[B3]:[B3]],$A80,BetTable[[Date]:[Date]], "&gt;="&amp;O$8,BetTable[[Date]:[Date]],"&lt;="&amp;EOMONTH(O$8,0))</f>
        <v>0</v>
      </c>
      <c r="P80" s="126">
        <f>SUMIFS(DWbonus[[Sum]:[Sum]],DWbonus[[Dato]:[Dato]], "&gt;="&amp;P$8,DWbonus[[Dato]:[Dato]],"&lt;="&amp;EOMONTH(P$8,0),DWbonus[[Bookie]:[Bookie]],$A80)+SUMIFS(LayTable[[Faktisk res]:[Faktisk res]],LayTable[[Dato]:[Dato]],"&gt;="&amp;P$8,LayTable[[Dato]:[Dato]],"&lt;="&amp;EOMONTH(P$8,0),LayTable[[Bookmaker]:[Bookmaker]],$A80)+SUMIFS(BetTable[[AR_per_bookie]:[AR_per_bookie]],BetTable[[B1]:[B1]],$A80,BetTable[[Date]:[Date]], "&gt;="&amp;P$8,BetTable[[Date]:[Date]],"&lt;="&amp;EOMONTH(P$8,0))+SUMIFS(BetTable[[AR_per_bookie]:[AR_per_bookie]],BetTable[[B2]:[B2]],$A80,BetTable[[Date]:[Date]], "&gt;="&amp;P$8,BetTable[[Date]:[Date]],"&lt;="&amp;EOMONTH(P$8,0))+SUMIFS(BetTable[[AR_per_bookie]:[AR_per_bookie]],BetTable[[B3]:[B3]],$A80,BetTable[[Date]:[Date]], "&gt;="&amp;P$8,BetTable[[Date]:[Date]],"&lt;="&amp;EOMONTH(P$8,0))</f>
        <v>0</v>
      </c>
      <c r="Q80" s="126">
        <f>SUMIFS(DWbonus[[Sum]:[Sum]],DWbonus[[Dato]:[Dato]], "&gt;="&amp;Q$8,DWbonus[[Dato]:[Dato]],"&lt;="&amp;EOMONTH(Q$8,0),DWbonus[[Bookie]:[Bookie]],$A80)+SUMIFS(LayTable[[Faktisk res]:[Faktisk res]],LayTable[[Dato]:[Dato]],"&gt;="&amp;Q$8,LayTable[[Dato]:[Dato]],"&lt;="&amp;EOMONTH(Q$8,0),LayTable[[Bookmaker]:[Bookmaker]],$A80)+SUMIFS(BetTable[[AR_per_bookie]:[AR_per_bookie]],BetTable[[B1]:[B1]],$A80,BetTable[[Date]:[Date]], "&gt;="&amp;Q$8,BetTable[[Date]:[Date]],"&lt;="&amp;EOMONTH(Q$8,0))+SUMIFS(BetTable[[AR_per_bookie]:[AR_per_bookie]],BetTable[[B2]:[B2]],$A80,BetTable[[Date]:[Date]], "&gt;="&amp;Q$8,BetTable[[Date]:[Date]],"&lt;="&amp;EOMONTH(Q$8,0))+SUMIFS(BetTable[[AR_per_bookie]:[AR_per_bookie]],BetTable[[B3]:[B3]],$A80,BetTable[[Date]:[Date]], "&gt;="&amp;Q$8,BetTable[[Date]:[Date]],"&lt;="&amp;EOMONTH(Q$8,0))</f>
        <v>0</v>
      </c>
      <c r="R80" s="126">
        <f>SUMIFS(DWbonus[[Sum]:[Sum]],DWbonus[[Dato]:[Dato]], "&gt;="&amp;R$8,DWbonus[[Dato]:[Dato]],"&lt;="&amp;EOMONTH(R$8,0),DWbonus[[Bookie]:[Bookie]],$A80)+SUMIFS(LayTable[[Faktisk res]:[Faktisk res]],LayTable[[Dato]:[Dato]],"&gt;="&amp;R$8,LayTable[[Dato]:[Dato]],"&lt;="&amp;EOMONTH(R$8,0),LayTable[[Bookmaker]:[Bookmaker]],$A80)+SUMIFS(BetTable[[AR_per_bookie]:[AR_per_bookie]],BetTable[[B1]:[B1]],$A80,BetTable[[Date]:[Date]], "&gt;="&amp;R$8,BetTable[[Date]:[Date]],"&lt;="&amp;EOMONTH(R$8,0))+SUMIFS(BetTable[[AR_per_bookie]:[AR_per_bookie]],BetTable[[B2]:[B2]],$A80,BetTable[[Date]:[Date]], "&gt;="&amp;R$8,BetTable[[Date]:[Date]],"&lt;="&amp;EOMONTH(R$8,0))+SUMIFS(BetTable[[AR_per_bookie]:[AR_per_bookie]],BetTable[[B3]:[B3]],$A80,BetTable[[Date]:[Date]], "&gt;="&amp;R$8,BetTable[[Date]:[Date]],"&lt;="&amp;EOMONTH(R$8,0))</f>
        <v>0</v>
      </c>
      <c r="S80" s="126">
        <f>SUMIFS(DWbonus[[Sum]:[Sum]],DWbonus[[Dato]:[Dato]], "&gt;="&amp;S$8,DWbonus[[Dato]:[Dato]],"&lt;="&amp;EOMONTH(S$8,0),DWbonus[[Bookie]:[Bookie]],$A80)+SUMIFS(LayTable[[Faktisk res]:[Faktisk res]],LayTable[[Dato]:[Dato]],"&gt;="&amp;S$8,LayTable[[Dato]:[Dato]],"&lt;="&amp;EOMONTH(S$8,0),LayTable[[Bookmaker]:[Bookmaker]],$A80)+SUMIFS(BetTable[[AR_per_bookie]:[AR_per_bookie]],BetTable[[B1]:[B1]],$A80,BetTable[[Date]:[Date]], "&gt;="&amp;S$8,BetTable[[Date]:[Date]],"&lt;="&amp;EOMONTH(S$8,0))+SUMIFS(BetTable[[AR_per_bookie]:[AR_per_bookie]],BetTable[[B2]:[B2]],$A80,BetTable[[Date]:[Date]], "&gt;="&amp;S$8,BetTable[[Date]:[Date]],"&lt;="&amp;EOMONTH(S$8,0))+SUMIFS(BetTable[[AR_per_bookie]:[AR_per_bookie]],BetTable[[B3]:[B3]],$A80,BetTable[[Date]:[Date]], "&gt;="&amp;S$8,BetTable[[Date]:[Date]],"&lt;="&amp;EOMONTH(S$8,0))</f>
        <v>0</v>
      </c>
    </row>
    <row r="81" spans="1:19">
      <c r="A81" s="115" t="str">
        <f>BookieNavn!I86</f>
        <v>AaBetsafe</v>
      </c>
      <c r="B81" s="126">
        <f>SUMIF(Penger!D$1:D$50072,A81,Penger!F$1:F$50072)</f>
        <v>0</v>
      </c>
      <c r="C81" s="126">
        <f>SUMIF(Penger!T$1:T$50072,A81,Penger!U$1:U$50072)</f>
        <v>0</v>
      </c>
      <c r="D81" s="126">
        <f ca="1">SUMIF(Spill!C$1:C$499895,A81,Spill!T$1:T$49895)+C81</f>
        <v>0</v>
      </c>
      <c r="E81" s="126">
        <f>SUMIF(Spill!C$1:C$49895,A81,Spill!T$1:T$49895)</f>
        <v>0</v>
      </c>
      <c r="F81" s="121" t="e">
        <f t="shared" ca="1" si="2"/>
        <v>#DIV/0!</v>
      </c>
      <c r="H81" s="126">
        <f>SUMIFS(DWbonus[[Sum]:[Sum]],DWbonus[[Dato]:[Dato]], "&gt;="&amp;H$8,DWbonus[[Dato]:[Dato]],"&lt;="&amp;EOMONTH(H$8,0),DWbonus[[Bookie]:[Bookie]],$A81)+SUMIFS(LayTable[[Faktisk res]:[Faktisk res]],LayTable[[Dato]:[Dato]],"&gt;="&amp;H$8,LayTable[[Dato]:[Dato]],"&lt;="&amp;EOMONTH(H$8,0),LayTable[[Bookmaker]:[Bookmaker]],$A81)+SUMIFS(BetTable[[AR_per_bookie]:[AR_per_bookie]],BetTable[[B1]:[B1]],$A81,BetTable[[Date]:[Date]], "&gt;="&amp;H$8,BetTable[[Date]:[Date]],"&lt;="&amp;EOMONTH(H$8,0))+SUMIFS(BetTable[[AR_per_bookie]:[AR_per_bookie]],BetTable[[B2]:[B2]],$A81,BetTable[[Date]:[Date]], "&gt;="&amp;H$8,BetTable[[Date]:[Date]],"&lt;="&amp;EOMONTH(H$8,0))+SUMIFS(BetTable[[AR_per_bookie]:[AR_per_bookie]],BetTable[[B3]:[B3]],$A81,BetTable[[Date]:[Date]], "&gt;="&amp;H$8,BetTable[[Date]:[Date]],"&lt;="&amp;EOMONTH(H$8,0))</f>
        <v>0</v>
      </c>
      <c r="I81" s="126">
        <f>SUMIFS(DWbonus[[Sum]:[Sum]],DWbonus[[Dato]:[Dato]], "&gt;="&amp;I$8,DWbonus[[Dato]:[Dato]],"&lt;="&amp;EOMONTH(I$8,0),DWbonus[[Bookie]:[Bookie]],$A81)+SUMIFS(LayTable[[Faktisk res]:[Faktisk res]],LayTable[[Dato]:[Dato]],"&gt;="&amp;I$8,LayTable[[Dato]:[Dato]],"&lt;="&amp;EOMONTH(I$8,0),LayTable[[Bookmaker]:[Bookmaker]],$A81)+SUMIFS(BetTable[[AR_per_bookie]:[AR_per_bookie]],BetTable[[B1]:[B1]],$A81,BetTable[[Date]:[Date]], "&gt;="&amp;I$8,BetTable[[Date]:[Date]],"&lt;="&amp;EOMONTH(I$8,0))+SUMIFS(BetTable[[AR_per_bookie]:[AR_per_bookie]],BetTable[[B2]:[B2]],$A81,BetTable[[Date]:[Date]], "&gt;="&amp;I$8,BetTable[[Date]:[Date]],"&lt;="&amp;EOMONTH(I$8,0))+SUMIFS(BetTable[[AR_per_bookie]:[AR_per_bookie]],BetTable[[B3]:[B3]],$A81,BetTable[[Date]:[Date]], "&gt;="&amp;I$8,BetTable[[Date]:[Date]],"&lt;="&amp;EOMONTH(I$8,0))</f>
        <v>0</v>
      </c>
      <c r="J81" s="126">
        <f>SUMIFS(DWbonus[[Sum]:[Sum]],DWbonus[[Dato]:[Dato]], "&gt;="&amp;J$8,DWbonus[[Dato]:[Dato]],"&lt;="&amp;EOMONTH(J$8,0),DWbonus[[Bookie]:[Bookie]],$A81)+SUMIFS(LayTable[[Faktisk res]:[Faktisk res]],LayTable[[Dato]:[Dato]],"&gt;="&amp;J$8,LayTable[[Dato]:[Dato]],"&lt;="&amp;EOMONTH(J$8,0),LayTable[[Bookmaker]:[Bookmaker]],$A81)+SUMIFS(BetTable[[AR_per_bookie]:[AR_per_bookie]],BetTable[[B1]:[B1]],$A81,BetTable[[Date]:[Date]], "&gt;="&amp;J$8,BetTable[[Date]:[Date]],"&lt;="&amp;EOMONTH(J$8,0))+SUMIFS(BetTable[[AR_per_bookie]:[AR_per_bookie]],BetTable[[B2]:[B2]],$A81,BetTable[[Date]:[Date]], "&gt;="&amp;J$8,BetTable[[Date]:[Date]],"&lt;="&amp;EOMONTH(J$8,0))+SUMIFS(BetTable[[AR_per_bookie]:[AR_per_bookie]],BetTable[[B3]:[B3]],$A81,BetTable[[Date]:[Date]], "&gt;="&amp;J$8,BetTable[[Date]:[Date]],"&lt;="&amp;EOMONTH(J$8,0))</f>
        <v>0</v>
      </c>
      <c r="K81" s="126">
        <f>SUMIFS(DWbonus[[Sum]:[Sum]],DWbonus[[Dato]:[Dato]], "&gt;="&amp;K$8,DWbonus[[Dato]:[Dato]],"&lt;="&amp;EOMONTH(K$8,0),DWbonus[[Bookie]:[Bookie]],$A81)+SUMIFS(LayTable[[Faktisk res]:[Faktisk res]],LayTable[[Dato]:[Dato]],"&gt;="&amp;K$8,LayTable[[Dato]:[Dato]],"&lt;="&amp;EOMONTH(K$8,0),LayTable[[Bookmaker]:[Bookmaker]],$A81)+SUMIFS(BetTable[[AR_per_bookie]:[AR_per_bookie]],BetTable[[B1]:[B1]],$A81,BetTable[[Date]:[Date]], "&gt;="&amp;K$8,BetTable[[Date]:[Date]],"&lt;="&amp;EOMONTH(K$8,0))+SUMIFS(BetTable[[AR_per_bookie]:[AR_per_bookie]],BetTable[[B2]:[B2]],$A81,BetTable[[Date]:[Date]], "&gt;="&amp;K$8,BetTable[[Date]:[Date]],"&lt;="&amp;EOMONTH(K$8,0))+SUMIFS(BetTable[[AR_per_bookie]:[AR_per_bookie]],BetTable[[B3]:[B3]],$A81,BetTable[[Date]:[Date]], "&gt;="&amp;K$8,BetTable[[Date]:[Date]],"&lt;="&amp;EOMONTH(K$8,0))</f>
        <v>0</v>
      </c>
      <c r="L81" s="126">
        <f>SUMIFS(DWbonus[[Sum]:[Sum]],DWbonus[[Dato]:[Dato]], "&gt;="&amp;L$8,DWbonus[[Dato]:[Dato]],"&lt;="&amp;EOMONTH(L$8,0),DWbonus[[Bookie]:[Bookie]],$A81)+SUMIFS(LayTable[[Faktisk res]:[Faktisk res]],LayTable[[Dato]:[Dato]],"&gt;="&amp;L$8,LayTable[[Dato]:[Dato]],"&lt;="&amp;EOMONTH(L$8,0),LayTable[[Bookmaker]:[Bookmaker]],$A81)+SUMIFS(BetTable[[AR_per_bookie]:[AR_per_bookie]],BetTable[[B1]:[B1]],$A81,BetTable[[Date]:[Date]], "&gt;="&amp;L$8,BetTable[[Date]:[Date]],"&lt;="&amp;EOMONTH(L$8,0))+SUMIFS(BetTable[[AR_per_bookie]:[AR_per_bookie]],BetTable[[B2]:[B2]],$A81,BetTable[[Date]:[Date]], "&gt;="&amp;L$8,BetTable[[Date]:[Date]],"&lt;="&amp;EOMONTH(L$8,0))+SUMIFS(BetTable[[AR_per_bookie]:[AR_per_bookie]],BetTable[[B3]:[B3]],$A81,BetTable[[Date]:[Date]], "&gt;="&amp;L$8,BetTable[[Date]:[Date]],"&lt;="&amp;EOMONTH(L$8,0))</f>
        <v>0</v>
      </c>
      <c r="M81" s="126">
        <f>SUMIFS(DWbonus[[Sum]:[Sum]],DWbonus[[Dato]:[Dato]], "&gt;="&amp;M$8,DWbonus[[Dato]:[Dato]],"&lt;="&amp;EOMONTH(M$8,0),DWbonus[[Bookie]:[Bookie]],$A81)+SUMIFS(LayTable[[Faktisk res]:[Faktisk res]],LayTable[[Dato]:[Dato]],"&gt;="&amp;M$8,LayTable[[Dato]:[Dato]],"&lt;="&amp;EOMONTH(M$8,0),LayTable[[Bookmaker]:[Bookmaker]],$A81)+SUMIFS(BetTable[[AR_per_bookie]:[AR_per_bookie]],BetTable[[B1]:[B1]],$A81,BetTable[[Date]:[Date]], "&gt;="&amp;M$8,BetTable[[Date]:[Date]],"&lt;="&amp;EOMONTH(M$8,0))+SUMIFS(BetTable[[AR_per_bookie]:[AR_per_bookie]],BetTable[[B2]:[B2]],$A81,BetTable[[Date]:[Date]], "&gt;="&amp;M$8,BetTable[[Date]:[Date]],"&lt;="&amp;EOMONTH(M$8,0))+SUMIFS(BetTable[[AR_per_bookie]:[AR_per_bookie]],BetTable[[B3]:[B3]],$A81,BetTable[[Date]:[Date]], "&gt;="&amp;M$8,BetTable[[Date]:[Date]],"&lt;="&amp;EOMONTH(M$8,0))</f>
        <v>0</v>
      </c>
      <c r="N81" s="126">
        <f>SUMIFS(DWbonus[[Sum]:[Sum]],DWbonus[[Dato]:[Dato]], "&gt;="&amp;N$8,DWbonus[[Dato]:[Dato]],"&lt;="&amp;EOMONTH(N$8,0),DWbonus[[Bookie]:[Bookie]],$A81)+SUMIFS(LayTable[[Faktisk res]:[Faktisk res]],LayTable[[Dato]:[Dato]],"&gt;="&amp;N$8,LayTable[[Dato]:[Dato]],"&lt;="&amp;EOMONTH(N$8,0),LayTable[[Bookmaker]:[Bookmaker]],$A81)+SUMIFS(BetTable[[AR_per_bookie]:[AR_per_bookie]],BetTable[[B1]:[B1]],$A81,BetTable[[Date]:[Date]], "&gt;="&amp;N$8,BetTable[[Date]:[Date]],"&lt;="&amp;EOMONTH(N$8,0))+SUMIFS(BetTable[[AR_per_bookie]:[AR_per_bookie]],BetTable[[B2]:[B2]],$A81,BetTable[[Date]:[Date]], "&gt;="&amp;N$8,BetTable[[Date]:[Date]],"&lt;="&amp;EOMONTH(N$8,0))+SUMIFS(BetTable[[AR_per_bookie]:[AR_per_bookie]],BetTable[[B3]:[B3]],$A81,BetTable[[Date]:[Date]], "&gt;="&amp;N$8,BetTable[[Date]:[Date]],"&lt;="&amp;EOMONTH(N$8,0))</f>
        <v>0</v>
      </c>
      <c r="O81" s="126">
        <f>SUMIFS(DWbonus[[Sum]:[Sum]],DWbonus[[Dato]:[Dato]], "&gt;="&amp;O$8,DWbonus[[Dato]:[Dato]],"&lt;="&amp;EOMONTH(O$8,0),DWbonus[[Bookie]:[Bookie]],$A81)+SUMIFS(LayTable[[Faktisk res]:[Faktisk res]],LayTable[[Dato]:[Dato]],"&gt;="&amp;O$8,LayTable[[Dato]:[Dato]],"&lt;="&amp;EOMONTH(O$8,0),LayTable[[Bookmaker]:[Bookmaker]],$A81)+SUMIFS(BetTable[[AR_per_bookie]:[AR_per_bookie]],BetTable[[B1]:[B1]],$A81,BetTable[[Date]:[Date]], "&gt;="&amp;O$8,BetTable[[Date]:[Date]],"&lt;="&amp;EOMONTH(O$8,0))+SUMIFS(BetTable[[AR_per_bookie]:[AR_per_bookie]],BetTable[[B2]:[B2]],$A81,BetTable[[Date]:[Date]], "&gt;="&amp;O$8,BetTable[[Date]:[Date]],"&lt;="&amp;EOMONTH(O$8,0))+SUMIFS(BetTable[[AR_per_bookie]:[AR_per_bookie]],BetTable[[B3]:[B3]],$A81,BetTable[[Date]:[Date]], "&gt;="&amp;O$8,BetTable[[Date]:[Date]],"&lt;="&amp;EOMONTH(O$8,0))</f>
        <v>0</v>
      </c>
      <c r="P81" s="126">
        <f>SUMIFS(DWbonus[[Sum]:[Sum]],DWbonus[[Dato]:[Dato]], "&gt;="&amp;P$8,DWbonus[[Dato]:[Dato]],"&lt;="&amp;EOMONTH(P$8,0),DWbonus[[Bookie]:[Bookie]],$A81)+SUMIFS(LayTable[[Faktisk res]:[Faktisk res]],LayTable[[Dato]:[Dato]],"&gt;="&amp;P$8,LayTable[[Dato]:[Dato]],"&lt;="&amp;EOMONTH(P$8,0),LayTable[[Bookmaker]:[Bookmaker]],$A81)+SUMIFS(BetTable[[AR_per_bookie]:[AR_per_bookie]],BetTable[[B1]:[B1]],$A81,BetTable[[Date]:[Date]], "&gt;="&amp;P$8,BetTable[[Date]:[Date]],"&lt;="&amp;EOMONTH(P$8,0))+SUMIFS(BetTable[[AR_per_bookie]:[AR_per_bookie]],BetTable[[B2]:[B2]],$A81,BetTable[[Date]:[Date]], "&gt;="&amp;P$8,BetTable[[Date]:[Date]],"&lt;="&amp;EOMONTH(P$8,0))+SUMIFS(BetTable[[AR_per_bookie]:[AR_per_bookie]],BetTable[[B3]:[B3]],$A81,BetTable[[Date]:[Date]], "&gt;="&amp;P$8,BetTable[[Date]:[Date]],"&lt;="&amp;EOMONTH(P$8,0))</f>
        <v>0</v>
      </c>
      <c r="Q81" s="126">
        <f>SUMIFS(DWbonus[[Sum]:[Sum]],DWbonus[[Dato]:[Dato]], "&gt;="&amp;Q$8,DWbonus[[Dato]:[Dato]],"&lt;="&amp;EOMONTH(Q$8,0),DWbonus[[Bookie]:[Bookie]],$A81)+SUMIFS(LayTable[[Faktisk res]:[Faktisk res]],LayTable[[Dato]:[Dato]],"&gt;="&amp;Q$8,LayTable[[Dato]:[Dato]],"&lt;="&amp;EOMONTH(Q$8,0),LayTable[[Bookmaker]:[Bookmaker]],$A81)+SUMIFS(BetTable[[AR_per_bookie]:[AR_per_bookie]],BetTable[[B1]:[B1]],$A81,BetTable[[Date]:[Date]], "&gt;="&amp;Q$8,BetTable[[Date]:[Date]],"&lt;="&amp;EOMONTH(Q$8,0))+SUMIFS(BetTable[[AR_per_bookie]:[AR_per_bookie]],BetTable[[B2]:[B2]],$A81,BetTable[[Date]:[Date]], "&gt;="&amp;Q$8,BetTable[[Date]:[Date]],"&lt;="&amp;EOMONTH(Q$8,0))+SUMIFS(BetTable[[AR_per_bookie]:[AR_per_bookie]],BetTable[[B3]:[B3]],$A81,BetTable[[Date]:[Date]], "&gt;="&amp;Q$8,BetTable[[Date]:[Date]],"&lt;="&amp;EOMONTH(Q$8,0))</f>
        <v>0</v>
      </c>
      <c r="R81" s="126">
        <f>SUMIFS(DWbonus[[Sum]:[Sum]],DWbonus[[Dato]:[Dato]], "&gt;="&amp;R$8,DWbonus[[Dato]:[Dato]],"&lt;="&amp;EOMONTH(R$8,0),DWbonus[[Bookie]:[Bookie]],$A81)+SUMIFS(LayTable[[Faktisk res]:[Faktisk res]],LayTable[[Dato]:[Dato]],"&gt;="&amp;R$8,LayTable[[Dato]:[Dato]],"&lt;="&amp;EOMONTH(R$8,0),LayTable[[Bookmaker]:[Bookmaker]],$A81)+SUMIFS(BetTable[[AR_per_bookie]:[AR_per_bookie]],BetTable[[B1]:[B1]],$A81,BetTable[[Date]:[Date]], "&gt;="&amp;R$8,BetTable[[Date]:[Date]],"&lt;="&amp;EOMONTH(R$8,0))+SUMIFS(BetTable[[AR_per_bookie]:[AR_per_bookie]],BetTable[[B2]:[B2]],$A81,BetTable[[Date]:[Date]], "&gt;="&amp;R$8,BetTable[[Date]:[Date]],"&lt;="&amp;EOMONTH(R$8,0))+SUMIFS(BetTable[[AR_per_bookie]:[AR_per_bookie]],BetTable[[B3]:[B3]],$A81,BetTable[[Date]:[Date]], "&gt;="&amp;R$8,BetTable[[Date]:[Date]],"&lt;="&amp;EOMONTH(R$8,0))</f>
        <v>0</v>
      </c>
      <c r="S81" s="126">
        <f>SUMIFS(DWbonus[[Sum]:[Sum]],DWbonus[[Dato]:[Dato]], "&gt;="&amp;S$8,DWbonus[[Dato]:[Dato]],"&lt;="&amp;EOMONTH(S$8,0),DWbonus[[Bookie]:[Bookie]],$A81)+SUMIFS(LayTable[[Faktisk res]:[Faktisk res]],LayTable[[Dato]:[Dato]],"&gt;="&amp;S$8,LayTable[[Dato]:[Dato]],"&lt;="&amp;EOMONTH(S$8,0),LayTable[[Bookmaker]:[Bookmaker]],$A81)+SUMIFS(BetTable[[AR_per_bookie]:[AR_per_bookie]],BetTable[[B1]:[B1]],$A81,BetTable[[Date]:[Date]], "&gt;="&amp;S$8,BetTable[[Date]:[Date]],"&lt;="&amp;EOMONTH(S$8,0))+SUMIFS(BetTable[[AR_per_bookie]:[AR_per_bookie]],BetTable[[B2]:[B2]],$A81,BetTable[[Date]:[Date]], "&gt;="&amp;S$8,BetTable[[Date]:[Date]],"&lt;="&amp;EOMONTH(S$8,0))+SUMIFS(BetTable[[AR_per_bookie]:[AR_per_bookie]],BetTable[[B3]:[B3]],$A81,BetTable[[Date]:[Date]], "&gt;="&amp;S$8,BetTable[[Date]:[Date]],"&lt;="&amp;EOMONTH(S$8,0))</f>
        <v>0</v>
      </c>
    </row>
    <row r="82" spans="1:19">
      <c r="A82" s="115" t="e">
        <f>BookieNavn!#REF!</f>
        <v>#REF!</v>
      </c>
      <c r="B82" s="126">
        <f>SUMIF(Penger!D$1:D$50072,A82,Penger!F$1:F$50072)</f>
        <v>0</v>
      </c>
      <c r="C82" s="126">
        <f>SUMIF(Penger!T$1:T$50072,A82,Penger!U$1:U$50072)</f>
        <v>0</v>
      </c>
      <c r="D82" s="126">
        <f ca="1">SUMIF(Spill!C$1:C$499895,A82,Spill!T$1:T$49895)+C82</f>
        <v>0</v>
      </c>
      <c r="E82" s="126">
        <f>SUMIF(Spill!C$1:C$49895,A82,Spill!T$1:T$49895)</f>
        <v>0</v>
      </c>
      <c r="F82" s="121" t="e">
        <f t="shared" ca="1" si="2"/>
        <v>#DIV/0!</v>
      </c>
      <c r="H82" s="126">
        <f>SUMIFS(DWbonus[[Sum]:[Sum]],DWbonus[[Dato]:[Dato]], "&gt;="&amp;H$8,DWbonus[[Dato]:[Dato]],"&lt;="&amp;EOMONTH(H$8,0),DWbonus[[Bookie]:[Bookie]],$A82)+SUMIFS(LayTable[[Faktisk res]:[Faktisk res]],LayTable[[Dato]:[Dato]],"&gt;="&amp;H$8,LayTable[[Dato]:[Dato]],"&lt;="&amp;EOMONTH(H$8,0),LayTable[[Bookmaker]:[Bookmaker]],$A82)+SUMIFS(BetTable[[AR_per_bookie]:[AR_per_bookie]],BetTable[[B1]:[B1]],$A82,BetTable[[Date]:[Date]], "&gt;="&amp;H$8,BetTable[[Date]:[Date]],"&lt;="&amp;EOMONTH(H$8,0))+SUMIFS(BetTable[[AR_per_bookie]:[AR_per_bookie]],BetTable[[B2]:[B2]],$A82,BetTable[[Date]:[Date]], "&gt;="&amp;H$8,BetTable[[Date]:[Date]],"&lt;="&amp;EOMONTH(H$8,0))+SUMIFS(BetTable[[AR_per_bookie]:[AR_per_bookie]],BetTable[[B3]:[B3]],$A82,BetTable[[Date]:[Date]], "&gt;="&amp;H$8,BetTable[[Date]:[Date]],"&lt;="&amp;EOMONTH(H$8,0))</f>
        <v>0</v>
      </c>
      <c r="I82" s="126">
        <f>SUMIFS(DWbonus[[Sum]:[Sum]],DWbonus[[Dato]:[Dato]], "&gt;="&amp;I$8,DWbonus[[Dato]:[Dato]],"&lt;="&amp;EOMONTH(I$8,0),DWbonus[[Bookie]:[Bookie]],$A82)+SUMIFS(LayTable[[Faktisk res]:[Faktisk res]],LayTable[[Dato]:[Dato]],"&gt;="&amp;I$8,LayTable[[Dato]:[Dato]],"&lt;="&amp;EOMONTH(I$8,0),LayTable[[Bookmaker]:[Bookmaker]],$A82)+SUMIFS(BetTable[[AR_per_bookie]:[AR_per_bookie]],BetTable[[B1]:[B1]],$A82,BetTable[[Date]:[Date]], "&gt;="&amp;I$8,BetTable[[Date]:[Date]],"&lt;="&amp;EOMONTH(I$8,0))+SUMIFS(BetTable[[AR_per_bookie]:[AR_per_bookie]],BetTable[[B2]:[B2]],$A82,BetTable[[Date]:[Date]], "&gt;="&amp;I$8,BetTable[[Date]:[Date]],"&lt;="&amp;EOMONTH(I$8,0))+SUMIFS(BetTable[[AR_per_bookie]:[AR_per_bookie]],BetTable[[B3]:[B3]],$A82,BetTable[[Date]:[Date]], "&gt;="&amp;I$8,BetTable[[Date]:[Date]],"&lt;="&amp;EOMONTH(I$8,0))</f>
        <v>0</v>
      </c>
      <c r="J82" s="126">
        <f>SUMIFS(DWbonus[[Sum]:[Sum]],DWbonus[[Dato]:[Dato]], "&gt;="&amp;J$8,DWbonus[[Dato]:[Dato]],"&lt;="&amp;EOMONTH(J$8,0),DWbonus[[Bookie]:[Bookie]],$A82)+SUMIFS(LayTable[[Faktisk res]:[Faktisk res]],LayTable[[Dato]:[Dato]],"&gt;="&amp;J$8,LayTable[[Dato]:[Dato]],"&lt;="&amp;EOMONTH(J$8,0),LayTable[[Bookmaker]:[Bookmaker]],$A82)+SUMIFS(BetTable[[AR_per_bookie]:[AR_per_bookie]],BetTable[[B1]:[B1]],$A82,BetTable[[Date]:[Date]], "&gt;="&amp;J$8,BetTable[[Date]:[Date]],"&lt;="&amp;EOMONTH(J$8,0))+SUMIFS(BetTable[[AR_per_bookie]:[AR_per_bookie]],BetTable[[B2]:[B2]],$A82,BetTable[[Date]:[Date]], "&gt;="&amp;J$8,BetTable[[Date]:[Date]],"&lt;="&amp;EOMONTH(J$8,0))+SUMIFS(BetTable[[AR_per_bookie]:[AR_per_bookie]],BetTable[[B3]:[B3]],$A82,BetTable[[Date]:[Date]], "&gt;="&amp;J$8,BetTable[[Date]:[Date]],"&lt;="&amp;EOMONTH(J$8,0))</f>
        <v>0</v>
      </c>
      <c r="K82" s="126">
        <f>SUMIFS(DWbonus[[Sum]:[Sum]],DWbonus[[Dato]:[Dato]], "&gt;="&amp;K$8,DWbonus[[Dato]:[Dato]],"&lt;="&amp;EOMONTH(K$8,0),DWbonus[[Bookie]:[Bookie]],$A82)+SUMIFS(LayTable[[Faktisk res]:[Faktisk res]],LayTable[[Dato]:[Dato]],"&gt;="&amp;K$8,LayTable[[Dato]:[Dato]],"&lt;="&amp;EOMONTH(K$8,0),LayTable[[Bookmaker]:[Bookmaker]],$A82)+SUMIFS(BetTable[[AR_per_bookie]:[AR_per_bookie]],BetTable[[B1]:[B1]],$A82,BetTable[[Date]:[Date]], "&gt;="&amp;K$8,BetTable[[Date]:[Date]],"&lt;="&amp;EOMONTH(K$8,0))+SUMIFS(BetTable[[AR_per_bookie]:[AR_per_bookie]],BetTable[[B2]:[B2]],$A82,BetTable[[Date]:[Date]], "&gt;="&amp;K$8,BetTable[[Date]:[Date]],"&lt;="&amp;EOMONTH(K$8,0))+SUMIFS(BetTable[[AR_per_bookie]:[AR_per_bookie]],BetTable[[B3]:[B3]],$A82,BetTable[[Date]:[Date]], "&gt;="&amp;K$8,BetTable[[Date]:[Date]],"&lt;="&amp;EOMONTH(K$8,0))</f>
        <v>0</v>
      </c>
      <c r="L82" s="126">
        <f>SUMIFS(DWbonus[[Sum]:[Sum]],DWbonus[[Dato]:[Dato]], "&gt;="&amp;L$8,DWbonus[[Dato]:[Dato]],"&lt;="&amp;EOMONTH(L$8,0),DWbonus[[Bookie]:[Bookie]],$A82)+SUMIFS(LayTable[[Faktisk res]:[Faktisk res]],LayTable[[Dato]:[Dato]],"&gt;="&amp;L$8,LayTable[[Dato]:[Dato]],"&lt;="&amp;EOMONTH(L$8,0),LayTable[[Bookmaker]:[Bookmaker]],$A82)+SUMIFS(BetTable[[AR_per_bookie]:[AR_per_bookie]],BetTable[[B1]:[B1]],$A82,BetTable[[Date]:[Date]], "&gt;="&amp;L$8,BetTable[[Date]:[Date]],"&lt;="&amp;EOMONTH(L$8,0))+SUMIFS(BetTable[[AR_per_bookie]:[AR_per_bookie]],BetTable[[B2]:[B2]],$A82,BetTable[[Date]:[Date]], "&gt;="&amp;L$8,BetTable[[Date]:[Date]],"&lt;="&amp;EOMONTH(L$8,0))+SUMIFS(BetTable[[AR_per_bookie]:[AR_per_bookie]],BetTable[[B3]:[B3]],$A82,BetTable[[Date]:[Date]], "&gt;="&amp;L$8,BetTable[[Date]:[Date]],"&lt;="&amp;EOMONTH(L$8,0))</f>
        <v>0</v>
      </c>
      <c r="M82" s="126">
        <f>SUMIFS(DWbonus[[Sum]:[Sum]],DWbonus[[Dato]:[Dato]], "&gt;="&amp;M$8,DWbonus[[Dato]:[Dato]],"&lt;="&amp;EOMONTH(M$8,0),DWbonus[[Bookie]:[Bookie]],$A82)+SUMIFS(LayTable[[Faktisk res]:[Faktisk res]],LayTable[[Dato]:[Dato]],"&gt;="&amp;M$8,LayTable[[Dato]:[Dato]],"&lt;="&amp;EOMONTH(M$8,0),LayTable[[Bookmaker]:[Bookmaker]],$A82)+SUMIFS(BetTable[[AR_per_bookie]:[AR_per_bookie]],BetTable[[B1]:[B1]],$A82,BetTable[[Date]:[Date]], "&gt;="&amp;M$8,BetTable[[Date]:[Date]],"&lt;="&amp;EOMONTH(M$8,0))+SUMIFS(BetTable[[AR_per_bookie]:[AR_per_bookie]],BetTable[[B2]:[B2]],$A82,BetTable[[Date]:[Date]], "&gt;="&amp;M$8,BetTable[[Date]:[Date]],"&lt;="&amp;EOMONTH(M$8,0))+SUMIFS(BetTable[[AR_per_bookie]:[AR_per_bookie]],BetTable[[B3]:[B3]],$A82,BetTable[[Date]:[Date]], "&gt;="&amp;M$8,BetTable[[Date]:[Date]],"&lt;="&amp;EOMONTH(M$8,0))</f>
        <v>0</v>
      </c>
      <c r="N82" s="126">
        <f>SUMIFS(DWbonus[[Sum]:[Sum]],DWbonus[[Dato]:[Dato]], "&gt;="&amp;N$8,DWbonus[[Dato]:[Dato]],"&lt;="&amp;EOMONTH(N$8,0),DWbonus[[Bookie]:[Bookie]],$A82)+SUMIFS(LayTable[[Faktisk res]:[Faktisk res]],LayTable[[Dato]:[Dato]],"&gt;="&amp;N$8,LayTable[[Dato]:[Dato]],"&lt;="&amp;EOMONTH(N$8,0),LayTable[[Bookmaker]:[Bookmaker]],$A82)+SUMIFS(BetTable[[AR_per_bookie]:[AR_per_bookie]],BetTable[[B1]:[B1]],$A82,BetTable[[Date]:[Date]], "&gt;="&amp;N$8,BetTable[[Date]:[Date]],"&lt;="&amp;EOMONTH(N$8,0))+SUMIFS(BetTable[[AR_per_bookie]:[AR_per_bookie]],BetTable[[B2]:[B2]],$A82,BetTable[[Date]:[Date]], "&gt;="&amp;N$8,BetTable[[Date]:[Date]],"&lt;="&amp;EOMONTH(N$8,0))+SUMIFS(BetTable[[AR_per_bookie]:[AR_per_bookie]],BetTable[[B3]:[B3]],$A82,BetTable[[Date]:[Date]], "&gt;="&amp;N$8,BetTable[[Date]:[Date]],"&lt;="&amp;EOMONTH(N$8,0))</f>
        <v>0</v>
      </c>
      <c r="O82" s="126">
        <f>SUMIFS(DWbonus[[Sum]:[Sum]],DWbonus[[Dato]:[Dato]], "&gt;="&amp;O$8,DWbonus[[Dato]:[Dato]],"&lt;="&amp;EOMONTH(O$8,0),DWbonus[[Bookie]:[Bookie]],$A82)+SUMIFS(LayTable[[Faktisk res]:[Faktisk res]],LayTable[[Dato]:[Dato]],"&gt;="&amp;O$8,LayTable[[Dato]:[Dato]],"&lt;="&amp;EOMONTH(O$8,0),LayTable[[Bookmaker]:[Bookmaker]],$A82)+SUMIFS(BetTable[[AR_per_bookie]:[AR_per_bookie]],BetTable[[B1]:[B1]],$A82,BetTable[[Date]:[Date]], "&gt;="&amp;O$8,BetTable[[Date]:[Date]],"&lt;="&amp;EOMONTH(O$8,0))+SUMIFS(BetTable[[AR_per_bookie]:[AR_per_bookie]],BetTable[[B2]:[B2]],$A82,BetTable[[Date]:[Date]], "&gt;="&amp;O$8,BetTable[[Date]:[Date]],"&lt;="&amp;EOMONTH(O$8,0))+SUMIFS(BetTable[[AR_per_bookie]:[AR_per_bookie]],BetTable[[B3]:[B3]],$A82,BetTable[[Date]:[Date]], "&gt;="&amp;O$8,BetTable[[Date]:[Date]],"&lt;="&amp;EOMONTH(O$8,0))</f>
        <v>0</v>
      </c>
      <c r="P82" s="126">
        <f>SUMIFS(DWbonus[[Sum]:[Sum]],DWbonus[[Dato]:[Dato]], "&gt;="&amp;P$8,DWbonus[[Dato]:[Dato]],"&lt;="&amp;EOMONTH(P$8,0),DWbonus[[Bookie]:[Bookie]],$A82)+SUMIFS(LayTable[[Faktisk res]:[Faktisk res]],LayTable[[Dato]:[Dato]],"&gt;="&amp;P$8,LayTable[[Dato]:[Dato]],"&lt;="&amp;EOMONTH(P$8,0),LayTable[[Bookmaker]:[Bookmaker]],$A82)+SUMIFS(BetTable[[AR_per_bookie]:[AR_per_bookie]],BetTable[[B1]:[B1]],$A82,BetTable[[Date]:[Date]], "&gt;="&amp;P$8,BetTable[[Date]:[Date]],"&lt;="&amp;EOMONTH(P$8,0))+SUMIFS(BetTable[[AR_per_bookie]:[AR_per_bookie]],BetTable[[B2]:[B2]],$A82,BetTable[[Date]:[Date]], "&gt;="&amp;P$8,BetTable[[Date]:[Date]],"&lt;="&amp;EOMONTH(P$8,0))+SUMIFS(BetTable[[AR_per_bookie]:[AR_per_bookie]],BetTable[[B3]:[B3]],$A82,BetTable[[Date]:[Date]], "&gt;="&amp;P$8,BetTable[[Date]:[Date]],"&lt;="&amp;EOMONTH(P$8,0))</f>
        <v>0</v>
      </c>
      <c r="Q82" s="126">
        <f>SUMIFS(DWbonus[[Sum]:[Sum]],DWbonus[[Dato]:[Dato]], "&gt;="&amp;Q$8,DWbonus[[Dato]:[Dato]],"&lt;="&amp;EOMONTH(Q$8,0),DWbonus[[Bookie]:[Bookie]],$A82)+SUMIFS(LayTable[[Faktisk res]:[Faktisk res]],LayTable[[Dato]:[Dato]],"&gt;="&amp;Q$8,LayTable[[Dato]:[Dato]],"&lt;="&amp;EOMONTH(Q$8,0),LayTable[[Bookmaker]:[Bookmaker]],$A82)+SUMIFS(BetTable[[AR_per_bookie]:[AR_per_bookie]],BetTable[[B1]:[B1]],$A82,BetTable[[Date]:[Date]], "&gt;="&amp;Q$8,BetTable[[Date]:[Date]],"&lt;="&amp;EOMONTH(Q$8,0))+SUMIFS(BetTable[[AR_per_bookie]:[AR_per_bookie]],BetTable[[B2]:[B2]],$A82,BetTable[[Date]:[Date]], "&gt;="&amp;Q$8,BetTable[[Date]:[Date]],"&lt;="&amp;EOMONTH(Q$8,0))+SUMIFS(BetTable[[AR_per_bookie]:[AR_per_bookie]],BetTable[[B3]:[B3]],$A82,BetTable[[Date]:[Date]], "&gt;="&amp;Q$8,BetTable[[Date]:[Date]],"&lt;="&amp;EOMONTH(Q$8,0))</f>
        <v>0</v>
      </c>
      <c r="R82" s="126">
        <f>SUMIFS(DWbonus[[Sum]:[Sum]],DWbonus[[Dato]:[Dato]], "&gt;="&amp;R$8,DWbonus[[Dato]:[Dato]],"&lt;="&amp;EOMONTH(R$8,0),DWbonus[[Bookie]:[Bookie]],$A82)+SUMIFS(LayTable[[Faktisk res]:[Faktisk res]],LayTable[[Dato]:[Dato]],"&gt;="&amp;R$8,LayTable[[Dato]:[Dato]],"&lt;="&amp;EOMONTH(R$8,0),LayTable[[Bookmaker]:[Bookmaker]],$A82)+SUMIFS(BetTable[[AR_per_bookie]:[AR_per_bookie]],BetTable[[B1]:[B1]],$A82,BetTable[[Date]:[Date]], "&gt;="&amp;R$8,BetTable[[Date]:[Date]],"&lt;="&amp;EOMONTH(R$8,0))+SUMIFS(BetTable[[AR_per_bookie]:[AR_per_bookie]],BetTable[[B2]:[B2]],$A82,BetTable[[Date]:[Date]], "&gt;="&amp;R$8,BetTable[[Date]:[Date]],"&lt;="&amp;EOMONTH(R$8,0))+SUMIFS(BetTable[[AR_per_bookie]:[AR_per_bookie]],BetTable[[B3]:[B3]],$A82,BetTable[[Date]:[Date]], "&gt;="&amp;R$8,BetTable[[Date]:[Date]],"&lt;="&amp;EOMONTH(R$8,0))</f>
        <v>0</v>
      </c>
      <c r="S82" s="126">
        <f>SUMIFS(DWbonus[[Sum]:[Sum]],DWbonus[[Dato]:[Dato]], "&gt;="&amp;S$8,DWbonus[[Dato]:[Dato]],"&lt;="&amp;EOMONTH(S$8,0),DWbonus[[Bookie]:[Bookie]],$A82)+SUMIFS(LayTable[[Faktisk res]:[Faktisk res]],LayTable[[Dato]:[Dato]],"&gt;="&amp;S$8,LayTable[[Dato]:[Dato]],"&lt;="&amp;EOMONTH(S$8,0),LayTable[[Bookmaker]:[Bookmaker]],$A82)+SUMIFS(BetTable[[AR_per_bookie]:[AR_per_bookie]],BetTable[[B1]:[B1]],$A82,BetTable[[Date]:[Date]], "&gt;="&amp;S$8,BetTable[[Date]:[Date]],"&lt;="&amp;EOMONTH(S$8,0))+SUMIFS(BetTable[[AR_per_bookie]:[AR_per_bookie]],BetTable[[B2]:[B2]],$A82,BetTable[[Date]:[Date]], "&gt;="&amp;S$8,BetTable[[Date]:[Date]],"&lt;="&amp;EOMONTH(S$8,0))+SUMIFS(BetTable[[AR_per_bookie]:[AR_per_bookie]],BetTable[[B3]:[B3]],$A82,BetTable[[Date]:[Date]], "&gt;="&amp;S$8,BetTable[[Date]:[Date]],"&lt;="&amp;EOMONTH(S$8,0))</f>
        <v>0</v>
      </c>
    </row>
    <row r="83" spans="1:19">
      <c r="A83" s="115" t="str">
        <f>BookieNavn!I73</f>
        <v>LiBetsson</v>
      </c>
      <c r="B83" s="126">
        <f>SUMIF(Penger!D$1:D$50072,A83,Penger!F$1:F$50072)</f>
        <v>0</v>
      </c>
      <c r="C83" s="126">
        <f>SUMIF(Penger!T$1:T$50072,A83,Penger!U$1:U$50072)</f>
        <v>0</v>
      </c>
      <c r="D83" s="126">
        <f ca="1">SUMIF(Spill!C$1:C$499895,A83,Spill!T$1:T$49895)+C83</f>
        <v>0</v>
      </c>
      <c r="E83" s="126">
        <f>SUMIF(Spill!C$1:C$49895,A83,Spill!T$1:T$49895)</f>
        <v>0</v>
      </c>
      <c r="F83" s="121" t="e">
        <f t="shared" ca="1" si="2"/>
        <v>#DIV/0!</v>
      </c>
      <c r="H83" s="126">
        <f>SUMIFS(DWbonus[[Sum]:[Sum]],DWbonus[[Dato]:[Dato]], "&gt;="&amp;H$8,DWbonus[[Dato]:[Dato]],"&lt;="&amp;EOMONTH(H$8,0),DWbonus[[Bookie]:[Bookie]],$A83)+SUMIFS(LayTable[[Faktisk res]:[Faktisk res]],LayTable[[Dato]:[Dato]],"&gt;="&amp;H$8,LayTable[[Dato]:[Dato]],"&lt;="&amp;EOMONTH(H$8,0),LayTable[[Bookmaker]:[Bookmaker]],$A83)+SUMIFS(BetTable[[AR_per_bookie]:[AR_per_bookie]],BetTable[[B1]:[B1]],$A83,BetTable[[Date]:[Date]], "&gt;="&amp;H$8,BetTable[[Date]:[Date]],"&lt;="&amp;EOMONTH(H$8,0))+SUMIFS(BetTable[[AR_per_bookie]:[AR_per_bookie]],BetTable[[B2]:[B2]],$A83,BetTable[[Date]:[Date]], "&gt;="&amp;H$8,BetTable[[Date]:[Date]],"&lt;="&amp;EOMONTH(H$8,0))+SUMIFS(BetTable[[AR_per_bookie]:[AR_per_bookie]],BetTable[[B3]:[B3]],$A83,BetTable[[Date]:[Date]], "&gt;="&amp;H$8,BetTable[[Date]:[Date]],"&lt;="&amp;EOMONTH(H$8,0))</f>
        <v>0</v>
      </c>
      <c r="I83" s="126">
        <f>SUMIFS(DWbonus[[Sum]:[Sum]],DWbonus[[Dato]:[Dato]], "&gt;="&amp;I$8,DWbonus[[Dato]:[Dato]],"&lt;="&amp;EOMONTH(I$8,0),DWbonus[[Bookie]:[Bookie]],$A83)+SUMIFS(LayTable[[Faktisk res]:[Faktisk res]],LayTable[[Dato]:[Dato]],"&gt;="&amp;I$8,LayTable[[Dato]:[Dato]],"&lt;="&amp;EOMONTH(I$8,0),LayTable[[Bookmaker]:[Bookmaker]],$A83)+SUMIFS(BetTable[[AR_per_bookie]:[AR_per_bookie]],BetTable[[B1]:[B1]],$A83,BetTable[[Date]:[Date]], "&gt;="&amp;I$8,BetTable[[Date]:[Date]],"&lt;="&amp;EOMONTH(I$8,0))+SUMIFS(BetTable[[AR_per_bookie]:[AR_per_bookie]],BetTable[[B2]:[B2]],$A83,BetTable[[Date]:[Date]], "&gt;="&amp;I$8,BetTable[[Date]:[Date]],"&lt;="&amp;EOMONTH(I$8,0))+SUMIFS(BetTable[[AR_per_bookie]:[AR_per_bookie]],BetTable[[B3]:[B3]],$A83,BetTable[[Date]:[Date]], "&gt;="&amp;I$8,BetTable[[Date]:[Date]],"&lt;="&amp;EOMONTH(I$8,0))</f>
        <v>0</v>
      </c>
      <c r="J83" s="126">
        <f>SUMIFS(DWbonus[[Sum]:[Sum]],DWbonus[[Dato]:[Dato]], "&gt;="&amp;J$8,DWbonus[[Dato]:[Dato]],"&lt;="&amp;EOMONTH(J$8,0),DWbonus[[Bookie]:[Bookie]],$A83)+SUMIFS(LayTable[[Faktisk res]:[Faktisk res]],LayTable[[Dato]:[Dato]],"&gt;="&amp;J$8,LayTable[[Dato]:[Dato]],"&lt;="&amp;EOMONTH(J$8,0),LayTable[[Bookmaker]:[Bookmaker]],$A83)+SUMIFS(BetTable[[AR_per_bookie]:[AR_per_bookie]],BetTable[[B1]:[B1]],$A83,BetTable[[Date]:[Date]], "&gt;="&amp;J$8,BetTable[[Date]:[Date]],"&lt;="&amp;EOMONTH(J$8,0))+SUMIFS(BetTable[[AR_per_bookie]:[AR_per_bookie]],BetTable[[B2]:[B2]],$A83,BetTable[[Date]:[Date]], "&gt;="&amp;J$8,BetTable[[Date]:[Date]],"&lt;="&amp;EOMONTH(J$8,0))+SUMIFS(BetTable[[AR_per_bookie]:[AR_per_bookie]],BetTable[[B3]:[B3]],$A83,BetTable[[Date]:[Date]], "&gt;="&amp;J$8,BetTable[[Date]:[Date]],"&lt;="&amp;EOMONTH(J$8,0))</f>
        <v>0</v>
      </c>
      <c r="K83" s="126">
        <f>SUMIFS(DWbonus[[Sum]:[Sum]],DWbonus[[Dato]:[Dato]], "&gt;="&amp;K$8,DWbonus[[Dato]:[Dato]],"&lt;="&amp;EOMONTH(K$8,0),DWbonus[[Bookie]:[Bookie]],$A83)+SUMIFS(LayTable[[Faktisk res]:[Faktisk res]],LayTable[[Dato]:[Dato]],"&gt;="&amp;K$8,LayTable[[Dato]:[Dato]],"&lt;="&amp;EOMONTH(K$8,0),LayTable[[Bookmaker]:[Bookmaker]],$A83)+SUMIFS(BetTable[[AR_per_bookie]:[AR_per_bookie]],BetTable[[B1]:[B1]],$A83,BetTable[[Date]:[Date]], "&gt;="&amp;K$8,BetTable[[Date]:[Date]],"&lt;="&amp;EOMONTH(K$8,0))+SUMIFS(BetTable[[AR_per_bookie]:[AR_per_bookie]],BetTable[[B2]:[B2]],$A83,BetTable[[Date]:[Date]], "&gt;="&amp;K$8,BetTable[[Date]:[Date]],"&lt;="&amp;EOMONTH(K$8,0))+SUMIFS(BetTable[[AR_per_bookie]:[AR_per_bookie]],BetTable[[B3]:[B3]],$A83,BetTable[[Date]:[Date]], "&gt;="&amp;K$8,BetTable[[Date]:[Date]],"&lt;="&amp;EOMONTH(K$8,0))</f>
        <v>0</v>
      </c>
      <c r="L83" s="126">
        <f>SUMIFS(DWbonus[[Sum]:[Sum]],DWbonus[[Dato]:[Dato]], "&gt;="&amp;L$8,DWbonus[[Dato]:[Dato]],"&lt;="&amp;EOMONTH(L$8,0),DWbonus[[Bookie]:[Bookie]],$A83)+SUMIFS(LayTable[[Faktisk res]:[Faktisk res]],LayTable[[Dato]:[Dato]],"&gt;="&amp;L$8,LayTable[[Dato]:[Dato]],"&lt;="&amp;EOMONTH(L$8,0),LayTable[[Bookmaker]:[Bookmaker]],$A83)+SUMIFS(BetTable[[AR_per_bookie]:[AR_per_bookie]],BetTable[[B1]:[B1]],$A83,BetTable[[Date]:[Date]], "&gt;="&amp;L$8,BetTable[[Date]:[Date]],"&lt;="&amp;EOMONTH(L$8,0))+SUMIFS(BetTable[[AR_per_bookie]:[AR_per_bookie]],BetTable[[B2]:[B2]],$A83,BetTable[[Date]:[Date]], "&gt;="&amp;L$8,BetTable[[Date]:[Date]],"&lt;="&amp;EOMONTH(L$8,0))+SUMIFS(BetTable[[AR_per_bookie]:[AR_per_bookie]],BetTable[[B3]:[B3]],$A83,BetTable[[Date]:[Date]], "&gt;="&amp;L$8,BetTable[[Date]:[Date]],"&lt;="&amp;EOMONTH(L$8,0))</f>
        <v>0</v>
      </c>
      <c r="M83" s="126">
        <f>SUMIFS(DWbonus[[Sum]:[Sum]],DWbonus[[Dato]:[Dato]], "&gt;="&amp;M$8,DWbonus[[Dato]:[Dato]],"&lt;="&amp;EOMONTH(M$8,0),DWbonus[[Bookie]:[Bookie]],$A83)+SUMIFS(LayTable[[Faktisk res]:[Faktisk res]],LayTable[[Dato]:[Dato]],"&gt;="&amp;M$8,LayTable[[Dato]:[Dato]],"&lt;="&amp;EOMONTH(M$8,0),LayTable[[Bookmaker]:[Bookmaker]],$A83)+SUMIFS(BetTable[[AR_per_bookie]:[AR_per_bookie]],BetTable[[B1]:[B1]],$A83,BetTable[[Date]:[Date]], "&gt;="&amp;M$8,BetTable[[Date]:[Date]],"&lt;="&amp;EOMONTH(M$8,0))+SUMIFS(BetTable[[AR_per_bookie]:[AR_per_bookie]],BetTable[[B2]:[B2]],$A83,BetTable[[Date]:[Date]], "&gt;="&amp;M$8,BetTable[[Date]:[Date]],"&lt;="&amp;EOMONTH(M$8,0))+SUMIFS(BetTable[[AR_per_bookie]:[AR_per_bookie]],BetTable[[B3]:[B3]],$A83,BetTable[[Date]:[Date]], "&gt;="&amp;M$8,BetTable[[Date]:[Date]],"&lt;="&amp;EOMONTH(M$8,0))</f>
        <v>0</v>
      </c>
      <c r="N83" s="126">
        <f>SUMIFS(DWbonus[[Sum]:[Sum]],DWbonus[[Dato]:[Dato]], "&gt;="&amp;N$8,DWbonus[[Dato]:[Dato]],"&lt;="&amp;EOMONTH(N$8,0),DWbonus[[Bookie]:[Bookie]],$A83)+SUMIFS(LayTable[[Faktisk res]:[Faktisk res]],LayTable[[Dato]:[Dato]],"&gt;="&amp;N$8,LayTable[[Dato]:[Dato]],"&lt;="&amp;EOMONTH(N$8,0),LayTable[[Bookmaker]:[Bookmaker]],$A83)+SUMIFS(BetTable[[AR_per_bookie]:[AR_per_bookie]],BetTable[[B1]:[B1]],$A83,BetTable[[Date]:[Date]], "&gt;="&amp;N$8,BetTable[[Date]:[Date]],"&lt;="&amp;EOMONTH(N$8,0))+SUMIFS(BetTable[[AR_per_bookie]:[AR_per_bookie]],BetTable[[B2]:[B2]],$A83,BetTable[[Date]:[Date]], "&gt;="&amp;N$8,BetTable[[Date]:[Date]],"&lt;="&amp;EOMONTH(N$8,0))+SUMIFS(BetTable[[AR_per_bookie]:[AR_per_bookie]],BetTable[[B3]:[B3]],$A83,BetTable[[Date]:[Date]], "&gt;="&amp;N$8,BetTable[[Date]:[Date]],"&lt;="&amp;EOMONTH(N$8,0))</f>
        <v>0</v>
      </c>
      <c r="O83" s="126">
        <f>SUMIFS(DWbonus[[Sum]:[Sum]],DWbonus[[Dato]:[Dato]], "&gt;="&amp;O$8,DWbonus[[Dato]:[Dato]],"&lt;="&amp;EOMONTH(O$8,0),DWbonus[[Bookie]:[Bookie]],$A83)+SUMIFS(LayTable[[Faktisk res]:[Faktisk res]],LayTable[[Dato]:[Dato]],"&gt;="&amp;O$8,LayTable[[Dato]:[Dato]],"&lt;="&amp;EOMONTH(O$8,0),LayTable[[Bookmaker]:[Bookmaker]],$A83)+SUMIFS(BetTable[[AR_per_bookie]:[AR_per_bookie]],BetTable[[B1]:[B1]],$A83,BetTable[[Date]:[Date]], "&gt;="&amp;O$8,BetTable[[Date]:[Date]],"&lt;="&amp;EOMONTH(O$8,0))+SUMIFS(BetTable[[AR_per_bookie]:[AR_per_bookie]],BetTable[[B2]:[B2]],$A83,BetTable[[Date]:[Date]], "&gt;="&amp;O$8,BetTable[[Date]:[Date]],"&lt;="&amp;EOMONTH(O$8,0))+SUMIFS(BetTable[[AR_per_bookie]:[AR_per_bookie]],BetTable[[B3]:[B3]],$A83,BetTable[[Date]:[Date]], "&gt;="&amp;O$8,BetTable[[Date]:[Date]],"&lt;="&amp;EOMONTH(O$8,0))</f>
        <v>0</v>
      </c>
      <c r="P83" s="126">
        <f>SUMIFS(DWbonus[[Sum]:[Sum]],DWbonus[[Dato]:[Dato]], "&gt;="&amp;P$8,DWbonus[[Dato]:[Dato]],"&lt;="&amp;EOMONTH(P$8,0),DWbonus[[Bookie]:[Bookie]],$A83)+SUMIFS(LayTable[[Faktisk res]:[Faktisk res]],LayTable[[Dato]:[Dato]],"&gt;="&amp;P$8,LayTable[[Dato]:[Dato]],"&lt;="&amp;EOMONTH(P$8,0),LayTable[[Bookmaker]:[Bookmaker]],$A83)+SUMIFS(BetTable[[AR_per_bookie]:[AR_per_bookie]],BetTable[[B1]:[B1]],$A83,BetTable[[Date]:[Date]], "&gt;="&amp;P$8,BetTable[[Date]:[Date]],"&lt;="&amp;EOMONTH(P$8,0))+SUMIFS(BetTable[[AR_per_bookie]:[AR_per_bookie]],BetTable[[B2]:[B2]],$A83,BetTable[[Date]:[Date]], "&gt;="&amp;P$8,BetTable[[Date]:[Date]],"&lt;="&amp;EOMONTH(P$8,0))+SUMIFS(BetTable[[AR_per_bookie]:[AR_per_bookie]],BetTable[[B3]:[B3]],$A83,BetTable[[Date]:[Date]], "&gt;="&amp;P$8,BetTable[[Date]:[Date]],"&lt;="&amp;EOMONTH(P$8,0))</f>
        <v>0</v>
      </c>
      <c r="Q83" s="126">
        <f>SUMIFS(DWbonus[[Sum]:[Sum]],DWbonus[[Dato]:[Dato]], "&gt;="&amp;Q$8,DWbonus[[Dato]:[Dato]],"&lt;="&amp;EOMONTH(Q$8,0),DWbonus[[Bookie]:[Bookie]],$A83)+SUMIFS(LayTable[[Faktisk res]:[Faktisk res]],LayTable[[Dato]:[Dato]],"&gt;="&amp;Q$8,LayTable[[Dato]:[Dato]],"&lt;="&amp;EOMONTH(Q$8,0),LayTable[[Bookmaker]:[Bookmaker]],$A83)+SUMIFS(BetTable[[AR_per_bookie]:[AR_per_bookie]],BetTable[[B1]:[B1]],$A83,BetTable[[Date]:[Date]], "&gt;="&amp;Q$8,BetTable[[Date]:[Date]],"&lt;="&amp;EOMONTH(Q$8,0))+SUMIFS(BetTable[[AR_per_bookie]:[AR_per_bookie]],BetTable[[B2]:[B2]],$A83,BetTable[[Date]:[Date]], "&gt;="&amp;Q$8,BetTable[[Date]:[Date]],"&lt;="&amp;EOMONTH(Q$8,0))+SUMIFS(BetTable[[AR_per_bookie]:[AR_per_bookie]],BetTable[[B3]:[B3]],$A83,BetTable[[Date]:[Date]], "&gt;="&amp;Q$8,BetTable[[Date]:[Date]],"&lt;="&amp;EOMONTH(Q$8,0))</f>
        <v>0</v>
      </c>
      <c r="R83" s="126">
        <f>SUMIFS(DWbonus[[Sum]:[Sum]],DWbonus[[Dato]:[Dato]], "&gt;="&amp;R$8,DWbonus[[Dato]:[Dato]],"&lt;="&amp;EOMONTH(R$8,0),DWbonus[[Bookie]:[Bookie]],$A83)+SUMIFS(LayTable[[Faktisk res]:[Faktisk res]],LayTable[[Dato]:[Dato]],"&gt;="&amp;R$8,LayTable[[Dato]:[Dato]],"&lt;="&amp;EOMONTH(R$8,0),LayTable[[Bookmaker]:[Bookmaker]],$A83)+SUMIFS(BetTable[[AR_per_bookie]:[AR_per_bookie]],BetTable[[B1]:[B1]],$A83,BetTable[[Date]:[Date]], "&gt;="&amp;R$8,BetTable[[Date]:[Date]],"&lt;="&amp;EOMONTH(R$8,0))+SUMIFS(BetTable[[AR_per_bookie]:[AR_per_bookie]],BetTable[[B2]:[B2]],$A83,BetTable[[Date]:[Date]], "&gt;="&amp;R$8,BetTable[[Date]:[Date]],"&lt;="&amp;EOMONTH(R$8,0))+SUMIFS(BetTable[[AR_per_bookie]:[AR_per_bookie]],BetTable[[B3]:[B3]],$A83,BetTable[[Date]:[Date]], "&gt;="&amp;R$8,BetTable[[Date]:[Date]],"&lt;="&amp;EOMONTH(R$8,0))</f>
        <v>0</v>
      </c>
      <c r="S83" s="126">
        <f>SUMIFS(DWbonus[[Sum]:[Sum]],DWbonus[[Dato]:[Dato]], "&gt;="&amp;S$8,DWbonus[[Dato]:[Dato]],"&lt;="&amp;EOMONTH(S$8,0),DWbonus[[Bookie]:[Bookie]],$A83)+SUMIFS(LayTable[[Faktisk res]:[Faktisk res]],LayTable[[Dato]:[Dato]],"&gt;="&amp;S$8,LayTable[[Dato]:[Dato]],"&lt;="&amp;EOMONTH(S$8,0),LayTable[[Bookmaker]:[Bookmaker]],$A83)+SUMIFS(BetTable[[AR_per_bookie]:[AR_per_bookie]],BetTable[[B1]:[B1]],$A83,BetTable[[Date]:[Date]], "&gt;="&amp;S$8,BetTable[[Date]:[Date]],"&lt;="&amp;EOMONTH(S$8,0))+SUMIFS(BetTable[[AR_per_bookie]:[AR_per_bookie]],BetTable[[B2]:[B2]],$A83,BetTable[[Date]:[Date]], "&gt;="&amp;S$8,BetTable[[Date]:[Date]],"&lt;="&amp;EOMONTH(S$8,0))+SUMIFS(BetTable[[AR_per_bookie]:[AR_per_bookie]],BetTable[[B3]:[B3]],$A83,BetTable[[Date]:[Date]], "&gt;="&amp;S$8,BetTable[[Date]:[Date]],"&lt;="&amp;EOMONTH(S$8,0))</f>
        <v>0</v>
      </c>
    </row>
    <row r="84" spans="1:19">
      <c r="A84" s="115" t="str">
        <f>BookieNavn!I74</f>
        <v>LiBetsafe</v>
      </c>
      <c r="B84" s="126">
        <f>SUMIF(Penger!D$1:D$50072,A84,Penger!F$1:F$50072)</f>
        <v>0</v>
      </c>
      <c r="C84" s="126">
        <f>SUMIF(Penger!T$1:T$50072,A84,Penger!U$1:U$50072)</f>
        <v>0</v>
      </c>
      <c r="D84" s="126">
        <f ca="1">SUMIF(Spill!C$1:C$499895,A84,Spill!T$1:T$49895)+C84</f>
        <v>0</v>
      </c>
      <c r="E84" s="126">
        <f>SUMIF(Spill!C$1:C$49895,A84,Spill!T$1:T$49895)</f>
        <v>0</v>
      </c>
      <c r="F84" s="121" t="e">
        <f t="shared" ca="1" si="2"/>
        <v>#DIV/0!</v>
      </c>
      <c r="H84" s="126">
        <f>SUMIFS(DWbonus[[Sum]:[Sum]],DWbonus[[Dato]:[Dato]], "&gt;="&amp;H$8,DWbonus[[Dato]:[Dato]],"&lt;="&amp;EOMONTH(H$8,0),DWbonus[[Bookie]:[Bookie]],$A84)+SUMIFS(LayTable[[Faktisk res]:[Faktisk res]],LayTable[[Dato]:[Dato]],"&gt;="&amp;H$8,LayTable[[Dato]:[Dato]],"&lt;="&amp;EOMONTH(H$8,0),LayTable[[Bookmaker]:[Bookmaker]],$A84)+SUMIFS(BetTable[[AR_per_bookie]:[AR_per_bookie]],BetTable[[B1]:[B1]],$A84,BetTable[[Date]:[Date]], "&gt;="&amp;H$8,BetTable[[Date]:[Date]],"&lt;="&amp;EOMONTH(H$8,0))+SUMIFS(BetTable[[AR_per_bookie]:[AR_per_bookie]],BetTable[[B2]:[B2]],$A84,BetTable[[Date]:[Date]], "&gt;="&amp;H$8,BetTable[[Date]:[Date]],"&lt;="&amp;EOMONTH(H$8,0))+SUMIFS(BetTable[[AR_per_bookie]:[AR_per_bookie]],BetTable[[B3]:[B3]],$A84,BetTable[[Date]:[Date]], "&gt;="&amp;H$8,BetTable[[Date]:[Date]],"&lt;="&amp;EOMONTH(H$8,0))</f>
        <v>0</v>
      </c>
      <c r="I84" s="126">
        <f>SUMIFS(DWbonus[[Sum]:[Sum]],DWbonus[[Dato]:[Dato]], "&gt;="&amp;I$8,DWbonus[[Dato]:[Dato]],"&lt;="&amp;EOMONTH(I$8,0),DWbonus[[Bookie]:[Bookie]],$A84)+SUMIFS(LayTable[[Faktisk res]:[Faktisk res]],LayTable[[Dato]:[Dato]],"&gt;="&amp;I$8,LayTable[[Dato]:[Dato]],"&lt;="&amp;EOMONTH(I$8,0),LayTable[[Bookmaker]:[Bookmaker]],$A84)+SUMIFS(BetTable[[AR_per_bookie]:[AR_per_bookie]],BetTable[[B1]:[B1]],$A84,BetTable[[Date]:[Date]], "&gt;="&amp;I$8,BetTable[[Date]:[Date]],"&lt;="&amp;EOMONTH(I$8,0))+SUMIFS(BetTable[[AR_per_bookie]:[AR_per_bookie]],BetTable[[B2]:[B2]],$A84,BetTable[[Date]:[Date]], "&gt;="&amp;I$8,BetTable[[Date]:[Date]],"&lt;="&amp;EOMONTH(I$8,0))+SUMIFS(BetTable[[AR_per_bookie]:[AR_per_bookie]],BetTable[[B3]:[B3]],$A84,BetTable[[Date]:[Date]], "&gt;="&amp;I$8,BetTable[[Date]:[Date]],"&lt;="&amp;EOMONTH(I$8,0))</f>
        <v>0</v>
      </c>
      <c r="J84" s="126">
        <f>SUMIFS(DWbonus[[Sum]:[Sum]],DWbonus[[Dato]:[Dato]], "&gt;="&amp;J$8,DWbonus[[Dato]:[Dato]],"&lt;="&amp;EOMONTH(J$8,0),DWbonus[[Bookie]:[Bookie]],$A84)+SUMIFS(LayTable[[Faktisk res]:[Faktisk res]],LayTable[[Dato]:[Dato]],"&gt;="&amp;J$8,LayTable[[Dato]:[Dato]],"&lt;="&amp;EOMONTH(J$8,0),LayTable[[Bookmaker]:[Bookmaker]],$A84)+SUMIFS(BetTable[[AR_per_bookie]:[AR_per_bookie]],BetTable[[B1]:[B1]],$A84,BetTable[[Date]:[Date]], "&gt;="&amp;J$8,BetTable[[Date]:[Date]],"&lt;="&amp;EOMONTH(J$8,0))+SUMIFS(BetTable[[AR_per_bookie]:[AR_per_bookie]],BetTable[[B2]:[B2]],$A84,BetTable[[Date]:[Date]], "&gt;="&amp;J$8,BetTable[[Date]:[Date]],"&lt;="&amp;EOMONTH(J$8,0))+SUMIFS(BetTable[[AR_per_bookie]:[AR_per_bookie]],BetTable[[B3]:[B3]],$A84,BetTable[[Date]:[Date]], "&gt;="&amp;J$8,BetTable[[Date]:[Date]],"&lt;="&amp;EOMONTH(J$8,0))</f>
        <v>0</v>
      </c>
      <c r="K84" s="126">
        <f>SUMIFS(DWbonus[[Sum]:[Sum]],DWbonus[[Dato]:[Dato]], "&gt;="&amp;K$8,DWbonus[[Dato]:[Dato]],"&lt;="&amp;EOMONTH(K$8,0),DWbonus[[Bookie]:[Bookie]],$A84)+SUMIFS(LayTable[[Faktisk res]:[Faktisk res]],LayTable[[Dato]:[Dato]],"&gt;="&amp;K$8,LayTable[[Dato]:[Dato]],"&lt;="&amp;EOMONTH(K$8,0),LayTable[[Bookmaker]:[Bookmaker]],$A84)+SUMIFS(BetTable[[AR_per_bookie]:[AR_per_bookie]],BetTable[[B1]:[B1]],$A84,BetTable[[Date]:[Date]], "&gt;="&amp;K$8,BetTable[[Date]:[Date]],"&lt;="&amp;EOMONTH(K$8,0))+SUMIFS(BetTable[[AR_per_bookie]:[AR_per_bookie]],BetTable[[B2]:[B2]],$A84,BetTable[[Date]:[Date]], "&gt;="&amp;K$8,BetTable[[Date]:[Date]],"&lt;="&amp;EOMONTH(K$8,0))+SUMIFS(BetTable[[AR_per_bookie]:[AR_per_bookie]],BetTable[[B3]:[B3]],$A84,BetTable[[Date]:[Date]], "&gt;="&amp;K$8,BetTable[[Date]:[Date]],"&lt;="&amp;EOMONTH(K$8,0))</f>
        <v>0</v>
      </c>
      <c r="L84" s="126">
        <f>SUMIFS(DWbonus[[Sum]:[Sum]],DWbonus[[Dato]:[Dato]], "&gt;="&amp;L$8,DWbonus[[Dato]:[Dato]],"&lt;="&amp;EOMONTH(L$8,0),DWbonus[[Bookie]:[Bookie]],$A84)+SUMIFS(LayTable[[Faktisk res]:[Faktisk res]],LayTable[[Dato]:[Dato]],"&gt;="&amp;L$8,LayTable[[Dato]:[Dato]],"&lt;="&amp;EOMONTH(L$8,0),LayTable[[Bookmaker]:[Bookmaker]],$A84)+SUMIFS(BetTable[[AR_per_bookie]:[AR_per_bookie]],BetTable[[B1]:[B1]],$A84,BetTable[[Date]:[Date]], "&gt;="&amp;L$8,BetTable[[Date]:[Date]],"&lt;="&amp;EOMONTH(L$8,0))+SUMIFS(BetTable[[AR_per_bookie]:[AR_per_bookie]],BetTable[[B2]:[B2]],$A84,BetTable[[Date]:[Date]], "&gt;="&amp;L$8,BetTable[[Date]:[Date]],"&lt;="&amp;EOMONTH(L$8,0))+SUMIFS(BetTable[[AR_per_bookie]:[AR_per_bookie]],BetTable[[B3]:[B3]],$A84,BetTable[[Date]:[Date]], "&gt;="&amp;L$8,BetTable[[Date]:[Date]],"&lt;="&amp;EOMONTH(L$8,0))</f>
        <v>0</v>
      </c>
      <c r="M84" s="126">
        <f>SUMIFS(DWbonus[[Sum]:[Sum]],DWbonus[[Dato]:[Dato]], "&gt;="&amp;M$8,DWbonus[[Dato]:[Dato]],"&lt;="&amp;EOMONTH(M$8,0),DWbonus[[Bookie]:[Bookie]],$A84)+SUMIFS(LayTable[[Faktisk res]:[Faktisk res]],LayTable[[Dato]:[Dato]],"&gt;="&amp;M$8,LayTable[[Dato]:[Dato]],"&lt;="&amp;EOMONTH(M$8,0),LayTable[[Bookmaker]:[Bookmaker]],$A84)+SUMIFS(BetTable[[AR_per_bookie]:[AR_per_bookie]],BetTable[[B1]:[B1]],$A84,BetTable[[Date]:[Date]], "&gt;="&amp;M$8,BetTable[[Date]:[Date]],"&lt;="&amp;EOMONTH(M$8,0))+SUMIFS(BetTable[[AR_per_bookie]:[AR_per_bookie]],BetTable[[B2]:[B2]],$A84,BetTable[[Date]:[Date]], "&gt;="&amp;M$8,BetTable[[Date]:[Date]],"&lt;="&amp;EOMONTH(M$8,0))+SUMIFS(BetTable[[AR_per_bookie]:[AR_per_bookie]],BetTable[[B3]:[B3]],$A84,BetTable[[Date]:[Date]], "&gt;="&amp;M$8,BetTable[[Date]:[Date]],"&lt;="&amp;EOMONTH(M$8,0))</f>
        <v>0</v>
      </c>
      <c r="N84" s="126">
        <f>SUMIFS(DWbonus[[Sum]:[Sum]],DWbonus[[Dato]:[Dato]], "&gt;="&amp;N$8,DWbonus[[Dato]:[Dato]],"&lt;="&amp;EOMONTH(N$8,0),DWbonus[[Bookie]:[Bookie]],$A84)+SUMIFS(LayTable[[Faktisk res]:[Faktisk res]],LayTable[[Dato]:[Dato]],"&gt;="&amp;N$8,LayTable[[Dato]:[Dato]],"&lt;="&amp;EOMONTH(N$8,0),LayTable[[Bookmaker]:[Bookmaker]],$A84)+SUMIFS(BetTable[[AR_per_bookie]:[AR_per_bookie]],BetTable[[B1]:[B1]],$A84,BetTable[[Date]:[Date]], "&gt;="&amp;N$8,BetTable[[Date]:[Date]],"&lt;="&amp;EOMONTH(N$8,0))+SUMIFS(BetTable[[AR_per_bookie]:[AR_per_bookie]],BetTable[[B2]:[B2]],$A84,BetTable[[Date]:[Date]], "&gt;="&amp;N$8,BetTable[[Date]:[Date]],"&lt;="&amp;EOMONTH(N$8,0))+SUMIFS(BetTable[[AR_per_bookie]:[AR_per_bookie]],BetTable[[B3]:[B3]],$A84,BetTable[[Date]:[Date]], "&gt;="&amp;N$8,BetTable[[Date]:[Date]],"&lt;="&amp;EOMONTH(N$8,0))</f>
        <v>0</v>
      </c>
      <c r="O84" s="126">
        <f>SUMIFS(DWbonus[[Sum]:[Sum]],DWbonus[[Dato]:[Dato]], "&gt;="&amp;O$8,DWbonus[[Dato]:[Dato]],"&lt;="&amp;EOMONTH(O$8,0),DWbonus[[Bookie]:[Bookie]],$A84)+SUMIFS(LayTable[[Faktisk res]:[Faktisk res]],LayTable[[Dato]:[Dato]],"&gt;="&amp;O$8,LayTable[[Dato]:[Dato]],"&lt;="&amp;EOMONTH(O$8,0),LayTable[[Bookmaker]:[Bookmaker]],$A84)+SUMIFS(BetTable[[AR_per_bookie]:[AR_per_bookie]],BetTable[[B1]:[B1]],$A84,BetTable[[Date]:[Date]], "&gt;="&amp;O$8,BetTable[[Date]:[Date]],"&lt;="&amp;EOMONTH(O$8,0))+SUMIFS(BetTable[[AR_per_bookie]:[AR_per_bookie]],BetTable[[B2]:[B2]],$A84,BetTable[[Date]:[Date]], "&gt;="&amp;O$8,BetTable[[Date]:[Date]],"&lt;="&amp;EOMONTH(O$8,0))+SUMIFS(BetTable[[AR_per_bookie]:[AR_per_bookie]],BetTable[[B3]:[B3]],$A84,BetTable[[Date]:[Date]], "&gt;="&amp;O$8,BetTable[[Date]:[Date]],"&lt;="&amp;EOMONTH(O$8,0))</f>
        <v>0</v>
      </c>
      <c r="P84" s="126">
        <f>SUMIFS(DWbonus[[Sum]:[Sum]],DWbonus[[Dato]:[Dato]], "&gt;="&amp;P$8,DWbonus[[Dato]:[Dato]],"&lt;="&amp;EOMONTH(P$8,0),DWbonus[[Bookie]:[Bookie]],$A84)+SUMIFS(LayTable[[Faktisk res]:[Faktisk res]],LayTable[[Dato]:[Dato]],"&gt;="&amp;P$8,LayTable[[Dato]:[Dato]],"&lt;="&amp;EOMONTH(P$8,0),LayTable[[Bookmaker]:[Bookmaker]],$A84)+SUMIFS(BetTable[[AR_per_bookie]:[AR_per_bookie]],BetTable[[B1]:[B1]],$A84,BetTable[[Date]:[Date]], "&gt;="&amp;P$8,BetTable[[Date]:[Date]],"&lt;="&amp;EOMONTH(P$8,0))+SUMIFS(BetTable[[AR_per_bookie]:[AR_per_bookie]],BetTable[[B2]:[B2]],$A84,BetTable[[Date]:[Date]], "&gt;="&amp;P$8,BetTable[[Date]:[Date]],"&lt;="&amp;EOMONTH(P$8,0))+SUMIFS(BetTable[[AR_per_bookie]:[AR_per_bookie]],BetTable[[B3]:[B3]],$A84,BetTable[[Date]:[Date]], "&gt;="&amp;P$8,BetTable[[Date]:[Date]],"&lt;="&amp;EOMONTH(P$8,0))</f>
        <v>0</v>
      </c>
      <c r="Q84" s="126">
        <f>SUMIFS(DWbonus[[Sum]:[Sum]],DWbonus[[Dato]:[Dato]], "&gt;="&amp;Q$8,DWbonus[[Dato]:[Dato]],"&lt;="&amp;EOMONTH(Q$8,0),DWbonus[[Bookie]:[Bookie]],$A84)+SUMIFS(LayTable[[Faktisk res]:[Faktisk res]],LayTable[[Dato]:[Dato]],"&gt;="&amp;Q$8,LayTable[[Dato]:[Dato]],"&lt;="&amp;EOMONTH(Q$8,0),LayTable[[Bookmaker]:[Bookmaker]],$A84)+SUMIFS(BetTable[[AR_per_bookie]:[AR_per_bookie]],BetTable[[B1]:[B1]],$A84,BetTable[[Date]:[Date]], "&gt;="&amp;Q$8,BetTable[[Date]:[Date]],"&lt;="&amp;EOMONTH(Q$8,0))+SUMIFS(BetTable[[AR_per_bookie]:[AR_per_bookie]],BetTable[[B2]:[B2]],$A84,BetTable[[Date]:[Date]], "&gt;="&amp;Q$8,BetTable[[Date]:[Date]],"&lt;="&amp;EOMONTH(Q$8,0))+SUMIFS(BetTable[[AR_per_bookie]:[AR_per_bookie]],BetTable[[B3]:[B3]],$A84,BetTable[[Date]:[Date]], "&gt;="&amp;Q$8,BetTable[[Date]:[Date]],"&lt;="&amp;EOMONTH(Q$8,0))</f>
        <v>0</v>
      </c>
      <c r="R84" s="126">
        <f>SUMIFS(DWbonus[[Sum]:[Sum]],DWbonus[[Dato]:[Dato]], "&gt;="&amp;R$8,DWbonus[[Dato]:[Dato]],"&lt;="&amp;EOMONTH(R$8,0),DWbonus[[Bookie]:[Bookie]],$A84)+SUMIFS(LayTable[[Faktisk res]:[Faktisk res]],LayTable[[Dato]:[Dato]],"&gt;="&amp;R$8,LayTable[[Dato]:[Dato]],"&lt;="&amp;EOMONTH(R$8,0),LayTable[[Bookmaker]:[Bookmaker]],$A84)+SUMIFS(BetTable[[AR_per_bookie]:[AR_per_bookie]],BetTable[[B1]:[B1]],$A84,BetTable[[Date]:[Date]], "&gt;="&amp;R$8,BetTable[[Date]:[Date]],"&lt;="&amp;EOMONTH(R$8,0))+SUMIFS(BetTable[[AR_per_bookie]:[AR_per_bookie]],BetTable[[B2]:[B2]],$A84,BetTable[[Date]:[Date]], "&gt;="&amp;R$8,BetTable[[Date]:[Date]],"&lt;="&amp;EOMONTH(R$8,0))+SUMIFS(BetTable[[AR_per_bookie]:[AR_per_bookie]],BetTable[[B3]:[B3]],$A84,BetTable[[Date]:[Date]], "&gt;="&amp;R$8,BetTable[[Date]:[Date]],"&lt;="&amp;EOMONTH(R$8,0))</f>
        <v>0</v>
      </c>
      <c r="S84" s="126">
        <f>SUMIFS(DWbonus[[Sum]:[Sum]],DWbonus[[Dato]:[Dato]], "&gt;="&amp;S$8,DWbonus[[Dato]:[Dato]],"&lt;="&amp;EOMONTH(S$8,0),DWbonus[[Bookie]:[Bookie]],$A84)+SUMIFS(LayTable[[Faktisk res]:[Faktisk res]],LayTable[[Dato]:[Dato]],"&gt;="&amp;S$8,LayTable[[Dato]:[Dato]],"&lt;="&amp;EOMONTH(S$8,0),LayTable[[Bookmaker]:[Bookmaker]],$A84)+SUMIFS(BetTable[[AR_per_bookie]:[AR_per_bookie]],BetTable[[B1]:[B1]],$A84,BetTable[[Date]:[Date]], "&gt;="&amp;S$8,BetTable[[Date]:[Date]],"&lt;="&amp;EOMONTH(S$8,0))+SUMIFS(BetTable[[AR_per_bookie]:[AR_per_bookie]],BetTable[[B2]:[B2]],$A84,BetTable[[Date]:[Date]], "&gt;="&amp;S$8,BetTable[[Date]:[Date]],"&lt;="&amp;EOMONTH(S$8,0))+SUMIFS(BetTable[[AR_per_bookie]:[AR_per_bookie]],BetTable[[B3]:[B3]],$A84,BetTable[[Date]:[Date]], "&gt;="&amp;S$8,BetTable[[Date]:[Date]],"&lt;="&amp;EOMONTH(S$8,0))</f>
        <v>0</v>
      </c>
    </row>
    <row r="85" spans="1:19">
      <c r="A85" s="115" t="str">
        <f>BookieNavn!I75</f>
        <v>LiNordicbet</v>
      </c>
      <c r="B85" s="126">
        <f>SUMIF(Penger!D$1:D$50072,A85,Penger!F$1:F$50072)</f>
        <v>0</v>
      </c>
      <c r="C85" s="126">
        <f>SUMIF(Penger!T$1:T$50072,A85,Penger!U$1:U$50072)</f>
        <v>0</v>
      </c>
      <c r="D85" s="126">
        <f ca="1">SUMIF(Spill!C$1:C$499895,A85,Spill!T$1:T$49895)+C85</f>
        <v>0</v>
      </c>
      <c r="E85" s="126">
        <f>SUMIF(Spill!C$1:C$49895,A85,Spill!T$1:T$49895)</f>
        <v>0</v>
      </c>
      <c r="F85" s="121" t="e">
        <f t="shared" ca="1" si="2"/>
        <v>#DIV/0!</v>
      </c>
      <c r="H85" s="126">
        <f>SUMIFS(DWbonus[[Sum]:[Sum]],DWbonus[[Dato]:[Dato]], "&gt;="&amp;H$8,DWbonus[[Dato]:[Dato]],"&lt;="&amp;EOMONTH(H$8,0),DWbonus[[Bookie]:[Bookie]],$A85)+SUMIFS(LayTable[[Faktisk res]:[Faktisk res]],LayTable[[Dato]:[Dato]],"&gt;="&amp;H$8,LayTable[[Dato]:[Dato]],"&lt;="&amp;EOMONTH(H$8,0),LayTable[[Bookmaker]:[Bookmaker]],$A85)+SUMIFS(BetTable[[AR_per_bookie]:[AR_per_bookie]],BetTable[[B1]:[B1]],$A85,BetTable[[Date]:[Date]], "&gt;="&amp;H$8,BetTable[[Date]:[Date]],"&lt;="&amp;EOMONTH(H$8,0))+SUMIFS(BetTable[[AR_per_bookie]:[AR_per_bookie]],BetTable[[B2]:[B2]],$A85,BetTable[[Date]:[Date]], "&gt;="&amp;H$8,BetTable[[Date]:[Date]],"&lt;="&amp;EOMONTH(H$8,0))+SUMIFS(BetTable[[AR_per_bookie]:[AR_per_bookie]],BetTable[[B3]:[B3]],$A85,BetTable[[Date]:[Date]], "&gt;="&amp;H$8,BetTable[[Date]:[Date]],"&lt;="&amp;EOMONTH(H$8,0))</f>
        <v>0</v>
      </c>
      <c r="I85" s="126">
        <f>SUMIFS(DWbonus[[Sum]:[Sum]],DWbonus[[Dato]:[Dato]], "&gt;="&amp;I$8,DWbonus[[Dato]:[Dato]],"&lt;="&amp;EOMONTH(I$8,0),DWbonus[[Bookie]:[Bookie]],$A85)+SUMIFS(LayTable[[Faktisk res]:[Faktisk res]],LayTable[[Dato]:[Dato]],"&gt;="&amp;I$8,LayTable[[Dato]:[Dato]],"&lt;="&amp;EOMONTH(I$8,0),LayTable[[Bookmaker]:[Bookmaker]],$A85)+SUMIFS(BetTable[[AR_per_bookie]:[AR_per_bookie]],BetTable[[B1]:[B1]],$A85,BetTable[[Date]:[Date]], "&gt;="&amp;I$8,BetTable[[Date]:[Date]],"&lt;="&amp;EOMONTH(I$8,0))+SUMIFS(BetTable[[AR_per_bookie]:[AR_per_bookie]],BetTable[[B2]:[B2]],$A85,BetTable[[Date]:[Date]], "&gt;="&amp;I$8,BetTable[[Date]:[Date]],"&lt;="&amp;EOMONTH(I$8,0))+SUMIFS(BetTable[[AR_per_bookie]:[AR_per_bookie]],BetTable[[B3]:[B3]],$A85,BetTable[[Date]:[Date]], "&gt;="&amp;I$8,BetTable[[Date]:[Date]],"&lt;="&amp;EOMONTH(I$8,0))</f>
        <v>0</v>
      </c>
      <c r="J85" s="126">
        <f>SUMIFS(DWbonus[[Sum]:[Sum]],DWbonus[[Dato]:[Dato]], "&gt;="&amp;J$8,DWbonus[[Dato]:[Dato]],"&lt;="&amp;EOMONTH(J$8,0),DWbonus[[Bookie]:[Bookie]],$A85)+SUMIFS(LayTable[[Faktisk res]:[Faktisk res]],LayTable[[Dato]:[Dato]],"&gt;="&amp;J$8,LayTable[[Dato]:[Dato]],"&lt;="&amp;EOMONTH(J$8,0),LayTable[[Bookmaker]:[Bookmaker]],$A85)+SUMIFS(BetTable[[AR_per_bookie]:[AR_per_bookie]],BetTable[[B1]:[B1]],$A85,BetTable[[Date]:[Date]], "&gt;="&amp;J$8,BetTable[[Date]:[Date]],"&lt;="&amp;EOMONTH(J$8,0))+SUMIFS(BetTable[[AR_per_bookie]:[AR_per_bookie]],BetTable[[B2]:[B2]],$A85,BetTable[[Date]:[Date]], "&gt;="&amp;J$8,BetTable[[Date]:[Date]],"&lt;="&amp;EOMONTH(J$8,0))+SUMIFS(BetTable[[AR_per_bookie]:[AR_per_bookie]],BetTable[[B3]:[B3]],$A85,BetTable[[Date]:[Date]], "&gt;="&amp;J$8,BetTable[[Date]:[Date]],"&lt;="&amp;EOMONTH(J$8,0))</f>
        <v>0</v>
      </c>
      <c r="K85" s="126">
        <f>SUMIFS(DWbonus[[Sum]:[Sum]],DWbonus[[Dato]:[Dato]], "&gt;="&amp;K$8,DWbonus[[Dato]:[Dato]],"&lt;="&amp;EOMONTH(K$8,0),DWbonus[[Bookie]:[Bookie]],$A85)+SUMIFS(LayTable[[Faktisk res]:[Faktisk res]],LayTable[[Dato]:[Dato]],"&gt;="&amp;K$8,LayTable[[Dato]:[Dato]],"&lt;="&amp;EOMONTH(K$8,0),LayTable[[Bookmaker]:[Bookmaker]],$A85)+SUMIFS(BetTable[[AR_per_bookie]:[AR_per_bookie]],BetTable[[B1]:[B1]],$A85,BetTable[[Date]:[Date]], "&gt;="&amp;K$8,BetTable[[Date]:[Date]],"&lt;="&amp;EOMONTH(K$8,0))+SUMIFS(BetTable[[AR_per_bookie]:[AR_per_bookie]],BetTable[[B2]:[B2]],$A85,BetTable[[Date]:[Date]], "&gt;="&amp;K$8,BetTable[[Date]:[Date]],"&lt;="&amp;EOMONTH(K$8,0))+SUMIFS(BetTable[[AR_per_bookie]:[AR_per_bookie]],BetTable[[B3]:[B3]],$A85,BetTable[[Date]:[Date]], "&gt;="&amp;K$8,BetTable[[Date]:[Date]],"&lt;="&amp;EOMONTH(K$8,0))</f>
        <v>0</v>
      </c>
      <c r="L85" s="126">
        <f>SUMIFS(DWbonus[[Sum]:[Sum]],DWbonus[[Dato]:[Dato]], "&gt;="&amp;L$8,DWbonus[[Dato]:[Dato]],"&lt;="&amp;EOMONTH(L$8,0),DWbonus[[Bookie]:[Bookie]],$A85)+SUMIFS(LayTable[[Faktisk res]:[Faktisk res]],LayTable[[Dato]:[Dato]],"&gt;="&amp;L$8,LayTable[[Dato]:[Dato]],"&lt;="&amp;EOMONTH(L$8,0),LayTable[[Bookmaker]:[Bookmaker]],$A85)+SUMIFS(BetTable[[AR_per_bookie]:[AR_per_bookie]],BetTable[[B1]:[B1]],$A85,BetTable[[Date]:[Date]], "&gt;="&amp;L$8,BetTable[[Date]:[Date]],"&lt;="&amp;EOMONTH(L$8,0))+SUMIFS(BetTable[[AR_per_bookie]:[AR_per_bookie]],BetTable[[B2]:[B2]],$A85,BetTable[[Date]:[Date]], "&gt;="&amp;L$8,BetTable[[Date]:[Date]],"&lt;="&amp;EOMONTH(L$8,0))+SUMIFS(BetTable[[AR_per_bookie]:[AR_per_bookie]],BetTable[[B3]:[B3]],$A85,BetTable[[Date]:[Date]], "&gt;="&amp;L$8,BetTable[[Date]:[Date]],"&lt;="&amp;EOMONTH(L$8,0))</f>
        <v>0</v>
      </c>
      <c r="M85" s="126">
        <f>SUMIFS(DWbonus[[Sum]:[Sum]],DWbonus[[Dato]:[Dato]], "&gt;="&amp;M$8,DWbonus[[Dato]:[Dato]],"&lt;="&amp;EOMONTH(M$8,0),DWbonus[[Bookie]:[Bookie]],$A85)+SUMIFS(LayTable[[Faktisk res]:[Faktisk res]],LayTable[[Dato]:[Dato]],"&gt;="&amp;M$8,LayTable[[Dato]:[Dato]],"&lt;="&amp;EOMONTH(M$8,0),LayTable[[Bookmaker]:[Bookmaker]],$A85)+SUMIFS(BetTable[[AR_per_bookie]:[AR_per_bookie]],BetTable[[B1]:[B1]],$A85,BetTable[[Date]:[Date]], "&gt;="&amp;M$8,BetTable[[Date]:[Date]],"&lt;="&amp;EOMONTH(M$8,0))+SUMIFS(BetTable[[AR_per_bookie]:[AR_per_bookie]],BetTable[[B2]:[B2]],$A85,BetTable[[Date]:[Date]], "&gt;="&amp;M$8,BetTable[[Date]:[Date]],"&lt;="&amp;EOMONTH(M$8,0))+SUMIFS(BetTable[[AR_per_bookie]:[AR_per_bookie]],BetTable[[B3]:[B3]],$A85,BetTable[[Date]:[Date]], "&gt;="&amp;M$8,BetTable[[Date]:[Date]],"&lt;="&amp;EOMONTH(M$8,0))</f>
        <v>0</v>
      </c>
      <c r="N85" s="126">
        <f>SUMIFS(DWbonus[[Sum]:[Sum]],DWbonus[[Dato]:[Dato]], "&gt;="&amp;N$8,DWbonus[[Dato]:[Dato]],"&lt;="&amp;EOMONTH(N$8,0),DWbonus[[Bookie]:[Bookie]],$A85)+SUMIFS(LayTable[[Faktisk res]:[Faktisk res]],LayTable[[Dato]:[Dato]],"&gt;="&amp;N$8,LayTable[[Dato]:[Dato]],"&lt;="&amp;EOMONTH(N$8,0),LayTable[[Bookmaker]:[Bookmaker]],$A85)+SUMIFS(BetTable[[AR_per_bookie]:[AR_per_bookie]],BetTable[[B1]:[B1]],$A85,BetTable[[Date]:[Date]], "&gt;="&amp;N$8,BetTable[[Date]:[Date]],"&lt;="&amp;EOMONTH(N$8,0))+SUMIFS(BetTable[[AR_per_bookie]:[AR_per_bookie]],BetTable[[B2]:[B2]],$A85,BetTable[[Date]:[Date]], "&gt;="&amp;N$8,BetTable[[Date]:[Date]],"&lt;="&amp;EOMONTH(N$8,0))+SUMIFS(BetTable[[AR_per_bookie]:[AR_per_bookie]],BetTable[[B3]:[B3]],$A85,BetTable[[Date]:[Date]], "&gt;="&amp;N$8,BetTable[[Date]:[Date]],"&lt;="&amp;EOMONTH(N$8,0))</f>
        <v>0</v>
      </c>
      <c r="O85" s="126">
        <f>SUMIFS(DWbonus[[Sum]:[Sum]],DWbonus[[Dato]:[Dato]], "&gt;="&amp;O$8,DWbonus[[Dato]:[Dato]],"&lt;="&amp;EOMONTH(O$8,0),DWbonus[[Bookie]:[Bookie]],$A85)+SUMIFS(LayTable[[Faktisk res]:[Faktisk res]],LayTable[[Dato]:[Dato]],"&gt;="&amp;O$8,LayTable[[Dato]:[Dato]],"&lt;="&amp;EOMONTH(O$8,0),LayTable[[Bookmaker]:[Bookmaker]],$A85)+SUMIFS(BetTable[[AR_per_bookie]:[AR_per_bookie]],BetTable[[B1]:[B1]],$A85,BetTable[[Date]:[Date]], "&gt;="&amp;O$8,BetTable[[Date]:[Date]],"&lt;="&amp;EOMONTH(O$8,0))+SUMIFS(BetTable[[AR_per_bookie]:[AR_per_bookie]],BetTable[[B2]:[B2]],$A85,BetTable[[Date]:[Date]], "&gt;="&amp;O$8,BetTable[[Date]:[Date]],"&lt;="&amp;EOMONTH(O$8,0))+SUMIFS(BetTable[[AR_per_bookie]:[AR_per_bookie]],BetTable[[B3]:[B3]],$A85,BetTable[[Date]:[Date]], "&gt;="&amp;O$8,BetTable[[Date]:[Date]],"&lt;="&amp;EOMONTH(O$8,0))</f>
        <v>0</v>
      </c>
      <c r="P85" s="126">
        <f>SUMIFS(DWbonus[[Sum]:[Sum]],DWbonus[[Dato]:[Dato]], "&gt;="&amp;P$8,DWbonus[[Dato]:[Dato]],"&lt;="&amp;EOMONTH(P$8,0),DWbonus[[Bookie]:[Bookie]],$A85)+SUMIFS(LayTable[[Faktisk res]:[Faktisk res]],LayTable[[Dato]:[Dato]],"&gt;="&amp;P$8,LayTable[[Dato]:[Dato]],"&lt;="&amp;EOMONTH(P$8,0),LayTable[[Bookmaker]:[Bookmaker]],$A85)+SUMIFS(BetTable[[AR_per_bookie]:[AR_per_bookie]],BetTable[[B1]:[B1]],$A85,BetTable[[Date]:[Date]], "&gt;="&amp;P$8,BetTable[[Date]:[Date]],"&lt;="&amp;EOMONTH(P$8,0))+SUMIFS(BetTable[[AR_per_bookie]:[AR_per_bookie]],BetTable[[B2]:[B2]],$A85,BetTable[[Date]:[Date]], "&gt;="&amp;P$8,BetTable[[Date]:[Date]],"&lt;="&amp;EOMONTH(P$8,0))+SUMIFS(BetTable[[AR_per_bookie]:[AR_per_bookie]],BetTable[[B3]:[B3]],$A85,BetTable[[Date]:[Date]], "&gt;="&amp;P$8,BetTable[[Date]:[Date]],"&lt;="&amp;EOMONTH(P$8,0))</f>
        <v>0</v>
      </c>
      <c r="Q85" s="126">
        <f>SUMIFS(DWbonus[[Sum]:[Sum]],DWbonus[[Dato]:[Dato]], "&gt;="&amp;Q$8,DWbonus[[Dato]:[Dato]],"&lt;="&amp;EOMONTH(Q$8,0),DWbonus[[Bookie]:[Bookie]],$A85)+SUMIFS(LayTable[[Faktisk res]:[Faktisk res]],LayTable[[Dato]:[Dato]],"&gt;="&amp;Q$8,LayTable[[Dato]:[Dato]],"&lt;="&amp;EOMONTH(Q$8,0),LayTable[[Bookmaker]:[Bookmaker]],$A85)+SUMIFS(BetTable[[AR_per_bookie]:[AR_per_bookie]],BetTable[[B1]:[B1]],$A85,BetTable[[Date]:[Date]], "&gt;="&amp;Q$8,BetTable[[Date]:[Date]],"&lt;="&amp;EOMONTH(Q$8,0))+SUMIFS(BetTable[[AR_per_bookie]:[AR_per_bookie]],BetTable[[B2]:[B2]],$A85,BetTable[[Date]:[Date]], "&gt;="&amp;Q$8,BetTable[[Date]:[Date]],"&lt;="&amp;EOMONTH(Q$8,0))+SUMIFS(BetTable[[AR_per_bookie]:[AR_per_bookie]],BetTable[[B3]:[B3]],$A85,BetTable[[Date]:[Date]], "&gt;="&amp;Q$8,BetTable[[Date]:[Date]],"&lt;="&amp;EOMONTH(Q$8,0))</f>
        <v>0</v>
      </c>
      <c r="R85" s="126">
        <f>SUMIFS(DWbonus[[Sum]:[Sum]],DWbonus[[Dato]:[Dato]], "&gt;="&amp;R$8,DWbonus[[Dato]:[Dato]],"&lt;="&amp;EOMONTH(R$8,0),DWbonus[[Bookie]:[Bookie]],$A85)+SUMIFS(LayTable[[Faktisk res]:[Faktisk res]],LayTable[[Dato]:[Dato]],"&gt;="&amp;R$8,LayTable[[Dato]:[Dato]],"&lt;="&amp;EOMONTH(R$8,0),LayTable[[Bookmaker]:[Bookmaker]],$A85)+SUMIFS(BetTable[[AR_per_bookie]:[AR_per_bookie]],BetTable[[B1]:[B1]],$A85,BetTable[[Date]:[Date]], "&gt;="&amp;R$8,BetTable[[Date]:[Date]],"&lt;="&amp;EOMONTH(R$8,0))+SUMIFS(BetTable[[AR_per_bookie]:[AR_per_bookie]],BetTable[[B2]:[B2]],$A85,BetTable[[Date]:[Date]], "&gt;="&amp;R$8,BetTable[[Date]:[Date]],"&lt;="&amp;EOMONTH(R$8,0))+SUMIFS(BetTable[[AR_per_bookie]:[AR_per_bookie]],BetTable[[B3]:[B3]],$A85,BetTable[[Date]:[Date]], "&gt;="&amp;R$8,BetTable[[Date]:[Date]],"&lt;="&amp;EOMONTH(R$8,0))</f>
        <v>0</v>
      </c>
      <c r="S85" s="126">
        <f>SUMIFS(DWbonus[[Sum]:[Sum]],DWbonus[[Dato]:[Dato]], "&gt;="&amp;S$8,DWbonus[[Dato]:[Dato]],"&lt;="&amp;EOMONTH(S$8,0),DWbonus[[Bookie]:[Bookie]],$A85)+SUMIFS(LayTable[[Faktisk res]:[Faktisk res]],LayTable[[Dato]:[Dato]],"&gt;="&amp;S$8,LayTable[[Dato]:[Dato]],"&lt;="&amp;EOMONTH(S$8,0),LayTable[[Bookmaker]:[Bookmaker]],$A85)+SUMIFS(BetTable[[AR_per_bookie]:[AR_per_bookie]],BetTable[[B1]:[B1]],$A85,BetTable[[Date]:[Date]], "&gt;="&amp;S$8,BetTable[[Date]:[Date]],"&lt;="&amp;EOMONTH(S$8,0))+SUMIFS(BetTable[[AR_per_bookie]:[AR_per_bookie]],BetTable[[B2]:[B2]],$A85,BetTable[[Date]:[Date]], "&gt;="&amp;S$8,BetTable[[Date]:[Date]],"&lt;="&amp;EOMONTH(S$8,0))+SUMIFS(BetTable[[AR_per_bookie]:[AR_per_bookie]],BetTable[[B3]:[B3]],$A85,BetTable[[Date]:[Date]], "&gt;="&amp;S$8,BetTable[[Date]:[Date]],"&lt;="&amp;EOMONTH(S$8,0))</f>
        <v>0</v>
      </c>
    </row>
    <row r="86" spans="1:19">
      <c r="A86" s="115" t="str">
        <f>BookieNavn!I76</f>
        <v>LiUnibet</v>
      </c>
      <c r="B86" s="126">
        <f>SUMIF(Penger!D$1:D$50072,A86,Penger!F$1:F$50072)</f>
        <v>0</v>
      </c>
      <c r="C86" s="126">
        <f>SUMIF(Penger!T$1:T$50072,A86,Penger!U$1:U$50072)</f>
        <v>0</v>
      </c>
      <c r="D86" s="126">
        <f ca="1">SUMIF(Spill!C$1:C$499895,A86,Spill!T$1:T$49895)+C86</f>
        <v>0</v>
      </c>
      <c r="E86" s="126">
        <f>SUMIF(Spill!C$1:C$49895,A86,Spill!T$1:T$49895)</f>
        <v>0</v>
      </c>
      <c r="F86" s="121" t="e">
        <f t="shared" ca="1" si="2"/>
        <v>#DIV/0!</v>
      </c>
      <c r="H86" s="126">
        <f>SUMIFS(DWbonus[[Sum]:[Sum]],DWbonus[[Dato]:[Dato]], "&gt;="&amp;H$8,DWbonus[[Dato]:[Dato]],"&lt;="&amp;EOMONTH(H$8,0),DWbonus[[Bookie]:[Bookie]],$A86)+SUMIFS(LayTable[[Faktisk res]:[Faktisk res]],LayTable[[Dato]:[Dato]],"&gt;="&amp;H$8,LayTable[[Dato]:[Dato]],"&lt;="&amp;EOMONTH(H$8,0),LayTable[[Bookmaker]:[Bookmaker]],$A86)+SUMIFS(BetTable[[AR_per_bookie]:[AR_per_bookie]],BetTable[[B1]:[B1]],$A86,BetTable[[Date]:[Date]], "&gt;="&amp;H$8,BetTable[[Date]:[Date]],"&lt;="&amp;EOMONTH(H$8,0))+SUMIFS(BetTable[[AR_per_bookie]:[AR_per_bookie]],BetTable[[B2]:[B2]],$A86,BetTable[[Date]:[Date]], "&gt;="&amp;H$8,BetTable[[Date]:[Date]],"&lt;="&amp;EOMONTH(H$8,0))+SUMIFS(BetTable[[AR_per_bookie]:[AR_per_bookie]],BetTable[[B3]:[B3]],$A86,BetTable[[Date]:[Date]], "&gt;="&amp;H$8,BetTable[[Date]:[Date]],"&lt;="&amp;EOMONTH(H$8,0))</f>
        <v>0</v>
      </c>
      <c r="I86" s="126">
        <f>SUMIFS(DWbonus[[Sum]:[Sum]],DWbonus[[Dato]:[Dato]], "&gt;="&amp;I$8,DWbonus[[Dato]:[Dato]],"&lt;="&amp;EOMONTH(I$8,0),DWbonus[[Bookie]:[Bookie]],$A86)+SUMIFS(LayTable[[Faktisk res]:[Faktisk res]],LayTable[[Dato]:[Dato]],"&gt;="&amp;I$8,LayTable[[Dato]:[Dato]],"&lt;="&amp;EOMONTH(I$8,0),LayTable[[Bookmaker]:[Bookmaker]],$A86)+SUMIFS(BetTable[[AR_per_bookie]:[AR_per_bookie]],BetTable[[B1]:[B1]],$A86,BetTable[[Date]:[Date]], "&gt;="&amp;I$8,BetTable[[Date]:[Date]],"&lt;="&amp;EOMONTH(I$8,0))+SUMIFS(BetTable[[AR_per_bookie]:[AR_per_bookie]],BetTable[[B2]:[B2]],$A86,BetTable[[Date]:[Date]], "&gt;="&amp;I$8,BetTable[[Date]:[Date]],"&lt;="&amp;EOMONTH(I$8,0))+SUMIFS(BetTable[[AR_per_bookie]:[AR_per_bookie]],BetTable[[B3]:[B3]],$A86,BetTable[[Date]:[Date]], "&gt;="&amp;I$8,BetTable[[Date]:[Date]],"&lt;="&amp;EOMONTH(I$8,0))</f>
        <v>0</v>
      </c>
      <c r="J86" s="126">
        <f>SUMIFS(DWbonus[[Sum]:[Sum]],DWbonus[[Dato]:[Dato]], "&gt;="&amp;J$8,DWbonus[[Dato]:[Dato]],"&lt;="&amp;EOMONTH(J$8,0),DWbonus[[Bookie]:[Bookie]],$A86)+SUMIFS(LayTable[[Faktisk res]:[Faktisk res]],LayTable[[Dato]:[Dato]],"&gt;="&amp;J$8,LayTable[[Dato]:[Dato]],"&lt;="&amp;EOMONTH(J$8,0),LayTable[[Bookmaker]:[Bookmaker]],$A86)+SUMIFS(BetTable[[AR_per_bookie]:[AR_per_bookie]],BetTable[[B1]:[B1]],$A86,BetTable[[Date]:[Date]], "&gt;="&amp;J$8,BetTable[[Date]:[Date]],"&lt;="&amp;EOMONTH(J$8,0))+SUMIFS(BetTable[[AR_per_bookie]:[AR_per_bookie]],BetTable[[B2]:[B2]],$A86,BetTable[[Date]:[Date]], "&gt;="&amp;J$8,BetTable[[Date]:[Date]],"&lt;="&amp;EOMONTH(J$8,0))+SUMIFS(BetTable[[AR_per_bookie]:[AR_per_bookie]],BetTable[[B3]:[B3]],$A86,BetTable[[Date]:[Date]], "&gt;="&amp;J$8,BetTable[[Date]:[Date]],"&lt;="&amp;EOMONTH(J$8,0))</f>
        <v>0</v>
      </c>
      <c r="K86" s="126">
        <f>SUMIFS(DWbonus[[Sum]:[Sum]],DWbonus[[Dato]:[Dato]], "&gt;="&amp;K$8,DWbonus[[Dato]:[Dato]],"&lt;="&amp;EOMONTH(K$8,0),DWbonus[[Bookie]:[Bookie]],$A86)+SUMIFS(LayTable[[Faktisk res]:[Faktisk res]],LayTable[[Dato]:[Dato]],"&gt;="&amp;K$8,LayTable[[Dato]:[Dato]],"&lt;="&amp;EOMONTH(K$8,0),LayTable[[Bookmaker]:[Bookmaker]],$A86)+SUMIFS(BetTable[[AR_per_bookie]:[AR_per_bookie]],BetTable[[B1]:[B1]],$A86,BetTable[[Date]:[Date]], "&gt;="&amp;K$8,BetTable[[Date]:[Date]],"&lt;="&amp;EOMONTH(K$8,0))+SUMIFS(BetTable[[AR_per_bookie]:[AR_per_bookie]],BetTable[[B2]:[B2]],$A86,BetTable[[Date]:[Date]], "&gt;="&amp;K$8,BetTable[[Date]:[Date]],"&lt;="&amp;EOMONTH(K$8,0))+SUMIFS(BetTable[[AR_per_bookie]:[AR_per_bookie]],BetTable[[B3]:[B3]],$A86,BetTable[[Date]:[Date]], "&gt;="&amp;K$8,BetTable[[Date]:[Date]],"&lt;="&amp;EOMONTH(K$8,0))</f>
        <v>0</v>
      </c>
      <c r="L86" s="126">
        <f>SUMIFS(DWbonus[[Sum]:[Sum]],DWbonus[[Dato]:[Dato]], "&gt;="&amp;L$8,DWbonus[[Dato]:[Dato]],"&lt;="&amp;EOMONTH(L$8,0),DWbonus[[Bookie]:[Bookie]],$A86)+SUMIFS(LayTable[[Faktisk res]:[Faktisk res]],LayTable[[Dato]:[Dato]],"&gt;="&amp;L$8,LayTable[[Dato]:[Dato]],"&lt;="&amp;EOMONTH(L$8,0),LayTable[[Bookmaker]:[Bookmaker]],$A86)+SUMIFS(BetTable[[AR_per_bookie]:[AR_per_bookie]],BetTable[[B1]:[B1]],$A86,BetTable[[Date]:[Date]], "&gt;="&amp;L$8,BetTable[[Date]:[Date]],"&lt;="&amp;EOMONTH(L$8,0))+SUMIFS(BetTable[[AR_per_bookie]:[AR_per_bookie]],BetTable[[B2]:[B2]],$A86,BetTable[[Date]:[Date]], "&gt;="&amp;L$8,BetTable[[Date]:[Date]],"&lt;="&amp;EOMONTH(L$8,0))+SUMIFS(BetTable[[AR_per_bookie]:[AR_per_bookie]],BetTable[[B3]:[B3]],$A86,BetTable[[Date]:[Date]], "&gt;="&amp;L$8,BetTable[[Date]:[Date]],"&lt;="&amp;EOMONTH(L$8,0))</f>
        <v>0</v>
      </c>
      <c r="M86" s="126">
        <f>SUMIFS(DWbonus[[Sum]:[Sum]],DWbonus[[Dato]:[Dato]], "&gt;="&amp;M$8,DWbonus[[Dato]:[Dato]],"&lt;="&amp;EOMONTH(M$8,0),DWbonus[[Bookie]:[Bookie]],$A86)+SUMIFS(LayTable[[Faktisk res]:[Faktisk res]],LayTable[[Dato]:[Dato]],"&gt;="&amp;M$8,LayTable[[Dato]:[Dato]],"&lt;="&amp;EOMONTH(M$8,0),LayTable[[Bookmaker]:[Bookmaker]],$A86)+SUMIFS(BetTable[[AR_per_bookie]:[AR_per_bookie]],BetTable[[B1]:[B1]],$A86,BetTable[[Date]:[Date]], "&gt;="&amp;M$8,BetTable[[Date]:[Date]],"&lt;="&amp;EOMONTH(M$8,0))+SUMIFS(BetTable[[AR_per_bookie]:[AR_per_bookie]],BetTable[[B2]:[B2]],$A86,BetTable[[Date]:[Date]], "&gt;="&amp;M$8,BetTable[[Date]:[Date]],"&lt;="&amp;EOMONTH(M$8,0))+SUMIFS(BetTable[[AR_per_bookie]:[AR_per_bookie]],BetTable[[B3]:[B3]],$A86,BetTable[[Date]:[Date]], "&gt;="&amp;M$8,BetTable[[Date]:[Date]],"&lt;="&amp;EOMONTH(M$8,0))</f>
        <v>0</v>
      </c>
      <c r="N86" s="126">
        <f>SUMIFS(DWbonus[[Sum]:[Sum]],DWbonus[[Dato]:[Dato]], "&gt;="&amp;N$8,DWbonus[[Dato]:[Dato]],"&lt;="&amp;EOMONTH(N$8,0),DWbonus[[Bookie]:[Bookie]],$A86)+SUMIFS(LayTable[[Faktisk res]:[Faktisk res]],LayTable[[Dato]:[Dato]],"&gt;="&amp;N$8,LayTable[[Dato]:[Dato]],"&lt;="&amp;EOMONTH(N$8,0),LayTable[[Bookmaker]:[Bookmaker]],$A86)+SUMIFS(BetTable[[AR_per_bookie]:[AR_per_bookie]],BetTable[[B1]:[B1]],$A86,BetTable[[Date]:[Date]], "&gt;="&amp;N$8,BetTable[[Date]:[Date]],"&lt;="&amp;EOMONTH(N$8,0))+SUMIFS(BetTable[[AR_per_bookie]:[AR_per_bookie]],BetTable[[B2]:[B2]],$A86,BetTable[[Date]:[Date]], "&gt;="&amp;N$8,BetTable[[Date]:[Date]],"&lt;="&amp;EOMONTH(N$8,0))+SUMIFS(BetTable[[AR_per_bookie]:[AR_per_bookie]],BetTable[[B3]:[B3]],$A86,BetTable[[Date]:[Date]], "&gt;="&amp;N$8,BetTable[[Date]:[Date]],"&lt;="&amp;EOMONTH(N$8,0))</f>
        <v>0</v>
      </c>
      <c r="O86" s="126">
        <f>SUMIFS(DWbonus[[Sum]:[Sum]],DWbonus[[Dato]:[Dato]], "&gt;="&amp;O$8,DWbonus[[Dato]:[Dato]],"&lt;="&amp;EOMONTH(O$8,0),DWbonus[[Bookie]:[Bookie]],$A86)+SUMIFS(LayTable[[Faktisk res]:[Faktisk res]],LayTable[[Dato]:[Dato]],"&gt;="&amp;O$8,LayTable[[Dato]:[Dato]],"&lt;="&amp;EOMONTH(O$8,0),LayTable[[Bookmaker]:[Bookmaker]],$A86)+SUMIFS(BetTable[[AR_per_bookie]:[AR_per_bookie]],BetTable[[B1]:[B1]],$A86,BetTable[[Date]:[Date]], "&gt;="&amp;O$8,BetTable[[Date]:[Date]],"&lt;="&amp;EOMONTH(O$8,0))+SUMIFS(BetTable[[AR_per_bookie]:[AR_per_bookie]],BetTable[[B2]:[B2]],$A86,BetTable[[Date]:[Date]], "&gt;="&amp;O$8,BetTable[[Date]:[Date]],"&lt;="&amp;EOMONTH(O$8,0))+SUMIFS(BetTable[[AR_per_bookie]:[AR_per_bookie]],BetTable[[B3]:[B3]],$A86,BetTable[[Date]:[Date]], "&gt;="&amp;O$8,BetTable[[Date]:[Date]],"&lt;="&amp;EOMONTH(O$8,0))</f>
        <v>0</v>
      </c>
      <c r="P86" s="126">
        <f>SUMIFS(DWbonus[[Sum]:[Sum]],DWbonus[[Dato]:[Dato]], "&gt;="&amp;P$8,DWbonus[[Dato]:[Dato]],"&lt;="&amp;EOMONTH(P$8,0),DWbonus[[Bookie]:[Bookie]],$A86)+SUMIFS(LayTable[[Faktisk res]:[Faktisk res]],LayTable[[Dato]:[Dato]],"&gt;="&amp;P$8,LayTable[[Dato]:[Dato]],"&lt;="&amp;EOMONTH(P$8,0),LayTable[[Bookmaker]:[Bookmaker]],$A86)+SUMIFS(BetTable[[AR_per_bookie]:[AR_per_bookie]],BetTable[[B1]:[B1]],$A86,BetTable[[Date]:[Date]], "&gt;="&amp;P$8,BetTable[[Date]:[Date]],"&lt;="&amp;EOMONTH(P$8,0))+SUMIFS(BetTable[[AR_per_bookie]:[AR_per_bookie]],BetTable[[B2]:[B2]],$A86,BetTable[[Date]:[Date]], "&gt;="&amp;P$8,BetTable[[Date]:[Date]],"&lt;="&amp;EOMONTH(P$8,0))+SUMIFS(BetTable[[AR_per_bookie]:[AR_per_bookie]],BetTable[[B3]:[B3]],$A86,BetTable[[Date]:[Date]], "&gt;="&amp;P$8,BetTable[[Date]:[Date]],"&lt;="&amp;EOMONTH(P$8,0))</f>
        <v>0</v>
      </c>
      <c r="Q86" s="126">
        <f>SUMIFS(DWbonus[[Sum]:[Sum]],DWbonus[[Dato]:[Dato]], "&gt;="&amp;Q$8,DWbonus[[Dato]:[Dato]],"&lt;="&amp;EOMONTH(Q$8,0),DWbonus[[Bookie]:[Bookie]],$A86)+SUMIFS(LayTable[[Faktisk res]:[Faktisk res]],LayTable[[Dato]:[Dato]],"&gt;="&amp;Q$8,LayTable[[Dato]:[Dato]],"&lt;="&amp;EOMONTH(Q$8,0),LayTable[[Bookmaker]:[Bookmaker]],$A86)+SUMIFS(BetTable[[AR_per_bookie]:[AR_per_bookie]],BetTable[[B1]:[B1]],$A86,BetTable[[Date]:[Date]], "&gt;="&amp;Q$8,BetTable[[Date]:[Date]],"&lt;="&amp;EOMONTH(Q$8,0))+SUMIFS(BetTable[[AR_per_bookie]:[AR_per_bookie]],BetTable[[B2]:[B2]],$A86,BetTable[[Date]:[Date]], "&gt;="&amp;Q$8,BetTable[[Date]:[Date]],"&lt;="&amp;EOMONTH(Q$8,0))+SUMIFS(BetTable[[AR_per_bookie]:[AR_per_bookie]],BetTable[[B3]:[B3]],$A86,BetTable[[Date]:[Date]], "&gt;="&amp;Q$8,BetTable[[Date]:[Date]],"&lt;="&amp;EOMONTH(Q$8,0))</f>
        <v>0</v>
      </c>
      <c r="R86" s="126">
        <f>SUMIFS(DWbonus[[Sum]:[Sum]],DWbonus[[Dato]:[Dato]], "&gt;="&amp;R$8,DWbonus[[Dato]:[Dato]],"&lt;="&amp;EOMONTH(R$8,0),DWbonus[[Bookie]:[Bookie]],$A86)+SUMIFS(LayTable[[Faktisk res]:[Faktisk res]],LayTable[[Dato]:[Dato]],"&gt;="&amp;R$8,LayTable[[Dato]:[Dato]],"&lt;="&amp;EOMONTH(R$8,0),LayTable[[Bookmaker]:[Bookmaker]],$A86)+SUMIFS(BetTable[[AR_per_bookie]:[AR_per_bookie]],BetTable[[B1]:[B1]],$A86,BetTable[[Date]:[Date]], "&gt;="&amp;R$8,BetTable[[Date]:[Date]],"&lt;="&amp;EOMONTH(R$8,0))+SUMIFS(BetTable[[AR_per_bookie]:[AR_per_bookie]],BetTable[[B2]:[B2]],$A86,BetTable[[Date]:[Date]], "&gt;="&amp;R$8,BetTable[[Date]:[Date]],"&lt;="&amp;EOMONTH(R$8,0))+SUMIFS(BetTable[[AR_per_bookie]:[AR_per_bookie]],BetTable[[B3]:[B3]],$A86,BetTable[[Date]:[Date]], "&gt;="&amp;R$8,BetTable[[Date]:[Date]],"&lt;="&amp;EOMONTH(R$8,0))</f>
        <v>0</v>
      </c>
      <c r="S86" s="126">
        <f>SUMIFS(DWbonus[[Sum]:[Sum]],DWbonus[[Dato]:[Dato]], "&gt;="&amp;S$8,DWbonus[[Dato]:[Dato]],"&lt;="&amp;EOMONTH(S$8,0),DWbonus[[Bookie]:[Bookie]],$A86)+SUMIFS(LayTable[[Faktisk res]:[Faktisk res]],LayTable[[Dato]:[Dato]],"&gt;="&amp;S$8,LayTable[[Dato]:[Dato]],"&lt;="&amp;EOMONTH(S$8,0),LayTable[[Bookmaker]:[Bookmaker]],$A86)+SUMIFS(BetTable[[AR_per_bookie]:[AR_per_bookie]],BetTable[[B1]:[B1]],$A86,BetTable[[Date]:[Date]], "&gt;="&amp;S$8,BetTable[[Date]:[Date]],"&lt;="&amp;EOMONTH(S$8,0))+SUMIFS(BetTable[[AR_per_bookie]:[AR_per_bookie]],BetTable[[B2]:[B2]],$A86,BetTable[[Date]:[Date]], "&gt;="&amp;S$8,BetTable[[Date]:[Date]],"&lt;="&amp;EOMONTH(S$8,0))+SUMIFS(BetTable[[AR_per_bookie]:[AR_per_bookie]],BetTable[[B3]:[B3]],$A86,BetTable[[Date]:[Date]], "&gt;="&amp;S$8,BetTable[[Date]:[Date]],"&lt;="&amp;EOMONTH(S$8,0))</f>
        <v>0</v>
      </c>
    </row>
    <row r="87" spans="1:19">
      <c r="A87" s="115" t="str">
        <f>BookieNavn!I77</f>
        <v>LiBethard</v>
      </c>
      <c r="B87" s="126">
        <f>SUMIF(Penger!D$1:D$50072,A87,Penger!F$1:F$50072)</f>
        <v>0</v>
      </c>
      <c r="C87" s="126">
        <f>SUMIF(Penger!T$1:T$50072,A87,Penger!U$1:U$50072)</f>
        <v>0</v>
      </c>
      <c r="D87" s="126">
        <f ca="1">SUMIF(Spill!C$1:C$499895,A87,Spill!T$1:T$49895)+C87</f>
        <v>0</v>
      </c>
      <c r="E87" s="126">
        <f>SUMIF(Spill!C$1:C$49895,A87,Spill!T$1:T$49895)</f>
        <v>0</v>
      </c>
      <c r="F87" s="121" t="e">
        <f t="shared" ca="1" si="2"/>
        <v>#DIV/0!</v>
      </c>
      <c r="H87" s="126">
        <f>SUMIFS(DWbonus[[Sum]:[Sum]],DWbonus[[Dato]:[Dato]], "&gt;="&amp;H$8,DWbonus[[Dato]:[Dato]],"&lt;="&amp;EOMONTH(H$8,0),DWbonus[[Bookie]:[Bookie]],$A87)+SUMIFS(LayTable[[Faktisk res]:[Faktisk res]],LayTable[[Dato]:[Dato]],"&gt;="&amp;H$8,LayTable[[Dato]:[Dato]],"&lt;="&amp;EOMONTH(H$8,0),LayTable[[Bookmaker]:[Bookmaker]],$A87)+SUMIFS(BetTable[[AR_per_bookie]:[AR_per_bookie]],BetTable[[B1]:[B1]],$A87,BetTable[[Date]:[Date]], "&gt;="&amp;H$8,BetTable[[Date]:[Date]],"&lt;="&amp;EOMONTH(H$8,0))+SUMIFS(BetTable[[AR_per_bookie]:[AR_per_bookie]],BetTable[[B2]:[B2]],$A87,BetTable[[Date]:[Date]], "&gt;="&amp;H$8,BetTable[[Date]:[Date]],"&lt;="&amp;EOMONTH(H$8,0))+SUMIFS(BetTable[[AR_per_bookie]:[AR_per_bookie]],BetTable[[B3]:[B3]],$A87,BetTable[[Date]:[Date]], "&gt;="&amp;H$8,BetTable[[Date]:[Date]],"&lt;="&amp;EOMONTH(H$8,0))</f>
        <v>0</v>
      </c>
      <c r="I87" s="126">
        <f>SUMIFS(DWbonus[[Sum]:[Sum]],DWbonus[[Dato]:[Dato]], "&gt;="&amp;I$8,DWbonus[[Dato]:[Dato]],"&lt;="&amp;EOMONTH(I$8,0),DWbonus[[Bookie]:[Bookie]],$A87)+SUMIFS(LayTable[[Faktisk res]:[Faktisk res]],LayTable[[Dato]:[Dato]],"&gt;="&amp;I$8,LayTable[[Dato]:[Dato]],"&lt;="&amp;EOMONTH(I$8,0),LayTable[[Bookmaker]:[Bookmaker]],$A87)+SUMIFS(BetTable[[AR_per_bookie]:[AR_per_bookie]],BetTable[[B1]:[B1]],$A87,BetTable[[Date]:[Date]], "&gt;="&amp;I$8,BetTable[[Date]:[Date]],"&lt;="&amp;EOMONTH(I$8,0))+SUMIFS(BetTable[[AR_per_bookie]:[AR_per_bookie]],BetTable[[B2]:[B2]],$A87,BetTable[[Date]:[Date]], "&gt;="&amp;I$8,BetTable[[Date]:[Date]],"&lt;="&amp;EOMONTH(I$8,0))+SUMIFS(BetTable[[AR_per_bookie]:[AR_per_bookie]],BetTable[[B3]:[B3]],$A87,BetTable[[Date]:[Date]], "&gt;="&amp;I$8,BetTable[[Date]:[Date]],"&lt;="&amp;EOMONTH(I$8,0))</f>
        <v>0</v>
      </c>
      <c r="J87" s="126">
        <f>SUMIFS(DWbonus[[Sum]:[Sum]],DWbonus[[Dato]:[Dato]], "&gt;="&amp;J$8,DWbonus[[Dato]:[Dato]],"&lt;="&amp;EOMONTH(J$8,0),DWbonus[[Bookie]:[Bookie]],$A87)+SUMIFS(LayTable[[Faktisk res]:[Faktisk res]],LayTable[[Dato]:[Dato]],"&gt;="&amp;J$8,LayTable[[Dato]:[Dato]],"&lt;="&amp;EOMONTH(J$8,0),LayTable[[Bookmaker]:[Bookmaker]],$A87)+SUMIFS(BetTable[[AR_per_bookie]:[AR_per_bookie]],BetTable[[B1]:[B1]],$A87,BetTable[[Date]:[Date]], "&gt;="&amp;J$8,BetTable[[Date]:[Date]],"&lt;="&amp;EOMONTH(J$8,0))+SUMIFS(BetTable[[AR_per_bookie]:[AR_per_bookie]],BetTable[[B2]:[B2]],$A87,BetTable[[Date]:[Date]], "&gt;="&amp;J$8,BetTable[[Date]:[Date]],"&lt;="&amp;EOMONTH(J$8,0))+SUMIFS(BetTable[[AR_per_bookie]:[AR_per_bookie]],BetTable[[B3]:[B3]],$A87,BetTable[[Date]:[Date]], "&gt;="&amp;J$8,BetTable[[Date]:[Date]],"&lt;="&amp;EOMONTH(J$8,0))</f>
        <v>0</v>
      </c>
      <c r="K87" s="126">
        <f>SUMIFS(DWbonus[[Sum]:[Sum]],DWbonus[[Dato]:[Dato]], "&gt;="&amp;K$8,DWbonus[[Dato]:[Dato]],"&lt;="&amp;EOMONTH(K$8,0),DWbonus[[Bookie]:[Bookie]],$A87)+SUMIFS(LayTable[[Faktisk res]:[Faktisk res]],LayTable[[Dato]:[Dato]],"&gt;="&amp;K$8,LayTable[[Dato]:[Dato]],"&lt;="&amp;EOMONTH(K$8,0),LayTable[[Bookmaker]:[Bookmaker]],$A87)+SUMIFS(BetTable[[AR_per_bookie]:[AR_per_bookie]],BetTable[[B1]:[B1]],$A87,BetTable[[Date]:[Date]], "&gt;="&amp;K$8,BetTable[[Date]:[Date]],"&lt;="&amp;EOMONTH(K$8,0))+SUMIFS(BetTable[[AR_per_bookie]:[AR_per_bookie]],BetTable[[B2]:[B2]],$A87,BetTable[[Date]:[Date]], "&gt;="&amp;K$8,BetTable[[Date]:[Date]],"&lt;="&amp;EOMONTH(K$8,0))+SUMIFS(BetTable[[AR_per_bookie]:[AR_per_bookie]],BetTable[[B3]:[B3]],$A87,BetTable[[Date]:[Date]], "&gt;="&amp;K$8,BetTable[[Date]:[Date]],"&lt;="&amp;EOMONTH(K$8,0))</f>
        <v>0</v>
      </c>
      <c r="L87" s="126">
        <f>SUMIFS(DWbonus[[Sum]:[Sum]],DWbonus[[Dato]:[Dato]], "&gt;="&amp;L$8,DWbonus[[Dato]:[Dato]],"&lt;="&amp;EOMONTH(L$8,0),DWbonus[[Bookie]:[Bookie]],$A87)+SUMIFS(LayTable[[Faktisk res]:[Faktisk res]],LayTable[[Dato]:[Dato]],"&gt;="&amp;L$8,LayTable[[Dato]:[Dato]],"&lt;="&amp;EOMONTH(L$8,0),LayTable[[Bookmaker]:[Bookmaker]],$A87)+SUMIFS(BetTable[[AR_per_bookie]:[AR_per_bookie]],BetTable[[B1]:[B1]],$A87,BetTable[[Date]:[Date]], "&gt;="&amp;L$8,BetTable[[Date]:[Date]],"&lt;="&amp;EOMONTH(L$8,0))+SUMIFS(BetTable[[AR_per_bookie]:[AR_per_bookie]],BetTable[[B2]:[B2]],$A87,BetTable[[Date]:[Date]], "&gt;="&amp;L$8,BetTable[[Date]:[Date]],"&lt;="&amp;EOMONTH(L$8,0))+SUMIFS(BetTable[[AR_per_bookie]:[AR_per_bookie]],BetTable[[B3]:[B3]],$A87,BetTable[[Date]:[Date]], "&gt;="&amp;L$8,BetTable[[Date]:[Date]],"&lt;="&amp;EOMONTH(L$8,0))</f>
        <v>0</v>
      </c>
      <c r="M87" s="126">
        <f>SUMIFS(DWbonus[[Sum]:[Sum]],DWbonus[[Dato]:[Dato]], "&gt;="&amp;M$8,DWbonus[[Dato]:[Dato]],"&lt;="&amp;EOMONTH(M$8,0),DWbonus[[Bookie]:[Bookie]],$A87)+SUMIFS(LayTable[[Faktisk res]:[Faktisk res]],LayTable[[Dato]:[Dato]],"&gt;="&amp;M$8,LayTable[[Dato]:[Dato]],"&lt;="&amp;EOMONTH(M$8,0),LayTable[[Bookmaker]:[Bookmaker]],$A87)+SUMIFS(BetTable[[AR_per_bookie]:[AR_per_bookie]],BetTable[[B1]:[B1]],$A87,BetTable[[Date]:[Date]], "&gt;="&amp;M$8,BetTable[[Date]:[Date]],"&lt;="&amp;EOMONTH(M$8,0))+SUMIFS(BetTable[[AR_per_bookie]:[AR_per_bookie]],BetTable[[B2]:[B2]],$A87,BetTable[[Date]:[Date]], "&gt;="&amp;M$8,BetTable[[Date]:[Date]],"&lt;="&amp;EOMONTH(M$8,0))+SUMIFS(BetTable[[AR_per_bookie]:[AR_per_bookie]],BetTable[[B3]:[B3]],$A87,BetTable[[Date]:[Date]], "&gt;="&amp;M$8,BetTable[[Date]:[Date]],"&lt;="&amp;EOMONTH(M$8,0))</f>
        <v>0</v>
      </c>
      <c r="N87" s="126">
        <f>SUMIFS(DWbonus[[Sum]:[Sum]],DWbonus[[Dato]:[Dato]], "&gt;="&amp;N$8,DWbonus[[Dato]:[Dato]],"&lt;="&amp;EOMONTH(N$8,0),DWbonus[[Bookie]:[Bookie]],$A87)+SUMIFS(LayTable[[Faktisk res]:[Faktisk res]],LayTable[[Dato]:[Dato]],"&gt;="&amp;N$8,LayTable[[Dato]:[Dato]],"&lt;="&amp;EOMONTH(N$8,0),LayTable[[Bookmaker]:[Bookmaker]],$A87)+SUMIFS(BetTable[[AR_per_bookie]:[AR_per_bookie]],BetTable[[B1]:[B1]],$A87,BetTable[[Date]:[Date]], "&gt;="&amp;N$8,BetTable[[Date]:[Date]],"&lt;="&amp;EOMONTH(N$8,0))+SUMIFS(BetTable[[AR_per_bookie]:[AR_per_bookie]],BetTable[[B2]:[B2]],$A87,BetTable[[Date]:[Date]], "&gt;="&amp;N$8,BetTable[[Date]:[Date]],"&lt;="&amp;EOMONTH(N$8,0))+SUMIFS(BetTable[[AR_per_bookie]:[AR_per_bookie]],BetTable[[B3]:[B3]],$A87,BetTable[[Date]:[Date]], "&gt;="&amp;N$8,BetTable[[Date]:[Date]],"&lt;="&amp;EOMONTH(N$8,0))</f>
        <v>0</v>
      </c>
      <c r="O87" s="126">
        <f>SUMIFS(DWbonus[[Sum]:[Sum]],DWbonus[[Dato]:[Dato]], "&gt;="&amp;O$8,DWbonus[[Dato]:[Dato]],"&lt;="&amp;EOMONTH(O$8,0),DWbonus[[Bookie]:[Bookie]],$A87)+SUMIFS(LayTable[[Faktisk res]:[Faktisk res]],LayTable[[Dato]:[Dato]],"&gt;="&amp;O$8,LayTable[[Dato]:[Dato]],"&lt;="&amp;EOMONTH(O$8,0),LayTable[[Bookmaker]:[Bookmaker]],$A87)+SUMIFS(BetTable[[AR_per_bookie]:[AR_per_bookie]],BetTable[[B1]:[B1]],$A87,BetTable[[Date]:[Date]], "&gt;="&amp;O$8,BetTable[[Date]:[Date]],"&lt;="&amp;EOMONTH(O$8,0))+SUMIFS(BetTable[[AR_per_bookie]:[AR_per_bookie]],BetTable[[B2]:[B2]],$A87,BetTable[[Date]:[Date]], "&gt;="&amp;O$8,BetTable[[Date]:[Date]],"&lt;="&amp;EOMONTH(O$8,0))+SUMIFS(BetTable[[AR_per_bookie]:[AR_per_bookie]],BetTable[[B3]:[B3]],$A87,BetTable[[Date]:[Date]], "&gt;="&amp;O$8,BetTable[[Date]:[Date]],"&lt;="&amp;EOMONTH(O$8,0))</f>
        <v>0</v>
      </c>
      <c r="P87" s="126">
        <f>SUMIFS(DWbonus[[Sum]:[Sum]],DWbonus[[Dato]:[Dato]], "&gt;="&amp;P$8,DWbonus[[Dato]:[Dato]],"&lt;="&amp;EOMONTH(P$8,0),DWbonus[[Bookie]:[Bookie]],$A87)+SUMIFS(LayTable[[Faktisk res]:[Faktisk res]],LayTable[[Dato]:[Dato]],"&gt;="&amp;P$8,LayTable[[Dato]:[Dato]],"&lt;="&amp;EOMONTH(P$8,0),LayTable[[Bookmaker]:[Bookmaker]],$A87)+SUMIFS(BetTable[[AR_per_bookie]:[AR_per_bookie]],BetTable[[B1]:[B1]],$A87,BetTable[[Date]:[Date]], "&gt;="&amp;P$8,BetTable[[Date]:[Date]],"&lt;="&amp;EOMONTH(P$8,0))+SUMIFS(BetTable[[AR_per_bookie]:[AR_per_bookie]],BetTable[[B2]:[B2]],$A87,BetTable[[Date]:[Date]], "&gt;="&amp;P$8,BetTable[[Date]:[Date]],"&lt;="&amp;EOMONTH(P$8,0))+SUMIFS(BetTable[[AR_per_bookie]:[AR_per_bookie]],BetTable[[B3]:[B3]],$A87,BetTable[[Date]:[Date]], "&gt;="&amp;P$8,BetTable[[Date]:[Date]],"&lt;="&amp;EOMONTH(P$8,0))</f>
        <v>0</v>
      </c>
      <c r="Q87" s="126">
        <f>SUMIFS(DWbonus[[Sum]:[Sum]],DWbonus[[Dato]:[Dato]], "&gt;="&amp;Q$8,DWbonus[[Dato]:[Dato]],"&lt;="&amp;EOMONTH(Q$8,0),DWbonus[[Bookie]:[Bookie]],$A87)+SUMIFS(LayTable[[Faktisk res]:[Faktisk res]],LayTable[[Dato]:[Dato]],"&gt;="&amp;Q$8,LayTable[[Dato]:[Dato]],"&lt;="&amp;EOMONTH(Q$8,0),LayTable[[Bookmaker]:[Bookmaker]],$A87)+SUMIFS(BetTable[[AR_per_bookie]:[AR_per_bookie]],BetTable[[B1]:[B1]],$A87,BetTable[[Date]:[Date]], "&gt;="&amp;Q$8,BetTable[[Date]:[Date]],"&lt;="&amp;EOMONTH(Q$8,0))+SUMIFS(BetTable[[AR_per_bookie]:[AR_per_bookie]],BetTable[[B2]:[B2]],$A87,BetTable[[Date]:[Date]], "&gt;="&amp;Q$8,BetTable[[Date]:[Date]],"&lt;="&amp;EOMONTH(Q$8,0))+SUMIFS(BetTable[[AR_per_bookie]:[AR_per_bookie]],BetTable[[B3]:[B3]],$A87,BetTable[[Date]:[Date]], "&gt;="&amp;Q$8,BetTable[[Date]:[Date]],"&lt;="&amp;EOMONTH(Q$8,0))</f>
        <v>0</v>
      </c>
      <c r="R87" s="126">
        <f>SUMIFS(DWbonus[[Sum]:[Sum]],DWbonus[[Dato]:[Dato]], "&gt;="&amp;R$8,DWbonus[[Dato]:[Dato]],"&lt;="&amp;EOMONTH(R$8,0),DWbonus[[Bookie]:[Bookie]],$A87)+SUMIFS(LayTable[[Faktisk res]:[Faktisk res]],LayTable[[Dato]:[Dato]],"&gt;="&amp;R$8,LayTable[[Dato]:[Dato]],"&lt;="&amp;EOMONTH(R$8,0),LayTable[[Bookmaker]:[Bookmaker]],$A87)+SUMIFS(BetTable[[AR_per_bookie]:[AR_per_bookie]],BetTable[[B1]:[B1]],$A87,BetTable[[Date]:[Date]], "&gt;="&amp;R$8,BetTable[[Date]:[Date]],"&lt;="&amp;EOMONTH(R$8,0))+SUMIFS(BetTable[[AR_per_bookie]:[AR_per_bookie]],BetTable[[B2]:[B2]],$A87,BetTable[[Date]:[Date]], "&gt;="&amp;R$8,BetTable[[Date]:[Date]],"&lt;="&amp;EOMONTH(R$8,0))+SUMIFS(BetTable[[AR_per_bookie]:[AR_per_bookie]],BetTable[[B3]:[B3]],$A87,BetTable[[Date]:[Date]], "&gt;="&amp;R$8,BetTable[[Date]:[Date]],"&lt;="&amp;EOMONTH(R$8,0))</f>
        <v>0</v>
      </c>
      <c r="S87" s="126">
        <f>SUMIFS(DWbonus[[Sum]:[Sum]],DWbonus[[Dato]:[Dato]], "&gt;="&amp;S$8,DWbonus[[Dato]:[Dato]],"&lt;="&amp;EOMONTH(S$8,0),DWbonus[[Bookie]:[Bookie]],$A87)+SUMIFS(LayTable[[Faktisk res]:[Faktisk res]],LayTable[[Dato]:[Dato]],"&gt;="&amp;S$8,LayTable[[Dato]:[Dato]],"&lt;="&amp;EOMONTH(S$8,0),LayTable[[Bookmaker]:[Bookmaker]],$A87)+SUMIFS(BetTable[[AR_per_bookie]:[AR_per_bookie]],BetTable[[B1]:[B1]],$A87,BetTable[[Date]:[Date]], "&gt;="&amp;S$8,BetTable[[Date]:[Date]],"&lt;="&amp;EOMONTH(S$8,0))+SUMIFS(BetTable[[AR_per_bookie]:[AR_per_bookie]],BetTable[[B2]:[B2]],$A87,BetTable[[Date]:[Date]], "&gt;="&amp;S$8,BetTable[[Date]:[Date]],"&lt;="&amp;EOMONTH(S$8,0))+SUMIFS(BetTable[[AR_per_bookie]:[AR_per_bookie]],BetTable[[B3]:[B3]],$A87,BetTable[[Date]:[Date]], "&gt;="&amp;S$8,BetTable[[Date]:[Date]],"&lt;="&amp;EOMONTH(S$8,0))</f>
        <v>0</v>
      </c>
    </row>
    <row r="88" spans="1:19">
      <c r="A88" s="115" t="str">
        <f>BookieNavn!I78</f>
        <v>LiBet365</v>
      </c>
      <c r="B88" s="126">
        <f>SUMIF(Penger!D$1:D$50072,A88,Penger!F$1:F$50072)</f>
        <v>0</v>
      </c>
      <c r="C88" s="126">
        <f>SUMIF(Penger!T$1:T$50072,A88,Penger!U$1:U$50072)</f>
        <v>0</v>
      </c>
      <c r="D88" s="126">
        <f ca="1">SUMIF(Spill!C$1:C$499895,A88,Spill!T$1:T$49895)+C88</f>
        <v>0</v>
      </c>
      <c r="E88" s="126">
        <f>SUMIF(Spill!C$1:C$49895,A88,Spill!T$1:T$49895)</f>
        <v>0</v>
      </c>
      <c r="F88" s="121" t="e">
        <f t="shared" ca="1" si="2"/>
        <v>#DIV/0!</v>
      </c>
      <c r="H88" s="126">
        <f>SUMIFS(DWbonus[[Sum]:[Sum]],DWbonus[[Dato]:[Dato]], "&gt;="&amp;H$8,DWbonus[[Dato]:[Dato]],"&lt;="&amp;EOMONTH(H$8,0),DWbonus[[Bookie]:[Bookie]],$A88)+SUMIFS(LayTable[[Faktisk res]:[Faktisk res]],LayTable[[Dato]:[Dato]],"&gt;="&amp;H$8,LayTable[[Dato]:[Dato]],"&lt;="&amp;EOMONTH(H$8,0),LayTable[[Bookmaker]:[Bookmaker]],$A88)+SUMIFS(BetTable[[AR_per_bookie]:[AR_per_bookie]],BetTable[[B1]:[B1]],$A88,BetTable[[Date]:[Date]], "&gt;="&amp;H$8,BetTable[[Date]:[Date]],"&lt;="&amp;EOMONTH(H$8,0))+SUMIFS(BetTable[[AR_per_bookie]:[AR_per_bookie]],BetTable[[B2]:[B2]],$A88,BetTable[[Date]:[Date]], "&gt;="&amp;H$8,BetTable[[Date]:[Date]],"&lt;="&amp;EOMONTH(H$8,0))+SUMIFS(BetTable[[AR_per_bookie]:[AR_per_bookie]],BetTable[[B3]:[B3]],$A88,BetTable[[Date]:[Date]], "&gt;="&amp;H$8,BetTable[[Date]:[Date]],"&lt;="&amp;EOMONTH(H$8,0))</f>
        <v>0</v>
      </c>
      <c r="I88" s="126">
        <f>SUMIFS(DWbonus[[Sum]:[Sum]],DWbonus[[Dato]:[Dato]], "&gt;="&amp;I$8,DWbonus[[Dato]:[Dato]],"&lt;="&amp;EOMONTH(I$8,0),DWbonus[[Bookie]:[Bookie]],$A88)+SUMIFS(LayTable[[Faktisk res]:[Faktisk res]],LayTable[[Dato]:[Dato]],"&gt;="&amp;I$8,LayTable[[Dato]:[Dato]],"&lt;="&amp;EOMONTH(I$8,0),LayTable[[Bookmaker]:[Bookmaker]],$A88)+SUMIFS(BetTable[[AR_per_bookie]:[AR_per_bookie]],BetTable[[B1]:[B1]],$A88,BetTable[[Date]:[Date]], "&gt;="&amp;I$8,BetTable[[Date]:[Date]],"&lt;="&amp;EOMONTH(I$8,0))+SUMIFS(BetTable[[AR_per_bookie]:[AR_per_bookie]],BetTable[[B2]:[B2]],$A88,BetTable[[Date]:[Date]], "&gt;="&amp;I$8,BetTable[[Date]:[Date]],"&lt;="&amp;EOMONTH(I$8,0))+SUMIFS(BetTable[[AR_per_bookie]:[AR_per_bookie]],BetTable[[B3]:[B3]],$A88,BetTable[[Date]:[Date]], "&gt;="&amp;I$8,BetTable[[Date]:[Date]],"&lt;="&amp;EOMONTH(I$8,0))</f>
        <v>0</v>
      </c>
      <c r="J88" s="126">
        <f>SUMIFS(DWbonus[[Sum]:[Sum]],DWbonus[[Dato]:[Dato]], "&gt;="&amp;J$8,DWbonus[[Dato]:[Dato]],"&lt;="&amp;EOMONTH(J$8,0),DWbonus[[Bookie]:[Bookie]],$A88)+SUMIFS(LayTable[[Faktisk res]:[Faktisk res]],LayTable[[Dato]:[Dato]],"&gt;="&amp;J$8,LayTable[[Dato]:[Dato]],"&lt;="&amp;EOMONTH(J$8,0),LayTable[[Bookmaker]:[Bookmaker]],$A88)+SUMIFS(BetTable[[AR_per_bookie]:[AR_per_bookie]],BetTable[[B1]:[B1]],$A88,BetTable[[Date]:[Date]], "&gt;="&amp;J$8,BetTable[[Date]:[Date]],"&lt;="&amp;EOMONTH(J$8,0))+SUMIFS(BetTable[[AR_per_bookie]:[AR_per_bookie]],BetTable[[B2]:[B2]],$A88,BetTable[[Date]:[Date]], "&gt;="&amp;J$8,BetTable[[Date]:[Date]],"&lt;="&amp;EOMONTH(J$8,0))+SUMIFS(BetTable[[AR_per_bookie]:[AR_per_bookie]],BetTable[[B3]:[B3]],$A88,BetTable[[Date]:[Date]], "&gt;="&amp;J$8,BetTable[[Date]:[Date]],"&lt;="&amp;EOMONTH(J$8,0))</f>
        <v>0</v>
      </c>
      <c r="K88" s="126">
        <f>SUMIFS(DWbonus[[Sum]:[Sum]],DWbonus[[Dato]:[Dato]], "&gt;="&amp;K$8,DWbonus[[Dato]:[Dato]],"&lt;="&amp;EOMONTH(K$8,0),DWbonus[[Bookie]:[Bookie]],$A88)+SUMIFS(LayTable[[Faktisk res]:[Faktisk res]],LayTable[[Dato]:[Dato]],"&gt;="&amp;K$8,LayTable[[Dato]:[Dato]],"&lt;="&amp;EOMONTH(K$8,0),LayTable[[Bookmaker]:[Bookmaker]],$A88)+SUMIFS(BetTable[[AR_per_bookie]:[AR_per_bookie]],BetTable[[B1]:[B1]],$A88,BetTable[[Date]:[Date]], "&gt;="&amp;K$8,BetTable[[Date]:[Date]],"&lt;="&amp;EOMONTH(K$8,0))+SUMIFS(BetTable[[AR_per_bookie]:[AR_per_bookie]],BetTable[[B2]:[B2]],$A88,BetTable[[Date]:[Date]], "&gt;="&amp;K$8,BetTable[[Date]:[Date]],"&lt;="&amp;EOMONTH(K$8,0))+SUMIFS(BetTable[[AR_per_bookie]:[AR_per_bookie]],BetTable[[B3]:[B3]],$A88,BetTable[[Date]:[Date]], "&gt;="&amp;K$8,BetTable[[Date]:[Date]],"&lt;="&amp;EOMONTH(K$8,0))</f>
        <v>0</v>
      </c>
      <c r="L88" s="126">
        <f>SUMIFS(DWbonus[[Sum]:[Sum]],DWbonus[[Dato]:[Dato]], "&gt;="&amp;L$8,DWbonus[[Dato]:[Dato]],"&lt;="&amp;EOMONTH(L$8,0),DWbonus[[Bookie]:[Bookie]],$A88)+SUMIFS(LayTable[[Faktisk res]:[Faktisk res]],LayTable[[Dato]:[Dato]],"&gt;="&amp;L$8,LayTable[[Dato]:[Dato]],"&lt;="&amp;EOMONTH(L$8,0),LayTable[[Bookmaker]:[Bookmaker]],$A88)+SUMIFS(BetTable[[AR_per_bookie]:[AR_per_bookie]],BetTable[[B1]:[B1]],$A88,BetTable[[Date]:[Date]], "&gt;="&amp;L$8,BetTable[[Date]:[Date]],"&lt;="&amp;EOMONTH(L$8,0))+SUMIFS(BetTable[[AR_per_bookie]:[AR_per_bookie]],BetTable[[B2]:[B2]],$A88,BetTable[[Date]:[Date]], "&gt;="&amp;L$8,BetTable[[Date]:[Date]],"&lt;="&amp;EOMONTH(L$8,0))+SUMIFS(BetTable[[AR_per_bookie]:[AR_per_bookie]],BetTable[[B3]:[B3]],$A88,BetTable[[Date]:[Date]], "&gt;="&amp;L$8,BetTable[[Date]:[Date]],"&lt;="&amp;EOMONTH(L$8,0))</f>
        <v>0</v>
      </c>
      <c r="M88" s="126">
        <f>SUMIFS(DWbonus[[Sum]:[Sum]],DWbonus[[Dato]:[Dato]], "&gt;="&amp;M$8,DWbonus[[Dato]:[Dato]],"&lt;="&amp;EOMONTH(M$8,0),DWbonus[[Bookie]:[Bookie]],$A88)+SUMIFS(LayTable[[Faktisk res]:[Faktisk res]],LayTable[[Dato]:[Dato]],"&gt;="&amp;M$8,LayTable[[Dato]:[Dato]],"&lt;="&amp;EOMONTH(M$8,0),LayTable[[Bookmaker]:[Bookmaker]],$A88)+SUMIFS(BetTable[[AR_per_bookie]:[AR_per_bookie]],BetTable[[B1]:[B1]],$A88,BetTable[[Date]:[Date]], "&gt;="&amp;M$8,BetTable[[Date]:[Date]],"&lt;="&amp;EOMONTH(M$8,0))+SUMIFS(BetTable[[AR_per_bookie]:[AR_per_bookie]],BetTable[[B2]:[B2]],$A88,BetTable[[Date]:[Date]], "&gt;="&amp;M$8,BetTable[[Date]:[Date]],"&lt;="&amp;EOMONTH(M$8,0))+SUMIFS(BetTable[[AR_per_bookie]:[AR_per_bookie]],BetTable[[B3]:[B3]],$A88,BetTable[[Date]:[Date]], "&gt;="&amp;M$8,BetTable[[Date]:[Date]],"&lt;="&amp;EOMONTH(M$8,0))</f>
        <v>0</v>
      </c>
      <c r="N88" s="126">
        <f>SUMIFS(DWbonus[[Sum]:[Sum]],DWbonus[[Dato]:[Dato]], "&gt;="&amp;N$8,DWbonus[[Dato]:[Dato]],"&lt;="&amp;EOMONTH(N$8,0),DWbonus[[Bookie]:[Bookie]],$A88)+SUMIFS(LayTable[[Faktisk res]:[Faktisk res]],LayTable[[Dato]:[Dato]],"&gt;="&amp;N$8,LayTable[[Dato]:[Dato]],"&lt;="&amp;EOMONTH(N$8,0),LayTable[[Bookmaker]:[Bookmaker]],$A88)+SUMIFS(BetTable[[AR_per_bookie]:[AR_per_bookie]],BetTable[[B1]:[B1]],$A88,BetTable[[Date]:[Date]], "&gt;="&amp;N$8,BetTable[[Date]:[Date]],"&lt;="&amp;EOMONTH(N$8,0))+SUMIFS(BetTable[[AR_per_bookie]:[AR_per_bookie]],BetTable[[B2]:[B2]],$A88,BetTable[[Date]:[Date]], "&gt;="&amp;N$8,BetTable[[Date]:[Date]],"&lt;="&amp;EOMONTH(N$8,0))+SUMIFS(BetTable[[AR_per_bookie]:[AR_per_bookie]],BetTable[[B3]:[B3]],$A88,BetTable[[Date]:[Date]], "&gt;="&amp;N$8,BetTable[[Date]:[Date]],"&lt;="&amp;EOMONTH(N$8,0))</f>
        <v>0</v>
      </c>
      <c r="O88" s="126">
        <f>SUMIFS(DWbonus[[Sum]:[Sum]],DWbonus[[Dato]:[Dato]], "&gt;="&amp;O$8,DWbonus[[Dato]:[Dato]],"&lt;="&amp;EOMONTH(O$8,0),DWbonus[[Bookie]:[Bookie]],$A88)+SUMIFS(LayTable[[Faktisk res]:[Faktisk res]],LayTable[[Dato]:[Dato]],"&gt;="&amp;O$8,LayTable[[Dato]:[Dato]],"&lt;="&amp;EOMONTH(O$8,0),LayTable[[Bookmaker]:[Bookmaker]],$A88)+SUMIFS(BetTable[[AR_per_bookie]:[AR_per_bookie]],BetTable[[B1]:[B1]],$A88,BetTable[[Date]:[Date]], "&gt;="&amp;O$8,BetTable[[Date]:[Date]],"&lt;="&amp;EOMONTH(O$8,0))+SUMIFS(BetTable[[AR_per_bookie]:[AR_per_bookie]],BetTable[[B2]:[B2]],$A88,BetTable[[Date]:[Date]], "&gt;="&amp;O$8,BetTable[[Date]:[Date]],"&lt;="&amp;EOMONTH(O$8,0))+SUMIFS(BetTable[[AR_per_bookie]:[AR_per_bookie]],BetTable[[B3]:[B3]],$A88,BetTable[[Date]:[Date]], "&gt;="&amp;O$8,BetTable[[Date]:[Date]],"&lt;="&amp;EOMONTH(O$8,0))</f>
        <v>0</v>
      </c>
      <c r="P88" s="126">
        <f>SUMIFS(DWbonus[[Sum]:[Sum]],DWbonus[[Dato]:[Dato]], "&gt;="&amp;P$8,DWbonus[[Dato]:[Dato]],"&lt;="&amp;EOMONTH(P$8,0),DWbonus[[Bookie]:[Bookie]],$A88)+SUMIFS(LayTable[[Faktisk res]:[Faktisk res]],LayTable[[Dato]:[Dato]],"&gt;="&amp;P$8,LayTable[[Dato]:[Dato]],"&lt;="&amp;EOMONTH(P$8,0),LayTable[[Bookmaker]:[Bookmaker]],$A88)+SUMIFS(BetTable[[AR_per_bookie]:[AR_per_bookie]],BetTable[[B1]:[B1]],$A88,BetTable[[Date]:[Date]], "&gt;="&amp;P$8,BetTable[[Date]:[Date]],"&lt;="&amp;EOMONTH(P$8,0))+SUMIFS(BetTable[[AR_per_bookie]:[AR_per_bookie]],BetTable[[B2]:[B2]],$A88,BetTable[[Date]:[Date]], "&gt;="&amp;P$8,BetTable[[Date]:[Date]],"&lt;="&amp;EOMONTH(P$8,0))+SUMIFS(BetTable[[AR_per_bookie]:[AR_per_bookie]],BetTable[[B3]:[B3]],$A88,BetTable[[Date]:[Date]], "&gt;="&amp;P$8,BetTable[[Date]:[Date]],"&lt;="&amp;EOMONTH(P$8,0))</f>
        <v>0</v>
      </c>
      <c r="Q88" s="126">
        <f>SUMIFS(DWbonus[[Sum]:[Sum]],DWbonus[[Dato]:[Dato]], "&gt;="&amp;Q$8,DWbonus[[Dato]:[Dato]],"&lt;="&amp;EOMONTH(Q$8,0),DWbonus[[Bookie]:[Bookie]],$A88)+SUMIFS(LayTable[[Faktisk res]:[Faktisk res]],LayTable[[Dato]:[Dato]],"&gt;="&amp;Q$8,LayTable[[Dato]:[Dato]],"&lt;="&amp;EOMONTH(Q$8,0),LayTable[[Bookmaker]:[Bookmaker]],$A88)+SUMIFS(BetTable[[AR_per_bookie]:[AR_per_bookie]],BetTable[[B1]:[B1]],$A88,BetTable[[Date]:[Date]], "&gt;="&amp;Q$8,BetTable[[Date]:[Date]],"&lt;="&amp;EOMONTH(Q$8,0))+SUMIFS(BetTable[[AR_per_bookie]:[AR_per_bookie]],BetTable[[B2]:[B2]],$A88,BetTable[[Date]:[Date]], "&gt;="&amp;Q$8,BetTable[[Date]:[Date]],"&lt;="&amp;EOMONTH(Q$8,0))+SUMIFS(BetTable[[AR_per_bookie]:[AR_per_bookie]],BetTable[[B3]:[B3]],$A88,BetTable[[Date]:[Date]], "&gt;="&amp;Q$8,BetTable[[Date]:[Date]],"&lt;="&amp;EOMONTH(Q$8,0))</f>
        <v>0</v>
      </c>
      <c r="R88" s="126">
        <f>SUMIFS(DWbonus[[Sum]:[Sum]],DWbonus[[Dato]:[Dato]], "&gt;="&amp;R$8,DWbonus[[Dato]:[Dato]],"&lt;="&amp;EOMONTH(R$8,0),DWbonus[[Bookie]:[Bookie]],$A88)+SUMIFS(LayTable[[Faktisk res]:[Faktisk res]],LayTable[[Dato]:[Dato]],"&gt;="&amp;R$8,LayTable[[Dato]:[Dato]],"&lt;="&amp;EOMONTH(R$8,0),LayTable[[Bookmaker]:[Bookmaker]],$A88)+SUMIFS(BetTable[[AR_per_bookie]:[AR_per_bookie]],BetTable[[B1]:[B1]],$A88,BetTable[[Date]:[Date]], "&gt;="&amp;R$8,BetTable[[Date]:[Date]],"&lt;="&amp;EOMONTH(R$8,0))+SUMIFS(BetTable[[AR_per_bookie]:[AR_per_bookie]],BetTable[[B2]:[B2]],$A88,BetTable[[Date]:[Date]], "&gt;="&amp;R$8,BetTable[[Date]:[Date]],"&lt;="&amp;EOMONTH(R$8,0))+SUMIFS(BetTable[[AR_per_bookie]:[AR_per_bookie]],BetTable[[B3]:[B3]],$A88,BetTable[[Date]:[Date]], "&gt;="&amp;R$8,BetTable[[Date]:[Date]],"&lt;="&amp;EOMONTH(R$8,0))</f>
        <v>0</v>
      </c>
      <c r="S88" s="126">
        <f>SUMIFS(DWbonus[[Sum]:[Sum]],DWbonus[[Dato]:[Dato]], "&gt;="&amp;S$8,DWbonus[[Dato]:[Dato]],"&lt;="&amp;EOMONTH(S$8,0),DWbonus[[Bookie]:[Bookie]],$A88)+SUMIFS(LayTable[[Faktisk res]:[Faktisk res]],LayTable[[Dato]:[Dato]],"&gt;="&amp;S$8,LayTable[[Dato]:[Dato]],"&lt;="&amp;EOMONTH(S$8,0),LayTable[[Bookmaker]:[Bookmaker]],$A88)+SUMIFS(BetTable[[AR_per_bookie]:[AR_per_bookie]],BetTable[[B1]:[B1]],$A88,BetTable[[Date]:[Date]], "&gt;="&amp;S$8,BetTable[[Date]:[Date]],"&lt;="&amp;EOMONTH(S$8,0))+SUMIFS(BetTable[[AR_per_bookie]:[AR_per_bookie]],BetTable[[B2]:[B2]],$A88,BetTable[[Date]:[Date]], "&gt;="&amp;S$8,BetTable[[Date]:[Date]],"&lt;="&amp;EOMONTH(S$8,0))+SUMIFS(BetTable[[AR_per_bookie]:[AR_per_bookie]],BetTable[[B3]:[B3]],$A88,BetTable[[Date]:[Date]], "&gt;="&amp;S$8,BetTable[[Date]:[Date]],"&lt;="&amp;EOMONTH(S$8,0))</f>
        <v>0</v>
      </c>
    </row>
    <row r="89" spans="1:19">
      <c r="A89" s="115" t="str">
        <f>BookieNavn!I79</f>
        <v>LiComeOn</v>
      </c>
      <c r="B89" s="126">
        <f>SUMIF(Penger!D$1:D$50072,A89,Penger!F$1:F$50072)</f>
        <v>0</v>
      </c>
      <c r="C89" s="126">
        <f>SUMIF(Penger!T$1:T$50072,A89,Penger!U$1:U$50072)</f>
        <v>0</v>
      </c>
      <c r="D89" s="126">
        <f ca="1">SUMIF(Spill!C$1:C$499895,A89,Spill!T$1:T$49895)+C89</f>
        <v>0</v>
      </c>
      <c r="E89" s="126">
        <f>SUMIF(Spill!C$1:C$49895,A89,Spill!T$1:T$49895)</f>
        <v>0</v>
      </c>
      <c r="F89" s="121" t="e">
        <f t="shared" ca="1" si="2"/>
        <v>#DIV/0!</v>
      </c>
      <c r="H89" s="126">
        <f>SUMIFS(DWbonus[[Sum]:[Sum]],DWbonus[[Dato]:[Dato]], "&gt;="&amp;H$8,DWbonus[[Dato]:[Dato]],"&lt;="&amp;EOMONTH(H$8,0),DWbonus[[Bookie]:[Bookie]],$A89)+SUMIFS(LayTable[[Faktisk res]:[Faktisk res]],LayTable[[Dato]:[Dato]],"&gt;="&amp;H$8,LayTable[[Dato]:[Dato]],"&lt;="&amp;EOMONTH(H$8,0),LayTable[[Bookmaker]:[Bookmaker]],$A89)+SUMIFS(BetTable[[AR_per_bookie]:[AR_per_bookie]],BetTable[[B1]:[B1]],$A89,BetTable[[Date]:[Date]], "&gt;="&amp;H$8,BetTable[[Date]:[Date]],"&lt;="&amp;EOMONTH(H$8,0))+SUMIFS(BetTable[[AR_per_bookie]:[AR_per_bookie]],BetTable[[B2]:[B2]],$A89,BetTable[[Date]:[Date]], "&gt;="&amp;H$8,BetTable[[Date]:[Date]],"&lt;="&amp;EOMONTH(H$8,0))+SUMIFS(BetTable[[AR_per_bookie]:[AR_per_bookie]],BetTable[[B3]:[B3]],$A89,BetTable[[Date]:[Date]], "&gt;="&amp;H$8,BetTable[[Date]:[Date]],"&lt;="&amp;EOMONTH(H$8,0))</f>
        <v>0</v>
      </c>
      <c r="I89" s="126">
        <f>SUMIFS(DWbonus[[Sum]:[Sum]],DWbonus[[Dato]:[Dato]], "&gt;="&amp;I$8,DWbonus[[Dato]:[Dato]],"&lt;="&amp;EOMONTH(I$8,0),DWbonus[[Bookie]:[Bookie]],$A89)+SUMIFS(LayTable[[Faktisk res]:[Faktisk res]],LayTable[[Dato]:[Dato]],"&gt;="&amp;I$8,LayTable[[Dato]:[Dato]],"&lt;="&amp;EOMONTH(I$8,0),LayTable[[Bookmaker]:[Bookmaker]],$A89)+SUMIFS(BetTable[[AR_per_bookie]:[AR_per_bookie]],BetTable[[B1]:[B1]],$A89,BetTable[[Date]:[Date]], "&gt;="&amp;I$8,BetTable[[Date]:[Date]],"&lt;="&amp;EOMONTH(I$8,0))+SUMIFS(BetTable[[AR_per_bookie]:[AR_per_bookie]],BetTable[[B2]:[B2]],$A89,BetTable[[Date]:[Date]], "&gt;="&amp;I$8,BetTable[[Date]:[Date]],"&lt;="&amp;EOMONTH(I$8,0))+SUMIFS(BetTable[[AR_per_bookie]:[AR_per_bookie]],BetTable[[B3]:[B3]],$A89,BetTable[[Date]:[Date]], "&gt;="&amp;I$8,BetTable[[Date]:[Date]],"&lt;="&amp;EOMONTH(I$8,0))</f>
        <v>0</v>
      </c>
      <c r="J89" s="126">
        <f>SUMIFS(DWbonus[[Sum]:[Sum]],DWbonus[[Dato]:[Dato]], "&gt;="&amp;J$8,DWbonus[[Dato]:[Dato]],"&lt;="&amp;EOMONTH(J$8,0),DWbonus[[Bookie]:[Bookie]],$A89)+SUMIFS(LayTable[[Faktisk res]:[Faktisk res]],LayTable[[Dato]:[Dato]],"&gt;="&amp;J$8,LayTable[[Dato]:[Dato]],"&lt;="&amp;EOMONTH(J$8,0),LayTable[[Bookmaker]:[Bookmaker]],$A89)+SUMIFS(BetTable[[AR_per_bookie]:[AR_per_bookie]],BetTable[[B1]:[B1]],$A89,BetTable[[Date]:[Date]], "&gt;="&amp;J$8,BetTable[[Date]:[Date]],"&lt;="&amp;EOMONTH(J$8,0))+SUMIFS(BetTable[[AR_per_bookie]:[AR_per_bookie]],BetTable[[B2]:[B2]],$A89,BetTable[[Date]:[Date]], "&gt;="&amp;J$8,BetTable[[Date]:[Date]],"&lt;="&amp;EOMONTH(J$8,0))+SUMIFS(BetTable[[AR_per_bookie]:[AR_per_bookie]],BetTable[[B3]:[B3]],$A89,BetTable[[Date]:[Date]], "&gt;="&amp;J$8,BetTable[[Date]:[Date]],"&lt;="&amp;EOMONTH(J$8,0))</f>
        <v>0</v>
      </c>
      <c r="K89" s="126">
        <f>SUMIFS(DWbonus[[Sum]:[Sum]],DWbonus[[Dato]:[Dato]], "&gt;="&amp;K$8,DWbonus[[Dato]:[Dato]],"&lt;="&amp;EOMONTH(K$8,0),DWbonus[[Bookie]:[Bookie]],$A89)+SUMIFS(LayTable[[Faktisk res]:[Faktisk res]],LayTable[[Dato]:[Dato]],"&gt;="&amp;K$8,LayTable[[Dato]:[Dato]],"&lt;="&amp;EOMONTH(K$8,0),LayTable[[Bookmaker]:[Bookmaker]],$A89)+SUMIFS(BetTable[[AR_per_bookie]:[AR_per_bookie]],BetTable[[B1]:[B1]],$A89,BetTable[[Date]:[Date]], "&gt;="&amp;K$8,BetTable[[Date]:[Date]],"&lt;="&amp;EOMONTH(K$8,0))+SUMIFS(BetTable[[AR_per_bookie]:[AR_per_bookie]],BetTable[[B2]:[B2]],$A89,BetTable[[Date]:[Date]], "&gt;="&amp;K$8,BetTable[[Date]:[Date]],"&lt;="&amp;EOMONTH(K$8,0))+SUMIFS(BetTable[[AR_per_bookie]:[AR_per_bookie]],BetTable[[B3]:[B3]],$A89,BetTable[[Date]:[Date]], "&gt;="&amp;K$8,BetTable[[Date]:[Date]],"&lt;="&amp;EOMONTH(K$8,0))</f>
        <v>0</v>
      </c>
      <c r="L89" s="126">
        <f>SUMIFS(DWbonus[[Sum]:[Sum]],DWbonus[[Dato]:[Dato]], "&gt;="&amp;L$8,DWbonus[[Dato]:[Dato]],"&lt;="&amp;EOMONTH(L$8,0),DWbonus[[Bookie]:[Bookie]],$A89)+SUMIFS(LayTable[[Faktisk res]:[Faktisk res]],LayTable[[Dato]:[Dato]],"&gt;="&amp;L$8,LayTable[[Dato]:[Dato]],"&lt;="&amp;EOMONTH(L$8,0),LayTable[[Bookmaker]:[Bookmaker]],$A89)+SUMIFS(BetTable[[AR_per_bookie]:[AR_per_bookie]],BetTable[[B1]:[B1]],$A89,BetTable[[Date]:[Date]], "&gt;="&amp;L$8,BetTable[[Date]:[Date]],"&lt;="&amp;EOMONTH(L$8,0))+SUMIFS(BetTable[[AR_per_bookie]:[AR_per_bookie]],BetTable[[B2]:[B2]],$A89,BetTable[[Date]:[Date]], "&gt;="&amp;L$8,BetTable[[Date]:[Date]],"&lt;="&amp;EOMONTH(L$8,0))+SUMIFS(BetTable[[AR_per_bookie]:[AR_per_bookie]],BetTable[[B3]:[B3]],$A89,BetTable[[Date]:[Date]], "&gt;="&amp;L$8,BetTable[[Date]:[Date]],"&lt;="&amp;EOMONTH(L$8,0))</f>
        <v>0</v>
      </c>
      <c r="M89" s="126">
        <f>SUMIFS(DWbonus[[Sum]:[Sum]],DWbonus[[Dato]:[Dato]], "&gt;="&amp;M$8,DWbonus[[Dato]:[Dato]],"&lt;="&amp;EOMONTH(M$8,0),DWbonus[[Bookie]:[Bookie]],$A89)+SUMIFS(LayTable[[Faktisk res]:[Faktisk res]],LayTable[[Dato]:[Dato]],"&gt;="&amp;M$8,LayTable[[Dato]:[Dato]],"&lt;="&amp;EOMONTH(M$8,0),LayTable[[Bookmaker]:[Bookmaker]],$A89)+SUMIFS(BetTable[[AR_per_bookie]:[AR_per_bookie]],BetTable[[B1]:[B1]],$A89,BetTable[[Date]:[Date]], "&gt;="&amp;M$8,BetTable[[Date]:[Date]],"&lt;="&amp;EOMONTH(M$8,0))+SUMIFS(BetTable[[AR_per_bookie]:[AR_per_bookie]],BetTable[[B2]:[B2]],$A89,BetTable[[Date]:[Date]], "&gt;="&amp;M$8,BetTable[[Date]:[Date]],"&lt;="&amp;EOMONTH(M$8,0))+SUMIFS(BetTable[[AR_per_bookie]:[AR_per_bookie]],BetTable[[B3]:[B3]],$A89,BetTable[[Date]:[Date]], "&gt;="&amp;M$8,BetTable[[Date]:[Date]],"&lt;="&amp;EOMONTH(M$8,0))</f>
        <v>0</v>
      </c>
      <c r="N89" s="126">
        <f>SUMIFS(DWbonus[[Sum]:[Sum]],DWbonus[[Dato]:[Dato]], "&gt;="&amp;N$8,DWbonus[[Dato]:[Dato]],"&lt;="&amp;EOMONTH(N$8,0),DWbonus[[Bookie]:[Bookie]],$A89)+SUMIFS(LayTable[[Faktisk res]:[Faktisk res]],LayTable[[Dato]:[Dato]],"&gt;="&amp;N$8,LayTable[[Dato]:[Dato]],"&lt;="&amp;EOMONTH(N$8,0),LayTable[[Bookmaker]:[Bookmaker]],$A89)+SUMIFS(BetTable[[AR_per_bookie]:[AR_per_bookie]],BetTable[[B1]:[B1]],$A89,BetTable[[Date]:[Date]], "&gt;="&amp;N$8,BetTable[[Date]:[Date]],"&lt;="&amp;EOMONTH(N$8,0))+SUMIFS(BetTable[[AR_per_bookie]:[AR_per_bookie]],BetTable[[B2]:[B2]],$A89,BetTable[[Date]:[Date]], "&gt;="&amp;N$8,BetTable[[Date]:[Date]],"&lt;="&amp;EOMONTH(N$8,0))+SUMIFS(BetTable[[AR_per_bookie]:[AR_per_bookie]],BetTable[[B3]:[B3]],$A89,BetTable[[Date]:[Date]], "&gt;="&amp;N$8,BetTable[[Date]:[Date]],"&lt;="&amp;EOMONTH(N$8,0))</f>
        <v>0</v>
      </c>
      <c r="O89" s="126">
        <f>SUMIFS(DWbonus[[Sum]:[Sum]],DWbonus[[Dato]:[Dato]], "&gt;="&amp;O$8,DWbonus[[Dato]:[Dato]],"&lt;="&amp;EOMONTH(O$8,0),DWbonus[[Bookie]:[Bookie]],$A89)+SUMIFS(LayTable[[Faktisk res]:[Faktisk res]],LayTable[[Dato]:[Dato]],"&gt;="&amp;O$8,LayTable[[Dato]:[Dato]],"&lt;="&amp;EOMONTH(O$8,0),LayTable[[Bookmaker]:[Bookmaker]],$A89)+SUMIFS(BetTable[[AR_per_bookie]:[AR_per_bookie]],BetTable[[B1]:[B1]],$A89,BetTable[[Date]:[Date]], "&gt;="&amp;O$8,BetTable[[Date]:[Date]],"&lt;="&amp;EOMONTH(O$8,0))+SUMIFS(BetTable[[AR_per_bookie]:[AR_per_bookie]],BetTable[[B2]:[B2]],$A89,BetTable[[Date]:[Date]], "&gt;="&amp;O$8,BetTable[[Date]:[Date]],"&lt;="&amp;EOMONTH(O$8,0))+SUMIFS(BetTable[[AR_per_bookie]:[AR_per_bookie]],BetTable[[B3]:[B3]],$A89,BetTable[[Date]:[Date]], "&gt;="&amp;O$8,BetTable[[Date]:[Date]],"&lt;="&amp;EOMONTH(O$8,0))</f>
        <v>0</v>
      </c>
      <c r="P89" s="126">
        <f>SUMIFS(DWbonus[[Sum]:[Sum]],DWbonus[[Dato]:[Dato]], "&gt;="&amp;P$8,DWbonus[[Dato]:[Dato]],"&lt;="&amp;EOMONTH(P$8,0),DWbonus[[Bookie]:[Bookie]],$A89)+SUMIFS(LayTable[[Faktisk res]:[Faktisk res]],LayTable[[Dato]:[Dato]],"&gt;="&amp;P$8,LayTable[[Dato]:[Dato]],"&lt;="&amp;EOMONTH(P$8,0),LayTable[[Bookmaker]:[Bookmaker]],$A89)+SUMIFS(BetTable[[AR_per_bookie]:[AR_per_bookie]],BetTable[[B1]:[B1]],$A89,BetTable[[Date]:[Date]], "&gt;="&amp;P$8,BetTable[[Date]:[Date]],"&lt;="&amp;EOMONTH(P$8,0))+SUMIFS(BetTable[[AR_per_bookie]:[AR_per_bookie]],BetTable[[B2]:[B2]],$A89,BetTable[[Date]:[Date]], "&gt;="&amp;P$8,BetTable[[Date]:[Date]],"&lt;="&amp;EOMONTH(P$8,0))+SUMIFS(BetTable[[AR_per_bookie]:[AR_per_bookie]],BetTable[[B3]:[B3]],$A89,BetTable[[Date]:[Date]], "&gt;="&amp;P$8,BetTable[[Date]:[Date]],"&lt;="&amp;EOMONTH(P$8,0))</f>
        <v>0</v>
      </c>
      <c r="Q89" s="126">
        <f>SUMIFS(DWbonus[[Sum]:[Sum]],DWbonus[[Dato]:[Dato]], "&gt;="&amp;Q$8,DWbonus[[Dato]:[Dato]],"&lt;="&amp;EOMONTH(Q$8,0),DWbonus[[Bookie]:[Bookie]],$A89)+SUMIFS(LayTable[[Faktisk res]:[Faktisk res]],LayTable[[Dato]:[Dato]],"&gt;="&amp;Q$8,LayTable[[Dato]:[Dato]],"&lt;="&amp;EOMONTH(Q$8,0),LayTable[[Bookmaker]:[Bookmaker]],$A89)+SUMIFS(BetTable[[AR_per_bookie]:[AR_per_bookie]],BetTable[[B1]:[B1]],$A89,BetTable[[Date]:[Date]], "&gt;="&amp;Q$8,BetTable[[Date]:[Date]],"&lt;="&amp;EOMONTH(Q$8,0))+SUMIFS(BetTable[[AR_per_bookie]:[AR_per_bookie]],BetTable[[B2]:[B2]],$A89,BetTable[[Date]:[Date]], "&gt;="&amp;Q$8,BetTable[[Date]:[Date]],"&lt;="&amp;EOMONTH(Q$8,0))+SUMIFS(BetTable[[AR_per_bookie]:[AR_per_bookie]],BetTable[[B3]:[B3]],$A89,BetTable[[Date]:[Date]], "&gt;="&amp;Q$8,BetTable[[Date]:[Date]],"&lt;="&amp;EOMONTH(Q$8,0))</f>
        <v>0</v>
      </c>
      <c r="R89" s="126">
        <f>SUMIFS(DWbonus[[Sum]:[Sum]],DWbonus[[Dato]:[Dato]], "&gt;="&amp;R$8,DWbonus[[Dato]:[Dato]],"&lt;="&amp;EOMONTH(R$8,0),DWbonus[[Bookie]:[Bookie]],$A89)+SUMIFS(LayTable[[Faktisk res]:[Faktisk res]],LayTable[[Dato]:[Dato]],"&gt;="&amp;R$8,LayTable[[Dato]:[Dato]],"&lt;="&amp;EOMONTH(R$8,0),LayTable[[Bookmaker]:[Bookmaker]],$A89)+SUMIFS(BetTable[[AR_per_bookie]:[AR_per_bookie]],BetTable[[B1]:[B1]],$A89,BetTable[[Date]:[Date]], "&gt;="&amp;R$8,BetTable[[Date]:[Date]],"&lt;="&amp;EOMONTH(R$8,0))+SUMIFS(BetTable[[AR_per_bookie]:[AR_per_bookie]],BetTable[[B2]:[B2]],$A89,BetTable[[Date]:[Date]], "&gt;="&amp;R$8,BetTable[[Date]:[Date]],"&lt;="&amp;EOMONTH(R$8,0))+SUMIFS(BetTable[[AR_per_bookie]:[AR_per_bookie]],BetTable[[B3]:[B3]],$A89,BetTable[[Date]:[Date]], "&gt;="&amp;R$8,BetTable[[Date]:[Date]],"&lt;="&amp;EOMONTH(R$8,0))</f>
        <v>0</v>
      </c>
      <c r="S89" s="126">
        <f>SUMIFS(DWbonus[[Sum]:[Sum]],DWbonus[[Dato]:[Dato]], "&gt;="&amp;S$8,DWbonus[[Dato]:[Dato]],"&lt;="&amp;EOMONTH(S$8,0),DWbonus[[Bookie]:[Bookie]],$A89)+SUMIFS(LayTable[[Faktisk res]:[Faktisk res]],LayTable[[Dato]:[Dato]],"&gt;="&amp;S$8,LayTable[[Dato]:[Dato]],"&lt;="&amp;EOMONTH(S$8,0),LayTable[[Bookmaker]:[Bookmaker]],$A89)+SUMIFS(BetTable[[AR_per_bookie]:[AR_per_bookie]],BetTable[[B1]:[B1]],$A89,BetTable[[Date]:[Date]], "&gt;="&amp;S$8,BetTable[[Date]:[Date]],"&lt;="&amp;EOMONTH(S$8,0))+SUMIFS(BetTable[[AR_per_bookie]:[AR_per_bookie]],BetTable[[B2]:[B2]],$A89,BetTable[[Date]:[Date]], "&gt;="&amp;S$8,BetTable[[Date]:[Date]],"&lt;="&amp;EOMONTH(S$8,0))+SUMIFS(BetTable[[AR_per_bookie]:[AR_per_bookie]],BetTable[[B3]:[B3]],$A89,BetTable[[Date]:[Date]], "&gt;="&amp;S$8,BetTable[[Date]:[Date]],"&lt;="&amp;EOMONTH(S$8,0))</f>
        <v>0</v>
      </c>
    </row>
    <row r="90" spans="1:19">
      <c r="A90" s="115" t="str">
        <f>BookieNavn!I80</f>
        <v>LiRizk</v>
      </c>
      <c r="B90" s="126">
        <f>SUMIF(Penger!D$1:D$50072,A90,Penger!F$1:F$50072)</f>
        <v>0</v>
      </c>
      <c r="C90" s="126">
        <f>SUMIF(Penger!T$1:T$50072,A90,Penger!U$1:U$50072)</f>
        <v>0</v>
      </c>
      <c r="D90" s="126">
        <f ca="1">SUMIF(Spill!C$1:C$499895,A90,Spill!T$1:T$49895)+C90</f>
        <v>0</v>
      </c>
      <c r="E90" s="126">
        <f>SUMIF(Spill!C$1:C$49895,A90,Spill!T$1:T$49895)</f>
        <v>0</v>
      </c>
      <c r="F90" s="121" t="e">
        <f t="shared" ca="1" si="2"/>
        <v>#DIV/0!</v>
      </c>
      <c r="H90" s="126">
        <f>SUMIFS(DWbonus[[Sum]:[Sum]],DWbonus[[Dato]:[Dato]], "&gt;="&amp;H$8,DWbonus[[Dato]:[Dato]],"&lt;="&amp;EOMONTH(H$8,0),DWbonus[[Bookie]:[Bookie]],$A90)+SUMIFS(LayTable[[Faktisk res]:[Faktisk res]],LayTable[[Dato]:[Dato]],"&gt;="&amp;H$8,LayTable[[Dato]:[Dato]],"&lt;="&amp;EOMONTH(H$8,0),LayTable[[Bookmaker]:[Bookmaker]],$A90)+SUMIFS(BetTable[[AR_per_bookie]:[AR_per_bookie]],BetTable[[B1]:[B1]],$A90,BetTable[[Date]:[Date]], "&gt;="&amp;H$8,BetTable[[Date]:[Date]],"&lt;="&amp;EOMONTH(H$8,0))+SUMIFS(BetTable[[AR_per_bookie]:[AR_per_bookie]],BetTable[[B2]:[B2]],$A90,BetTable[[Date]:[Date]], "&gt;="&amp;H$8,BetTable[[Date]:[Date]],"&lt;="&amp;EOMONTH(H$8,0))+SUMIFS(BetTable[[AR_per_bookie]:[AR_per_bookie]],BetTable[[B3]:[B3]],$A90,BetTable[[Date]:[Date]], "&gt;="&amp;H$8,BetTable[[Date]:[Date]],"&lt;="&amp;EOMONTH(H$8,0))</f>
        <v>0</v>
      </c>
      <c r="I90" s="126">
        <f>SUMIFS(DWbonus[[Sum]:[Sum]],DWbonus[[Dato]:[Dato]], "&gt;="&amp;I$8,DWbonus[[Dato]:[Dato]],"&lt;="&amp;EOMONTH(I$8,0),DWbonus[[Bookie]:[Bookie]],$A90)+SUMIFS(LayTable[[Faktisk res]:[Faktisk res]],LayTable[[Dato]:[Dato]],"&gt;="&amp;I$8,LayTable[[Dato]:[Dato]],"&lt;="&amp;EOMONTH(I$8,0),LayTable[[Bookmaker]:[Bookmaker]],$A90)+SUMIFS(BetTable[[AR_per_bookie]:[AR_per_bookie]],BetTable[[B1]:[B1]],$A90,BetTable[[Date]:[Date]], "&gt;="&amp;I$8,BetTable[[Date]:[Date]],"&lt;="&amp;EOMONTH(I$8,0))+SUMIFS(BetTable[[AR_per_bookie]:[AR_per_bookie]],BetTable[[B2]:[B2]],$A90,BetTable[[Date]:[Date]], "&gt;="&amp;I$8,BetTable[[Date]:[Date]],"&lt;="&amp;EOMONTH(I$8,0))+SUMIFS(BetTable[[AR_per_bookie]:[AR_per_bookie]],BetTable[[B3]:[B3]],$A90,BetTable[[Date]:[Date]], "&gt;="&amp;I$8,BetTable[[Date]:[Date]],"&lt;="&amp;EOMONTH(I$8,0))</f>
        <v>0</v>
      </c>
      <c r="J90" s="126">
        <f>SUMIFS(DWbonus[[Sum]:[Sum]],DWbonus[[Dato]:[Dato]], "&gt;="&amp;J$8,DWbonus[[Dato]:[Dato]],"&lt;="&amp;EOMONTH(J$8,0),DWbonus[[Bookie]:[Bookie]],$A90)+SUMIFS(LayTable[[Faktisk res]:[Faktisk res]],LayTable[[Dato]:[Dato]],"&gt;="&amp;J$8,LayTable[[Dato]:[Dato]],"&lt;="&amp;EOMONTH(J$8,0),LayTable[[Bookmaker]:[Bookmaker]],$A90)+SUMIFS(BetTable[[AR_per_bookie]:[AR_per_bookie]],BetTable[[B1]:[B1]],$A90,BetTable[[Date]:[Date]], "&gt;="&amp;J$8,BetTable[[Date]:[Date]],"&lt;="&amp;EOMONTH(J$8,0))+SUMIFS(BetTable[[AR_per_bookie]:[AR_per_bookie]],BetTable[[B2]:[B2]],$A90,BetTable[[Date]:[Date]], "&gt;="&amp;J$8,BetTable[[Date]:[Date]],"&lt;="&amp;EOMONTH(J$8,0))+SUMIFS(BetTable[[AR_per_bookie]:[AR_per_bookie]],BetTable[[B3]:[B3]],$A90,BetTable[[Date]:[Date]], "&gt;="&amp;J$8,BetTable[[Date]:[Date]],"&lt;="&amp;EOMONTH(J$8,0))</f>
        <v>0</v>
      </c>
      <c r="K90" s="126">
        <f>SUMIFS(DWbonus[[Sum]:[Sum]],DWbonus[[Dato]:[Dato]], "&gt;="&amp;K$8,DWbonus[[Dato]:[Dato]],"&lt;="&amp;EOMONTH(K$8,0),DWbonus[[Bookie]:[Bookie]],$A90)+SUMIFS(LayTable[[Faktisk res]:[Faktisk res]],LayTable[[Dato]:[Dato]],"&gt;="&amp;K$8,LayTable[[Dato]:[Dato]],"&lt;="&amp;EOMONTH(K$8,0),LayTable[[Bookmaker]:[Bookmaker]],$A90)+SUMIFS(BetTable[[AR_per_bookie]:[AR_per_bookie]],BetTable[[B1]:[B1]],$A90,BetTable[[Date]:[Date]], "&gt;="&amp;K$8,BetTable[[Date]:[Date]],"&lt;="&amp;EOMONTH(K$8,0))+SUMIFS(BetTable[[AR_per_bookie]:[AR_per_bookie]],BetTable[[B2]:[B2]],$A90,BetTable[[Date]:[Date]], "&gt;="&amp;K$8,BetTable[[Date]:[Date]],"&lt;="&amp;EOMONTH(K$8,0))+SUMIFS(BetTable[[AR_per_bookie]:[AR_per_bookie]],BetTable[[B3]:[B3]],$A90,BetTable[[Date]:[Date]], "&gt;="&amp;K$8,BetTable[[Date]:[Date]],"&lt;="&amp;EOMONTH(K$8,0))</f>
        <v>0</v>
      </c>
      <c r="L90" s="126">
        <f>SUMIFS(DWbonus[[Sum]:[Sum]],DWbonus[[Dato]:[Dato]], "&gt;="&amp;L$8,DWbonus[[Dato]:[Dato]],"&lt;="&amp;EOMONTH(L$8,0),DWbonus[[Bookie]:[Bookie]],$A90)+SUMIFS(LayTable[[Faktisk res]:[Faktisk res]],LayTable[[Dato]:[Dato]],"&gt;="&amp;L$8,LayTable[[Dato]:[Dato]],"&lt;="&amp;EOMONTH(L$8,0),LayTable[[Bookmaker]:[Bookmaker]],$A90)+SUMIFS(BetTable[[AR_per_bookie]:[AR_per_bookie]],BetTable[[B1]:[B1]],$A90,BetTable[[Date]:[Date]], "&gt;="&amp;L$8,BetTable[[Date]:[Date]],"&lt;="&amp;EOMONTH(L$8,0))+SUMIFS(BetTable[[AR_per_bookie]:[AR_per_bookie]],BetTable[[B2]:[B2]],$A90,BetTable[[Date]:[Date]], "&gt;="&amp;L$8,BetTable[[Date]:[Date]],"&lt;="&amp;EOMONTH(L$8,0))+SUMIFS(BetTable[[AR_per_bookie]:[AR_per_bookie]],BetTable[[B3]:[B3]],$A90,BetTable[[Date]:[Date]], "&gt;="&amp;L$8,BetTable[[Date]:[Date]],"&lt;="&amp;EOMONTH(L$8,0))</f>
        <v>0</v>
      </c>
      <c r="M90" s="126">
        <f>SUMIFS(DWbonus[[Sum]:[Sum]],DWbonus[[Dato]:[Dato]], "&gt;="&amp;M$8,DWbonus[[Dato]:[Dato]],"&lt;="&amp;EOMONTH(M$8,0),DWbonus[[Bookie]:[Bookie]],$A90)+SUMIFS(LayTable[[Faktisk res]:[Faktisk res]],LayTable[[Dato]:[Dato]],"&gt;="&amp;M$8,LayTable[[Dato]:[Dato]],"&lt;="&amp;EOMONTH(M$8,0),LayTable[[Bookmaker]:[Bookmaker]],$A90)+SUMIFS(BetTable[[AR_per_bookie]:[AR_per_bookie]],BetTable[[B1]:[B1]],$A90,BetTable[[Date]:[Date]], "&gt;="&amp;M$8,BetTable[[Date]:[Date]],"&lt;="&amp;EOMONTH(M$8,0))+SUMIFS(BetTable[[AR_per_bookie]:[AR_per_bookie]],BetTable[[B2]:[B2]],$A90,BetTable[[Date]:[Date]], "&gt;="&amp;M$8,BetTable[[Date]:[Date]],"&lt;="&amp;EOMONTH(M$8,0))+SUMIFS(BetTable[[AR_per_bookie]:[AR_per_bookie]],BetTable[[B3]:[B3]],$A90,BetTable[[Date]:[Date]], "&gt;="&amp;M$8,BetTable[[Date]:[Date]],"&lt;="&amp;EOMONTH(M$8,0))</f>
        <v>0</v>
      </c>
      <c r="N90" s="126">
        <f>SUMIFS(DWbonus[[Sum]:[Sum]],DWbonus[[Dato]:[Dato]], "&gt;="&amp;N$8,DWbonus[[Dato]:[Dato]],"&lt;="&amp;EOMONTH(N$8,0),DWbonus[[Bookie]:[Bookie]],$A90)+SUMIFS(LayTable[[Faktisk res]:[Faktisk res]],LayTable[[Dato]:[Dato]],"&gt;="&amp;N$8,LayTable[[Dato]:[Dato]],"&lt;="&amp;EOMONTH(N$8,0),LayTable[[Bookmaker]:[Bookmaker]],$A90)+SUMIFS(BetTable[[AR_per_bookie]:[AR_per_bookie]],BetTable[[B1]:[B1]],$A90,BetTable[[Date]:[Date]], "&gt;="&amp;N$8,BetTable[[Date]:[Date]],"&lt;="&amp;EOMONTH(N$8,0))+SUMIFS(BetTable[[AR_per_bookie]:[AR_per_bookie]],BetTable[[B2]:[B2]],$A90,BetTable[[Date]:[Date]], "&gt;="&amp;N$8,BetTable[[Date]:[Date]],"&lt;="&amp;EOMONTH(N$8,0))+SUMIFS(BetTable[[AR_per_bookie]:[AR_per_bookie]],BetTable[[B3]:[B3]],$A90,BetTable[[Date]:[Date]], "&gt;="&amp;N$8,BetTable[[Date]:[Date]],"&lt;="&amp;EOMONTH(N$8,0))</f>
        <v>0</v>
      </c>
      <c r="O90" s="126">
        <f>SUMIFS(DWbonus[[Sum]:[Sum]],DWbonus[[Dato]:[Dato]], "&gt;="&amp;O$8,DWbonus[[Dato]:[Dato]],"&lt;="&amp;EOMONTH(O$8,0),DWbonus[[Bookie]:[Bookie]],$A90)+SUMIFS(LayTable[[Faktisk res]:[Faktisk res]],LayTable[[Dato]:[Dato]],"&gt;="&amp;O$8,LayTable[[Dato]:[Dato]],"&lt;="&amp;EOMONTH(O$8,0),LayTable[[Bookmaker]:[Bookmaker]],$A90)+SUMIFS(BetTable[[AR_per_bookie]:[AR_per_bookie]],BetTable[[B1]:[B1]],$A90,BetTable[[Date]:[Date]], "&gt;="&amp;O$8,BetTable[[Date]:[Date]],"&lt;="&amp;EOMONTH(O$8,0))+SUMIFS(BetTable[[AR_per_bookie]:[AR_per_bookie]],BetTable[[B2]:[B2]],$A90,BetTable[[Date]:[Date]], "&gt;="&amp;O$8,BetTable[[Date]:[Date]],"&lt;="&amp;EOMONTH(O$8,0))+SUMIFS(BetTable[[AR_per_bookie]:[AR_per_bookie]],BetTable[[B3]:[B3]],$A90,BetTable[[Date]:[Date]], "&gt;="&amp;O$8,BetTable[[Date]:[Date]],"&lt;="&amp;EOMONTH(O$8,0))</f>
        <v>0</v>
      </c>
      <c r="P90" s="126">
        <f>SUMIFS(DWbonus[[Sum]:[Sum]],DWbonus[[Dato]:[Dato]], "&gt;="&amp;P$8,DWbonus[[Dato]:[Dato]],"&lt;="&amp;EOMONTH(P$8,0),DWbonus[[Bookie]:[Bookie]],$A90)+SUMIFS(LayTable[[Faktisk res]:[Faktisk res]],LayTable[[Dato]:[Dato]],"&gt;="&amp;P$8,LayTable[[Dato]:[Dato]],"&lt;="&amp;EOMONTH(P$8,0),LayTable[[Bookmaker]:[Bookmaker]],$A90)+SUMIFS(BetTable[[AR_per_bookie]:[AR_per_bookie]],BetTable[[B1]:[B1]],$A90,BetTable[[Date]:[Date]], "&gt;="&amp;P$8,BetTable[[Date]:[Date]],"&lt;="&amp;EOMONTH(P$8,0))+SUMIFS(BetTable[[AR_per_bookie]:[AR_per_bookie]],BetTable[[B2]:[B2]],$A90,BetTable[[Date]:[Date]], "&gt;="&amp;P$8,BetTable[[Date]:[Date]],"&lt;="&amp;EOMONTH(P$8,0))+SUMIFS(BetTable[[AR_per_bookie]:[AR_per_bookie]],BetTable[[B3]:[B3]],$A90,BetTable[[Date]:[Date]], "&gt;="&amp;P$8,BetTable[[Date]:[Date]],"&lt;="&amp;EOMONTH(P$8,0))</f>
        <v>0</v>
      </c>
      <c r="Q90" s="126">
        <f>SUMIFS(DWbonus[[Sum]:[Sum]],DWbonus[[Dato]:[Dato]], "&gt;="&amp;Q$8,DWbonus[[Dato]:[Dato]],"&lt;="&amp;EOMONTH(Q$8,0),DWbonus[[Bookie]:[Bookie]],$A90)+SUMIFS(LayTable[[Faktisk res]:[Faktisk res]],LayTable[[Dato]:[Dato]],"&gt;="&amp;Q$8,LayTable[[Dato]:[Dato]],"&lt;="&amp;EOMONTH(Q$8,0),LayTable[[Bookmaker]:[Bookmaker]],$A90)+SUMIFS(BetTable[[AR_per_bookie]:[AR_per_bookie]],BetTable[[B1]:[B1]],$A90,BetTable[[Date]:[Date]], "&gt;="&amp;Q$8,BetTable[[Date]:[Date]],"&lt;="&amp;EOMONTH(Q$8,0))+SUMIFS(BetTable[[AR_per_bookie]:[AR_per_bookie]],BetTable[[B2]:[B2]],$A90,BetTable[[Date]:[Date]], "&gt;="&amp;Q$8,BetTable[[Date]:[Date]],"&lt;="&amp;EOMONTH(Q$8,0))+SUMIFS(BetTable[[AR_per_bookie]:[AR_per_bookie]],BetTable[[B3]:[B3]],$A90,BetTable[[Date]:[Date]], "&gt;="&amp;Q$8,BetTable[[Date]:[Date]],"&lt;="&amp;EOMONTH(Q$8,0))</f>
        <v>0</v>
      </c>
      <c r="R90" s="126">
        <f>SUMIFS(DWbonus[[Sum]:[Sum]],DWbonus[[Dato]:[Dato]], "&gt;="&amp;R$8,DWbonus[[Dato]:[Dato]],"&lt;="&amp;EOMONTH(R$8,0),DWbonus[[Bookie]:[Bookie]],$A90)+SUMIFS(LayTable[[Faktisk res]:[Faktisk res]],LayTable[[Dato]:[Dato]],"&gt;="&amp;R$8,LayTable[[Dato]:[Dato]],"&lt;="&amp;EOMONTH(R$8,0),LayTable[[Bookmaker]:[Bookmaker]],$A90)+SUMIFS(BetTable[[AR_per_bookie]:[AR_per_bookie]],BetTable[[B1]:[B1]],$A90,BetTable[[Date]:[Date]], "&gt;="&amp;R$8,BetTable[[Date]:[Date]],"&lt;="&amp;EOMONTH(R$8,0))+SUMIFS(BetTable[[AR_per_bookie]:[AR_per_bookie]],BetTable[[B2]:[B2]],$A90,BetTable[[Date]:[Date]], "&gt;="&amp;R$8,BetTable[[Date]:[Date]],"&lt;="&amp;EOMONTH(R$8,0))+SUMIFS(BetTable[[AR_per_bookie]:[AR_per_bookie]],BetTable[[B3]:[B3]],$A90,BetTable[[Date]:[Date]], "&gt;="&amp;R$8,BetTable[[Date]:[Date]],"&lt;="&amp;EOMONTH(R$8,0))</f>
        <v>0</v>
      </c>
      <c r="S90" s="126">
        <f>SUMIFS(DWbonus[[Sum]:[Sum]],DWbonus[[Dato]:[Dato]], "&gt;="&amp;S$8,DWbonus[[Dato]:[Dato]],"&lt;="&amp;EOMONTH(S$8,0),DWbonus[[Bookie]:[Bookie]],$A90)+SUMIFS(LayTable[[Faktisk res]:[Faktisk res]],LayTable[[Dato]:[Dato]],"&gt;="&amp;S$8,LayTable[[Dato]:[Dato]],"&lt;="&amp;EOMONTH(S$8,0),LayTable[[Bookmaker]:[Bookmaker]],$A90)+SUMIFS(BetTable[[AR_per_bookie]:[AR_per_bookie]],BetTable[[B1]:[B1]],$A90,BetTable[[Date]:[Date]], "&gt;="&amp;S$8,BetTable[[Date]:[Date]],"&lt;="&amp;EOMONTH(S$8,0))+SUMIFS(BetTable[[AR_per_bookie]:[AR_per_bookie]],BetTable[[B2]:[B2]],$A90,BetTable[[Date]:[Date]], "&gt;="&amp;S$8,BetTable[[Date]:[Date]],"&lt;="&amp;EOMONTH(S$8,0))+SUMIFS(BetTable[[AR_per_bookie]:[AR_per_bookie]],BetTable[[B3]:[B3]],$A90,BetTable[[Date]:[Date]], "&gt;="&amp;S$8,BetTable[[Date]:[Date]],"&lt;="&amp;EOMONTH(S$8,0))</f>
        <v>0</v>
      </c>
    </row>
    <row r="91" spans="1:19">
      <c r="A91" s="115" t="str">
        <f>BookieNavn!I81</f>
        <v>LiBet90</v>
      </c>
      <c r="B91" s="126">
        <f>SUMIF(Penger!D$1:D$50072,A91,Penger!F$1:F$50072)</f>
        <v>0</v>
      </c>
      <c r="C91" s="126">
        <f>SUMIF(Penger!T$1:T$50072,A91,Penger!U$1:U$50072)</f>
        <v>0</v>
      </c>
      <c r="D91" s="126">
        <f ca="1">SUMIF(Spill!C$1:C$499895,A91,Spill!T$1:T$49895)+C91</f>
        <v>0</v>
      </c>
      <c r="E91" s="126">
        <f>SUMIF(Spill!C$1:C$49895,A91,Spill!T$1:T$49895)</f>
        <v>0</v>
      </c>
      <c r="F91" s="121" t="e">
        <f t="shared" ca="1" si="2"/>
        <v>#DIV/0!</v>
      </c>
      <c r="H91" s="126">
        <f>SUMIFS(DWbonus[[Sum]:[Sum]],DWbonus[[Dato]:[Dato]], "&gt;="&amp;H$8,DWbonus[[Dato]:[Dato]],"&lt;="&amp;EOMONTH(H$8,0),DWbonus[[Bookie]:[Bookie]],$A91)+SUMIFS(LayTable[[Faktisk res]:[Faktisk res]],LayTable[[Dato]:[Dato]],"&gt;="&amp;H$8,LayTable[[Dato]:[Dato]],"&lt;="&amp;EOMONTH(H$8,0),LayTable[[Bookmaker]:[Bookmaker]],$A91)+SUMIFS(BetTable[[AR_per_bookie]:[AR_per_bookie]],BetTable[[B1]:[B1]],$A91,BetTable[[Date]:[Date]], "&gt;="&amp;H$8,BetTable[[Date]:[Date]],"&lt;="&amp;EOMONTH(H$8,0))+SUMIFS(BetTable[[AR_per_bookie]:[AR_per_bookie]],BetTable[[B2]:[B2]],$A91,BetTable[[Date]:[Date]], "&gt;="&amp;H$8,BetTable[[Date]:[Date]],"&lt;="&amp;EOMONTH(H$8,0))+SUMIFS(BetTable[[AR_per_bookie]:[AR_per_bookie]],BetTable[[B3]:[B3]],$A91,BetTable[[Date]:[Date]], "&gt;="&amp;H$8,BetTable[[Date]:[Date]],"&lt;="&amp;EOMONTH(H$8,0))</f>
        <v>0</v>
      </c>
      <c r="I91" s="126">
        <f>SUMIFS(DWbonus[[Sum]:[Sum]],DWbonus[[Dato]:[Dato]], "&gt;="&amp;I$8,DWbonus[[Dato]:[Dato]],"&lt;="&amp;EOMONTH(I$8,0),DWbonus[[Bookie]:[Bookie]],$A91)+SUMIFS(LayTable[[Faktisk res]:[Faktisk res]],LayTable[[Dato]:[Dato]],"&gt;="&amp;I$8,LayTable[[Dato]:[Dato]],"&lt;="&amp;EOMONTH(I$8,0),LayTable[[Bookmaker]:[Bookmaker]],$A91)+SUMIFS(BetTable[[AR_per_bookie]:[AR_per_bookie]],BetTable[[B1]:[B1]],$A91,BetTable[[Date]:[Date]], "&gt;="&amp;I$8,BetTable[[Date]:[Date]],"&lt;="&amp;EOMONTH(I$8,0))+SUMIFS(BetTable[[AR_per_bookie]:[AR_per_bookie]],BetTable[[B2]:[B2]],$A91,BetTable[[Date]:[Date]], "&gt;="&amp;I$8,BetTable[[Date]:[Date]],"&lt;="&amp;EOMONTH(I$8,0))+SUMIFS(BetTable[[AR_per_bookie]:[AR_per_bookie]],BetTable[[B3]:[B3]],$A91,BetTable[[Date]:[Date]], "&gt;="&amp;I$8,BetTable[[Date]:[Date]],"&lt;="&amp;EOMONTH(I$8,0))</f>
        <v>0</v>
      </c>
      <c r="J91" s="126">
        <f>SUMIFS(DWbonus[[Sum]:[Sum]],DWbonus[[Dato]:[Dato]], "&gt;="&amp;J$8,DWbonus[[Dato]:[Dato]],"&lt;="&amp;EOMONTH(J$8,0),DWbonus[[Bookie]:[Bookie]],$A91)+SUMIFS(LayTable[[Faktisk res]:[Faktisk res]],LayTable[[Dato]:[Dato]],"&gt;="&amp;J$8,LayTable[[Dato]:[Dato]],"&lt;="&amp;EOMONTH(J$8,0),LayTable[[Bookmaker]:[Bookmaker]],$A91)+SUMIFS(BetTable[[AR_per_bookie]:[AR_per_bookie]],BetTable[[B1]:[B1]],$A91,BetTable[[Date]:[Date]], "&gt;="&amp;J$8,BetTable[[Date]:[Date]],"&lt;="&amp;EOMONTH(J$8,0))+SUMIFS(BetTable[[AR_per_bookie]:[AR_per_bookie]],BetTable[[B2]:[B2]],$A91,BetTable[[Date]:[Date]], "&gt;="&amp;J$8,BetTable[[Date]:[Date]],"&lt;="&amp;EOMONTH(J$8,0))+SUMIFS(BetTable[[AR_per_bookie]:[AR_per_bookie]],BetTable[[B3]:[B3]],$A91,BetTable[[Date]:[Date]], "&gt;="&amp;J$8,BetTable[[Date]:[Date]],"&lt;="&amp;EOMONTH(J$8,0))</f>
        <v>0</v>
      </c>
      <c r="K91" s="126">
        <f>SUMIFS(DWbonus[[Sum]:[Sum]],DWbonus[[Dato]:[Dato]], "&gt;="&amp;K$8,DWbonus[[Dato]:[Dato]],"&lt;="&amp;EOMONTH(K$8,0),DWbonus[[Bookie]:[Bookie]],$A91)+SUMIFS(LayTable[[Faktisk res]:[Faktisk res]],LayTable[[Dato]:[Dato]],"&gt;="&amp;K$8,LayTable[[Dato]:[Dato]],"&lt;="&amp;EOMONTH(K$8,0),LayTable[[Bookmaker]:[Bookmaker]],$A91)+SUMIFS(BetTable[[AR_per_bookie]:[AR_per_bookie]],BetTable[[B1]:[B1]],$A91,BetTable[[Date]:[Date]], "&gt;="&amp;K$8,BetTable[[Date]:[Date]],"&lt;="&amp;EOMONTH(K$8,0))+SUMIFS(BetTable[[AR_per_bookie]:[AR_per_bookie]],BetTable[[B2]:[B2]],$A91,BetTable[[Date]:[Date]], "&gt;="&amp;K$8,BetTable[[Date]:[Date]],"&lt;="&amp;EOMONTH(K$8,0))+SUMIFS(BetTable[[AR_per_bookie]:[AR_per_bookie]],BetTable[[B3]:[B3]],$A91,BetTable[[Date]:[Date]], "&gt;="&amp;K$8,BetTable[[Date]:[Date]],"&lt;="&amp;EOMONTH(K$8,0))</f>
        <v>0</v>
      </c>
      <c r="L91" s="126">
        <f>SUMIFS(DWbonus[[Sum]:[Sum]],DWbonus[[Dato]:[Dato]], "&gt;="&amp;L$8,DWbonus[[Dato]:[Dato]],"&lt;="&amp;EOMONTH(L$8,0),DWbonus[[Bookie]:[Bookie]],$A91)+SUMIFS(LayTable[[Faktisk res]:[Faktisk res]],LayTable[[Dato]:[Dato]],"&gt;="&amp;L$8,LayTable[[Dato]:[Dato]],"&lt;="&amp;EOMONTH(L$8,0),LayTable[[Bookmaker]:[Bookmaker]],$A91)+SUMIFS(BetTable[[AR_per_bookie]:[AR_per_bookie]],BetTable[[B1]:[B1]],$A91,BetTable[[Date]:[Date]], "&gt;="&amp;L$8,BetTable[[Date]:[Date]],"&lt;="&amp;EOMONTH(L$8,0))+SUMIFS(BetTable[[AR_per_bookie]:[AR_per_bookie]],BetTable[[B2]:[B2]],$A91,BetTable[[Date]:[Date]], "&gt;="&amp;L$8,BetTable[[Date]:[Date]],"&lt;="&amp;EOMONTH(L$8,0))+SUMIFS(BetTable[[AR_per_bookie]:[AR_per_bookie]],BetTable[[B3]:[B3]],$A91,BetTable[[Date]:[Date]], "&gt;="&amp;L$8,BetTable[[Date]:[Date]],"&lt;="&amp;EOMONTH(L$8,0))</f>
        <v>0</v>
      </c>
      <c r="M91" s="126">
        <f>SUMIFS(DWbonus[[Sum]:[Sum]],DWbonus[[Dato]:[Dato]], "&gt;="&amp;M$8,DWbonus[[Dato]:[Dato]],"&lt;="&amp;EOMONTH(M$8,0),DWbonus[[Bookie]:[Bookie]],$A91)+SUMIFS(LayTable[[Faktisk res]:[Faktisk res]],LayTable[[Dato]:[Dato]],"&gt;="&amp;M$8,LayTable[[Dato]:[Dato]],"&lt;="&amp;EOMONTH(M$8,0),LayTable[[Bookmaker]:[Bookmaker]],$A91)+SUMIFS(BetTable[[AR_per_bookie]:[AR_per_bookie]],BetTable[[B1]:[B1]],$A91,BetTable[[Date]:[Date]], "&gt;="&amp;M$8,BetTable[[Date]:[Date]],"&lt;="&amp;EOMONTH(M$8,0))+SUMIFS(BetTable[[AR_per_bookie]:[AR_per_bookie]],BetTable[[B2]:[B2]],$A91,BetTable[[Date]:[Date]], "&gt;="&amp;M$8,BetTable[[Date]:[Date]],"&lt;="&amp;EOMONTH(M$8,0))+SUMIFS(BetTable[[AR_per_bookie]:[AR_per_bookie]],BetTable[[B3]:[B3]],$A91,BetTable[[Date]:[Date]], "&gt;="&amp;M$8,BetTable[[Date]:[Date]],"&lt;="&amp;EOMONTH(M$8,0))</f>
        <v>0</v>
      </c>
      <c r="N91" s="126">
        <f>SUMIFS(DWbonus[[Sum]:[Sum]],DWbonus[[Dato]:[Dato]], "&gt;="&amp;N$8,DWbonus[[Dato]:[Dato]],"&lt;="&amp;EOMONTH(N$8,0),DWbonus[[Bookie]:[Bookie]],$A91)+SUMIFS(LayTable[[Faktisk res]:[Faktisk res]],LayTable[[Dato]:[Dato]],"&gt;="&amp;N$8,LayTable[[Dato]:[Dato]],"&lt;="&amp;EOMONTH(N$8,0),LayTable[[Bookmaker]:[Bookmaker]],$A91)+SUMIFS(BetTable[[AR_per_bookie]:[AR_per_bookie]],BetTable[[B1]:[B1]],$A91,BetTable[[Date]:[Date]], "&gt;="&amp;N$8,BetTable[[Date]:[Date]],"&lt;="&amp;EOMONTH(N$8,0))+SUMIFS(BetTable[[AR_per_bookie]:[AR_per_bookie]],BetTable[[B2]:[B2]],$A91,BetTable[[Date]:[Date]], "&gt;="&amp;N$8,BetTable[[Date]:[Date]],"&lt;="&amp;EOMONTH(N$8,0))+SUMIFS(BetTable[[AR_per_bookie]:[AR_per_bookie]],BetTable[[B3]:[B3]],$A91,BetTable[[Date]:[Date]], "&gt;="&amp;N$8,BetTable[[Date]:[Date]],"&lt;="&amp;EOMONTH(N$8,0))</f>
        <v>0</v>
      </c>
      <c r="O91" s="126">
        <f>SUMIFS(DWbonus[[Sum]:[Sum]],DWbonus[[Dato]:[Dato]], "&gt;="&amp;O$8,DWbonus[[Dato]:[Dato]],"&lt;="&amp;EOMONTH(O$8,0),DWbonus[[Bookie]:[Bookie]],$A91)+SUMIFS(LayTable[[Faktisk res]:[Faktisk res]],LayTable[[Dato]:[Dato]],"&gt;="&amp;O$8,LayTable[[Dato]:[Dato]],"&lt;="&amp;EOMONTH(O$8,0),LayTable[[Bookmaker]:[Bookmaker]],$A91)+SUMIFS(BetTable[[AR_per_bookie]:[AR_per_bookie]],BetTable[[B1]:[B1]],$A91,BetTable[[Date]:[Date]], "&gt;="&amp;O$8,BetTable[[Date]:[Date]],"&lt;="&amp;EOMONTH(O$8,0))+SUMIFS(BetTable[[AR_per_bookie]:[AR_per_bookie]],BetTable[[B2]:[B2]],$A91,BetTable[[Date]:[Date]], "&gt;="&amp;O$8,BetTable[[Date]:[Date]],"&lt;="&amp;EOMONTH(O$8,0))+SUMIFS(BetTable[[AR_per_bookie]:[AR_per_bookie]],BetTable[[B3]:[B3]],$A91,BetTable[[Date]:[Date]], "&gt;="&amp;O$8,BetTable[[Date]:[Date]],"&lt;="&amp;EOMONTH(O$8,0))</f>
        <v>0</v>
      </c>
      <c r="P91" s="126">
        <f>SUMIFS(DWbonus[[Sum]:[Sum]],DWbonus[[Dato]:[Dato]], "&gt;="&amp;P$8,DWbonus[[Dato]:[Dato]],"&lt;="&amp;EOMONTH(P$8,0),DWbonus[[Bookie]:[Bookie]],$A91)+SUMIFS(LayTable[[Faktisk res]:[Faktisk res]],LayTable[[Dato]:[Dato]],"&gt;="&amp;P$8,LayTable[[Dato]:[Dato]],"&lt;="&amp;EOMONTH(P$8,0),LayTable[[Bookmaker]:[Bookmaker]],$A91)+SUMIFS(BetTable[[AR_per_bookie]:[AR_per_bookie]],BetTable[[B1]:[B1]],$A91,BetTable[[Date]:[Date]], "&gt;="&amp;P$8,BetTable[[Date]:[Date]],"&lt;="&amp;EOMONTH(P$8,0))+SUMIFS(BetTable[[AR_per_bookie]:[AR_per_bookie]],BetTable[[B2]:[B2]],$A91,BetTable[[Date]:[Date]], "&gt;="&amp;P$8,BetTable[[Date]:[Date]],"&lt;="&amp;EOMONTH(P$8,0))+SUMIFS(BetTable[[AR_per_bookie]:[AR_per_bookie]],BetTable[[B3]:[B3]],$A91,BetTable[[Date]:[Date]], "&gt;="&amp;P$8,BetTable[[Date]:[Date]],"&lt;="&amp;EOMONTH(P$8,0))</f>
        <v>0</v>
      </c>
      <c r="Q91" s="126">
        <f>SUMIFS(DWbonus[[Sum]:[Sum]],DWbonus[[Dato]:[Dato]], "&gt;="&amp;Q$8,DWbonus[[Dato]:[Dato]],"&lt;="&amp;EOMONTH(Q$8,0),DWbonus[[Bookie]:[Bookie]],$A91)+SUMIFS(LayTable[[Faktisk res]:[Faktisk res]],LayTable[[Dato]:[Dato]],"&gt;="&amp;Q$8,LayTable[[Dato]:[Dato]],"&lt;="&amp;EOMONTH(Q$8,0),LayTable[[Bookmaker]:[Bookmaker]],$A91)+SUMIFS(BetTable[[AR_per_bookie]:[AR_per_bookie]],BetTable[[B1]:[B1]],$A91,BetTable[[Date]:[Date]], "&gt;="&amp;Q$8,BetTable[[Date]:[Date]],"&lt;="&amp;EOMONTH(Q$8,0))+SUMIFS(BetTable[[AR_per_bookie]:[AR_per_bookie]],BetTable[[B2]:[B2]],$A91,BetTable[[Date]:[Date]], "&gt;="&amp;Q$8,BetTable[[Date]:[Date]],"&lt;="&amp;EOMONTH(Q$8,0))+SUMIFS(BetTable[[AR_per_bookie]:[AR_per_bookie]],BetTable[[B3]:[B3]],$A91,BetTable[[Date]:[Date]], "&gt;="&amp;Q$8,BetTable[[Date]:[Date]],"&lt;="&amp;EOMONTH(Q$8,0))</f>
        <v>0</v>
      </c>
      <c r="R91" s="126">
        <f>SUMIFS(DWbonus[[Sum]:[Sum]],DWbonus[[Dato]:[Dato]], "&gt;="&amp;R$8,DWbonus[[Dato]:[Dato]],"&lt;="&amp;EOMONTH(R$8,0),DWbonus[[Bookie]:[Bookie]],$A91)+SUMIFS(LayTable[[Faktisk res]:[Faktisk res]],LayTable[[Dato]:[Dato]],"&gt;="&amp;R$8,LayTable[[Dato]:[Dato]],"&lt;="&amp;EOMONTH(R$8,0),LayTable[[Bookmaker]:[Bookmaker]],$A91)+SUMIFS(BetTable[[AR_per_bookie]:[AR_per_bookie]],BetTable[[B1]:[B1]],$A91,BetTable[[Date]:[Date]], "&gt;="&amp;R$8,BetTable[[Date]:[Date]],"&lt;="&amp;EOMONTH(R$8,0))+SUMIFS(BetTable[[AR_per_bookie]:[AR_per_bookie]],BetTable[[B2]:[B2]],$A91,BetTable[[Date]:[Date]], "&gt;="&amp;R$8,BetTable[[Date]:[Date]],"&lt;="&amp;EOMONTH(R$8,0))+SUMIFS(BetTable[[AR_per_bookie]:[AR_per_bookie]],BetTable[[B3]:[B3]],$A91,BetTable[[Date]:[Date]], "&gt;="&amp;R$8,BetTable[[Date]:[Date]],"&lt;="&amp;EOMONTH(R$8,0))</f>
        <v>0</v>
      </c>
      <c r="S91" s="126">
        <f>SUMIFS(DWbonus[[Sum]:[Sum]],DWbonus[[Dato]:[Dato]], "&gt;="&amp;S$8,DWbonus[[Dato]:[Dato]],"&lt;="&amp;EOMONTH(S$8,0),DWbonus[[Bookie]:[Bookie]],$A91)+SUMIFS(LayTable[[Faktisk res]:[Faktisk res]],LayTable[[Dato]:[Dato]],"&gt;="&amp;S$8,LayTable[[Dato]:[Dato]],"&lt;="&amp;EOMONTH(S$8,0),LayTable[[Bookmaker]:[Bookmaker]],$A91)+SUMIFS(BetTable[[AR_per_bookie]:[AR_per_bookie]],BetTable[[B1]:[B1]],$A91,BetTable[[Date]:[Date]], "&gt;="&amp;S$8,BetTable[[Date]:[Date]],"&lt;="&amp;EOMONTH(S$8,0))+SUMIFS(BetTable[[AR_per_bookie]:[AR_per_bookie]],BetTable[[B2]:[B2]],$A91,BetTable[[Date]:[Date]], "&gt;="&amp;S$8,BetTable[[Date]:[Date]],"&lt;="&amp;EOMONTH(S$8,0))+SUMIFS(BetTable[[AR_per_bookie]:[AR_per_bookie]],BetTable[[B3]:[B3]],$A91,BetTable[[Date]:[Date]], "&gt;="&amp;S$8,BetTable[[Date]:[Date]],"&lt;="&amp;EOMONTH(S$8,0))</f>
        <v>0</v>
      </c>
    </row>
    <row r="92" spans="1:19">
      <c r="A92" s="115" t="str">
        <f>BookieNavn!I82</f>
        <v>LiNorgesspill</v>
      </c>
      <c r="B92" s="126">
        <f>SUMIF(Penger!D$1:D$50072,A92,Penger!F$1:F$50072)</f>
        <v>0</v>
      </c>
      <c r="C92" s="126">
        <f>SUMIF(Penger!T$1:T$50072,A92,Penger!U$1:U$50072)</f>
        <v>0</v>
      </c>
      <c r="D92" s="126">
        <f ca="1">SUMIF(Spill!C$1:C$499895,A92,Spill!T$1:T$49895)+C92</f>
        <v>0</v>
      </c>
      <c r="E92" s="126">
        <f>SUMIF(Spill!C$1:C$49895,A92,Spill!T$1:T$49895)</f>
        <v>0</v>
      </c>
      <c r="F92" s="121" t="e">
        <f t="shared" ca="1" si="2"/>
        <v>#DIV/0!</v>
      </c>
      <c r="H92" s="126">
        <f>SUMIFS(DWbonus[[Sum]:[Sum]],DWbonus[[Dato]:[Dato]], "&gt;="&amp;H$8,DWbonus[[Dato]:[Dato]],"&lt;="&amp;EOMONTH(H$8,0),DWbonus[[Bookie]:[Bookie]],$A92)+SUMIFS(LayTable[[Faktisk res]:[Faktisk res]],LayTable[[Dato]:[Dato]],"&gt;="&amp;H$8,LayTable[[Dato]:[Dato]],"&lt;="&amp;EOMONTH(H$8,0),LayTable[[Bookmaker]:[Bookmaker]],$A92)+SUMIFS(BetTable[[AR_per_bookie]:[AR_per_bookie]],BetTable[[B1]:[B1]],$A92,BetTable[[Date]:[Date]], "&gt;="&amp;H$8,BetTable[[Date]:[Date]],"&lt;="&amp;EOMONTH(H$8,0))+SUMIFS(BetTable[[AR_per_bookie]:[AR_per_bookie]],BetTable[[B2]:[B2]],$A92,BetTable[[Date]:[Date]], "&gt;="&amp;H$8,BetTable[[Date]:[Date]],"&lt;="&amp;EOMONTH(H$8,0))+SUMIFS(BetTable[[AR_per_bookie]:[AR_per_bookie]],BetTable[[B3]:[B3]],$A92,BetTable[[Date]:[Date]], "&gt;="&amp;H$8,BetTable[[Date]:[Date]],"&lt;="&amp;EOMONTH(H$8,0))</f>
        <v>0</v>
      </c>
      <c r="I92" s="126">
        <f>SUMIFS(DWbonus[[Sum]:[Sum]],DWbonus[[Dato]:[Dato]], "&gt;="&amp;I$8,DWbonus[[Dato]:[Dato]],"&lt;="&amp;EOMONTH(I$8,0),DWbonus[[Bookie]:[Bookie]],$A92)+SUMIFS(LayTable[[Faktisk res]:[Faktisk res]],LayTable[[Dato]:[Dato]],"&gt;="&amp;I$8,LayTable[[Dato]:[Dato]],"&lt;="&amp;EOMONTH(I$8,0),LayTable[[Bookmaker]:[Bookmaker]],$A92)+SUMIFS(BetTable[[AR_per_bookie]:[AR_per_bookie]],BetTable[[B1]:[B1]],$A92,BetTable[[Date]:[Date]], "&gt;="&amp;I$8,BetTable[[Date]:[Date]],"&lt;="&amp;EOMONTH(I$8,0))+SUMIFS(BetTable[[AR_per_bookie]:[AR_per_bookie]],BetTable[[B2]:[B2]],$A92,BetTable[[Date]:[Date]], "&gt;="&amp;I$8,BetTable[[Date]:[Date]],"&lt;="&amp;EOMONTH(I$8,0))+SUMIFS(BetTable[[AR_per_bookie]:[AR_per_bookie]],BetTable[[B3]:[B3]],$A92,BetTable[[Date]:[Date]], "&gt;="&amp;I$8,BetTable[[Date]:[Date]],"&lt;="&amp;EOMONTH(I$8,0))</f>
        <v>0</v>
      </c>
      <c r="J92" s="126">
        <f>SUMIFS(DWbonus[[Sum]:[Sum]],DWbonus[[Dato]:[Dato]], "&gt;="&amp;J$8,DWbonus[[Dato]:[Dato]],"&lt;="&amp;EOMONTH(J$8,0),DWbonus[[Bookie]:[Bookie]],$A92)+SUMIFS(LayTable[[Faktisk res]:[Faktisk res]],LayTable[[Dato]:[Dato]],"&gt;="&amp;J$8,LayTable[[Dato]:[Dato]],"&lt;="&amp;EOMONTH(J$8,0),LayTable[[Bookmaker]:[Bookmaker]],$A92)+SUMIFS(BetTable[[AR_per_bookie]:[AR_per_bookie]],BetTable[[B1]:[B1]],$A92,BetTable[[Date]:[Date]], "&gt;="&amp;J$8,BetTable[[Date]:[Date]],"&lt;="&amp;EOMONTH(J$8,0))+SUMIFS(BetTable[[AR_per_bookie]:[AR_per_bookie]],BetTable[[B2]:[B2]],$A92,BetTable[[Date]:[Date]], "&gt;="&amp;J$8,BetTable[[Date]:[Date]],"&lt;="&amp;EOMONTH(J$8,0))+SUMIFS(BetTable[[AR_per_bookie]:[AR_per_bookie]],BetTable[[B3]:[B3]],$A92,BetTable[[Date]:[Date]], "&gt;="&amp;J$8,BetTable[[Date]:[Date]],"&lt;="&amp;EOMONTH(J$8,0))</f>
        <v>0</v>
      </c>
      <c r="K92" s="126">
        <f>SUMIFS(DWbonus[[Sum]:[Sum]],DWbonus[[Dato]:[Dato]], "&gt;="&amp;K$8,DWbonus[[Dato]:[Dato]],"&lt;="&amp;EOMONTH(K$8,0),DWbonus[[Bookie]:[Bookie]],$A92)+SUMIFS(LayTable[[Faktisk res]:[Faktisk res]],LayTable[[Dato]:[Dato]],"&gt;="&amp;K$8,LayTable[[Dato]:[Dato]],"&lt;="&amp;EOMONTH(K$8,0),LayTable[[Bookmaker]:[Bookmaker]],$A92)+SUMIFS(BetTable[[AR_per_bookie]:[AR_per_bookie]],BetTable[[B1]:[B1]],$A92,BetTable[[Date]:[Date]], "&gt;="&amp;K$8,BetTable[[Date]:[Date]],"&lt;="&amp;EOMONTH(K$8,0))+SUMIFS(BetTable[[AR_per_bookie]:[AR_per_bookie]],BetTable[[B2]:[B2]],$A92,BetTable[[Date]:[Date]], "&gt;="&amp;K$8,BetTable[[Date]:[Date]],"&lt;="&amp;EOMONTH(K$8,0))+SUMIFS(BetTable[[AR_per_bookie]:[AR_per_bookie]],BetTable[[B3]:[B3]],$A92,BetTable[[Date]:[Date]], "&gt;="&amp;K$8,BetTable[[Date]:[Date]],"&lt;="&amp;EOMONTH(K$8,0))</f>
        <v>0</v>
      </c>
      <c r="L92" s="126">
        <f>SUMIFS(DWbonus[[Sum]:[Sum]],DWbonus[[Dato]:[Dato]], "&gt;="&amp;L$8,DWbonus[[Dato]:[Dato]],"&lt;="&amp;EOMONTH(L$8,0),DWbonus[[Bookie]:[Bookie]],$A92)+SUMIFS(LayTable[[Faktisk res]:[Faktisk res]],LayTable[[Dato]:[Dato]],"&gt;="&amp;L$8,LayTable[[Dato]:[Dato]],"&lt;="&amp;EOMONTH(L$8,0),LayTable[[Bookmaker]:[Bookmaker]],$A92)+SUMIFS(BetTable[[AR_per_bookie]:[AR_per_bookie]],BetTable[[B1]:[B1]],$A92,BetTable[[Date]:[Date]], "&gt;="&amp;L$8,BetTable[[Date]:[Date]],"&lt;="&amp;EOMONTH(L$8,0))+SUMIFS(BetTable[[AR_per_bookie]:[AR_per_bookie]],BetTable[[B2]:[B2]],$A92,BetTable[[Date]:[Date]], "&gt;="&amp;L$8,BetTable[[Date]:[Date]],"&lt;="&amp;EOMONTH(L$8,0))+SUMIFS(BetTable[[AR_per_bookie]:[AR_per_bookie]],BetTable[[B3]:[B3]],$A92,BetTable[[Date]:[Date]], "&gt;="&amp;L$8,BetTable[[Date]:[Date]],"&lt;="&amp;EOMONTH(L$8,0))</f>
        <v>0</v>
      </c>
      <c r="M92" s="126">
        <f>SUMIFS(DWbonus[[Sum]:[Sum]],DWbonus[[Dato]:[Dato]], "&gt;="&amp;M$8,DWbonus[[Dato]:[Dato]],"&lt;="&amp;EOMONTH(M$8,0),DWbonus[[Bookie]:[Bookie]],$A92)+SUMIFS(LayTable[[Faktisk res]:[Faktisk res]],LayTable[[Dato]:[Dato]],"&gt;="&amp;M$8,LayTable[[Dato]:[Dato]],"&lt;="&amp;EOMONTH(M$8,0),LayTable[[Bookmaker]:[Bookmaker]],$A92)+SUMIFS(BetTable[[AR_per_bookie]:[AR_per_bookie]],BetTable[[B1]:[B1]],$A92,BetTable[[Date]:[Date]], "&gt;="&amp;M$8,BetTable[[Date]:[Date]],"&lt;="&amp;EOMONTH(M$8,0))+SUMIFS(BetTable[[AR_per_bookie]:[AR_per_bookie]],BetTable[[B2]:[B2]],$A92,BetTable[[Date]:[Date]], "&gt;="&amp;M$8,BetTable[[Date]:[Date]],"&lt;="&amp;EOMONTH(M$8,0))+SUMIFS(BetTable[[AR_per_bookie]:[AR_per_bookie]],BetTable[[B3]:[B3]],$A92,BetTable[[Date]:[Date]], "&gt;="&amp;M$8,BetTable[[Date]:[Date]],"&lt;="&amp;EOMONTH(M$8,0))</f>
        <v>0</v>
      </c>
      <c r="N92" s="126">
        <f>SUMIFS(DWbonus[[Sum]:[Sum]],DWbonus[[Dato]:[Dato]], "&gt;="&amp;N$8,DWbonus[[Dato]:[Dato]],"&lt;="&amp;EOMONTH(N$8,0),DWbonus[[Bookie]:[Bookie]],$A92)+SUMIFS(LayTable[[Faktisk res]:[Faktisk res]],LayTable[[Dato]:[Dato]],"&gt;="&amp;N$8,LayTable[[Dato]:[Dato]],"&lt;="&amp;EOMONTH(N$8,0),LayTable[[Bookmaker]:[Bookmaker]],$A92)+SUMIFS(BetTable[[AR_per_bookie]:[AR_per_bookie]],BetTable[[B1]:[B1]],$A92,BetTable[[Date]:[Date]], "&gt;="&amp;N$8,BetTable[[Date]:[Date]],"&lt;="&amp;EOMONTH(N$8,0))+SUMIFS(BetTable[[AR_per_bookie]:[AR_per_bookie]],BetTable[[B2]:[B2]],$A92,BetTable[[Date]:[Date]], "&gt;="&amp;N$8,BetTable[[Date]:[Date]],"&lt;="&amp;EOMONTH(N$8,0))+SUMIFS(BetTable[[AR_per_bookie]:[AR_per_bookie]],BetTable[[B3]:[B3]],$A92,BetTable[[Date]:[Date]], "&gt;="&amp;N$8,BetTable[[Date]:[Date]],"&lt;="&amp;EOMONTH(N$8,0))</f>
        <v>0</v>
      </c>
      <c r="O92" s="126">
        <f>SUMIFS(DWbonus[[Sum]:[Sum]],DWbonus[[Dato]:[Dato]], "&gt;="&amp;O$8,DWbonus[[Dato]:[Dato]],"&lt;="&amp;EOMONTH(O$8,0),DWbonus[[Bookie]:[Bookie]],$A92)+SUMIFS(LayTable[[Faktisk res]:[Faktisk res]],LayTable[[Dato]:[Dato]],"&gt;="&amp;O$8,LayTable[[Dato]:[Dato]],"&lt;="&amp;EOMONTH(O$8,0),LayTable[[Bookmaker]:[Bookmaker]],$A92)+SUMIFS(BetTable[[AR_per_bookie]:[AR_per_bookie]],BetTable[[B1]:[B1]],$A92,BetTable[[Date]:[Date]], "&gt;="&amp;O$8,BetTable[[Date]:[Date]],"&lt;="&amp;EOMONTH(O$8,0))+SUMIFS(BetTable[[AR_per_bookie]:[AR_per_bookie]],BetTable[[B2]:[B2]],$A92,BetTable[[Date]:[Date]], "&gt;="&amp;O$8,BetTable[[Date]:[Date]],"&lt;="&amp;EOMONTH(O$8,0))+SUMIFS(BetTable[[AR_per_bookie]:[AR_per_bookie]],BetTable[[B3]:[B3]],$A92,BetTable[[Date]:[Date]], "&gt;="&amp;O$8,BetTable[[Date]:[Date]],"&lt;="&amp;EOMONTH(O$8,0))</f>
        <v>0</v>
      </c>
      <c r="P92" s="126">
        <f>SUMIFS(DWbonus[[Sum]:[Sum]],DWbonus[[Dato]:[Dato]], "&gt;="&amp;P$8,DWbonus[[Dato]:[Dato]],"&lt;="&amp;EOMONTH(P$8,0),DWbonus[[Bookie]:[Bookie]],$A92)+SUMIFS(LayTable[[Faktisk res]:[Faktisk res]],LayTable[[Dato]:[Dato]],"&gt;="&amp;P$8,LayTable[[Dato]:[Dato]],"&lt;="&amp;EOMONTH(P$8,0),LayTable[[Bookmaker]:[Bookmaker]],$A92)+SUMIFS(BetTable[[AR_per_bookie]:[AR_per_bookie]],BetTable[[B1]:[B1]],$A92,BetTable[[Date]:[Date]], "&gt;="&amp;P$8,BetTable[[Date]:[Date]],"&lt;="&amp;EOMONTH(P$8,0))+SUMIFS(BetTable[[AR_per_bookie]:[AR_per_bookie]],BetTable[[B2]:[B2]],$A92,BetTable[[Date]:[Date]], "&gt;="&amp;P$8,BetTable[[Date]:[Date]],"&lt;="&amp;EOMONTH(P$8,0))+SUMIFS(BetTable[[AR_per_bookie]:[AR_per_bookie]],BetTable[[B3]:[B3]],$A92,BetTable[[Date]:[Date]], "&gt;="&amp;P$8,BetTable[[Date]:[Date]],"&lt;="&amp;EOMONTH(P$8,0))</f>
        <v>0</v>
      </c>
      <c r="Q92" s="126">
        <f>SUMIFS(DWbonus[[Sum]:[Sum]],DWbonus[[Dato]:[Dato]], "&gt;="&amp;Q$8,DWbonus[[Dato]:[Dato]],"&lt;="&amp;EOMONTH(Q$8,0),DWbonus[[Bookie]:[Bookie]],$A92)+SUMIFS(LayTable[[Faktisk res]:[Faktisk res]],LayTable[[Dato]:[Dato]],"&gt;="&amp;Q$8,LayTable[[Dato]:[Dato]],"&lt;="&amp;EOMONTH(Q$8,0),LayTable[[Bookmaker]:[Bookmaker]],$A92)+SUMIFS(BetTable[[AR_per_bookie]:[AR_per_bookie]],BetTable[[B1]:[B1]],$A92,BetTable[[Date]:[Date]], "&gt;="&amp;Q$8,BetTable[[Date]:[Date]],"&lt;="&amp;EOMONTH(Q$8,0))+SUMIFS(BetTable[[AR_per_bookie]:[AR_per_bookie]],BetTable[[B2]:[B2]],$A92,BetTable[[Date]:[Date]], "&gt;="&amp;Q$8,BetTable[[Date]:[Date]],"&lt;="&amp;EOMONTH(Q$8,0))+SUMIFS(BetTable[[AR_per_bookie]:[AR_per_bookie]],BetTable[[B3]:[B3]],$A92,BetTable[[Date]:[Date]], "&gt;="&amp;Q$8,BetTable[[Date]:[Date]],"&lt;="&amp;EOMONTH(Q$8,0))</f>
        <v>0</v>
      </c>
      <c r="R92" s="126">
        <f>SUMIFS(DWbonus[[Sum]:[Sum]],DWbonus[[Dato]:[Dato]], "&gt;="&amp;R$8,DWbonus[[Dato]:[Dato]],"&lt;="&amp;EOMONTH(R$8,0),DWbonus[[Bookie]:[Bookie]],$A92)+SUMIFS(LayTable[[Faktisk res]:[Faktisk res]],LayTable[[Dato]:[Dato]],"&gt;="&amp;R$8,LayTable[[Dato]:[Dato]],"&lt;="&amp;EOMONTH(R$8,0),LayTable[[Bookmaker]:[Bookmaker]],$A92)+SUMIFS(BetTable[[AR_per_bookie]:[AR_per_bookie]],BetTable[[B1]:[B1]],$A92,BetTable[[Date]:[Date]], "&gt;="&amp;R$8,BetTable[[Date]:[Date]],"&lt;="&amp;EOMONTH(R$8,0))+SUMIFS(BetTable[[AR_per_bookie]:[AR_per_bookie]],BetTable[[B2]:[B2]],$A92,BetTable[[Date]:[Date]], "&gt;="&amp;R$8,BetTable[[Date]:[Date]],"&lt;="&amp;EOMONTH(R$8,0))+SUMIFS(BetTable[[AR_per_bookie]:[AR_per_bookie]],BetTable[[B3]:[B3]],$A92,BetTable[[Date]:[Date]], "&gt;="&amp;R$8,BetTable[[Date]:[Date]],"&lt;="&amp;EOMONTH(R$8,0))</f>
        <v>0</v>
      </c>
      <c r="S92" s="126">
        <f>SUMIFS(DWbonus[[Sum]:[Sum]],DWbonus[[Dato]:[Dato]], "&gt;="&amp;S$8,DWbonus[[Dato]:[Dato]],"&lt;="&amp;EOMONTH(S$8,0),DWbonus[[Bookie]:[Bookie]],$A92)+SUMIFS(LayTable[[Faktisk res]:[Faktisk res]],LayTable[[Dato]:[Dato]],"&gt;="&amp;S$8,LayTable[[Dato]:[Dato]],"&lt;="&amp;EOMONTH(S$8,0),LayTable[[Bookmaker]:[Bookmaker]],$A92)+SUMIFS(BetTable[[AR_per_bookie]:[AR_per_bookie]],BetTable[[B1]:[B1]],$A92,BetTable[[Date]:[Date]], "&gt;="&amp;S$8,BetTable[[Date]:[Date]],"&lt;="&amp;EOMONTH(S$8,0))+SUMIFS(BetTable[[AR_per_bookie]:[AR_per_bookie]],BetTable[[B2]:[B2]],$A92,BetTable[[Date]:[Date]], "&gt;="&amp;S$8,BetTable[[Date]:[Date]],"&lt;="&amp;EOMONTH(S$8,0))+SUMIFS(BetTable[[AR_per_bookie]:[AR_per_bookie]],BetTable[[B3]:[B3]],$A92,BetTable[[Date]:[Date]], "&gt;="&amp;S$8,BetTable[[Date]:[Date]],"&lt;="&amp;EOMONTH(S$8,0))</f>
        <v>0</v>
      </c>
    </row>
    <row r="93" spans="1:19">
      <c r="A93" s="115" t="str">
        <f>BookieNavn!I83</f>
        <v>LiLeoVegas</v>
      </c>
      <c r="B93" s="126">
        <f>SUMIF(Penger!D$1:D$50072,A93,Penger!F$1:F$50072)</f>
        <v>0</v>
      </c>
      <c r="C93" s="126">
        <f>SUMIF(Penger!T$1:T$50072,A93,Penger!U$1:U$50072)</f>
        <v>0</v>
      </c>
      <c r="D93" s="126">
        <f ca="1">SUMIF(Spill!C$1:C$499895,A93,Spill!T$1:T$49895)+C93</f>
        <v>0</v>
      </c>
      <c r="E93" s="126">
        <f>SUMIF(Spill!C$1:C$49895,A93,Spill!T$1:T$49895)</f>
        <v>0</v>
      </c>
      <c r="F93" s="121" t="e">
        <f t="shared" ca="1" si="2"/>
        <v>#DIV/0!</v>
      </c>
      <c r="H93" s="126">
        <f>SUMIFS(DWbonus[[Sum]:[Sum]],DWbonus[[Dato]:[Dato]], "&gt;="&amp;H$8,DWbonus[[Dato]:[Dato]],"&lt;="&amp;EOMONTH(H$8,0),DWbonus[[Bookie]:[Bookie]],$A93)+SUMIFS(LayTable[[Faktisk res]:[Faktisk res]],LayTable[[Dato]:[Dato]],"&gt;="&amp;H$8,LayTable[[Dato]:[Dato]],"&lt;="&amp;EOMONTH(H$8,0),LayTable[[Bookmaker]:[Bookmaker]],$A93)+SUMIFS(BetTable[[AR_per_bookie]:[AR_per_bookie]],BetTable[[B1]:[B1]],$A93,BetTable[[Date]:[Date]], "&gt;="&amp;H$8,BetTable[[Date]:[Date]],"&lt;="&amp;EOMONTH(H$8,0))+SUMIFS(BetTable[[AR_per_bookie]:[AR_per_bookie]],BetTable[[B2]:[B2]],$A93,BetTable[[Date]:[Date]], "&gt;="&amp;H$8,BetTable[[Date]:[Date]],"&lt;="&amp;EOMONTH(H$8,0))+SUMIFS(BetTable[[AR_per_bookie]:[AR_per_bookie]],BetTable[[B3]:[B3]],$A93,BetTable[[Date]:[Date]], "&gt;="&amp;H$8,BetTable[[Date]:[Date]],"&lt;="&amp;EOMONTH(H$8,0))</f>
        <v>0</v>
      </c>
      <c r="I93" s="126">
        <f>SUMIFS(DWbonus[[Sum]:[Sum]],DWbonus[[Dato]:[Dato]], "&gt;="&amp;I$8,DWbonus[[Dato]:[Dato]],"&lt;="&amp;EOMONTH(I$8,0),DWbonus[[Bookie]:[Bookie]],$A93)+SUMIFS(LayTable[[Faktisk res]:[Faktisk res]],LayTable[[Dato]:[Dato]],"&gt;="&amp;I$8,LayTable[[Dato]:[Dato]],"&lt;="&amp;EOMONTH(I$8,0),LayTable[[Bookmaker]:[Bookmaker]],$A93)+SUMIFS(BetTable[[AR_per_bookie]:[AR_per_bookie]],BetTable[[B1]:[B1]],$A93,BetTable[[Date]:[Date]], "&gt;="&amp;I$8,BetTable[[Date]:[Date]],"&lt;="&amp;EOMONTH(I$8,0))+SUMIFS(BetTable[[AR_per_bookie]:[AR_per_bookie]],BetTable[[B2]:[B2]],$A93,BetTable[[Date]:[Date]], "&gt;="&amp;I$8,BetTable[[Date]:[Date]],"&lt;="&amp;EOMONTH(I$8,0))+SUMIFS(BetTable[[AR_per_bookie]:[AR_per_bookie]],BetTable[[B3]:[B3]],$A93,BetTable[[Date]:[Date]], "&gt;="&amp;I$8,BetTable[[Date]:[Date]],"&lt;="&amp;EOMONTH(I$8,0))</f>
        <v>0</v>
      </c>
      <c r="J93" s="126">
        <f>SUMIFS(DWbonus[[Sum]:[Sum]],DWbonus[[Dato]:[Dato]], "&gt;="&amp;J$8,DWbonus[[Dato]:[Dato]],"&lt;="&amp;EOMONTH(J$8,0),DWbonus[[Bookie]:[Bookie]],$A93)+SUMIFS(LayTable[[Faktisk res]:[Faktisk res]],LayTable[[Dato]:[Dato]],"&gt;="&amp;J$8,LayTable[[Dato]:[Dato]],"&lt;="&amp;EOMONTH(J$8,0),LayTable[[Bookmaker]:[Bookmaker]],$A93)+SUMIFS(BetTable[[AR_per_bookie]:[AR_per_bookie]],BetTable[[B1]:[B1]],$A93,BetTable[[Date]:[Date]], "&gt;="&amp;J$8,BetTable[[Date]:[Date]],"&lt;="&amp;EOMONTH(J$8,0))+SUMIFS(BetTable[[AR_per_bookie]:[AR_per_bookie]],BetTable[[B2]:[B2]],$A93,BetTable[[Date]:[Date]], "&gt;="&amp;J$8,BetTable[[Date]:[Date]],"&lt;="&amp;EOMONTH(J$8,0))+SUMIFS(BetTable[[AR_per_bookie]:[AR_per_bookie]],BetTable[[B3]:[B3]],$A93,BetTable[[Date]:[Date]], "&gt;="&amp;J$8,BetTable[[Date]:[Date]],"&lt;="&amp;EOMONTH(J$8,0))</f>
        <v>0</v>
      </c>
      <c r="K93" s="126">
        <f>SUMIFS(DWbonus[[Sum]:[Sum]],DWbonus[[Dato]:[Dato]], "&gt;="&amp;K$8,DWbonus[[Dato]:[Dato]],"&lt;="&amp;EOMONTH(K$8,0),DWbonus[[Bookie]:[Bookie]],$A93)+SUMIFS(LayTable[[Faktisk res]:[Faktisk res]],LayTable[[Dato]:[Dato]],"&gt;="&amp;K$8,LayTable[[Dato]:[Dato]],"&lt;="&amp;EOMONTH(K$8,0),LayTable[[Bookmaker]:[Bookmaker]],$A93)+SUMIFS(BetTable[[AR_per_bookie]:[AR_per_bookie]],BetTable[[B1]:[B1]],$A93,BetTable[[Date]:[Date]], "&gt;="&amp;K$8,BetTable[[Date]:[Date]],"&lt;="&amp;EOMONTH(K$8,0))+SUMIFS(BetTable[[AR_per_bookie]:[AR_per_bookie]],BetTable[[B2]:[B2]],$A93,BetTable[[Date]:[Date]], "&gt;="&amp;K$8,BetTable[[Date]:[Date]],"&lt;="&amp;EOMONTH(K$8,0))+SUMIFS(BetTable[[AR_per_bookie]:[AR_per_bookie]],BetTable[[B3]:[B3]],$A93,BetTable[[Date]:[Date]], "&gt;="&amp;K$8,BetTable[[Date]:[Date]],"&lt;="&amp;EOMONTH(K$8,0))</f>
        <v>0</v>
      </c>
      <c r="L93" s="126">
        <f>SUMIFS(DWbonus[[Sum]:[Sum]],DWbonus[[Dato]:[Dato]], "&gt;="&amp;L$8,DWbonus[[Dato]:[Dato]],"&lt;="&amp;EOMONTH(L$8,0),DWbonus[[Bookie]:[Bookie]],$A93)+SUMIFS(LayTable[[Faktisk res]:[Faktisk res]],LayTable[[Dato]:[Dato]],"&gt;="&amp;L$8,LayTable[[Dato]:[Dato]],"&lt;="&amp;EOMONTH(L$8,0),LayTable[[Bookmaker]:[Bookmaker]],$A93)+SUMIFS(BetTable[[AR_per_bookie]:[AR_per_bookie]],BetTable[[B1]:[B1]],$A93,BetTable[[Date]:[Date]], "&gt;="&amp;L$8,BetTable[[Date]:[Date]],"&lt;="&amp;EOMONTH(L$8,0))+SUMIFS(BetTable[[AR_per_bookie]:[AR_per_bookie]],BetTable[[B2]:[B2]],$A93,BetTable[[Date]:[Date]], "&gt;="&amp;L$8,BetTable[[Date]:[Date]],"&lt;="&amp;EOMONTH(L$8,0))+SUMIFS(BetTable[[AR_per_bookie]:[AR_per_bookie]],BetTable[[B3]:[B3]],$A93,BetTable[[Date]:[Date]], "&gt;="&amp;L$8,BetTable[[Date]:[Date]],"&lt;="&amp;EOMONTH(L$8,0))</f>
        <v>0</v>
      </c>
      <c r="M93" s="126">
        <f>SUMIFS(DWbonus[[Sum]:[Sum]],DWbonus[[Dato]:[Dato]], "&gt;="&amp;M$8,DWbonus[[Dato]:[Dato]],"&lt;="&amp;EOMONTH(M$8,0),DWbonus[[Bookie]:[Bookie]],$A93)+SUMIFS(LayTable[[Faktisk res]:[Faktisk res]],LayTable[[Dato]:[Dato]],"&gt;="&amp;M$8,LayTable[[Dato]:[Dato]],"&lt;="&amp;EOMONTH(M$8,0),LayTable[[Bookmaker]:[Bookmaker]],$A93)+SUMIFS(BetTable[[AR_per_bookie]:[AR_per_bookie]],BetTable[[B1]:[B1]],$A93,BetTable[[Date]:[Date]], "&gt;="&amp;M$8,BetTable[[Date]:[Date]],"&lt;="&amp;EOMONTH(M$8,0))+SUMIFS(BetTable[[AR_per_bookie]:[AR_per_bookie]],BetTable[[B2]:[B2]],$A93,BetTable[[Date]:[Date]], "&gt;="&amp;M$8,BetTable[[Date]:[Date]],"&lt;="&amp;EOMONTH(M$8,0))+SUMIFS(BetTable[[AR_per_bookie]:[AR_per_bookie]],BetTable[[B3]:[B3]],$A93,BetTable[[Date]:[Date]], "&gt;="&amp;M$8,BetTable[[Date]:[Date]],"&lt;="&amp;EOMONTH(M$8,0))</f>
        <v>0</v>
      </c>
      <c r="N93" s="126">
        <f>SUMIFS(DWbonus[[Sum]:[Sum]],DWbonus[[Dato]:[Dato]], "&gt;="&amp;N$8,DWbonus[[Dato]:[Dato]],"&lt;="&amp;EOMONTH(N$8,0),DWbonus[[Bookie]:[Bookie]],$A93)+SUMIFS(LayTable[[Faktisk res]:[Faktisk res]],LayTable[[Dato]:[Dato]],"&gt;="&amp;N$8,LayTable[[Dato]:[Dato]],"&lt;="&amp;EOMONTH(N$8,0),LayTable[[Bookmaker]:[Bookmaker]],$A93)+SUMIFS(BetTable[[AR_per_bookie]:[AR_per_bookie]],BetTable[[B1]:[B1]],$A93,BetTable[[Date]:[Date]], "&gt;="&amp;N$8,BetTable[[Date]:[Date]],"&lt;="&amp;EOMONTH(N$8,0))+SUMIFS(BetTable[[AR_per_bookie]:[AR_per_bookie]],BetTable[[B2]:[B2]],$A93,BetTable[[Date]:[Date]], "&gt;="&amp;N$8,BetTable[[Date]:[Date]],"&lt;="&amp;EOMONTH(N$8,0))+SUMIFS(BetTable[[AR_per_bookie]:[AR_per_bookie]],BetTable[[B3]:[B3]],$A93,BetTable[[Date]:[Date]], "&gt;="&amp;N$8,BetTable[[Date]:[Date]],"&lt;="&amp;EOMONTH(N$8,0))</f>
        <v>0</v>
      </c>
      <c r="O93" s="126">
        <f>SUMIFS(DWbonus[[Sum]:[Sum]],DWbonus[[Dato]:[Dato]], "&gt;="&amp;O$8,DWbonus[[Dato]:[Dato]],"&lt;="&amp;EOMONTH(O$8,0),DWbonus[[Bookie]:[Bookie]],$A93)+SUMIFS(LayTable[[Faktisk res]:[Faktisk res]],LayTable[[Dato]:[Dato]],"&gt;="&amp;O$8,LayTable[[Dato]:[Dato]],"&lt;="&amp;EOMONTH(O$8,0),LayTable[[Bookmaker]:[Bookmaker]],$A93)+SUMIFS(BetTable[[AR_per_bookie]:[AR_per_bookie]],BetTable[[B1]:[B1]],$A93,BetTable[[Date]:[Date]], "&gt;="&amp;O$8,BetTable[[Date]:[Date]],"&lt;="&amp;EOMONTH(O$8,0))+SUMIFS(BetTable[[AR_per_bookie]:[AR_per_bookie]],BetTable[[B2]:[B2]],$A93,BetTable[[Date]:[Date]], "&gt;="&amp;O$8,BetTable[[Date]:[Date]],"&lt;="&amp;EOMONTH(O$8,0))+SUMIFS(BetTable[[AR_per_bookie]:[AR_per_bookie]],BetTable[[B3]:[B3]],$A93,BetTable[[Date]:[Date]], "&gt;="&amp;O$8,BetTable[[Date]:[Date]],"&lt;="&amp;EOMONTH(O$8,0))</f>
        <v>0</v>
      </c>
      <c r="P93" s="126">
        <f>SUMIFS(DWbonus[[Sum]:[Sum]],DWbonus[[Dato]:[Dato]], "&gt;="&amp;P$8,DWbonus[[Dato]:[Dato]],"&lt;="&amp;EOMONTH(P$8,0),DWbonus[[Bookie]:[Bookie]],$A93)+SUMIFS(LayTable[[Faktisk res]:[Faktisk res]],LayTable[[Dato]:[Dato]],"&gt;="&amp;P$8,LayTable[[Dato]:[Dato]],"&lt;="&amp;EOMONTH(P$8,0),LayTable[[Bookmaker]:[Bookmaker]],$A93)+SUMIFS(BetTable[[AR_per_bookie]:[AR_per_bookie]],BetTable[[B1]:[B1]],$A93,BetTable[[Date]:[Date]], "&gt;="&amp;P$8,BetTable[[Date]:[Date]],"&lt;="&amp;EOMONTH(P$8,0))+SUMIFS(BetTable[[AR_per_bookie]:[AR_per_bookie]],BetTable[[B2]:[B2]],$A93,BetTable[[Date]:[Date]], "&gt;="&amp;P$8,BetTable[[Date]:[Date]],"&lt;="&amp;EOMONTH(P$8,0))+SUMIFS(BetTable[[AR_per_bookie]:[AR_per_bookie]],BetTable[[B3]:[B3]],$A93,BetTable[[Date]:[Date]], "&gt;="&amp;P$8,BetTable[[Date]:[Date]],"&lt;="&amp;EOMONTH(P$8,0))</f>
        <v>0</v>
      </c>
      <c r="Q93" s="126">
        <f>SUMIFS(DWbonus[[Sum]:[Sum]],DWbonus[[Dato]:[Dato]], "&gt;="&amp;Q$8,DWbonus[[Dato]:[Dato]],"&lt;="&amp;EOMONTH(Q$8,0),DWbonus[[Bookie]:[Bookie]],$A93)+SUMIFS(LayTable[[Faktisk res]:[Faktisk res]],LayTable[[Dato]:[Dato]],"&gt;="&amp;Q$8,LayTable[[Dato]:[Dato]],"&lt;="&amp;EOMONTH(Q$8,0),LayTable[[Bookmaker]:[Bookmaker]],$A93)+SUMIFS(BetTable[[AR_per_bookie]:[AR_per_bookie]],BetTable[[B1]:[B1]],$A93,BetTable[[Date]:[Date]], "&gt;="&amp;Q$8,BetTable[[Date]:[Date]],"&lt;="&amp;EOMONTH(Q$8,0))+SUMIFS(BetTable[[AR_per_bookie]:[AR_per_bookie]],BetTable[[B2]:[B2]],$A93,BetTable[[Date]:[Date]], "&gt;="&amp;Q$8,BetTable[[Date]:[Date]],"&lt;="&amp;EOMONTH(Q$8,0))+SUMIFS(BetTable[[AR_per_bookie]:[AR_per_bookie]],BetTable[[B3]:[B3]],$A93,BetTable[[Date]:[Date]], "&gt;="&amp;Q$8,BetTable[[Date]:[Date]],"&lt;="&amp;EOMONTH(Q$8,0))</f>
        <v>0</v>
      </c>
      <c r="R93" s="126">
        <f>SUMIFS(DWbonus[[Sum]:[Sum]],DWbonus[[Dato]:[Dato]], "&gt;="&amp;R$8,DWbonus[[Dato]:[Dato]],"&lt;="&amp;EOMONTH(R$8,0),DWbonus[[Bookie]:[Bookie]],$A93)+SUMIFS(LayTable[[Faktisk res]:[Faktisk res]],LayTable[[Dato]:[Dato]],"&gt;="&amp;R$8,LayTable[[Dato]:[Dato]],"&lt;="&amp;EOMONTH(R$8,0),LayTable[[Bookmaker]:[Bookmaker]],$A93)+SUMIFS(BetTable[[AR_per_bookie]:[AR_per_bookie]],BetTable[[B1]:[B1]],$A93,BetTable[[Date]:[Date]], "&gt;="&amp;R$8,BetTable[[Date]:[Date]],"&lt;="&amp;EOMONTH(R$8,0))+SUMIFS(BetTable[[AR_per_bookie]:[AR_per_bookie]],BetTable[[B2]:[B2]],$A93,BetTable[[Date]:[Date]], "&gt;="&amp;R$8,BetTable[[Date]:[Date]],"&lt;="&amp;EOMONTH(R$8,0))+SUMIFS(BetTable[[AR_per_bookie]:[AR_per_bookie]],BetTable[[B3]:[B3]],$A93,BetTable[[Date]:[Date]], "&gt;="&amp;R$8,BetTable[[Date]:[Date]],"&lt;="&amp;EOMONTH(R$8,0))</f>
        <v>0</v>
      </c>
      <c r="S93" s="126">
        <f>SUMIFS(DWbonus[[Sum]:[Sum]],DWbonus[[Dato]:[Dato]], "&gt;="&amp;S$8,DWbonus[[Dato]:[Dato]],"&lt;="&amp;EOMONTH(S$8,0),DWbonus[[Bookie]:[Bookie]],$A93)+SUMIFS(LayTable[[Faktisk res]:[Faktisk res]],LayTable[[Dato]:[Dato]],"&gt;="&amp;S$8,LayTable[[Dato]:[Dato]],"&lt;="&amp;EOMONTH(S$8,0),LayTable[[Bookmaker]:[Bookmaker]],$A93)+SUMIFS(BetTable[[AR_per_bookie]:[AR_per_bookie]],BetTable[[B1]:[B1]],$A93,BetTable[[Date]:[Date]], "&gt;="&amp;S$8,BetTable[[Date]:[Date]],"&lt;="&amp;EOMONTH(S$8,0))+SUMIFS(BetTable[[AR_per_bookie]:[AR_per_bookie]],BetTable[[B2]:[B2]],$A93,BetTable[[Date]:[Date]], "&gt;="&amp;S$8,BetTable[[Date]:[Date]],"&lt;="&amp;EOMONTH(S$8,0))+SUMIFS(BetTable[[AR_per_bookie]:[AR_per_bookie]],BetTable[[B3]:[B3]],$A93,BetTable[[Date]:[Date]], "&gt;="&amp;S$8,BetTable[[Date]:[Date]],"&lt;="&amp;EOMONTH(S$8,0))</f>
        <v>0</v>
      </c>
    </row>
    <row r="94" spans="1:19">
      <c r="A94" s="115" t="e">
        <f>BookieNavn!#REF!</f>
        <v>#REF!</v>
      </c>
      <c r="B94" s="126">
        <f>SUMIF(Penger!D$1:D$50072,A94,Penger!F$1:F$50072)</f>
        <v>0</v>
      </c>
      <c r="C94" s="126">
        <f>SUMIF(Penger!T$1:T$50072,A94,Penger!U$1:U$50072)</f>
        <v>0</v>
      </c>
      <c r="D94" s="126">
        <f ca="1">SUMIF(Spill!C$1:C$499895,A94,Spill!T$1:T$49895)+C94</f>
        <v>0</v>
      </c>
      <c r="E94" s="126">
        <f>SUMIF(Spill!C$1:C$49895,A94,Spill!T$1:T$49895)</f>
        <v>0</v>
      </c>
      <c r="F94" s="121" t="e">
        <f t="shared" ca="1" si="2"/>
        <v>#DIV/0!</v>
      </c>
      <c r="H94" s="126">
        <f>SUMIFS(DWbonus[[Sum]:[Sum]],DWbonus[[Dato]:[Dato]], "&gt;="&amp;H$8,DWbonus[[Dato]:[Dato]],"&lt;="&amp;EOMONTH(H$8,0),DWbonus[[Bookie]:[Bookie]],$A94)+SUMIFS(LayTable[[Faktisk res]:[Faktisk res]],LayTable[[Dato]:[Dato]],"&gt;="&amp;H$8,LayTable[[Dato]:[Dato]],"&lt;="&amp;EOMONTH(H$8,0),LayTable[[Bookmaker]:[Bookmaker]],$A94)+SUMIFS(BetTable[[AR_per_bookie]:[AR_per_bookie]],BetTable[[B1]:[B1]],$A94,BetTable[[Date]:[Date]], "&gt;="&amp;H$8,BetTable[[Date]:[Date]],"&lt;="&amp;EOMONTH(H$8,0))+SUMIFS(BetTable[[AR_per_bookie]:[AR_per_bookie]],BetTable[[B2]:[B2]],$A94,BetTable[[Date]:[Date]], "&gt;="&amp;H$8,BetTable[[Date]:[Date]],"&lt;="&amp;EOMONTH(H$8,0))+SUMIFS(BetTable[[AR_per_bookie]:[AR_per_bookie]],BetTable[[B3]:[B3]],$A94,BetTable[[Date]:[Date]], "&gt;="&amp;H$8,BetTable[[Date]:[Date]],"&lt;="&amp;EOMONTH(H$8,0))</f>
        <v>0</v>
      </c>
      <c r="I94" s="126">
        <f>SUMIFS(DWbonus[[Sum]:[Sum]],DWbonus[[Dato]:[Dato]], "&gt;="&amp;I$8,DWbonus[[Dato]:[Dato]],"&lt;="&amp;EOMONTH(I$8,0),DWbonus[[Bookie]:[Bookie]],$A94)+SUMIFS(LayTable[[Faktisk res]:[Faktisk res]],LayTable[[Dato]:[Dato]],"&gt;="&amp;I$8,LayTable[[Dato]:[Dato]],"&lt;="&amp;EOMONTH(I$8,0),LayTable[[Bookmaker]:[Bookmaker]],$A94)+SUMIFS(BetTable[[AR_per_bookie]:[AR_per_bookie]],BetTable[[B1]:[B1]],$A94,BetTable[[Date]:[Date]], "&gt;="&amp;I$8,BetTable[[Date]:[Date]],"&lt;="&amp;EOMONTH(I$8,0))+SUMIFS(BetTable[[AR_per_bookie]:[AR_per_bookie]],BetTable[[B2]:[B2]],$A94,BetTable[[Date]:[Date]], "&gt;="&amp;I$8,BetTable[[Date]:[Date]],"&lt;="&amp;EOMONTH(I$8,0))+SUMIFS(BetTable[[AR_per_bookie]:[AR_per_bookie]],BetTable[[B3]:[B3]],$A94,BetTable[[Date]:[Date]], "&gt;="&amp;I$8,BetTable[[Date]:[Date]],"&lt;="&amp;EOMONTH(I$8,0))</f>
        <v>0</v>
      </c>
      <c r="J94" s="126">
        <f>SUMIFS(DWbonus[[Sum]:[Sum]],DWbonus[[Dato]:[Dato]], "&gt;="&amp;J$8,DWbonus[[Dato]:[Dato]],"&lt;="&amp;EOMONTH(J$8,0),DWbonus[[Bookie]:[Bookie]],$A94)+SUMIFS(LayTable[[Faktisk res]:[Faktisk res]],LayTable[[Dato]:[Dato]],"&gt;="&amp;J$8,LayTable[[Dato]:[Dato]],"&lt;="&amp;EOMONTH(J$8,0),LayTable[[Bookmaker]:[Bookmaker]],$A94)+SUMIFS(BetTable[[AR_per_bookie]:[AR_per_bookie]],BetTable[[B1]:[B1]],$A94,BetTable[[Date]:[Date]], "&gt;="&amp;J$8,BetTable[[Date]:[Date]],"&lt;="&amp;EOMONTH(J$8,0))+SUMIFS(BetTable[[AR_per_bookie]:[AR_per_bookie]],BetTable[[B2]:[B2]],$A94,BetTable[[Date]:[Date]], "&gt;="&amp;J$8,BetTable[[Date]:[Date]],"&lt;="&amp;EOMONTH(J$8,0))+SUMIFS(BetTable[[AR_per_bookie]:[AR_per_bookie]],BetTable[[B3]:[B3]],$A94,BetTable[[Date]:[Date]], "&gt;="&amp;J$8,BetTable[[Date]:[Date]],"&lt;="&amp;EOMONTH(J$8,0))</f>
        <v>0</v>
      </c>
      <c r="K94" s="126">
        <f>SUMIFS(DWbonus[[Sum]:[Sum]],DWbonus[[Dato]:[Dato]], "&gt;="&amp;K$8,DWbonus[[Dato]:[Dato]],"&lt;="&amp;EOMONTH(K$8,0),DWbonus[[Bookie]:[Bookie]],$A94)+SUMIFS(LayTable[[Faktisk res]:[Faktisk res]],LayTable[[Dato]:[Dato]],"&gt;="&amp;K$8,LayTable[[Dato]:[Dato]],"&lt;="&amp;EOMONTH(K$8,0),LayTable[[Bookmaker]:[Bookmaker]],$A94)+SUMIFS(BetTable[[AR_per_bookie]:[AR_per_bookie]],BetTable[[B1]:[B1]],$A94,BetTable[[Date]:[Date]], "&gt;="&amp;K$8,BetTable[[Date]:[Date]],"&lt;="&amp;EOMONTH(K$8,0))+SUMIFS(BetTable[[AR_per_bookie]:[AR_per_bookie]],BetTable[[B2]:[B2]],$A94,BetTable[[Date]:[Date]], "&gt;="&amp;K$8,BetTable[[Date]:[Date]],"&lt;="&amp;EOMONTH(K$8,0))+SUMIFS(BetTable[[AR_per_bookie]:[AR_per_bookie]],BetTable[[B3]:[B3]],$A94,BetTable[[Date]:[Date]], "&gt;="&amp;K$8,BetTable[[Date]:[Date]],"&lt;="&amp;EOMONTH(K$8,0))</f>
        <v>0</v>
      </c>
      <c r="L94" s="126">
        <f>SUMIFS(DWbonus[[Sum]:[Sum]],DWbonus[[Dato]:[Dato]], "&gt;="&amp;L$8,DWbonus[[Dato]:[Dato]],"&lt;="&amp;EOMONTH(L$8,0),DWbonus[[Bookie]:[Bookie]],$A94)+SUMIFS(LayTable[[Faktisk res]:[Faktisk res]],LayTable[[Dato]:[Dato]],"&gt;="&amp;L$8,LayTable[[Dato]:[Dato]],"&lt;="&amp;EOMONTH(L$8,0),LayTable[[Bookmaker]:[Bookmaker]],$A94)+SUMIFS(BetTable[[AR_per_bookie]:[AR_per_bookie]],BetTable[[B1]:[B1]],$A94,BetTable[[Date]:[Date]], "&gt;="&amp;L$8,BetTable[[Date]:[Date]],"&lt;="&amp;EOMONTH(L$8,0))+SUMIFS(BetTable[[AR_per_bookie]:[AR_per_bookie]],BetTable[[B2]:[B2]],$A94,BetTable[[Date]:[Date]], "&gt;="&amp;L$8,BetTable[[Date]:[Date]],"&lt;="&amp;EOMONTH(L$8,0))+SUMIFS(BetTable[[AR_per_bookie]:[AR_per_bookie]],BetTable[[B3]:[B3]],$A94,BetTable[[Date]:[Date]], "&gt;="&amp;L$8,BetTable[[Date]:[Date]],"&lt;="&amp;EOMONTH(L$8,0))</f>
        <v>0</v>
      </c>
      <c r="M94" s="126">
        <f>SUMIFS(DWbonus[[Sum]:[Sum]],DWbonus[[Dato]:[Dato]], "&gt;="&amp;M$8,DWbonus[[Dato]:[Dato]],"&lt;="&amp;EOMONTH(M$8,0),DWbonus[[Bookie]:[Bookie]],$A94)+SUMIFS(LayTable[[Faktisk res]:[Faktisk res]],LayTable[[Dato]:[Dato]],"&gt;="&amp;M$8,LayTable[[Dato]:[Dato]],"&lt;="&amp;EOMONTH(M$8,0),LayTable[[Bookmaker]:[Bookmaker]],$A94)+SUMIFS(BetTable[[AR_per_bookie]:[AR_per_bookie]],BetTable[[B1]:[B1]],$A94,BetTable[[Date]:[Date]], "&gt;="&amp;M$8,BetTable[[Date]:[Date]],"&lt;="&amp;EOMONTH(M$8,0))+SUMIFS(BetTable[[AR_per_bookie]:[AR_per_bookie]],BetTable[[B2]:[B2]],$A94,BetTable[[Date]:[Date]], "&gt;="&amp;M$8,BetTable[[Date]:[Date]],"&lt;="&amp;EOMONTH(M$8,0))+SUMIFS(BetTable[[AR_per_bookie]:[AR_per_bookie]],BetTable[[B3]:[B3]],$A94,BetTable[[Date]:[Date]], "&gt;="&amp;M$8,BetTable[[Date]:[Date]],"&lt;="&amp;EOMONTH(M$8,0))</f>
        <v>0</v>
      </c>
      <c r="N94" s="126">
        <f>SUMIFS(DWbonus[[Sum]:[Sum]],DWbonus[[Dato]:[Dato]], "&gt;="&amp;N$8,DWbonus[[Dato]:[Dato]],"&lt;="&amp;EOMONTH(N$8,0),DWbonus[[Bookie]:[Bookie]],$A94)+SUMIFS(LayTable[[Faktisk res]:[Faktisk res]],LayTable[[Dato]:[Dato]],"&gt;="&amp;N$8,LayTable[[Dato]:[Dato]],"&lt;="&amp;EOMONTH(N$8,0),LayTable[[Bookmaker]:[Bookmaker]],$A94)+SUMIFS(BetTable[[AR_per_bookie]:[AR_per_bookie]],BetTable[[B1]:[B1]],$A94,BetTable[[Date]:[Date]], "&gt;="&amp;N$8,BetTable[[Date]:[Date]],"&lt;="&amp;EOMONTH(N$8,0))+SUMIFS(BetTable[[AR_per_bookie]:[AR_per_bookie]],BetTable[[B2]:[B2]],$A94,BetTable[[Date]:[Date]], "&gt;="&amp;N$8,BetTable[[Date]:[Date]],"&lt;="&amp;EOMONTH(N$8,0))+SUMIFS(BetTable[[AR_per_bookie]:[AR_per_bookie]],BetTable[[B3]:[B3]],$A94,BetTable[[Date]:[Date]], "&gt;="&amp;N$8,BetTable[[Date]:[Date]],"&lt;="&amp;EOMONTH(N$8,0))</f>
        <v>0</v>
      </c>
      <c r="O94" s="126">
        <f>SUMIFS(DWbonus[[Sum]:[Sum]],DWbonus[[Dato]:[Dato]], "&gt;="&amp;O$8,DWbonus[[Dato]:[Dato]],"&lt;="&amp;EOMONTH(O$8,0),DWbonus[[Bookie]:[Bookie]],$A94)+SUMIFS(LayTable[[Faktisk res]:[Faktisk res]],LayTable[[Dato]:[Dato]],"&gt;="&amp;O$8,LayTable[[Dato]:[Dato]],"&lt;="&amp;EOMONTH(O$8,0),LayTable[[Bookmaker]:[Bookmaker]],$A94)+SUMIFS(BetTable[[AR_per_bookie]:[AR_per_bookie]],BetTable[[B1]:[B1]],$A94,BetTable[[Date]:[Date]], "&gt;="&amp;O$8,BetTable[[Date]:[Date]],"&lt;="&amp;EOMONTH(O$8,0))+SUMIFS(BetTable[[AR_per_bookie]:[AR_per_bookie]],BetTable[[B2]:[B2]],$A94,BetTable[[Date]:[Date]], "&gt;="&amp;O$8,BetTable[[Date]:[Date]],"&lt;="&amp;EOMONTH(O$8,0))+SUMIFS(BetTable[[AR_per_bookie]:[AR_per_bookie]],BetTable[[B3]:[B3]],$A94,BetTable[[Date]:[Date]], "&gt;="&amp;O$8,BetTable[[Date]:[Date]],"&lt;="&amp;EOMONTH(O$8,0))</f>
        <v>0</v>
      </c>
      <c r="P94" s="126">
        <f>SUMIFS(DWbonus[[Sum]:[Sum]],DWbonus[[Dato]:[Dato]], "&gt;="&amp;P$8,DWbonus[[Dato]:[Dato]],"&lt;="&amp;EOMONTH(P$8,0),DWbonus[[Bookie]:[Bookie]],$A94)+SUMIFS(LayTable[[Faktisk res]:[Faktisk res]],LayTable[[Dato]:[Dato]],"&gt;="&amp;P$8,LayTable[[Dato]:[Dato]],"&lt;="&amp;EOMONTH(P$8,0),LayTable[[Bookmaker]:[Bookmaker]],$A94)+SUMIFS(BetTable[[AR_per_bookie]:[AR_per_bookie]],BetTable[[B1]:[B1]],$A94,BetTable[[Date]:[Date]], "&gt;="&amp;P$8,BetTable[[Date]:[Date]],"&lt;="&amp;EOMONTH(P$8,0))+SUMIFS(BetTable[[AR_per_bookie]:[AR_per_bookie]],BetTable[[B2]:[B2]],$A94,BetTable[[Date]:[Date]], "&gt;="&amp;P$8,BetTable[[Date]:[Date]],"&lt;="&amp;EOMONTH(P$8,0))+SUMIFS(BetTable[[AR_per_bookie]:[AR_per_bookie]],BetTable[[B3]:[B3]],$A94,BetTable[[Date]:[Date]], "&gt;="&amp;P$8,BetTable[[Date]:[Date]],"&lt;="&amp;EOMONTH(P$8,0))</f>
        <v>0</v>
      </c>
      <c r="Q94" s="126">
        <f>SUMIFS(DWbonus[[Sum]:[Sum]],DWbonus[[Dato]:[Dato]], "&gt;="&amp;Q$8,DWbonus[[Dato]:[Dato]],"&lt;="&amp;EOMONTH(Q$8,0),DWbonus[[Bookie]:[Bookie]],$A94)+SUMIFS(LayTable[[Faktisk res]:[Faktisk res]],LayTable[[Dato]:[Dato]],"&gt;="&amp;Q$8,LayTable[[Dato]:[Dato]],"&lt;="&amp;EOMONTH(Q$8,0),LayTable[[Bookmaker]:[Bookmaker]],$A94)+SUMIFS(BetTable[[AR_per_bookie]:[AR_per_bookie]],BetTable[[B1]:[B1]],$A94,BetTable[[Date]:[Date]], "&gt;="&amp;Q$8,BetTable[[Date]:[Date]],"&lt;="&amp;EOMONTH(Q$8,0))+SUMIFS(BetTable[[AR_per_bookie]:[AR_per_bookie]],BetTable[[B2]:[B2]],$A94,BetTable[[Date]:[Date]], "&gt;="&amp;Q$8,BetTable[[Date]:[Date]],"&lt;="&amp;EOMONTH(Q$8,0))+SUMIFS(BetTable[[AR_per_bookie]:[AR_per_bookie]],BetTable[[B3]:[B3]],$A94,BetTable[[Date]:[Date]], "&gt;="&amp;Q$8,BetTable[[Date]:[Date]],"&lt;="&amp;EOMONTH(Q$8,0))</f>
        <v>0</v>
      </c>
      <c r="R94" s="126">
        <f>SUMIFS(DWbonus[[Sum]:[Sum]],DWbonus[[Dato]:[Dato]], "&gt;="&amp;R$8,DWbonus[[Dato]:[Dato]],"&lt;="&amp;EOMONTH(R$8,0),DWbonus[[Bookie]:[Bookie]],$A94)+SUMIFS(LayTable[[Faktisk res]:[Faktisk res]],LayTable[[Dato]:[Dato]],"&gt;="&amp;R$8,LayTable[[Dato]:[Dato]],"&lt;="&amp;EOMONTH(R$8,0),LayTable[[Bookmaker]:[Bookmaker]],$A94)+SUMIFS(BetTable[[AR_per_bookie]:[AR_per_bookie]],BetTable[[B1]:[B1]],$A94,BetTable[[Date]:[Date]], "&gt;="&amp;R$8,BetTable[[Date]:[Date]],"&lt;="&amp;EOMONTH(R$8,0))+SUMIFS(BetTable[[AR_per_bookie]:[AR_per_bookie]],BetTable[[B2]:[B2]],$A94,BetTable[[Date]:[Date]], "&gt;="&amp;R$8,BetTable[[Date]:[Date]],"&lt;="&amp;EOMONTH(R$8,0))+SUMIFS(BetTable[[AR_per_bookie]:[AR_per_bookie]],BetTable[[B3]:[B3]],$A94,BetTable[[Date]:[Date]], "&gt;="&amp;R$8,BetTable[[Date]:[Date]],"&lt;="&amp;EOMONTH(R$8,0))</f>
        <v>0</v>
      </c>
      <c r="S94" s="126">
        <f>SUMIFS(DWbonus[[Sum]:[Sum]],DWbonus[[Dato]:[Dato]], "&gt;="&amp;S$8,DWbonus[[Dato]:[Dato]],"&lt;="&amp;EOMONTH(S$8,0),DWbonus[[Bookie]:[Bookie]],$A94)+SUMIFS(LayTable[[Faktisk res]:[Faktisk res]],LayTable[[Dato]:[Dato]],"&gt;="&amp;S$8,LayTable[[Dato]:[Dato]],"&lt;="&amp;EOMONTH(S$8,0),LayTable[[Bookmaker]:[Bookmaker]],$A94)+SUMIFS(BetTable[[AR_per_bookie]:[AR_per_bookie]],BetTable[[B1]:[B1]],$A94,BetTable[[Date]:[Date]], "&gt;="&amp;S$8,BetTable[[Date]:[Date]],"&lt;="&amp;EOMONTH(S$8,0))+SUMIFS(BetTable[[AR_per_bookie]:[AR_per_bookie]],BetTable[[B2]:[B2]],$A94,BetTable[[Date]:[Date]], "&gt;="&amp;S$8,BetTable[[Date]:[Date]],"&lt;="&amp;EOMONTH(S$8,0))+SUMIFS(BetTable[[AR_per_bookie]:[AR_per_bookie]],BetTable[[B3]:[B3]],$A94,BetTable[[Date]:[Date]], "&gt;="&amp;S$8,BetTable[[Date]:[Date]],"&lt;="&amp;EOMONTH(S$8,0))</f>
        <v>0</v>
      </c>
    </row>
    <row r="95" spans="1:19">
      <c r="A95" s="115" t="e">
        <f>BookieNavn!#REF!</f>
        <v>#REF!</v>
      </c>
      <c r="B95" s="126">
        <f>SUMIF(Penger!D$1:D$50072,A95,Penger!F$1:F$50072)</f>
        <v>0</v>
      </c>
      <c r="C95" s="126">
        <f>SUMIF(Penger!T$1:T$50072,A95,Penger!U$1:U$50072)</f>
        <v>0</v>
      </c>
      <c r="D95" s="126">
        <f ca="1">SUMIF(Spill!C$1:C$499895,A95,Spill!T$1:T$49895)+C95</f>
        <v>0</v>
      </c>
      <c r="E95" s="126">
        <f>SUMIF(Spill!C$1:C$49895,A95,Spill!T$1:T$49895)</f>
        <v>0</v>
      </c>
      <c r="F95" s="121" t="e">
        <f t="shared" ca="1" si="2"/>
        <v>#DIV/0!</v>
      </c>
      <c r="H95" s="126">
        <f>SUMIFS(DWbonus[[Sum]:[Sum]],DWbonus[[Dato]:[Dato]], "&gt;="&amp;H$8,DWbonus[[Dato]:[Dato]],"&lt;="&amp;EOMONTH(H$8,0),DWbonus[[Bookie]:[Bookie]],$A95)+SUMIFS(LayTable[[Faktisk res]:[Faktisk res]],LayTable[[Dato]:[Dato]],"&gt;="&amp;H$8,LayTable[[Dato]:[Dato]],"&lt;="&amp;EOMONTH(H$8,0),LayTable[[Bookmaker]:[Bookmaker]],$A95)+SUMIFS(BetTable[[AR_per_bookie]:[AR_per_bookie]],BetTable[[B1]:[B1]],$A95,BetTable[[Date]:[Date]], "&gt;="&amp;H$8,BetTable[[Date]:[Date]],"&lt;="&amp;EOMONTH(H$8,0))+SUMIFS(BetTable[[AR_per_bookie]:[AR_per_bookie]],BetTable[[B2]:[B2]],$A95,BetTable[[Date]:[Date]], "&gt;="&amp;H$8,BetTable[[Date]:[Date]],"&lt;="&amp;EOMONTH(H$8,0))+SUMIFS(BetTable[[AR_per_bookie]:[AR_per_bookie]],BetTable[[B3]:[B3]],$A95,BetTable[[Date]:[Date]], "&gt;="&amp;H$8,BetTable[[Date]:[Date]],"&lt;="&amp;EOMONTH(H$8,0))</f>
        <v>0</v>
      </c>
      <c r="I95" s="126">
        <f>SUMIFS(DWbonus[[Sum]:[Sum]],DWbonus[[Dato]:[Dato]], "&gt;="&amp;I$8,DWbonus[[Dato]:[Dato]],"&lt;="&amp;EOMONTH(I$8,0),DWbonus[[Bookie]:[Bookie]],$A95)+SUMIFS(LayTable[[Faktisk res]:[Faktisk res]],LayTable[[Dato]:[Dato]],"&gt;="&amp;I$8,LayTable[[Dato]:[Dato]],"&lt;="&amp;EOMONTH(I$8,0),LayTable[[Bookmaker]:[Bookmaker]],$A95)+SUMIFS(BetTable[[AR_per_bookie]:[AR_per_bookie]],BetTable[[B1]:[B1]],$A95,BetTable[[Date]:[Date]], "&gt;="&amp;I$8,BetTable[[Date]:[Date]],"&lt;="&amp;EOMONTH(I$8,0))+SUMIFS(BetTable[[AR_per_bookie]:[AR_per_bookie]],BetTable[[B2]:[B2]],$A95,BetTable[[Date]:[Date]], "&gt;="&amp;I$8,BetTable[[Date]:[Date]],"&lt;="&amp;EOMONTH(I$8,0))+SUMIFS(BetTable[[AR_per_bookie]:[AR_per_bookie]],BetTable[[B3]:[B3]],$A95,BetTable[[Date]:[Date]], "&gt;="&amp;I$8,BetTable[[Date]:[Date]],"&lt;="&amp;EOMONTH(I$8,0))</f>
        <v>0</v>
      </c>
      <c r="J95" s="126">
        <f>SUMIFS(DWbonus[[Sum]:[Sum]],DWbonus[[Dato]:[Dato]], "&gt;="&amp;J$8,DWbonus[[Dato]:[Dato]],"&lt;="&amp;EOMONTH(J$8,0),DWbonus[[Bookie]:[Bookie]],$A95)+SUMIFS(LayTable[[Faktisk res]:[Faktisk res]],LayTable[[Dato]:[Dato]],"&gt;="&amp;J$8,LayTable[[Dato]:[Dato]],"&lt;="&amp;EOMONTH(J$8,0),LayTable[[Bookmaker]:[Bookmaker]],$A95)+SUMIFS(BetTable[[AR_per_bookie]:[AR_per_bookie]],BetTable[[B1]:[B1]],$A95,BetTable[[Date]:[Date]], "&gt;="&amp;J$8,BetTable[[Date]:[Date]],"&lt;="&amp;EOMONTH(J$8,0))+SUMIFS(BetTable[[AR_per_bookie]:[AR_per_bookie]],BetTable[[B2]:[B2]],$A95,BetTable[[Date]:[Date]], "&gt;="&amp;J$8,BetTable[[Date]:[Date]],"&lt;="&amp;EOMONTH(J$8,0))+SUMIFS(BetTable[[AR_per_bookie]:[AR_per_bookie]],BetTable[[B3]:[B3]],$A95,BetTable[[Date]:[Date]], "&gt;="&amp;J$8,BetTable[[Date]:[Date]],"&lt;="&amp;EOMONTH(J$8,0))</f>
        <v>0</v>
      </c>
      <c r="K95" s="126">
        <f>SUMIFS(DWbonus[[Sum]:[Sum]],DWbonus[[Dato]:[Dato]], "&gt;="&amp;K$8,DWbonus[[Dato]:[Dato]],"&lt;="&amp;EOMONTH(K$8,0),DWbonus[[Bookie]:[Bookie]],$A95)+SUMIFS(LayTable[[Faktisk res]:[Faktisk res]],LayTable[[Dato]:[Dato]],"&gt;="&amp;K$8,LayTable[[Dato]:[Dato]],"&lt;="&amp;EOMONTH(K$8,0),LayTable[[Bookmaker]:[Bookmaker]],$A95)+SUMIFS(BetTable[[AR_per_bookie]:[AR_per_bookie]],BetTable[[B1]:[B1]],$A95,BetTable[[Date]:[Date]], "&gt;="&amp;K$8,BetTable[[Date]:[Date]],"&lt;="&amp;EOMONTH(K$8,0))+SUMIFS(BetTable[[AR_per_bookie]:[AR_per_bookie]],BetTable[[B2]:[B2]],$A95,BetTable[[Date]:[Date]], "&gt;="&amp;K$8,BetTable[[Date]:[Date]],"&lt;="&amp;EOMONTH(K$8,0))+SUMIFS(BetTable[[AR_per_bookie]:[AR_per_bookie]],BetTable[[B3]:[B3]],$A95,BetTable[[Date]:[Date]], "&gt;="&amp;K$8,BetTable[[Date]:[Date]],"&lt;="&amp;EOMONTH(K$8,0))</f>
        <v>0</v>
      </c>
      <c r="L95" s="126">
        <f>SUMIFS(DWbonus[[Sum]:[Sum]],DWbonus[[Dato]:[Dato]], "&gt;="&amp;L$8,DWbonus[[Dato]:[Dato]],"&lt;="&amp;EOMONTH(L$8,0),DWbonus[[Bookie]:[Bookie]],$A95)+SUMIFS(LayTable[[Faktisk res]:[Faktisk res]],LayTable[[Dato]:[Dato]],"&gt;="&amp;L$8,LayTable[[Dato]:[Dato]],"&lt;="&amp;EOMONTH(L$8,0),LayTable[[Bookmaker]:[Bookmaker]],$A95)+SUMIFS(BetTable[[AR_per_bookie]:[AR_per_bookie]],BetTable[[B1]:[B1]],$A95,BetTable[[Date]:[Date]], "&gt;="&amp;L$8,BetTable[[Date]:[Date]],"&lt;="&amp;EOMONTH(L$8,0))+SUMIFS(BetTable[[AR_per_bookie]:[AR_per_bookie]],BetTable[[B2]:[B2]],$A95,BetTable[[Date]:[Date]], "&gt;="&amp;L$8,BetTable[[Date]:[Date]],"&lt;="&amp;EOMONTH(L$8,0))+SUMIFS(BetTable[[AR_per_bookie]:[AR_per_bookie]],BetTable[[B3]:[B3]],$A95,BetTable[[Date]:[Date]], "&gt;="&amp;L$8,BetTable[[Date]:[Date]],"&lt;="&amp;EOMONTH(L$8,0))</f>
        <v>0</v>
      </c>
      <c r="M95" s="126">
        <f>SUMIFS(DWbonus[[Sum]:[Sum]],DWbonus[[Dato]:[Dato]], "&gt;="&amp;M$8,DWbonus[[Dato]:[Dato]],"&lt;="&amp;EOMONTH(M$8,0),DWbonus[[Bookie]:[Bookie]],$A95)+SUMIFS(LayTable[[Faktisk res]:[Faktisk res]],LayTable[[Dato]:[Dato]],"&gt;="&amp;M$8,LayTable[[Dato]:[Dato]],"&lt;="&amp;EOMONTH(M$8,0),LayTable[[Bookmaker]:[Bookmaker]],$A95)+SUMIFS(BetTable[[AR_per_bookie]:[AR_per_bookie]],BetTable[[B1]:[B1]],$A95,BetTable[[Date]:[Date]], "&gt;="&amp;M$8,BetTable[[Date]:[Date]],"&lt;="&amp;EOMONTH(M$8,0))+SUMIFS(BetTable[[AR_per_bookie]:[AR_per_bookie]],BetTable[[B2]:[B2]],$A95,BetTable[[Date]:[Date]], "&gt;="&amp;M$8,BetTable[[Date]:[Date]],"&lt;="&amp;EOMONTH(M$8,0))+SUMIFS(BetTable[[AR_per_bookie]:[AR_per_bookie]],BetTable[[B3]:[B3]],$A95,BetTable[[Date]:[Date]], "&gt;="&amp;M$8,BetTable[[Date]:[Date]],"&lt;="&amp;EOMONTH(M$8,0))</f>
        <v>0</v>
      </c>
      <c r="N95" s="126">
        <f>SUMIFS(DWbonus[[Sum]:[Sum]],DWbonus[[Dato]:[Dato]], "&gt;="&amp;N$8,DWbonus[[Dato]:[Dato]],"&lt;="&amp;EOMONTH(N$8,0),DWbonus[[Bookie]:[Bookie]],$A95)+SUMIFS(LayTable[[Faktisk res]:[Faktisk res]],LayTable[[Dato]:[Dato]],"&gt;="&amp;N$8,LayTable[[Dato]:[Dato]],"&lt;="&amp;EOMONTH(N$8,0),LayTable[[Bookmaker]:[Bookmaker]],$A95)+SUMIFS(BetTable[[AR_per_bookie]:[AR_per_bookie]],BetTable[[B1]:[B1]],$A95,BetTable[[Date]:[Date]], "&gt;="&amp;N$8,BetTable[[Date]:[Date]],"&lt;="&amp;EOMONTH(N$8,0))+SUMIFS(BetTable[[AR_per_bookie]:[AR_per_bookie]],BetTable[[B2]:[B2]],$A95,BetTable[[Date]:[Date]], "&gt;="&amp;N$8,BetTable[[Date]:[Date]],"&lt;="&amp;EOMONTH(N$8,0))+SUMIFS(BetTable[[AR_per_bookie]:[AR_per_bookie]],BetTable[[B3]:[B3]],$A95,BetTable[[Date]:[Date]], "&gt;="&amp;N$8,BetTable[[Date]:[Date]],"&lt;="&amp;EOMONTH(N$8,0))</f>
        <v>0</v>
      </c>
      <c r="O95" s="126">
        <f>SUMIFS(DWbonus[[Sum]:[Sum]],DWbonus[[Dato]:[Dato]], "&gt;="&amp;O$8,DWbonus[[Dato]:[Dato]],"&lt;="&amp;EOMONTH(O$8,0),DWbonus[[Bookie]:[Bookie]],$A95)+SUMIFS(LayTable[[Faktisk res]:[Faktisk res]],LayTable[[Dato]:[Dato]],"&gt;="&amp;O$8,LayTable[[Dato]:[Dato]],"&lt;="&amp;EOMONTH(O$8,0),LayTable[[Bookmaker]:[Bookmaker]],$A95)+SUMIFS(BetTable[[AR_per_bookie]:[AR_per_bookie]],BetTable[[B1]:[B1]],$A95,BetTable[[Date]:[Date]], "&gt;="&amp;O$8,BetTable[[Date]:[Date]],"&lt;="&amp;EOMONTH(O$8,0))+SUMIFS(BetTable[[AR_per_bookie]:[AR_per_bookie]],BetTable[[B2]:[B2]],$A95,BetTable[[Date]:[Date]], "&gt;="&amp;O$8,BetTable[[Date]:[Date]],"&lt;="&amp;EOMONTH(O$8,0))+SUMIFS(BetTable[[AR_per_bookie]:[AR_per_bookie]],BetTable[[B3]:[B3]],$A95,BetTable[[Date]:[Date]], "&gt;="&amp;O$8,BetTable[[Date]:[Date]],"&lt;="&amp;EOMONTH(O$8,0))</f>
        <v>0</v>
      </c>
      <c r="P95" s="126">
        <f>SUMIFS(DWbonus[[Sum]:[Sum]],DWbonus[[Dato]:[Dato]], "&gt;="&amp;P$8,DWbonus[[Dato]:[Dato]],"&lt;="&amp;EOMONTH(P$8,0),DWbonus[[Bookie]:[Bookie]],$A95)+SUMIFS(LayTable[[Faktisk res]:[Faktisk res]],LayTable[[Dato]:[Dato]],"&gt;="&amp;P$8,LayTable[[Dato]:[Dato]],"&lt;="&amp;EOMONTH(P$8,0),LayTable[[Bookmaker]:[Bookmaker]],$A95)+SUMIFS(BetTable[[AR_per_bookie]:[AR_per_bookie]],BetTable[[B1]:[B1]],$A95,BetTable[[Date]:[Date]], "&gt;="&amp;P$8,BetTable[[Date]:[Date]],"&lt;="&amp;EOMONTH(P$8,0))+SUMIFS(BetTable[[AR_per_bookie]:[AR_per_bookie]],BetTable[[B2]:[B2]],$A95,BetTable[[Date]:[Date]], "&gt;="&amp;P$8,BetTable[[Date]:[Date]],"&lt;="&amp;EOMONTH(P$8,0))+SUMIFS(BetTable[[AR_per_bookie]:[AR_per_bookie]],BetTable[[B3]:[B3]],$A95,BetTable[[Date]:[Date]], "&gt;="&amp;P$8,BetTable[[Date]:[Date]],"&lt;="&amp;EOMONTH(P$8,0))</f>
        <v>0</v>
      </c>
      <c r="Q95" s="126">
        <f>SUMIFS(DWbonus[[Sum]:[Sum]],DWbonus[[Dato]:[Dato]], "&gt;="&amp;Q$8,DWbonus[[Dato]:[Dato]],"&lt;="&amp;EOMONTH(Q$8,0),DWbonus[[Bookie]:[Bookie]],$A95)+SUMIFS(LayTable[[Faktisk res]:[Faktisk res]],LayTable[[Dato]:[Dato]],"&gt;="&amp;Q$8,LayTable[[Dato]:[Dato]],"&lt;="&amp;EOMONTH(Q$8,0),LayTable[[Bookmaker]:[Bookmaker]],$A95)+SUMIFS(BetTable[[AR_per_bookie]:[AR_per_bookie]],BetTable[[B1]:[B1]],$A95,BetTable[[Date]:[Date]], "&gt;="&amp;Q$8,BetTable[[Date]:[Date]],"&lt;="&amp;EOMONTH(Q$8,0))+SUMIFS(BetTable[[AR_per_bookie]:[AR_per_bookie]],BetTable[[B2]:[B2]],$A95,BetTable[[Date]:[Date]], "&gt;="&amp;Q$8,BetTable[[Date]:[Date]],"&lt;="&amp;EOMONTH(Q$8,0))+SUMIFS(BetTable[[AR_per_bookie]:[AR_per_bookie]],BetTable[[B3]:[B3]],$A95,BetTable[[Date]:[Date]], "&gt;="&amp;Q$8,BetTable[[Date]:[Date]],"&lt;="&amp;EOMONTH(Q$8,0))</f>
        <v>0</v>
      </c>
      <c r="R95" s="126">
        <f>SUMIFS(DWbonus[[Sum]:[Sum]],DWbonus[[Dato]:[Dato]], "&gt;="&amp;R$8,DWbonus[[Dato]:[Dato]],"&lt;="&amp;EOMONTH(R$8,0),DWbonus[[Bookie]:[Bookie]],$A95)+SUMIFS(LayTable[[Faktisk res]:[Faktisk res]],LayTable[[Dato]:[Dato]],"&gt;="&amp;R$8,LayTable[[Dato]:[Dato]],"&lt;="&amp;EOMONTH(R$8,0),LayTable[[Bookmaker]:[Bookmaker]],$A95)+SUMIFS(BetTable[[AR_per_bookie]:[AR_per_bookie]],BetTable[[B1]:[B1]],$A95,BetTable[[Date]:[Date]], "&gt;="&amp;R$8,BetTable[[Date]:[Date]],"&lt;="&amp;EOMONTH(R$8,0))+SUMIFS(BetTable[[AR_per_bookie]:[AR_per_bookie]],BetTable[[B2]:[B2]],$A95,BetTable[[Date]:[Date]], "&gt;="&amp;R$8,BetTable[[Date]:[Date]],"&lt;="&amp;EOMONTH(R$8,0))+SUMIFS(BetTable[[AR_per_bookie]:[AR_per_bookie]],BetTable[[B3]:[B3]],$A95,BetTable[[Date]:[Date]], "&gt;="&amp;R$8,BetTable[[Date]:[Date]],"&lt;="&amp;EOMONTH(R$8,0))</f>
        <v>0</v>
      </c>
      <c r="S95" s="126">
        <f>SUMIFS(DWbonus[[Sum]:[Sum]],DWbonus[[Dato]:[Dato]], "&gt;="&amp;S$8,DWbonus[[Dato]:[Dato]],"&lt;="&amp;EOMONTH(S$8,0),DWbonus[[Bookie]:[Bookie]],$A95)+SUMIFS(LayTable[[Faktisk res]:[Faktisk res]],LayTable[[Dato]:[Dato]],"&gt;="&amp;S$8,LayTable[[Dato]:[Dato]],"&lt;="&amp;EOMONTH(S$8,0),LayTable[[Bookmaker]:[Bookmaker]],$A95)+SUMIFS(BetTable[[AR_per_bookie]:[AR_per_bookie]],BetTable[[B1]:[B1]],$A95,BetTable[[Date]:[Date]], "&gt;="&amp;S$8,BetTable[[Date]:[Date]],"&lt;="&amp;EOMONTH(S$8,0))+SUMIFS(BetTable[[AR_per_bookie]:[AR_per_bookie]],BetTable[[B2]:[B2]],$A95,BetTable[[Date]:[Date]], "&gt;="&amp;S$8,BetTable[[Date]:[Date]],"&lt;="&amp;EOMONTH(S$8,0))+SUMIFS(BetTable[[AR_per_bookie]:[AR_per_bookie]],BetTable[[B3]:[B3]],$A95,BetTable[[Date]:[Date]], "&gt;="&amp;S$8,BetTable[[Date]:[Date]],"&lt;="&amp;EOMONTH(S$8,0))</f>
        <v>0</v>
      </c>
    </row>
    <row r="96" spans="1:19">
      <c r="A96" s="115" t="str">
        <f>BookieNavn!I89</f>
        <v>AaBethard</v>
      </c>
      <c r="B96" s="126">
        <f>SUMIF(Penger!D$1:D$50072,A96,Penger!F$1:F$50072)</f>
        <v>0</v>
      </c>
      <c r="C96" s="126">
        <f>SUMIF(Penger!T$1:T$50072,A96,Penger!U$1:U$50072)</f>
        <v>0</v>
      </c>
      <c r="D96" s="126">
        <f ca="1">SUMIF(Spill!C$1:C$499895,A96,Spill!T$1:T$49895)+C96</f>
        <v>0</v>
      </c>
      <c r="E96" s="126">
        <f>SUMIF(Spill!C$1:C$49895,A96,Spill!T$1:T$49895)</f>
        <v>0</v>
      </c>
      <c r="F96" s="121" t="e">
        <f t="shared" ca="1" si="2"/>
        <v>#DIV/0!</v>
      </c>
      <c r="H96" s="126">
        <f>SUMIFS(DWbonus[[Sum]:[Sum]],DWbonus[[Dato]:[Dato]], "&gt;="&amp;H$8,DWbonus[[Dato]:[Dato]],"&lt;="&amp;EOMONTH(H$8,0),DWbonus[[Bookie]:[Bookie]],$A96)+SUMIFS(LayTable[[Faktisk res]:[Faktisk res]],LayTable[[Dato]:[Dato]],"&gt;="&amp;H$8,LayTable[[Dato]:[Dato]],"&lt;="&amp;EOMONTH(H$8,0),LayTable[[Bookmaker]:[Bookmaker]],$A96)+SUMIFS(BetTable[[AR_per_bookie]:[AR_per_bookie]],BetTable[[B1]:[B1]],$A96,BetTable[[Date]:[Date]], "&gt;="&amp;H$8,BetTable[[Date]:[Date]],"&lt;="&amp;EOMONTH(H$8,0))+SUMIFS(BetTable[[AR_per_bookie]:[AR_per_bookie]],BetTable[[B2]:[B2]],$A96,BetTable[[Date]:[Date]], "&gt;="&amp;H$8,BetTable[[Date]:[Date]],"&lt;="&amp;EOMONTH(H$8,0))+SUMIFS(BetTable[[AR_per_bookie]:[AR_per_bookie]],BetTable[[B3]:[B3]],$A96,BetTable[[Date]:[Date]], "&gt;="&amp;H$8,BetTable[[Date]:[Date]],"&lt;="&amp;EOMONTH(H$8,0))</f>
        <v>0</v>
      </c>
      <c r="I96" s="126">
        <f>SUMIFS(DWbonus[[Sum]:[Sum]],DWbonus[[Dato]:[Dato]], "&gt;="&amp;I$8,DWbonus[[Dato]:[Dato]],"&lt;="&amp;EOMONTH(I$8,0),DWbonus[[Bookie]:[Bookie]],$A96)+SUMIFS(LayTable[[Faktisk res]:[Faktisk res]],LayTable[[Dato]:[Dato]],"&gt;="&amp;I$8,LayTable[[Dato]:[Dato]],"&lt;="&amp;EOMONTH(I$8,0),LayTable[[Bookmaker]:[Bookmaker]],$A96)+SUMIFS(BetTable[[AR_per_bookie]:[AR_per_bookie]],BetTable[[B1]:[B1]],$A96,BetTable[[Date]:[Date]], "&gt;="&amp;I$8,BetTable[[Date]:[Date]],"&lt;="&amp;EOMONTH(I$8,0))+SUMIFS(BetTable[[AR_per_bookie]:[AR_per_bookie]],BetTable[[B2]:[B2]],$A96,BetTable[[Date]:[Date]], "&gt;="&amp;I$8,BetTable[[Date]:[Date]],"&lt;="&amp;EOMONTH(I$8,0))+SUMIFS(BetTable[[AR_per_bookie]:[AR_per_bookie]],BetTable[[B3]:[B3]],$A96,BetTable[[Date]:[Date]], "&gt;="&amp;I$8,BetTable[[Date]:[Date]],"&lt;="&amp;EOMONTH(I$8,0))</f>
        <v>0</v>
      </c>
      <c r="J96" s="126">
        <f>SUMIFS(DWbonus[[Sum]:[Sum]],DWbonus[[Dato]:[Dato]], "&gt;="&amp;J$8,DWbonus[[Dato]:[Dato]],"&lt;="&amp;EOMONTH(J$8,0),DWbonus[[Bookie]:[Bookie]],$A96)+SUMIFS(LayTable[[Faktisk res]:[Faktisk res]],LayTable[[Dato]:[Dato]],"&gt;="&amp;J$8,LayTable[[Dato]:[Dato]],"&lt;="&amp;EOMONTH(J$8,0),LayTable[[Bookmaker]:[Bookmaker]],$A96)+SUMIFS(BetTable[[AR_per_bookie]:[AR_per_bookie]],BetTable[[B1]:[B1]],$A96,BetTable[[Date]:[Date]], "&gt;="&amp;J$8,BetTable[[Date]:[Date]],"&lt;="&amp;EOMONTH(J$8,0))+SUMIFS(BetTable[[AR_per_bookie]:[AR_per_bookie]],BetTable[[B2]:[B2]],$A96,BetTable[[Date]:[Date]], "&gt;="&amp;J$8,BetTable[[Date]:[Date]],"&lt;="&amp;EOMONTH(J$8,0))+SUMIFS(BetTable[[AR_per_bookie]:[AR_per_bookie]],BetTable[[B3]:[B3]],$A96,BetTable[[Date]:[Date]], "&gt;="&amp;J$8,BetTable[[Date]:[Date]],"&lt;="&amp;EOMONTH(J$8,0))</f>
        <v>0</v>
      </c>
      <c r="K96" s="126">
        <f>SUMIFS(DWbonus[[Sum]:[Sum]],DWbonus[[Dato]:[Dato]], "&gt;="&amp;K$8,DWbonus[[Dato]:[Dato]],"&lt;="&amp;EOMONTH(K$8,0),DWbonus[[Bookie]:[Bookie]],$A96)+SUMIFS(LayTable[[Faktisk res]:[Faktisk res]],LayTable[[Dato]:[Dato]],"&gt;="&amp;K$8,LayTable[[Dato]:[Dato]],"&lt;="&amp;EOMONTH(K$8,0),LayTable[[Bookmaker]:[Bookmaker]],$A96)+SUMIFS(BetTable[[AR_per_bookie]:[AR_per_bookie]],BetTable[[B1]:[B1]],$A96,BetTable[[Date]:[Date]], "&gt;="&amp;K$8,BetTable[[Date]:[Date]],"&lt;="&amp;EOMONTH(K$8,0))+SUMIFS(BetTable[[AR_per_bookie]:[AR_per_bookie]],BetTable[[B2]:[B2]],$A96,BetTable[[Date]:[Date]], "&gt;="&amp;K$8,BetTable[[Date]:[Date]],"&lt;="&amp;EOMONTH(K$8,0))+SUMIFS(BetTable[[AR_per_bookie]:[AR_per_bookie]],BetTable[[B3]:[B3]],$A96,BetTable[[Date]:[Date]], "&gt;="&amp;K$8,BetTable[[Date]:[Date]],"&lt;="&amp;EOMONTH(K$8,0))</f>
        <v>0</v>
      </c>
      <c r="L96" s="126">
        <f>SUMIFS(DWbonus[[Sum]:[Sum]],DWbonus[[Dato]:[Dato]], "&gt;="&amp;L$8,DWbonus[[Dato]:[Dato]],"&lt;="&amp;EOMONTH(L$8,0),DWbonus[[Bookie]:[Bookie]],$A96)+SUMIFS(LayTable[[Faktisk res]:[Faktisk res]],LayTable[[Dato]:[Dato]],"&gt;="&amp;L$8,LayTable[[Dato]:[Dato]],"&lt;="&amp;EOMONTH(L$8,0),LayTable[[Bookmaker]:[Bookmaker]],$A96)+SUMIFS(BetTable[[AR_per_bookie]:[AR_per_bookie]],BetTable[[B1]:[B1]],$A96,BetTable[[Date]:[Date]], "&gt;="&amp;L$8,BetTable[[Date]:[Date]],"&lt;="&amp;EOMONTH(L$8,0))+SUMIFS(BetTable[[AR_per_bookie]:[AR_per_bookie]],BetTable[[B2]:[B2]],$A96,BetTable[[Date]:[Date]], "&gt;="&amp;L$8,BetTable[[Date]:[Date]],"&lt;="&amp;EOMONTH(L$8,0))+SUMIFS(BetTable[[AR_per_bookie]:[AR_per_bookie]],BetTable[[B3]:[B3]],$A96,BetTable[[Date]:[Date]], "&gt;="&amp;L$8,BetTable[[Date]:[Date]],"&lt;="&amp;EOMONTH(L$8,0))</f>
        <v>0</v>
      </c>
      <c r="M96" s="126">
        <f>SUMIFS(DWbonus[[Sum]:[Sum]],DWbonus[[Dato]:[Dato]], "&gt;="&amp;M$8,DWbonus[[Dato]:[Dato]],"&lt;="&amp;EOMONTH(M$8,0),DWbonus[[Bookie]:[Bookie]],$A96)+SUMIFS(LayTable[[Faktisk res]:[Faktisk res]],LayTable[[Dato]:[Dato]],"&gt;="&amp;M$8,LayTable[[Dato]:[Dato]],"&lt;="&amp;EOMONTH(M$8,0),LayTable[[Bookmaker]:[Bookmaker]],$A96)+SUMIFS(BetTable[[AR_per_bookie]:[AR_per_bookie]],BetTable[[B1]:[B1]],$A96,BetTable[[Date]:[Date]], "&gt;="&amp;M$8,BetTable[[Date]:[Date]],"&lt;="&amp;EOMONTH(M$8,0))+SUMIFS(BetTable[[AR_per_bookie]:[AR_per_bookie]],BetTable[[B2]:[B2]],$A96,BetTable[[Date]:[Date]], "&gt;="&amp;M$8,BetTable[[Date]:[Date]],"&lt;="&amp;EOMONTH(M$8,0))+SUMIFS(BetTable[[AR_per_bookie]:[AR_per_bookie]],BetTable[[B3]:[B3]],$A96,BetTable[[Date]:[Date]], "&gt;="&amp;M$8,BetTable[[Date]:[Date]],"&lt;="&amp;EOMONTH(M$8,0))</f>
        <v>0</v>
      </c>
      <c r="N96" s="126">
        <f>SUMIFS(DWbonus[[Sum]:[Sum]],DWbonus[[Dato]:[Dato]], "&gt;="&amp;N$8,DWbonus[[Dato]:[Dato]],"&lt;="&amp;EOMONTH(N$8,0),DWbonus[[Bookie]:[Bookie]],$A96)+SUMIFS(LayTable[[Faktisk res]:[Faktisk res]],LayTable[[Dato]:[Dato]],"&gt;="&amp;N$8,LayTable[[Dato]:[Dato]],"&lt;="&amp;EOMONTH(N$8,0),LayTable[[Bookmaker]:[Bookmaker]],$A96)+SUMIFS(BetTable[[AR_per_bookie]:[AR_per_bookie]],BetTable[[B1]:[B1]],$A96,BetTable[[Date]:[Date]], "&gt;="&amp;N$8,BetTable[[Date]:[Date]],"&lt;="&amp;EOMONTH(N$8,0))+SUMIFS(BetTable[[AR_per_bookie]:[AR_per_bookie]],BetTable[[B2]:[B2]],$A96,BetTable[[Date]:[Date]], "&gt;="&amp;N$8,BetTable[[Date]:[Date]],"&lt;="&amp;EOMONTH(N$8,0))+SUMIFS(BetTable[[AR_per_bookie]:[AR_per_bookie]],BetTable[[B3]:[B3]],$A96,BetTable[[Date]:[Date]], "&gt;="&amp;N$8,BetTable[[Date]:[Date]],"&lt;="&amp;EOMONTH(N$8,0))</f>
        <v>0</v>
      </c>
      <c r="O96" s="126">
        <f>SUMIFS(DWbonus[[Sum]:[Sum]],DWbonus[[Dato]:[Dato]], "&gt;="&amp;O$8,DWbonus[[Dato]:[Dato]],"&lt;="&amp;EOMONTH(O$8,0),DWbonus[[Bookie]:[Bookie]],$A96)+SUMIFS(LayTable[[Faktisk res]:[Faktisk res]],LayTable[[Dato]:[Dato]],"&gt;="&amp;O$8,LayTable[[Dato]:[Dato]],"&lt;="&amp;EOMONTH(O$8,0),LayTable[[Bookmaker]:[Bookmaker]],$A96)+SUMIFS(BetTable[[AR_per_bookie]:[AR_per_bookie]],BetTable[[B1]:[B1]],$A96,BetTable[[Date]:[Date]], "&gt;="&amp;O$8,BetTable[[Date]:[Date]],"&lt;="&amp;EOMONTH(O$8,0))+SUMIFS(BetTable[[AR_per_bookie]:[AR_per_bookie]],BetTable[[B2]:[B2]],$A96,BetTable[[Date]:[Date]], "&gt;="&amp;O$8,BetTable[[Date]:[Date]],"&lt;="&amp;EOMONTH(O$8,0))+SUMIFS(BetTable[[AR_per_bookie]:[AR_per_bookie]],BetTable[[B3]:[B3]],$A96,BetTable[[Date]:[Date]], "&gt;="&amp;O$8,BetTable[[Date]:[Date]],"&lt;="&amp;EOMONTH(O$8,0))</f>
        <v>0</v>
      </c>
      <c r="P96" s="126">
        <f>SUMIFS(DWbonus[[Sum]:[Sum]],DWbonus[[Dato]:[Dato]], "&gt;="&amp;P$8,DWbonus[[Dato]:[Dato]],"&lt;="&amp;EOMONTH(P$8,0),DWbonus[[Bookie]:[Bookie]],$A96)+SUMIFS(LayTable[[Faktisk res]:[Faktisk res]],LayTable[[Dato]:[Dato]],"&gt;="&amp;P$8,LayTable[[Dato]:[Dato]],"&lt;="&amp;EOMONTH(P$8,0),LayTable[[Bookmaker]:[Bookmaker]],$A96)+SUMIFS(BetTable[[AR_per_bookie]:[AR_per_bookie]],BetTable[[B1]:[B1]],$A96,BetTable[[Date]:[Date]], "&gt;="&amp;P$8,BetTable[[Date]:[Date]],"&lt;="&amp;EOMONTH(P$8,0))+SUMIFS(BetTable[[AR_per_bookie]:[AR_per_bookie]],BetTable[[B2]:[B2]],$A96,BetTable[[Date]:[Date]], "&gt;="&amp;P$8,BetTable[[Date]:[Date]],"&lt;="&amp;EOMONTH(P$8,0))+SUMIFS(BetTable[[AR_per_bookie]:[AR_per_bookie]],BetTable[[B3]:[B3]],$A96,BetTable[[Date]:[Date]], "&gt;="&amp;P$8,BetTable[[Date]:[Date]],"&lt;="&amp;EOMONTH(P$8,0))</f>
        <v>0</v>
      </c>
      <c r="Q96" s="126">
        <f>SUMIFS(DWbonus[[Sum]:[Sum]],DWbonus[[Dato]:[Dato]], "&gt;="&amp;Q$8,DWbonus[[Dato]:[Dato]],"&lt;="&amp;EOMONTH(Q$8,0),DWbonus[[Bookie]:[Bookie]],$A96)+SUMIFS(LayTable[[Faktisk res]:[Faktisk res]],LayTable[[Dato]:[Dato]],"&gt;="&amp;Q$8,LayTable[[Dato]:[Dato]],"&lt;="&amp;EOMONTH(Q$8,0),LayTable[[Bookmaker]:[Bookmaker]],$A96)+SUMIFS(BetTable[[AR_per_bookie]:[AR_per_bookie]],BetTable[[B1]:[B1]],$A96,BetTable[[Date]:[Date]], "&gt;="&amp;Q$8,BetTable[[Date]:[Date]],"&lt;="&amp;EOMONTH(Q$8,0))+SUMIFS(BetTable[[AR_per_bookie]:[AR_per_bookie]],BetTable[[B2]:[B2]],$A96,BetTable[[Date]:[Date]], "&gt;="&amp;Q$8,BetTable[[Date]:[Date]],"&lt;="&amp;EOMONTH(Q$8,0))+SUMIFS(BetTable[[AR_per_bookie]:[AR_per_bookie]],BetTable[[B3]:[B3]],$A96,BetTable[[Date]:[Date]], "&gt;="&amp;Q$8,BetTable[[Date]:[Date]],"&lt;="&amp;EOMONTH(Q$8,0))</f>
        <v>0</v>
      </c>
      <c r="R96" s="126">
        <f>SUMIFS(DWbonus[[Sum]:[Sum]],DWbonus[[Dato]:[Dato]], "&gt;="&amp;R$8,DWbonus[[Dato]:[Dato]],"&lt;="&amp;EOMONTH(R$8,0),DWbonus[[Bookie]:[Bookie]],$A96)+SUMIFS(LayTable[[Faktisk res]:[Faktisk res]],LayTable[[Dato]:[Dato]],"&gt;="&amp;R$8,LayTable[[Dato]:[Dato]],"&lt;="&amp;EOMONTH(R$8,0),LayTable[[Bookmaker]:[Bookmaker]],$A96)+SUMIFS(BetTable[[AR_per_bookie]:[AR_per_bookie]],BetTable[[B1]:[B1]],$A96,BetTable[[Date]:[Date]], "&gt;="&amp;R$8,BetTable[[Date]:[Date]],"&lt;="&amp;EOMONTH(R$8,0))+SUMIFS(BetTable[[AR_per_bookie]:[AR_per_bookie]],BetTable[[B2]:[B2]],$A96,BetTable[[Date]:[Date]], "&gt;="&amp;R$8,BetTable[[Date]:[Date]],"&lt;="&amp;EOMONTH(R$8,0))+SUMIFS(BetTable[[AR_per_bookie]:[AR_per_bookie]],BetTable[[B3]:[B3]],$A96,BetTable[[Date]:[Date]], "&gt;="&amp;R$8,BetTable[[Date]:[Date]],"&lt;="&amp;EOMONTH(R$8,0))</f>
        <v>0</v>
      </c>
      <c r="S96" s="126">
        <f>SUMIFS(DWbonus[[Sum]:[Sum]],DWbonus[[Dato]:[Dato]], "&gt;="&amp;S$8,DWbonus[[Dato]:[Dato]],"&lt;="&amp;EOMONTH(S$8,0),DWbonus[[Bookie]:[Bookie]],$A96)+SUMIFS(LayTable[[Faktisk res]:[Faktisk res]],LayTable[[Dato]:[Dato]],"&gt;="&amp;S$8,LayTable[[Dato]:[Dato]],"&lt;="&amp;EOMONTH(S$8,0),LayTable[[Bookmaker]:[Bookmaker]],$A96)+SUMIFS(BetTable[[AR_per_bookie]:[AR_per_bookie]],BetTable[[B1]:[B1]],$A96,BetTable[[Date]:[Date]], "&gt;="&amp;S$8,BetTable[[Date]:[Date]],"&lt;="&amp;EOMONTH(S$8,0))+SUMIFS(BetTable[[AR_per_bookie]:[AR_per_bookie]],BetTable[[B2]:[B2]],$A96,BetTable[[Date]:[Date]], "&gt;="&amp;S$8,BetTable[[Date]:[Date]],"&lt;="&amp;EOMONTH(S$8,0))+SUMIFS(BetTable[[AR_per_bookie]:[AR_per_bookie]],BetTable[[B3]:[B3]],$A96,BetTable[[Date]:[Date]], "&gt;="&amp;S$8,BetTable[[Date]:[Date]],"&lt;="&amp;EOMONTH(S$8,0))</f>
        <v>0</v>
      </c>
    </row>
    <row r="97" spans="1:19">
      <c r="A97" s="115" t="str">
        <f>BookieNavn!I90</f>
        <v>AaBet365</v>
      </c>
      <c r="B97" s="126">
        <f>SUMIF(Penger!D$1:D$50072,A97,Penger!F$1:F$50072)</f>
        <v>0</v>
      </c>
      <c r="C97" s="126">
        <f>SUMIF(Penger!T$1:T$50072,A97,Penger!U$1:U$50072)</f>
        <v>0</v>
      </c>
      <c r="D97" s="126">
        <f ca="1">SUMIF(Spill!C$1:C$499895,A97,Spill!T$1:T$49895)+C97</f>
        <v>0</v>
      </c>
      <c r="E97" s="126">
        <f>SUMIF(Spill!C$1:C$49895,A97,Spill!T$1:T$49895)</f>
        <v>0</v>
      </c>
      <c r="F97" s="121" t="e">
        <f t="shared" ca="1" si="2"/>
        <v>#DIV/0!</v>
      </c>
      <c r="H97" s="126">
        <f>SUMIFS(DWbonus[[Sum]:[Sum]],DWbonus[[Dato]:[Dato]], "&gt;="&amp;H$8,DWbonus[[Dato]:[Dato]],"&lt;="&amp;EOMONTH(H$8,0),DWbonus[[Bookie]:[Bookie]],$A97)+SUMIFS(LayTable[[Faktisk res]:[Faktisk res]],LayTable[[Dato]:[Dato]],"&gt;="&amp;H$8,LayTable[[Dato]:[Dato]],"&lt;="&amp;EOMONTH(H$8,0),LayTable[[Bookmaker]:[Bookmaker]],$A97)+SUMIFS(BetTable[[AR_per_bookie]:[AR_per_bookie]],BetTable[[B1]:[B1]],$A97,BetTable[[Date]:[Date]], "&gt;="&amp;H$8,BetTable[[Date]:[Date]],"&lt;="&amp;EOMONTH(H$8,0))+SUMIFS(BetTable[[AR_per_bookie]:[AR_per_bookie]],BetTable[[B2]:[B2]],$A97,BetTable[[Date]:[Date]], "&gt;="&amp;H$8,BetTable[[Date]:[Date]],"&lt;="&amp;EOMONTH(H$8,0))+SUMIFS(BetTable[[AR_per_bookie]:[AR_per_bookie]],BetTable[[B3]:[B3]],$A97,BetTable[[Date]:[Date]], "&gt;="&amp;H$8,BetTable[[Date]:[Date]],"&lt;="&amp;EOMONTH(H$8,0))</f>
        <v>0</v>
      </c>
      <c r="I97" s="126">
        <f>SUMIFS(DWbonus[[Sum]:[Sum]],DWbonus[[Dato]:[Dato]], "&gt;="&amp;I$8,DWbonus[[Dato]:[Dato]],"&lt;="&amp;EOMONTH(I$8,0),DWbonus[[Bookie]:[Bookie]],$A97)+SUMIFS(LayTable[[Faktisk res]:[Faktisk res]],LayTable[[Dato]:[Dato]],"&gt;="&amp;I$8,LayTable[[Dato]:[Dato]],"&lt;="&amp;EOMONTH(I$8,0),LayTable[[Bookmaker]:[Bookmaker]],$A97)+SUMIFS(BetTable[[AR_per_bookie]:[AR_per_bookie]],BetTable[[B1]:[B1]],$A97,BetTable[[Date]:[Date]], "&gt;="&amp;I$8,BetTable[[Date]:[Date]],"&lt;="&amp;EOMONTH(I$8,0))+SUMIFS(BetTable[[AR_per_bookie]:[AR_per_bookie]],BetTable[[B2]:[B2]],$A97,BetTable[[Date]:[Date]], "&gt;="&amp;I$8,BetTable[[Date]:[Date]],"&lt;="&amp;EOMONTH(I$8,0))+SUMIFS(BetTable[[AR_per_bookie]:[AR_per_bookie]],BetTable[[B3]:[B3]],$A97,BetTable[[Date]:[Date]], "&gt;="&amp;I$8,BetTable[[Date]:[Date]],"&lt;="&amp;EOMONTH(I$8,0))</f>
        <v>0</v>
      </c>
      <c r="J97" s="126">
        <f>SUMIFS(DWbonus[[Sum]:[Sum]],DWbonus[[Dato]:[Dato]], "&gt;="&amp;J$8,DWbonus[[Dato]:[Dato]],"&lt;="&amp;EOMONTH(J$8,0),DWbonus[[Bookie]:[Bookie]],$A97)+SUMIFS(LayTable[[Faktisk res]:[Faktisk res]],LayTable[[Dato]:[Dato]],"&gt;="&amp;J$8,LayTable[[Dato]:[Dato]],"&lt;="&amp;EOMONTH(J$8,0),LayTable[[Bookmaker]:[Bookmaker]],$A97)+SUMIFS(BetTable[[AR_per_bookie]:[AR_per_bookie]],BetTable[[B1]:[B1]],$A97,BetTable[[Date]:[Date]], "&gt;="&amp;J$8,BetTable[[Date]:[Date]],"&lt;="&amp;EOMONTH(J$8,0))+SUMIFS(BetTable[[AR_per_bookie]:[AR_per_bookie]],BetTable[[B2]:[B2]],$A97,BetTable[[Date]:[Date]], "&gt;="&amp;J$8,BetTable[[Date]:[Date]],"&lt;="&amp;EOMONTH(J$8,0))+SUMIFS(BetTable[[AR_per_bookie]:[AR_per_bookie]],BetTable[[B3]:[B3]],$A97,BetTable[[Date]:[Date]], "&gt;="&amp;J$8,BetTable[[Date]:[Date]],"&lt;="&amp;EOMONTH(J$8,0))</f>
        <v>0</v>
      </c>
      <c r="K97" s="126">
        <f>SUMIFS(DWbonus[[Sum]:[Sum]],DWbonus[[Dato]:[Dato]], "&gt;="&amp;K$8,DWbonus[[Dato]:[Dato]],"&lt;="&amp;EOMONTH(K$8,0),DWbonus[[Bookie]:[Bookie]],$A97)+SUMIFS(LayTable[[Faktisk res]:[Faktisk res]],LayTable[[Dato]:[Dato]],"&gt;="&amp;K$8,LayTable[[Dato]:[Dato]],"&lt;="&amp;EOMONTH(K$8,0),LayTable[[Bookmaker]:[Bookmaker]],$A97)+SUMIFS(BetTable[[AR_per_bookie]:[AR_per_bookie]],BetTable[[B1]:[B1]],$A97,BetTable[[Date]:[Date]], "&gt;="&amp;K$8,BetTable[[Date]:[Date]],"&lt;="&amp;EOMONTH(K$8,0))+SUMIFS(BetTable[[AR_per_bookie]:[AR_per_bookie]],BetTable[[B2]:[B2]],$A97,BetTable[[Date]:[Date]], "&gt;="&amp;K$8,BetTable[[Date]:[Date]],"&lt;="&amp;EOMONTH(K$8,0))+SUMIFS(BetTable[[AR_per_bookie]:[AR_per_bookie]],BetTable[[B3]:[B3]],$A97,BetTable[[Date]:[Date]], "&gt;="&amp;K$8,BetTable[[Date]:[Date]],"&lt;="&amp;EOMONTH(K$8,0))</f>
        <v>0</v>
      </c>
      <c r="L97" s="126">
        <f>SUMIFS(DWbonus[[Sum]:[Sum]],DWbonus[[Dato]:[Dato]], "&gt;="&amp;L$8,DWbonus[[Dato]:[Dato]],"&lt;="&amp;EOMONTH(L$8,0),DWbonus[[Bookie]:[Bookie]],$A97)+SUMIFS(LayTable[[Faktisk res]:[Faktisk res]],LayTable[[Dato]:[Dato]],"&gt;="&amp;L$8,LayTable[[Dato]:[Dato]],"&lt;="&amp;EOMONTH(L$8,0),LayTable[[Bookmaker]:[Bookmaker]],$A97)+SUMIFS(BetTable[[AR_per_bookie]:[AR_per_bookie]],BetTable[[B1]:[B1]],$A97,BetTable[[Date]:[Date]], "&gt;="&amp;L$8,BetTable[[Date]:[Date]],"&lt;="&amp;EOMONTH(L$8,0))+SUMIFS(BetTable[[AR_per_bookie]:[AR_per_bookie]],BetTable[[B2]:[B2]],$A97,BetTable[[Date]:[Date]], "&gt;="&amp;L$8,BetTable[[Date]:[Date]],"&lt;="&amp;EOMONTH(L$8,0))+SUMIFS(BetTable[[AR_per_bookie]:[AR_per_bookie]],BetTable[[B3]:[B3]],$A97,BetTable[[Date]:[Date]], "&gt;="&amp;L$8,BetTable[[Date]:[Date]],"&lt;="&amp;EOMONTH(L$8,0))</f>
        <v>0</v>
      </c>
      <c r="M97" s="126">
        <f>SUMIFS(DWbonus[[Sum]:[Sum]],DWbonus[[Dato]:[Dato]], "&gt;="&amp;M$8,DWbonus[[Dato]:[Dato]],"&lt;="&amp;EOMONTH(M$8,0),DWbonus[[Bookie]:[Bookie]],$A97)+SUMIFS(LayTable[[Faktisk res]:[Faktisk res]],LayTable[[Dato]:[Dato]],"&gt;="&amp;M$8,LayTable[[Dato]:[Dato]],"&lt;="&amp;EOMONTH(M$8,0),LayTable[[Bookmaker]:[Bookmaker]],$A97)+SUMIFS(BetTable[[AR_per_bookie]:[AR_per_bookie]],BetTable[[B1]:[B1]],$A97,BetTable[[Date]:[Date]], "&gt;="&amp;M$8,BetTable[[Date]:[Date]],"&lt;="&amp;EOMONTH(M$8,0))+SUMIFS(BetTable[[AR_per_bookie]:[AR_per_bookie]],BetTable[[B2]:[B2]],$A97,BetTable[[Date]:[Date]], "&gt;="&amp;M$8,BetTable[[Date]:[Date]],"&lt;="&amp;EOMONTH(M$8,0))+SUMIFS(BetTable[[AR_per_bookie]:[AR_per_bookie]],BetTable[[B3]:[B3]],$A97,BetTable[[Date]:[Date]], "&gt;="&amp;M$8,BetTable[[Date]:[Date]],"&lt;="&amp;EOMONTH(M$8,0))</f>
        <v>0</v>
      </c>
      <c r="N97" s="126">
        <f>SUMIFS(DWbonus[[Sum]:[Sum]],DWbonus[[Dato]:[Dato]], "&gt;="&amp;N$8,DWbonus[[Dato]:[Dato]],"&lt;="&amp;EOMONTH(N$8,0),DWbonus[[Bookie]:[Bookie]],$A97)+SUMIFS(LayTable[[Faktisk res]:[Faktisk res]],LayTable[[Dato]:[Dato]],"&gt;="&amp;N$8,LayTable[[Dato]:[Dato]],"&lt;="&amp;EOMONTH(N$8,0),LayTable[[Bookmaker]:[Bookmaker]],$A97)+SUMIFS(BetTable[[AR_per_bookie]:[AR_per_bookie]],BetTable[[B1]:[B1]],$A97,BetTable[[Date]:[Date]], "&gt;="&amp;N$8,BetTable[[Date]:[Date]],"&lt;="&amp;EOMONTH(N$8,0))+SUMIFS(BetTable[[AR_per_bookie]:[AR_per_bookie]],BetTable[[B2]:[B2]],$A97,BetTable[[Date]:[Date]], "&gt;="&amp;N$8,BetTable[[Date]:[Date]],"&lt;="&amp;EOMONTH(N$8,0))+SUMIFS(BetTable[[AR_per_bookie]:[AR_per_bookie]],BetTable[[B3]:[B3]],$A97,BetTable[[Date]:[Date]], "&gt;="&amp;N$8,BetTable[[Date]:[Date]],"&lt;="&amp;EOMONTH(N$8,0))</f>
        <v>0</v>
      </c>
      <c r="O97" s="126">
        <f>SUMIFS(DWbonus[[Sum]:[Sum]],DWbonus[[Dato]:[Dato]], "&gt;="&amp;O$8,DWbonus[[Dato]:[Dato]],"&lt;="&amp;EOMONTH(O$8,0),DWbonus[[Bookie]:[Bookie]],$A97)+SUMIFS(LayTable[[Faktisk res]:[Faktisk res]],LayTable[[Dato]:[Dato]],"&gt;="&amp;O$8,LayTable[[Dato]:[Dato]],"&lt;="&amp;EOMONTH(O$8,0),LayTable[[Bookmaker]:[Bookmaker]],$A97)+SUMIFS(BetTable[[AR_per_bookie]:[AR_per_bookie]],BetTable[[B1]:[B1]],$A97,BetTable[[Date]:[Date]], "&gt;="&amp;O$8,BetTable[[Date]:[Date]],"&lt;="&amp;EOMONTH(O$8,0))+SUMIFS(BetTable[[AR_per_bookie]:[AR_per_bookie]],BetTable[[B2]:[B2]],$A97,BetTable[[Date]:[Date]], "&gt;="&amp;O$8,BetTable[[Date]:[Date]],"&lt;="&amp;EOMONTH(O$8,0))+SUMIFS(BetTable[[AR_per_bookie]:[AR_per_bookie]],BetTable[[B3]:[B3]],$A97,BetTable[[Date]:[Date]], "&gt;="&amp;O$8,BetTable[[Date]:[Date]],"&lt;="&amp;EOMONTH(O$8,0))</f>
        <v>0</v>
      </c>
      <c r="P97" s="126">
        <f>SUMIFS(DWbonus[[Sum]:[Sum]],DWbonus[[Dato]:[Dato]], "&gt;="&amp;P$8,DWbonus[[Dato]:[Dato]],"&lt;="&amp;EOMONTH(P$8,0),DWbonus[[Bookie]:[Bookie]],$A97)+SUMIFS(LayTable[[Faktisk res]:[Faktisk res]],LayTable[[Dato]:[Dato]],"&gt;="&amp;P$8,LayTable[[Dato]:[Dato]],"&lt;="&amp;EOMONTH(P$8,0),LayTable[[Bookmaker]:[Bookmaker]],$A97)+SUMIFS(BetTable[[AR_per_bookie]:[AR_per_bookie]],BetTable[[B1]:[B1]],$A97,BetTable[[Date]:[Date]], "&gt;="&amp;P$8,BetTable[[Date]:[Date]],"&lt;="&amp;EOMONTH(P$8,0))+SUMIFS(BetTable[[AR_per_bookie]:[AR_per_bookie]],BetTable[[B2]:[B2]],$A97,BetTable[[Date]:[Date]], "&gt;="&amp;P$8,BetTable[[Date]:[Date]],"&lt;="&amp;EOMONTH(P$8,0))+SUMIFS(BetTable[[AR_per_bookie]:[AR_per_bookie]],BetTable[[B3]:[B3]],$A97,BetTable[[Date]:[Date]], "&gt;="&amp;P$8,BetTable[[Date]:[Date]],"&lt;="&amp;EOMONTH(P$8,0))</f>
        <v>0</v>
      </c>
      <c r="Q97" s="126">
        <f>SUMIFS(DWbonus[[Sum]:[Sum]],DWbonus[[Dato]:[Dato]], "&gt;="&amp;Q$8,DWbonus[[Dato]:[Dato]],"&lt;="&amp;EOMONTH(Q$8,0),DWbonus[[Bookie]:[Bookie]],$A97)+SUMIFS(LayTable[[Faktisk res]:[Faktisk res]],LayTable[[Dato]:[Dato]],"&gt;="&amp;Q$8,LayTable[[Dato]:[Dato]],"&lt;="&amp;EOMONTH(Q$8,0),LayTable[[Bookmaker]:[Bookmaker]],$A97)+SUMIFS(BetTable[[AR_per_bookie]:[AR_per_bookie]],BetTable[[B1]:[B1]],$A97,BetTable[[Date]:[Date]], "&gt;="&amp;Q$8,BetTable[[Date]:[Date]],"&lt;="&amp;EOMONTH(Q$8,0))+SUMIFS(BetTable[[AR_per_bookie]:[AR_per_bookie]],BetTable[[B2]:[B2]],$A97,BetTable[[Date]:[Date]], "&gt;="&amp;Q$8,BetTable[[Date]:[Date]],"&lt;="&amp;EOMONTH(Q$8,0))+SUMIFS(BetTable[[AR_per_bookie]:[AR_per_bookie]],BetTable[[B3]:[B3]],$A97,BetTable[[Date]:[Date]], "&gt;="&amp;Q$8,BetTable[[Date]:[Date]],"&lt;="&amp;EOMONTH(Q$8,0))</f>
        <v>0</v>
      </c>
      <c r="R97" s="126">
        <f>SUMIFS(DWbonus[[Sum]:[Sum]],DWbonus[[Dato]:[Dato]], "&gt;="&amp;R$8,DWbonus[[Dato]:[Dato]],"&lt;="&amp;EOMONTH(R$8,0),DWbonus[[Bookie]:[Bookie]],$A97)+SUMIFS(LayTable[[Faktisk res]:[Faktisk res]],LayTable[[Dato]:[Dato]],"&gt;="&amp;R$8,LayTable[[Dato]:[Dato]],"&lt;="&amp;EOMONTH(R$8,0),LayTable[[Bookmaker]:[Bookmaker]],$A97)+SUMIFS(BetTable[[AR_per_bookie]:[AR_per_bookie]],BetTable[[B1]:[B1]],$A97,BetTable[[Date]:[Date]], "&gt;="&amp;R$8,BetTable[[Date]:[Date]],"&lt;="&amp;EOMONTH(R$8,0))+SUMIFS(BetTable[[AR_per_bookie]:[AR_per_bookie]],BetTable[[B2]:[B2]],$A97,BetTable[[Date]:[Date]], "&gt;="&amp;R$8,BetTable[[Date]:[Date]],"&lt;="&amp;EOMONTH(R$8,0))+SUMIFS(BetTable[[AR_per_bookie]:[AR_per_bookie]],BetTable[[B3]:[B3]],$A97,BetTable[[Date]:[Date]], "&gt;="&amp;R$8,BetTable[[Date]:[Date]],"&lt;="&amp;EOMONTH(R$8,0))</f>
        <v>0</v>
      </c>
      <c r="S97" s="126">
        <f>SUMIFS(DWbonus[[Sum]:[Sum]],DWbonus[[Dato]:[Dato]], "&gt;="&amp;S$8,DWbonus[[Dato]:[Dato]],"&lt;="&amp;EOMONTH(S$8,0),DWbonus[[Bookie]:[Bookie]],$A97)+SUMIFS(LayTable[[Faktisk res]:[Faktisk res]],LayTable[[Dato]:[Dato]],"&gt;="&amp;S$8,LayTable[[Dato]:[Dato]],"&lt;="&amp;EOMONTH(S$8,0),LayTable[[Bookmaker]:[Bookmaker]],$A97)+SUMIFS(BetTable[[AR_per_bookie]:[AR_per_bookie]],BetTable[[B1]:[B1]],$A97,BetTable[[Date]:[Date]], "&gt;="&amp;S$8,BetTable[[Date]:[Date]],"&lt;="&amp;EOMONTH(S$8,0))+SUMIFS(BetTable[[AR_per_bookie]:[AR_per_bookie]],BetTable[[B2]:[B2]],$A97,BetTable[[Date]:[Date]], "&gt;="&amp;S$8,BetTable[[Date]:[Date]],"&lt;="&amp;EOMONTH(S$8,0))+SUMIFS(BetTable[[AR_per_bookie]:[AR_per_bookie]],BetTable[[B3]:[B3]],$A97,BetTable[[Date]:[Date]], "&gt;="&amp;S$8,BetTable[[Date]:[Date]],"&lt;="&amp;EOMONTH(S$8,0))</f>
        <v>0</v>
      </c>
    </row>
    <row r="98" spans="1:19">
      <c r="A98" s="115" t="str">
        <f>BookieNavn!I91</f>
        <v>AaComeOn</v>
      </c>
      <c r="B98" s="126">
        <f>SUMIF(Penger!D$1:D$50072,A98,Penger!F$1:F$50072)</f>
        <v>0</v>
      </c>
      <c r="C98" s="126">
        <f>SUMIF(Penger!T$1:T$50072,A98,Penger!U$1:U$50072)</f>
        <v>0</v>
      </c>
      <c r="D98" s="126">
        <f ca="1">SUMIF(Spill!C$1:C$499895,A98,Spill!T$1:T$49895)+C98</f>
        <v>0</v>
      </c>
      <c r="E98" s="126">
        <f>SUMIF(Spill!C$1:C$49895,A98,Spill!T$1:T$49895)</f>
        <v>0</v>
      </c>
      <c r="F98" s="121" t="e">
        <f t="shared" ca="1" si="2"/>
        <v>#DIV/0!</v>
      </c>
      <c r="H98" s="126">
        <f>SUMIFS(DWbonus[[Sum]:[Sum]],DWbonus[[Dato]:[Dato]], "&gt;="&amp;H$8,DWbonus[[Dato]:[Dato]],"&lt;="&amp;EOMONTH(H$8,0),DWbonus[[Bookie]:[Bookie]],$A98)+SUMIFS(LayTable[[Faktisk res]:[Faktisk res]],LayTable[[Dato]:[Dato]],"&gt;="&amp;H$8,LayTable[[Dato]:[Dato]],"&lt;="&amp;EOMONTH(H$8,0),LayTable[[Bookmaker]:[Bookmaker]],$A98)+SUMIFS(BetTable[[AR_per_bookie]:[AR_per_bookie]],BetTable[[B1]:[B1]],$A98,BetTable[[Date]:[Date]], "&gt;="&amp;H$8,BetTable[[Date]:[Date]],"&lt;="&amp;EOMONTH(H$8,0))+SUMIFS(BetTable[[AR_per_bookie]:[AR_per_bookie]],BetTable[[B2]:[B2]],$A98,BetTable[[Date]:[Date]], "&gt;="&amp;H$8,BetTable[[Date]:[Date]],"&lt;="&amp;EOMONTH(H$8,0))+SUMIFS(BetTable[[AR_per_bookie]:[AR_per_bookie]],BetTable[[B3]:[B3]],$A98,BetTable[[Date]:[Date]], "&gt;="&amp;H$8,BetTable[[Date]:[Date]],"&lt;="&amp;EOMONTH(H$8,0))</f>
        <v>0</v>
      </c>
      <c r="I98" s="126">
        <f>SUMIFS(DWbonus[[Sum]:[Sum]],DWbonus[[Dato]:[Dato]], "&gt;="&amp;I$8,DWbonus[[Dato]:[Dato]],"&lt;="&amp;EOMONTH(I$8,0),DWbonus[[Bookie]:[Bookie]],$A98)+SUMIFS(LayTable[[Faktisk res]:[Faktisk res]],LayTable[[Dato]:[Dato]],"&gt;="&amp;I$8,LayTable[[Dato]:[Dato]],"&lt;="&amp;EOMONTH(I$8,0),LayTable[[Bookmaker]:[Bookmaker]],$A98)+SUMIFS(BetTable[[AR_per_bookie]:[AR_per_bookie]],BetTable[[B1]:[B1]],$A98,BetTable[[Date]:[Date]], "&gt;="&amp;I$8,BetTable[[Date]:[Date]],"&lt;="&amp;EOMONTH(I$8,0))+SUMIFS(BetTable[[AR_per_bookie]:[AR_per_bookie]],BetTable[[B2]:[B2]],$A98,BetTable[[Date]:[Date]], "&gt;="&amp;I$8,BetTable[[Date]:[Date]],"&lt;="&amp;EOMONTH(I$8,0))+SUMIFS(BetTable[[AR_per_bookie]:[AR_per_bookie]],BetTable[[B3]:[B3]],$A98,BetTable[[Date]:[Date]], "&gt;="&amp;I$8,BetTable[[Date]:[Date]],"&lt;="&amp;EOMONTH(I$8,0))</f>
        <v>0</v>
      </c>
      <c r="J98" s="126">
        <f>SUMIFS(DWbonus[[Sum]:[Sum]],DWbonus[[Dato]:[Dato]], "&gt;="&amp;J$8,DWbonus[[Dato]:[Dato]],"&lt;="&amp;EOMONTH(J$8,0),DWbonus[[Bookie]:[Bookie]],$A98)+SUMIFS(LayTable[[Faktisk res]:[Faktisk res]],LayTable[[Dato]:[Dato]],"&gt;="&amp;J$8,LayTable[[Dato]:[Dato]],"&lt;="&amp;EOMONTH(J$8,0),LayTable[[Bookmaker]:[Bookmaker]],$A98)+SUMIFS(BetTable[[AR_per_bookie]:[AR_per_bookie]],BetTable[[B1]:[B1]],$A98,BetTable[[Date]:[Date]], "&gt;="&amp;J$8,BetTable[[Date]:[Date]],"&lt;="&amp;EOMONTH(J$8,0))+SUMIFS(BetTable[[AR_per_bookie]:[AR_per_bookie]],BetTable[[B2]:[B2]],$A98,BetTable[[Date]:[Date]], "&gt;="&amp;J$8,BetTable[[Date]:[Date]],"&lt;="&amp;EOMONTH(J$8,0))+SUMIFS(BetTable[[AR_per_bookie]:[AR_per_bookie]],BetTable[[B3]:[B3]],$A98,BetTable[[Date]:[Date]], "&gt;="&amp;J$8,BetTable[[Date]:[Date]],"&lt;="&amp;EOMONTH(J$8,0))</f>
        <v>0</v>
      </c>
      <c r="K98" s="126">
        <f>SUMIFS(DWbonus[[Sum]:[Sum]],DWbonus[[Dato]:[Dato]], "&gt;="&amp;K$8,DWbonus[[Dato]:[Dato]],"&lt;="&amp;EOMONTH(K$8,0),DWbonus[[Bookie]:[Bookie]],$A98)+SUMIFS(LayTable[[Faktisk res]:[Faktisk res]],LayTable[[Dato]:[Dato]],"&gt;="&amp;K$8,LayTable[[Dato]:[Dato]],"&lt;="&amp;EOMONTH(K$8,0),LayTable[[Bookmaker]:[Bookmaker]],$A98)+SUMIFS(BetTable[[AR_per_bookie]:[AR_per_bookie]],BetTable[[B1]:[B1]],$A98,BetTable[[Date]:[Date]], "&gt;="&amp;K$8,BetTable[[Date]:[Date]],"&lt;="&amp;EOMONTH(K$8,0))+SUMIFS(BetTable[[AR_per_bookie]:[AR_per_bookie]],BetTable[[B2]:[B2]],$A98,BetTable[[Date]:[Date]], "&gt;="&amp;K$8,BetTable[[Date]:[Date]],"&lt;="&amp;EOMONTH(K$8,0))+SUMIFS(BetTable[[AR_per_bookie]:[AR_per_bookie]],BetTable[[B3]:[B3]],$A98,BetTable[[Date]:[Date]], "&gt;="&amp;K$8,BetTable[[Date]:[Date]],"&lt;="&amp;EOMONTH(K$8,0))</f>
        <v>0</v>
      </c>
      <c r="L98" s="126">
        <f>SUMIFS(DWbonus[[Sum]:[Sum]],DWbonus[[Dato]:[Dato]], "&gt;="&amp;L$8,DWbonus[[Dato]:[Dato]],"&lt;="&amp;EOMONTH(L$8,0),DWbonus[[Bookie]:[Bookie]],$A98)+SUMIFS(LayTable[[Faktisk res]:[Faktisk res]],LayTable[[Dato]:[Dato]],"&gt;="&amp;L$8,LayTable[[Dato]:[Dato]],"&lt;="&amp;EOMONTH(L$8,0),LayTable[[Bookmaker]:[Bookmaker]],$A98)+SUMIFS(BetTable[[AR_per_bookie]:[AR_per_bookie]],BetTable[[B1]:[B1]],$A98,BetTable[[Date]:[Date]], "&gt;="&amp;L$8,BetTable[[Date]:[Date]],"&lt;="&amp;EOMONTH(L$8,0))+SUMIFS(BetTable[[AR_per_bookie]:[AR_per_bookie]],BetTable[[B2]:[B2]],$A98,BetTable[[Date]:[Date]], "&gt;="&amp;L$8,BetTable[[Date]:[Date]],"&lt;="&amp;EOMONTH(L$8,0))+SUMIFS(BetTable[[AR_per_bookie]:[AR_per_bookie]],BetTable[[B3]:[B3]],$A98,BetTable[[Date]:[Date]], "&gt;="&amp;L$8,BetTable[[Date]:[Date]],"&lt;="&amp;EOMONTH(L$8,0))</f>
        <v>0</v>
      </c>
      <c r="M98" s="126">
        <f>SUMIFS(DWbonus[[Sum]:[Sum]],DWbonus[[Dato]:[Dato]], "&gt;="&amp;M$8,DWbonus[[Dato]:[Dato]],"&lt;="&amp;EOMONTH(M$8,0),DWbonus[[Bookie]:[Bookie]],$A98)+SUMIFS(LayTable[[Faktisk res]:[Faktisk res]],LayTable[[Dato]:[Dato]],"&gt;="&amp;M$8,LayTable[[Dato]:[Dato]],"&lt;="&amp;EOMONTH(M$8,0),LayTable[[Bookmaker]:[Bookmaker]],$A98)+SUMIFS(BetTable[[AR_per_bookie]:[AR_per_bookie]],BetTable[[B1]:[B1]],$A98,BetTable[[Date]:[Date]], "&gt;="&amp;M$8,BetTable[[Date]:[Date]],"&lt;="&amp;EOMONTH(M$8,0))+SUMIFS(BetTable[[AR_per_bookie]:[AR_per_bookie]],BetTable[[B2]:[B2]],$A98,BetTable[[Date]:[Date]], "&gt;="&amp;M$8,BetTable[[Date]:[Date]],"&lt;="&amp;EOMONTH(M$8,0))+SUMIFS(BetTable[[AR_per_bookie]:[AR_per_bookie]],BetTable[[B3]:[B3]],$A98,BetTable[[Date]:[Date]], "&gt;="&amp;M$8,BetTable[[Date]:[Date]],"&lt;="&amp;EOMONTH(M$8,0))</f>
        <v>0</v>
      </c>
      <c r="N98" s="126">
        <f>SUMIFS(DWbonus[[Sum]:[Sum]],DWbonus[[Dato]:[Dato]], "&gt;="&amp;N$8,DWbonus[[Dato]:[Dato]],"&lt;="&amp;EOMONTH(N$8,0),DWbonus[[Bookie]:[Bookie]],$A98)+SUMIFS(LayTable[[Faktisk res]:[Faktisk res]],LayTable[[Dato]:[Dato]],"&gt;="&amp;N$8,LayTable[[Dato]:[Dato]],"&lt;="&amp;EOMONTH(N$8,0),LayTable[[Bookmaker]:[Bookmaker]],$A98)+SUMIFS(BetTable[[AR_per_bookie]:[AR_per_bookie]],BetTable[[B1]:[B1]],$A98,BetTable[[Date]:[Date]], "&gt;="&amp;N$8,BetTable[[Date]:[Date]],"&lt;="&amp;EOMONTH(N$8,0))+SUMIFS(BetTable[[AR_per_bookie]:[AR_per_bookie]],BetTable[[B2]:[B2]],$A98,BetTable[[Date]:[Date]], "&gt;="&amp;N$8,BetTable[[Date]:[Date]],"&lt;="&amp;EOMONTH(N$8,0))+SUMIFS(BetTable[[AR_per_bookie]:[AR_per_bookie]],BetTable[[B3]:[B3]],$A98,BetTable[[Date]:[Date]], "&gt;="&amp;N$8,BetTable[[Date]:[Date]],"&lt;="&amp;EOMONTH(N$8,0))</f>
        <v>0</v>
      </c>
      <c r="O98" s="126">
        <f>SUMIFS(DWbonus[[Sum]:[Sum]],DWbonus[[Dato]:[Dato]], "&gt;="&amp;O$8,DWbonus[[Dato]:[Dato]],"&lt;="&amp;EOMONTH(O$8,0),DWbonus[[Bookie]:[Bookie]],$A98)+SUMIFS(LayTable[[Faktisk res]:[Faktisk res]],LayTable[[Dato]:[Dato]],"&gt;="&amp;O$8,LayTable[[Dato]:[Dato]],"&lt;="&amp;EOMONTH(O$8,0),LayTable[[Bookmaker]:[Bookmaker]],$A98)+SUMIFS(BetTable[[AR_per_bookie]:[AR_per_bookie]],BetTable[[B1]:[B1]],$A98,BetTable[[Date]:[Date]], "&gt;="&amp;O$8,BetTable[[Date]:[Date]],"&lt;="&amp;EOMONTH(O$8,0))+SUMIFS(BetTable[[AR_per_bookie]:[AR_per_bookie]],BetTable[[B2]:[B2]],$A98,BetTable[[Date]:[Date]], "&gt;="&amp;O$8,BetTable[[Date]:[Date]],"&lt;="&amp;EOMONTH(O$8,0))+SUMIFS(BetTable[[AR_per_bookie]:[AR_per_bookie]],BetTable[[B3]:[B3]],$A98,BetTable[[Date]:[Date]], "&gt;="&amp;O$8,BetTable[[Date]:[Date]],"&lt;="&amp;EOMONTH(O$8,0))</f>
        <v>0</v>
      </c>
      <c r="P98" s="126">
        <f>SUMIFS(DWbonus[[Sum]:[Sum]],DWbonus[[Dato]:[Dato]], "&gt;="&amp;P$8,DWbonus[[Dato]:[Dato]],"&lt;="&amp;EOMONTH(P$8,0),DWbonus[[Bookie]:[Bookie]],$A98)+SUMIFS(LayTable[[Faktisk res]:[Faktisk res]],LayTable[[Dato]:[Dato]],"&gt;="&amp;P$8,LayTable[[Dato]:[Dato]],"&lt;="&amp;EOMONTH(P$8,0),LayTable[[Bookmaker]:[Bookmaker]],$A98)+SUMIFS(BetTable[[AR_per_bookie]:[AR_per_bookie]],BetTable[[B1]:[B1]],$A98,BetTable[[Date]:[Date]], "&gt;="&amp;P$8,BetTable[[Date]:[Date]],"&lt;="&amp;EOMONTH(P$8,0))+SUMIFS(BetTable[[AR_per_bookie]:[AR_per_bookie]],BetTable[[B2]:[B2]],$A98,BetTable[[Date]:[Date]], "&gt;="&amp;P$8,BetTable[[Date]:[Date]],"&lt;="&amp;EOMONTH(P$8,0))+SUMIFS(BetTable[[AR_per_bookie]:[AR_per_bookie]],BetTable[[B3]:[B3]],$A98,BetTable[[Date]:[Date]], "&gt;="&amp;P$8,BetTable[[Date]:[Date]],"&lt;="&amp;EOMONTH(P$8,0))</f>
        <v>0</v>
      </c>
      <c r="Q98" s="126">
        <f>SUMIFS(DWbonus[[Sum]:[Sum]],DWbonus[[Dato]:[Dato]], "&gt;="&amp;Q$8,DWbonus[[Dato]:[Dato]],"&lt;="&amp;EOMONTH(Q$8,0),DWbonus[[Bookie]:[Bookie]],$A98)+SUMIFS(LayTable[[Faktisk res]:[Faktisk res]],LayTable[[Dato]:[Dato]],"&gt;="&amp;Q$8,LayTable[[Dato]:[Dato]],"&lt;="&amp;EOMONTH(Q$8,0),LayTable[[Bookmaker]:[Bookmaker]],$A98)+SUMIFS(BetTable[[AR_per_bookie]:[AR_per_bookie]],BetTable[[B1]:[B1]],$A98,BetTable[[Date]:[Date]], "&gt;="&amp;Q$8,BetTable[[Date]:[Date]],"&lt;="&amp;EOMONTH(Q$8,0))+SUMIFS(BetTable[[AR_per_bookie]:[AR_per_bookie]],BetTable[[B2]:[B2]],$A98,BetTable[[Date]:[Date]], "&gt;="&amp;Q$8,BetTable[[Date]:[Date]],"&lt;="&amp;EOMONTH(Q$8,0))+SUMIFS(BetTable[[AR_per_bookie]:[AR_per_bookie]],BetTable[[B3]:[B3]],$A98,BetTable[[Date]:[Date]], "&gt;="&amp;Q$8,BetTable[[Date]:[Date]],"&lt;="&amp;EOMONTH(Q$8,0))</f>
        <v>0</v>
      </c>
      <c r="R98" s="126">
        <f>SUMIFS(DWbonus[[Sum]:[Sum]],DWbonus[[Dato]:[Dato]], "&gt;="&amp;R$8,DWbonus[[Dato]:[Dato]],"&lt;="&amp;EOMONTH(R$8,0),DWbonus[[Bookie]:[Bookie]],$A98)+SUMIFS(LayTable[[Faktisk res]:[Faktisk res]],LayTable[[Dato]:[Dato]],"&gt;="&amp;R$8,LayTable[[Dato]:[Dato]],"&lt;="&amp;EOMONTH(R$8,0),LayTable[[Bookmaker]:[Bookmaker]],$A98)+SUMIFS(BetTable[[AR_per_bookie]:[AR_per_bookie]],BetTable[[B1]:[B1]],$A98,BetTable[[Date]:[Date]], "&gt;="&amp;R$8,BetTable[[Date]:[Date]],"&lt;="&amp;EOMONTH(R$8,0))+SUMIFS(BetTable[[AR_per_bookie]:[AR_per_bookie]],BetTable[[B2]:[B2]],$A98,BetTable[[Date]:[Date]], "&gt;="&amp;R$8,BetTable[[Date]:[Date]],"&lt;="&amp;EOMONTH(R$8,0))+SUMIFS(BetTable[[AR_per_bookie]:[AR_per_bookie]],BetTable[[B3]:[B3]],$A98,BetTable[[Date]:[Date]], "&gt;="&amp;R$8,BetTable[[Date]:[Date]],"&lt;="&amp;EOMONTH(R$8,0))</f>
        <v>0</v>
      </c>
      <c r="S98" s="126">
        <f>SUMIFS(DWbonus[[Sum]:[Sum]],DWbonus[[Dato]:[Dato]], "&gt;="&amp;S$8,DWbonus[[Dato]:[Dato]],"&lt;="&amp;EOMONTH(S$8,0),DWbonus[[Bookie]:[Bookie]],$A98)+SUMIFS(LayTable[[Faktisk res]:[Faktisk res]],LayTable[[Dato]:[Dato]],"&gt;="&amp;S$8,LayTable[[Dato]:[Dato]],"&lt;="&amp;EOMONTH(S$8,0),LayTable[[Bookmaker]:[Bookmaker]],$A98)+SUMIFS(BetTable[[AR_per_bookie]:[AR_per_bookie]],BetTable[[B1]:[B1]],$A98,BetTable[[Date]:[Date]], "&gt;="&amp;S$8,BetTable[[Date]:[Date]],"&lt;="&amp;EOMONTH(S$8,0))+SUMIFS(BetTable[[AR_per_bookie]:[AR_per_bookie]],BetTable[[B2]:[B2]],$A98,BetTable[[Date]:[Date]], "&gt;="&amp;S$8,BetTable[[Date]:[Date]],"&lt;="&amp;EOMONTH(S$8,0))+SUMIFS(BetTable[[AR_per_bookie]:[AR_per_bookie]],BetTable[[B3]:[B3]],$A98,BetTable[[Date]:[Date]], "&gt;="&amp;S$8,BetTable[[Date]:[Date]],"&lt;="&amp;EOMONTH(S$8,0))</f>
        <v>0</v>
      </c>
    </row>
    <row r="99" spans="1:19">
      <c r="A99" s="115" t="str">
        <f>BookieNavn!I92</f>
        <v>AaRizk</v>
      </c>
      <c r="B99" s="126">
        <f>SUMIF(Penger!D$1:D$50072,A99,Penger!F$1:F$50072)</f>
        <v>0</v>
      </c>
      <c r="C99" s="126">
        <f>SUMIF(Penger!T$1:T$50072,A99,Penger!U$1:U$50072)</f>
        <v>0</v>
      </c>
      <c r="D99" s="126">
        <f ca="1">SUMIF(Spill!C$1:C$499895,A99,Spill!T$1:T$49895)+C99</f>
        <v>0</v>
      </c>
      <c r="E99" s="126">
        <f>SUMIF(Spill!C$1:C$49895,A99,Spill!T$1:T$49895)</f>
        <v>0</v>
      </c>
      <c r="F99" s="121" t="e">
        <f t="shared" ca="1" si="2"/>
        <v>#DIV/0!</v>
      </c>
      <c r="H99" s="126">
        <f>SUMIFS(DWbonus[[Sum]:[Sum]],DWbonus[[Dato]:[Dato]], "&gt;="&amp;H$8,DWbonus[[Dato]:[Dato]],"&lt;="&amp;EOMONTH(H$8,0),DWbonus[[Bookie]:[Bookie]],$A99)+SUMIFS(LayTable[[Faktisk res]:[Faktisk res]],LayTable[[Dato]:[Dato]],"&gt;="&amp;H$8,LayTable[[Dato]:[Dato]],"&lt;="&amp;EOMONTH(H$8,0),LayTable[[Bookmaker]:[Bookmaker]],$A99)+SUMIFS(BetTable[[AR_per_bookie]:[AR_per_bookie]],BetTable[[B1]:[B1]],$A99,BetTable[[Date]:[Date]], "&gt;="&amp;H$8,BetTable[[Date]:[Date]],"&lt;="&amp;EOMONTH(H$8,0))+SUMIFS(BetTable[[AR_per_bookie]:[AR_per_bookie]],BetTable[[B2]:[B2]],$A99,BetTable[[Date]:[Date]], "&gt;="&amp;H$8,BetTable[[Date]:[Date]],"&lt;="&amp;EOMONTH(H$8,0))+SUMIFS(BetTable[[AR_per_bookie]:[AR_per_bookie]],BetTable[[B3]:[B3]],$A99,BetTable[[Date]:[Date]], "&gt;="&amp;H$8,BetTable[[Date]:[Date]],"&lt;="&amp;EOMONTH(H$8,0))</f>
        <v>0</v>
      </c>
      <c r="I99" s="126">
        <f>SUMIFS(DWbonus[[Sum]:[Sum]],DWbonus[[Dato]:[Dato]], "&gt;="&amp;I$8,DWbonus[[Dato]:[Dato]],"&lt;="&amp;EOMONTH(I$8,0),DWbonus[[Bookie]:[Bookie]],$A99)+SUMIFS(LayTable[[Faktisk res]:[Faktisk res]],LayTable[[Dato]:[Dato]],"&gt;="&amp;I$8,LayTable[[Dato]:[Dato]],"&lt;="&amp;EOMONTH(I$8,0),LayTable[[Bookmaker]:[Bookmaker]],$A99)+SUMIFS(BetTable[[AR_per_bookie]:[AR_per_bookie]],BetTable[[B1]:[B1]],$A99,BetTable[[Date]:[Date]], "&gt;="&amp;I$8,BetTable[[Date]:[Date]],"&lt;="&amp;EOMONTH(I$8,0))+SUMIFS(BetTable[[AR_per_bookie]:[AR_per_bookie]],BetTable[[B2]:[B2]],$A99,BetTable[[Date]:[Date]], "&gt;="&amp;I$8,BetTable[[Date]:[Date]],"&lt;="&amp;EOMONTH(I$8,0))+SUMIFS(BetTable[[AR_per_bookie]:[AR_per_bookie]],BetTable[[B3]:[B3]],$A99,BetTable[[Date]:[Date]], "&gt;="&amp;I$8,BetTable[[Date]:[Date]],"&lt;="&amp;EOMONTH(I$8,0))</f>
        <v>0</v>
      </c>
      <c r="J99" s="126">
        <f>SUMIFS(DWbonus[[Sum]:[Sum]],DWbonus[[Dato]:[Dato]], "&gt;="&amp;J$8,DWbonus[[Dato]:[Dato]],"&lt;="&amp;EOMONTH(J$8,0),DWbonus[[Bookie]:[Bookie]],$A99)+SUMIFS(LayTable[[Faktisk res]:[Faktisk res]],LayTable[[Dato]:[Dato]],"&gt;="&amp;J$8,LayTable[[Dato]:[Dato]],"&lt;="&amp;EOMONTH(J$8,0),LayTable[[Bookmaker]:[Bookmaker]],$A99)+SUMIFS(BetTable[[AR_per_bookie]:[AR_per_bookie]],BetTable[[B1]:[B1]],$A99,BetTable[[Date]:[Date]], "&gt;="&amp;J$8,BetTable[[Date]:[Date]],"&lt;="&amp;EOMONTH(J$8,0))+SUMIFS(BetTable[[AR_per_bookie]:[AR_per_bookie]],BetTable[[B2]:[B2]],$A99,BetTable[[Date]:[Date]], "&gt;="&amp;J$8,BetTable[[Date]:[Date]],"&lt;="&amp;EOMONTH(J$8,0))+SUMIFS(BetTable[[AR_per_bookie]:[AR_per_bookie]],BetTable[[B3]:[B3]],$A99,BetTable[[Date]:[Date]], "&gt;="&amp;J$8,BetTable[[Date]:[Date]],"&lt;="&amp;EOMONTH(J$8,0))</f>
        <v>0</v>
      </c>
      <c r="K99" s="126">
        <f>SUMIFS(DWbonus[[Sum]:[Sum]],DWbonus[[Dato]:[Dato]], "&gt;="&amp;K$8,DWbonus[[Dato]:[Dato]],"&lt;="&amp;EOMONTH(K$8,0),DWbonus[[Bookie]:[Bookie]],$A99)+SUMIFS(LayTable[[Faktisk res]:[Faktisk res]],LayTable[[Dato]:[Dato]],"&gt;="&amp;K$8,LayTable[[Dato]:[Dato]],"&lt;="&amp;EOMONTH(K$8,0),LayTable[[Bookmaker]:[Bookmaker]],$A99)+SUMIFS(BetTable[[AR_per_bookie]:[AR_per_bookie]],BetTable[[B1]:[B1]],$A99,BetTable[[Date]:[Date]], "&gt;="&amp;K$8,BetTable[[Date]:[Date]],"&lt;="&amp;EOMONTH(K$8,0))+SUMIFS(BetTable[[AR_per_bookie]:[AR_per_bookie]],BetTable[[B2]:[B2]],$A99,BetTable[[Date]:[Date]], "&gt;="&amp;K$8,BetTable[[Date]:[Date]],"&lt;="&amp;EOMONTH(K$8,0))+SUMIFS(BetTable[[AR_per_bookie]:[AR_per_bookie]],BetTable[[B3]:[B3]],$A99,BetTable[[Date]:[Date]], "&gt;="&amp;K$8,BetTable[[Date]:[Date]],"&lt;="&amp;EOMONTH(K$8,0))</f>
        <v>0</v>
      </c>
      <c r="L99" s="126">
        <f>SUMIFS(DWbonus[[Sum]:[Sum]],DWbonus[[Dato]:[Dato]], "&gt;="&amp;L$8,DWbonus[[Dato]:[Dato]],"&lt;="&amp;EOMONTH(L$8,0),DWbonus[[Bookie]:[Bookie]],$A99)+SUMIFS(LayTable[[Faktisk res]:[Faktisk res]],LayTable[[Dato]:[Dato]],"&gt;="&amp;L$8,LayTable[[Dato]:[Dato]],"&lt;="&amp;EOMONTH(L$8,0),LayTable[[Bookmaker]:[Bookmaker]],$A99)+SUMIFS(BetTable[[AR_per_bookie]:[AR_per_bookie]],BetTable[[B1]:[B1]],$A99,BetTable[[Date]:[Date]], "&gt;="&amp;L$8,BetTable[[Date]:[Date]],"&lt;="&amp;EOMONTH(L$8,0))+SUMIFS(BetTable[[AR_per_bookie]:[AR_per_bookie]],BetTable[[B2]:[B2]],$A99,BetTable[[Date]:[Date]], "&gt;="&amp;L$8,BetTable[[Date]:[Date]],"&lt;="&amp;EOMONTH(L$8,0))+SUMIFS(BetTable[[AR_per_bookie]:[AR_per_bookie]],BetTable[[B3]:[B3]],$A99,BetTable[[Date]:[Date]], "&gt;="&amp;L$8,BetTable[[Date]:[Date]],"&lt;="&amp;EOMONTH(L$8,0))</f>
        <v>0</v>
      </c>
      <c r="M99" s="126">
        <f>SUMIFS(DWbonus[[Sum]:[Sum]],DWbonus[[Dato]:[Dato]], "&gt;="&amp;M$8,DWbonus[[Dato]:[Dato]],"&lt;="&amp;EOMONTH(M$8,0),DWbonus[[Bookie]:[Bookie]],$A99)+SUMIFS(LayTable[[Faktisk res]:[Faktisk res]],LayTable[[Dato]:[Dato]],"&gt;="&amp;M$8,LayTable[[Dato]:[Dato]],"&lt;="&amp;EOMONTH(M$8,0),LayTable[[Bookmaker]:[Bookmaker]],$A99)+SUMIFS(BetTable[[AR_per_bookie]:[AR_per_bookie]],BetTable[[B1]:[B1]],$A99,BetTable[[Date]:[Date]], "&gt;="&amp;M$8,BetTable[[Date]:[Date]],"&lt;="&amp;EOMONTH(M$8,0))+SUMIFS(BetTable[[AR_per_bookie]:[AR_per_bookie]],BetTable[[B2]:[B2]],$A99,BetTable[[Date]:[Date]], "&gt;="&amp;M$8,BetTable[[Date]:[Date]],"&lt;="&amp;EOMONTH(M$8,0))+SUMIFS(BetTable[[AR_per_bookie]:[AR_per_bookie]],BetTable[[B3]:[B3]],$A99,BetTable[[Date]:[Date]], "&gt;="&amp;M$8,BetTable[[Date]:[Date]],"&lt;="&amp;EOMONTH(M$8,0))</f>
        <v>0</v>
      </c>
      <c r="N99" s="126">
        <f>SUMIFS(DWbonus[[Sum]:[Sum]],DWbonus[[Dato]:[Dato]], "&gt;="&amp;N$8,DWbonus[[Dato]:[Dato]],"&lt;="&amp;EOMONTH(N$8,0),DWbonus[[Bookie]:[Bookie]],$A99)+SUMIFS(LayTable[[Faktisk res]:[Faktisk res]],LayTable[[Dato]:[Dato]],"&gt;="&amp;N$8,LayTable[[Dato]:[Dato]],"&lt;="&amp;EOMONTH(N$8,0),LayTable[[Bookmaker]:[Bookmaker]],$A99)+SUMIFS(BetTable[[AR_per_bookie]:[AR_per_bookie]],BetTable[[B1]:[B1]],$A99,BetTable[[Date]:[Date]], "&gt;="&amp;N$8,BetTable[[Date]:[Date]],"&lt;="&amp;EOMONTH(N$8,0))+SUMIFS(BetTable[[AR_per_bookie]:[AR_per_bookie]],BetTable[[B2]:[B2]],$A99,BetTable[[Date]:[Date]], "&gt;="&amp;N$8,BetTable[[Date]:[Date]],"&lt;="&amp;EOMONTH(N$8,0))+SUMIFS(BetTable[[AR_per_bookie]:[AR_per_bookie]],BetTable[[B3]:[B3]],$A99,BetTable[[Date]:[Date]], "&gt;="&amp;N$8,BetTable[[Date]:[Date]],"&lt;="&amp;EOMONTH(N$8,0))</f>
        <v>0</v>
      </c>
      <c r="O99" s="126">
        <f>SUMIFS(DWbonus[[Sum]:[Sum]],DWbonus[[Dato]:[Dato]], "&gt;="&amp;O$8,DWbonus[[Dato]:[Dato]],"&lt;="&amp;EOMONTH(O$8,0),DWbonus[[Bookie]:[Bookie]],$A99)+SUMIFS(LayTable[[Faktisk res]:[Faktisk res]],LayTable[[Dato]:[Dato]],"&gt;="&amp;O$8,LayTable[[Dato]:[Dato]],"&lt;="&amp;EOMONTH(O$8,0),LayTable[[Bookmaker]:[Bookmaker]],$A99)+SUMIFS(BetTable[[AR_per_bookie]:[AR_per_bookie]],BetTable[[B1]:[B1]],$A99,BetTable[[Date]:[Date]], "&gt;="&amp;O$8,BetTable[[Date]:[Date]],"&lt;="&amp;EOMONTH(O$8,0))+SUMIFS(BetTable[[AR_per_bookie]:[AR_per_bookie]],BetTable[[B2]:[B2]],$A99,BetTable[[Date]:[Date]], "&gt;="&amp;O$8,BetTable[[Date]:[Date]],"&lt;="&amp;EOMONTH(O$8,0))+SUMIFS(BetTable[[AR_per_bookie]:[AR_per_bookie]],BetTable[[B3]:[B3]],$A99,BetTable[[Date]:[Date]], "&gt;="&amp;O$8,BetTable[[Date]:[Date]],"&lt;="&amp;EOMONTH(O$8,0))</f>
        <v>0</v>
      </c>
      <c r="P99" s="126">
        <f>SUMIFS(DWbonus[[Sum]:[Sum]],DWbonus[[Dato]:[Dato]], "&gt;="&amp;P$8,DWbonus[[Dato]:[Dato]],"&lt;="&amp;EOMONTH(P$8,0),DWbonus[[Bookie]:[Bookie]],$A99)+SUMIFS(LayTable[[Faktisk res]:[Faktisk res]],LayTable[[Dato]:[Dato]],"&gt;="&amp;P$8,LayTable[[Dato]:[Dato]],"&lt;="&amp;EOMONTH(P$8,0),LayTable[[Bookmaker]:[Bookmaker]],$A99)+SUMIFS(BetTable[[AR_per_bookie]:[AR_per_bookie]],BetTable[[B1]:[B1]],$A99,BetTable[[Date]:[Date]], "&gt;="&amp;P$8,BetTable[[Date]:[Date]],"&lt;="&amp;EOMONTH(P$8,0))+SUMIFS(BetTable[[AR_per_bookie]:[AR_per_bookie]],BetTable[[B2]:[B2]],$A99,BetTable[[Date]:[Date]], "&gt;="&amp;P$8,BetTable[[Date]:[Date]],"&lt;="&amp;EOMONTH(P$8,0))+SUMIFS(BetTable[[AR_per_bookie]:[AR_per_bookie]],BetTable[[B3]:[B3]],$A99,BetTable[[Date]:[Date]], "&gt;="&amp;P$8,BetTable[[Date]:[Date]],"&lt;="&amp;EOMONTH(P$8,0))</f>
        <v>0</v>
      </c>
      <c r="Q99" s="126">
        <f>SUMIFS(DWbonus[[Sum]:[Sum]],DWbonus[[Dato]:[Dato]], "&gt;="&amp;Q$8,DWbonus[[Dato]:[Dato]],"&lt;="&amp;EOMONTH(Q$8,0),DWbonus[[Bookie]:[Bookie]],$A99)+SUMIFS(LayTable[[Faktisk res]:[Faktisk res]],LayTable[[Dato]:[Dato]],"&gt;="&amp;Q$8,LayTable[[Dato]:[Dato]],"&lt;="&amp;EOMONTH(Q$8,0),LayTable[[Bookmaker]:[Bookmaker]],$A99)+SUMIFS(BetTable[[AR_per_bookie]:[AR_per_bookie]],BetTable[[B1]:[B1]],$A99,BetTable[[Date]:[Date]], "&gt;="&amp;Q$8,BetTable[[Date]:[Date]],"&lt;="&amp;EOMONTH(Q$8,0))+SUMIFS(BetTable[[AR_per_bookie]:[AR_per_bookie]],BetTable[[B2]:[B2]],$A99,BetTable[[Date]:[Date]], "&gt;="&amp;Q$8,BetTable[[Date]:[Date]],"&lt;="&amp;EOMONTH(Q$8,0))+SUMIFS(BetTable[[AR_per_bookie]:[AR_per_bookie]],BetTable[[B3]:[B3]],$A99,BetTable[[Date]:[Date]], "&gt;="&amp;Q$8,BetTable[[Date]:[Date]],"&lt;="&amp;EOMONTH(Q$8,0))</f>
        <v>0</v>
      </c>
      <c r="R99" s="126">
        <f>SUMIFS(DWbonus[[Sum]:[Sum]],DWbonus[[Dato]:[Dato]], "&gt;="&amp;R$8,DWbonus[[Dato]:[Dato]],"&lt;="&amp;EOMONTH(R$8,0),DWbonus[[Bookie]:[Bookie]],$A99)+SUMIFS(LayTable[[Faktisk res]:[Faktisk res]],LayTable[[Dato]:[Dato]],"&gt;="&amp;R$8,LayTable[[Dato]:[Dato]],"&lt;="&amp;EOMONTH(R$8,0),LayTable[[Bookmaker]:[Bookmaker]],$A99)+SUMIFS(BetTable[[AR_per_bookie]:[AR_per_bookie]],BetTable[[B1]:[B1]],$A99,BetTable[[Date]:[Date]], "&gt;="&amp;R$8,BetTable[[Date]:[Date]],"&lt;="&amp;EOMONTH(R$8,0))+SUMIFS(BetTable[[AR_per_bookie]:[AR_per_bookie]],BetTable[[B2]:[B2]],$A99,BetTable[[Date]:[Date]], "&gt;="&amp;R$8,BetTable[[Date]:[Date]],"&lt;="&amp;EOMONTH(R$8,0))+SUMIFS(BetTable[[AR_per_bookie]:[AR_per_bookie]],BetTable[[B3]:[B3]],$A99,BetTable[[Date]:[Date]], "&gt;="&amp;R$8,BetTable[[Date]:[Date]],"&lt;="&amp;EOMONTH(R$8,0))</f>
        <v>0</v>
      </c>
      <c r="S99" s="126">
        <f>SUMIFS(DWbonus[[Sum]:[Sum]],DWbonus[[Dato]:[Dato]], "&gt;="&amp;S$8,DWbonus[[Dato]:[Dato]],"&lt;="&amp;EOMONTH(S$8,0),DWbonus[[Bookie]:[Bookie]],$A99)+SUMIFS(LayTable[[Faktisk res]:[Faktisk res]],LayTable[[Dato]:[Dato]],"&gt;="&amp;S$8,LayTable[[Dato]:[Dato]],"&lt;="&amp;EOMONTH(S$8,0),LayTable[[Bookmaker]:[Bookmaker]],$A99)+SUMIFS(BetTable[[AR_per_bookie]:[AR_per_bookie]],BetTable[[B1]:[B1]],$A99,BetTable[[Date]:[Date]], "&gt;="&amp;S$8,BetTable[[Date]:[Date]],"&lt;="&amp;EOMONTH(S$8,0))+SUMIFS(BetTable[[AR_per_bookie]:[AR_per_bookie]],BetTable[[B2]:[B2]],$A99,BetTable[[Date]:[Date]], "&gt;="&amp;S$8,BetTable[[Date]:[Date]],"&lt;="&amp;EOMONTH(S$8,0))+SUMIFS(BetTable[[AR_per_bookie]:[AR_per_bookie]],BetTable[[B3]:[B3]],$A99,BetTable[[Date]:[Date]], "&gt;="&amp;S$8,BetTable[[Date]:[Date]],"&lt;="&amp;EOMONTH(S$8,0))</f>
        <v>0</v>
      </c>
    </row>
    <row r="100" spans="1:19">
      <c r="A100" s="115" t="str">
        <f>BookieNavn!I93</f>
        <v>AaBet90</v>
      </c>
      <c r="B100" s="126">
        <f>SUMIF(Penger!D$1:D$50072,A100,Penger!F$1:F$50072)</f>
        <v>0</v>
      </c>
      <c r="C100" s="126">
        <f>SUMIF(Penger!T$1:T$50072,A100,Penger!U$1:U$50072)</f>
        <v>0</v>
      </c>
      <c r="D100" s="126">
        <f ca="1">SUMIF(Spill!C$1:C$499895,A100,Spill!T$1:T$49895)+C100</f>
        <v>0</v>
      </c>
      <c r="E100" s="126">
        <f>SUMIF(Spill!C$1:C$49895,A100,Spill!T$1:T$49895)</f>
        <v>0</v>
      </c>
      <c r="F100" s="121" t="e">
        <f t="shared" ca="1" si="2"/>
        <v>#DIV/0!</v>
      </c>
      <c r="H100" s="126">
        <f>SUMIFS(DWbonus[[Sum]:[Sum]],DWbonus[[Dato]:[Dato]], "&gt;="&amp;H$8,DWbonus[[Dato]:[Dato]],"&lt;="&amp;EOMONTH(H$8,0),DWbonus[[Bookie]:[Bookie]],$A100)+SUMIFS(LayTable[[Faktisk res]:[Faktisk res]],LayTable[[Dato]:[Dato]],"&gt;="&amp;H$8,LayTable[[Dato]:[Dato]],"&lt;="&amp;EOMONTH(H$8,0),LayTable[[Bookmaker]:[Bookmaker]],$A100)+SUMIFS(BetTable[[AR_per_bookie]:[AR_per_bookie]],BetTable[[B1]:[B1]],$A100,BetTable[[Date]:[Date]], "&gt;="&amp;H$8,BetTable[[Date]:[Date]],"&lt;="&amp;EOMONTH(H$8,0))+SUMIFS(BetTable[[AR_per_bookie]:[AR_per_bookie]],BetTable[[B2]:[B2]],$A100,BetTable[[Date]:[Date]], "&gt;="&amp;H$8,BetTable[[Date]:[Date]],"&lt;="&amp;EOMONTH(H$8,0))+SUMIFS(BetTable[[AR_per_bookie]:[AR_per_bookie]],BetTable[[B3]:[B3]],$A100,BetTable[[Date]:[Date]], "&gt;="&amp;H$8,BetTable[[Date]:[Date]],"&lt;="&amp;EOMONTH(H$8,0))</f>
        <v>0</v>
      </c>
      <c r="I100" s="126">
        <f>SUMIFS(DWbonus[[Sum]:[Sum]],DWbonus[[Dato]:[Dato]], "&gt;="&amp;I$8,DWbonus[[Dato]:[Dato]],"&lt;="&amp;EOMONTH(I$8,0),DWbonus[[Bookie]:[Bookie]],$A100)+SUMIFS(LayTable[[Faktisk res]:[Faktisk res]],LayTable[[Dato]:[Dato]],"&gt;="&amp;I$8,LayTable[[Dato]:[Dato]],"&lt;="&amp;EOMONTH(I$8,0),LayTable[[Bookmaker]:[Bookmaker]],$A100)+SUMIFS(BetTable[[AR_per_bookie]:[AR_per_bookie]],BetTable[[B1]:[B1]],$A100,BetTable[[Date]:[Date]], "&gt;="&amp;I$8,BetTable[[Date]:[Date]],"&lt;="&amp;EOMONTH(I$8,0))+SUMIFS(BetTable[[AR_per_bookie]:[AR_per_bookie]],BetTable[[B2]:[B2]],$A100,BetTable[[Date]:[Date]], "&gt;="&amp;I$8,BetTable[[Date]:[Date]],"&lt;="&amp;EOMONTH(I$8,0))+SUMIFS(BetTable[[AR_per_bookie]:[AR_per_bookie]],BetTable[[B3]:[B3]],$A100,BetTable[[Date]:[Date]], "&gt;="&amp;I$8,BetTable[[Date]:[Date]],"&lt;="&amp;EOMONTH(I$8,0))</f>
        <v>0</v>
      </c>
      <c r="J100" s="126">
        <f>SUMIFS(DWbonus[[Sum]:[Sum]],DWbonus[[Dato]:[Dato]], "&gt;="&amp;J$8,DWbonus[[Dato]:[Dato]],"&lt;="&amp;EOMONTH(J$8,0),DWbonus[[Bookie]:[Bookie]],$A100)+SUMIFS(LayTable[[Faktisk res]:[Faktisk res]],LayTable[[Dato]:[Dato]],"&gt;="&amp;J$8,LayTable[[Dato]:[Dato]],"&lt;="&amp;EOMONTH(J$8,0),LayTable[[Bookmaker]:[Bookmaker]],$A100)+SUMIFS(BetTable[[AR_per_bookie]:[AR_per_bookie]],BetTable[[B1]:[B1]],$A100,BetTable[[Date]:[Date]], "&gt;="&amp;J$8,BetTable[[Date]:[Date]],"&lt;="&amp;EOMONTH(J$8,0))+SUMIFS(BetTable[[AR_per_bookie]:[AR_per_bookie]],BetTable[[B2]:[B2]],$A100,BetTable[[Date]:[Date]], "&gt;="&amp;J$8,BetTable[[Date]:[Date]],"&lt;="&amp;EOMONTH(J$8,0))+SUMIFS(BetTable[[AR_per_bookie]:[AR_per_bookie]],BetTable[[B3]:[B3]],$A100,BetTable[[Date]:[Date]], "&gt;="&amp;J$8,BetTable[[Date]:[Date]],"&lt;="&amp;EOMONTH(J$8,0))</f>
        <v>0</v>
      </c>
      <c r="K100" s="126">
        <f>SUMIFS(DWbonus[[Sum]:[Sum]],DWbonus[[Dato]:[Dato]], "&gt;="&amp;K$8,DWbonus[[Dato]:[Dato]],"&lt;="&amp;EOMONTH(K$8,0),DWbonus[[Bookie]:[Bookie]],$A100)+SUMIFS(LayTable[[Faktisk res]:[Faktisk res]],LayTable[[Dato]:[Dato]],"&gt;="&amp;K$8,LayTable[[Dato]:[Dato]],"&lt;="&amp;EOMONTH(K$8,0),LayTable[[Bookmaker]:[Bookmaker]],$A100)+SUMIFS(BetTable[[AR_per_bookie]:[AR_per_bookie]],BetTable[[B1]:[B1]],$A100,BetTable[[Date]:[Date]], "&gt;="&amp;K$8,BetTable[[Date]:[Date]],"&lt;="&amp;EOMONTH(K$8,0))+SUMIFS(BetTable[[AR_per_bookie]:[AR_per_bookie]],BetTable[[B2]:[B2]],$A100,BetTable[[Date]:[Date]], "&gt;="&amp;K$8,BetTable[[Date]:[Date]],"&lt;="&amp;EOMONTH(K$8,0))+SUMIFS(BetTable[[AR_per_bookie]:[AR_per_bookie]],BetTable[[B3]:[B3]],$A100,BetTable[[Date]:[Date]], "&gt;="&amp;K$8,BetTable[[Date]:[Date]],"&lt;="&amp;EOMONTH(K$8,0))</f>
        <v>0</v>
      </c>
      <c r="L100" s="126">
        <f>SUMIFS(DWbonus[[Sum]:[Sum]],DWbonus[[Dato]:[Dato]], "&gt;="&amp;L$8,DWbonus[[Dato]:[Dato]],"&lt;="&amp;EOMONTH(L$8,0),DWbonus[[Bookie]:[Bookie]],$A100)+SUMIFS(LayTable[[Faktisk res]:[Faktisk res]],LayTable[[Dato]:[Dato]],"&gt;="&amp;L$8,LayTable[[Dato]:[Dato]],"&lt;="&amp;EOMONTH(L$8,0),LayTable[[Bookmaker]:[Bookmaker]],$A100)+SUMIFS(BetTable[[AR_per_bookie]:[AR_per_bookie]],BetTable[[B1]:[B1]],$A100,BetTable[[Date]:[Date]], "&gt;="&amp;L$8,BetTable[[Date]:[Date]],"&lt;="&amp;EOMONTH(L$8,0))+SUMIFS(BetTable[[AR_per_bookie]:[AR_per_bookie]],BetTable[[B2]:[B2]],$A100,BetTable[[Date]:[Date]], "&gt;="&amp;L$8,BetTable[[Date]:[Date]],"&lt;="&amp;EOMONTH(L$8,0))+SUMIFS(BetTable[[AR_per_bookie]:[AR_per_bookie]],BetTable[[B3]:[B3]],$A100,BetTable[[Date]:[Date]], "&gt;="&amp;L$8,BetTable[[Date]:[Date]],"&lt;="&amp;EOMONTH(L$8,0))</f>
        <v>0</v>
      </c>
      <c r="M100" s="126">
        <f>SUMIFS(DWbonus[[Sum]:[Sum]],DWbonus[[Dato]:[Dato]], "&gt;="&amp;M$8,DWbonus[[Dato]:[Dato]],"&lt;="&amp;EOMONTH(M$8,0),DWbonus[[Bookie]:[Bookie]],$A100)+SUMIFS(LayTable[[Faktisk res]:[Faktisk res]],LayTable[[Dato]:[Dato]],"&gt;="&amp;M$8,LayTable[[Dato]:[Dato]],"&lt;="&amp;EOMONTH(M$8,0),LayTable[[Bookmaker]:[Bookmaker]],$A100)+SUMIFS(BetTable[[AR_per_bookie]:[AR_per_bookie]],BetTable[[B1]:[B1]],$A100,BetTable[[Date]:[Date]], "&gt;="&amp;M$8,BetTable[[Date]:[Date]],"&lt;="&amp;EOMONTH(M$8,0))+SUMIFS(BetTable[[AR_per_bookie]:[AR_per_bookie]],BetTable[[B2]:[B2]],$A100,BetTable[[Date]:[Date]], "&gt;="&amp;M$8,BetTable[[Date]:[Date]],"&lt;="&amp;EOMONTH(M$8,0))+SUMIFS(BetTable[[AR_per_bookie]:[AR_per_bookie]],BetTable[[B3]:[B3]],$A100,BetTable[[Date]:[Date]], "&gt;="&amp;M$8,BetTable[[Date]:[Date]],"&lt;="&amp;EOMONTH(M$8,0))</f>
        <v>0</v>
      </c>
      <c r="N100" s="126">
        <f>SUMIFS(DWbonus[[Sum]:[Sum]],DWbonus[[Dato]:[Dato]], "&gt;="&amp;N$8,DWbonus[[Dato]:[Dato]],"&lt;="&amp;EOMONTH(N$8,0),DWbonus[[Bookie]:[Bookie]],$A100)+SUMIFS(LayTable[[Faktisk res]:[Faktisk res]],LayTable[[Dato]:[Dato]],"&gt;="&amp;N$8,LayTable[[Dato]:[Dato]],"&lt;="&amp;EOMONTH(N$8,0),LayTable[[Bookmaker]:[Bookmaker]],$A100)+SUMIFS(BetTable[[AR_per_bookie]:[AR_per_bookie]],BetTable[[B1]:[B1]],$A100,BetTable[[Date]:[Date]], "&gt;="&amp;N$8,BetTable[[Date]:[Date]],"&lt;="&amp;EOMONTH(N$8,0))+SUMIFS(BetTable[[AR_per_bookie]:[AR_per_bookie]],BetTable[[B2]:[B2]],$A100,BetTable[[Date]:[Date]], "&gt;="&amp;N$8,BetTable[[Date]:[Date]],"&lt;="&amp;EOMONTH(N$8,0))+SUMIFS(BetTable[[AR_per_bookie]:[AR_per_bookie]],BetTable[[B3]:[B3]],$A100,BetTable[[Date]:[Date]], "&gt;="&amp;N$8,BetTable[[Date]:[Date]],"&lt;="&amp;EOMONTH(N$8,0))</f>
        <v>0</v>
      </c>
      <c r="O100" s="126">
        <f>SUMIFS(DWbonus[[Sum]:[Sum]],DWbonus[[Dato]:[Dato]], "&gt;="&amp;O$8,DWbonus[[Dato]:[Dato]],"&lt;="&amp;EOMONTH(O$8,0),DWbonus[[Bookie]:[Bookie]],$A100)+SUMIFS(LayTable[[Faktisk res]:[Faktisk res]],LayTable[[Dato]:[Dato]],"&gt;="&amp;O$8,LayTable[[Dato]:[Dato]],"&lt;="&amp;EOMONTH(O$8,0),LayTable[[Bookmaker]:[Bookmaker]],$A100)+SUMIFS(BetTable[[AR_per_bookie]:[AR_per_bookie]],BetTable[[B1]:[B1]],$A100,BetTable[[Date]:[Date]], "&gt;="&amp;O$8,BetTable[[Date]:[Date]],"&lt;="&amp;EOMONTH(O$8,0))+SUMIFS(BetTable[[AR_per_bookie]:[AR_per_bookie]],BetTable[[B2]:[B2]],$A100,BetTable[[Date]:[Date]], "&gt;="&amp;O$8,BetTable[[Date]:[Date]],"&lt;="&amp;EOMONTH(O$8,0))+SUMIFS(BetTable[[AR_per_bookie]:[AR_per_bookie]],BetTable[[B3]:[B3]],$A100,BetTable[[Date]:[Date]], "&gt;="&amp;O$8,BetTable[[Date]:[Date]],"&lt;="&amp;EOMONTH(O$8,0))</f>
        <v>0</v>
      </c>
      <c r="P100" s="126">
        <f>SUMIFS(DWbonus[[Sum]:[Sum]],DWbonus[[Dato]:[Dato]], "&gt;="&amp;P$8,DWbonus[[Dato]:[Dato]],"&lt;="&amp;EOMONTH(P$8,0),DWbonus[[Bookie]:[Bookie]],$A100)+SUMIFS(LayTable[[Faktisk res]:[Faktisk res]],LayTable[[Dato]:[Dato]],"&gt;="&amp;P$8,LayTable[[Dato]:[Dato]],"&lt;="&amp;EOMONTH(P$8,0),LayTable[[Bookmaker]:[Bookmaker]],$A100)+SUMIFS(BetTable[[AR_per_bookie]:[AR_per_bookie]],BetTable[[B1]:[B1]],$A100,BetTable[[Date]:[Date]], "&gt;="&amp;P$8,BetTable[[Date]:[Date]],"&lt;="&amp;EOMONTH(P$8,0))+SUMIFS(BetTable[[AR_per_bookie]:[AR_per_bookie]],BetTable[[B2]:[B2]],$A100,BetTable[[Date]:[Date]], "&gt;="&amp;P$8,BetTable[[Date]:[Date]],"&lt;="&amp;EOMONTH(P$8,0))+SUMIFS(BetTable[[AR_per_bookie]:[AR_per_bookie]],BetTable[[B3]:[B3]],$A100,BetTable[[Date]:[Date]], "&gt;="&amp;P$8,BetTable[[Date]:[Date]],"&lt;="&amp;EOMONTH(P$8,0))</f>
        <v>0</v>
      </c>
      <c r="Q100" s="126">
        <f>SUMIFS(DWbonus[[Sum]:[Sum]],DWbonus[[Dato]:[Dato]], "&gt;="&amp;Q$8,DWbonus[[Dato]:[Dato]],"&lt;="&amp;EOMONTH(Q$8,0),DWbonus[[Bookie]:[Bookie]],$A100)+SUMIFS(LayTable[[Faktisk res]:[Faktisk res]],LayTable[[Dato]:[Dato]],"&gt;="&amp;Q$8,LayTable[[Dato]:[Dato]],"&lt;="&amp;EOMONTH(Q$8,0),LayTable[[Bookmaker]:[Bookmaker]],$A100)+SUMIFS(BetTable[[AR_per_bookie]:[AR_per_bookie]],BetTable[[B1]:[B1]],$A100,BetTable[[Date]:[Date]], "&gt;="&amp;Q$8,BetTable[[Date]:[Date]],"&lt;="&amp;EOMONTH(Q$8,0))+SUMIFS(BetTable[[AR_per_bookie]:[AR_per_bookie]],BetTable[[B2]:[B2]],$A100,BetTable[[Date]:[Date]], "&gt;="&amp;Q$8,BetTable[[Date]:[Date]],"&lt;="&amp;EOMONTH(Q$8,0))+SUMIFS(BetTable[[AR_per_bookie]:[AR_per_bookie]],BetTable[[B3]:[B3]],$A100,BetTable[[Date]:[Date]], "&gt;="&amp;Q$8,BetTable[[Date]:[Date]],"&lt;="&amp;EOMONTH(Q$8,0))</f>
        <v>0</v>
      </c>
      <c r="R100" s="126">
        <f>SUMIFS(DWbonus[[Sum]:[Sum]],DWbonus[[Dato]:[Dato]], "&gt;="&amp;R$8,DWbonus[[Dato]:[Dato]],"&lt;="&amp;EOMONTH(R$8,0),DWbonus[[Bookie]:[Bookie]],$A100)+SUMIFS(LayTable[[Faktisk res]:[Faktisk res]],LayTable[[Dato]:[Dato]],"&gt;="&amp;R$8,LayTable[[Dato]:[Dato]],"&lt;="&amp;EOMONTH(R$8,0),LayTable[[Bookmaker]:[Bookmaker]],$A100)+SUMIFS(BetTable[[AR_per_bookie]:[AR_per_bookie]],BetTable[[B1]:[B1]],$A100,BetTable[[Date]:[Date]], "&gt;="&amp;R$8,BetTable[[Date]:[Date]],"&lt;="&amp;EOMONTH(R$8,0))+SUMIFS(BetTable[[AR_per_bookie]:[AR_per_bookie]],BetTable[[B2]:[B2]],$A100,BetTable[[Date]:[Date]], "&gt;="&amp;R$8,BetTable[[Date]:[Date]],"&lt;="&amp;EOMONTH(R$8,0))+SUMIFS(BetTable[[AR_per_bookie]:[AR_per_bookie]],BetTable[[B3]:[B3]],$A100,BetTable[[Date]:[Date]], "&gt;="&amp;R$8,BetTable[[Date]:[Date]],"&lt;="&amp;EOMONTH(R$8,0))</f>
        <v>0</v>
      </c>
      <c r="S100" s="126">
        <f>SUMIFS(DWbonus[[Sum]:[Sum]],DWbonus[[Dato]:[Dato]], "&gt;="&amp;S$8,DWbonus[[Dato]:[Dato]],"&lt;="&amp;EOMONTH(S$8,0),DWbonus[[Bookie]:[Bookie]],$A100)+SUMIFS(LayTable[[Faktisk res]:[Faktisk res]],LayTable[[Dato]:[Dato]],"&gt;="&amp;S$8,LayTable[[Dato]:[Dato]],"&lt;="&amp;EOMONTH(S$8,0),LayTable[[Bookmaker]:[Bookmaker]],$A100)+SUMIFS(BetTable[[AR_per_bookie]:[AR_per_bookie]],BetTable[[B1]:[B1]],$A100,BetTable[[Date]:[Date]], "&gt;="&amp;S$8,BetTable[[Date]:[Date]],"&lt;="&amp;EOMONTH(S$8,0))+SUMIFS(BetTable[[AR_per_bookie]:[AR_per_bookie]],BetTable[[B2]:[B2]],$A100,BetTable[[Date]:[Date]], "&gt;="&amp;S$8,BetTable[[Date]:[Date]],"&lt;="&amp;EOMONTH(S$8,0))+SUMIFS(BetTable[[AR_per_bookie]:[AR_per_bookie]],BetTable[[B3]:[B3]],$A100,BetTable[[Date]:[Date]], "&gt;="&amp;S$8,BetTable[[Date]:[Date]],"&lt;="&amp;EOMONTH(S$8,0))</f>
        <v>0</v>
      </c>
    </row>
    <row r="101" spans="1:19">
      <c r="A101" s="115" t="str">
        <f>BookieNavn!I94</f>
        <v>AaNorgesspill</v>
      </c>
      <c r="B101" s="126">
        <f>SUMIF(Penger!D$1:D$50072,A101,Penger!F$1:F$50072)</f>
        <v>0</v>
      </c>
      <c r="C101" s="126">
        <f>SUMIF(Penger!T$1:T$50072,A101,Penger!U$1:U$50072)</f>
        <v>0</v>
      </c>
      <c r="D101" s="126">
        <f ca="1">SUMIF(Spill!C$1:C$499895,A101,Spill!T$1:T$49895)+C101</f>
        <v>0</v>
      </c>
      <c r="E101" s="126">
        <f>SUMIF(Spill!C$1:C$49895,A101,Spill!T$1:T$49895)</f>
        <v>0</v>
      </c>
      <c r="F101" s="121" t="e">
        <f t="shared" ca="1" si="2"/>
        <v>#DIV/0!</v>
      </c>
      <c r="H101" s="126">
        <f>SUMIFS(DWbonus[[Sum]:[Sum]],DWbonus[[Dato]:[Dato]], "&gt;="&amp;H$8,DWbonus[[Dato]:[Dato]],"&lt;="&amp;EOMONTH(H$8,0),DWbonus[[Bookie]:[Bookie]],$A101)+SUMIFS(LayTable[[Faktisk res]:[Faktisk res]],LayTable[[Dato]:[Dato]],"&gt;="&amp;H$8,LayTable[[Dato]:[Dato]],"&lt;="&amp;EOMONTH(H$8,0),LayTable[[Bookmaker]:[Bookmaker]],$A101)+SUMIFS(BetTable[[AR_per_bookie]:[AR_per_bookie]],BetTable[[B1]:[B1]],$A101,BetTable[[Date]:[Date]], "&gt;="&amp;H$8,BetTable[[Date]:[Date]],"&lt;="&amp;EOMONTH(H$8,0))+SUMIFS(BetTable[[AR_per_bookie]:[AR_per_bookie]],BetTable[[B2]:[B2]],$A101,BetTable[[Date]:[Date]], "&gt;="&amp;H$8,BetTable[[Date]:[Date]],"&lt;="&amp;EOMONTH(H$8,0))+SUMIFS(BetTable[[AR_per_bookie]:[AR_per_bookie]],BetTable[[B3]:[B3]],$A101,BetTable[[Date]:[Date]], "&gt;="&amp;H$8,BetTable[[Date]:[Date]],"&lt;="&amp;EOMONTH(H$8,0))</f>
        <v>0</v>
      </c>
      <c r="I101" s="126">
        <f>SUMIFS(DWbonus[[Sum]:[Sum]],DWbonus[[Dato]:[Dato]], "&gt;="&amp;I$8,DWbonus[[Dato]:[Dato]],"&lt;="&amp;EOMONTH(I$8,0),DWbonus[[Bookie]:[Bookie]],$A101)+SUMIFS(LayTable[[Faktisk res]:[Faktisk res]],LayTable[[Dato]:[Dato]],"&gt;="&amp;I$8,LayTable[[Dato]:[Dato]],"&lt;="&amp;EOMONTH(I$8,0),LayTable[[Bookmaker]:[Bookmaker]],$A101)+SUMIFS(BetTable[[AR_per_bookie]:[AR_per_bookie]],BetTable[[B1]:[B1]],$A101,BetTable[[Date]:[Date]], "&gt;="&amp;I$8,BetTable[[Date]:[Date]],"&lt;="&amp;EOMONTH(I$8,0))+SUMIFS(BetTable[[AR_per_bookie]:[AR_per_bookie]],BetTable[[B2]:[B2]],$A101,BetTable[[Date]:[Date]], "&gt;="&amp;I$8,BetTable[[Date]:[Date]],"&lt;="&amp;EOMONTH(I$8,0))+SUMIFS(BetTable[[AR_per_bookie]:[AR_per_bookie]],BetTable[[B3]:[B3]],$A101,BetTable[[Date]:[Date]], "&gt;="&amp;I$8,BetTable[[Date]:[Date]],"&lt;="&amp;EOMONTH(I$8,0))</f>
        <v>0</v>
      </c>
      <c r="J101" s="126">
        <f>SUMIFS(DWbonus[[Sum]:[Sum]],DWbonus[[Dato]:[Dato]], "&gt;="&amp;J$8,DWbonus[[Dato]:[Dato]],"&lt;="&amp;EOMONTH(J$8,0),DWbonus[[Bookie]:[Bookie]],$A101)+SUMIFS(LayTable[[Faktisk res]:[Faktisk res]],LayTable[[Dato]:[Dato]],"&gt;="&amp;J$8,LayTable[[Dato]:[Dato]],"&lt;="&amp;EOMONTH(J$8,0),LayTable[[Bookmaker]:[Bookmaker]],$A101)+SUMIFS(BetTable[[AR_per_bookie]:[AR_per_bookie]],BetTable[[B1]:[B1]],$A101,BetTable[[Date]:[Date]], "&gt;="&amp;J$8,BetTable[[Date]:[Date]],"&lt;="&amp;EOMONTH(J$8,0))+SUMIFS(BetTable[[AR_per_bookie]:[AR_per_bookie]],BetTable[[B2]:[B2]],$A101,BetTable[[Date]:[Date]], "&gt;="&amp;J$8,BetTable[[Date]:[Date]],"&lt;="&amp;EOMONTH(J$8,0))+SUMIFS(BetTable[[AR_per_bookie]:[AR_per_bookie]],BetTable[[B3]:[B3]],$A101,BetTable[[Date]:[Date]], "&gt;="&amp;J$8,BetTable[[Date]:[Date]],"&lt;="&amp;EOMONTH(J$8,0))</f>
        <v>0</v>
      </c>
      <c r="K101" s="126">
        <f>SUMIFS(DWbonus[[Sum]:[Sum]],DWbonus[[Dato]:[Dato]], "&gt;="&amp;K$8,DWbonus[[Dato]:[Dato]],"&lt;="&amp;EOMONTH(K$8,0),DWbonus[[Bookie]:[Bookie]],$A101)+SUMIFS(LayTable[[Faktisk res]:[Faktisk res]],LayTable[[Dato]:[Dato]],"&gt;="&amp;K$8,LayTable[[Dato]:[Dato]],"&lt;="&amp;EOMONTH(K$8,0),LayTable[[Bookmaker]:[Bookmaker]],$A101)+SUMIFS(BetTable[[AR_per_bookie]:[AR_per_bookie]],BetTable[[B1]:[B1]],$A101,BetTable[[Date]:[Date]], "&gt;="&amp;K$8,BetTable[[Date]:[Date]],"&lt;="&amp;EOMONTH(K$8,0))+SUMIFS(BetTable[[AR_per_bookie]:[AR_per_bookie]],BetTable[[B2]:[B2]],$A101,BetTable[[Date]:[Date]], "&gt;="&amp;K$8,BetTable[[Date]:[Date]],"&lt;="&amp;EOMONTH(K$8,0))+SUMIFS(BetTable[[AR_per_bookie]:[AR_per_bookie]],BetTable[[B3]:[B3]],$A101,BetTable[[Date]:[Date]], "&gt;="&amp;K$8,BetTable[[Date]:[Date]],"&lt;="&amp;EOMONTH(K$8,0))</f>
        <v>0</v>
      </c>
      <c r="L101" s="126">
        <f>SUMIFS(DWbonus[[Sum]:[Sum]],DWbonus[[Dato]:[Dato]], "&gt;="&amp;L$8,DWbonus[[Dato]:[Dato]],"&lt;="&amp;EOMONTH(L$8,0),DWbonus[[Bookie]:[Bookie]],$A101)+SUMIFS(LayTable[[Faktisk res]:[Faktisk res]],LayTable[[Dato]:[Dato]],"&gt;="&amp;L$8,LayTable[[Dato]:[Dato]],"&lt;="&amp;EOMONTH(L$8,0),LayTable[[Bookmaker]:[Bookmaker]],$A101)+SUMIFS(BetTable[[AR_per_bookie]:[AR_per_bookie]],BetTable[[B1]:[B1]],$A101,BetTable[[Date]:[Date]], "&gt;="&amp;L$8,BetTable[[Date]:[Date]],"&lt;="&amp;EOMONTH(L$8,0))+SUMIFS(BetTable[[AR_per_bookie]:[AR_per_bookie]],BetTable[[B2]:[B2]],$A101,BetTable[[Date]:[Date]], "&gt;="&amp;L$8,BetTable[[Date]:[Date]],"&lt;="&amp;EOMONTH(L$8,0))+SUMIFS(BetTable[[AR_per_bookie]:[AR_per_bookie]],BetTable[[B3]:[B3]],$A101,BetTable[[Date]:[Date]], "&gt;="&amp;L$8,BetTable[[Date]:[Date]],"&lt;="&amp;EOMONTH(L$8,0))</f>
        <v>0</v>
      </c>
      <c r="M101" s="126">
        <f>SUMIFS(DWbonus[[Sum]:[Sum]],DWbonus[[Dato]:[Dato]], "&gt;="&amp;M$8,DWbonus[[Dato]:[Dato]],"&lt;="&amp;EOMONTH(M$8,0),DWbonus[[Bookie]:[Bookie]],$A101)+SUMIFS(LayTable[[Faktisk res]:[Faktisk res]],LayTable[[Dato]:[Dato]],"&gt;="&amp;M$8,LayTable[[Dato]:[Dato]],"&lt;="&amp;EOMONTH(M$8,0),LayTable[[Bookmaker]:[Bookmaker]],$A101)+SUMIFS(BetTable[[AR_per_bookie]:[AR_per_bookie]],BetTable[[B1]:[B1]],$A101,BetTable[[Date]:[Date]], "&gt;="&amp;M$8,BetTable[[Date]:[Date]],"&lt;="&amp;EOMONTH(M$8,0))+SUMIFS(BetTable[[AR_per_bookie]:[AR_per_bookie]],BetTable[[B2]:[B2]],$A101,BetTable[[Date]:[Date]], "&gt;="&amp;M$8,BetTable[[Date]:[Date]],"&lt;="&amp;EOMONTH(M$8,0))+SUMIFS(BetTable[[AR_per_bookie]:[AR_per_bookie]],BetTable[[B3]:[B3]],$A101,BetTable[[Date]:[Date]], "&gt;="&amp;M$8,BetTable[[Date]:[Date]],"&lt;="&amp;EOMONTH(M$8,0))</f>
        <v>0</v>
      </c>
      <c r="N101" s="126">
        <f>SUMIFS(DWbonus[[Sum]:[Sum]],DWbonus[[Dato]:[Dato]], "&gt;="&amp;N$8,DWbonus[[Dato]:[Dato]],"&lt;="&amp;EOMONTH(N$8,0),DWbonus[[Bookie]:[Bookie]],$A101)+SUMIFS(LayTable[[Faktisk res]:[Faktisk res]],LayTable[[Dato]:[Dato]],"&gt;="&amp;N$8,LayTable[[Dato]:[Dato]],"&lt;="&amp;EOMONTH(N$8,0),LayTable[[Bookmaker]:[Bookmaker]],$A101)+SUMIFS(BetTable[[AR_per_bookie]:[AR_per_bookie]],BetTable[[B1]:[B1]],$A101,BetTable[[Date]:[Date]], "&gt;="&amp;N$8,BetTable[[Date]:[Date]],"&lt;="&amp;EOMONTH(N$8,0))+SUMIFS(BetTable[[AR_per_bookie]:[AR_per_bookie]],BetTable[[B2]:[B2]],$A101,BetTable[[Date]:[Date]], "&gt;="&amp;N$8,BetTable[[Date]:[Date]],"&lt;="&amp;EOMONTH(N$8,0))+SUMIFS(BetTable[[AR_per_bookie]:[AR_per_bookie]],BetTable[[B3]:[B3]],$A101,BetTable[[Date]:[Date]], "&gt;="&amp;N$8,BetTable[[Date]:[Date]],"&lt;="&amp;EOMONTH(N$8,0))</f>
        <v>0</v>
      </c>
      <c r="O101" s="126">
        <f>SUMIFS(DWbonus[[Sum]:[Sum]],DWbonus[[Dato]:[Dato]], "&gt;="&amp;O$8,DWbonus[[Dato]:[Dato]],"&lt;="&amp;EOMONTH(O$8,0),DWbonus[[Bookie]:[Bookie]],$A101)+SUMIFS(LayTable[[Faktisk res]:[Faktisk res]],LayTable[[Dato]:[Dato]],"&gt;="&amp;O$8,LayTable[[Dato]:[Dato]],"&lt;="&amp;EOMONTH(O$8,0),LayTable[[Bookmaker]:[Bookmaker]],$A101)+SUMIFS(BetTable[[AR_per_bookie]:[AR_per_bookie]],BetTable[[B1]:[B1]],$A101,BetTable[[Date]:[Date]], "&gt;="&amp;O$8,BetTable[[Date]:[Date]],"&lt;="&amp;EOMONTH(O$8,0))+SUMIFS(BetTable[[AR_per_bookie]:[AR_per_bookie]],BetTable[[B2]:[B2]],$A101,BetTable[[Date]:[Date]], "&gt;="&amp;O$8,BetTable[[Date]:[Date]],"&lt;="&amp;EOMONTH(O$8,0))+SUMIFS(BetTable[[AR_per_bookie]:[AR_per_bookie]],BetTable[[B3]:[B3]],$A101,BetTable[[Date]:[Date]], "&gt;="&amp;O$8,BetTable[[Date]:[Date]],"&lt;="&amp;EOMONTH(O$8,0))</f>
        <v>0</v>
      </c>
      <c r="P101" s="126">
        <f>SUMIFS(DWbonus[[Sum]:[Sum]],DWbonus[[Dato]:[Dato]], "&gt;="&amp;P$8,DWbonus[[Dato]:[Dato]],"&lt;="&amp;EOMONTH(P$8,0),DWbonus[[Bookie]:[Bookie]],$A101)+SUMIFS(LayTable[[Faktisk res]:[Faktisk res]],LayTable[[Dato]:[Dato]],"&gt;="&amp;P$8,LayTable[[Dato]:[Dato]],"&lt;="&amp;EOMONTH(P$8,0),LayTable[[Bookmaker]:[Bookmaker]],$A101)+SUMIFS(BetTable[[AR_per_bookie]:[AR_per_bookie]],BetTable[[B1]:[B1]],$A101,BetTable[[Date]:[Date]], "&gt;="&amp;P$8,BetTable[[Date]:[Date]],"&lt;="&amp;EOMONTH(P$8,0))+SUMIFS(BetTable[[AR_per_bookie]:[AR_per_bookie]],BetTable[[B2]:[B2]],$A101,BetTable[[Date]:[Date]], "&gt;="&amp;P$8,BetTable[[Date]:[Date]],"&lt;="&amp;EOMONTH(P$8,0))+SUMIFS(BetTable[[AR_per_bookie]:[AR_per_bookie]],BetTable[[B3]:[B3]],$A101,BetTable[[Date]:[Date]], "&gt;="&amp;P$8,BetTable[[Date]:[Date]],"&lt;="&amp;EOMONTH(P$8,0))</f>
        <v>0</v>
      </c>
      <c r="Q101" s="126">
        <f>SUMIFS(DWbonus[[Sum]:[Sum]],DWbonus[[Dato]:[Dato]], "&gt;="&amp;Q$8,DWbonus[[Dato]:[Dato]],"&lt;="&amp;EOMONTH(Q$8,0),DWbonus[[Bookie]:[Bookie]],$A101)+SUMIFS(LayTable[[Faktisk res]:[Faktisk res]],LayTable[[Dato]:[Dato]],"&gt;="&amp;Q$8,LayTable[[Dato]:[Dato]],"&lt;="&amp;EOMONTH(Q$8,0),LayTable[[Bookmaker]:[Bookmaker]],$A101)+SUMIFS(BetTable[[AR_per_bookie]:[AR_per_bookie]],BetTable[[B1]:[B1]],$A101,BetTable[[Date]:[Date]], "&gt;="&amp;Q$8,BetTable[[Date]:[Date]],"&lt;="&amp;EOMONTH(Q$8,0))+SUMIFS(BetTable[[AR_per_bookie]:[AR_per_bookie]],BetTable[[B2]:[B2]],$A101,BetTable[[Date]:[Date]], "&gt;="&amp;Q$8,BetTable[[Date]:[Date]],"&lt;="&amp;EOMONTH(Q$8,0))+SUMIFS(BetTable[[AR_per_bookie]:[AR_per_bookie]],BetTable[[B3]:[B3]],$A101,BetTable[[Date]:[Date]], "&gt;="&amp;Q$8,BetTable[[Date]:[Date]],"&lt;="&amp;EOMONTH(Q$8,0))</f>
        <v>0</v>
      </c>
      <c r="R101" s="126">
        <f>SUMIFS(DWbonus[[Sum]:[Sum]],DWbonus[[Dato]:[Dato]], "&gt;="&amp;R$8,DWbonus[[Dato]:[Dato]],"&lt;="&amp;EOMONTH(R$8,0),DWbonus[[Bookie]:[Bookie]],$A101)+SUMIFS(LayTable[[Faktisk res]:[Faktisk res]],LayTable[[Dato]:[Dato]],"&gt;="&amp;R$8,LayTable[[Dato]:[Dato]],"&lt;="&amp;EOMONTH(R$8,0),LayTable[[Bookmaker]:[Bookmaker]],$A101)+SUMIFS(BetTable[[AR_per_bookie]:[AR_per_bookie]],BetTable[[B1]:[B1]],$A101,BetTable[[Date]:[Date]], "&gt;="&amp;R$8,BetTable[[Date]:[Date]],"&lt;="&amp;EOMONTH(R$8,0))+SUMIFS(BetTable[[AR_per_bookie]:[AR_per_bookie]],BetTable[[B2]:[B2]],$A101,BetTable[[Date]:[Date]], "&gt;="&amp;R$8,BetTable[[Date]:[Date]],"&lt;="&amp;EOMONTH(R$8,0))+SUMIFS(BetTable[[AR_per_bookie]:[AR_per_bookie]],BetTable[[B3]:[B3]],$A101,BetTable[[Date]:[Date]], "&gt;="&amp;R$8,BetTable[[Date]:[Date]],"&lt;="&amp;EOMONTH(R$8,0))</f>
        <v>0</v>
      </c>
      <c r="S101" s="126">
        <f>SUMIFS(DWbonus[[Sum]:[Sum]],DWbonus[[Dato]:[Dato]], "&gt;="&amp;S$8,DWbonus[[Dato]:[Dato]],"&lt;="&amp;EOMONTH(S$8,0),DWbonus[[Bookie]:[Bookie]],$A101)+SUMIFS(LayTable[[Faktisk res]:[Faktisk res]],LayTable[[Dato]:[Dato]],"&gt;="&amp;S$8,LayTable[[Dato]:[Dato]],"&lt;="&amp;EOMONTH(S$8,0),LayTable[[Bookmaker]:[Bookmaker]],$A101)+SUMIFS(BetTable[[AR_per_bookie]:[AR_per_bookie]],BetTable[[B1]:[B1]],$A101,BetTable[[Date]:[Date]], "&gt;="&amp;S$8,BetTable[[Date]:[Date]],"&lt;="&amp;EOMONTH(S$8,0))+SUMIFS(BetTable[[AR_per_bookie]:[AR_per_bookie]],BetTable[[B2]:[B2]],$A101,BetTable[[Date]:[Date]], "&gt;="&amp;S$8,BetTable[[Date]:[Date]],"&lt;="&amp;EOMONTH(S$8,0))+SUMIFS(BetTable[[AR_per_bookie]:[AR_per_bookie]],BetTable[[B3]:[B3]],$A101,BetTable[[Date]:[Date]], "&gt;="&amp;S$8,BetTable[[Date]:[Date]],"&lt;="&amp;EOMONTH(S$8,0))</f>
        <v>0</v>
      </c>
    </row>
    <row r="102" spans="1:19">
      <c r="A102" s="115" t="str">
        <f>BookieNavn!I95</f>
        <v>AaLeoVegas</v>
      </c>
      <c r="B102" s="126">
        <f>SUMIF(Penger!D$1:D$50072,A102,Penger!F$1:F$50072)</f>
        <v>0</v>
      </c>
      <c r="C102" s="126">
        <f>SUMIF(Penger!T$1:T$50072,A102,Penger!U$1:U$50072)</f>
        <v>0</v>
      </c>
      <c r="D102" s="126">
        <f ca="1">SUMIF(Spill!C$1:C$499895,A102,Spill!T$1:T$49895)+C102</f>
        <v>0</v>
      </c>
      <c r="E102" s="126">
        <f>SUMIF(Spill!C$1:C$49895,A102,Spill!T$1:T$49895)</f>
        <v>0</v>
      </c>
      <c r="F102" s="121" t="e">
        <f t="shared" ca="1" si="2"/>
        <v>#DIV/0!</v>
      </c>
      <c r="H102" s="126">
        <f>SUMIFS(DWbonus[[Sum]:[Sum]],DWbonus[[Dato]:[Dato]], "&gt;="&amp;H$8,DWbonus[[Dato]:[Dato]],"&lt;="&amp;EOMONTH(H$8,0),DWbonus[[Bookie]:[Bookie]],$A102)+SUMIFS(LayTable[[Faktisk res]:[Faktisk res]],LayTable[[Dato]:[Dato]],"&gt;="&amp;H$8,LayTable[[Dato]:[Dato]],"&lt;="&amp;EOMONTH(H$8,0),LayTable[[Bookmaker]:[Bookmaker]],$A102)+SUMIFS(BetTable[[AR_per_bookie]:[AR_per_bookie]],BetTable[[B1]:[B1]],$A102,BetTable[[Date]:[Date]], "&gt;="&amp;H$8,BetTable[[Date]:[Date]],"&lt;="&amp;EOMONTH(H$8,0))+SUMIFS(BetTable[[AR_per_bookie]:[AR_per_bookie]],BetTable[[B2]:[B2]],$A102,BetTable[[Date]:[Date]], "&gt;="&amp;H$8,BetTable[[Date]:[Date]],"&lt;="&amp;EOMONTH(H$8,0))+SUMIFS(BetTable[[AR_per_bookie]:[AR_per_bookie]],BetTable[[B3]:[B3]],$A102,BetTable[[Date]:[Date]], "&gt;="&amp;H$8,BetTable[[Date]:[Date]],"&lt;="&amp;EOMONTH(H$8,0))</f>
        <v>0</v>
      </c>
      <c r="I102" s="126">
        <f>SUMIFS(DWbonus[[Sum]:[Sum]],DWbonus[[Dato]:[Dato]], "&gt;="&amp;I$8,DWbonus[[Dato]:[Dato]],"&lt;="&amp;EOMONTH(I$8,0),DWbonus[[Bookie]:[Bookie]],$A102)+SUMIFS(LayTable[[Faktisk res]:[Faktisk res]],LayTable[[Dato]:[Dato]],"&gt;="&amp;I$8,LayTable[[Dato]:[Dato]],"&lt;="&amp;EOMONTH(I$8,0),LayTable[[Bookmaker]:[Bookmaker]],$A102)+SUMIFS(BetTable[[AR_per_bookie]:[AR_per_bookie]],BetTable[[B1]:[B1]],$A102,BetTable[[Date]:[Date]], "&gt;="&amp;I$8,BetTable[[Date]:[Date]],"&lt;="&amp;EOMONTH(I$8,0))+SUMIFS(BetTable[[AR_per_bookie]:[AR_per_bookie]],BetTable[[B2]:[B2]],$A102,BetTable[[Date]:[Date]], "&gt;="&amp;I$8,BetTable[[Date]:[Date]],"&lt;="&amp;EOMONTH(I$8,0))+SUMIFS(BetTable[[AR_per_bookie]:[AR_per_bookie]],BetTable[[B3]:[B3]],$A102,BetTable[[Date]:[Date]], "&gt;="&amp;I$8,BetTable[[Date]:[Date]],"&lt;="&amp;EOMONTH(I$8,0))</f>
        <v>0</v>
      </c>
      <c r="J102" s="126">
        <f>SUMIFS(DWbonus[[Sum]:[Sum]],DWbonus[[Dato]:[Dato]], "&gt;="&amp;J$8,DWbonus[[Dato]:[Dato]],"&lt;="&amp;EOMONTH(J$8,0),DWbonus[[Bookie]:[Bookie]],$A102)+SUMIFS(LayTable[[Faktisk res]:[Faktisk res]],LayTable[[Dato]:[Dato]],"&gt;="&amp;J$8,LayTable[[Dato]:[Dato]],"&lt;="&amp;EOMONTH(J$8,0),LayTable[[Bookmaker]:[Bookmaker]],$A102)+SUMIFS(BetTable[[AR_per_bookie]:[AR_per_bookie]],BetTable[[B1]:[B1]],$A102,BetTable[[Date]:[Date]], "&gt;="&amp;J$8,BetTable[[Date]:[Date]],"&lt;="&amp;EOMONTH(J$8,0))+SUMIFS(BetTable[[AR_per_bookie]:[AR_per_bookie]],BetTable[[B2]:[B2]],$A102,BetTable[[Date]:[Date]], "&gt;="&amp;J$8,BetTable[[Date]:[Date]],"&lt;="&amp;EOMONTH(J$8,0))+SUMIFS(BetTable[[AR_per_bookie]:[AR_per_bookie]],BetTable[[B3]:[B3]],$A102,BetTable[[Date]:[Date]], "&gt;="&amp;J$8,BetTable[[Date]:[Date]],"&lt;="&amp;EOMONTH(J$8,0))</f>
        <v>0</v>
      </c>
      <c r="K102" s="126">
        <f>SUMIFS(DWbonus[[Sum]:[Sum]],DWbonus[[Dato]:[Dato]], "&gt;="&amp;K$8,DWbonus[[Dato]:[Dato]],"&lt;="&amp;EOMONTH(K$8,0),DWbonus[[Bookie]:[Bookie]],$A102)+SUMIFS(LayTable[[Faktisk res]:[Faktisk res]],LayTable[[Dato]:[Dato]],"&gt;="&amp;K$8,LayTable[[Dato]:[Dato]],"&lt;="&amp;EOMONTH(K$8,0),LayTable[[Bookmaker]:[Bookmaker]],$A102)+SUMIFS(BetTable[[AR_per_bookie]:[AR_per_bookie]],BetTable[[B1]:[B1]],$A102,BetTable[[Date]:[Date]], "&gt;="&amp;K$8,BetTable[[Date]:[Date]],"&lt;="&amp;EOMONTH(K$8,0))+SUMIFS(BetTable[[AR_per_bookie]:[AR_per_bookie]],BetTable[[B2]:[B2]],$A102,BetTable[[Date]:[Date]], "&gt;="&amp;K$8,BetTable[[Date]:[Date]],"&lt;="&amp;EOMONTH(K$8,0))+SUMIFS(BetTable[[AR_per_bookie]:[AR_per_bookie]],BetTable[[B3]:[B3]],$A102,BetTable[[Date]:[Date]], "&gt;="&amp;K$8,BetTable[[Date]:[Date]],"&lt;="&amp;EOMONTH(K$8,0))</f>
        <v>0</v>
      </c>
      <c r="L102" s="126">
        <f>SUMIFS(DWbonus[[Sum]:[Sum]],DWbonus[[Dato]:[Dato]], "&gt;="&amp;L$8,DWbonus[[Dato]:[Dato]],"&lt;="&amp;EOMONTH(L$8,0),DWbonus[[Bookie]:[Bookie]],$A102)+SUMIFS(LayTable[[Faktisk res]:[Faktisk res]],LayTable[[Dato]:[Dato]],"&gt;="&amp;L$8,LayTable[[Dato]:[Dato]],"&lt;="&amp;EOMONTH(L$8,0),LayTable[[Bookmaker]:[Bookmaker]],$A102)+SUMIFS(BetTable[[AR_per_bookie]:[AR_per_bookie]],BetTable[[B1]:[B1]],$A102,BetTable[[Date]:[Date]], "&gt;="&amp;L$8,BetTable[[Date]:[Date]],"&lt;="&amp;EOMONTH(L$8,0))+SUMIFS(BetTable[[AR_per_bookie]:[AR_per_bookie]],BetTable[[B2]:[B2]],$A102,BetTable[[Date]:[Date]], "&gt;="&amp;L$8,BetTable[[Date]:[Date]],"&lt;="&amp;EOMONTH(L$8,0))+SUMIFS(BetTable[[AR_per_bookie]:[AR_per_bookie]],BetTable[[B3]:[B3]],$A102,BetTable[[Date]:[Date]], "&gt;="&amp;L$8,BetTable[[Date]:[Date]],"&lt;="&amp;EOMONTH(L$8,0))</f>
        <v>0</v>
      </c>
      <c r="M102" s="126">
        <f>SUMIFS(DWbonus[[Sum]:[Sum]],DWbonus[[Dato]:[Dato]], "&gt;="&amp;M$8,DWbonus[[Dato]:[Dato]],"&lt;="&amp;EOMONTH(M$8,0),DWbonus[[Bookie]:[Bookie]],$A102)+SUMIFS(LayTable[[Faktisk res]:[Faktisk res]],LayTable[[Dato]:[Dato]],"&gt;="&amp;M$8,LayTable[[Dato]:[Dato]],"&lt;="&amp;EOMONTH(M$8,0),LayTable[[Bookmaker]:[Bookmaker]],$A102)+SUMIFS(BetTable[[AR_per_bookie]:[AR_per_bookie]],BetTable[[B1]:[B1]],$A102,BetTable[[Date]:[Date]], "&gt;="&amp;M$8,BetTable[[Date]:[Date]],"&lt;="&amp;EOMONTH(M$8,0))+SUMIFS(BetTable[[AR_per_bookie]:[AR_per_bookie]],BetTable[[B2]:[B2]],$A102,BetTable[[Date]:[Date]], "&gt;="&amp;M$8,BetTable[[Date]:[Date]],"&lt;="&amp;EOMONTH(M$8,0))+SUMIFS(BetTable[[AR_per_bookie]:[AR_per_bookie]],BetTable[[B3]:[B3]],$A102,BetTable[[Date]:[Date]], "&gt;="&amp;M$8,BetTable[[Date]:[Date]],"&lt;="&amp;EOMONTH(M$8,0))</f>
        <v>0</v>
      </c>
      <c r="N102" s="126">
        <f>SUMIFS(DWbonus[[Sum]:[Sum]],DWbonus[[Dato]:[Dato]], "&gt;="&amp;N$8,DWbonus[[Dato]:[Dato]],"&lt;="&amp;EOMONTH(N$8,0),DWbonus[[Bookie]:[Bookie]],$A102)+SUMIFS(LayTable[[Faktisk res]:[Faktisk res]],LayTable[[Dato]:[Dato]],"&gt;="&amp;N$8,LayTable[[Dato]:[Dato]],"&lt;="&amp;EOMONTH(N$8,0),LayTable[[Bookmaker]:[Bookmaker]],$A102)+SUMIFS(BetTable[[AR_per_bookie]:[AR_per_bookie]],BetTable[[B1]:[B1]],$A102,BetTable[[Date]:[Date]], "&gt;="&amp;N$8,BetTable[[Date]:[Date]],"&lt;="&amp;EOMONTH(N$8,0))+SUMIFS(BetTable[[AR_per_bookie]:[AR_per_bookie]],BetTable[[B2]:[B2]],$A102,BetTable[[Date]:[Date]], "&gt;="&amp;N$8,BetTable[[Date]:[Date]],"&lt;="&amp;EOMONTH(N$8,0))+SUMIFS(BetTable[[AR_per_bookie]:[AR_per_bookie]],BetTable[[B3]:[B3]],$A102,BetTable[[Date]:[Date]], "&gt;="&amp;N$8,BetTable[[Date]:[Date]],"&lt;="&amp;EOMONTH(N$8,0))</f>
        <v>0</v>
      </c>
      <c r="O102" s="126">
        <f>SUMIFS(DWbonus[[Sum]:[Sum]],DWbonus[[Dato]:[Dato]], "&gt;="&amp;O$8,DWbonus[[Dato]:[Dato]],"&lt;="&amp;EOMONTH(O$8,0),DWbonus[[Bookie]:[Bookie]],$A102)+SUMIFS(LayTable[[Faktisk res]:[Faktisk res]],LayTable[[Dato]:[Dato]],"&gt;="&amp;O$8,LayTable[[Dato]:[Dato]],"&lt;="&amp;EOMONTH(O$8,0),LayTable[[Bookmaker]:[Bookmaker]],$A102)+SUMIFS(BetTable[[AR_per_bookie]:[AR_per_bookie]],BetTable[[B1]:[B1]],$A102,BetTable[[Date]:[Date]], "&gt;="&amp;O$8,BetTable[[Date]:[Date]],"&lt;="&amp;EOMONTH(O$8,0))+SUMIFS(BetTable[[AR_per_bookie]:[AR_per_bookie]],BetTable[[B2]:[B2]],$A102,BetTable[[Date]:[Date]], "&gt;="&amp;O$8,BetTable[[Date]:[Date]],"&lt;="&amp;EOMONTH(O$8,0))+SUMIFS(BetTable[[AR_per_bookie]:[AR_per_bookie]],BetTable[[B3]:[B3]],$A102,BetTable[[Date]:[Date]], "&gt;="&amp;O$8,BetTable[[Date]:[Date]],"&lt;="&amp;EOMONTH(O$8,0))</f>
        <v>0</v>
      </c>
      <c r="P102" s="126">
        <f>SUMIFS(DWbonus[[Sum]:[Sum]],DWbonus[[Dato]:[Dato]], "&gt;="&amp;P$8,DWbonus[[Dato]:[Dato]],"&lt;="&amp;EOMONTH(P$8,0),DWbonus[[Bookie]:[Bookie]],$A102)+SUMIFS(LayTable[[Faktisk res]:[Faktisk res]],LayTable[[Dato]:[Dato]],"&gt;="&amp;P$8,LayTable[[Dato]:[Dato]],"&lt;="&amp;EOMONTH(P$8,0),LayTable[[Bookmaker]:[Bookmaker]],$A102)+SUMIFS(BetTable[[AR_per_bookie]:[AR_per_bookie]],BetTable[[B1]:[B1]],$A102,BetTable[[Date]:[Date]], "&gt;="&amp;P$8,BetTable[[Date]:[Date]],"&lt;="&amp;EOMONTH(P$8,0))+SUMIFS(BetTable[[AR_per_bookie]:[AR_per_bookie]],BetTable[[B2]:[B2]],$A102,BetTable[[Date]:[Date]], "&gt;="&amp;P$8,BetTable[[Date]:[Date]],"&lt;="&amp;EOMONTH(P$8,0))+SUMIFS(BetTable[[AR_per_bookie]:[AR_per_bookie]],BetTable[[B3]:[B3]],$A102,BetTable[[Date]:[Date]], "&gt;="&amp;P$8,BetTable[[Date]:[Date]],"&lt;="&amp;EOMONTH(P$8,0))</f>
        <v>0</v>
      </c>
      <c r="Q102" s="126">
        <f>SUMIFS(DWbonus[[Sum]:[Sum]],DWbonus[[Dato]:[Dato]], "&gt;="&amp;Q$8,DWbonus[[Dato]:[Dato]],"&lt;="&amp;EOMONTH(Q$8,0),DWbonus[[Bookie]:[Bookie]],$A102)+SUMIFS(LayTable[[Faktisk res]:[Faktisk res]],LayTable[[Dato]:[Dato]],"&gt;="&amp;Q$8,LayTable[[Dato]:[Dato]],"&lt;="&amp;EOMONTH(Q$8,0),LayTable[[Bookmaker]:[Bookmaker]],$A102)+SUMIFS(BetTable[[AR_per_bookie]:[AR_per_bookie]],BetTable[[B1]:[B1]],$A102,BetTable[[Date]:[Date]], "&gt;="&amp;Q$8,BetTable[[Date]:[Date]],"&lt;="&amp;EOMONTH(Q$8,0))+SUMIFS(BetTable[[AR_per_bookie]:[AR_per_bookie]],BetTable[[B2]:[B2]],$A102,BetTable[[Date]:[Date]], "&gt;="&amp;Q$8,BetTable[[Date]:[Date]],"&lt;="&amp;EOMONTH(Q$8,0))+SUMIFS(BetTable[[AR_per_bookie]:[AR_per_bookie]],BetTable[[B3]:[B3]],$A102,BetTable[[Date]:[Date]], "&gt;="&amp;Q$8,BetTable[[Date]:[Date]],"&lt;="&amp;EOMONTH(Q$8,0))</f>
        <v>0</v>
      </c>
      <c r="R102" s="126">
        <f>SUMIFS(DWbonus[[Sum]:[Sum]],DWbonus[[Dato]:[Dato]], "&gt;="&amp;R$8,DWbonus[[Dato]:[Dato]],"&lt;="&amp;EOMONTH(R$8,0),DWbonus[[Bookie]:[Bookie]],$A102)+SUMIFS(LayTable[[Faktisk res]:[Faktisk res]],LayTable[[Dato]:[Dato]],"&gt;="&amp;R$8,LayTable[[Dato]:[Dato]],"&lt;="&amp;EOMONTH(R$8,0),LayTable[[Bookmaker]:[Bookmaker]],$A102)+SUMIFS(BetTable[[AR_per_bookie]:[AR_per_bookie]],BetTable[[B1]:[B1]],$A102,BetTable[[Date]:[Date]], "&gt;="&amp;R$8,BetTable[[Date]:[Date]],"&lt;="&amp;EOMONTH(R$8,0))+SUMIFS(BetTable[[AR_per_bookie]:[AR_per_bookie]],BetTable[[B2]:[B2]],$A102,BetTable[[Date]:[Date]], "&gt;="&amp;R$8,BetTable[[Date]:[Date]],"&lt;="&amp;EOMONTH(R$8,0))+SUMIFS(BetTable[[AR_per_bookie]:[AR_per_bookie]],BetTable[[B3]:[B3]],$A102,BetTable[[Date]:[Date]], "&gt;="&amp;R$8,BetTable[[Date]:[Date]],"&lt;="&amp;EOMONTH(R$8,0))</f>
        <v>0</v>
      </c>
      <c r="S102" s="126">
        <f>SUMIFS(DWbonus[[Sum]:[Sum]],DWbonus[[Dato]:[Dato]], "&gt;="&amp;S$8,DWbonus[[Dato]:[Dato]],"&lt;="&amp;EOMONTH(S$8,0),DWbonus[[Bookie]:[Bookie]],$A102)+SUMIFS(LayTable[[Faktisk res]:[Faktisk res]],LayTable[[Dato]:[Dato]],"&gt;="&amp;S$8,LayTable[[Dato]:[Dato]],"&lt;="&amp;EOMONTH(S$8,0),LayTable[[Bookmaker]:[Bookmaker]],$A102)+SUMIFS(BetTable[[AR_per_bookie]:[AR_per_bookie]],BetTable[[B1]:[B1]],$A102,BetTable[[Date]:[Date]], "&gt;="&amp;S$8,BetTable[[Date]:[Date]],"&lt;="&amp;EOMONTH(S$8,0))+SUMIFS(BetTable[[AR_per_bookie]:[AR_per_bookie]],BetTable[[B2]:[B2]],$A102,BetTable[[Date]:[Date]], "&gt;="&amp;S$8,BetTable[[Date]:[Date]],"&lt;="&amp;EOMONTH(S$8,0))+SUMIFS(BetTable[[AR_per_bookie]:[AR_per_bookie]],BetTable[[B3]:[B3]],$A102,BetTable[[Date]:[Date]], "&gt;="&amp;S$8,BetTable[[Date]:[Date]],"&lt;="&amp;EOMONTH(S$8,0))</f>
        <v>0</v>
      </c>
    </row>
    <row r="103" spans="1:19">
      <c r="A103" s="115" t="str">
        <f>BookieNavn!I96</f>
        <v>AaGuts</v>
      </c>
      <c r="B103" s="126">
        <f>SUMIF(Penger!D$1:D$50072,A103,Penger!F$1:F$50072)</f>
        <v>0</v>
      </c>
      <c r="C103" s="126">
        <f>SUMIF(Penger!T$1:T$50072,A103,Penger!U$1:U$50072)</f>
        <v>0</v>
      </c>
      <c r="D103" s="126">
        <f ca="1">SUMIF(Spill!C$1:C$499895,A103,Spill!T$1:T$49895)+C103</f>
        <v>0</v>
      </c>
      <c r="E103" s="126">
        <f>SUMIF(Spill!C$1:C$49895,A103,Spill!T$1:T$49895)</f>
        <v>0</v>
      </c>
      <c r="F103" s="121" t="e">
        <f t="shared" ca="1" si="2"/>
        <v>#DIV/0!</v>
      </c>
      <c r="H103" s="126">
        <f>SUMIFS(DWbonus[[Sum]:[Sum]],DWbonus[[Dato]:[Dato]], "&gt;="&amp;H$8,DWbonus[[Dato]:[Dato]],"&lt;="&amp;EOMONTH(H$8,0),DWbonus[[Bookie]:[Bookie]],$A103)+SUMIFS(LayTable[[Faktisk res]:[Faktisk res]],LayTable[[Dato]:[Dato]],"&gt;="&amp;H$8,LayTable[[Dato]:[Dato]],"&lt;="&amp;EOMONTH(H$8,0),LayTable[[Bookmaker]:[Bookmaker]],$A103)+SUMIFS(BetTable[[AR_per_bookie]:[AR_per_bookie]],BetTable[[B1]:[B1]],$A103,BetTable[[Date]:[Date]], "&gt;="&amp;H$8,BetTable[[Date]:[Date]],"&lt;="&amp;EOMONTH(H$8,0))+SUMIFS(BetTable[[AR_per_bookie]:[AR_per_bookie]],BetTable[[B2]:[B2]],$A103,BetTable[[Date]:[Date]], "&gt;="&amp;H$8,BetTable[[Date]:[Date]],"&lt;="&amp;EOMONTH(H$8,0))+SUMIFS(BetTable[[AR_per_bookie]:[AR_per_bookie]],BetTable[[B3]:[B3]],$A103,BetTable[[Date]:[Date]], "&gt;="&amp;H$8,BetTable[[Date]:[Date]],"&lt;="&amp;EOMONTH(H$8,0))</f>
        <v>0</v>
      </c>
      <c r="I103" s="126">
        <f>SUMIFS(DWbonus[[Sum]:[Sum]],DWbonus[[Dato]:[Dato]], "&gt;="&amp;I$8,DWbonus[[Dato]:[Dato]],"&lt;="&amp;EOMONTH(I$8,0),DWbonus[[Bookie]:[Bookie]],$A103)+SUMIFS(LayTable[[Faktisk res]:[Faktisk res]],LayTable[[Dato]:[Dato]],"&gt;="&amp;I$8,LayTable[[Dato]:[Dato]],"&lt;="&amp;EOMONTH(I$8,0),LayTable[[Bookmaker]:[Bookmaker]],$A103)+SUMIFS(BetTable[[AR_per_bookie]:[AR_per_bookie]],BetTable[[B1]:[B1]],$A103,BetTable[[Date]:[Date]], "&gt;="&amp;I$8,BetTable[[Date]:[Date]],"&lt;="&amp;EOMONTH(I$8,0))+SUMIFS(BetTable[[AR_per_bookie]:[AR_per_bookie]],BetTable[[B2]:[B2]],$A103,BetTable[[Date]:[Date]], "&gt;="&amp;I$8,BetTable[[Date]:[Date]],"&lt;="&amp;EOMONTH(I$8,0))+SUMIFS(BetTable[[AR_per_bookie]:[AR_per_bookie]],BetTable[[B3]:[B3]],$A103,BetTable[[Date]:[Date]], "&gt;="&amp;I$8,BetTable[[Date]:[Date]],"&lt;="&amp;EOMONTH(I$8,0))</f>
        <v>0</v>
      </c>
      <c r="J103" s="126">
        <f>SUMIFS(DWbonus[[Sum]:[Sum]],DWbonus[[Dato]:[Dato]], "&gt;="&amp;J$8,DWbonus[[Dato]:[Dato]],"&lt;="&amp;EOMONTH(J$8,0),DWbonus[[Bookie]:[Bookie]],$A103)+SUMIFS(LayTable[[Faktisk res]:[Faktisk res]],LayTable[[Dato]:[Dato]],"&gt;="&amp;J$8,LayTable[[Dato]:[Dato]],"&lt;="&amp;EOMONTH(J$8,0),LayTable[[Bookmaker]:[Bookmaker]],$A103)+SUMIFS(BetTable[[AR_per_bookie]:[AR_per_bookie]],BetTable[[B1]:[B1]],$A103,BetTable[[Date]:[Date]], "&gt;="&amp;J$8,BetTable[[Date]:[Date]],"&lt;="&amp;EOMONTH(J$8,0))+SUMIFS(BetTable[[AR_per_bookie]:[AR_per_bookie]],BetTable[[B2]:[B2]],$A103,BetTable[[Date]:[Date]], "&gt;="&amp;J$8,BetTable[[Date]:[Date]],"&lt;="&amp;EOMONTH(J$8,0))+SUMIFS(BetTable[[AR_per_bookie]:[AR_per_bookie]],BetTable[[B3]:[B3]],$A103,BetTable[[Date]:[Date]], "&gt;="&amp;J$8,BetTable[[Date]:[Date]],"&lt;="&amp;EOMONTH(J$8,0))</f>
        <v>0</v>
      </c>
      <c r="K103" s="126">
        <f>SUMIFS(DWbonus[[Sum]:[Sum]],DWbonus[[Dato]:[Dato]], "&gt;="&amp;K$8,DWbonus[[Dato]:[Dato]],"&lt;="&amp;EOMONTH(K$8,0),DWbonus[[Bookie]:[Bookie]],$A103)+SUMIFS(LayTable[[Faktisk res]:[Faktisk res]],LayTable[[Dato]:[Dato]],"&gt;="&amp;K$8,LayTable[[Dato]:[Dato]],"&lt;="&amp;EOMONTH(K$8,0),LayTable[[Bookmaker]:[Bookmaker]],$A103)+SUMIFS(BetTable[[AR_per_bookie]:[AR_per_bookie]],BetTable[[B1]:[B1]],$A103,BetTable[[Date]:[Date]], "&gt;="&amp;K$8,BetTable[[Date]:[Date]],"&lt;="&amp;EOMONTH(K$8,0))+SUMIFS(BetTable[[AR_per_bookie]:[AR_per_bookie]],BetTable[[B2]:[B2]],$A103,BetTable[[Date]:[Date]], "&gt;="&amp;K$8,BetTable[[Date]:[Date]],"&lt;="&amp;EOMONTH(K$8,0))+SUMIFS(BetTable[[AR_per_bookie]:[AR_per_bookie]],BetTable[[B3]:[B3]],$A103,BetTable[[Date]:[Date]], "&gt;="&amp;K$8,BetTable[[Date]:[Date]],"&lt;="&amp;EOMONTH(K$8,0))</f>
        <v>0</v>
      </c>
      <c r="L103" s="126">
        <f>SUMIFS(DWbonus[[Sum]:[Sum]],DWbonus[[Dato]:[Dato]], "&gt;="&amp;L$8,DWbonus[[Dato]:[Dato]],"&lt;="&amp;EOMONTH(L$8,0),DWbonus[[Bookie]:[Bookie]],$A103)+SUMIFS(LayTable[[Faktisk res]:[Faktisk res]],LayTable[[Dato]:[Dato]],"&gt;="&amp;L$8,LayTable[[Dato]:[Dato]],"&lt;="&amp;EOMONTH(L$8,0),LayTable[[Bookmaker]:[Bookmaker]],$A103)+SUMIFS(BetTable[[AR_per_bookie]:[AR_per_bookie]],BetTable[[B1]:[B1]],$A103,BetTable[[Date]:[Date]], "&gt;="&amp;L$8,BetTable[[Date]:[Date]],"&lt;="&amp;EOMONTH(L$8,0))+SUMIFS(BetTable[[AR_per_bookie]:[AR_per_bookie]],BetTable[[B2]:[B2]],$A103,BetTable[[Date]:[Date]], "&gt;="&amp;L$8,BetTable[[Date]:[Date]],"&lt;="&amp;EOMONTH(L$8,0))+SUMIFS(BetTable[[AR_per_bookie]:[AR_per_bookie]],BetTable[[B3]:[B3]],$A103,BetTable[[Date]:[Date]], "&gt;="&amp;L$8,BetTable[[Date]:[Date]],"&lt;="&amp;EOMONTH(L$8,0))</f>
        <v>0</v>
      </c>
      <c r="M103" s="126">
        <f>SUMIFS(DWbonus[[Sum]:[Sum]],DWbonus[[Dato]:[Dato]], "&gt;="&amp;M$8,DWbonus[[Dato]:[Dato]],"&lt;="&amp;EOMONTH(M$8,0),DWbonus[[Bookie]:[Bookie]],$A103)+SUMIFS(LayTable[[Faktisk res]:[Faktisk res]],LayTable[[Dato]:[Dato]],"&gt;="&amp;M$8,LayTable[[Dato]:[Dato]],"&lt;="&amp;EOMONTH(M$8,0),LayTable[[Bookmaker]:[Bookmaker]],$A103)+SUMIFS(BetTable[[AR_per_bookie]:[AR_per_bookie]],BetTable[[B1]:[B1]],$A103,BetTable[[Date]:[Date]], "&gt;="&amp;M$8,BetTable[[Date]:[Date]],"&lt;="&amp;EOMONTH(M$8,0))+SUMIFS(BetTable[[AR_per_bookie]:[AR_per_bookie]],BetTable[[B2]:[B2]],$A103,BetTable[[Date]:[Date]], "&gt;="&amp;M$8,BetTable[[Date]:[Date]],"&lt;="&amp;EOMONTH(M$8,0))+SUMIFS(BetTable[[AR_per_bookie]:[AR_per_bookie]],BetTable[[B3]:[B3]],$A103,BetTable[[Date]:[Date]], "&gt;="&amp;M$8,BetTable[[Date]:[Date]],"&lt;="&amp;EOMONTH(M$8,0))</f>
        <v>0</v>
      </c>
      <c r="N103" s="126">
        <f>SUMIFS(DWbonus[[Sum]:[Sum]],DWbonus[[Dato]:[Dato]], "&gt;="&amp;N$8,DWbonus[[Dato]:[Dato]],"&lt;="&amp;EOMONTH(N$8,0),DWbonus[[Bookie]:[Bookie]],$A103)+SUMIFS(LayTable[[Faktisk res]:[Faktisk res]],LayTable[[Dato]:[Dato]],"&gt;="&amp;N$8,LayTable[[Dato]:[Dato]],"&lt;="&amp;EOMONTH(N$8,0),LayTable[[Bookmaker]:[Bookmaker]],$A103)+SUMIFS(BetTable[[AR_per_bookie]:[AR_per_bookie]],BetTable[[B1]:[B1]],$A103,BetTable[[Date]:[Date]], "&gt;="&amp;N$8,BetTable[[Date]:[Date]],"&lt;="&amp;EOMONTH(N$8,0))+SUMIFS(BetTable[[AR_per_bookie]:[AR_per_bookie]],BetTable[[B2]:[B2]],$A103,BetTable[[Date]:[Date]], "&gt;="&amp;N$8,BetTable[[Date]:[Date]],"&lt;="&amp;EOMONTH(N$8,0))+SUMIFS(BetTable[[AR_per_bookie]:[AR_per_bookie]],BetTable[[B3]:[B3]],$A103,BetTable[[Date]:[Date]], "&gt;="&amp;N$8,BetTable[[Date]:[Date]],"&lt;="&amp;EOMONTH(N$8,0))</f>
        <v>0</v>
      </c>
      <c r="O103" s="126">
        <f>SUMIFS(DWbonus[[Sum]:[Sum]],DWbonus[[Dato]:[Dato]], "&gt;="&amp;O$8,DWbonus[[Dato]:[Dato]],"&lt;="&amp;EOMONTH(O$8,0),DWbonus[[Bookie]:[Bookie]],$A103)+SUMIFS(LayTable[[Faktisk res]:[Faktisk res]],LayTable[[Dato]:[Dato]],"&gt;="&amp;O$8,LayTable[[Dato]:[Dato]],"&lt;="&amp;EOMONTH(O$8,0),LayTable[[Bookmaker]:[Bookmaker]],$A103)+SUMIFS(BetTable[[AR_per_bookie]:[AR_per_bookie]],BetTable[[B1]:[B1]],$A103,BetTable[[Date]:[Date]], "&gt;="&amp;O$8,BetTable[[Date]:[Date]],"&lt;="&amp;EOMONTH(O$8,0))+SUMIFS(BetTable[[AR_per_bookie]:[AR_per_bookie]],BetTable[[B2]:[B2]],$A103,BetTable[[Date]:[Date]], "&gt;="&amp;O$8,BetTable[[Date]:[Date]],"&lt;="&amp;EOMONTH(O$8,0))+SUMIFS(BetTable[[AR_per_bookie]:[AR_per_bookie]],BetTable[[B3]:[B3]],$A103,BetTable[[Date]:[Date]], "&gt;="&amp;O$8,BetTable[[Date]:[Date]],"&lt;="&amp;EOMONTH(O$8,0))</f>
        <v>0</v>
      </c>
      <c r="P103" s="126">
        <f>SUMIFS(DWbonus[[Sum]:[Sum]],DWbonus[[Dato]:[Dato]], "&gt;="&amp;P$8,DWbonus[[Dato]:[Dato]],"&lt;="&amp;EOMONTH(P$8,0),DWbonus[[Bookie]:[Bookie]],$A103)+SUMIFS(LayTable[[Faktisk res]:[Faktisk res]],LayTable[[Dato]:[Dato]],"&gt;="&amp;P$8,LayTable[[Dato]:[Dato]],"&lt;="&amp;EOMONTH(P$8,0),LayTable[[Bookmaker]:[Bookmaker]],$A103)+SUMIFS(BetTable[[AR_per_bookie]:[AR_per_bookie]],BetTable[[B1]:[B1]],$A103,BetTable[[Date]:[Date]], "&gt;="&amp;P$8,BetTable[[Date]:[Date]],"&lt;="&amp;EOMONTH(P$8,0))+SUMIFS(BetTable[[AR_per_bookie]:[AR_per_bookie]],BetTable[[B2]:[B2]],$A103,BetTable[[Date]:[Date]], "&gt;="&amp;P$8,BetTable[[Date]:[Date]],"&lt;="&amp;EOMONTH(P$8,0))+SUMIFS(BetTable[[AR_per_bookie]:[AR_per_bookie]],BetTable[[B3]:[B3]],$A103,BetTable[[Date]:[Date]], "&gt;="&amp;P$8,BetTable[[Date]:[Date]],"&lt;="&amp;EOMONTH(P$8,0))</f>
        <v>0</v>
      </c>
      <c r="Q103" s="126">
        <f>SUMIFS(DWbonus[[Sum]:[Sum]],DWbonus[[Dato]:[Dato]], "&gt;="&amp;Q$8,DWbonus[[Dato]:[Dato]],"&lt;="&amp;EOMONTH(Q$8,0),DWbonus[[Bookie]:[Bookie]],$A103)+SUMIFS(LayTable[[Faktisk res]:[Faktisk res]],LayTable[[Dato]:[Dato]],"&gt;="&amp;Q$8,LayTable[[Dato]:[Dato]],"&lt;="&amp;EOMONTH(Q$8,0),LayTable[[Bookmaker]:[Bookmaker]],$A103)+SUMIFS(BetTable[[AR_per_bookie]:[AR_per_bookie]],BetTable[[B1]:[B1]],$A103,BetTable[[Date]:[Date]], "&gt;="&amp;Q$8,BetTable[[Date]:[Date]],"&lt;="&amp;EOMONTH(Q$8,0))+SUMIFS(BetTable[[AR_per_bookie]:[AR_per_bookie]],BetTable[[B2]:[B2]],$A103,BetTable[[Date]:[Date]], "&gt;="&amp;Q$8,BetTable[[Date]:[Date]],"&lt;="&amp;EOMONTH(Q$8,0))+SUMIFS(BetTable[[AR_per_bookie]:[AR_per_bookie]],BetTable[[B3]:[B3]],$A103,BetTable[[Date]:[Date]], "&gt;="&amp;Q$8,BetTable[[Date]:[Date]],"&lt;="&amp;EOMONTH(Q$8,0))</f>
        <v>0</v>
      </c>
      <c r="R103" s="126">
        <f>SUMIFS(DWbonus[[Sum]:[Sum]],DWbonus[[Dato]:[Dato]], "&gt;="&amp;R$8,DWbonus[[Dato]:[Dato]],"&lt;="&amp;EOMONTH(R$8,0),DWbonus[[Bookie]:[Bookie]],$A103)+SUMIFS(LayTable[[Faktisk res]:[Faktisk res]],LayTable[[Dato]:[Dato]],"&gt;="&amp;R$8,LayTable[[Dato]:[Dato]],"&lt;="&amp;EOMONTH(R$8,0),LayTable[[Bookmaker]:[Bookmaker]],$A103)+SUMIFS(BetTable[[AR_per_bookie]:[AR_per_bookie]],BetTable[[B1]:[B1]],$A103,BetTable[[Date]:[Date]], "&gt;="&amp;R$8,BetTable[[Date]:[Date]],"&lt;="&amp;EOMONTH(R$8,0))+SUMIFS(BetTable[[AR_per_bookie]:[AR_per_bookie]],BetTable[[B2]:[B2]],$A103,BetTable[[Date]:[Date]], "&gt;="&amp;R$8,BetTable[[Date]:[Date]],"&lt;="&amp;EOMONTH(R$8,0))+SUMIFS(BetTable[[AR_per_bookie]:[AR_per_bookie]],BetTable[[B3]:[B3]],$A103,BetTable[[Date]:[Date]], "&gt;="&amp;R$8,BetTable[[Date]:[Date]],"&lt;="&amp;EOMONTH(R$8,0))</f>
        <v>0</v>
      </c>
      <c r="S103" s="126">
        <f>SUMIFS(DWbonus[[Sum]:[Sum]],DWbonus[[Dato]:[Dato]], "&gt;="&amp;S$8,DWbonus[[Dato]:[Dato]],"&lt;="&amp;EOMONTH(S$8,0),DWbonus[[Bookie]:[Bookie]],$A103)+SUMIFS(LayTable[[Faktisk res]:[Faktisk res]],LayTable[[Dato]:[Dato]],"&gt;="&amp;S$8,LayTable[[Dato]:[Dato]],"&lt;="&amp;EOMONTH(S$8,0),LayTable[[Bookmaker]:[Bookmaker]],$A103)+SUMIFS(BetTable[[AR_per_bookie]:[AR_per_bookie]],BetTable[[B1]:[B1]],$A103,BetTable[[Date]:[Date]], "&gt;="&amp;S$8,BetTable[[Date]:[Date]],"&lt;="&amp;EOMONTH(S$8,0))+SUMIFS(BetTable[[AR_per_bookie]:[AR_per_bookie]],BetTable[[B2]:[B2]],$A103,BetTable[[Date]:[Date]], "&gt;="&amp;S$8,BetTable[[Date]:[Date]],"&lt;="&amp;EOMONTH(S$8,0))+SUMIFS(BetTable[[AR_per_bookie]:[AR_per_bookie]],BetTable[[B3]:[B3]],$A103,BetTable[[Date]:[Date]], "&gt;="&amp;S$8,BetTable[[Date]:[Date]],"&lt;="&amp;EOMONTH(S$8,0))</f>
        <v>0</v>
      </c>
    </row>
    <row r="104" spans="1:19">
      <c r="A104" s="115" t="e">
        <f>BookieNavn!#REF!</f>
        <v>#REF!</v>
      </c>
      <c r="B104" s="126">
        <f>SUMIF(Penger!D$1:D$50072,A104,Penger!F$1:F$50072)</f>
        <v>0</v>
      </c>
      <c r="C104" s="126">
        <f>SUMIF(Penger!T$1:T$50072,A104,Penger!U$1:U$50072)</f>
        <v>0</v>
      </c>
      <c r="D104" s="126">
        <f ca="1">SUMIF(Spill!C$1:C$499895,A104,Spill!T$1:T$49895)+C104</f>
        <v>0</v>
      </c>
      <c r="E104" s="126">
        <f>SUMIF(Spill!C$1:C$49895,A104,Spill!T$1:T$49895)</f>
        <v>0</v>
      </c>
      <c r="F104" s="121" t="e">
        <f t="shared" ca="1" si="2"/>
        <v>#DIV/0!</v>
      </c>
      <c r="H104" s="126">
        <f>SUMIFS(DWbonus[[Sum]:[Sum]],DWbonus[[Dato]:[Dato]], "&gt;="&amp;H$8,DWbonus[[Dato]:[Dato]],"&lt;="&amp;EOMONTH(H$8,0),DWbonus[[Bookie]:[Bookie]],$A104)+SUMIFS(LayTable[[Faktisk res]:[Faktisk res]],LayTable[[Dato]:[Dato]],"&gt;="&amp;H$8,LayTable[[Dato]:[Dato]],"&lt;="&amp;EOMONTH(H$8,0),LayTable[[Bookmaker]:[Bookmaker]],$A104)+SUMIFS(BetTable[[AR_per_bookie]:[AR_per_bookie]],BetTable[[B1]:[B1]],$A104,BetTable[[Date]:[Date]], "&gt;="&amp;H$8,BetTable[[Date]:[Date]],"&lt;="&amp;EOMONTH(H$8,0))+SUMIFS(BetTable[[AR_per_bookie]:[AR_per_bookie]],BetTable[[B2]:[B2]],$A104,BetTable[[Date]:[Date]], "&gt;="&amp;H$8,BetTable[[Date]:[Date]],"&lt;="&amp;EOMONTH(H$8,0))+SUMIFS(BetTable[[AR_per_bookie]:[AR_per_bookie]],BetTable[[B3]:[B3]],$A104,BetTable[[Date]:[Date]], "&gt;="&amp;H$8,BetTable[[Date]:[Date]],"&lt;="&amp;EOMONTH(H$8,0))</f>
        <v>0</v>
      </c>
      <c r="I104" s="126">
        <f>SUMIFS(DWbonus[[Sum]:[Sum]],DWbonus[[Dato]:[Dato]], "&gt;="&amp;I$8,DWbonus[[Dato]:[Dato]],"&lt;="&amp;EOMONTH(I$8,0),DWbonus[[Bookie]:[Bookie]],$A104)+SUMIFS(LayTable[[Faktisk res]:[Faktisk res]],LayTable[[Dato]:[Dato]],"&gt;="&amp;I$8,LayTable[[Dato]:[Dato]],"&lt;="&amp;EOMONTH(I$8,0),LayTable[[Bookmaker]:[Bookmaker]],$A104)+SUMIFS(BetTable[[AR_per_bookie]:[AR_per_bookie]],BetTable[[B1]:[B1]],$A104,BetTable[[Date]:[Date]], "&gt;="&amp;I$8,BetTable[[Date]:[Date]],"&lt;="&amp;EOMONTH(I$8,0))+SUMIFS(BetTable[[AR_per_bookie]:[AR_per_bookie]],BetTable[[B2]:[B2]],$A104,BetTable[[Date]:[Date]], "&gt;="&amp;I$8,BetTable[[Date]:[Date]],"&lt;="&amp;EOMONTH(I$8,0))+SUMIFS(BetTable[[AR_per_bookie]:[AR_per_bookie]],BetTable[[B3]:[B3]],$A104,BetTable[[Date]:[Date]], "&gt;="&amp;I$8,BetTable[[Date]:[Date]],"&lt;="&amp;EOMONTH(I$8,0))</f>
        <v>0</v>
      </c>
      <c r="J104" s="126">
        <f>SUMIFS(DWbonus[[Sum]:[Sum]],DWbonus[[Dato]:[Dato]], "&gt;="&amp;J$8,DWbonus[[Dato]:[Dato]],"&lt;="&amp;EOMONTH(J$8,0),DWbonus[[Bookie]:[Bookie]],$A104)+SUMIFS(LayTable[[Faktisk res]:[Faktisk res]],LayTable[[Dato]:[Dato]],"&gt;="&amp;J$8,LayTable[[Dato]:[Dato]],"&lt;="&amp;EOMONTH(J$8,0),LayTable[[Bookmaker]:[Bookmaker]],$A104)+SUMIFS(BetTable[[AR_per_bookie]:[AR_per_bookie]],BetTable[[B1]:[B1]],$A104,BetTable[[Date]:[Date]], "&gt;="&amp;J$8,BetTable[[Date]:[Date]],"&lt;="&amp;EOMONTH(J$8,0))+SUMIFS(BetTable[[AR_per_bookie]:[AR_per_bookie]],BetTable[[B2]:[B2]],$A104,BetTable[[Date]:[Date]], "&gt;="&amp;J$8,BetTable[[Date]:[Date]],"&lt;="&amp;EOMONTH(J$8,0))+SUMIFS(BetTable[[AR_per_bookie]:[AR_per_bookie]],BetTable[[B3]:[B3]],$A104,BetTable[[Date]:[Date]], "&gt;="&amp;J$8,BetTable[[Date]:[Date]],"&lt;="&amp;EOMONTH(J$8,0))</f>
        <v>0</v>
      </c>
      <c r="K104" s="126">
        <f>SUMIFS(DWbonus[[Sum]:[Sum]],DWbonus[[Dato]:[Dato]], "&gt;="&amp;K$8,DWbonus[[Dato]:[Dato]],"&lt;="&amp;EOMONTH(K$8,0),DWbonus[[Bookie]:[Bookie]],$A104)+SUMIFS(LayTable[[Faktisk res]:[Faktisk res]],LayTable[[Dato]:[Dato]],"&gt;="&amp;K$8,LayTable[[Dato]:[Dato]],"&lt;="&amp;EOMONTH(K$8,0),LayTable[[Bookmaker]:[Bookmaker]],$A104)+SUMIFS(BetTable[[AR_per_bookie]:[AR_per_bookie]],BetTable[[B1]:[B1]],$A104,BetTable[[Date]:[Date]], "&gt;="&amp;K$8,BetTable[[Date]:[Date]],"&lt;="&amp;EOMONTH(K$8,0))+SUMIFS(BetTable[[AR_per_bookie]:[AR_per_bookie]],BetTable[[B2]:[B2]],$A104,BetTable[[Date]:[Date]], "&gt;="&amp;K$8,BetTable[[Date]:[Date]],"&lt;="&amp;EOMONTH(K$8,0))+SUMIFS(BetTable[[AR_per_bookie]:[AR_per_bookie]],BetTable[[B3]:[B3]],$A104,BetTable[[Date]:[Date]], "&gt;="&amp;K$8,BetTable[[Date]:[Date]],"&lt;="&amp;EOMONTH(K$8,0))</f>
        <v>0</v>
      </c>
      <c r="L104" s="126">
        <f>SUMIFS(DWbonus[[Sum]:[Sum]],DWbonus[[Dato]:[Dato]], "&gt;="&amp;L$8,DWbonus[[Dato]:[Dato]],"&lt;="&amp;EOMONTH(L$8,0),DWbonus[[Bookie]:[Bookie]],$A104)+SUMIFS(LayTable[[Faktisk res]:[Faktisk res]],LayTable[[Dato]:[Dato]],"&gt;="&amp;L$8,LayTable[[Dato]:[Dato]],"&lt;="&amp;EOMONTH(L$8,0),LayTable[[Bookmaker]:[Bookmaker]],$A104)+SUMIFS(BetTable[[AR_per_bookie]:[AR_per_bookie]],BetTable[[B1]:[B1]],$A104,BetTable[[Date]:[Date]], "&gt;="&amp;L$8,BetTable[[Date]:[Date]],"&lt;="&amp;EOMONTH(L$8,0))+SUMIFS(BetTable[[AR_per_bookie]:[AR_per_bookie]],BetTable[[B2]:[B2]],$A104,BetTable[[Date]:[Date]], "&gt;="&amp;L$8,BetTable[[Date]:[Date]],"&lt;="&amp;EOMONTH(L$8,0))+SUMIFS(BetTable[[AR_per_bookie]:[AR_per_bookie]],BetTable[[B3]:[B3]],$A104,BetTable[[Date]:[Date]], "&gt;="&amp;L$8,BetTable[[Date]:[Date]],"&lt;="&amp;EOMONTH(L$8,0))</f>
        <v>0</v>
      </c>
      <c r="M104" s="126">
        <f>SUMIFS(DWbonus[[Sum]:[Sum]],DWbonus[[Dato]:[Dato]], "&gt;="&amp;M$8,DWbonus[[Dato]:[Dato]],"&lt;="&amp;EOMONTH(M$8,0),DWbonus[[Bookie]:[Bookie]],$A104)+SUMIFS(LayTable[[Faktisk res]:[Faktisk res]],LayTable[[Dato]:[Dato]],"&gt;="&amp;M$8,LayTable[[Dato]:[Dato]],"&lt;="&amp;EOMONTH(M$8,0),LayTable[[Bookmaker]:[Bookmaker]],$A104)+SUMIFS(BetTable[[AR_per_bookie]:[AR_per_bookie]],BetTable[[B1]:[B1]],$A104,BetTable[[Date]:[Date]], "&gt;="&amp;M$8,BetTable[[Date]:[Date]],"&lt;="&amp;EOMONTH(M$8,0))+SUMIFS(BetTable[[AR_per_bookie]:[AR_per_bookie]],BetTable[[B2]:[B2]],$A104,BetTable[[Date]:[Date]], "&gt;="&amp;M$8,BetTable[[Date]:[Date]],"&lt;="&amp;EOMONTH(M$8,0))+SUMIFS(BetTable[[AR_per_bookie]:[AR_per_bookie]],BetTable[[B3]:[B3]],$A104,BetTable[[Date]:[Date]], "&gt;="&amp;M$8,BetTable[[Date]:[Date]],"&lt;="&amp;EOMONTH(M$8,0))</f>
        <v>0</v>
      </c>
      <c r="N104" s="126">
        <f>SUMIFS(DWbonus[[Sum]:[Sum]],DWbonus[[Dato]:[Dato]], "&gt;="&amp;N$8,DWbonus[[Dato]:[Dato]],"&lt;="&amp;EOMONTH(N$8,0),DWbonus[[Bookie]:[Bookie]],$A104)+SUMIFS(LayTable[[Faktisk res]:[Faktisk res]],LayTable[[Dato]:[Dato]],"&gt;="&amp;N$8,LayTable[[Dato]:[Dato]],"&lt;="&amp;EOMONTH(N$8,0),LayTable[[Bookmaker]:[Bookmaker]],$A104)+SUMIFS(BetTable[[AR_per_bookie]:[AR_per_bookie]],BetTable[[B1]:[B1]],$A104,BetTable[[Date]:[Date]], "&gt;="&amp;N$8,BetTable[[Date]:[Date]],"&lt;="&amp;EOMONTH(N$8,0))+SUMIFS(BetTable[[AR_per_bookie]:[AR_per_bookie]],BetTable[[B2]:[B2]],$A104,BetTable[[Date]:[Date]], "&gt;="&amp;N$8,BetTable[[Date]:[Date]],"&lt;="&amp;EOMONTH(N$8,0))+SUMIFS(BetTable[[AR_per_bookie]:[AR_per_bookie]],BetTable[[B3]:[B3]],$A104,BetTable[[Date]:[Date]], "&gt;="&amp;N$8,BetTable[[Date]:[Date]],"&lt;="&amp;EOMONTH(N$8,0))</f>
        <v>0</v>
      </c>
      <c r="O104" s="126">
        <f>SUMIFS(DWbonus[[Sum]:[Sum]],DWbonus[[Dato]:[Dato]], "&gt;="&amp;O$8,DWbonus[[Dato]:[Dato]],"&lt;="&amp;EOMONTH(O$8,0),DWbonus[[Bookie]:[Bookie]],$A104)+SUMIFS(LayTable[[Faktisk res]:[Faktisk res]],LayTable[[Dato]:[Dato]],"&gt;="&amp;O$8,LayTable[[Dato]:[Dato]],"&lt;="&amp;EOMONTH(O$8,0),LayTable[[Bookmaker]:[Bookmaker]],$A104)+SUMIFS(BetTable[[AR_per_bookie]:[AR_per_bookie]],BetTable[[B1]:[B1]],$A104,BetTable[[Date]:[Date]], "&gt;="&amp;O$8,BetTable[[Date]:[Date]],"&lt;="&amp;EOMONTH(O$8,0))+SUMIFS(BetTable[[AR_per_bookie]:[AR_per_bookie]],BetTable[[B2]:[B2]],$A104,BetTable[[Date]:[Date]], "&gt;="&amp;O$8,BetTable[[Date]:[Date]],"&lt;="&amp;EOMONTH(O$8,0))+SUMIFS(BetTable[[AR_per_bookie]:[AR_per_bookie]],BetTable[[B3]:[B3]],$A104,BetTable[[Date]:[Date]], "&gt;="&amp;O$8,BetTable[[Date]:[Date]],"&lt;="&amp;EOMONTH(O$8,0))</f>
        <v>0</v>
      </c>
      <c r="P104" s="126">
        <f>SUMIFS(DWbonus[[Sum]:[Sum]],DWbonus[[Dato]:[Dato]], "&gt;="&amp;P$8,DWbonus[[Dato]:[Dato]],"&lt;="&amp;EOMONTH(P$8,0),DWbonus[[Bookie]:[Bookie]],$A104)+SUMIFS(LayTable[[Faktisk res]:[Faktisk res]],LayTable[[Dato]:[Dato]],"&gt;="&amp;P$8,LayTable[[Dato]:[Dato]],"&lt;="&amp;EOMONTH(P$8,0),LayTable[[Bookmaker]:[Bookmaker]],$A104)+SUMIFS(BetTable[[AR_per_bookie]:[AR_per_bookie]],BetTable[[B1]:[B1]],$A104,BetTable[[Date]:[Date]], "&gt;="&amp;P$8,BetTable[[Date]:[Date]],"&lt;="&amp;EOMONTH(P$8,0))+SUMIFS(BetTable[[AR_per_bookie]:[AR_per_bookie]],BetTable[[B2]:[B2]],$A104,BetTable[[Date]:[Date]], "&gt;="&amp;P$8,BetTable[[Date]:[Date]],"&lt;="&amp;EOMONTH(P$8,0))+SUMIFS(BetTable[[AR_per_bookie]:[AR_per_bookie]],BetTable[[B3]:[B3]],$A104,BetTable[[Date]:[Date]], "&gt;="&amp;P$8,BetTable[[Date]:[Date]],"&lt;="&amp;EOMONTH(P$8,0))</f>
        <v>0</v>
      </c>
      <c r="Q104" s="126">
        <f>SUMIFS(DWbonus[[Sum]:[Sum]],DWbonus[[Dato]:[Dato]], "&gt;="&amp;Q$8,DWbonus[[Dato]:[Dato]],"&lt;="&amp;EOMONTH(Q$8,0),DWbonus[[Bookie]:[Bookie]],$A104)+SUMIFS(LayTable[[Faktisk res]:[Faktisk res]],LayTable[[Dato]:[Dato]],"&gt;="&amp;Q$8,LayTable[[Dato]:[Dato]],"&lt;="&amp;EOMONTH(Q$8,0),LayTable[[Bookmaker]:[Bookmaker]],$A104)+SUMIFS(BetTable[[AR_per_bookie]:[AR_per_bookie]],BetTable[[B1]:[B1]],$A104,BetTable[[Date]:[Date]], "&gt;="&amp;Q$8,BetTable[[Date]:[Date]],"&lt;="&amp;EOMONTH(Q$8,0))+SUMIFS(BetTable[[AR_per_bookie]:[AR_per_bookie]],BetTable[[B2]:[B2]],$A104,BetTable[[Date]:[Date]], "&gt;="&amp;Q$8,BetTable[[Date]:[Date]],"&lt;="&amp;EOMONTH(Q$8,0))+SUMIFS(BetTable[[AR_per_bookie]:[AR_per_bookie]],BetTable[[B3]:[B3]],$A104,BetTable[[Date]:[Date]], "&gt;="&amp;Q$8,BetTable[[Date]:[Date]],"&lt;="&amp;EOMONTH(Q$8,0))</f>
        <v>0</v>
      </c>
      <c r="R104" s="126">
        <f>SUMIFS(DWbonus[[Sum]:[Sum]],DWbonus[[Dato]:[Dato]], "&gt;="&amp;R$8,DWbonus[[Dato]:[Dato]],"&lt;="&amp;EOMONTH(R$8,0),DWbonus[[Bookie]:[Bookie]],$A104)+SUMIFS(LayTable[[Faktisk res]:[Faktisk res]],LayTable[[Dato]:[Dato]],"&gt;="&amp;R$8,LayTable[[Dato]:[Dato]],"&lt;="&amp;EOMONTH(R$8,0),LayTable[[Bookmaker]:[Bookmaker]],$A104)+SUMIFS(BetTable[[AR_per_bookie]:[AR_per_bookie]],BetTable[[B1]:[B1]],$A104,BetTable[[Date]:[Date]], "&gt;="&amp;R$8,BetTable[[Date]:[Date]],"&lt;="&amp;EOMONTH(R$8,0))+SUMIFS(BetTable[[AR_per_bookie]:[AR_per_bookie]],BetTable[[B2]:[B2]],$A104,BetTable[[Date]:[Date]], "&gt;="&amp;R$8,BetTable[[Date]:[Date]],"&lt;="&amp;EOMONTH(R$8,0))+SUMIFS(BetTable[[AR_per_bookie]:[AR_per_bookie]],BetTable[[B3]:[B3]],$A104,BetTable[[Date]:[Date]], "&gt;="&amp;R$8,BetTable[[Date]:[Date]],"&lt;="&amp;EOMONTH(R$8,0))</f>
        <v>0</v>
      </c>
      <c r="S104" s="126">
        <f>SUMIFS(DWbonus[[Sum]:[Sum]],DWbonus[[Dato]:[Dato]], "&gt;="&amp;S$8,DWbonus[[Dato]:[Dato]],"&lt;="&amp;EOMONTH(S$8,0),DWbonus[[Bookie]:[Bookie]],$A104)+SUMIFS(LayTable[[Faktisk res]:[Faktisk res]],LayTable[[Dato]:[Dato]],"&gt;="&amp;S$8,LayTable[[Dato]:[Dato]],"&lt;="&amp;EOMONTH(S$8,0),LayTable[[Bookmaker]:[Bookmaker]],$A104)+SUMIFS(BetTable[[AR_per_bookie]:[AR_per_bookie]],BetTable[[B1]:[B1]],$A104,BetTable[[Date]:[Date]], "&gt;="&amp;S$8,BetTable[[Date]:[Date]],"&lt;="&amp;EOMONTH(S$8,0))+SUMIFS(BetTable[[AR_per_bookie]:[AR_per_bookie]],BetTable[[B2]:[B2]],$A104,BetTable[[Date]:[Date]], "&gt;="&amp;S$8,BetTable[[Date]:[Date]],"&lt;="&amp;EOMONTH(S$8,0))+SUMIFS(BetTable[[AR_per_bookie]:[AR_per_bookie]],BetTable[[B3]:[B3]],$A104,BetTable[[Date]:[Date]], "&gt;="&amp;S$8,BetTable[[Date]:[Date]],"&lt;="&amp;EOMONTH(S$8,0))</f>
        <v>0</v>
      </c>
    </row>
    <row r="105" spans="1:19">
      <c r="A105" s="115" t="str">
        <f>BookieNavn!I97</f>
        <v>AaCoolbet</v>
      </c>
      <c r="B105" s="126">
        <f>SUMIF(Penger!D$1:D$50072,A105,Penger!F$1:F$50072)</f>
        <v>0</v>
      </c>
      <c r="C105" s="126">
        <f>SUMIF(Penger!T$1:T$50072,A105,Penger!U$1:U$50072)</f>
        <v>0</v>
      </c>
      <c r="D105" s="126">
        <f ca="1">SUMIF(Spill!C$1:C$499895,A105,Spill!T$1:T$49895)+C105</f>
        <v>0</v>
      </c>
      <c r="E105" s="126">
        <f>SUMIF(Spill!C$1:C$49895,A105,Spill!T$1:T$49895)</f>
        <v>0</v>
      </c>
      <c r="F105" s="121" t="e">
        <f t="shared" ca="1" si="2"/>
        <v>#DIV/0!</v>
      </c>
      <c r="H105" s="126">
        <f>SUMIFS(DWbonus[[Sum]:[Sum]],DWbonus[[Dato]:[Dato]], "&gt;="&amp;H$8,DWbonus[[Dato]:[Dato]],"&lt;="&amp;EOMONTH(H$8,0),DWbonus[[Bookie]:[Bookie]],$A105)+SUMIFS(LayTable[[Faktisk res]:[Faktisk res]],LayTable[[Dato]:[Dato]],"&gt;="&amp;H$8,LayTable[[Dato]:[Dato]],"&lt;="&amp;EOMONTH(H$8,0),LayTable[[Bookmaker]:[Bookmaker]],$A105)+SUMIFS(BetTable[[AR_per_bookie]:[AR_per_bookie]],BetTable[[B1]:[B1]],$A105,BetTable[[Date]:[Date]], "&gt;="&amp;H$8,BetTable[[Date]:[Date]],"&lt;="&amp;EOMONTH(H$8,0))+SUMIFS(BetTable[[AR_per_bookie]:[AR_per_bookie]],BetTable[[B2]:[B2]],$A105,BetTable[[Date]:[Date]], "&gt;="&amp;H$8,BetTable[[Date]:[Date]],"&lt;="&amp;EOMONTH(H$8,0))+SUMIFS(BetTable[[AR_per_bookie]:[AR_per_bookie]],BetTable[[B3]:[B3]],$A105,BetTable[[Date]:[Date]], "&gt;="&amp;H$8,BetTable[[Date]:[Date]],"&lt;="&amp;EOMONTH(H$8,0))</f>
        <v>0</v>
      </c>
      <c r="I105" s="126">
        <f>SUMIFS(DWbonus[[Sum]:[Sum]],DWbonus[[Dato]:[Dato]], "&gt;="&amp;I$8,DWbonus[[Dato]:[Dato]],"&lt;="&amp;EOMONTH(I$8,0),DWbonus[[Bookie]:[Bookie]],$A105)+SUMIFS(LayTable[[Faktisk res]:[Faktisk res]],LayTable[[Dato]:[Dato]],"&gt;="&amp;I$8,LayTable[[Dato]:[Dato]],"&lt;="&amp;EOMONTH(I$8,0),LayTable[[Bookmaker]:[Bookmaker]],$A105)+SUMIFS(BetTable[[AR_per_bookie]:[AR_per_bookie]],BetTable[[B1]:[B1]],$A105,BetTable[[Date]:[Date]], "&gt;="&amp;I$8,BetTable[[Date]:[Date]],"&lt;="&amp;EOMONTH(I$8,0))+SUMIFS(BetTable[[AR_per_bookie]:[AR_per_bookie]],BetTable[[B2]:[B2]],$A105,BetTable[[Date]:[Date]], "&gt;="&amp;I$8,BetTable[[Date]:[Date]],"&lt;="&amp;EOMONTH(I$8,0))+SUMIFS(BetTable[[AR_per_bookie]:[AR_per_bookie]],BetTable[[B3]:[B3]],$A105,BetTable[[Date]:[Date]], "&gt;="&amp;I$8,BetTable[[Date]:[Date]],"&lt;="&amp;EOMONTH(I$8,0))</f>
        <v>0</v>
      </c>
      <c r="J105" s="126">
        <f>SUMIFS(DWbonus[[Sum]:[Sum]],DWbonus[[Dato]:[Dato]], "&gt;="&amp;J$8,DWbonus[[Dato]:[Dato]],"&lt;="&amp;EOMONTH(J$8,0),DWbonus[[Bookie]:[Bookie]],$A105)+SUMIFS(LayTable[[Faktisk res]:[Faktisk res]],LayTable[[Dato]:[Dato]],"&gt;="&amp;J$8,LayTable[[Dato]:[Dato]],"&lt;="&amp;EOMONTH(J$8,0),LayTable[[Bookmaker]:[Bookmaker]],$A105)+SUMIFS(BetTable[[AR_per_bookie]:[AR_per_bookie]],BetTable[[B1]:[B1]],$A105,BetTable[[Date]:[Date]], "&gt;="&amp;J$8,BetTable[[Date]:[Date]],"&lt;="&amp;EOMONTH(J$8,0))+SUMIFS(BetTable[[AR_per_bookie]:[AR_per_bookie]],BetTable[[B2]:[B2]],$A105,BetTable[[Date]:[Date]], "&gt;="&amp;J$8,BetTable[[Date]:[Date]],"&lt;="&amp;EOMONTH(J$8,0))+SUMIFS(BetTable[[AR_per_bookie]:[AR_per_bookie]],BetTable[[B3]:[B3]],$A105,BetTable[[Date]:[Date]], "&gt;="&amp;J$8,BetTable[[Date]:[Date]],"&lt;="&amp;EOMONTH(J$8,0))</f>
        <v>0</v>
      </c>
      <c r="K105" s="126">
        <f>SUMIFS(DWbonus[[Sum]:[Sum]],DWbonus[[Dato]:[Dato]], "&gt;="&amp;K$8,DWbonus[[Dato]:[Dato]],"&lt;="&amp;EOMONTH(K$8,0),DWbonus[[Bookie]:[Bookie]],$A105)+SUMIFS(LayTable[[Faktisk res]:[Faktisk res]],LayTable[[Dato]:[Dato]],"&gt;="&amp;K$8,LayTable[[Dato]:[Dato]],"&lt;="&amp;EOMONTH(K$8,0),LayTable[[Bookmaker]:[Bookmaker]],$A105)+SUMIFS(BetTable[[AR_per_bookie]:[AR_per_bookie]],BetTable[[B1]:[B1]],$A105,BetTable[[Date]:[Date]], "&gt;="&amp;K$8,BetTable[[Date]:[Date]],"&lt;="&amp;EOMONTH(K$8,0))+SUMIFS(BetTable[[AR_per_bookie]:[AR_per_bookie]],BetTable[[B2]:[B2]],$A105,BetTable[[Date]:[Date]], "&gt;="&amp;K$8,BetTable[[Date]:[Date]],"&lt;="&amp;EOMONTH(K$8,0))+SUMIFS(BetTable[[AR_per_bookie]:[AR_per_bookie]],BetTable[[B3]:[B3]],$A105,BetTable[[Date]:[Date]], "&gt;="&amp;K$8,BetTable[[Date]:[Date]],"&lt;="&amp;EOMONTH(K$8,0))</f>
        <v>0</v>
      </c>
      <c r="L105" s="126">
        <f>SUMIFS(DWbonus[[Sum]:[Sum]],DWbonus[[Dato]:[Dato]], "&gt;="&amp;L$8,DWbonus[[Dato]:[Dato]],"&lt;="&amp;EOMONTH(L$8,0),DWbonus[[Bookie]:[Bookie]],$A105)+SUMIFS(LayTable[[Faktisk res]:[Faktisk res]],LayTable[[Dato]:[Dato]],"&gt;="&amp;L$8,LayTable[[Dato]:[Dato]],"&lt;="&amp;EOMONTH(L$8,0),LayTable[[Bookmaker]:[Bookmaker]],$A105)+SUMIFS(BetTable[[AR_per_bookie]:[AR_per_bookie]],BetTable[[B1]:[B1]],$A105,BetTable[[Date]:[Date]], "&gt;="&amp;L$8,BetTable[[Date]:[Date]],"&lt;="&amp;EOMONTH(L$8,0))+SUMIFS(BetTable[[AR_per_bookie]:[AR_per_bookie]],BetTable[[B2]:[B2]],$A105,BetTable[[Date]:[Date]], "&gt;="&amp;L$8,BetTable[[Date]:[Date]],"&lt;="&amp;EOMONTH(L$8,0))+SUMIFS(BetTable[[AR_per_bookie]:[AR_per_bookie]],BetTable[[B3]:[B3]],$A105,BetTable[[Date]:[Date]], "&gt;="&amp;L$8,BetTable[[Date]:[Date]],"&lt;="&amp;EOMONTH(L$8,0))</f>
        <v>0</v>
      </c>
      <c r="M105" s="126">
        <f>SUMIFS(DWbonus[[Sum]:[Sum]],DWbonus[[Dato]:[Dato]], "&gt;="&amp;M$8,DWbonus[[Dato]:[Dato]],"&lt;="&amp;EOMONTH(M$8,0),DWbonus[[Bookie]:[Bookie]],$A105)+SUMIFS(LayTable[[Faktisk res]:[Faktisk res]],LayTable[[Dato]:[Dato]],"&gt;="&amp;M$8,LayTable[[Dato]:[Dato]],"&lt;="&amp;EOMONTH(M$8,0),LayTable[[Bookmaker]:[Bookmaker]],$A105)+SUMIFS(BetTable[[AR_per_bookie]:[AR_per_bookie]],BetTable[[B1]:[B1]],$A105,BetTable[[Date]:[Date]], "&gt;="&amp;M$8,BetTable[[Date]:[Date]],"&lt;="&amp;EOMONTH(M$8,0))+SUMIFS(BetTable[[AR_per_bookie]:[AR_per_bookie]],BetTable[[B2]:[B2]],$A105,BetTable[[Date]:[Date]], "&gt;="&amp;M$8,BetTable[[Date]:[Date]],"&lt;="&amp;EOMONTH(M$8,0))+SUMIFS(BetTable[[AR_per_bookie]:[AR_per_bookie]],BetTable[[B3]:[B3]],$A105,BetTable[[Date]:[Date]], "&gt;="&amp;M$8,BetTable[[Date]:[Date]],"&lt;="&amp;EOMONTH(M$8,0))</f>
        <v>0</v>
      </c>
      <c r="N105" s="126">
        <f>SUMIFS(DWbonus[[Sum]:[Sum]],DWbonus[[Dato]:[Dato]], "&gt;="&amp;N$8,DWbonus[[Dato]:[Dato]],"&lt;="&amp;EOMONTH(N$8,0),DWbonus[[Bookie]:[Bookie]],$A105)+SUMIFS(LayTable[[Faktisk res]:[Faktisk res]],LayTable[[Dato]:[Dato]],"&gt;="&amp;N$8,LayTable[[Dato]:[Dato]],"&lt;="&amp;EOMONTH(N$8,0),LayTable[[Bookmaker]:[Bookmaker]],$A105)+SUMIFS(BetTable[[AR_per_bookie]:[AR_per_bookie]],BetTable[[B1]:[B1]],$A105,BetTable[[Date]:[Date]], "&gt;="&amp;N$8,BetTable[[Date]:[Date]],"&lt;="&amp;EOMONTH(N$8,0))+SUMIFS(BetTable[[AR_per_bookie]:[AR_per_bookie]],BetTable[[B2]:[B2]],$A105,BetTable[[Date]:[Date]], "&gt;="&amp;N$8,BetTable[[Date]:[Date]],"&lt;="&amp;EOMONTH(N$8,0))+SUMIFS(BetTable[[AR_per_bookie]:[AR_per_bookie]],BetTable[[B3]:[B3]],$A105,BetTable[[Date]:[Date]], "&gt;="&amp;N$8,BetTable[[Date]:[Date]],"&lt;="&amp;EOMONTH(N$8,0))</f>
        <v>0</v>
      </c>
      <c r="O105" s="126">
        <f>SUMIFS(DWbonus[[Sum]:[Sum]],DWbonus[[Dato]:[Dato]], "&gt;="&amp;O$8,DWbonus[[Dato]:[Dato]],"&lt;="&amp;EOMONTH(O$8,0),DWbonus[[Bookie]:[Bookie]],$A105)+SUMIFS(LayTable[[Faktisk res]:[Faktisk res]],LayTable[[Dato]:[Dato]],"&gt;="&amp;O$8,LayTable[[Dato]:[Dato]],"&lt;="&amp;EOMONTH(O$8,0),LayTable[[Bookmaker]:[Bookmaker]],$A105)+SUMIFS(BetTable[[AR_per_bookie]:[AR_per_bookie]],BetTable[[B1]:[B1]],$A105,BetTable[[Date]:[Date]], "&gt;="&amp;O$8,BetTable[[Date]:[Date]],"&lt;="&amp;EOMONTH(O$8,0))+SUMIFS(BetTable[[AR_per_bookie]:[AR_per_bookie]],BetTable[[B2]:[B2]],$A105,BetTable[[Date]:[Date]], "&gt;="&amp;O$8,BetTable[[Date]:[Date]],"&lt;="&amp;EOMONTH(O$8,0))+SUMIFS(BetTable[[AR_per_bookie]:[AR_per_bookie]],BetTable[[B3]:[B3]],$A105,BetTable[[Date]:[Date]], "&gt;="&amp;O$8,BetTable[[Date]:[Date]],"&lt;="&amp;EOMONTH(O$8,0))</f>
        <v>0</v>
      </c>
      <c r="P105" s="126">
        <f>SUMIFS(DWbonus[[Sum]:[Sum]],DWbonus[[Dato]:[Dato]], "&gt;="&amp;P$8,DWbonus[[Dato]:[Dato]],"&lt;="&amp;EOMONTH(P$8,0),DWbonus[[Bookie]:[Bookie]],$A105)+SUMIFS(LayTable[[Faktisk res]:[Faktisk res]],LayTable[[Dato]:[Dato]],"&gt;="&amp;P$8,LayTable[[Dato]:[Dato]],"&lt;="&amp;EOMONTH(P$8,0),LayTable[[Bookmaker]:[Bookmaker]],$A105)+SUMIFS(BetTable[[AR_per_bookie]:[AR_per_bookie]],BetTable[[B1]:[B1]],$A105,BetTable[[Date]:[Date]], "&gt;="&amp;P$8,BetTable[[Date]:[Date]],"&lt;="&amp;EOMONTH(P$8,0))+SUMIFS(BetTable[[AR_per_bookie]:[AR_per_bookie]],BetTable[[B2]:[B2]],$A105,BetTable[[Date]:[Date]], "&gt;="&amp;P$8,BetTable[[Date]:[Date]],"&lt;="&amp;EOMONTH(P$8,0))+SUMIFS(BetTable[[AR_per_bookie]:[AR_per_bookie]],BetTable[[B3]:[B3]],$A105,BetTable[[Date]:[Date]], "&gt;="&amp;P$8,BetTable[[Date]:[Date]],"&lt;="&amp;EOMONTH(P$8,0))</f>
        <v>0</v>
      </c>
      <c r="Q105" s="126">
        <f>SUMIFS(DWbonus[[Sum]:[Sum]],DWbonus[[Dato]:[Dato]], "&gt;="&amp;Q$8,DWbonus[[Dato]:[Dato]],"&lt;="&amp;EOMONTH(Q$8,0),DWbonus[[Bookie]:[Bookie]],$A105)+SUMIFS(LayTable[[Faktisk res]:[Faktisk res]],LayTable[[Dato]:[Dato]],"&gt;="&amp;Q$8,LayTable[[Dato]:[Dato]],"&lt;="&amp;EOMONTH(Q$8,0),LayTable[[Bookmaker]:[Bookmaker]],$A105)+SUMIFS(BetTable[[AR_per_bookie]:[AR_per_bookie]],BetTable[[B1]:[B1]],$A105,BetTable[[Date]:[Date]], "&gt;="&amp;Q$8,BetTable[[Date]:[Date]],"&lt;="&amp;EOMONTH(Q$8,0))+SUMIFS(BetTable[[AR_per_bookie]:[AR_per_bookie]],BetTable[[B2]:[B2]],$A105,BetTable[[Date]:[Date]], "&gt;="&amp;Q$8,BetTable[[Date]:[Date]],"&lt;="&amp;EOMONTH(Q$8,0))+SUMIFS(BetTable[[AR_per_bookie]:[AR_per_bookie]],BetTable[[B3]:[B3]],$A105,BetTable[[Date]:[Date]], "&gt;="&amp;Q$8,BetTable[[Date]:[Date]],"&lt;="&amp;EOMONTH(Q$8,0))</f>
        <v>0</v>
      </c>
      <c r="R105" s="126">
        <f>SUMIFS(DWbonus[[Sum]:[Sum]],DWbonus[[Dato]:[Dato]], "&gt;="&amp;R$8,DWbonus[[Dato]:[Dato]],"&lt;="&amp;EOMONTH(R$8,0),DWbonus[[Bookie]:[Bookie]],$A105)+SUMIFS(LayTable[[Faktisk res]:[Faktisk res]],LayTable[[Dato]:[Dato]],"&gt;="&amp;R$8,LayTable[[Dato]:[Dato]],"&lt;="&amp;EOMONTH(R$8,0),LayTable[[Bookmaker]:[Bookmaker]],$A105)+SUMIFS(BetTable[[AR_per_bookie]:[AR_per_bookie]],BetTable[[B1]:[B1]],$A105,BetTable[[Date]:[Date]], "&gt;="&amp;R$8,BetTable[[Date]:[Date]],"&lt;="&amp;EOMONTH(R$8,0))+SUMIFS(BetTable[[AR_per_bookie]:[AR_per_bookie]],BetTable[[B2]:[B2]],$A105,BetTable[[Date]:[Date]], "&gt;="&amp;R$8,BetTable[[Date]:[Date]],"&lt;="&amp;EOMONTH(R$8,0))+SUMIFS(BetTable[[AR_per_bookie]:[AR_per_bookie]],BetTable[[B3]:[B3]],$A105,BetTable[[Date]:[Date]], "&gt;="&amp;R$8,BetTable[[Date]:[Date]],"&lt;="&amp;EOMONTH(R$8,0))</f>
        <v>0</v>
      </c>
      <c r="S105" s="126">
        <f>SUMIFS(DWbonus[[Sum]:[Sum]],DWbonus[[Dato]:[Dato]], "&gt;="&amp;S$8,DWbonus[[Dato]:[Dato]],"&lt;="&amp;EOMONTH(S$8,0),DWbonus[[Bookie]:[Bookie]],$A105)+SUMIFS(LayTable[[Faktisk res]:[Faktisk res]],LayTable[[Dato]:[Dato]],"&gt;="&amp;S$8,LayTable[[Dato]:[Dato]],"&lt;="&amp;EOMONTH(S$8,0),LayTable[[Bookmaker]:[Bookmaker]],$A105)+SUMIFS(BetTable[[AR_per_bookie]:[AR_per_bookie]],BetTable[[B1]:[B1]],$A105,BetTable[[Date]:[Date]], "&gt;="&amp;S$8,BetTable[[Date]:[Date]],"&lt;="&amp;EOMONTH(S$8,0))+SUMIFS(BetTable[[AR_per_bookie]:[AR_per_bookie]],BetTable[[B2]:[B2]],$A105,BetTable[[Date]:[Date]], "&gt;="&amp;S$8,BetTable[[Date]:[Date]],"&lt;="&amp;EOMONTH(S$8,0))+SUMIFS(BetTable[[AR_per_bookie]:[AR_per_bookie]],BetTable[[B3]:[B3]],$A105,BetTable[[Date]:[Date]], "&gt;="&amp;S$8,BetTable[[Date]:[Date]],"&lt;="&amp;EOMONTH(S$8,0))</f>
        <v>0</v>
      </c>
    </row>
    <row r="106" spans="1:19">
      <c r="A106" s="115" t="str">
        <f>BookieNavn!I98</f>
        <v>Gn1Betsson</v>
      </c>
      <c r="B106" s="126">
        <f>SUMIF(Penger!D$1:D$50072,A106,Penger!F$1:F$50072)</f>
        <v>0</v>
      </c>
      <c r="C106" s="126">
        <f>SUMIF(Penger!T$1:T$50072,A106,Penger!U$1:U$50072)</f>
        <v>0</v>
      </c>
      <c r="D106" s="126">
        <f ca="1">SUMIF(Spill!C$1:C$499895,A106,Spill!T$1:T$49895)+C106</f>
        <v>0</v>
      </c>
      <c r="E106" s="126">
        <f>SUMIF(Spill!C$1:C$49895,A106,Spill!T$1:T$49895)</f>
        <v>0</v>
      </c>
      <c r="F106" s="121" t="e">
        <f t="shared" ca="1" si="2"/>
        <v>#DIV/0!</v>
      </c>
      <c r="H106" s="126">
        <f>SUMIFS(DWbonus[[Sum]:[Sum]],DWbonus[[Dato]:[Dato]], "&gt;="&amp;H$8,DWbonus[[Dato]:[Dato]],"&lt;="&amp;EOMONTH(H$8,0),DWbonus[[Bookie]:[Bookie]],$A106)+SUMIFS(LayTable[[Faktisk res]:[Faktisk res]],LayTable[[Dato]:[Dato]],"&gt;="&amp;H$8,LayTable[[Dato]:[Dato]],"&lt;="&amp;EOMONTH(H$8,0),LayTable[[Bookmaker]:[Bookmaker]],$A106)+SUMIFS(BetTable[[AR_per_bookie]:[AR_per_bookie]],BetTable[[B1]:[B1]],$A106,BetTable[[Date]:[Date]], "&gt;="&amp;H$8,BetTable[[Date]:[Date]],"&lt;="&amp;EOMONTH(H$8,0))+SUMIFS(BetTable[[AR_per_bookie]:[AR_per_bookie]],BetTable[[B2]:[B2]],$A106,BetTable[[Date]:[Date]], "&gt;="&amp;H$8,BetTable[[Date]:[Date]],"&lt;="&amp;EOMONTH(H$8,0))+SUMIFS(BetTable[[AR_per_bookie]:[AR_per_bookie]],BetTable[[B3]:[B3]],$A106,BetTable[[Date]:[Date]], "&gt;="&amp;H$8,BetTable[[Date]:[Date]],"&lt;="&amp;EOMONTH(H$8,0))</f>
        <v>0</v>
      </c>
      <c r="I106" s="126">
        <f>SUMIFS(DWbonus[[Sum]:[Sum]],DWbonus[[Dato]:[Dato]], "&gt;="&amp;I$8,DWbonus[[Dato]:[Dato]],"&lt;="&amp;EOMONTH(I$8,0),DWbonus[[Bookie]:[Bookie]],$A106)+SUMIFS(LayTable[[Faktisk res]:[Faktisk res]],LayTable[[Dato]:[Dato]],"&gt;="&amp;I$8,LayTable[[Dato]:[Dato]],"&lt;="&amp;EOMONTH(I$8,0),LayTable[[Bookmaker]:[Bookmaker]],$A106)+SUMIFS(BetTable[[AR_per_bookie]:[AR_per_bookie]],BetTable[[B1]:[B1]],$A106,BetTable[[Date]:[Date]], "&gt;="&amp;I$8,BetTable[[Date]:[Date]],"&lt;="&amp;EOMONTH(I$8,0))+SUMIFS(BetTable[[AR_per_bookie]:[AR_per_bookie]],BetTable[[B2]:[B2]],$A106,BetTable[[Date]:[Date]], "&gt;="&amp;I$8,BetTable[[Date]:[Date]],"&lt;="&amp;EOMONTH(I$8,0))+SUMIFS(BetTable[[AR_per_bookie]:[AR_per_bookie]],BetTable[[B3]:[B3]],$A106,BetTable[[Date]:[Date]], "&gt;="&amp;I$8,BetTable[[Date]:[Date]],"&lt;="&amp;EOMONTH(I$8,0))</f>
        <v>0</v>
      </c>
      <c r="J106" s="126">
        <f>SUMIFS(DWbonus[[Sum]:[Sum]],DWbonus[[Dato]:[Dato]], "&gt;="&amp;J$8,DWbonus[[Dato]:[Dato]],"&lt;="&amp;EOMONTH(J$8,0),DWbonus[[Bookie]:[Bookie]],$A106)+SUMIFS(LayTable[[Faktisk res]:[Faktisk res]],LayTable[[Dato]:[Dato]],"&gt;="&amp;J$8,LayTable[[Dato]:[Dato]],"&lt;="&amp;EOMONTH(J$8,0),LayTable[[Bookmaker]:[Bookmaker]],$A106)+SUMIFS(BetTable[[AR_per_bookie]:[AR_per_bookie]],BetTable[[B1]:[B1]],$A106,BetTable[[Date]:[Date]], "&gt;="&amp;J$8,BetTable[[Date]:[Date]],"&lt;="&amp;EOMONTH(J$8,0))+SUMIFS(BetTable[[AR_per_bookie]:[AR_per_bookie]],BetTable[[B2]:[B2]],$A106,BetTable[[Date]:[Date]], "&gt;="&amp;J$8,BetTable[[Date]:[Date]],"&lt;="&amp;EOMONTH(J$8,0))+SUMIFS(BetTable[[AR_per_bookie]:[AR_per_bookie]],BetTable[[B3]:[B3]],$A106,BetTable[[Date]:[Date]], "&gt;="&amp;J$8,BetTable[[Date]:[Date]],"&lt;="&amp;EOMONTH(J$8,0))</f>
        <v>0</v>
      </c>
      <c r="K106" s="126">
        <f>SUMIFS(DWbonus[[Sum]:[Sum]],DWbonus[[Dato]:[Dato]], "&gt;="&amp;K$8,DWbonus[[Dato]:[Dato]],"&lt;="&amp;EOMONTH(K$8,0),DWbonus[[Bookie]:[Bookie]],$A106)+SUMIFS(LayTable[[Faktisk res]:[Faktisk res]],LayTable[[Dato]:[Dato]],"&gt;="&amp;K$8,LayTable[[Dato]:[Dato]],"&lt;="&amp;EOMONTH(K$8,0),LayTable[[Bookmaker]:[Bookmaker]],$A106)+SUMIFS(BetTable[[AR_per_bookie]:[AR_per_bookie]],BetTable[[B1]:[B1]],$A106,BetTable[[Date]:[Date]], "&gt;="&amp;K$8,BetTable[[Date]:[Date]],"&lt;="&amp;EOMONTH(K$8,0))+SUMIFS(BetTable[[AR_per_bookie]:[AR_per_bookie]],BetTable[[B2]:[B2]],$A106,BetTable[[Date]:[Date]], "&gt;="&amp;K$8,BetTable[[Date]:[Date]],"&lt;="&amp;EOMONTH(K$8,0))+SUMIFS(BetTable[[AR_per_bookie]:[AR_per_bookie]],BetTable[[B3]:[B3]],$A106,BetTable[[Date]:[Date]], "&gt;="&amp;K$8,BetTable[[Date]:[Date]],"&lt;="&amp;EOMONTH(K$8,0))</f>
        <v>0</v>
      </c>
      <c r="L106" s="126">
        <f>SUMIFS(DWbonus[[Sum]:[Sum]],DWbonus[[Dato]:[Dato]], "&gt;="&amp;L$8,DWbonus[[Dato]:[Dato]],"&lt;="&amp;EOMONTH(L$8,0),DWbonus[[Bookie]:[Bookie]],$A106)+SUMIFS(LayTable[[Faktisk res]:[Faktisk res]],LayTable[[Dato]:[Dato]],"&gt;="&amp;L$8,LayTable[[Dato]:[Dato]],"&lt;="&amp;EOMONTH(L$8,0),LayTable[[Bookmaker]:[Bookmaker]],$A106)+SUMIFS(BetTable[[AR_per_bookie]:[AR_per_bookie]],BetTable[[B1]:[B1]],$A106,BetTable[[Date]:[Date]], "&gt;="&amp;L$8,BetTable[[Date]:[Date]],"&lt;="&amp;EOMONTH(L$8,0))+SUMIFS(BetTable[[AR_per_bookie]:[AR_per_bookie]],BetTable[[B2]:[B2]],$A106,BetTable[[Date]:[Date]], "&gt;="&amp;L$8,BetTable[[Date]:[Date]],"&lt;="&amp;EOMONTH(L$8,0))+SUMIFS(BetTable[[AR_per_bookie]:[AR_per_bookie]],BetTable[[B3]:[B3]],$A106,BetTable[[Date]:[Date]], "&gt;="&amp;L$8,BetTable[[Date]:[Date]],"&lt;="&amp;EOMONTH(L$8,0))</f>
        <v>0</v>
      </c>
      <c r="M106" s="126">
        <f>SUMIFS(DWbonus[[Sum]:[Sum]],DWbonus[[Dato]:[Dato]], "&gt;="&amp;M$8,DWbonus[[Dato]:[Dato]],"&lt;="&amp;EOMONTH(M$8,0),DWbonus[[Bookie]:[Bookie]],$A106)+SUMIFS(LayTable[[Faktisk res]:[Faktisk res]],LayTable[[Dato]:[Dato]],"&gt;="&amp;M$8,LayTable[[Dato]:[Dato]],"&lt;="&amp;EOMONTH(M$8,0),LayTable[[Bookmaker]:[Bookmaker]],$A106)+SUMIFS(BetTable[[AR_per_bookie]:[AR_per_bookie]],BetTable[[B1]:[B1]],$A106,BetTable[[Date]:[Date]], "&gt;="&amp;M$8,BetTable[[Date]:[Date]],"&lt;="&amp;EOMONTH(M$8,0))+SUMIFS(BetTable[[AR_per_bookie]:[AR_per_bookie]],BetTable[[B2]:[B2]],$A106,BetTable[[Date]:[Date]], "&gt;="&amp;M$8,BetTable[[Date]:[Date]],"&lt;="&amp;EOMONTH(M$8,0))+SUMIFS(BetTable[[AR_per_bookie]:[AR_per_bookie]],BetTable[[B3]:[B3]],$A106,BetTable[[Date]:[Date]], "&gt;="&amp;M$8,BetTable[[Date]:[Date]],"&lt;="&amp;EOMONTH(M$8,0))</f>
        <v>0</v>
      </c>
      <c r="N106" s="126">
        <f>SUMIFS(DWbonus[[Sum]:[Sum]],DWbonus[[Dato]:[Dato]], "&gt;="&amp;N$8,DWbonus[[Dato]:[Dato]],"&lt;="&amp;EOMONTH(N$8,0),DWbonus[[Bookie]:[Bookie]],$A106)+SUMIFS(LayTable[[Faktisk res]:[Faktisk res]],LayTable[[Dato]:[Dato]],"&gt;="&amp;N$8,LayTable[[Dato]:[Dato]],"&lt;="&amp;EOMONTH(N$8,0),LayTable[[Bookmaker]:[Bookmaker]],$A106)+SUMIFS(BetTable[[AR_per_bookie]:[AR_per_bookie]],BetTable[[B1]:[B1]],$A106,BetTable[[Date]:[Date]], "&gt;="&amp;N$8,BetTable[[Date]:[Date]],"&lt;="&amp;EOMONTH(N$8,0))+SUMIFS(BetTable[[AR_per_bookie]:[AR_per_bookie]],BetTable[[B2]:[B2]],$A106,BetTable[[Date]:[Date]], "&gt;="&amp;N$8,BetTable[[Date]:[Date]],"&lt;="&amp;EOMONTH(N$8,0))+SUMIFS(BetTable[[AR_per_bookie]:[AR_per_bookie]],BetTable[[B3]:[B3]],$A106,BetTable[[Date]:[Date]], "&gt;="&amp;N$8,BetTable[[Date]:[Date]],"&lt;="&amp;EOMONTH(N$8,0))</f>
        <v>0</v>
      </c>
      <c r="O106" s="126">
        <f>SUMIFS(DWbonus[[Sum]:[Sum]],DWbonus[[Dato]:[Dato]], "&gt;="&amp;O$8,DWbonus[[Dato]:[Dato]],"&lt;="&amp;EOMONTH(O$8,0),DWbonus[[Bookie]:[Bookie]],$A106)+SUMIFS(LayTable[[Faktisk res]:[Faktisk res]],LayTable[[Dato]:[Dato]],"&gt;="&amp;O$8,LayTable[[Dato]:[Dato]],"&lt;="&amp;EOMONTH(O$8,0),LayTable[[Bookmaker]:[Bookmaker]],$A106)+SUMIFS(BetTable[[AR_per_bookie]:[AR_per_bookie]],BetTable[[B1]:[B1]],$A106,BetTable[[Date]:[Date]], "&gt;="&amp;O$8,BetTable[[Date]:[Date]],"&lt;="&amp;EOMONTH(O$8,0))+SUMIFS(BetTable[[AR_per_bookie]:[AR_per_bookie]],BetTable[[B2]:[B2]],$A106,BetTable[[Date]:[Date]], "&gt;="&amp;O$8,BetTable[[Date]:[Date]],"&lt;="&amp;EOMONTH(O$8,0))+SUMIFS(BetTable[[AR_per_bookie]:[AR_per_bookie]],BetTable[[B3]:[B3]],$A106,BetTable[[Date]:[Date]], "&gt;="&amp;O$8,BetTable[[Date]:[Date]],"&lt;="&amp;EOMONTH(O$8,0))</f>
        <v>0</v>
      </c>
      <c r="P106" s="126">
        <f>SUMIFS(DWbonus[[Sum]:[Sum]],DWbonus[[Dato]:[Dato]], "&gt;="&amp;P$8,DWbonus[[Dato]:[Dato]],"&lt;="&amp;EOMONTH(P$8,0),DWbonus[[Bookie]:[Bookie]],$A106)+SUMIFS(LayTable[[Faktisk res]:[Faktisk res]],LayTable[[Dato]:[Dato]],"&gt;="&amp;P$8,LayTable[[Dato]:[Dato]],"&lt;="&amp;EOMONTH(P$8,0),LayTable[[Bookmaker]:[Bookmaker]],$A106)+SUMIFS(BetTable[[AR_per_bookie]:[AR_per_bookie]],BetTable[[B1]:[B1]],$A106,BetTable[[Date]:[Date]], "&gt;="&amp;P$8,BetTable[[Date]:[Date]],"&lt;="&amp;EOMONTH(P$8,0))+SUMIFS(BetTable[[AR_per_bookie]:[AR_per_bookie]],BetTable[[B2]:[B2]],$A106,BetTable[[Date]:[Date]], "&gt;="&amp;P$8,BetTable[[Date]:[Date]],"&lt;="&amp;EOMONTH(P$8,0))+SUMIFS(BetTable[[AR_per_bookie]:[AR_per_bookie]],BetTable[[B3]:[B3]],$A106,BetTable[[Date]:[Date]], "&gt;="&amp;P$8,BetTable[[Date]:[Date]],"&lt;="&amp;EOMONTH(P$8,0))</f>
        <v>0</v>
      </c>
      <c r="Q106" s="126">
        <f>SUMIFS(DWbonus[[Sum]:[Sum]],DWbonus[[Dato]:[Dato]], "&gt;="&amp;Q$8,DWbonus[[Dato]:[Dato]],"&lt;="&amp;EOMONTH(Q$8,0),DWbonus[[Bookie]:[Bookie]],$A106)+SUMIFS(LayTable[[Faktisk res]:[Faktisk res]],LayTable[[Dato]:[Dato]],"&gt;="&amp;Q$8,LayTable[[Dato]:[Dato]],"&lt;="&amp;EOMONTH(Q$8,0),LayTable[[Bookmaker]:[Bookmaker]],$A106)+SUMIFS(BetTable[[AR_per_bookie]:[AR_per_bookie]],BetTable[[B1]:[B1]],$A106,BetTable[[Date]:[Date]], "&gt;="&amp;Q$8,BetTable[[Date]:[Date]],"&lt;="&amp;EOMONTH(Q$8,0))+SUMIFS(BetTable[[AR_per_bookie]:[AR_per_bookie]],BetTable[[B2]:[B2]],$A106,BetTable[[Date]:[Date]], "&gt;="&amp;Q$8,BetTable[[Date]:[Date]],"&lt;="&amp;EOMONTH(Q$8,0))+SUMIFS(BetTable[[AR_per_bookie]:[AR_per_bookie]],BetTable[[B3]:[B3]],$A106,BetTable[[Date]:[Date]], "&gt;="&amp;Q$8,BetTable[[Date]:[Date]],"&lt;="&amp;EOMONTH(Q$8,0))</f>
        <v>0</v>
      </c>
      <c r="R106" s="126">
        <f>SUMIFS(DWbonus[[Sum]:[Sum]],DWbonus[[Dato]:[Dato]], "&gt;="&amp;R$8,DWbonus[[Dato]:[Dato]],"&lt;="&amp;EOMONTH(R$8,0),DWbonus[[Bookie]:[Bookie]],$A106)+SUMIFS(LayTable[[Faktisk res]:[Faktisk res]],LayTable[[Dato]:[Dato]],"&gt;="&amp;R$8,LayTable[[Dato]:[Dato]],"&lt;="&amp;EOMONTH(R$8,0),LayTable[[Bookmaker]:[Bookmaker]],$A106)+SUMIFS(BetTable[[AR_per_bookie]:[AR_per_bookie]],BetTable[[B1]:[B1]],$A106,BetTable[[Date]:[Date]], "&gt;="&amp;R$8,BetTable[[Date]:[Date]],"&lt;="&amp;EOMONTH(R$8,0))+SUMIFS(BetTable[[AR_per_bookie]:[AR_per_bookie]],BetTable[[B2]:[B2]],$A106,BetTable[[Date]:[Date]], "&gt;="&amp;R$8,BetTable[[Date]:[Date]],"&lt;="&amp;EOMONTH(R$8,0))+SUMIFS(BetTable[[AR_per_bookie]:[AR_per_bookie]],BetTable[[B3]:[B3]],$A106,BetTable[[Date]:[Date]], "&gt;="&amp;R$8,BetTable[[Date]:[Date]],"&lt;="&amp;EOMONTH(R$8,0))</f>
        <v>0</v>
      </c>
      <c r="S106" s="126">
        <f>SUMIFS(DWbonus[[Sum]:[Sum]],DWbonus[[Dato]:[Dato]], "&gt;="&amp;S$8,DWbonus[[Dato]:[Dato]],"&lt;="&amp;EOMONTH(S$8,0),DWbonus[[Bookie]:[Bookie]],$A106)+SUMIFS(LayTable[[Faktisk res]:[Faktisk res]],LayTable[[Dato]:[Dato]],"&gt;="&amp;S$8,LayTable[[Dato]:[Dato]],"&lt;="&amp;EOMONTH(S$8,0),LayTable[[Bookmaker]:[Bookmaker]],$A106)+SUMIFS(BetTable[[AR_per_bookie]:[AR_per_bookie]],BetTable[[B1]:[B1]],$A106,BetTable[[Date]:[Date]], "&gt;="&amp;S$8,BetTable[[Date]:[Date]],"&lt;="&amp;EOMONTH(S$8,0))+SUMIFS(BetTable[[AR_per_bookie]:[AR_per_bookie]],BetTable[[B2]:[B2]],$A106,BetTable[[Date]:[Date]], "&gt;="&amp;S$8,BetTable[[Date]:[Date]],"&lt;="&amp;EOMONTH(S$8,0))+SUMIFS(BetTable[[AR_per_bookie]:[AR_per_bookie]],BetTable[[B3]:[B3]],$A106,BetTable[[Date]:[Date]], "&gt;="&amp;S$8,BetTable[[Date]:[Date]],"&lt;="&amp;EOMONTH(S$8,0))</f>
        <v>0</v>
      </c>
    </row>
    <row r="107" spans="1:19">
      <c r="A107" s="170" t="str">
        <f>BookieNavn!I99</f>
        <v>LiMrGreen</v>
      </c>
      <c r="B107" s="126">
        <f>SUMIF(Penger!D$1:D$50072,A107,Penger!F$1:F$50072)</f>
        <v>0</v>
      </c>
      <c r="C107" s="126">
        <f>SUMIF(Penger!T$1:T$50072,A107,Penger!U$1:U$50072)</f>
        <v>0</v>
      </c>
      <c r="D107" s="126">
        <f ca="1">SUMIF(Spill!C$1:C$499895,A107,Spill!T$1:T$49895)+C107</f>
        <v>0</v>
      </c>
      <c r="E107" s="126">
        <f>SUMIF(Spill!C$1:C$49895,A107,Spill!T$1:T$49895)</f>
        <v>0</v>
      </c>
      <c r="F107" s="121" t="e">
        <f t="shared" ca="1" si="2"/>
        <v>#DIV/0!</v>
      </c>
      <c r="H107" s="126">
        <f>SUMIFS(DWbonus[[Sum]:[Sum]],DWbonus[[Dato]:[Dato]], "&gt;="&amp;H$8,DWbonus[[Dato]:[Dato]],"&lt;="&amp;EOMONTH(H$8,0),DWbonus[[Bookie]:[Bookie]],$A107)+SUMIFS(LayTable[[Faktisk res]:[Faktisk res]],LayTable[[Dato]:[Dato]],"&gt;="&amp;H$8,LayTable[[Dato]:[Dato]],"&lt;="&amp;EOMONTH(H$8,0),LayTable[[Bookmaker]:[Bookmaker]],$A107)+SUMIFS(BetTable[[AR_per_bookie]:[AR_per_bookie]],BetTable[[B1]:[B1]],$A107,BetTable[[Date]:[Date]], "&gt;="&amp;H$8,BetTable[[Date]:[Date]],"&lt;="&amp;EOMONTH(H$8,0))+SUMIFS(BetTable[[AR_per_bookie]:[AR_per_bookie]],BetTable[[B2]:[B2]],$A107,BetTable[[Date]:[Date]], "&gt;="&amp;H$8,BetTable[[Date]:[Date]],"&lt;="&amp;EOMONTH(H$8,0))+SUMIFS(BetTable[[AR_per_bookie]:[AR_per_bookie]],BetTable[[B3]:[B3]],$A107,BetTable[[Date]:[Date]], "&gt;="&amp;H$8,BetTable[[Date]:[Date]],"&lt;="&amp;EOMONTH(H$8,0))</f>
        <v>0</v>
      </c>
      <c r="I107" s="126">
        <f>SUMIFS(DWbonus[[Sum]:[Sum]],DWbonus[[Dato]:[Dato]], "&gt;="&amp;I$8,DWbonus[[Dato]:[Dato]],"&lt;="&amp;EOMONTH(I$8,0),DWbonus[[Bookie]:[Bookie]],$A107)+SUMIFS(LayTable[[Faktisk res]:[Faktisk res]],LayTable[[Dato]:[Dato]],"&gt;="&amp;I$8,LayTable[[Dato]:[Dato]],"&lt;="&amp;EOMONTH(I$8,0),LayTable[[Bookmaker]:[Bookmaker]],$A107)+SUMIFS(BetTable[[AR_per_bookie]:[AR_per_bookie]],BetTable[[B1]:[B1]],$A107,BetTable[[Date]:[Date]], "&gt;="&amp;I$8,BetTable[[Date]:[Date]],"&lt;="&amp;EOMONTH(I$8,0))+SUMIFS(BetTable[[AR_per_bookie]:[AR_per_bookie]],BetTable[[B2]:[B2]],$A107,BetTable[[Date]:[Date]], "&gt;="&amp;I$8,BetTable[[Date]:[Date]],"&lt;="&amp;EOMONTH(I$8,0))+SUMIFS(BetTable[[AR_per_bookie]:[AR_per_bookie]],BetTable[[B3]:[B3]],$A107,BetTable[[Date]:[Date]], "&gt;="&amp;I$8,BetTable[[Date]:[Date]],"&lt;="&amp;EOMONTH(I$8,0))</f>
        <v>0</v>
      </c>
      <c r="J107" s="126">
        <f>SUMIFS(DWbonus[[Sum]:[Sum]],DWbonus[[Dato]:[Dato]], "&gt;="&amp;J$8,DWbonus[[Dato]:[Dato]],"&lt;="&amp;EOMONTH(J$8,0),DWbonus[[Bookie]:[Bookie]],$A107)+SUMIFS(LayTable[[Faktisk res]:[Faktisk res]],LayTable[[Dato]:[Dato]],"&gt;="&amp;J$8,LayTable[[Dato]:[Dato]],"&lt;="&amp;EOMONTH(J$8,0),LayTable[[Bookmaker]:[Bookmaker]],$A107)+SUMIFS(BetTable[[AR_per_bookie]:[AR_per_bookie]],BetTable[[B1]:[B1]],$A107,BetTable[[Date]:[Date]], "&gt;="&amp;J$8,BetTable[[Date]:[Date]],"&lt;="&amp;EOMONTH(J$8,0))+SUMIFS(BetTable[[AR_per_bookie]:[AR_per_bookie]],BetTable[[B2]:[B2]],$A107,BetTable[[Date]:[Date]], "&gt;="&amp;J$8,BetTable[[Date]:[Date]],"&lt;="&amp;EOMONTH(J$8,0))+SUMIFS(BetTable[[AR_per_bookie]:[AR_per_bookie]],BetTable[[B3]:[B3]],$A107,BetTable[[Date]:[Date]], "&gt;="&amp;J$8,BetTable[[Date]:[Date]],"&lt;="&amp;EOMONTH(J$8,0))</f>
        <v>0</v>
      </c>
      <c r="K107" s="126">
        <f>SUMIFS(DWbonus[[Sum]:[Sum]],DWbonus[[Dato]:[Dato]], "&gt;="&amp;K$8,DWbonus[[Dato]:[Dato]],"&lt;="&amp;EOMONTH(K$8,0),DWbonus[[Bookie]:[Bookie]],$A107)+SUMIFS(LayTable[[Faktisk res]:[Faktisk res]],LayTable[[Dato]:[Dato]],"&gt;="&amp;K$8,LayTable[[Dato]:[Dato]],"&lt;="&amp;EOMONTH(K$8,0),LayTable[[Bookmaker]:[Bookmaker]],$A107)+SUMIFS(BetTable[[AR_per_bookie]:[AR_per_bookie]],BetTable[[B1]:[B1]],$A107,BetTable[[Date]:[Date]], "&gt;="&amp;K$8,BetTable[[Date]:[Date]],"&lt;="&amp;EOMONTH(K$8,0))+SUMIFS(BetTable[[AR_per_bookie]:[AR_per_bookie]],BetTable[[B2]:[B2]],$A107,BetTable[[Date]:[Date]], "&gt;="&amp;K$8,BetTable[[Date]:[Date]],"&lt;="&amp;EOMONTH(K$8,0))+SUMIFS(BetTable[[AR_per_bookie]:[AR_per_bookie]],BetTable[[B3]:[B3]],$A107,BetTable[[Date]:[Date]], "&gt;="&amp;K$8,BetTable[[Date]:[Date]],"&lt;="&amp;EOMONTH(K$8,0))</f>
        <v>0</v>
      </c>
      <c r="L107" s="126">
        <f>SUMIFS(DWbonus[[Sum]:[Sum]],DWbonus[[Dato]:[Dato]], "&gt;="&amp;L$8,DWbonus[[Dato]:[Dato]],"&lt;="&amp;EOMONTH(L$8,0),DWbonus[[Bookie]:[Bookie]],$A107)+SUMIFS(LayTable[[Faktisk res]:[Faktisk res]],LayTable[[Dato]:[Dato]],"&gt;="&amp;L$8,LayTable[[Dato]:[Dato]],"&lt;="&amp;EOMONTH(L$8,0),LayTable[[Bookmaker]:[Bookmaker]],$A107)+SUMIFS(BetTable[[AR_per_bookie]:[AR_per_bookie]],BetTable[[B1]:[B1]],$A107,BetTable[[Date]:[Date]], "&gt;="&amp;L$8,BetTable[[Date]:[Date]],"&lt;="&amp;EOMONTH(L$8,0))+SUMIFS(BetTable[[AR_per_bookie]:[AR_per_bookie]],BetTable[[B2]:[B2]],$A107,BetTable[[Date]:[Date]], "&gt;="&amp;L$8,BetTable[[Date]:[Date]],"&lt;="&amp;EOMONTH(L$8,0))+SUMIFS(BetTable[[AR_per_bookie]:[AR_per_bookie]],BetTable[[B3]:[B3]],$A107,BetTable[[Date]:[Date]], "&gt;="&amp;L$8,BetTable[[Date]:[Date]],"&lt;="&amp;EOMONTH(L$8,0))</f>
        <v>0</v>
      </c>
      <c r="M107" s="126">
        <f>SUMIFS(DWbonus[[Sum]:[Sum]],DWbonus[[Dato]:[Dato]], "&gt;="&amp;M$8,DWbonus[[Dato]:[Dato]],"&lt;="&amp;EOMONTH(M$8,0),DWbonus[[Bookie]:[Bookie]],$A107)+SUMIFS(LayTable[[Faktisk res]:[Faktisk res]],LayTable[[Dato]:[Dato]],"&gt;="&amp;M$8,LayTable[[Dato]:[Dato]],"&lt;="&amp;EOMONTH(M$8,0),LayTable[[Bookmaker]:[Bookmaker]],$A107)+SUMIFS(BetTable[[AR_per_bookie]:[AR_per_bookie]],BetTable[[B1]:[B1]],$A107,BetTable[[Date]:[Date]], "&gt;="&amp;M$8,BetTable[[Date]:[Date]],"&lt;="&amp;EOMONTH(M$8,0))+SUMIFS(BetTable[[AR_per_bookie]:[AR_per_bookie]],BetTable[[B2]:[B2]],$A107,BetTable[[Date]:[Date]], "&gt;="&amp;M$8,BetTable[[Date]:[Date]],"&lt;="&amp;EOMONTH(M$8,0))+SUMIFS(BetTable[[AR_per_bookie]:[AR_per_bookie]],BetTable[[B3]:[B3]],$A107,BetTable[[Date]:[Date]], "&gt;="&amp;M$8,BetTable[[Date]:[Date]],"&lt;="&amp;EOMONTH(M$8,0))</f>
        <v>0</v>
      </c>
      <c r="N107" s="126">
        <f>SUMIFS(DWbonus[[Sum]:[Sum]],DWbonus[[Dato]:[Dato]], "&gt;="&amp;N$8,DWbonus[[Dato]:[Dato]],"&lt;="&amp;EOMONTH(N$8,0),DWbonus[[Bookie]:[Bookie]],$A107)+SUMIFS(LayTable[[Faktisk res]:[Faktisk res]],LayTable[[Dato]:[Dato]],"&gt;="&amp;N$8,LayTable[[Dato]:[Dato]],"&lt;="&amp;EOMONTH(N$8,0),LayTable[[Bookmaker]:[Bookmaker]],$A107)+SUMIFS(BetTable[[AR_per_bookie]:[AR_per_bookie]],BetTable[[B1]:[B1]],$A107,BetTable[[Date]:[Date]], "&gt;="&amp;N$8,BetTable[[Date]:[Date]],"&lt;="&amp;EOMONTH(N$8,0))+SUMIFS(BetTable[[AR_per_bookie]:[AR_per_bookie]],BetTable[[B2]:[B2]],$A107,BetTable[[Date]:[Date]], "&gt;="&amp;N$8,BetTable[[Date]:[Date]],"&lt;="&amp;EOMONTH(N$8,0))+SUMIFS(BetTable[[AR_per_bookie]:[AR_per_bookie]],BetTable[[B3]:[B3]],$A107,BetTable[[Date]:[Date]], "&gt;="&amp;N$8,BetTable[[Date]:[Date]],"&lt;="&amp;EOMONTH(N$8,0))</f>
        <v>0</v>
      </c>
      <c r="O107" s="126">
        <f>SUMIFS(DWbonus[[Sum]:[Sum]],DWbonus[[Dato]:[Dato]], "&gt;="&amp;O$8,DWbonus[[Dato]:[Dato]],"&lt;="&amp;EOMONTH(O$8,0),DWbonus[[Bookie]:[Bookie]],$A107)+SUMIFS(LayTable[[Faktisk res]:[Faktisk res]],LayTable[[Dato]:[Dato]],"&gt;="&amp;O$8,LayTable[[Dato]:[Dato]],"&lt;="&amp;EOMONTH(O$8,0),LayTable[[Bookmaker]:[Bookmaker]],$A107)+SUMIFS(BetTable[[AR_per_bookie]:[AR_per_bookie]],BetTable[[B1]:[B1]],$A107,BetTable[[Date]:[Date]], "&gt;="&amp;O$8,BetTable[[Date]:[Date]],"&lt;="&amp;EOMONTH(O$8,0))+SUMIFS(BetTable[[AR_per_bookie]:[AR_per_bookie]],BetTable[[B2]:[B2]],$A107,BetTable[[Date]:[Date]], "&gt;="&amp;O$8,BetTable[[Date]:[Date]],"&lt;="&amp;EOMONTH(O$8,0))+SUMIFS(BetTable[[AR_per_bookie]:[AR_per_bookie]],BetTable[[B3]:[B3]],$A107,BetTable[[Date]:[Date]], "&gt;="&amp;O$8,BetTable[[Date]:[Date]],"&lt;="&amp;EOMONTH(O$8,0))</f>
        <v>0</v>
      </c>
      <c r="P107" s="126">
        <f>SUMIFS(DWbonus[[Sum]:[Sum]],DWbonus[[Dato]:[Dato]], "&gt;="&amp;P$8,DWbonus[[Dato]:[Dato]],"&lt;="&amp;EOMONTH(P$8,0),DWbonus[[Bookie]:[Bookie]],$A107)+SUMIFS(LayTable[[Faktisk res]:[Faktisk res]],LayTable[[Dato]:[Dato]],"&gt;="&amp;P$8,LayTable[[Dato]:[Dato]],"&lt;="&amp;EOMONTH(P$8,0),LayTable[[Bookmaker]:[Bookmaker]],$A107)+SUMIFS(BetTable[[AR_per_bookie]:[AR_per_bookie]],BetTable[[B1]:[B1]],$A107,BetTable[[Date]:[Date]], "&gt;="&amp;P$8,BetTable[[Date]:[Date]],"&lt;="&amp;EOMONTH(P$8,0))+SUMIFS(BetTable[[AR_per_bookie]:[AR_per_bookie]],BetTable[[B2]:[B2]],$A107,BetTable[[Date]:[Date]], "&gt;="&amp;P$8,BetTable[[Date]:[Date]],"&lt;="&amp;EOMONTH(P$8,0))+SUMIFS(BetTable[[AR_per_bookie]:[AR_per_bookie]],BetTable[[B3]:[B3]],$A107,BetTable[[Date]:[Date]], "&gt;="&amp;P$8,BetTable[[Date]:[Date]],"&lt;="&amp;EOMONTH(P$8,0))</f>
        <v>0</v>
      </c>
      <c r="Q107" s="126">
        <f>SUMIFS(DWbonus[[Sum]:[Sum]],DWbonus[[Dato]:[Dato]], "&gt;="&amp;Q$8,DWbonus[[Dato]:[Dato]],"&lt;="&amp;EOMONTH(Q$8,0),DWbonus[[Bookie]:[Bookie]],$A107)+SUMIFS(LayTable[[Faktisk res]:[Faktisk res]],LayTable[[Dato]:[Dato]],"&gt;="&amp;Q$8,LayTable[[Dato]:[Dato]],"&lt;="&amp;EOMONTH(Q$8,0),LayTable[[Bookmaker]:[Bookmaker]],$A107)+SUMIFS(BetTable[[AR_per_bookie]:[AR_per_bookie]],BetTable[[B1]:[B1]],$A107,BetTable[[Date]:[Date]], "&gt;="&amp;Q$8,BetTable[[Date]:[Date]],"&lt;="&amp;EOMONTH(Q$8,0))+SUMIFS(BetTable[[AR_per_bookie]:[AR_per_bookie]],BetTable[[B2]:[B2]],$A107,BetTable[[Date]:[Date]], "&gt;="&amp;Q$8,BetTable[[Date]:[Date]],"&lt;="&amp;EOMONTH(Q$8,0))+SUMIFS(BetTable[[AR_per_bookie]:[AR_per_bookie]],BetTable[[B3]:[B3]],$A107,BetTable[[Date]:[Date]], "&gt;="&amp;Q$8,BetTable[[Date]:[Date]],"&lt;="&amp;EOMONTH(Q$8,0))</f>
        <v>0</v>
      </c>
      <c r="R107" s="126">
        <f>SUMIFS(DWbonus[[Sum]:[Sum]],DWbonus[[Dato]:[Dato]], "&gt;="&amp;R$8,DWbonus[[Dato]:[Dato]],"&lt;="&amp;EOMONTH(R$8,0),DWbonus[[Bookie]:[Bookie]],$A107)+SUMIFS(LayTable[[Faktisk res]:[Faktisk res]],LayTable[[Dato]:[Dato]],"&gt;="&amp;R$8,LayTable[[Dato]:[Dato]],"&lt;="&amp;EOMONTH(R$8,0),LayTable[[Bookmaker]:[Bookmaker]],$A107)+SUMIFS(BetTable[[AR_per_bookie]:[AR_per_bookie]],BetTable[[B1]:[B1]],$A107,BetTable[[Date]:[Date]], "&gt;="&amp;R$8,BetTable[[Date]:[Date]],"&lt;="&amp;EOMONTH(R$8,0))+SUMIFS(BetTable[[AR_per_bookie]:[AR_per_bookie]],BetTable[[B2]:[B2]],$A107,BetTable[[Date]:[Date]], "&gt;="&amp;R$8,BetTable[[Date]:[Date]],"&lt;="&amp;EOMONTH(R$8,0))+SUMIFS(BetTable[[AR_per_bookie]:[AR_per_bookie]],BetTable[[B3]:[B3]],$A107,BetTable[[Date]:[Date]], "&gt;="&amp;R$8,BetTable[[Date]:[Date]],"&lt;="&amp;EOMONTH(R$8,0))</f>
        <v>0</v>
      </c>
      <c r="S107" s="126">
        <f>SUMIFS(DWbonus[[Sum]:[Sum]],DWbonus[[Dato]:[Dato]], "&gt;="&amp;S$8,DWbonus[[Dato]:[Dato]],"&lt;="&amp;EOMONTH(S$8,0),DWbonus[[Bookie]:[Bookie]],$A107)+SUMIFS(LayTable[[Faktisk res]:[Faktisk res]],LayTable[[Dato]:[Dato]],"&gt;="&amp;S$8,LayTable[[Dato]:[Dato]],"&lt;="&amp;EOMONTH(S$8,0),LayTable[[Bookmaker]:[Bookmaker]],$A107)+SUMIFS(BetTable[[AR_per_bookie]:[AR_per_bookie]],BetTable[[B1]:[B1]],$A107,BetTable[[Date]:[Date]], "&gt;="&amp;S$8,BetTable[[Date]:[Date]],"&lt;="&amp;EOMONTH(S$8,0))+SUMIFS(BetTable[[AR_per_bookie]:[AR_per_bookie]],BetTable[[B2]:[B2]],$A107,BetTable[[Date]:[Date]], "&gt;="&amp;S$8,BetTable[[Date]:[Date]],"&lt;="&amp;EOMONTH(S$8,0))+SUMIFS(BetTable[[AR_per_bookie]:[AR_per_bookie]],BetTable[[B3]:[B3]],$A107,BetTable[[Date]:[Date]], "&gt;="&amp;S$8,BetTable[[Date]:[Date]],"&lt;="&amp;EOMONTH(S$8,0))</f>
        <v>0</v>
      </c>
    </row>
    <row r="108" spans="1:19">
      <c r="A108" s="170" t="str">
        <f>BookieNavn!I100</f>
        <v>AaMrGreen</v>
      </c>
      <c r="B108" s="126">
        <f>SUMIF(Penger!D$1:D$50072,A108,Penger!F$1:F$50072)</f>
        <v>0</v>
      </c>
      <c r="C108" s="126">
        <f>SUMIF(Penger!T$1:T$50072,A108,Penger!U$1:U$50072)</f>
        <v>0</v>
      </c>
      <c r="D108" s="126">
        <f ca="1">SUMIF(Spill!C$1:C$499895,A108,Spill!T$1:T$49895)+C108</f>
        <v>0</v>
      </c>
      <c r="E108" s="126">
        <f>SUMIF(Spill!C$1:C$49895,A108,Spill!T$1:T$49895)</f>
        <v>0</v>
      </c>
      <c r="F108" s="121" t="e">
        <f ca="1">D108/C108</f>
        <v>#DIV/0!</v>
      </c>
      <c r="H108" s="126">
        <f>SUMIFS(DWbonus[[Sum]:[Sum]],DWbonus[[Dato]:[Dato]], "&gt;="&amp;H$8,DWbonus[[Dato]:[Dato]],"&lt;="&amp;EOMONTH(H$8,0),DWbonus[[Bookie]:[Bookie]],$A108)+SUMIFS(LayTable[[Faktisk res]:[Faktisk res]],LayTable[[Dato]:[Dato]],"&gt;="&amp;H$8,LayTable[[Dato]:[Dato]],"&lt;="&amp;EOMONTH(H$8,0),LayTable[[Bookmaker]:[Bookmaker]],$A108)+SUMIFS(BetTable[[AR_per_bookie]:[AR_per_bookie]],BetTable[[B1]:[B1]],$A108,BetTable[[Date]:[Date]], "&gt;="&amp;H$8,BetTable[[Date]:[Date]],"&lt;="&amp;EOMONTH(H$8,0))+SUMIFS(BetTable[[AR_per_bookie]:[AR_per_bookie]],BetTable[[B2]:[B2]],$A108,BetTable[[Date]:[Date]], "&gt;="&amp;H$8,BetTable[[Date]:[Date]],"&lt;="&amp;EOMONTH(H$8,0))+SUMIFS(BetTable[[AR_per_bookie]:[AR_per_bookie]],BetTable[[B3]:[B3]],$A108,BetTable[[Date]:[Date]], "&gt;="&amp;H$8,BetTable[[Date]:[Date]],"&lt;="&amp;EOMONTH(H$8,0))</f>
        <v>0</v>
      </c>
      <c r="I108" s="126">
        <f>SUMIFS(DWbonus[[Sum]:[Sum]],DWbonus[[Dato]:[Dato]], "&gt;="&amp;I$8,DWbonus[[Dato]:[Dato]],"&lt;="&amp;EOMONTH(I$8,0),DWbonus[[Bookie]:[Bookie]],$A108)+SUMIFS(LayTable[[Faktisk res]:[Faktisk res]],LayTable[[Dato]:[Dato]],"&gt;="&amp;I$8,LayTable[[Dato]:[Dato]],"&lt;="&amp;EOMONTH(I$8,0),LayTable[[Bookmaker]:[Bookmaker]],$A108)+SUMIFS(BetTable[[AR_per_bookie]:[AR_per_bookie]],BetTable[[B1]:[B1]],$A108,BetTable[[Date]:[Date]], "&gt;="&amp;I$8,BetTable[[Date]:[Date]],"&lt;="&amp;EOMONTH(I$8,0))+SUMIFS(BetTable[[AR_per_bookie]:[AR_per_bookie]],BetTable[[B2]:[B2]],$A108,BetTable[[Date]:[Date]], "&gt;="&amp;I$8,BetTable[[Date]:[Date]],"&lt;="&amp;EOMONTH(I$8,0))+SUMIFS(BetTable[[AR_per_bookie]:[AR_per_bookie]],BetTable[[B3]:[B3]],$A108,BetTable[[Date]:[Date]], "&gt;="&amp;I$8,BetTable[[Date]:[Date]],"&lt;="&amp;EOMONTH(I$8,0))</f>
        <v>0</v>
      </c>
      <c r="J108" s="126">
        <f>SUMIFS(DWbonus[[Sum]:[Sum]],DWbonus[[Dato]:[Dato]], "&gt;="&amp;J$8,DWbonus[[Dato]:[Dato]],"&lt;="&amp;EOMONTH(J$8,0),DWbonus[[Bookie]:[Bookie]],$A108)+SUMIFS(LayTable[[Faktisk res]:[Faktisk res]],LayTable[[Dato]:[Dato]],"&gt;="&amp;J$8,LayTable[[Dato]:[Dato]],"&lt;="&amp;EOMONTH(J$8,0),LayTable[[Bookmaker]:[Bookmaker]],$A108)+SUMIFS(BetTable[[AR_per_bookie]:[AR_per_bookie]],BetTable[[B1]:[B1]],$A108,BetTable[[Date]:[Date]], "&gt;="&amp;J$8,BetTable[[Date]:[Date]],"&lt;="&amp;EOMONTH(J$8,0))+SUMIFS(BetTable[[AR_per_bookie]:[AR_per_bookie]],BetTable[[B2]:[B2]],$A108,BetTable[[Date]:[Date]], "&gt;="&amp;J$8,BetTable[[Date]:[Date]],"&lt;="&amp;EOMONTH(J$8,0))+SUMIFS(BetTable[[AR_per_bookie]:[AR_per_bookie]],BetTable[[B3]:[B3]],$A108,BetTable[[Date]:[Date]], "&gt;="&amp;J$8,BetTable[[Date]:[Date]],"&lt;="&amp;EOMONTH(J$8,0))</f>
        <v>0</v>
      </c>
      <c r="K108" s="126">
        <f>SUMIFS(DWbonus[[Sum]:[Sum]],DWbonus[[Dato]:[Dato]], "&gt;="&amp;K$8,DWbonus[[Dato]:[Dato]],"&lt;="&amp;EOMONTH(K$8,0),DWbonus[[Bookie]:[Bookie]],$A108)+SUMIFS(LayTable[[Faktisk res]:[Faktisk res]],LayTable[[Dato]:[Dato]],"&gt;="&amp;K$8,LayTable[[Dato]:[Dato]],"&lt;="&amp;EOMONTH(K$8,0),LayTable[[Bookmaker]:[Bookmaker]],$A108)+SUMIFS(BetTable[[AR_per_bookie]:[AR_per_bookie]],BetTable[[B1]:[B1]],$A108,BetTable[[Date]:[Date]], "&gt;="&amp;K$8,BetTable[[Date]:[Date]],"&lt;="&amp;EOMONTH(K$8,0))+SUMIFS(BetTable[[AR_per_bookie]:[AR_per_bookie]],BetTable[[B2]:[B2]],$A108,BetTable[[Date]:[Date]], "&gt;="&amp;K$8,BetTable[[Date]:[Date]],"&lt;="&amp;EOMONTH(K$8,0))+SUMIFS(BetTable[[AR_per_bookie]:[AR_per_bookie]],BetTable[[B3]:[B3]],$A108,BetTable[[Date]:[Date]], "&gt;="&amp;K$8,BetTable[[Date]:[Date]],"&lt;="&amp;EOMONTH(K$8,0))</f>
        <v>0</v>
      </c>
      <c r="L108" s="126">
        <f>SUMIFS(DWbonus[[Sum]:[Sum]],DWbonus[[Dato]:[Dato]], "&gt;="&amp;L$8,DWbonus[[Dato]:[Dato]],"&lt;="&amp;EOMONTH(L$8,0),DWbonus[[Bookie]:[Bookie]],$A108)+SUMIFS(LayTable[[Faktisk res]:[Faktisk res]],LayTable[[Dato]:[Dato]],"&gt;="&amp;L$8,LayTable[[Dato]:[Dato]],"&lt;="&amp;EOMONTH(L$8,0),LayTable[[Bookmaker]:[Bookmaker]],$A108)+SUMIFS(BetTable[[AR_per_bookie]:[AR_per_bookie]],BetTable[[B1]:[B1]],$A108,BetTable[[Date]:[Date]], "&gt;="&amp;L$8,BetTable[[Date]:[Date]],"&lt;="&amp;EOMONTH(L$8,0))+SUMIFS(BetTable[[AR_per_bookie]:[AR_per_bookie]],BetTable[[B2]:[B2]],$A108,BetTable[[Date]:[Date]], "&gt;="&amp;L$8,BetTable[[Date]:[Date]],"&lt;="&amp;EOMONTH(L$8,0))+SUMIFS(BetTable[[AR_per_bookie]:[AR_per_bookie]],BetTable[[B3]:[B3]],$A108,BetTable[[Date]:[Date]], "&gt;="&amp;L$8,BetTable[[Date]:[Date]],"&lt;="&amp;EOMONTH(L$8,0))</f>
        <v>0</v>
      </c>
      <c r="M108" s="126">
        <f>SUMIFS(DWbonus[[Sum]:[Sum]],DWbonus[[Dato]:[Dato]], "&gt;="&amp;M$8,DWbonus[[Dato]:[Dato]],"&lt;="&amp;EOMONTH(M$8,0),DWbonus[[Bookie]:[Bookie]],$A108)+SUMIFS(LayTable[[Faktisk res]:[Faktisk res]],LayTable[[Dato]:[Dato]],"&gt;="&amp;M$8,LayTable[[Dato]:[Dato]],"&lt;="&amp;EOMONTH(M$8,0),LayTable[[Bookmaker]:[Bookmaker]],$A108)+SUMIFS(BetTable[[AR_per_bookie]:[AR_per_bookie]],BetTable[[B1]:[B1]],$A108,BetTable[[Date]:[Date]], "&gt;="&amp;M$8,BetTable[[Date]:[Date]],"&lt;="&amp;EOMONTH(M$8,0))+SUMIFS(BetTable[[AR_per_bookie]:[AR_per_bookie]],BetTable[[B2]:[B2]],$A108,BetTable[[Date]:[Date]], "&gt;="&amp;M$8,BetTable[[Date]:[Date]],"&lt;="&amp;EOMONTH(M$8,0))+SUMIFS(BetTable[[AR_per_bookie]:[AR_per_bookie]],BetTable[[B3]:[B3]],$A108,BetTable[[Date]:[Date]], "&gt;="&amp;M$8,BetTable[[Date]:[Date]],"&lt;="&amp;EOMONTH(M$8,0))</f>
        <v>0</v>
      </c>
      <c r="N108" s="126">
        <f>SUMIFS(DWbonus[[Sum]:[Sum]],DWbonus[[Dato]:[Dato]], "&gt;="&amp;N$8,DWbonus[[Dato]:[Dato]],"&lt;="&amp;EOMONTH(N$8,0),DWbonus[[Bookie]:[Bookie]],$A108)+SUMIFS(LayTable[[Faktisk res]:[Faktisk res]],LayTable[[Dato]:[Dato]],"&gt;="&amp;N$8,LayTable[[Dato]:[Dato]],"&lt;="&amp;EOMONTH(N$8,0),LayTable[[Bookmaker]:[Bookmaker]],$A108)+SUMIFS(BetTable[[AR_per_bookie]:[AR_per_bookie]],BetTable[[B1]:[B1]],$A108,BetTable[[Date]:[Date]], "&gt;="&amp;N$8,BetTable[[Date]:[Date]],"&lt;="&amp;EOMONTH(N$8,0))+SUMIFS(BetTable[[AR_per_bookie]:[AR_per_bookie]],BetTable[[B2]:[B2]],$A108,BetTable[[Date]:[Date]], "&gt;="&amp;N$8,BetTable[[Date]:[Date]],"&lt;="&amp;EOMONTH(N$8,0))+SUMIFS(BetTable[[AR_per_bookie]:[AR_per_bookie]],BetTable[[B3]:[B3]],$A108,BetTable[[Date]:[Date]], "&gt;="&amp;N$8,BetTable[[Date]:[Date]],"&lt;="&amp;EOMONTH(N$8,0))</f>
        <v>0</v>
      </c>
      <c r="O108" s="126">
        <f>SUMIFS(DWbonus[[Sum]:[Sum]],DWbonus[[Dato]:[Dato]], "&gt;="&amp;O$8,DWbonus[[Dato]:[Dato]],"&lt;="&amp;EOMONTH(O$8,0),DWbonus[[Bookie]:[Bookie]],$A108)+SUMIFS(LayTable[[Faktisk res]:[Faktisk res]],LayTable[[Dato]:[Dato]],"&gt;="&amp;O$8,LayTable[[Dato]:[Dato]],"&lt;="&amp;EOMONTH(O$8,0),LayTable[[Bookmaker]:[Bookmaker]],$A108)+SUMIFS(BetTable[[AR_per_bookie]:[AR_per_bookie]],BetTable[[B1]:[B1]],$A108,BetTable[[Date]:[Date]], "&gt;="&amp;O$8,BetTable[[Date]:[Date]],"&lt;="&amp;EOMONTH(O$8,0))+SUMIFS(BetTable[[AR_per_bookie]:[AR_per_bookie]],BetTable[[B2]:[B2]],$A108,BetTable[[Date]:[Date]], "&gt;="&amp;O$8,BetTable[[Date]:[Date]],"&lt;="&amp;EOMONTH(O$8,0))+SUMIFS(BetTable[[AR_per_bookie]:[AR_per_bookie]],BetTable[[B3]:[B3]],$A108,BetTable[[Date]:[Date]], "&gt;="&amp;O$8,BetTable[[Date]:[Date]],"&lt;="&amp;EOMONTH(O$8,0))</f>
        <v>0</v>
      </c>
      <c r="P108" s="126">
        <f>SUMIFS(DWbonus[[Sum]:[Sum]],DWbonus[[Dato]:[Dato]], "&gt;="&amp;P$8,DWbonus[[Dato]:[Dato]],"&lt;="&amp;EOMONTH(P$8,0),DWbonus[[Bookie]:[Bookie]],$A108)+SUMIFS(LayTable[[Faktisk res]:[Faktisk res]],LayTable[[Dato]:[Dato]],"&gt;="&amp;P$8,LayTable[[Dato]:[Dato]],"&lt;="&amp;EOMONTH(P$8,0),LayTable[[Bookmaker]:[Bookmaker]],$A108)+SUMIFS(BetTable[[AR_per_bookie]:[AR_per_bookie]],BetTable[[B1]:[B1]],$A108,BetTable[[Date]:[Date]], "&gt;="&amp;P$8,BetTable[[Date]:[Date]],"&lt;="&amp;EOMONTH(P$8,0))+SUMIFS(BetTable[[AR_per_bookie]:[AR_per_bookie]],BetTable[[B2]:[B2]],$A108,BetTable[[Date]:[Date]], "&gt;="&amp;P$8,BetTable[[Date]:[Date]],"&lt;="&amp;EOMONTH(P$8,0))+SUMIFS(BetTable[[AR_per_bookie]:[AR_per_bookie]],BetTable[[B3]:[B3]],$A108,BetTable[[Date]:[Date]], "&gt;="&amp;P$8,BetTable[[Date]:[Date]],"&lt;="&amp;EOMONTH(P$8,0))</f>
        <v>0</v>
      </c>
      <c r="Q108" s="126">
        <f>SUMIFS(DWbonus[[Sum]:[Sum]],DWbonus[[Dato]:[Dato]], "&gt;="&amp;Q$8,DWbonus[[Dato]:[Dato]],"&lt;="&amp;EOMONTH(Q$8,0),DWbonus[[Bookie]:[Bookie]],$A108)+SUMIFS(LayTable[[Faktisk res]:[Faktisk res]],LayTable[[Dato]:[Dato]],"&gt;="&amp;Q$8,LayTable[[Dato]:[Dato]],"&lt;="&amp;EOMONTH(Q$8,0),LayTable[[Bookmaker]:[Bookmaker]],$A108)+SUMIFS(BetTable[[AR_per_bookie]:[AR_per_bookie]],BetTable[[B1]:[B1]],$A108,BetTable[[Date]:[Date]], "&gt;="&amp;Q$8,BetTable[[Date]:[Date]],"&lt;="&amp;EOMONTH(Q$8,0))+SUMIFS(BetTable[[AR_per_bookie]:[AR_per_bookie]],BetTable[[B2]:[B2]],$A108,BetTable[[Date]:[Date]], "&gt;="&amp;Q$8,BetTable[[Date]:[Date]],"&lt;="&amp;EOMONTH(Q$8,0))+SUMIFS(BetTable[[AR_per_bookie]:[AR_per_bookie]],BetTable[[B3]:[B3]],$A108,BetTable[[Date]:[Date]], "&gt;="&amp;Q$8,BetTable[[Date]:[Date]],"&lt;="&amp;EOMONTH(Q$8,0))</f>
        <v>0</v>
      </c>
      <c r="R108" s="126">
        <f>SUMIFS(DWbonus[[Sum]:[Sum]],DWbonus[[Dato]:[Dato]], "&gt;="&amp;R$8,DWbonus[[Dato]:[Dato]],"&lt;="&amp;EOMONTH(R$8,0),DWbonus[[Bookie]:[Bookie]],$A108)+SUMIFS(LayTable[[Faktisk res]:[Faktisk res]],LayTable[[Dato]:[Dato]],"&gt;="&amp;R$8,LayTable[[Dato]:[Dato]],"&lt;="&amp;EOMONTH(R$8,0),LayTable[[Bookmaker]:[Bookmaker]],$A108)+SUMIFS(BetTable[[AR_per_bookie]:[AR_per_bookie]],BetTable[[B1]:[B1]],$A108,BetTable[[Date]:[Date]], "&gt;="&amp;R$8,BetTable[[Date]:[Date]],"&lt;="&amp;EOMONTH(R$8,0))+SUMIFS(BetTable[[AR_per_bookie]:[AR_per_bookie]],BetTable[[B2]:[B2]],$A108,BetTable[[Date]:[Date]], "&gt;="&amp;R$8,BetTable[[Date]:[Date]],"&lt;="&amp;EOMONTH(R$8,0))+SUMIFS(BetTable[[AR_per_bookie]:[AR_per_bookie]],BetTable[[B3]:[B3]],$A108,BetTable[[Date]:[Date]], "&gt;="&amp;R$8,BetTable[[Date]:[Date]],"&lt;="&amp;EOMONTH(R$8,0))</f>
        <v>0</v>
      </c>
      <c r="S108" s="126">
        <f>SUMIFS(DWbonus[[Sum]:[Sum]],DWbonus[[Dato]:[Dato]], "&gt;="&amp;S$8,DWbonus[[Dato]:[Dato]],"&lt;="&amp;EOMONTH(S$8,0),DWbonus[[Bookie]:[Bookie]],$A108)+SUMIFS(LayTable[[Faktisk res]:[Faktisk res]],LayTable[[Dato]:[Dato]],"&gt;="&amp;S$8,LayTable[[Dato]:[Dato]],"&lt;="&amp;EOMONTH(S$8,0),LayTable[[Bookmaker]:[Bookmaker]],$A108)+SUMIFS(BetTable[[AR_per_bookie]:[AR_per_bookie]],BetTable[[B1]:[B1]],$A108,BetTable[[Date]:[Date]], "&gt;="&amp;S$8,BetTable[[Date]:[Date]],"&lt;="&amp;EOMONTH(S$8,0))+SUMIFS(BetTable[[AR_per_bookie]:[AR_per_bookie]],BetTable[[B2]:[B2]],$A108,BetTable[[Date]:[Date]], "&gt;="&amp;S$8,BetTable[[Date]:[Date]],"&lt;="&amp;EOMONTH(S$8,0))+SUMIFS(BetTable[[AR_per_bookie]:[AR_per_bookie]],BetTable[[B3]:[B3]],$A108,BetTable[[Date]:[Date]], "&gt;="&amp;S$8,BetTable[[Date]:[Date]],"&lt;="&amp;EOMONTH(S$8,0))</f>
        <v>0</v>
      </c>
    </row>
    <row r="109" spans="1:19">
      <c r="A109" s="170" t="str">
        <f>BookieNavn!I101</f>
        <v>AaFolkeautomaten</v>
      </c>
      <c r="B109" s="126">
        <f>SUMIF(Penger!D$1:D$50072,A109,Penger!F$1:F$50072)</f>
        <v>0</v>
      </c>
      <c r="C109" s="126">
        <f>SUMIF(Penger!T$1:T$50072,A109,Penger!U$1:U$50072)</f>
        <v>0</v>
      </c>
      <c r="D109" s="126">
        <f ca="1">SUMIF(Spill!C$1:C$499895,A109,Spill!T$1:T$49895)+C109</f>
        <v>0</v>
      </c>
      <c r="E109" s="126">
        <f>SUMIF(Spill!C$1:C$49895,A109,Spill!T$1:T$49895)</f>
        <v>0</v>
      </c>
      <c r="F109" s="121" t="e">
        <f t="shared" ca="1" si="2"/>
        <v>#DIV/0!</v>
      </c>
      <c r="H109" s="126">
        <f>SUMIFS(DWbonus[[Sum]:[Sum]],DWbonus[[Dato]:[Dato]], "&gt;="&amp;H$8,DWbonus[[Dato]:[Dato]],"&lt;="&amp;EOMONTH(H$8,0),DWbonus[[Bookie]:[Bookie]],$A109)+SUMIFS(LayTable[[Faktisk res]:[Faktisk res]],LayTable[[Dato]:[Dato]],"&gt;="&amp;H$8,LayTable[[Dato]:[Dato]],"&lt;="&amp;EOMONTH(H$8,0),LayTable[[Bookmaker]:[Bookmaker]],$A109)+SUMIFS(BetTable[[AR_per_bookie]:[AR_per_bookie]],BetTable[[B1]:[B1]],$A109,BetTable[[Date]:[Date]], "&gt;="&amp;H$8,BetTable[[Date]:[Date]],"&lt;="&amp;EOMONTH(H$8,0))+SUMIFS(BetTable[[AR_per_bookie]:[AR_per_bookie]],BetTable[[B2]:[B2]],$A109,BetTable[[Date]:[Date]], "&gt;="&amp;H$8,BetTable[[Date]:[Date]],"&lt;="&amp;EOMONTH(H$8,0))+SUMIFS(BetTable[[AR_per_bookie]:[AR_per_bookie]],BetTable[[B3]:[B3]],$A109,BetTable[[Date]:[Date]], "&gt;="&amp;H$8,BetTable[[Date]:[Date]],"&lt;="&amp;EOMONTH(H$8,0))</f>
        <v>0</v>
      </c>
      <c r="I109" s="126">
        <f>SUMIFS(DWbonus[[Sum]:[Sum]],DWbonus[[Dato]:[Dato]], "&gt;="&amp;I$8,DWbonus[[Dato]:[Dato]],"&lt;="&amp;EOMONTH(I$8,0),DWbonus[[Bookie]:[Bookie]],$A109)+SUMIFS(LayTable[[Faktisk res]:[Faktisk res]],LayTable[[Dato]:[Dato]],"&gt;="&amp;I$8,LayTable[[Dato]:[Dato]],"&lt;="&amp;EOMONTH(I$8,0),LayTable[[Bookmaker]:[Bookmaker]],$A109)+SUMIFS(BetTable[[AR_per_bookie]:[AR_per_bookie]],BetTable[[B1]:[B1]],$A109,BetTable[[Date]:[Date]], "&gt;="&amp;I$8,BetTable[[Date]:[Date]],"&lt;="&amp;EOMONTH(I$8,0))+SUMIFS(BetTable[[AR_per_bookie]:[AR_per_bookie]],BetTable[[B2]:[B2]],$A109,BetTable[[Date]:[Date]], "&gt;="&amp;I$8,BetTable[[Date]:[Date]],"&lt;="&amp;EOMONTH(I$8,0))+SUMIFS(BetTable[[AR_per_bookie]:[AR_per_bookie]],BetTable[[B3]:[B3]],$A109,BetTable[[Date]:[Date]], "&gt;="&amp;I$8,BetTable[[Date]:[Date]],"&lt;="&amp;EOMONTH(I$8,0))</f>
        <v>0</v>
      </c>
      <c r="J109" s="126">
        <f>SUMIFS(DWbonus[[Sum]:[Sum]],DWbonus[[Dato]:[Dato]], "&gt;="&amp;J$8,DWbonus[[Dato]:[Dato]],"&lt;="&amp;EOMONTH(J$8,0),DWbonus[[Bookie]:[Bookie]],$A109)+SUMIFS(LayTable[[Faktisk res]:[Faktisk res]],LayTable[[Dato]:[Dato]],"&gt;="&amp;J$8,LayTable[[Dato]:[Dato]],"&lt;="&amp;EOMONTH(J$8,0),LayTable[[Bookmaker]:[Bookmaker]],$A109)+SUMIFS(BetTable[[AR_per_bookie]:[AR_per_bookie]],BetTable[[B1]:[B1]],$A109,BetTable[[Date]:[Date]], "&gt;="&amp;J$8,BetTable[[Date]:[Date]],"&lt;="&amp;EOMONTH(J$8,0))+SUMIFS(BetTable[[AR_per_bookie]:[AR_per_bookie]],BetTable[[B2]:[B2]],$A109,BetTable[[Date]:[Date]], "&gt;="&amp;J$8,BetTable[[Date]:[Date]],"&lt;="&amp;EOMONTH(J$8,0))+SUMIFS(BetTable[[AR_per_bookie]:[AR_per_bookie]],BetTable[[B3]:[B3]],$A109,BetTable[[Date]:[Date]], "&gt;="&amp;J$8,BetTable[[Date]:[Date]],"&lt;="&amp;EOMONTH(J$8,0))</f>
        <v>0</v>
      </c>
      <c r="K109" s="126">
        <f>SUMIFS(DWbonus[[Sum]:[Sum]],DWbonus[[Dato]:[Dato]], "&gt;="&amp;K$8,DWbonus[[Dato]:[Dato]],"&lt;="&amp;EOMONTH(K$8,0),DWbonus[[Bookie]:[Bookie]],$A109)+SUMIFS(LayTable[[Faktisk res]:[Faktisk res]],LayTable[[Dato]:[Dato]],"&gt;="&amp;K$8,LayTable[[Dato]:[Dato]],"&lt;="&amp;EOMONTH(K$8,0),LayTable[[Bookmaker]:[Bookmaker]],$A109)+SUMIFS(BetTable[[AR_per_bookie]:[AR_per_bookie]],BetTable[[B1]:[B1]],$A109,BetTable[[Date]:[Date]], "&gt;="&amp;K$8,BetTable[[Date]:[Date]],"&lt;="&amp;EOMONTH(K$8,0))+SUMIFS(BetTable[[AR_per_bookie]:[AR_per_bookie]],BetTable[[B2]:[B2]],$A109,BetTable[[Date]:[Date]], "&gt;="&amp;K$8,BetTable[[Date]:[Date]],"&lt;="&amp;EOMONTH(K$8,0))+SUMIFS(BetTable[[AR_per_bookie]:[AR_per_bookie]],BetTable[[B3]:[B3]],$A109,BetTable[[Date]:[Date]], "&gt;="&amp;K$8,BetTable[[Date]:[Date]],"&lt;="&amp;EOMONTH(K$8,0))</f>
        <v>0</v>
      </c>
      <c r="L109" s="126">
        <f>SUMIFS(DWbonus[[Sum]:[Sum]],DWbonus[[Dato]:[Dato]], "&gt;="&amp;L$8,DWbonus[[Dato]:[Dato]],"&lt;="&amp;EOMONTH(L$8,0),DWbonus[[Bookie]:[Bookie]],$A109)+SUMIFS(LayTable[[Faktisk res]:[Faktisk res]],LayTable[[Dato]:[Dato]],"&gt;="&amp;L$8,LayTable[[Dato]:[Dato]],"&lt;="&amp;EOMONTH(L$8,0),LayTable[[Bookmaker]:[Bookmaker]],$A109)+SUMIFS(BetTable[[AR_per_bookie]:[AR_per_bookie]],BetTable[[B1]:[B1]],$A109,BetTable[[Date]:[Date]], "&gt;="&amp;L$8,BetTable[[Date]:[Date]],"&lt;="&amp;EOMONTH(L$8,0))+SUMIFS(BetTable[[AR_per_bookie]:[AR_per_bookie]],BetTable[[B2]:[B2]],$A109,BetTable[[Date]:[Date]], "&gt;="&amp;L$8,BetTable[[Date]:[Date]],"&lt;="&amp;EOMONTH(L$8,0))+SUMIFS(BetTable[[AR_per_bookie]:[AR_per_bookie]],BetTable[[B3]:[B3]],$A109,BetTable[[Date]:[Date]], "&gt;="&amp;L$8,BetTable[[Date]:[Date]],"&lt;="&amp;EOMONTH(L$8,0))</f>
        <v>0</v>
      </c>
      <c r="M109" s="126">
        <f>SUMIFS(DWbonus[[Sum]:[Sum]],DWbonus[[Dato]:[Dato]], "&gt;="&amp;M$8,DWbonus[[Dato]:[Dato]],"&lt;="&amp;EOMONTH(M$8,0),DWbonus[[Bookie]:[Bookie]],$A109)+SUMIFS(LayTable[[Faktisk res]:[Faktisk res]],LayTable[[Dato]:[Dato]],"&gt;="&amp;M$8,LayTable[[Dato]:[Dato]],"&lt;="&amp;EOMONTH(M$8,0),LayTable[[Bookmaker]:[Bookmaker]],$A109)+SUMIFS(BetTable[[AR_per_bookie]:[AR_per_bookie]],BetTable[[B1]:[B1]],$A109,BetTable[[Date]:[Date]], "&gt;="&amp;M$8,BetTable[[Date]:[Date]],"&lt;="&amp;EOMONTH(M$8,0))+SUMIFS(BetTable[[AR_per_bookie]:[AR_per_bookie]],BetTable[[B2]:[B2]],$A109,BetTable[[Date]:[Date]], "&gt;="&amp;M$8,BetTable[[Date]:[Date]],"&lt;="&amp;EOMONTH(M$8,0))+SUMIFS(BetTable[[AR_per_bookie]:[AR_per_bookie]],BetTable[[B3]:[B3]],$A109,BetTable[[Date]:[Date]], "&gt;="&amp;M$8,BetTable[[Date]:[Date]],"&lt;="&amp;EOMONTH(M$8,0))</f>
        <v>0</v>
      </c>
      <c r="N109" s="126">
        <f>SUMIFS(DWbonus[[Sum]:[Sum]],DWbonus[[Dato]:[Dato]], "&gt;="&amp;N$8,DWbonus[[Dato]:[Dato]],"&lt;="&amp;EOMONTH(N$8,0),DWbonus[[Bookie]:[Bookie]],$A109)+SUMIFS(LayTable[[Faktisk res]:[Faktisk res]],LayTable[[Dato]:[Dato]],"&gt;="&amp;N$8,LayTable[[Dato]:[Dato]],"&lt;="&amp;EOMONTH(N$8,0),LayTable[[Bookmaker]:[Bookmaker]],$A109)+SUMIFS(BetTable[[AR_per_bookie]:[AR_per_bookie]],BetTable[[B1]:[B1]],$A109,BetTable[[Date]:[Date]], "&gt;="&amp;N$8,BetTable[[Date]:[Date]],"&lt;="&amp;EOMONTH(N$8,0))+SUMIFS(BetTable[[AR_per_bookie]:[AR_per_bookie]],BetTable[[B2]:[B2]],$A109,BetTable[[Date]:[Date]], "&gt;="&amp;N$8,BetTable[[Date]:[Date]],"&lt;="&amp;EOMONTH(N$8,0))+SUMIFS(BetTable[[AR_per_bookie]:[AR_per_bookie]],BetTable[[B3]:[B3]],$A109,BetTable[[Date]:[Date]], "&gt;="&amp;N$8,BetTable[[Date]:[Date]],"&lt;="&amp;EOMONTH(N$8,0))</f>
        <v>0</v>
      </c>
      <c r="O109" s="126">
        <f>SUMIFS(DWbonus[[Sum]:[Sum]],DWbonus[[Dato]:[Dato]], "&gt;="&amp;O$8,DWbonus[[Dato]:[Dato]],"&lt;="&amp;EOMONTH(O$8,0),DWbonus[[Bookie]:[Bookie]],$A109)+SUMIFS(LayTable[[Faktisk res]:[Faktisk res]],LayTable[[Dato]:[Dato]],"&gt;="&amp;O$8,LayTable[[Dato]:[Dato]],"&lt;="&amp;EOMONTH(O$8,0),LayTable[[Bookmaker]:[Bookmaker]],$A109)+SUMIFS(BetTable[[AR_per_bookie]:[AR_per_bookie]],BetTable[[B1]:[B1]],$A109,BetTable[[Date]:[Date]], "&gt;="&amp;O$8,BetTable[[Date]:[Date]],"&lt;="&amp;EOMONTH(O$8,0))+SUMIFS(BetTable[[AR_per_bookie]:[AR_per_bookie]],BetTable[[B2]:[B2]],$A109,BetTable[[Date]:[Date]], "&gt;="&amp;O$8,BetTable[[Date]:[Date]],"&lt;="&amp;EOMONTH(O$8,0))+SUMIFS(BetTable[[AR_per_bookie]:[AR_per_bookie]],BetTable[[B3]:[B3]],$A109,BetTable[[Date]:[Date]], "&gt;="&amp;O$8,BetTable[[Date]:[Date]],"&lt;="&amp;EOMONTH(O$8,0))</f>
        <v>0</v>
      </c>
      <c r="P109" s="126">
        <f>SUMIFS(DWbonus[[Sum]:[Sum]],DWbonus[[Dato]:[Dato]], "&gt;="&amp;P$8,DWbonus[[Dato]:[Dato]],"&lt;="&amp;EOMONTH(P$8,0),DWbonus[[Bookie]:[Bookie]],$A109)+SUMIFS(LayTable[[Faktisk res]:[Faktisk res]],LayTable[[Dato]:[Dato]],"&gt;="&amp;P$8,LayTable[[Dato]:[Dato]],"&lt;="&amp;EOMONTH(P$8,0),LayTable[[Bookmaker]:[Bookmaker]],$A109)+SUMIFS(BetTable[[AR_per_bookie]:[AR_per_bookie]],BetTable[[B1]:[B1]],$A109,BetTable[[Date]:[Date]], "&gt;="&amp;P$8,BetTable[[Date]:[Date]],"&lt;="&amp;EOMONTH(P$8,0))+SUMIFS(BetTable[[AR_per_bookie]:[AR_per_bookie]],BetTable[[B2]:[B2]],$A109,BetTable[[Date]:[Date]], "&gt;="&amp;P$8,BetTable[[Date]:[Date]],"&lt;="&amp;EOMONTH(P$8,0))+SUMIFS(BetTable[[AR_per_bookie]:[AR_per_bookie]],BetTable[[B3]:[B3]],$A109,BetTable[[Date]:[Date]], "&gt;="&amp;P$8,BetTable[[Date]:[Date]],"&lt;="&amp;EOMONTH(P$8,0))</f>
        <v>0</v>
      </c>
      <c r="Q109" s="126">
        <f>SUMIFS(DWbonus[[Sum]:[Sum]],DWbonus[[Dato]:[Dato]], "&gt;="&amp;Q$8,DWbonus[[Dato]:[Dato]],"&lt;="&amp;EOMONTH(Q$8,0),DWbonus[[Bookie]:[Bookie]],$A109)+SUMIFS(LayTable[[Faktisk res]:[Faktisk res]],LayTable[[Dato]:[Dato]],"&gt;="&amp;Q$8,LayTable[[Dato]:[Dato]],"&lt;="&amp;EOMONTH(Q$8,0),LayTable[[Bookmaker]:[Bookmaker]],$A109)+SUMIFS(BetTable[[AR_per_bookie]:[AR_per_bookie]],BetTable[[B1]:[B1]],$A109,BetTable[[Date]:[Date]], "&gt;="&amp;Q$8,BetTable[[Date]:[Date]],"&lt;="&amp;EOMONTH(Q$8,0))+SUMIFS(BetTable[[AR_per_bookie]:[AR_per_bookie]],BetTable[[B2]:[B2]],$A109,BetTable[[Date]:[Date]], "&gt;="&amp;Q$8,BetTable[[Date]:[Date]],"&lt;="&amp;EOMONTH(Q$8,0))+SUMIFS(BetTable[[AR_per_bookie]:[AR_per_bookie]],BetTable[[B3]:[B3]],$A109,BetTable[[Date]:[Date]], "&gt;="&amp;Q$8,BetTable[[Date]:[Date]],"&lt;="&amp;EOMONTH(Q$8,0))</f>
        <v>0</v>
      </c>
      <c r="R109" s="126">
        <f>SUMIFS(DWbonus[[Sum]:[Sum]],DWbonus[[Dato]:[Dato]], "&gt;="&amp;R$8,DWbonus[[Dato]:[Dato]],"&lt;="&amp;EOMONTH(R$8,0),DWbonus[[Bookie]:[Bookie]],$A109)+SUMIFS(LayTable[[Faktisk res]:[Faktisk res]],LayTable[[Dato]:[Dato]],"&gt;="&amp;R$8,LayTable[[Dato]:[Dato]],"&lt;="&amp;EOMONTH(R$8,0),LayTable[[Bookmaker]:[Bookmaker]],$A109)+SUMIFS(BetTable[[AR_per_bookie]:[AR_per_bookie]],BetTable[[B1]:[B1]],$A109,BetTable[[Date]:[Date]], "&gt;="&amp;R$8,BetTable[[Date]:[Date]],"&lt;="&amp;EOMONTH(R$8,0))+SUMIFS(BetTable[[AR_per_bookie]:[AR_per_bookie]],BetTable[[B2]:[B2]],$A109,BetTable[[Date]:[Date]], "&gt;="&amp;R$8,BetTable[[Date]:[Date]],"&lt;="&amp;EOMONTH(R$8,0))+SUMIFS(BetTable[[AR_per_bookie]:[AR_per_bookie]],BetTable[[B3]:[B3]],$A109,BetTable[[Date]:[Date]], "&gt;="&amp;R$8,BetTable[[Date]:[Date]],"&lt;="&amp;EOMONTH(R$8,0))</f>
        <v>0</v>
      </c>
      <c r="S109" s="126">
        <f>SUMIFS(DWbonus[[Sum]:[Sum]],DWbonus[[Dato]:[Dato]], "&gt;="&amp;S$8,DWbonus[[Dato]:[Dato]],"&lt;="&amp;EOMONTH(S$8,0),DWbonus[[Bookie]:[Bookie]],$A109)+SUMIFS(LayTable[[Faktisk res]:[Faktisk res]],LayTable[[Dato]:[Dato]],"&gt;="&amp;S$8,LayTable[[Dato]:[Dato]],"&lt;="&amp;EOMONTH(S$8,0),LayTable[[Bookmaker]:[Bookmaker]],$A109)+SUMIFS(BetTable[[AR_per_bookie]:[AR_per_bookie]],BetTable[[B1]:[B1]],$A109,BetTable[[Date]:[Date]], "&gt;="&amp;S$8,BetTable[[Date]:[Date]],"&lt;="&amp;EOMONTH(S$8,0))+SUMIFS(BetTable[[AR_per_bookie]:[AR_per_bookie]],BetTable[[B2]:[B2]],$A109,BetTable[[Date]:[Date]], "&gt;="&amp;S$8,BetTable[[Date]:[Date]],"&lt;="&amp;EOMONTH(S$8,0))+SUMIFS(BetTable[[AR_per_bookie]:[AR_per_bookie]],BetTable[[B3]:[B3]],$A109,BetTable[[Date]:[Date]], "&gt;="&amp;S$8,BetTable[[Date]:[Date]],"&lt;="&amp;EOMONTH(S$8,0))</f>
        <v>0</v>
      </c>
    </row>
    <row r="110" spans="1:19">
      <c r="A110" s="170">
        <f>BookieNavn!I102</f>
        <v>0</v>
      </c>
      <c r="B110" s="126">
        <f>SUMIF(Penger!D$1:D$50072,A110,Penger!F$1:F$50072)</f>
        <v>0</v>
      </c>
      <c r="C110" s="126">
        <f>SUMIF(Penger!T$1:T$50072,A110,Penger!U$1:U$50072)</f>
        <v>0</v>
      </c>
      <c r="D110" s="126">
        <f ca="1">SUMIF(Spill!C$1:C$499895,A110,Spill!T$1:T$49895)+C110</f>
        <v>0</v>
      </c>
      <c r="E110" s="126">
        <f>SUMIF(Spill!C$1:C$49895,A110,Spill!T$1:T$49895)</f>
        <v>0</v>
      </c>
      <c r="F110" s="121" t="e">
        <f t="shared" ca="1" si="2"/>
        <v>#DIV/0!</v>
      </c>
      <c r="H110" s="126">
        <f>SUMIFS(DWbonus[[Sum]:[Sum]],DWbonus[[Dato]:[Dato]], "&gt;="&amp;H$8,DWbonus[[Dato]:[Dato]],"&lt;="&amp;EOMONTH(H$8,0),DWbonus[[Bookie]:[Bookie]],$A110)+SUMIFS(LayTable[[Faktisk res]:[Faktisk res]],LayTable[[Dato]:[Dato]],"&gt;="&amp;H$8,LayTable[[Dato]:[Dato]],"&lt;="&amp;EOMONTH(H$8,0),LayTable[[Bookmaker]:[Bookmaker]],$A110)+SUMIFS(BetTable[[AR_per_bookie]:[AR_per_bookie]],BetTable[[B1]:[B1]],$A110,BetTable[[Date]:[Date]], "&gt;="&amp;H$8,BetTable[[Date]:[Date]],"&lt;="&amp;EOMONTH(H$8,0))+SUMIFS(BetTable[[AR_per_bookie]:[AR_per_bookie]],BetTable[[B2]:[B2]],$A110,BetTable[[Date]:[Date]], "&gt;="&amp;H$8,BetTable[[Date]:[Date]],"&lt;="&amp;EOMONTH(H$8,0))+SUMIFS(BetTable[[AR_per_bookie]:[AR_per_bookie]],BetTable[[B3]:[B3]],$A110,BetTable[[Date]:[Date]], "&gt;="&amp;H$8,BetTable[[Date]:[Date]],"&lt;="&amp;EOMONTH(H$8,0))</f>
        <v>0</v>
      </c>
      <c r="I110" s="126">
        <f>SUMIFS(DWbonus[[Sum]:[Sum]],DWbonus[[Dato]:[Dato]], "&gt;="&amp;I$8,DWbonus[[Dato]:[Dato]],"&lt;="&amp;EOMONTH(I$8,0),DWbonus[[Bookie]:[Bookie]],$A110)+SUMIFS(LayTable[[Faktisk res]:[Faktisk res]],LayTable[[Dato]:[Dato]],"&gt;="&amp;I$8,LayTable[[Dato]:[Dato]],"&lt;="&amp;EOMONTH(I$8,0),LayTable[[Bookmaker]:[Bookmaker]],$A110)+SUMIFS(BetTable[[AR_per_bookie]:[AR_per_bookie]],BetTable[[B1]:[B1]],$A110,BetTable[[Date]:[Date]], "&gt;="&amp;I$8,BetTable[[Date]:[Date]],"&lt;="&amp;EOMONTH(I$8,0))+SUMIFS(BetTable[[AR_per_bookie]:[AR_per_bookie]],BetTable[[B2]:[B2]],$A110,BetTable[[Date]:[Date]], "&gt;="&amp;I$8,BetTable[[Date]:[Date]],"&lt;="&amp;EOMONTH(I$8,0))+SUMIFS(BetTable[[AR_per_bookie]:[AR_per_bookie]],BetTable[[B3]:[B3]],$A110,BetTable[[Date]:[Date]], "&gt;="&amp;I$8,BetTable[[Date]:[Date]],"&lt;="&amp;EOMONTH(I$8,0))</f>
        <v>0</v>
      </c>
      <c r="J110" s="126">
        <f>SUMIFS(DWbonus[[Sum]:[Sum]],DWbonus[[Dato]:[Dato]], "&gt;="&amp;J$8,DWbonus[[Dato]:[Dato]],"&lt;="&amp;EOMONTH(J$8,0),DWbonus[[Bookie]:[Bookie]],$A110)+SUMIFS(LayTable[[Faktisk res]:[Faktisk res]],LayTable[[Dato]:[Dato]],"&gt;="&amp;J$8,LayTable[[Dato]:[Dato]],"&lt;="&amp;EOMONTH(J$8,0),LayTable[[Bookmaker]:[Bookmaker]],$A110)+SUMIFS(BetTable[[AR_per_bookie]:[AR_per_bookie]],BetTable[[B1]:[B1]],$A110,BetTable[[Date]:[Date]], "&gt;="&amp;J$8,BetTable[[Date]:[Date]],"&lt;="&amp;EOMONTH(J$8,0))+SUMIFS(BetTable[[AR_per_bookie]:[AR_per_bookie]],BetTable[[B2]:[B2]],$A110,BetTable[[Date]:[Date]], "&gt;="&amp;J$8,BetTable[[Date]:[Date]],"&lt;="&amp;EOMONTH(J$8,0))+SUMIFS(BetTable[[AR_per_bookie]:[AR_per_bookie]],BetTable[[B3]:[B3]],$A110,BetTable[[Date]:[Date]], "&gt;="&amp;J$8,BetTable[[Date]:[Date]],"&lt;="&amp;EOMONTH(J$8,0))</f>
        <v>0</v>
      </c>
      <c r="K110" s="126">
        <f>SUMIFS(DWbonus[[Sum]:[Sum]],DWbonus[[Dato]:[Dato]], "&gt;="&amp;K$8,DWbonus[[Dato]:[Dato]],"&lt;="&amp;EOMONTH(K$8,0),DWbonus[[Bookie]:[Bookie]],$A110)+SUMIFS(LayTable[[Faktisk res]:[Faktisk res]],LayTable[[Dato]:[Dato]],"&gt;="&amp;K$8,LayTable[[Dato]:[Dato]],"&lt;="&amp;EOMONTH(K$8,0),LayTable[[Bookmaker]:[Bookmaker]],$A110)+SUMIFS(BetTable[[AR_per_bookie]:[AR_per_bookie]],BetTable[[B1]:[B1]],$A110,BetTable[[Date]:[Date]], "&gt;="&amp;K$8,BetTable[[Date]:[Date]],"&lt;="&amp;EOMONTH(K$8,0))+SUMIFS(BetTable[[AR_per_bookie]:[AR_per_bookie]],BetTable[[B2]:[B2]],$A110,BetTable[[Date]:[Date]], "&gt;="&amp;K$8,BetTable[[Date]:[Date]],"&lt;="&amp;EOMONTH(K$8,0))+SUMIFS(BetTable[[AR_per_bookie]:[AR_per_bookie]],BetTable[[B3]:[B3]],$A110,BetTable[[Date]:[Date]], "&gt;="&amp;K$8,BetTable[[Date]:[Date]],"&lt;="&amp;EOMONTH(K$8,0))</f>
        <v>0</v>
      </c>
      <c r="L110" s="126">
        <f>SUMIFS(DWbonus[[Sum]:[Sum]],DWbonus[[Dato]:[Dato]], "&gt;="&amp;L$8,DWbonus[[Dato]:[Dato]],"&lt;="&amp;EOMONTH(L$8,0),DWbonus[[Bookie]:[Bookie]],$A110)+SUMIFS(LayTable[[Faktisk res]:[Faktisk res]],LayTable[[Dato]:[Dato]],"&gt;="&amp;L$8,LayTable[[Dato]:[Dato]],"&lt;="&amp;EOMONTH(L$8,0),LayTable[[Bookmaker]:[Bookmaker]],$A110)+SUMIFS(BetTable[[AR_per_bookie]:[AR_per_bookie]],BetTable[[B1]:[B1]],$A110,BetTable[[Date]:[Date]], "&gt;="&amp;L$8,BetTable[[Date]:[Date]],"&lt;="&amp;EOMONTH(L$8,0))+SUMIFS(BetTable[[AR_per_bookie]:[AR_per_bookie]],BetTable[[B2]:[B2]],$A110,BetTable[[Date]:[Date]], "&gt;="&amp;L$8,BetTable[[Date]:[Date]],"&lt;="&amp;EOMONTH(L$8,0))+SUMIFS(BetTable[[AR_per_bookie]:[AR_per_bookie]],BetTable[[B3]:[B3]],$A110,BetTable[[Date]:[Date]], "&gt;="&amp;L$8,BetTable[[Date]:[Date]],"&lt;="&amp;EOMONTH(L$8,0))</f>
        <v>0</v>
      </c>
      <c r="M110" s="126">
        <f>SUMIFS(DWbonus[[Sum]:[Sum]],DWbonus[[Dato]:[Dato]], "&gt;="&amp;M$8,DWbonus[[Dato]:[Dato]],"&lt;="&amp;EOMONTH(M$8,0),DWbonus[[Bookie]:[Bookie]],$A110)+SUMIFS(LayTable[[Faktisk res]:[Faktisk res]],LayTable[[Dato]:[Dato]],"&gt;="&amp;M$8,LayTable[[Dato]:[Dato]],"&lt;="&amp;EOMONTH(M$8,0),LayTable[[Bookmaker]:[Bookmaker]],$A110)+SUMIFS(BetTable[[AR_per_bookie]:[AR_per_bookie]],BetTable[[B1]:[B1]],$A110,BetTable[[Date]:[Date]], "&gt;="&amp;M$8,BetTable[[Date]:[Date]],"&lt;="&amp;EOMONTH(M$8,0))+SUMIFS(BetTable[[AR_per_bookie]:[AR_per_bookie]],BetTable[[B2]:[B2]],$A110,BetTable[[Date]:[Date]], "&gt;="&amp;M$8,BetTable[[Date]:[Date]],"&lt;="&amp;EOMONTH(M$8,0))+SUMIFS(BetTable[[AR_per_bookie]:[AR_per_bookie]],BetTable[[B3]:[B3]],$A110,BetTable[[Date]:[Date]], "&gt;="&amp;M$8,BetTable[[Date]:[Date]],"&lt;="&amp;EOMONTH(M$8,0))</f>
        <v>0</v>
      </c>
      <c r="N110" s="126">
        <f>SUMIFS(DWbonus[[Sum]:[Sum]],DWbonus[[Dato]:[Dato]], "&gt;="&amp;N$8,DWbonus[[Dato]:[Dato]],"&lt;="&amp;EOMONTH(N$8,0),DWbonus[[Bookie]:[Bookie]],$A110)+SUMIFS(LayTable[[Faktisk res]:[Faktisk res]],LayTable[[Dato]:[Dato]],"&gt;="&amp;N$8,LayTable[[Dato]:[Dato]],"&lt;="&amp;EOMONTH(N$8,0),LayTable[[Bookmaker]:[Bookmaker]],$A110)+SUMIFS(BetTable[[AR_per_bookie]:[AR_per_bookie]],BetTable[[B1]:[B1]],$A110,BetTable[[Date]:[Date]], "&gt;="&amp;N$8,BetTable[[Date]:[Date]],"&lt;="&amp;EOMONTH(N$8,0))+SUMIFS(BetTable[[AR_per_bookie]:[AR_per_bookie]],BetTable[[B2]:[B2]],$A110,BetTable[[Date]:[Date]], "&gt;="&amp;N$8,BetTable[[Date]:[Date]],"&lt;="&amp;EOMONTH(N$8,0))+SUMIFS(BetTable[[AR_per_bookie]:[AR_per_bookie]],BetTable[[B3]:[B3]],$A110,BetTable[[Date]:[Date]], "&gt;="&amp;N$8,BetTable[[Date]:[Date]],"&lt;="&amp;EOMONTH(N$8,0))</f>
        <v>0</v>
      </c>
      <c r="O110" s="126">
        <f>SUMIFS(DWbonus[[Sum]:[Sum]],DWbonus[[Dato]:[Dato]], "&gt;="&amp;O$8,DWbonus[[Dato]:[Dato]],"&lt;="&amp;EOMONTH(O$8,0),DWbonus[[Bookie]:[Bookie]],$A110)+SUMIFS(LayTable[[Faktisk res]:[Faktisk res]],LayTable[[Dato]:[Dato]],"&gt;="&amp;O$8,LayTable[[Dato]:[Dato]],"&lt;="&amp;EOMONTH(O$8,0),LayTable[[Bookmaker]:[Bookmaker]],$A110)+SUMIFS(BetTable[[AR_per_bookie]:[AR_per_bookie]],BetTable[[B1]:[B1]],$A110,BetTable[[Date]:[Date]], "&gt;="&amp;O$8,BetTable[[Date]:[Date]],"&lt;="&amp;EOMONTH(O$8,0))+SUMIFS(BetTable[[AR_per_bookie]:[AR_per_bookie]],BetTable[[B2]:[B2]],$A110,BetTable[[Date]:[Date]], "&gt;="&amp;O$8,BetTable[[Date]:[Date]],"&lt;="&amp;EOMONTH(O$8,0))+SUMIFS(BetTable[[AR_per_bookie]:[AR_per_bookie]],BetTable[[B3]:[B3]],$A110,BetTable[[Date]:[Date]], "&gt;="&amp;O$8,BetTable[[Date]:[Date]],"&lt;="&amp;EOMONTH(O$8,0))</f>
        <v>0</v>
      </c>
      <c r="P110" s="126">
        <f>SUMIFS(DWbonus[[Sum]:[Sum]],DWbonus[[Dato]:[Dato]], "&gt;="&amp;P$8,DWbonus[[Dato]:[Dato]],"&lt;="&amp;EOMONTH(P$8,0),DWbonus[[Bookie]:[Bookie]],$A110)+SUMIFS(LayTable[[Faktisk res]:[Faktisk res]],LayTable[[Dato]:[Dato]],"&gt;="&amp;P$8,LayTable[[Dato]:[Dato]],"&lt;="&amp;EOMONTH(P$8,0),LayTable[[Bookmaker]:[Bookmaker]],$A110)+SUMIFS(BetTable[[AR_per_bookie]:[AR_per_bookie]],BetTable[[B1]:[B1]],$A110,BetTable[[Date]:[Date]], "&gt;="&amp;P$8,BetTable[[Date]:[Date]],"&lt;="&amp;EOMONTH(P$8,0))+SUMIFS(BetTable[[AR_per_bookie]:[AR_per_bookie]],BetTable[[B2]:[B2]],$A110,BetTable[[Date]:[Date]], "&gt;="&amp;P$8,BetTable[[Date]:[Date]],"&lt;="&amp;EOMONTH(P$8,0))+SUMIFS(BetTable[[AR_per_bookie]:[AR_per_bookie]],BetTable[[B3]:[B3]],$A110,BetTable[[Date]:[Date]], "&gt;="&amp;P$8,BetTable[[Date]:[Date]],"&lt;="&amp;EOMONTH(P$8,0))</f>
        <v>0</v>
      </c>
      <c r="Q110" s="126">
        <f>SUMIFS(DWbonus[[Sum]:[Sum]],DWbonus[[Dato]:[Dato]], "&gt;="&amp;Q$8,DWbonus[[Dato]:[Dato]],"&lt;="&amp;EOMONTH(Q$8,0),DWbonus[[Bookie]:[Bookie]],$A110)+SUMIFS(LayTable[[Faktisk res]:[Faktisk res]],LayTable[[Dato]:[Dato]],"&gt;="&amp;Q$8,LayTable[[Dato]:[Dato]],"&lt;="&amp;EOMONTH(Q$8,0),LayTable[[Bookmaker]:[Bookmaker]],$A110)+SUMIFS(BetTable[[AR_per_bookie]:[AR_per_bookie]],BetTable[[B1]:[B1]],$A110,BetTable[[Date]:[Date]], "&gt;="&amp;Q$8,BetTable[[Date]:[Date]],"&lt;="&amp;EOMONTH(Q$8,0))+SUMIFS(BetTable[[AR_per_bookie]:[AR_per_bookie]],BetTable[[B2]:[B2]],$A110,BetTable[[Date]:[Date]], "&gt;="&amp;Q$8,BetTable[[Date]:[Date]],"&lt;="&amp;EOMONTH(Q$8,0))+SUMIFS(BetTable[[AR_per_bookie]:[AR_per_bookie]],BetTable[[B3]:[B3]],$A110,BetTable[[Date]:[Date]], "&gt;="&amp;Q$8,BetTable[[Date]:[Date]],"&lt;="&amp;EOMONTH(Q$8,0))</f>
        <v>0</v>
      </c>
      <c r="R110" s="126">
        <f>SUMIFS(DWbonus[[Sum]:[Sum]],DWbonus[[Dato]:[Dato]], "&gt;="&amp;R$8,DWbonus[[Dato]:[Dato]],"&lt;="&amp;EOMONTH(R$8,0),DWbonus[[Bookie]:[Bookie]],$A110)+SUMIFS(LayTable[[Faktisk res]:[Faktisk res]],LayTable[[Dato]:[Dato]],"&gt;="&amp;R$8,LayTable[[Dato]:[Dato]],"&lt;="&amp;EOMONTH(R$8,0),LayTable[[Bookmaker]:[Bookmaker]],$A110)+SUMIFS(BetTable[[AR_per_bookie]:[AR_per_bookie]],BetTable[[B1]:[B1]],$A110,BetTable[[Date]:[Date]], "&gt;="&amp;R$8,BetTable[[Date]:[Date]],"&lt;="&amp;EOMONTH(R$8,0))+SUMIFS(BetTable[[AR_per_bookie]:[AR_per_bookie]],BetTable[[B2]:[B2]],$A110,BetTable[[Date]:[Date]], "&gt;="&amp;R$8,BetTable[[Date]:[Date]],"&lt;="&amp;EOMONTH(R$8,0))+SUMIFS(BetTable[[AR_per_bookie]:[AR_per_bookie]],BetTable[[B3]:[B3]],$A110,BetTable[[Date]:[Date]], "&gt;="&amp;R$8,BetTable[[Date]:[Date]],"&lt;="&amp;EOMONTH(R$8,0))</f>
        <v>0</v>
      </c>
      <c r="S110" s="126">
        <f>SUMIFS(DWbonus[[Sum]:[Sum]],DWbonus[[Dato]:[Dato]], "&gt;="&amp;S$8,DWbonus[[Dato]:[Dato]],"&lt;="&amp;EOMONTH(S$8,0),DWbonus[[Bookie]:[Bookie]],$A110)+SUMIFS(LayTable[[Faktisk res]:[Faktisk res]],LayTable[[Dato]:[Dato]],"&gt;="&amp;S$8,LayTable[[Dato]:[Dato]],"&lt;="&amp;EOMONTH(S$8,0),LayTable[[Bookmaker]:[Bookmaker]],$A110)+SUMIFS(BetTable[[AR_per_bookie]:[AR_per_bookie]],BetTable[[B1]:[B1]],$A110,BetTable[[Date]:[Date]], "&gt;="&amp;S$8,BetTable[[Date]:[Date]],"&lt;="&amp;EOMONTH(S$8,0))+SUMIFS(BetTable[[AR_per_bookie]:[AR_per_bookie]],BetTable[[B2]:[B2]],$A110,BetTable[[Date]:[Date]], "&gt;="&amp;S$8,BetTable[[Date]:[Date]],"&lt;="&amp;EOMONTH(S$8,0))+SUMIFS(BetTable[[AR_per_bookie]:[AR_per_bookie]],BetTable[[B3]:[B3]],$A110,BetTable[[Date]:[Date]], "&gt;="&amp;S$8,BetTable[[Date]:[Date]],"&lt;="&amp;EOMONTH(S$8,0))</f>
        <v>0</v>
      </c>
    </row>
    <row r="111" spans="1:19">
      <c r="A111" s="170">
        <f>BookieNavn!I103</f>
        <v>0</v>
      </c>
      <c r="B111" s="126">
        <f>SUMIF(Penger!D$1:D$50072,A111,Penger!F$1:F$50072)</f>
        <v>0</v>
      </c>
      <c r="C111" s="126">
        <f>SUMIF(Penger!T$1:T$50072,A111,Penger!U$1:U$50072)</f>
        <v>0</v>
      </c>
      <c r="D111" s="126">
        <f ca="1">SUMIF(Spill!C$1:C$499895,A111,Spill!T$1:T$49895)+C111</f>
        <v>0</v>
      </c>
      <c r="E111" s="126">
        <f>SUMIF(Spill!C$1:C$49895,A111,Spill!T$1:T$49895)</f>
        <v>0</v>
      </c>
      <c r="F111" s="121" t="e">
        <f t="shared" ca="1" si="2"/>
        <v>#DIV/0!</v>
      </c>
      <c r="H111" s="126">
        <f>SUMIFS(DWbonus[[Sum]:[Sum]],DWbonus[[Dato]:[Dato]], "&gt;="&amp;H$8,DWbonus[[Dato]:[Dato]],"&lt;="&amp;EOMONTH(H$8,0),DWbonus[[Bookie]:[Bookie]],$A111)+SUMIFS(LayTable[[Faktisk res]:[Faktisk res]],LayTable[[Dato]:[Dato]],"&gt;="&amp;H$8,LayTable[[Dato]:[Dato]],"&lt;="&amp;EOMONTH(H$8,0),LayTable[[Bookmaker]:[Bookmaker]],$A111)+SUMIFS(BetTable[[AR_per_bookie]:[AR_per_bookie]],BetTable[[B1]:[B1]],$A111,BetTable[[Date]:[Date]], "&gt;="&amp;H$8,BetTable[[Date]:[Date]],"&lt;="&amp;EOMONTH(H$8,0))+SUMIFS(BetTable[[AR_per_bookie]:[AR_per_bookie]],BetTable[[B2]:[B2]],$A111,BetTable[[Date]:[Date]], "&gt;="&amp;H$8,BetTable[[Date]:[Date]],"&lt;="&amp;EOMONTH(H$8,0))+SUMIFS(BetTable[[AR_per_bookie]:[AR_per_bookie]],BetTable[[B3]:[B3]],$A111,BetTable[[Date]:[Date]], "&gt;="&amp;H$8,BetTable[[Date]:[Date]],"&lt;="&amp;EOMONTH(H$8,0))</f>
        <v>0</v>
      </c>
      <c r="I111" s="126">
        <f>SUMIFS(DWbonus[[Sum]:[Sum]],DWbonus[[Dato]:[Dato]], "&gt;="&amp;I$8,DWbonus[[Dato]:[Dato]],"&lt;="&amp;EOMONTH(I$8,0),DWbonus[[Bookie]:[Bookie]],$A111)+SUMIFS(LayTable[[Faktisk res]:[Faktisk res]],LayTable[[Dato]:[Dato]],"&gt;="&amp;I$8,LayTable[[Dato]:[Dato]],"&lt;="&amp;EOMONTH(I$8,0),LayTable[[Bookmaker]:[Bookmaker]],$A111)+SUMIFS(BetTable[[AR_per_bookie]:[AR_per_bookie]],BetTable[[B1]:[B1]],$A111,BetTable[[Date]:[Date]], "&gt;="&amp;I$8,BetTable[[Date]:[Date]],"&lt;="&amp;EOMONTH(I$8,0))+SUMIFS(BetTable[[AR_per_bookie]:[AR_per_bookie]],BetTable[[B2]:[B2]],$A111,BetTable[[Date]:[Date]], "&gt;="&amp;I$8,BetTable[[Date]:[Date]],"&lt;="&amp;EOMONTH(I$8,0))+SUMIFS(BetTable[[AR_per_bookie]:[AR_per_bookie]],BetTable[[B3]:[B3]],$A111,BetTable[[Date]:[Date]], "&gt;="&amp;I$8,BetTable[[Date]:[Date]],"&lt;="&amp;EOMONTH(I$8,0))</f>
        <v>0</v>
      </c>
      <c r="J111" s="126">
        <f>SUMIFS(DWbonus[[Sum]:[Sum]],DWbonus[[Dato]:[Dato]], "&gt;="&amp;J$8,DWbonus[[Dato]:[Dato]],"&lt;="&amp;EOMONTH(J$8,0),DWbonus[[Bookie]:[Bookie]],$A111)+SUMIFS(LayTable[[Faktisk res]:[Faktisk res]],LayTable[[Dato]:[Dato]],"&gt;="&amp;J$8,LayTable[[Dato]:[Dato]],"&lt;="&amp;EOMONTH(J$8,0),LayTable[[Bookmaker]:[Bookmaker]],$A111)+SUMIFS(BetTable[[AR_per_bookie]:[AR_per_bookie]],BetTable[[B1]:[B1]],$A111,BetTable[[Date]:[Date]], "&gt;="&amp;J$8,BetTable[[Date]:[Date]],"&lt;="&amp;EOMONTH(J$8,0))+SUMIFS(BetTable[[AR_per_bookie]:[AR_per_bookie]],BetTable[[B2]:[B2]],$A111,BetTable[[Date]:[Date]], "&gt;="&amp;J$8,BetTable[[Date]:[Date]],"&lt;="&amp;EOMONTH(J$8,0))+SUMIFS(BetTable[[AR_per_bookie]:[AR_per_bookie]],BetTable[[B3]:[B3]],$A111,BetTable[[Date]:[Date]], "&gt;="&amp;J$8,BetTable[[Date]:[Date]],"&lt;="&amp;EOMONTH(J$8,0))</f>
        <v>0</v>
      </c>
      <c r="K111" s="126">
        <f>SUMIFS(DWbonus[[Sum]:[Sum]],DWbonus[[Dato]:[Dato]], "&gt;="&amp;K$8,DWbonus[[Dato]:[Dato]],"&lt;="&amp;EOMONTH(K$8,0),DWbonus[[Bookie]:[Bookie]],$A111)+SUMIFS(LayTable[[Faktisk res]:[Faktisk res]],LayTable[[Dato]:[Dato]],"&gt;="&amp;K$8,LayTable[[Dato]:[Dato]],"&lt;="&amp;EOMONTH(K$8,0),LayTable[[Bookmaker]:[Bookmaker]],$A111)+SUMIFS(BetTable[[AR_per_bookie]:[AR_per_bookie]],BetTable[[B1]:[B1]],$A111,BetTable[[Date]:[Date]], "&gt;="&amp;K$8,BetTable[[Date]:[Date]],"&lt;="&amp;EOMONTH(K$8,0))+SUMIFS(BetTable[[AR_per_bookie]:[AR_per_bookie]],BetTable[[B2]:[B2]],$A111,BetTable[[Date]:[Date]], "&gt;="&amp;K$8,BetTable[[Date]:[Date]],"&lt;="&amp;EOMONTH(K$8,0))+SUMIFS(BetTable[[AR_per_bookie]:[AR_per_bookie]],BetTable[[B3]:[B3]],$A111,BetTable[[Date]:[Date]], "&gt;="&amp;K$8,BetTable[[Date]:[Date]],"&lt;="&amp;EOMONTH(K$8,0))</f>
        <v>0</v>
      </c>
      <c r="L111" s="126">
        <f>SUMIFS(DWbonus[[Sum]:[Sum]],DWbonus[[Dato]:[Dato]], "&gt;="&amp;L$8,DWbonus[[Dato]:[Dato]],"&lt;="&amp;EOMONTH(L$8,0),DWbonus[[Bookie]:[Bookie]],$A111)+SUMIFS(LayTable[[Faktisk res]:[Faktisk res]],LayTable[[Dato]:[Dato]],"&gt;="&amp;L$8,LayTable[[Dato]:[Dato]],"&lt;="&amp;EOMONTH(L$8,0),LayTable[[Bookmaker]:[Bookmaker]],$A111)+SUMIFS(BetTable[[AR_per_bookie]:[AR_per_bookie]],BetTable[[B1]:[B1]],$A111,BetTable[[Date]:[Date]], "&gt;="&amp;L$8,BetTable[[Date]:[Date]],"&lt;="&amp;EOMONTH(L$8,0))+SUMIFS(BetTable[[AR_per_bookie]:[AR_per_bookie]],BetTable[[B2]:[B2]],$A111,BetTable[[Date]:[Date]], "&gt;="&amp;L$8,BetTable[[Date]:[Date]],"&lt;="&amp;EOMONTH(L$8,0))+SUMIFS(BetTable[[AR_per_bookie]:[AR_per_bookie]],BetTable[[B3]:[B3]],$A111,BetTable[[Date]:[Date]], "&gt;="&amp;L$8,BetTable[[Date]:[Date]],"&lt;="&amp;EOMONTH(L$8,0))</f>
        <v>0</v>
      </c>
      <c r="M111" s="126">
        <f>SUMIFS(DWbonus[[Sum]:[Sum]],DWbonus[[Dato]:[Dato]], "&gt;="&amp;M$8,DWbonus[[Dato]:[Dato]],"&lt;="&amp;EOMONTH(M$8,0),DWbonus[[Bookie]:[Bookie]],$A111)+SUMIFS(LayTable[[Faktisk res]:[Faktisk res]],LayTable[[Dato]:[Dato]],"&gt;="&amp;M$8,LayTable[[Dato]:[Dato]],"&lt;="&amp;EOMONTH(M$8,0),LayTable[[Bookmaker]:[Bookmaker]],$A111)+SUMIFS(BetTable[[AR_per_bookie]:[AR_per_bookie]],BetTable[[B1]:[B1]],$A111,BetTable[[Date]:[Date]], "&gt;="&amp;M$8,BetTable[[Date]:[Date]],"&lt;="&amp;EOMONTH(M$8,0))+SUMIFS(BetTable[[AR_per_bookie]:[AR_per_bookie]],BetTable[[B2]:[B2]],$A111,BetTable[[Date]:[Date]], "&gt;="&amp;M$8,BetTable[[Date]:[Date]],"&lt;="&amp;EOMONTH(M$8,0))+SUMIFS(BetTable[[AR_per_bookie]:[AR_per_bookie]],BetTable[[B3]:[B3]],$A111,BetTable[[Date]:[Date]], "&gt;="&amp;M$8,BetTable[[Date]:[Date]],"&lt;="&amp;EOMONTH(M$8,0))</f>
        <v>0</v>
      </c>
      <c r="N111" s="126">
        <f>SUMIFS(DWbonus[[Sum]:[Sum]],DWbonus[[Dato]:[Dato]], "&gt;="&amp;N$8,DWbonus[[Dato]:[Dato]],"&lt;="&amp;EOMONTH(N$8,0),DWbonus[[Bookie]:[Bookie]],$A111)+SUMIFS(LayTable[[Faktisk res]:[Faktisk res]],LayTable[[Dato]:[Dato]],"&gt;="&amp;N$8,LayTable[[Dato]:[Dato]],"&lt;="&amp;EOMONTH(N$8,0),LayTable[[Bookmaker]:[Bookmaker]],$A111)+SUMIFS(BetTable[[AR_per_bookie]:[AR_per_bookie]],BetTable[[B1]:[B1]],$A111,BetTable[[Date]:[Date]], "&gt;="&amp;N$8,BetTable[[Date]:[Date]],"&lt;="&amp;EOMONTH(N$8,0))+SUMIFS(BetTable[[AR_per_bookie]:[AR_per_bookie]],BetTable[[B2]:[B2]],$A111,BetTable[[Date]:[Date]], "&gt;="&amp;N$8,BetTable[[Date]:[Date]],"&lt;="&amp;EOMONTH(N$8,0))+SUMIFS(BetTable[[AR_per_bookie]:[AR_per_bookie]],BetTable[[B3]:[B3]],$A111,BetTable[[Date]:[Date]], "&gt;="&amp;N$8,BetTable[[Date]:[Date]],"&lt;="&amp;EOMONTH(N$8,0))</f>
        <v>0</v>
      </c>
      <c r="O111" s="126">
        <f>SUMIFS(DWbonus[[Sum]:[Sum]],DWbonus[[Dato]:[Dato]], "&gt;="&amp;O$8,DWbonus[[Dato]:[Dato]],"&lt;="&amp;EOMONTH(O$8,0),DWbonus[[Bookie]:[Bookie]],$A111)+SUMIFS(LayTable[[Faktisk res]:[Faktisk res]],LayTable[[Dato]:[Dato]],"&gt;="&amp;O$8,LayTable[[Dato]:[Dato]],"&lt;="&amp;EOMONTH(O$8,0),LayTable[[Bookmaker]:[Bookmaker]],$A111)+SUMIFS(BetTable[[AR_per_bookie]:[AR_per_bookie]],BetTable[[B1]:[B1]],$A111,BetTable[[Date]:[Date]], "&gt;="&amp;O$8,BetTable[[Date]:[Date]],"&lt;="&amp;EOMONTH(O$8,0))+SUMIFS(BetTable[[AR_per_bookie]:[AR_per_bookie]],BetTable[[B2]:[B2]],$A111,BetTable[[Date]:[Date]], "&gt;="&amp;O$8,BetTable[[Date]:[Date]],"&lt;="&amp;EOMONTH(O$8,0))+SUMIFS(BetTable[[AR_per_bookie]:[AR_per_bookie]],BetTable[[B3]:[B3]],$A111,BetTable[[Date]:[Date]], "&gt;="&amp;O$8,BetTable[[Date]:[Date]],"&lt;="&amp;EOMONTH(O$8,0))</f>
        <v>0</v>
      </c>
      <c r="P111" s="126">
        <f>SUMIFS(DWbonus[[Sum]:[Sum]],DWbonus[[Dato]:[Dato]], "&gt;="&amp;P$8,DWbonus[[Dato]:[Dato]],"&lt;="&amp;EOMONTH(P$8,0),DWbonus[[Bookie]:[Bookie]],$A111)+SUMIFS(LayTable[[Faktisk res]:[Faktisk res]],LayTable[[Dato]:[Dato]],"&gt;="&amp;P$8,LayTable[[Dato]:[Dato]],"&lt;="&amp;EOMONTH(P$8,0),LayTable[[Bookmaker]:[Bookmaker]],$A111)+SUMIFS(BetTable[[AR_per_bookie]:[AR_per_bookie]],BetTable[[B1]:[B1]],$A111,BetTable[[Date]:[Date]], "&gt;="&amp;P$8,BetTable[[Date]:[Date]],"&lt;="&amp;EOMONTH(P$8,0))+SUMIFS(BetTable[[AR_per_bookie]:[AR_per_bookie]],BetTable[[B2]:[B2]],$A111,BetTable[[Date]:[Date]], "&gt;="&amp;P$8,BetTable[[Date]:[Date]],"&lt;="&amp;EOMONTH(P$8,0))+SUMIFS(BetTable[[AR_per_bookie]:[AR_per_bookie]],BetTable[[B3]:[B3]],$A111,BetTable[[Date]:[Date]], "&gt;="&amp;P$8,BetTable[[Date]:[Date]],"&lt;="&amp;EOMONTH(P$8,0))</f>
        <v>0</v>
      </c>
      <c r="Q111" s="126">
        <f>SUMIFS(DWbonus[[Sum]:[Sum]],DWbonus[[Dato]:[Dato]], "&gt;="&amp;Q$8,DWbonus[[Dato]:[Dato]],"&lt;="&amp;EOMONTH(Q$8,0),DWbonus[[Bookie]:[Bookie]],$A111)+SUMIFS(LayTable[[Faktisk res]:[Faktisk res]],LayTable[[Dato]:[Dato]],"&gt;="&amp;Q$8,LayTable[[Dato]:[Dato]],"&lt;="&amp;EOMONTH(Q$8,0),LayTable[[Bookmaker]:[Bookmaker]],$A111)+SUMIFS(BetTable[[AR_per_bookie]:[AR_per_bookie]],BetTable[[B1]:[B1]],$A111,BetTable[[Date]:[Date]], "&gt;="&amp;Q$8,BetTable[[Date]:[Date]],"&lt;="&amp;EOMONTH(Q$8,0))+SUMIFS(BetTable[[AR_per_bookie]:[AR_per_bookie]],BetTable[[B2]:[B2]],$A111,BetTable[[Date]:[Date]], "&gt;="&amp;Q$8,BetTable[[Date]:[Date]],"&lt;="&amp;EOMONTH(Q$8,0))+SUMIFS(BetTable[[AR_per_bookie]:[AR_per_bookie]],BetTable[[B3]:[B3]],$A111,BetTable[[Date]:[Date]], "&gt;="&amp;Q$8,BetTable[[Date]:[Date]],"&lt;="&amp;EOMONTH(Q$8,0))</f>
        <v>0</v>
      </c>
      <c r="R111" s="126">
        <f>SUMIFS(DWbonus[[Sum]:[Sum]],DWbonus[[Dato]:[Dato]], "&gt;="&amp;R$8,DWbonus[[Dato]:[Dato]],"&lt;="&amp;EOMONTH(R$8,0),DWbonus[[Bookie]:[Bookie]],$A111)+SUMIFS(LayTable[[Faktisk res]:[Faktisk res]],LayTable[[Dato]:[Dato]],"&gt;="&amp;R$8,LayTable[[Dato]:[Dato]],"&lt;="&amp;EOMONTH(R$8,0),LayTable[[Bookmaker]:[Bookmaker]],$A111)+SUMIFS(BetTable[[AR_per_bookie]:[AR_per_bookie]],BetTable[[B1]:[B1]],$A111,BetTable[[Date]:[Date]], "&gt;="&amp;R$8,BetTable[[Date]:[Date]],"&lt;="&amp;EOMONTH(R$8,0))+SUMIFS(BetTable[[AR_per_bookie]:[AR_per_bookie]],BetTable[[B2]:[B2]],$A111,BetTable[[Date]:[Date]], "&gt;="&amp;R$8,BetTable[[Date]:[Date]],"&lt;="&amp;EOMONTH(R$8,0))+SUMIFS(BetTable[[AR_per_bookie]:[AR_per_bookie]],BetTable[[B3]:[B3]],$A111,BetTable[[Date]:[Date]], "&gt;="&amp;R$8,BetTable[[Date]:[Date]],"&lt;="&amp;EOMONTH(R$8,0))</f>
        <v>0</v>
      </c>
      <c r="S111" s="126">
        <f>SUMIFS(DWbonus[[Sum]:[Sum]],DWbonus[[Dato]:[Dato]], "&gt;="&amp;S$8,DWbonus[[Dato]:[Dato]],"&lt;="&amp;EOMONTH(S$8,0),DWbonus[[Bookie]:[Bookie]],$A111)+SUMIFS(LayTable[[Faktisk res]:[Faktisk res]],LayTable[[Dato]:[Dato]],"&gt;="&amp;S$8,LayTable[[Dato]:[Dato]],"&lt;="&amp;EOMONTH(S$8,0),LayTable[[Bookmaker]:[Bookmaker]],$A111)+SUMIFS(BetTable[[AR_per_bookie]:[AR_per_bookie]],BetTable[[B1]:[B1]],$A111,BetTable[[Date]:[Date]], "&gt;="&amp;S$8,BetTable[[Date]:[Date]],"&lt;="&amp;EOMONTH(S$8,0))+SUMIFS(BetTable[[AR_per_bookie]:[AR_per_bookie]],BetTable[[B2]:[B2]],$A111,BetTable[[Date]:[Date]], "&gt;="&amp;S$8,BetTable[[Date]:[Date]],"&lt;="&amp;EOMONTH(S$8,0))+SUMIFS(BetTable[[AR_per_bookie]:[AR_per_bookie]],BetTable[[B3]:[B3]],$A111,BetTable[[Date]:[Date]], "&gt;="&amp;S$8,BetTable[[Date]:[Date]],"&lt;="&amp;EOMONTH(S$8,0))</f>
        <v>0</v>
      </c>
    </row>
    <row r="112" spans="1:19">
      <c r="A112" s="170">
        <f>BookieNavn!I104</f>
        <v>0</v>
      </c>
      <c r="B112" s="126">
        <f>SUMIF(Penger!D$1:D$50072,A112,Penger!F$1:F$50072)</f>
        <v>0</v>
      </c>
      <c r="C112" s="126">
        <f>SUMIF(Penger!T$1:T$50072,A112,Penger!U$1:U$50072)</f>
        <v>0</v>
      </c>
      <c r="D112" s="126">
        <f ca="1">SUMIF(Spill!C$1:C$499895,A112,Spill!T$1:T$49895)+C112</f>
        <v>0</v>
      </c>
      <c r="E112" s="126">
        <f>SUMIF(Spill!C$1:C$49895,A112,Spill!T$1:T$49895)</f>
        <v>0</v>
      </c>
      <c r="F112" s="121" t="e">
        <f t="shared" ca="1" si="2"/>
        <v>#DIV/0!</v>
      </c>
      <c r="H112" s="126">
        <f>SUMIFS(DWbonus[[Sum]:[Sum]],DWbonus[[Dato]:[Dato]], "&gt;="&amp;H$8,DWbonus[[Dato]:[Dato]],"&lt;="&amp;EOMONTH(H$8,0),DWbonus[[Bookie]:[Bookie]],$A112)+SUMIFS(LayTable[[Faktisk res]:[Faktisk res]],LayTable[[Dato]:[Dato]],"&gt;="&amp;H$8,LayTable[[Dato]:[Dato]],"&lt;="&amp;EOMONTH(H$8,0),LayTable[[Bookmaker]:[Bookmaker]],$A112)+SUMIFS(BetTable[[AR_per_bookie]:[AR_per_bookie]],BetTable[[B1]:[B1]],$A112,BetTable[[Date]:[Date]], "&gt;="&amp;H$8,BetTable[[Date]:[Date]],"&lt;="&amp;EOMONTH(H$8,0))+SUMIFS(BetTable[[AR_per_bookie]:[AR_per_bookie]],BetTable[[B2]:[B2]],$A112,BetTable[[Date]:[Date]], "&gt;="&amp;H$8,BetTable[[Date]:[Date]],"&lt;="&amp;EOMONTH(H$8,0))+SUMIFS(BetTable[[AR_per_bookie]:[AR_per_bookie]],BetTable[[B3]:[B3]],$A112,BetTable[[Date]:[Date]], "&gt;="&amp;H$8,BetTable[[Date]:[Date]],"&lt;="&amp;EOMONTH(H$8,0))</f>
        <v>0</v>
      </c>
      <c r="I112" s="126">
        <f>SUMIFS(DWbonus[[Sum]:[Sum]],DWbonus[[Dato]:[Dato]], "&gt;="&amp;I$8,DWbonus[[Dato]:[Dato]],"&lt;="&amp;EOMONTH(I$8,0),DWbonus[[Bookie]:[Bookie]],$A112)+SUMIFS(LayTable[[Faktisk res]:[Faktisk res]],LayTable[[Dato]:[Dato]],"&gt;="&amp;I$8,LayTable[[Dato]:[Dato]],"&lt;="&amp;EOMONTH(I$8,0),LayTable[[Bookmaker]:[Bookmaker]],$A112)+SUMIFS(BetTable[[AR_per_bookie]:[AR_per_bookie]],BetTable[[B1]:[B1]],$A112,BetTable[[Date]:[Date]], "&gt;="&amp;I$8,BetTable[[Date]:[Date]],"&lt;="&amp;EOMONTH(I$8,0))+SUMIFS(BetTable[[AR_per_bookie]:[AR_per_bookie]],BetTable[[B2]:[B2]],$A112,BetTable[[Date]:[Date]], "&gt;="&amp;I$8,BetTable[[Date]:[Date]],"&lt;="&amp;EOMONTH(I$8,0))+SUMIFS(BetTable[[AR_per_bookie]:[AR_per_bookie]],BetTable[[B3]:[B3]],$A112,BetTable[[Date]:[Date]], "&gt;="&amp;I$8,BetTable[[Date]:[Date]],"&lt;="&amp;EOMONTH(I$8,0))</f>
        <v>0</v>
      </c>
      <c r="J112" s="126">
        <f>SUMIFS(DWbonus[[Sum]:[Sum]],DWbonus[[Dato]:[Dato]], "&gt;="&amp;J$8,DWbonus[[Dato]:[Dato]],"&lt;="&amp;EOMONTH(J$8,0),DWbonus[[Bookie]:[Bookie]],$A112)+SUMIFS(LayTable[[Faktisk res]:[Faktisk res]],LayTable[[Dato]:[Dato]],"&gt;="&amp;J$8,LayTable[[Dato]:[Dato]],"&lt;="&amp;EOMONTH(J$8,0),LayTable[[Bookmaker]:[Bookmaker]],$A112)+SUMIFS(BetTable[[AR_per_bookie]:[AR_per_bookie]],BetTable[[B1]:[B1]],$A112,BetTable[[Date]:[Date]], "&gt;="&amp;J$8,BetTable[[Date]:[Date]],"&lt;="&amp;EOMONTH(J$8,0))+SUMIFS(BetTable[[AR_per_bookie]:[AR_per_bookie]],BetTable[[B2]:[B2]],$A112,BetTable[[Date]:[Date]], "&gt;="&amp;J$8,BetTable[[Date]:[Date]],"&lt;="&amp;EOMONTH(J$8,0))+SUMIFS(BetTable[[AR_per_bookie]:[AR_per_bookie]],BetTable[[B3]:[B3]],$A112,BetTable[[Date]:[Date]], "&gt;="&amp;J$8,BetTable[[Date]:[Date]],"&lt;="&amp;EOMONTH(J$8,0))</f>
        <v>0</v>
      </c>
      <c r="K112" s="126">
        <f>SUMIFS(DWbonus[[Sum]:[Sum]],DWbonus[[Dato]:[Dato]], "&gt;="&amp;K$8,DWbonus[[Dato]:[Dato]],"&lt;="&amp;EOMONTH(K$8,0),DWbonus[[Bookie]:[Bookie]],$A112)+SUMIFS(LayTable[[Faktisk res]:[Faktisk res]],LayTable[[Dato]:[Dato]],"&gt;="&amp;K$8,LayTable[[Dato]:[Dato]],"&lt;="&amp;EOMONTH(K$8,0),LayTable[[Bookmaker]:[Bookmaker]],$A112)+SUMIFS(BetTable[[AR_per_bookie]:[AR_per_bookie]],BetTable[[B1]:[B1]],$A112,BetTable[[Date]:[Date]], "&gt;="&amp;K$8,BetTable[[Date]:[Date]],"&lt;="&amp;EOMONTH(K$8,0))+SUMIFS(BetTable[[AR_per_bookie]:[AR_per_bookie]],BetTable[[B2]:[B2]],$A112,BetTable[[Date]:[Date]], "&gt;="&amp;K$8,BetTable[[Date]:[Date]],"&lt;="&amp;EOMONTH(K$8,0))+SUMIFS(BetTable[[AR_per_bookie]:[AR_per_bookie]],BetTable[[B3]:[B3]],$A112,BetTable[[Date]:[Date]], "&gt;="&amp;K$8,BetTable[[Date]:[Date]],"&lt;="&amp;EOMONTH(K$8,0))</f>
        <v>0</v>
      </c>
      <c r="L112" s="126">
        <f>SUMIFS(DWbonus[[Sum]:[Sum]],DWbonus[[Dato]:[Dato]], "&gt;="&amp;L$8,DWbonus[[Dato]:[Dato]],"&lt;="&amp;EOMONTH(L$8,0),DWbonus[[Bookie]:[Bookie]],$A112)+SUMIFS(LayTable[[Faktisk res]:[Faktisk res]],LayTable[[Dato]:[Dato]],"&gt;="&amp;L$8,LayTable[[Dato]:[Dato]],"&lt;="&amp;EOMONTH(L$8,0),LayTable[[Bookmaker]:[Bookmaker]],$A112)+SUMIFS(BetTable[[AR_per_bookie]:[AR_per_bookie]],BetTable[[B1]:[B1]],$A112,BetTable[[Date]:[Date]], "&gt;="&amp;L$8,BetTable[[Date]:[Date]],"&lt;="&amp;EOMONTH(L$8,0))+SUMIFS(BetTable[[AR_per_bookie]:[AR_per_bookie]],BetTable[[B2]:[B2]],$A112,BetTable[[Date]:[Date]], "&gt;="&amp;L$8,BetTable[[Date]:[Date]],"&lt;="&amp;EOMONTH(L$8,0))+SUMIFS(BetTable[[AR_per_bookie]:[AR_per_bookie]],BetTable[[B3]:[B3]],$A112,BetTable[[Date]:[Date]], "&gt;="&amp;L$8,BetTable[[Date]:[Date]],"&lt;="&amp;EOMONTH(L$8,0))</f>
        <v>0</v>
      </c>
      <c r="M112" s="126">
        <f>SUMIFS(DWbonus[[Sum]:[Sum]],DWbonus[[Dato]:[Dato]], "&gt;="&amp;M$8,DWbonus[[Dato]:[Dato]],"&lt;="&amp;EOMONTH(M$8,0),DWbonus[[Bookie]:[Bookie]],$A112)+SUMIFS(LayTable[[Faktisk res]:[Faktisk res]],LayTable[[Dato]:[Dato]],"&gt;="&amp;M$8,LayTable[[Dato]:[Dato]],"&lt;="&amp;EOMONTH(M$8,0),LayTable[[Bookmaker]:[Bookmaker]],$A112)+SUMIFS(BetTable[[AR_per_bookie]:[AR_per_bookie]],BetTable[[B1]:[B1]],$A112,BetTable[[Date]:[Date]], "&gt;="&amp;M$8,BetTable[[Date]:[Date]],"&lt;="&amp;EOMONTH(M$8,0))+SUMIFS(BetTable[[AR_per_bookie]:[AR_per_bookie]],BetTable[[B2]:[B2]],$A112,BetTable[[Date]:[Date]], "&gt;="&amp;M$8,BetTable[[Date]:[Date]],"&lt;="&amp;EOMONTH(M$8,0))+SUMIFS(BetTable[[AR_per_bookie]:[AR_per_bookie]],BetTable[[B3]:[B3]],$A112,BetTable[[Date]:[Date]], "&gt;="&amp;M$8,BetTable[[Date]:[Date]],"&lt;="&amp;EOMONTH(M$8,0))</f>
        <v>0</v>
      </c>
      <c r="N112" s="126">
        <f>SUMIFS(DWbonus[[Sum]:[Sum]],DWbonus[[Dato]:[Dato]], "&gt;="&amp;N$8,DWbonus[[Dato]:[Dato]],"&lt;="&amp;EOMONTH(N$8,0),DWbonus[[Bookie]:[Bookie]],$A112)+SUMIFS(LayTable[[Faktisk res]:[Faktisk res]],LayTable[[Dato]:[Dato]],"&gt;="&amp;N$8,LayTable[[Dato]:[Dato]],"&lt;="&amp;EOMONTH(N$8,0),LayTable[[Bookmaker]:[Bookmaker]],$A112)+SUMIFS(BetTable[[AR_per_bookie]:[AR_per_bookie]],BetTable[[B1]:[B1]],$A112,BetTable[[Date]:[Date]], "&gt;="&amp;N$8,BetTable[[Date]:[Date]],"&lt;="&amp;EOMONTH(N$8,0))+SUMIFS(BetTable[[AR_per_bookie]:[AR_per_bookie]],BetTable[[B2]:[B2]],$A112,BetTable[[Date]:[Date]], "&gt;="&amp;N$8,BetTable[[Date]:[Date]],"&lt;="&amp;EOMONTH(N$8,0))+SUMIFS(BetTable[[AR_per_bookie]:[AR_per_bookie]],BetTable[[B3]:[B3]],$A112,BetTable[[Date]:[Date]], "&gt;="&amp;N$8,BetTable[[Date]:[Date]],"&lt;="&amp;EOMONTH(N$8,0))</f>
        <v>0</v>
      </c>
      <c r="O112" s="126">
        <f>SUMIFS(DWbonus[[Sum]:[Sum]],DWbonus[[Dato]:[Dato]], "&gt;="&amp;O$8,DWbonus[[Dato]:[Dato]],"&lt;="&amp;EOMONTH(O$8,0),DWbonus[[Bookie]:[Bookie]],$A112)+SUMIFS(LayTable[[Faktisk res]:[Faktisk res]],LayTable[[Dato]:[Dato]],"&gt;="&amp;O$8,LayTable[[Dato]:[Dato]],"&lt;="&amp;EOMONTH(O$8,0),LayTable[[Bookmaker]:[Bookmaker]],$A112)+SUMIFS(BetTable[[AR_per_bookie]:[AR_per_bookie]],BetTable[[B1]:[B1]],$A112,BetTable[[Date]:[Date]], "&gt;="&amp;O$8,BetTable[[Date]:[Date]],"&lt;="&amp;EOMONTH(O$8,0))+SUMIFS(BetTable[[AR_per_bookie]:[AR_per_bookie]],BetTable[[B2]:[B2]],$A112,BetTable[[Date]:[Date]], "&gt;="&amp;O$8,BetTable[[Date]:[Date]],"&lt;="&amp;EOMONTH(O$8,0))+SUMIFS(BetTable[[AR_per_bookie]:[AR_per_bookie]],BetTable[[B3]:[B3]],$A112,BetTable[[Date]:[Date]], "&gt;="&amp;O$8,BetTable[[Date]:[Date]],"&lt;="&amp;EOMONTH(O$8,0))</f>
        <v>0</v>
      </c>
      <c r="P112" s="126">
        <f>SUMIFS(DWbonus[[Sum]:[Sum]],DWbonus[[Dato]:[Dato]], "&gt;="&amp;P$8,DWbonus[[Dato]:[Dato]],"&lt;="&amp;EOMONTH(P$8,0),DWbonus[[Bookie]:[Bookie]],$A112)+SUMIFS(LayTable[[Faktisk res]:[Faktisk res]],LayTable[[Dato]:[Dato]],"&gt;="&amp;P$8,LayTable[[Dato]:[Dato]],"&lt;="&amp;EOMONTH(P$8,0),LayTable[[Bookmaker]:[Bookmaker]],$A112)+SUMIFS(BetTable[[AR_per_bookie]:[AR_per_bookie]],BetTable[[B1]:[B1]],$A112,BetTable[[Date]:[Date]], "&gt;="&amp;P$8,BetTable[[Date]:[Date]],"&lt;="&amp;EOMONTH(P$8,0))+SUMIFS(BetTable[[AR_per_bookie]:[AR_per_bookie]],BetTable[[B2]:[B2]],$A112,BetTable[[Date]:[Date]], "&gt;="&amp;P$8,BetTable[[Date]:[Date]],"&lt;="&amp;EOMONTH(P$8,0))+SUMIFS(BetTable[[AR_per_bookie]:[AR_per_bookie]],BetTable[[B3]:[B3]],$A112,BetTable[[Date]:[Date]], "&gt;="&amp;P$8,BetTable[[Date]:[Date]],"&lt;="&amp;EOMONTH(P$8,0))</f>
        <v>0</v>
      </c>
      <c r="Q112" s="126">
        <f>SUMIFS(DWbonus[[Sum]:[Sum]],DWbonus[[Dato]:[Dato]], "&gt;="&amp;Q$8,DWbonus[[Dato]:[Dato]],"&lt;="&amp;EOMONTH(Q$8,0),DWbonus[[Bookie]:[Bookie]],$A112)+SUMIFS(LayTable[[Faktisk res]:[Faktisk res]],LayTable[[Dato]:[Dato]],"&gt;="&amp;Q$8,LayTable[[Dato]:[Dato]],"&lt;="&amp;EOMONTH(Q$8,0),LayTable[[Bookmaker]:[Bookmaker]],$A112)+SUMIFS(BetTable[[AR_per_bookie]:[AR_per_bookie]],BetTable[[B1]:[B1]],$A112,BetTable[[Date]:[Date]], "&gt;="&amp;Q$8,BetTable[[Date]:[Date]],"&lt;="&amp;EOMONTH(Q$8,0))+SUMIFS(BetTable[[AR_per_bookie]:[AR_per_bookie]],BetTable[[B2]:[B2]],$A112,BetTable[[Date]:[Date]], "&gt;="&amp;Q$8,BetTable[[Date]:[Date]],"&lt;="&amp;EOMONTH(Q$8,0))+SUMIFS(BetTable[[AR_per_bookie]:[AR_per_bookie]],BetTable[[B3]:[B3]],$A112,BetTable[[Date]:[Date]], "&gt;="&amp;Q$8,BetTable[[Date]:[Date]],"&lt;="&amp;EOMONTH(Q$8,0))</f>
        <v>0</v>
      </c>
      <c r="R112" s="126">
        <f>SUMIFS(DWbonus[[Sum]:[Sum]],DWbonus[[Dato]:[Dato]], "&gt;="&amp;R$8,DWbonus[[Dato]:[Dato]],"&lt;="&amp;EOMONTH(R$8,0),DWbonus[[Bookie]:[Bookie]],$A112)+SUMIFS(LayTable[[Faktisk res]:[Faktisk res]],LayTable[[Dato]:[Dato]],"&gt;="&amp;R$8,LayTable[[Dato]:[Dato]],"&lt;="&amp;EOMONTH(R$8,0),LayTable[[Bookmaker]:[Bookmaker]],$A112)+SUMIFS(BetTable[[AR_per_bookie]:[AR_per_bookie]],BetTable[[B1]:[B1]],$A112,BetTable[[Date]:[Date]], "&gt;="&amp;R$8,BetTable[[Date]:[Date]],"&lt;="&amp;EOMONTH(R$8,0))+SUMIFS(BetTable[[AR_per_bookie]:[AR_per_bookie]],BetTable[[B2]:[B2]],$A112,BetTable[[Date]:[Date]], "&gt;="&amp;R$8,BetTable[[Date]:[Date]],"&lt;="&amp;EOMONTH(R$8,0))+SUMIFS(BetTable[[AR_per_bookie]:[AR_per_bookie]],BetTable[[B3]:[B3]],$A112,BetTable[[Date]:[Date]], "&gt;="&amp;R$8,BetTable[[Date]:[Date]],"&lt;="&amp;EOMONTH(R$8,0))</f>
        <v>0</v>
      </c>
      <c r="S112" s="126">
        <f>SUMIFS(DWbonus[[Sum]:[Sum]],DWbonus[[Dato]:[Dato]], "&gt;="&amp;S$8,DWbonus[[Dato]:[Dato]],"&lt;="&amp;EOMONTH(S$8,0),DWbonus[[Bookie]:[Bookie]],$A112)+SUMIFS(LayTable[[Faktisk res]:[Faktisk res]],LayTable[[Dato]:[Dato]],"&gt;="&amp;S$8,LayTable[[Dato]:[Dato]],"&lt;="&amp;EOMONTH(S$8,0),LayTable[[Bookmaker]:[Bookmaker]],$A112)+SUMIFS(BetTable[[AR_per_bookie]:[AR_per_bookie]],BetTable[[B1]:[B1]],$A112,BetTable[[Date]:[Date]], "&gt;="&amp;S$8,BetTable[[Date]:[Date]],"&lt;="&amp;EOMONTH(S$8,0))+SUMIFS(BetTable[[AR_per_bookie]:[AR_per_bookie]],BetTable[[B2]:[B2]],$A112,BetTable[[Date]:[Date]], "&gt;="&amp;S$8,BetTable[[Date]:[Date]],"&lt;="&amp;EOMONTH(S$8,0))+SUMIFS(BetTable[[AR_per_bookie]:[AR_per_bookie]],BetTable[[B3]:[B3]],$A112,BetTable[[Date]:[Date]], "&gt;="&amp;S$8,BetTable[[Date]:[Date]],"&lt;="&amp;EOMONTH(S$8,0))</f>
        <v>0</v>
      </c>
    </row>
    <row r="113" spans="1:19">
      <c r="A113" s="170">
        <f>BookieNavn!I105</f>
        <v>0</v>
      </c>
      <c r="B113" s="126">
        <f>SUMIF(Penger!D$1:D$50072,A113,Penger!F$1:F$50072)</f>
        <v>0</v>
      </c>
      <c r="C113" s="126">
        <f>SUMIF(Penger!T$1:T$50072,A113,Penger!U$1:U$50072)</f>
        <v>0</v>
      </c>
      <c r="D113" s="126">
        <f ca="1">SUMIF(Spill!C$1:C$499895,A113,Spill!T$1:T$49895)+C113</f>
        <v>0</v>
      </c>
      <c r="E113" s="126">
        <f>SUMIF(Spill!C$1:C$49895,A113,Spill!T$1:T$49895)</f>
        <v>0</v>
      </c>
      <c r="F113" s="121" t="e">
        <f t="shared" ca="1" si="2"/>
        <v>#DIV/0!</v>
      </c>
      <c r="H113" s="126">
        <f>SUMIFS(DWbonus[[Sum]:[Sum]],DWbonus[[Dato]:[Dato]], "&gt;="&amp;H$8,DWbonus[[Dato]:[Dato]],"&lt;="&amp;EOMONTH(H$8,0),DWbonus[[Bookie]:[Bookie]],$A113)+SUMIFS(LayTable[[Faktisk res]:[Faktisk res]],LayTable[[Dato]:[Dato]],"&gt;="&amp;H$8,LayTable[[Dato]:[Dato]],"&lt;="&amp;EOMONTH(H$8,0),LayTable[[Bookmaker]:[Bookmaker]],$A113)+SUMIFS(BetTable[[AR_per_bookie]:[AR_per_bookie]],BetTable[[B1]:[B1]],$A113,BetTable[[Date]:[Date]], "&gt;="&amp;H$8,BetTable[[Date]:[Date]],"&lt;="&amp;EOMONTH(H$8,0))+SUMIFS(BetTable[[AR_per_bookie]:[AR_per_bookie]],BetTable[[B2]:[B2]],$A113,BetTable[[Date]:[Date]], "&gt;="&amp;H$8,BetTable[[Date]:[Date]],"&lt;="&amp;EOMONTH(H$8,0))+SUMIFS(BetTable[[AR_per_bookie]:[AR_per_bookie]],BetTable[[B3]:[B3]],$A113,BetTable[[Date]:[Date]], "&gt;="&amp;H$8,BetTable[[Date]:[Date]],"&lt;="&amp;EOMONTH(H$8,0))</f>
        <v>0</v>
      </c>
      <c r="I113" s="126">
        <f>SUMIFS(DWbonus[[Sum]:[Sum]],DWbonus[[Dato]:[Dato]], "&gt;="&amp;I$8,DWbonus[[Dato]:[Dato]],"&lt;="&amp;EOMONTH(I$8,0),DWbonus[[Bookie]:[Bookie]],$A113)+SUMIFS(LayTable[[Faktisk res]:[Faktisk res]],LayTable[[Dato]:[Dato]],"&gt;="&amp;I$8,LayTable[[Dato]:[Dato]],"&lt;="&amp;EOMONTH(I$8,0),LayTable[[Bookmaker]:[Bookmaker]],$A113)+SUMIFS(BetTable[[AR_per_bookie]:[AR_per_bookie]],BetTable[[B1]:[B1]],$A113,BetTable[[Date]:[Date]], "&gt;="&amp;I$8,BetTable[[Date]:[Date]],"&lt;="&amp;EOMONTH(I$8,0))+SUMIFS(BetTable[[AR_per_bookie]:[AR_per_bookie]],BetTable[[B2]:[B2]],$A113,BetTable[[Date]:[Date]], "&gt;="&amp;I$8,BetTable[[Date]:[Date]],"&lt;="&amp;EOMONTH(I$8,0))+SUMIFS(BetTable[[AR_per_bookie]:[AR_per_bookie]],BetTable[[B3]:[B3]],$A113,BetTable[[Date]:[Date]], "&gt;="&amp;I$8,BetTable[[Date]:[Date]],"&lt;="&amp;EOMONTH(I$8,0))</f>
        <v>0</v>
      </c>
      <c r="J113" s="126">
        <f>SUMIFS(DWbonus[[Sum]:[Sum]],DWbonus[[Dato]:[Dato]], "&gt;="&amp;J$8,DWbonus[[Dato]:[Dato]],"&lt;="&amp;EOMONTH(J$8,0),DWbonus[[Bookie]:[Bookie]],$A113)+SUMIFS(LayTable[[Faktisk res]:[Faktisk res]],LayTable[[Dato]:[Dato]],"&gt;="&amp;J$8,LayTable[[Dato]:[Dato]],"&lt;="&amp;EOMONTH(J$8,0),LayTable[[Bookmaker]:[Bookmaker]],$A113)+SUMIFS(BetTable[[AR_per_bookie]:[AR_per_bookie]],BetTable[[B1]:[B1]],$A113,BetTable[[Date]:[Date]], "&gt;="&amp;J$8,BetTable[[Date]:[Date]],"&lt;="&amp;EOMONTH(J$8,0))+SUMIFS(BetTable[[AR_per_bookie]:[AR_per_bookie]],BetTable[[B2]:[B2]],$A113,BetTable[[Date]:[Date]], "&gt;="&amp;J$8,BetTable[[Date]:[Date]],"&lt;="&amp;EOMONTH(J$8,0))+SUMIFS(BetTable[[AR_per_bookie]:[AR_per_bookie]],BetTable[[B3]:[B3]],$A113,BetTable[[Date]:[Date]], "&gt;="&amp;J$8,BetTable[[Date]:[Date]],"&lt;="&amp;EOMONTH(J$8,0))</f>
        <v>0</v>
      </c>
      <c r="K113" s="126">
        <f>SUMIFS(DWbonus[[Sum]:[Sum]],DWbonus[[Dato]:[Dato]], "&gt;="&amp;K$8,DWbonus[[Dato]:[Dato]],"&lt;="&amp;EOMONTH(K$8,0),DWbonus[[Bookie]:[Bookie]],$A113)+SUMIFS(LayTable[[Faktisk res]:[Faktisk res]],LayTable[[Dato]:[Dato]],"&gt;="&amp;K$8,LayTable[[Dato]:[Dato]],"&lt;="&amp;EOMONTH(K$8,0),LayTable[[Bookmaker]:[Bookmaker]],$A113)+SUMIFS(BetTable[[AR_per_bookie]:[AR_per_bookie]],BetTable[[B1]:[B1]],$A113,BetTable[[Date]:[Date]], "&gt;="&amp;K$8,BetTable[[Date]:[Date]],"&lt;="&amp;EOMONTH(K$8,0))+SUMIFS(BetTable[[AR_per_bookie]:[AR_per_bookie]],BetTable[[B2]:[B2]],$A113,BetTable[[Date]:[Date]], "&gt;="&amp;K$8,BetTable[[Date]:[Date]],"&lt;="&amp;EOMONTH(K$8,0))+SUMIFS(BetTable[[AR_per_bookie]:[AR_per_bookie]],BetTable[[B3]:[B3]],$A113,BetTable[[Date]:[Date]], "&gt;="&amp;K$8,BetTable[[Date]:[Date]],"&lt;="&amp;EOMONTH(K$8,0))</f>
        <v>0</v>
      </c>
      <c r="L113" s="126">
        <f>SUMIFS(DWbonus[[Sum]:[Sum]],DWbonus[[Dato]:[Dato]], "&gt;="&amp;L$8,DWbonus[[Dato]:[Dato]],"&lt;="&amp;EOMONTH(L$8,0),DWbonus[[Bookie]:[Bookie]],$A113)+SUMIFS(LayTable[[Faktisk res]:[Faktisk res]],LayTable[[Dato]:[Dato]],"&gt;="&amp;L$8,LayTable[[Dato]:[Dato]],"&lt;="&amp;EOMONTH(L$8,0),LayTable[[Bookmaker]:[Bookmaker]],$A113)+SUMIFS(BetTable[[AR_per_bookie]:[AR_per_bookie]],BetTable[[B1]:[B1]],$A113,BetTable[[Date]:[Date]], "&gt;="&amp;L$8,BetTable[[Date]:[Date]],"&lt;="&amp;EOMONTH(L$8,0))+SUMIFS(BetTable[[AR_per_bookie]:[AR_per_bookie]],BetTable[[B2]:[B2]],$A113,BetTable[[Date]:[Date]], "&gt;="&amp;L$8,BetTable[[Date]:[Date]],"&lt;="&amp;EOMONTH(L$8,0))+SUMIFS(BetTable[[AR_per_bookie]:[AR_per_bookie]],BetTable[[B3]:[B3]],$A113,BetTable[[Date]:[Date]], "&gt;="&amp;L$8,BetTable[[Date]:[Date]],"&lt;="&amp;EOMONTH(L$8,0))</f>
        <v>0</v>
      </c>
      <c r="M113" s="126">
        <f>SUMIFS(DWbonus[[Sum]:[Sum]],DWbonus[[Dato]:[Dato]], "&gt;="&amp;M$8,DWbonus[[Dato]:[Dato]],"&lt;="&amp;EOMONTH(M$8,0),DWbonus[[Bookie]:[Bookie]],$A113)+SUMIFS(LayTable[[Faktisk res]:[Faktisk res]],LayTable[[Dato]:[Dato]],"&gt;="&amp;M$8,LayTable[[Dato]:[Dato]],"&lt;="&amp;EOMONTH(M$8,0),LayTable[[Bookmaker]:[Bookmaker]],$A113)+SUMIFS(BetTable[[AR_per_bookie]:[AR_per_bookie]],BetTable[[B1]:[B1]],$A113,BetTable[[Date]:[Date]], "&gt;="&amp;M$8,BetTable[[Date]:[Date]],"&lt;="&amp;EOMONTH(M$8,0))+SUMIFS(BetTable[[AR_per_bookie]:[AR_per_bookie]],BetTable[[B2]:[B2]],$A113,BetTable[[Date]:[Date]], "&gt;="&amp;M$8,BetTable[[Date]:[Date]],"&lt;="&amp;EOMONTH(M$8,0))+SUMIFS(BetTable[[AR_per_bookie]:[AR_per_bookie]],BetTable[[B3]:[B3]],$A113,BetTable[[Date]:[Date]], "&gt;="&amp;M$8,BetTable[[Date]:[Date]],"&lt;="&amp;EOMONTH(M$8,0))</f>
        <v>0</v>
      </c>
      <c r="N113" s="126">
        <f>SUMIFS(DWbonus[[Sum]:[Sum]],DWbonus[[Dato]:[Dato]], "&gt;="&amp;N$8,DWbonus[[Dato]:[Dato]],"&lt;="&amp;EOMONTH(N$8,0),DWbonus[[Bookie]:[Bookie]],$A113)+SUMIFS(LayTable[[Faktisk res]:[Faktisk res]],LayTable[[Dato]:[Dato]],"&gt;="&amp;N$8,LayTable[[Dato]:[Dato]],"&lt;="&amp;EOMONTH(N$8,0),LayTable[[Bookmaker]:[Bookmaker]],$A113)+SUMIFS(BetTable[[AR_per_bookie]:[AR_per_bookie]],BetTable[[B1]:[B1]],$A113,BetTable[[Date]:[Date]], "&gt;="&amp;N$8,BetTable[[Date]:[Date]],"&lt;="&amp;EOMONTH(N$8,0))+SUMIFS(BetTable[[AR_per_bookie]:[AR_per_bookie]],BetTable[[B2]:[B2]],$A113,BetTable[[Date]:[Date]], "&gt;="&amp;N$8,BetTable[[Date]:[Date]],"&lt;="&amp;EOMONTH(N$8,0))+SUMIFS(BetTable[[AR_per_bookie]:[AR_per_bookie]],BetTable[[B3]:[B3]],$A113,BetTable[[Date]:[Date]], "&gt;="&amp;N$8,BetTable[[Date]:[Date]],"&lt;="&amp;EOMONTH(N$8,0))</f>
        <v>0</v>
      </c>
      <c r="O113" s="126">
        <f>SUMIFS(DWbonus[[Sum]:[Sum]],DWbonus[[Dato]:[Dato]], "&gt;="&amp;O$8,DWbonus[[Dato]:[Dato]],"&lt;="&amp;EOMONTH(O$8,0),DWbonus[[Bookie]:[Bookie]],$A113)+SUMIFS(LayTable[[Faktisk res]:[Faktisk res]],LayTable[[Dato]:[Dato]],"&gt;="&amp;O$8,LayTable[[Dato]:[Dato]],"&lt;="&amp;EOMONTH(O$8,0),LayTable[[Bookmaker]:[Bookmaker]],$A113)+SUMIFS(BetTable[[AR_per_bookie]:[AR_per_bookie]],BetTable[[B1]:[B1]],$A113,BetTable[[Date]:[Date]], "&gt;="&amp;O$8,BetTable[[Date]:[Date]],"&lt;="&amp;EOMONTH(O$8,0))+SUMIFS(BetTable[[AR_per_bookie]:[AR_per_bookie]],BetTable[[B2]:[B2]],$A113,BetTable[[Date]:[Date]], "&gt;="&amp;O$8,BetTable[[Date]:[Date]],"&lt;="&amp;EOMONTH(O$8,0))+SUMIFS(BetTable[[AR_per_bookie]:[AR_per_bookie]],BetTable[[B3]:[B3]],$A113,BetTable[[Date]:[Date]], "&gt;="&amp;O$8,BetTable[[Date]:[Date]],"&lt;="&amp;EOMONTH(O$8,0))</f>
        <v>0</v>
      </c>
      <c r="P113" s="126">
        <f>SUMIFS(DWbonus[[Sum]:[Sum]],DWbonus[[Dato]:[Dato]], "&gt;="&amp;P$8,DWbonus[[Dato]:[Dato]],"&lt;="&amp;EOMONTH(P$8,0),DWbonus[[Bookie]:[Bookie]],$A113)+SUMIFS(LayTable[[Faktisk res]:[Faktisk res]],LayTable[[Dato]:[Dato]],"&gt;="&amp;P$8,LayTable[[Dato]:[Dato]],"&lt;="&amp;EOMONTH(P$8,0),LayTable[[Bookmaker]:[Bookmaker]],$A113)+SUMIFS(BetTable[[AR_per_bookie]:[AR_per_bookie]],BetTable[[B1]:[B1]],$A113,BetTable[[Date]:[Date]], "&gt;="&amp;P$8,BetTable[[Date]:[Date]],"&lt;="&amp;EOMONTH(P$8,0))+SUMIFS(BetTable[[AR_per_bookie]:[AR_per_bookie]],BetTable[[B2]:[B2]],$A113,BetTable[[Date]:[Date]], "&gt;="&amp;P$8,BetTable[[Date]:[Date]],"&lt;="&amp;EOMONTH(P$8,0))+SUMIFS(BetTable[[AR_per_bookie]:[AR_per_bookie]],BetTable[[B3]:[B3]],$A113,BetTable[[Date]:[Date]], "&gt;="&amp;P$8,BetTable[[Date]:[Date]],"&lt;="&amp;EOMONTH(P$8,0))</f>
        <v>0</v>
      </c>
      <c r="Q113" s="126">
        <f>SUMIFS(DWbonus[[Sum]:[Sum]],DWbonus[[Dato]:[Dato]], "&gt;="&amp;Q$8,DWbonus[[Dato]:[Dato]],"&lt;="&amp;EOMONTH(Q$8,0),DWbonus[[Bookie]:[Bookie]],$A113)+SUMIFS(LayTable[[Faktisk res]:[Faktisk res]],LayTable[[Dato]:[Dato]],"&gt;="&amp;Q$8,LayTable[[Dato]:[Dato]],"&lt;="&amp;EOMONTH(Q$8,0),LayTable[[Bookmaker]:[Bookmaker]],$A113)+SUMIFS(BetTable[[AR_per_bookie]:[AR_per_bookie]],BetTable[[B1]:[B1]],$A113,BetTable[[Date]:[Date]], "&gt;="&amp;Q$8,BetTable[[Date]:[Date]],"&lt;="&amp;EOMONTH(Q$8,0))+SUMIFS(BetTable[[AR_per_bookie]:[AR_per_bookie]],BetTable[[B2]:[B2]],$A113,BetTable[[Date]:[Date]], "&gt;="&amp;Q$8,BetTable[[Date]:[Date]],"&lt;="&amp;EOMONTH(Q$8,0))+SUMIFS(BetTable[[AR_per_bookie]:[AR_per_bookie]],BetTable[[B3]:[B3]],$A113,BetTable[[Date]:[Date]], "&gt;="&amp;Q$8,BetTable[[Date]:[Date]],"&lt;="&amp;EOMONTH(Q$8,0))</f>
        <v>0</v>
      </c>
      <c r="R113" s="126">
        <f>SUMIFS(DWbonus[[Sum]:[Sum]],DWbonus[[Dato]:[Dato]], "&gt;="&amp;R$8,DWbonus[[Dato]:[Dato]],"&lt;="&amp;EOMONTH(R$8,0),DWbonus[[Bookie]:[Bookie]],$A113)+SUMIFS(LayTable[[Faktisk res]:[Faktisk res]],LayTable[[Dato]:[Dato]],"&gt;="&amp;R$8,LayTable[[Dato]:[Dato]],"&lt;="&amp;EOMONTH(R$8,0),LayTable[[Bookmaker]:[Bookmaker]],$A113)+SUMIFS(BetTable[[AR_per_bookie]:[AR_per_bookie]],BetTable[[B1]:[B1]],$A113,BetTable[[Date]:[Date]], "&gt;="&amp;R$8,BetTable[[Date]:[Date]],"&lt;="&amp;EOMONTH(R$8,0))+SUMIFS(BetTable[[AR_per_bookie]:[AR_per_bookie]],BetTable[[B2]:[B2]],$A113,BetTable[[Date]:[Date]], "&gt;="&amp;R$8,BetTable[[Date]:[Date]],"&lt;="&amp;EOMONTH(R$8,0))+SUMIFS(BetTable[[AR_per_bookie]:[AR_per_bookie]],BetTable[[B3]:[B3]],$A113,BetTable[[Date]:[Date]], "&gt;="&amp;R$8,BetTable[[Date]:[Date]],"&lt;="&amp;EOMONTH(R$8,0))</f>
        <v>0</v>
      </c>
      <c r="S113" s="126">
        <f>SUMIFS(DWbonus[[Sum]:[Sum]],DWbonus[[Dato]:[Dato]], "&gt;="&amp;S$8,DWbonus[[Dato]:[Dato]],"&lt;="&amp;EOMONTH(S$8,0),DWbonus[[Bookie]:[Bookie]],$A113)+SUMIFS(LayTable[[Faktisk res]:[Faktisk res]],LayTable[[Dato]:[Dato]],"&gt;="&amp;S$8,LayTable[[Dato]:[Dato]],"&lt;="&amp;EOMONTH(S$8,0),LayTable[[Bookmaker]:[Bookmaker]],$A113)+SUMIFS(BetTable[[AR_per_bookie]:[AR_per_bookie]],BetTable[[B1]:[B1]],$A113,BetTable[[Date]:[Date]], "&gt;="&amp;S$8,BetTable[[Date]:[Date]],"&lt;="&amp;EOMONTH(S$8,0))+SUMIFS(BetTable[[AR_per_bookie]:[AR_per_bookie]],BetTable[[B2]:[B2]],$A113,BetTable[[Date]:[Date]], "&gt;="&amp;S$8,BetTable[[Date]:[Date]],"&lt;="&amp;EOMONTH(S$8,0))+SUMIFS(BetTable[[AR_per_bookie]:[AR_per_bookie]],BetTable[[B3]:[B3]],$A113,BetTable[[Date]:[Date]], "&gt;="&amp;S$8,BetTable[[Date]:[Date]],"&lt;="&amp;EOMONTH(S$8,0))</f>
        <v>0</v>
      </c>
    </row>
    <row r="114" spans="1:19">
      <c r="A114" s="115">
        <f>BookieNavn!I108</f>
        <v>0</v>
      </c>
      <c r="B114" s="126">
        <f>SUMIF(Penger!D$1:D$50072,A114,Penger!F$1:F$50072)</f>
        <v>0</v>
      </c>
      <c r="C114" s="126">
        <f>SUMIF(Penger!T$1:T$50072,A114,Penger!U$1:U$50072)</f>
        <v>0</v>
      </c>
      <c r="D114" s="126">
        <f ca="1">SUMIF(Spill!C$1:C$499895,A114,Spill!T$1:T$49895)+C114</f>
        <v>0</v>
      </c>
      <c r="E114" s="126">
        <f>SUMIF(Spill!C$1:C$49895,A114,Spill!T$1:T$49895)</f>
        <v>0</v>
      </c>
      <c r="F114" s="121" t="e">
        <f t="shared" ca="1" si="2"/>
        <v>#DIV/0!</v>
      </c>
      <c r="H114" s="126">
        <f>SUMIFS(DWbonus[[Sum]:[Sum]],DWbonus[[Dato]:[Dato]], "&gt;="&amp;H$8,DWbonus[[Dato]:[Dato]],"&lt;="&amp;EOMONTH(H$8,0),DWbonus[[Bookie]:[Bookie]],$A114)+SUMIFS(LayTable[[Faktisk res]:[Faktisk res]],LayTable[[Dato]:[Dato]],"&gt;="&amp;H$8,LayTable[[Dato]:[Dato]],"&lt;="&amp;EOMONTH(H$8,0),LayTable[[Bookmaker]:[Bookmaker]],$A114)+SUMIFS(BetTable[[AR_per_bookie]:[AR_per_bookie]],BetTable[[B1]:[B1]],$A114,BetTable[[Date]:[Date]], "&gt;="&amp;H$8,BetTable[[Date]:[Date]],"&lt;="&amp;EOMONTH(H$8,0))+SUMIFS(BetTable[[AR_per_bookie]:[AR_per_bookie]],BetTable[[B2]:[B2]],$A114,BetTable[[Date]:[Date]], "&gt;="&amp;H$8,BetTable[[Date]:[Date]],"&lt;="&amp;EOMONTH(H$8,0))+SUMIFS(BetTable[[AR_per_bookie]:[AR_per_bookie]],BetTable[[B3]:[B3]],$A114,BetTable[[Date]:[Date]], "&gt;="&amp;H$8,BetTable[[Date]:[Date]],"&lt;="&amp;EOMONTH(H$8,0))</f>
        <v>0</v>
      </c>
      <c r="I114" s="126">
        <f>SUMIFS(DWbonus[[Sum]:[Sum]],DWbonus[[Dato]:[Dato]], "&gt;="&amp;I$8,DWbonus[[Dato]:[Dato]],"&lt;="&amp;EOMONTH(I$8,0),DWbonus[[Bookie]:[Bookie]],$A114)+SUMIFS(LayTable[[Faktisk res]:[Faktisk res]],LayTable[[Dato]:[Dato]],"&gt;="&amp;I$8,LayTable[[Dato]:[Dato]],"&lt;="&amp;EOMONTH(I$8,0),LayTable[[Bookmaker]:[Bookmaker]],$A114)+SUMIFS(BetTable[[AR_per_bookie]:[AR_per_bookie]],BetTable[[B1]:[B1]],$A114,BetTable[[Date]:[Date]], "&gt;="&amp;I$8,BetTable[[Date]:[Date]],"&lt;="&amp;EOMONTH(I$8,0))+SUMIFS(BetTable[[AR_per_bookie]:[AR_per_bookie]],BetTable[[B2]:[B2]],$A114,BetTable[[Date]:[Date]], "&gt;="&amp;I$8,BetTable[[Date]:[Date]],"&lt;="&amp;EOMONTH(I$8,0))+SUMIFS(BetTable[[AR_per_bookie]:[AR_per_bookie]],BetTable[[B3]:[B3]],$A114,BetTable[[Date]:[Date]], "&gt;="&amp;I$8,BetTable[[Date]:[Date]],"&lt;="&amp;EOMONTH(I$8,0))</f>
        <v>0</v>
      </c>
      <c r="J114" s="126">
        <f>SUMIFS(DWbonus[[Sum]:[Sum]],DWbonus[[Dato]:[Dato]], "&gt;="&amp;J$8,DWbonus[[Dato]:[Dato]],"&lt;="&amp;EOMONTH(J$8,0),DWbonus[[Bookie]:[Bookie]],$A114)+SUMIFS(LayTable[[Faktisk res]:[Faktisk res]],LayTable[[Dato]:[Dato]],"&gt;="&amp;J$8,LayTable[[Dato]:[Dato]],"&lt;="&amp;EOMONTH(J$8,0),LayTable[[Bookmaker]:[Bookmaker]],$A114)+SUMIFS(BetTable[[AR_per_bookie]:[AR_per_bookie]],BetTable[[B1]:[B1]],$A114,BetTable[[Date]:[Date]], "&gt;="&amp;J$8,BetTable[[Date]:[Date]],"&lt;="&amp;EOMONTH(J$8,0))+SUMIFS(BetTable[[AR_per_bookie]:[AR_per_bookie]],BetTable[[B2]:[B2]],$A114,BetTable[[Date]:[Date]], "&gt;="&amp;J$8,BetTable[[Date]:[Date]],"&lt;="&amp;EOMONTH(J$8,0))+SUMIFS(BetTable[[AR_per_bookie]:[AR_per_bookie]],BetTable[[B3]:[B3]],$A114,BetTable[[Date]:[Date]], "&gt;="&amp;J$8,BetTable[[Date]:[Date]],"&lt;="&amp;EOMONTH(J$8,0))</f>
        <v>0</v>
      </c>
      <c r="K114" s="126">
        <f>SUMIFS(DWbonus[[Sum]:[Sum]],DWbonus[[Dato]:[Dato]], "&gt;="&amp;K$8,DWbonus[[Dato]:[Dato]],"&lt;="&amp;EOMONTH(K$8,0),DWbonus[[Bookie]:[Bookie]],$A114)+SUMIFS(LayTable[[Faktisk res]:[Faktisk res]],LayTable[[Dato]:[Dato]],"&gt;="&amp;K$8,LayTable[[Dato]:[Dato]],"&lt;="&amp;EOMONTH(K$8,0),LayTable[[Bookmaker]:[Bookmaker]],$A114)+SUMIFS(BetTable[[AR_per_bookie]:[AR_per_bookie]],BetTable[[B1]:[B1]],$A114,BetTable[[Date]:[Date]], "&gt;="&amp;K$8,BetTable[[Date]:[Date]],"&lt;="&amp;EOMONTH(K$8,0))+SUMIFS(BetTable[[AR_per_bookie]:[AR_per_bookie]],BetTable[[B2]:[B2]],$A114,BetTable[[Date]:[Date]], "&gt;="&amp;K$8,BetTable[[Date]:[Date]],"&lt;="&amp;EOMONTH(K$8,0))+SUMIFS(BetTable[[AR_per_bookie]:[AR_per_bookie]],BetTable[[B3]:[B3]],$A114,BetTable[[Date]:[Date]], "&gt;="&amp;K$8,BetTable[[Date]:[Date]],"&lt;="&amp;EOMONTH(K$8,0))</f>
        <v>0</v>
      </c>
      <c r="L114" s="126">
        <f>SUMIFS(DWbonus[[Sum]:[Sum]],DWbonus[[Dato]:[Dato]], "&gt;="&amp;L$8,DWbonus[[Dato]:[Dato]],"&lt;="&amp;EOMONTH(L$8,0),DWbonus[[Bookie]:[Bookie]],$A114)+SUMIFS(LayTable[[Faktisk res]:[Faktisk res]],LayTable[[Dato]:[Dato]],"&gt;="&amp;L$8,LayTable[[Dato]:[Dato]],"&lt;="&amp;EOMONTH(L$8,0),LayTable[[Bookmaker]:[Bookmaker]],$A114)+SUMIFS(BetTable[[AR_per_bookie]:[AR_per_bookie]],BetTable[[B1]:[B1]],$A114,BetTable[[Date]:[Date]], "&gt;="&amp;L$8,BetTable[[Date]:[Date]],"&lt;="&amp;EOMONTH(L$8,0))+SUMIFS(BetTable[[AR_per_bookie]:[AR_per_bookie]],BetTable[[B2]:[B2]],$A114,BetTable[[Date]:[Date]], "&gt;="&amp;L$8,BetTable[[Date]:[Date]],"&lt;="&amp;EOMONTH(L$8,0))+SUMIFS(BetTable[[AR_per_bookie]:[AR_per_bookie]],BetTable[[B3]:[B3]],$A114,BetTable[[Date]:[Date]], "&gt;="&amp;L$8,BetTable[[Date]:[Date]],"&lt;="&amp;EOMONTH(L$8,0))</f>
        <v>0</v>
      </c>
      <c r="M114" s="126">
        <f>SUMIFS(DWbonus[[Sum]:[Sum]],DWbonus[[Dato]:[Dato]], "&gt;="&amp;M$8,DWbonus[[Dato]:[Dato]],"&lt;="&amp;EOMONTH(M$8,0),DWbonus[[Bookie]:[Bookie]],$A114)+SUMIFS(LayTable[[Faktisk res]:[Faktisk res]],LayTable[[Dato]:[Dato]],"&gt;="&amp;M$8,LayTable[[Dato]:[Dato]],"&lt;="&amp;EOMONTH(M$8,0),LayTable[[Bookmaker]:[Bookmaker]],$A114)+SUMIFS(BetTable[[AR_per_bookie]:[AR_per_bookie]],BetTable[[B1]:[B1]],$A114,BetTable[[Date]:[Date]], "&gt;="&amp;M$8,BetTable[[Date]:[Date]],"&lt;="&amp;EOMONTH(M$8,0))+SUMIFS(BetTable[[AR_per_bookie]:[AR_per_bookie]],BetTable[[B2]:[B2]],$A114,BetTable[[Date]:[Date]], "&gt;="&amp;M$8,BetTable[[Date]:[Date]],"&lt;="&amp;EOMONTH(M$8,0))+SUMIFS(BetTable[[AR_per_bookie]:[AR_per_bookie]],BetTable[[B3]:[B3]],$A114,BetTable[[Date]:[Date]], "&gt;="&amp;M$8,BetTable[[Date]:[Date]],"&lt;="&amp;EOMONTH(M$8,0))</f>
        <v>0</v>
      </c>
      <c r="N114" s="126">
        <f>SUMIFS(DWbonus[[Sum]:[Sum]],DWbonus[[Dato]:[Dato]], "&gt;="&amp;N$8,DWbonus[[Dato]:[Dato]],"&lt;="&amp;EOMONTH(N$8,0),DWbonus[[Bookie]:[Bookie]],$A114)+SUMIFS(LayTable[[Faktisk res]:[Faktisk res]],LayTable[[Dato]:[Dato]],"&gt;="&amp;N$8,LayTable[[Dato]:[Dato]],"&lt;="&amp;EOMONTH(N$8,0),LayTable[[Bookmaker]:[Bookmaker]],$A114)+SUMIFS(BetTable[[AR_per_bookie]:[AR_per_bookie]],BetTable[[B1]:[B1]],$A114,BetTable[[Date]:[Date]], "&gt;="&amp;N$8,BetTable[[Date]:[Date]],"&lt;="&amp;EOMONTH(N$8,0))+SUMIFS(BetTable[[AR_per_bookie]:[AR_per_bookie]],BetTable[[B2]:[B2]],$A114,BetTable[[Date]:[Date]], "&gt;="&amp;N$8,BetTable[[Date]:[Date]],"&lt;="&amp;EOMONTH(N$8,0))+SUMIFS(BetTable[[AR_per_bookie]:[AR_per_bookie]],BetTable[[B3]:[B3]],$A114,BetTable[[Date]:[Date]], "&gt;="&amp;N$8,BetTable[[Date]:[Date]],"&lt;="&amp;EOMONTH(N$8,0))</f>
        <v>0</v>
      </c>
      <c r="O114" s="126">
        <f>SUMIFS(DWbonus[[Sum]:[Sum]],DWbonus[[Dato]:[Dato]], "&gt;="&amp;O$8,DWbonus[[Dato]:[Dato]],"&lt;="&amp;EOMONTH(O$8,0),DWbonus[[Bookie]:[Bookie]],$A114)+SUMIFS(LayTable[[Faktisk res]:[Faktisk res]],LayTable[[Dato]:[Dato]],"&gt;="&amp;O$8,LayTable[[Dato]:[Dato]],"&lt;="&amp;EOMONTH(O$8,0),LayTable[[Bookmaker]:[Bookmaker]],$A114)+SUMIFS(BetTable[[AR_per_bookie]:[AR_per_bookie]],BetTable[[B1]:[B1]],$A114,BetTable[[Date]:[Date]], "&gt;="&amp;O$8,BetTable[[Date]:[Date]],"&lt;="&amp;EOMONTH(O$8,0))+SUMIFS(BetTable[[AR_per_bookie]:[AR_per_bookie]],BetTable[[B2]:[B2]],$A114,BetTable[[Date]:[Date]], "&gt;="&amp;O$8,BetTable[[Date]:[Date]],"&lt;="&amp;EOMONTH(O$8,0))+SUMIFS(BetTable[[AR_per_bookie]:[AR_per_bookie]],BetTable[[B3]:[B3]],$A114,BetTable[[Date]:[Date]], "&gt;="&amp;O$8,BetTable[[Date]:[Date]],"&lt;="&amp;EOMONTH(O$8,0))</f>
        <v>0</v>
      </c>
      <c r="P114" s="126">
        <f>SUMIFS(DWbonus[[Sum]:[Sum]],DWbonus[[Dato]:[Dato]], "&gt;="&amp;P$8,DWbonus[[Dato]:[Dato]],"&lt;="&amp;EOMONTH(P$8,0),DWbonus[[Bookie]:[Bookie]],$A114)+SUMIFS(LayTable[[Faktisk res]:[Faktisk res]],LayTable[[Dato]:[Dato]],"&gt;="&amp;P$8,LayTable[[Dato]:[Dato]],"&lt;="&amp;EOMONTH(P$8,0),LayTable[[Bookmaker]:[Bookmaker]],$A114)+SUMIFS(BetTable[[AR_per_bookie]:[AR_per_bookie]],BetTable[[B1]:[B1]],$A114,BetTable[[Date]:[Date]], "&gt;="&amp;P$8,BetTable[[Date]:[Date]],"&lt;="&amp;EOMONTH(P$8,0))+SUMIFS(BetTable[[AR_per_bookie]:[AR_per_bookie]],BetTable[[B2]:[B2]],$A114,BetTable[[Date]:[Date]], "&gt;="&amp;P$8,BetTable[[Date]:[Date]],"&lt;="&amp;EOMONTH(P$8,0))+SUMIFS(BetTable[[AR_per_bookie]:[AR_per_bookie]],BetTable[[B3]:[B3]],$A114,BetTable[[Date]:[Date]], "&gt;="&amp;P$8,BetTable[[Date]:[Date]],"&lt;="&amp;EOMONTH(P$8,0))</f>
        <v>0</v>
      </c>
      <c r="Q114" s="126">
        <f>SUMIFS(DWbonus[[Sum]:[Sum]],DWbonus[[Dato]:[Dato]], "&gt;="&amp;Q$8,DWbonus[[Dato]:[Dato]],"&lt;="&amp;EOMONTH(Q$8,0),DWbonus[[Bookie]:[Bookie]],$A114)+SUMIFS(LayTable[[Faktisk res]:[Faktisk res]],LayTable[[Dato]:[Dato]],"&gt;="&amp;Q$8,LayTable[[Dato]:[Dato]],"&lt;="&amp;EOMONTH(Q$8,0),LayTable[[Bookmaker]:[Bookmaker]],$A114)+SUMIFS(BetTable[[AR_per_bookie]:[AR_per_bookie]],BetTable[[B1]:[B1]],$A114,BetTable[[Date]:[Date]], "&gt;="&amp;Q$8,BetTable[[Date]:[Date]],"&lt;="&amp;EOMONTH(Q$8,0))+SUMIFS(BetTable[[AR_per_bookie]:[AR_per_bookie]],BetTable[[B2]:[B2]],$A114,BetTable[[Date]:[Date]], "&gt;="&amp;Q$8,BetTable[[Date]:[Date]],"&lt;="&amp;EOMONTH(Q$8,0))+SUMIFS(BetTable[[AR_per_bookie]:[AR_per_bookie]],BetTable[[B3]:[B3]],$A114,BetTable[[Date]:[Date]], "&gt;="&amp;Q$8,BetTable[[Date]:[Date]],"&lt;="&amp;EOMONTH(Q$8,0))</f>
        <v>0</v>
      </c>
      <c r="R114" s="126">
        <f>SUMIFS(DWbonus[[Sum]:[Sum]],DWbonus[[Dato]:[Dato]], "&gt;="&amp;R$8,DWbonus[[Dato]:[Dato]],"&lt;="&amp;EOMONTH(R$8,0),DWbonus[[Bookie]:[Bookie]],$A114)+SUMIFS(LayTable[[Faktisk res]:[Faktisk res]],LayTable[[Dato]:[Dato]],"&gt;="&amp;R$8,LayTable[[Dato]:[Dato]],"&lt;="&amp;EOMONTH(R$8,0),LayTable[[Bookmaker]:[Bookmaker]],$A114)+SUMIFS(BetTable[[AR_per_bookie]:[AR_per_bookie]],BetTable[[B1]:[B1]],$A114,BetTable[[Date]:[Date]], "&gt;="&amp;R$8,BetTable[[Date]:[Date]],"&lt;="&amp;EOMONTH(R$8,0))+SUMIFS(BetTable[[AR_per_bookie]:[AR_per_bookie]],BetTable[[B2]:[B2]],$A114,BetTable[[Date]:[Date]], "&gt;="&amp;R$8,BetTable[[Date]:[Date]],"&lt;="&amp;EOMONTH(R$8,0))+SUMIFS(BetTable[[AR_per_bookie]:[AR_per_bookie]],BetTable[[B3]:[B3]],$A114,BetTable[[Date]:[Date]], "&gt;="&amp;R$8,BetTable[[Date]:[Date]],"&lt;="&amp;EOMONTH(R$8,0))</f>
        <v>0</v>
      </c>
      <c r="S114" s="126">
        <f>SUMIFS(DWbonus[[Sum]:[Sum]],DWbonus[[Dato]:[Dato]], "&gt;="&amp;S$8,DWbonus[[Dato]:[Dato]],"&lt;="&amp;EOMONTH(S$8,0),DWbonus[[Bookie]:[Bookie]],$A114)+SUMIFS(LayTable[[Faktisk res]:[Faktisk res]],LayTable[[Dato]:[Dato]],"&gt;="&amp;S$8,LayTable[[Dato]:[Dato]],"&lt;="&amp;EOMONTH(S$8,0),LayTable[[Bookmaker]:[Bookmaker]],$A114)+SUMIFS(BetTable[[AR_per_bookie]:[AR_per_bookie]],BetTable[[B1]:[B1]],$A114,BetTable[[Date]:[Date]], "&gt;="&amp;S$8,BetTable[[Date]:[Date]],"&lt;="&amp;EOMONTH(S$8,0))+SUMIFS(BetTable[[AR_per_bookie]:[AR_per_bookie]],BetTable[[B2]:[B2]],$A114,BetTable[[Date]:[Date]], "&gt;="&amp;S$8,BetTable[[Date]:[Date]],"&lt;="&amp;EOMONTH(S$8,0))+SUMIFS(BetTable[[AR_per_bookie]:[AR_per_bookie]],BetTable[[B3]:[B3]],$A114,BetTable[[Date]:[Date]], "&gt;="&amp;S$8,BetTable[[Date]:[Date]],"&lt;="&amp;EOMONTH(S$8,0))</f>
        <v>0</v>
      </c>
    </row>
    <row r="115" spans="1:19">
      <c r="A115" s="115">
        <f>BookieNavn!I109</f>
        <v>0</v>
      </c>
      <c r="B115" s="126">
        <f>SUMIF(Penger!D$1:D$50072,A115,Penger!F$1:F$50072)</f>
        <v>0</v>
      </c>
      <c r="C115" s="126">
        <f>SUMIF(Penger!T$1:T$50072,A115,Penger!U$1:U$50072)</f>
        <v>0</v>
      </c>
      <c r="D115" s="126">
        <f ca="1">SUMIF(Spill!C$1:C$499895,A115,Spill!T$1:T$49895)+C115</f>
        <v>0</v>
      </c>
      <c r="E115" s="126">
        <f>SUMIF(Spill!C$1:C$49895,A115,Spill!T$1:T$49895)</f>
        <v>0</v>
      </c>
      <c r="F115" s="121" t="e">
        <f t="shared" ca="1" si="2"/>
        <v>#DIV/0!</v>
      </c>
      <c r="H115" s="126">
        <f>SUMIFS(DWbonus[[Sum]:[Sum]],DWbonus[[Dato]:[Dato]], "&gt;="&amp;H$8,DWbonus[[Dato]:[Dato]],"&lt;="&amp;EOMONTH(H$8,0),DWbonus[[Bookie]:[Bookie]],$A115)+SUMIFS(LayTable[[Faktisk res]:[Faktisk res]],LayTable[[Dato]:[Dato]],"&gt;="&amp;H$8,LayTable[[Dato]:[Dato]],"&lt;="&amp;EOMONTH(H$8,0),LayTable[[Bookmaker]:[Bookmaker]],$A115)+SUMIFS(BetTable[[AR_per_bookie]:[AR_per_bookie]],BetTable[[B1]:[B1]],$A115,BetTable[[Date]:[Date]], "&gt;="&amp;H$8,BetTable[[Date]:[Date]],"&lt;="&amp;EOMONTH(H$8,0))+SUMIFS(BetTable[[AR_per_bookie]:[AR_per_bookie]],BetTable[[B2]:[B2]],$A115,BetTable[[Date]:[Date]], "&gt;="&amp;H$8,BetTable[[Date]:[Date]],"&lt;="&amp;EOMONTH(H$8,0))+SUMIFS(BetTable[[AR_per_bookie]:[AR_per_bookie]],BetTable[[B3]:[B3]],$A115,BetTable[[Date]:[Date]], "&gt;="&amp;H$8,BetTable[[Date]:[Date]],"&lt;="&amp;EOMONTH(H$8,0))</f>
        <v>0</v>
      </c>
      <c r="I115" s="126">
        <f>SUMIFS(DWbonus[[Sum]:[Sum]],DWbonus[[Dato]:[Dato]], "&gt;="&amp;I$8,DWbonus[[Dato]:[Dato]],"&lt;="&amp;EOMONTH(I$8,0),DWbonus[[Bookie]:[Bookie]],$A115)+SUMIFS(LayTable[[Faktisk res]:[Faktisk res]],LayTable[[Dato]:[Dato]],"&gt;="&amp;I$8,LayTable[[Dato]:[Dato]],"&lt;="&amp;EOMONTH(I$8,0),LayTable[[Bookmaker]:[Bookmaker]],$A115)+SUMIFS(BetTable[[AR_per_bookie]:[AR_per_bookie]],BetTable[[B1]:[B1]],$A115,BetTable[[Date]:[Date]], "&gt;="&amp;I$8,BetTable[[Date]:[Date]],"&lt;="&amp;EOMONTH(I$8,0))+SUMIFS(BetTable[[AR_per_bookie]:[AR_per_bookie]],BetTable[[B2]:[B2]],$A115,BetTable[[Date]:[Date]], "&gt;="&amp;I$8,BetTable[[Date]:[Date]],"&lt;="&amp;EOMONTH(I$8,0))+SUMIFS(BetTable[[AR_per_bookie]:[AR_per_bookie]],BetTable[[B3]:[B3]],$A115,BetTable[[Date]:[Date]], "&gt;="&amp;I$8,BetTable[[Date]:[Date]],"&lt;="&amp;EOMONTH(I$8,0))</f>
        <v>0</v>
      </c>
      <c r="J115" s="126">
        <f>SUMIFS(DWbonus[[Sum]:[Sum]],DWbonus[[Dato]:[Dato]], "&gt;="&amp;J$8,DWbonus[[Dato]:[Dato]],"&lt;="&amp;EOMONTH(J$8,0),DWbonus[[Bookie]:[Bookie]],$A115)+SUMIFS(LayTable[[Faktisk res]:[Faktisk res]],LayTable[[Dato]:[Dato]],"&gt;="&amp;J$8,LayTable[[Dato]:[Dato]],"&lt;="&amp;EOMONTH(J$8,0),LayTable[[Bookmaker]:[Bookmaker]],$A115)+SUMIFS(BetTable[[AR_per_bookie]:[AR_per_bookie]],BetTable[[B1]:[B1]],$A115,BetTable[[Date]:[Date]], "&gt;="&amp;J$8,BetTable[[Date]:[Date]],"&lt;="&amp;EOMONTH(J$8,0))+SUMIFS(BetTable[[AR_per_bookie]:[AR_per_bookie]],BetTable[[B2]:[B2]],$A115,BetTable[[Date]:[Date]], "&gt;="&amp;J$8,BetTable[[Date]:[Date]],"&lt;="&amp;EOMONTH(J$8,0))+SUMIFS(BetTable[[AR_per_bookie]:[AR_per_bookie]],BetTable[[B3]:[B3]],$A115,BetTable[[Date]:[Date]], "&gt;="&amp;J$8,BetTable[[Date]:[Date]],"&lt;="&amp;EOMONTH(J$8,0))</f>
        <v>0</v>
      </c>
      <c r="K115" s="126">
        <f>SUMIFS(DWbonus[[Sum]:[Sum]],DWbonus[[Dato]:[Dato]], "&gt;="&amp;K$8,DWbonus[[Dato]:[Dato]],"&lt;="&amp;EOMONTH(K$8,0),DWbonus[[Bookie]:[Bookie]],$A115)+SUMIFS(LayTable[[Faktisk res]:[Faktisk res]],LayTable[[Dato]:[Dato]],"&gt;="&amp;K$8,LayTable[[Dato]:[Dato]],"&lt;="&amp;EOMONTH(K$8,0),LayTable[[Bookmaker]:[Bookmaker]],$A115)+SUMIFS(BetTable[[AR_per_bookie]:[AR_per_bookie]],BetTable[[B1]:[B1]],$A115,BetTable[[Date]:[Date]], "&gt;="&amp;K$8,BetTable[[Date]:[Date]],"&lt;="&amp;EOMONTH(K$8,0))+SUMIFS(BetTable[[AR_per_bookie]:[AR_per_bookie]],BetTable[[B2]:[B2]],$A115,BetTable[[Date]:[Date]], "&gt;="&amp;K$8,BetTable[[Date]:[Date]],"&lt;="&amp;EOMONTH(K$8,0))+SUMIFS(BetTable[[AR_per_bookie]:[AR_per_bookie]],BetTable[[B3]:[B3]],$A115,BetTable[[Date]:[Date]], "&gt;="&amp;K$8,BetTable[[Date]:[Date]],"&lt;="&amp;EOMONTH(K$8,0))</f>
        <v>0</v>
      </c>
      <c r="L115" s="126">
        <f>SUMIFS(DWbonus[[Sum]:[Sum]],DWbonus[[Dato]:[Dato]], "&gt;="&amp;L$8,DWbonus[[Dato]:[Dato]],"&lt;="&amp;EOMONTH(L$8,0),DWbonus[[Bookie]:[Bookie]],$A115)+SUMIFS(LayTable[[Faktisk res]:[Faktisk res]],LayTable[[Dato]:[Dato]],"&gt;="&amp;L$8,LayTable[[Dato]:[Dato]],"&lt;="&amp;EOMONTH(L$8,0),LayTable[[Bookmaker]:[Bookmaker]],$A115)+SUMIFS(BetTable[[AR_per_bookie]:[AR_per_bookie]],BetTable[[B1]:[B1]],$A115,BetTable[[Date]:[Date]], "&gt;="&amp;L$8,BetTable[[Date]:[Date]],"&lt;="&amp;EOMONTH(L$8,0))+SUMIFS(BetTable[[AR_per_bookie]:[AR_per_bookie]],BetTable[[B2]:[B2]],$A115,BetTable[[Date]:[Date]], "&gt;="&amp;L$8,BetTable[[Date]:[Date]],"&lt;="&amp;EOMONTH(L$8,0))+SUMIFS(BetTable[[AR_per_bookie]:[AR_per_bookie]],BetTable[[B3]:[B3]],$A115,BetTable[[Date]:[Date]], "&gt;="&amp;L$8,BetTable[[Date]:[Date]],"&lt;="&amp;EOMONTH(L$8,0))</f>
        <v>0</v>
      </c>
      <c r="M115" s="126">
        <f>SUMIFS(DWbonus[[Sum]:[Sum]],DWbonus[[Dato]:[Dato]], "&gt;="&amp;M$8,DWbonus[[Dato]:[Dato]],"&lt;="&amp;EOMONTH(M$8,0),DWbonus[[Bookie]:[Bookie]],$A115)+SUMIFS(LayTable[[Faktisk res]:[Faktisk res]],LayTable[[Dato]:[Dato]],"&gt;="&amp;M$8,LayTable[[Dato]:[Dato]],"&lt;="&amp;EOMONTH(M$8,0),LayTable[[Bookmaker]:[Bookmaker]],$A115)+SUMIFS(BetTable[[AR_per_bookie]:[AR_per_bookie]],BetTable[[B1]:[B1]],$A115,BetTable[[Date]:[Date]], "&gt;="&amp;M$8,BetTable[[Date]:[Date]],"&lt;="&amp;EOMONTH(M$8,0))+SUMIFS(BetTable[[AR_per_bookie]:[AR_per_bookie]],BetTable[[B2]:[B2]],$A115,BetTable[[Date]:[Date]], "&gt;="&amp;M$8,BetTable[[Date]:[Date]],"&lt;="&amp;EOMONTH(M$8,0))+SUMIFS(BetTable[[AR_per_bookie]:[AR_per_bookie]],BetTable[[B3]:[B3]],$A115,BetTable[[Date]:[Date]], "&gt;="&amp;M$8,BetTable[[Date]:[Date]],"&lt;="&amp;EOMONTH(M$8,0))</f>
        <v>0</v>
      </c>
      <c r="N115" s="126">
        <f>SUMIFS(DWbonus[[Sum]:[Sum]],DWbonus[[Dato]:[Dato]], "&gt;="&amp;N$8,DWbonus[[Dato]:[Dato]],"&lt;="&amp;EOMONTH(N$8,0),DWbonus[[Bookie]:[Bookie]],$A115)+SUMIFS(LayTable[[Faktisk res]:[Faktisk res]],LayTable[[Dato]:[Dato]],"&gt;="&amp;N$8,LayTable[[Dato]:[Dato]],"&lt;="&amp;EOMONTH(N$8,0),LayTable[[Bookmaker]:[Bookmaker]],$A115)+SUMIFS(BetTable[[AR_per_bookie]:[AR_per_bookie]],BetTable[[B1]:[B1]],$A115,BetTable[[Date]:[Date]], "&gt;="&amp;N$8,BetTable[[Date]:[Date]],"&lt;="&amp;EOMONTH(N$8,0))+SUMIFS(BetTable[[AR_per_bookie]:[AR_per_bookie]],BetTable[[B2]:[B2]],$A115,BetTable[[Date]:[Date]], "&gt;="&amp;N$8,BetTable[[Date]:[Date]],"&lt;="&amp;EOMONTH(N$8,0))+SUMIFS(BetTable[[AR_per_bookie]:[AR_per_bookie]],BetTable[[B3]:[B3]],$A115,BetTable[[Date]:[Date]], "&gt;="&amp;N$8,BetTable[[Date]:[Date]],"&lt;="&amp;EOMONTH(N$8,0))</f>
        <v>0</v>
      </c>
      <c r="O115" s="126">
        <f>SUMIFS(DWbonus[[Sum]:[Sum]],DWbonus[[Dato]:[Dato]], "&gt;="&amp;O$8,DWbonus[[Dato]:[Dato]],"&lt;="&amp;EOMONTH(O$8,0),DWbonus[[Bookie]:[Bookie]],$A115)+SUMIFS(LayTable[[Faktisk res]:[Faktisk res]],LayTable[[Dato]:[Dato]],"&gt;="&amp;O$8,LayTable[[Dato]:[Dato]],"&lt;="&amp;EOMONTH(O$8,0),LayTable[[Bookmaker]:[Bookmaker]],$A115)+SUMIFS(BetTable[[AR_per_bookie]:[AR_per_bookie]],BetTable[[B1]:[B1]],$A115,BetTable[[Date]:[Date]], "&gt;="&amp;O$8,BetTable[[Date]:[Date]],"&lt;="&amp;EOMONTH(O$8,0))+SUMIFS(BetTable[[AR_per_bookie]:[AR_per_bookie]],BetTable[[B2]:[B2]],$A115,BetTable[[Date]:[Date]], "&gt;="&amp;O$8,BetTable[[Date]:[Date]],"&lt;="&amp;EOMONTH(O$8,0))+SUMIFS(BetTable[[AR_per_bookie]:[AR_per_bookie]],BetTable[[B3]:[B3]],$A115,BetTable[[Date]:[Date]], "&gt;="&amp;O$8,BetTable[[Date]:[Date]],"&lt;="&amp;EOMONTH(O$8,0))</f>
        <v>0</v>
      </c>
      <c r="P115" s="126">
        <f>SUMIFS(DWbonus[[Sum]:[Sum]],DWbonus[[Dato]:[Dato]], "&gt;="&amp;P$8,DWbonus[[Dato]:[Dato]],"&lt;="&amp;EOMONTH(P$8,0),DWbonus[[Bookie]:[Bookie]],$A115)+SUMIFS(LayTable[[Faktisk res]:[Faktisk res]],LayTable[[Dato]:[Dato]],"&gt;="&amp;P$8,LayTable[[Dato]:[Dato]],"&lt;="&amp;EOMONTH(P$8,0),LayTable[[Bookmaker]:[Bookmaker]],$A115)+SUMIFS(BetTable[[AR_per_bookie]:[AR_per_bookie]],BetTable[[B1]:[B1]],$A115,BetTable[[Date]:[Date]], "&gt;="&amp;P$8,BetTable[[Date]:[Date]],"&lt;="&amp;EOMONTH(P$8,0))+SUMIFS(BetTable[[AR_per_bookie]:[AR_per_bookie]],BetTable[[B2]:[B2]],$A115,BetTable[[Date]:[Date]], "&gt;="&amp;P$8,BetTable[[Date]:[Date]],"&lt;="&amp;EOMONTH(P$8,0))+SUMIFS(BetTable[[AR_per_bookie]:[AR_per_bookie]],BetTable[[B3]:[B3]],$A115,BetTable[[Date]:[Date]], "&gt;="&amp;P$8,BetTable[[Date]:[Date]],"&lt;="&amp;EOMONTH(P$8,0))</f>
        <v>0</v>
      </c>
      <c r="Q115" s="126">
        <f>SUMIFS(DWbonus[[Sum]:[Sum]],DWbonus[[Dato]:[Dato]], "&gt;="&amp;Q$8,DWbonus[[Dato]:[Dato]],"&lt;="&amp;EOMONTH(Q$8,0),DWbonus[[Bookie]:[Bookie]],$A115)+SUMIFS(LayTable[[Faktisk res]:[Faktisk res]],LayTable[[Dato]:[Dato]],"&gt;="&amp;Q$8,LayTable[[Dato]:[Dato]],"&lt;="&amp;EOMONTH(Q$8,0),LayTable[[Bookmaker]:[Bookmaker]],$A115)+SUMIFS(BetTable[[AR_per_bookie]:[AR_per_bookie]],BetTable[[B1]:[B1]],$A115,BetTable[[Date]:[Date]], "&gt;="&amp;Q$8,BetTable[[Date]:[Date]],"&lt;="&amp;EOMONTH(Q$8,0))+SUMIFS(BetTable[[AR_per_bookie]:[AR_per_bookie]],BetTable[[B2]:[B2]],$A115,BetTable[[Date]:[Date]], "&gt;="&amp;Q$8,BetTable[[Date]:[Date]],"&lt;="&amp;EOMONTH(Q$8,0))+SUMIFS(BetTable[[AR_per_bookie]:[AR_per_bookie]],BetTable[[B3]:[B3]],$A115,BetTable[[Date]:[Date]], "&gt;="&amp;Q$8,BetTable[[Date]:[Date]],"&lt;="&amp;EOMONTH(Q$8,0))</f>
        <v>0</v>
      </c>
      <c r="R115" s="126">
        <f>SUMIFS(DWbonus[[Sum]:[Sum]],DWbonus[[Dato]:[Dato]], "&gt;="&amp;R$8,DWbonus[[Dato]:[Dato]],"&lt;="&amp;EOMONTH(R$8,0),DWbonus[[Bookie]:[Bookie]],$A115)+SUMIFS(LayTable[[Faktisk res]:[Faktisk res]],LayTable[[Dato]:[Dato]],"&gt;="&amp;R$8,LayTable[[Dato]:[Dato]],"&lt;="&amp;EOMONTH(R$8,0),LayTable[[Bookmaker]:[Bookmaker]],$A115)+SUMIFS(BetTable[[AR_per_bookie]:[AR_per_bookie]],BetTable[[B1]:[B1]],$A115,BetTable[[Date]:[Date]], "&gt;="&amp;R$8,BetTable[[Date]:[Date]],"&lt;="&amp;EOMONTH(R$8,0))+SUMIFS(BetTable[[AR_per_bookie]:[AR_per_bookie]],BetTable[[B2]:[B2]],$A115,BetTable[[Date]:[Date]], "&gt;="&amp;R$8,BetTable[[Date]:[Date]],"&lt;="&amp;EOMONTH(R$8,0))+SUMIFS(BetTable[[AR_per_bookie]:[AR_per_bookie]],BetTable[[B3]:[B3]],$A115,BetTable[[Date]:[Date]], "&gt;="&amp;R$8,BetTable[[Date]:[Date]],"&lt;="&amp;EOMONTH(R$8,0))</f>
        <v>0</v>
      </c>
      <c r="S115" s="126">
        <f>SUMIFS(DWbonus[[Sum]:[Sum]],DWbonus[[Dato]:[Dato]], "&gt;="&amp;S$8,DWbonus[[Dato]:[Dato]],"&lt;="&amp;EOMONTH(S$8,0),DWbonus[[Bookie]:[Bookie]],$A115)+SUMIFS(LayTable[[Faktisk res]:[Faktisk res]],LayTable[[Dato]:[Dato]],"&gt;="&amp;S$8,LayTable[[Dato]:[Dato]],"&lt;="&amp;EOMONTH(S$8,0),LayTable[[Bookmaker]:[Bookmaker]],$A115)+SUMIFS(BetTable[[AR_per_bookie]:[AR_per_bookie]],BetTable[[B1]:[B1]],$A115,BetTable[[Date]:[Date]], "&gt;="&amp;S$8,BetTable[[Date]:[Date]],"&lt;="&amp;EOMONTH(S$8,0))+SUMIFS(BetTable[[AR_per_bookie]:[AR_per_bookie]],BetTable[[B2]:[B2]],$A115,BetTable[[Date]:[Date]], "&gt;="&amp;S$8,BetTable[[Date]:[Date]],"&lt;="&amp;EOMONTH(S$8,0))+SUMIFS(BetTable[[AR_per_bookie]:[AR_per_bookie]],BetTable[[B3]:[B3]],$A115,BetTable[[Date]:[Date]], "&gt;="&amp;S$8,BetTable[[Date]:[Date]],"&lt;="&amp;EOMONTH(S$8,0))</f>
        <v>0</v>
      </c>
    </row>
    <row r="116" spans="1:19">
      <c r="A116" s="115">
        <f>BookieNavn!I110</f>
        <v>0</v>
      </c>
      <c r="B116" s="126">
        <f>SUMIF(Penger!D$1:D$50072,A116,Penger!F$1:F$50072)</f>
        <v>0</v>
      </c>
      <c r="C116" s="126">
        <f>SUMIF(Penger!T$1:T$50072,A116,Penger!U$1:U$50072)</f>
        <v>0</v>
      </c>
      <c r="D116" s="126">
        <f ca="1">SUMIF(Spill!C$1:C$499895,A116,Spill!T$1:T$49895)+C116</f>
        <v>0</v>
      </c>
      <c r="E116" s="126">
        <f>SUMIF(Spill!C$1:C$49895,A116,Spill!T$1:T$49895)</f>
        <v>0</v>
      </c>
      <c r="F116" s="121" t="e">
        <f t="shared" ca="1" si="2"/>
        <v>#DIV/0!</v>
      </c>
      <c r="H116" s="126">
        <f>SUMIFS(DWbonus[[Sum]:[Sum]],DWbonus[[Dato]:[Dato]], "&gt;="&amp;H$8,DWbonus[[Dato]:[Dato]],"&lt;="&amp;EOMONTH(H$8,0),DWbonus[[Bookie]:[Bookie]],$A116)+SUMIFS(LayTable[[Faktisk res]:[Faktisk res]],LayTable[[Dato]:[Dato]],"&gt;="&amp;H$8,LayTable[[Dato]:[Dato]],"&lt;="&amp;EOMONTH(H$8,0),LayTable[[Bookmaker]:[Bookmaker]],$A116)+SUMIFS(BetTable[[AR_per_bookie]:[AR_per_bookie]],BetTable[[B1]:[B1]],$A116,BetTable[[Date]:[Date]], "&gt;="&amp;H$8,BetTable[[Date]:[Date]],"&lt;="&amp;EOMONTH(H$8,0))+SUMIFS(BetTable[[AR_per_bookie]:[AR_per_bookie]],BetTable[[B2]:[B2]],$A116,BetTable[[Date]:[Date]], "&gt;="&amp;H$8,BetTable[[Date]:[Date]],"&lt;="&amp;EOMONTH(H$8,0))+SUMIFS(BetTable[[AR_per_bookie]:[AR_per_bookie]],BetTable[[B3]:[B3]],$A116,BetTable[[Date]:[Date]], "&gt;="&amp;H$8,BetTable[[Date]:[Date]],"&lt;="&amp;EOMONTH(H$8,0))</f>
        <v>0</v>
      </c>
      <c r="I116" s="126">
        <f>SUMIFS(DWbonus[[Sum]:[Sum]],DWbonus[[Dato]:[Dato]], "&gt;="&amp;I$8,DWbonus[[Dato]:[Dato]],"&lt;="&amp;EOMONTH(I$8,0),DWbonus[[Bookie]:[Bookie]],$A116)+SUMIFS(LayTable[[Faktisk res]:[Faktisk res]],LayTable[[Dato]:[Dato]],"&gt;="&amp;I$8,LayTable[[Dato]:[Dato]],"&lt;="&amp;EOMONTH(I$8,0),LayTable[[Bookmaker]:[Bookmaker]],$A116)+SUMIFS(BetTable[[AR_per_bookie]:[AR_per_bookie]],BetTable[[B1]:[B1]],$A116,BetTable[[Date]:[Date]], "&gt;="&amp;I$8,BetTable[[Date]:[Date]],"&lt;="&amp;EOMONTH(I$8,0))+SUMIFS(BetTable[[AR_per_bookie]:[AR_per_bookie]],BetTable[[B2]:[B2]],$A116,BetTable[[Date]:[Date]], "&gt;="&amp;I$8,BetTable[[Date]:[Date]],"&lt;="&amp;EOMONTH(I$8,0))+SUMIFS(BetTable[[AR_per_bookie]:[AR_per_bookie]],BetTable[[B3]:[B3]],$A116,BetTable[[Date]:[Date]], "&gt;="&amp;I$8,BetTable[[Date]:[Date]],"&lt;="&amp;EOMONTH(I$8,0))</f>
        <v>0</v>
      </c>
      <c r="J116" s="126">
        <f>SUMIFS(DWbonus[[Sum]:[Sum]],DWbonus[[Dato]:[Dato]], "&gt;="&amp;J$8,DWbonus[[Dato]:[Dato]],"&lt;="&amp;EOMONTH(J$8,0),DWbonus[[Bookie]:[Bookie]],$A116)+SUMIFS(LayTable[[Faktisk res]:[Faktisk res]],LayTable[[Dato]:[Dato]],"&gt;="&amp;J$8,LayTable[[Dato]:[Dato]],"&lt;="&amp;EOMONTH(J$8,0),LayTable[[Bookmaker]:[Bookmaker]],$A116)+SUMIFS(BetTable[[AR_per_bookie]:[AR_per_bookie]],BetTable[[B1]:[B1]],$A116,BetTable[[Date]:[Date]], "&gt;="&amp;J$8,BetTable[[Date]:[Date]],"&lt;="&amp;EOMONTH(J$8,0))+SUMIFS(BetTable[[AR_per_bookie]:[AR_per_bookie]],BetTable[[B2]:[B2]],$A116,BetTable[[Date]:[Date]], "&gt;="&amp;J$8,BetTable[[Date]:[Date]],"&lt;="&amp;EOMONTH(J$8,0))+SUMIFS(BetTable[[AR_per_bookie]:[AR_per_bookie]],BetTable[[B3]:[B3]],$A116,BetTable[[Date]:[Date]], "&gt;="&amp;J$8,BetTable[[Date]:[Date]],"&lt;="&amp;EOMONTH(J$8,0))</f>
        <v>0</v>
      </c>
      <c r="K116" s="126">
        <f>SUMIFS(DWbonus[[Sum]:[Sum]],DWbonus[[Dato]:[Dato]], "&gt;="&amp;K$8,DWbonus[[Dato]:[Dato]],"&lt;="&amp;EOMONTH(K$8,0),DWbonus[[Bookie]:[Bookie]],$A116)+SUMIFS(LayTable[[Faktisk res]:[Faktisk res]],LayTable[[Dato]:[Dato]],"&gt;="&amp;K$8,LayTable[[Dato]:[Dato]],"&lt;="&amp;EOMONTH(K$8,0),LayTable[[Bookmaker]:[Bookmaker]],$A116)+SUMIFS(BetTable[[AR_per_bookie]:[AR_per_bookie]],BetTable[[B1]:[B1]],$A116,BetTable[[Date]:[Date]], "&gt;="&amp;K$8,BetTable[[Date]:[Date]],"&lt;="&amp;EOMONTH(K$8,0))+SUMIFS(BetTable[[AR_per_bookie]:[AR_per_bookie]],BetTable[[B2]:[B2]],$A116,BetTable[[Date]:[Date]], "&gt;="&amp;K$8,BetTable[[Date]:[Date]],"&lt;="&amp;EOMONTH(K$8,0))+SUMIFS(BetTable[[AR_per_bookie]:[AR_per_bookie]],BetTable[[B3]:[B3]],$A116,BetTable[[Date]:[Date]], "&gt;="&amp;K$8,BetTable[[Date]:[Date]],"&lt;="&amp;EOMONTH(K$8,0))</f>
        <v>0</v>
      </c>
      <c r="L116" s="126">
        <f>SUMIFS(DWbonus[[Sum]:[Sum]],DWbonus[[Dato]:[Dato]], "&gt;="&amp;L$8,DWbonus[[Dato]:[Dato]],"&lt;="&amp;EOMONTH(L$8,0),DWbonus[[Bookie]:[Bookie]],$A116)+SUMIFS(LayTable[[Faktisk res]:[Faktisk res]],LayTable[[Dato]:[Dato]],"&gt;="&amp;L$8,LayTable[[Dato]:[Dato]],"&lt;="&amp;EOMONTH(L$8,0),LayTable[[Bookmaker]:[Bookmaker]],$A116)+SUMIFS(BetTable[[AR_per_bookie]:[AR_per_bookie]],BetTable[[B1]:[B1]],$A116,BetTable[[Date]:[Date]], "&gt;="&amp;L$8,BetTable[[Date]:[Date]],"&lt;="&amp;EOMONTH(L$8,0))+SUMIFS(BetTable[[AR_per_bookie]:[AR_per_bookie]],BetTable[[B2]:[B2]],$A116,BetTable[[Date]:[Date]], "&gt;="&amp;L$8,BetTable[[Date]:[Date]],"&lt;="&amp;EOMONTH(L$8,0))+SUMIFS(BetTable[[AR_per_bookie]:[AR_per_bookie]],BetTable[[B3]:[B3]],$A116,BetTable[[Date]:[Date]], "&gt;="&amp;L$8,BetTable[[Date]:[Date]],"&lt;="&amp;EOMONTH(L$8,0))</f>
        <v>0</v>
      </c>
      <c r="M116" s="126">
        <f>SUMIFS(DWbonus[[Sum]:[Sum]],DWbonus[[Dato]:[Dato]], "&gt;="&amp;M$8,DWbonus[[Dato]:[Dato]],"&lt;="&amp;EOMONTH(M$8,0),DWbonus[[Bookie]:[Bookie]],$A116)+SUMIFS(LayTable[[Faktisk res]:[Faktisk res]],LayTable[[Dato]:[Dato]],"&gt;="&amp;M$8,LayTable[[Dato]:[Dato]],"&lt;="&amp;EOMONTH(M$8,0),LayTable[[Bookmaker]:[Bookmaker]],$A116)+SUMIFS(BetTable[[AR_per_bookie]:[AR_per_bookie]],BetTable[[B1]:[B1]],$A116,BetTable[[Date]:[Date]], "&gt;="&amp;M$8,BetTable[[Date]:[Date]],"&lt;="&amp;EOMONTH(M$8,0))+SUMIFS(BetTable[[AR_per_bookie]:[AR_per_bookie]],BetTable[[B2]:[B2]],$A116,BetTable[[Date]:[Date]], "&gt;="&amp;M$8,BetTable[[Date]:[Date]],"&lt;="&amp;EOMONTH(M$8,0))+SUMIFS(BetTable[[AR_per_bookie]:[AR_per_bookie]],BetTable[[B3]:[B3]],$A116,BetTable[[Date]:[Date]], "&gt;="&amp;M$8,BetTable[[Date]:[Date]],"&lt;="&amp;EOMONTH(M$8,0))</f>
        <v>0</v>
      </c>
      <c r="N116" s="126">
        <f>SUMIFS(DWbonus[[Sum]:[Sum]],DWbonus[[Dato]:[Dato]], "&gt;="&amp;N$8,DWbonus[[Dato]:[Dato]],"&lt;="&amp;EOMONTH(N$8,0),DWbonus[[Bookie]:[Bookie]],$A116)+SUMIFS(LayTable[[Faktisk res]:[Faktisk res]],LayTable[[Dato]:[Dato]],"&gt;="&amp;N$8,LayTable[[Dato]:[Dato]],"&lt;="&amp;EOMONTH(N$8,0),LayTable[[Bookmaker]:[Bookmaker]],$A116)+SUMIFS(BetTable[[AR_per_bookie]:[AR_per_bookie]],BetTable[[B1]:[B1]],$A116,BetTable[[Date]:[Date]], "&gt;="&amp;N$8,BetTable[[Date]:[Date]],"&lt;="&amp;EOMONTH(N$8,0))+SUMIFS(BetTable[[AR_per_bookie]:[AR_per_bookie]],BetTable[[B2]:[B2]],$A116,BetTable[[Date]:[Date]], "&gt;="&amp;N$8,BetTable[[Date]:[Date]],"&lt;="&amp;EOMONTH(N$8,0))+SUMIFS(BetTable[[AR_per_bookie]:[AR_per_bookie]],BetTable[[B3]:[B3]],$A116,BetTable[[Date]:[Date]], "&gt;="&amp;N$8,BetTable[[Date]:[Date]],"&lt;="&amp;EOMONTH(N$8,0))</f>
        <v>0</v>
      </c>
      <c r="O116" s="126">
        <f>SUMIFS(DWbonus[[Sum]:[Sum]],DWbonus[[Dato]:[Dato]], "&gt;="&amp;O$8,DWbonus[[Dato]:[Dato]],"&lt;="&amp;EOMONTH(O$8,0),DWbonus[[Bookie]:[Bookie]],$A116)+SUMIFS(LayTable[[Faktisk res]:[Faktisk res]],LayTable[[Dato]:[Dato]],"&gt;="&amp;O$8,LayTable[[Dato]:[Dato]],"&lt;="&amp;EOMONTH(O$8,0),LayTable[[Bookmaker]:[Bookmaker]],$A116)+SUMIFS(BetTable[[AR_per_bookie]:[AR_per_bookie]],BetTable[[B1]:[B1]],$A116,BetTable[[Date]:[Date]], "&gt;="&amp;O$8,BetTable[[Date]:[Date]],"&lt;="&amp;EOMONTH(O$8,0))+SUMIFS(BetTable[[AR_per_bookie]:[AR_per_bookie]],BetTable[[B2]:[B2]],$A116,BetTable[[Date]:[Date]], "&gt;="&amp;O$8,BetTable[[Date]:[Date]],"&lt;="&amp;EOMONTH(O$8,0))+SUMIFS(BetTable[[AR_per_bookie]:[AR_per_bookie]],BetTable[[B3]:[B3]],$A116,BetTable[[Date]:[Date]], "&gt;="&amp;O$8,BetTable[[Date]:[Date]],"&lt;="&amp;EOMONTH(O$8,0))</f>
        <v>0</v>
      </c>
      <c r="P116" s="126">
        <f>SUMIFS(DWbonus[[Sum]:[Sum]],DWbonus[[Dato]:[Dato]], "&gt;="&amp;P$8,DWbonus[[Dato]:[Dato]],"&lt;="&amp;EOMONTH(P$8,0),DWbonus[[Bookie]:[Bookie]],$A116)+SUMIFS(LayTable[[Faktisk res]:[Faktisk res]],LayTable[[Dato]:[Dato]],"&gt;="&amp;P$8,LayTable[[Dato]:[Dato]],"&lt;="&amp;EOMONTH(P$8,0),LayTable[[Bookmaker]:[Bookmaker]],$A116)+SUMIFS(BetTable[[AR_per_bookie]:[AR_per_bookie]],BetTable[[B1]:[B1]],$A116,BetTable[[Date]:[Date]], "&gt;="&amp;P$8,BetTable[[Date]:[Date]],"&lt;="&amp;EOMONTH(P$8,0))+SUMIFS(BetTable[[AR_per_bookie]:[AR_per_bookie]],BetTable[[B2]:[B2]],$A116,BetTable[[Date]:[Date]], "&gt;="&amp;P$8,BetTable[[Date]:[Date]],"&lt;="&amp;EOMONTH(P$8,0))+SUMIFS(BetTable[[AR_per_bookie]:[AR_per_bookie]],BetTable[[B3]:[B3]],$A116,BetTable[[Date]:[Date]], "&gt;="&amp;P$8,BetTable[[Date]:[Date]],"&lt;="&amp;EOMONTH(P$8,0))</f>
        <v>0</v>
      </c>
      <c r="Q116" s="126">
        <f>SUMIFS(DWbonus[[Sum]:[Sum]],DWbonus[[Dato]:[Dato]], "&gt;="&amp;Q$8,DWbonus[[Dato]:[Dato]],"&lt;="&amp;EOMONTH(Q$8,0),DWbonus[[Bookie]:[Bookie]],$A116)+SUMIFS(LayTable[[Faktisk res]:[Faktisk res]],LayTable[[Dato]:[Dato]],"&gt;="&amp;Q$8,LayTable[[Dato]:[Dato]],"&lt;="&amp;EOMONTH(Q$8,0),LayTable[[Bookmaker]:[Bookmaker]],$A116)+SUMIFS(BetTable[[AR_per_bookie]:[AR_per_bookie]],BetTable[[B1]:[B1]],$A116,BetTable[[Date]:[Date]], "&gt;="&amp;Q$8,BetTable[[Date]:[Date]],"&lt;="&amp;EOMONTH(Q$8,0))+SUMIFS(BetTable[[AR_per_bookie]:[AR_per_bookie]],BetTable[[B2]:[B2]],$A116,BetTable[[Date]:[Date]], "&gt;="&amp;Q$8,BetTable[[Date]:[Date]],"&lt;="&amp;EOMONTH(Q$8,0))+SUMIFS(BetTable[[AR_per_bookie]:[AR_per_bookie]],BetTable[[B3]:[B3]],$A116,BetTable[[Date]:[Date]], "&gt;="&amp;Q$8,BetTable[[Date]:[Date]],"&lt;="&amp;EOMONTH(Q$8,0))</f>
        <v>0</v>
      </c>
      <c r="R116" s="126">
        <f>SUMIFS(DWbonus[[Sum]:[Sum]],DWbonus[[Dato]:[Dato]], "&gt;="&amp;R$8,DWbonus[[Dato]:[Dato]],"&lt;="&amp;EOMONTH(R$8,0),DWbonus[[Bookie]:[Bookie]],$A116)+SUMIFS(LayTable[[Faktisk res]:[Faktisk res]],LayTable[[Dato]:[Dato]],"&gt;="&amp;R$8,LayTable[[Dato]:[Dato]],"&lt;="&amp;EOMONTH(R$8,0),LayTable[[Bookmaker]:[Bookmaker]],$A116)+SUMIFS(BetTable[[AR_per_bookie]:[AR_per_bookie]],BetTable[[B1]:[B1]],$A116,BetTable[[Date]:[Date]], "&gt;="&amp;R$8,BetTable[[Date]:[Date]],"&lt;="&amp;EOMONTH(R$8,0))+SUMIFS(BetTable[[AR_per_bookie]:[AR_per_bookie]],BetTable[[B2]:[B2]],$A116,BetTable[[Date]:[Date]], "&gt;="&amp;R$8,BetTable[[Date]:[Date]],"&lt;="&amp;EOMONTH(R$8,0))+SUMIFS(BetTable[[AR_per_bookie]:[AR_per_bookie]],BetTable[[B3]:[B3]],$A116,BetTable[[Date]:[Date]], "&gt;="&amp;R$8,BetTable[[Date]:[Date]],"&lt;="&amp;EOMONTH(R$8,0))</f>
        <v>0</v>
      </c>
      <c r="S116" s="126">
        <f>SUMIFS(DWbonus[[Sum]:[Sum]],DWbonus[[Dato]:[Dato]], "&gt;="&amp;S$8,DWbonus[[Dato]:[Dato]],"&lt;="&amp;EOMONTH(S$8,0),DWbonus[[Bookie]:[Bookie]],$A116)+SUMIFS(LayTable[[Faktisk res]:[Faktisk res]],LayTable[[Dato]:[Dato]],"&gt;="&amp;S$8,LayTable[[Dato]:[Dato]],"&lt;="&amp;EOMONTH(S$8,0),LayTable[[Bookmaker]:[Bookmaker]],$A116)+SUMIFS(BetTable[[AR_per_bookie]:[AR_per_bookie]],BetTable[[B1]:[B1]],$A116,BetTable[[Date]:[Date]], "&gt;="&amp;S$8,BetTable[[Date]:[Date]],"&lt;="&amp;EOMONTH(S$8,0))+SUMIFS(BetTable[[AR_per_bookie]:[AR_per_bookie]],BetTable[[B2]:[B2]],$A116,BetTable[[Date]:[Date]], "&gt;="&amp;S$8,BetTable[[Date]:[Date]],"&lt;="&amp;EOMONTH(S$8,0))+SUMIFS(BetTable[[AR_per_bookie]:[AR_per_bookie]],BetTable[[B3]:[B3]],$A116,BetTable[[Date]:[Date]], "&gt;="&amp;S$8,BetTable[[Date]:[Date]],"&lt;="&amp;EOMONTH(S$8,0))</f>
        <v>0</v>
      </c>
    </row>
    <row r="117" spans="1:19">
      <c r="A117" s="115">
        <f>BookieNavn!I111</f>
        <v>0</v>
      </c>
      <c r="B117" s="126">
        <f>SUMIF(Penger!D$1:D$50072,A117,Penger!F$1:F$50072)</f>
        <v>0</v>
      </c>
      <c r="C117" s="126">
        <f>SUMIF(Penger!T$1:T$50072,A117,Penger!U$1:U$50072)</f>
        <v>0</v>
      </c>
      <c r="D117" s="126">
        <f ca="1">SUMIF(Spill!C$1:C$499895,A117,Spill!T$1:T$49895)+C117</f>
        <v>0</v>
      </c>
      <c r="E117" s="126">
        <f>SUMIF(Spill!C$1:C$49895,A117,Spill!T$1:T$49895)</f>
        <v>0</v>
      </c>
      <c r="F117" s="121" t="e">
        <f t="shared" ca="1" si="2"/>
        <v>#DIV/0!</v>
      </c>
      <c r="H117" s="126">
        <f>SUMIFS(DWbonus[[Sum]:[Sum]],DWbonus[[Dato]:[Dato]], "&gt;="&amp;H$8,DWbonus[[Dato]:[Dato]],"&lt;="&amp;EOMONTH(H$8,0),DWbonus[[Bookie]:[Bookie]],$A117)+SUMIFS(LayTable[[Faktisk res]:[Faktisk res]],LayTable[[Dato]:[Dato]],"&gt;="&amp;H$8,LayTable[[Dato]:[Dato]],"&lt;="&amp;EOMONTH(H$8,0),LayTable[[Bookmaker]:[Bookmaker]],$A117)+SUMIFS(BetTable[[AR_per_bookie]:[AR_per_bookie]],BetTable[[B1]:[B1]],$A117,BetTable[[Date]:[Date]], "&gt;="&amp;H$8,BetTable[[Date]:[Date]],"&lt;="&amp;EOMONTH(H$8,0))+SUMIFS(BetTable[[AR_per_bookie]:[AR_per_bookie]],BetTable[[B2]:[B2]],$A117,BetTable[[Date]:[Date]], "&gt;="&amp;H$8,BetTable[[Date]:[Date]],"&lt;="&amp;EOMONTH(H$8,0))+SUMIFS(BetTable[[AR_per_bookie]:[AR_per_bookie]],BetTable[[B3]:[B3]],$A117,BetTable[[Date]:[Date]], "&gt;="&amp;H$8,BetTable[[Date]:[Date]],"&lt;="&amp;EOMONTH(H$8,0))</f>
        <v>0</v>
      </c>
      <c r="I117" s="126">
        <f>SUMIFS(DWbonus[[Sum]:[Sum]],DWbonus[[Dato]:[Dato]], "&gt;="&amp;I$8,DWbonus[[Dato]:[Dato]],"&lt;="&amp;EOMONTH(I$8,0),DWbonus[[Bookie]:[Bookie]],$A117)+SUMIFS(LayTable[[Faktisk res]:[Faktisk res]],LayTable[[Dato]:[Dato]],"&gt;="&amp;I$8,LayTable[[Dato]:[Dato]],"&lt;="&amp;EOMONTH(I$8,0),LayTable[[Bookmaker]:[Bookmaker]],$A117)+SUMIFS(BetTable[[AR_per_bookie]:[AR_per_bookie]],BetTable[[B1]:[B1]],$A117,BetTable[[Date]:[Date]], "&gt;="&amp;I$8,BetTable[[Date]:[Date]],"&lt;="&amp;EOMONTH(I$8,0))+SUMIFS(BetTable[[AR_per_bookie]:[AR_per_bookie]],BetTable[[B2]:[B2]],$A117,BetTable[[Date]:[Date]], "&gt;="&amp;I$8,BetTable[[Date]:[Date]],"&lt;="&amp;EOMONTH(I$8,0))+SUMIFS(BetTable[[AR_per_bookie]:[AR_per_bookie]],BetTable[[B3]:[B3]],$A117,BetTable[[Date]:[Date]], "&gt;="&amp;I$8,BetTable[[Date]:[Date]],"&lt;="&amp;EOMONTH(I$8,0))</f>
        <v>0</v>
      </c>
      <c r="J117" s="126">
        <f>SUMIFS(DWbonus[[Sum]:[Sum]],DWbonus[[Dato]:[Dato]], "&gt;="&amp;J$8,DWbonus[[Dato]:[Dato]],"&lt;="&amp;EOMONTH(J$8,0),DWbonus[[Bookie]:[Bookie]],$A117)+SUMIFS(LayTable[[Faktisk res]:[Faktisk res]],LayTable[[Dato]:[Dato]],"&gt;="&amp;J$8,LayTable[[Dato]:[Dato]],"&lt;="&amp;EOMONTH(J$8,0),LayTable[[Bookmaker]:[Bookmaker]],$A117)+SUMIFS(BetTable[[AR_per_bookie]:[AR_per_bookie]],BetTable[[B1]:[B1]],$A117,BetTable[[Date]:[Date]], "&gt;="&amp;J$8,BetTable[[Date]:[Date]],"&lt;="&amp;EOMONTH(J$8,0))+SUMIFS(BetTable[[AR_per_bookie]:[AR_per_bookie]],BetTable[[B2]:[B2]],$A117,BetTable[[Date]:[Date]], "&gt;="&amp;J$8,BetTable[[Date]:[Date]],"&lt;="&amp;EOMONTH(J$8,0))+SUMIFS(BetTable[[AR_per_bookie]:[AR_per_bookie]],BetTable[[B3]:[B3]],$A117,BetTable[[Date]:[Date]], "&gt;="&amp;J$8,BetTable[[Date]:[Date]],"&lt;="&amp;EOMONTH(J$8,0))</f>
        <v>0</v>
      </c>
      <c r="K117" s="126">
        <f>SUMIFS(DWbonus[[Sum]:[Sum]],DWbonus[[Dato]:[Dato]], "&gt;="&amp;K$8,DWbonus[[Dato]:[Dato]],"&lt;="&amp;EOMONTH(K$8,0),DWbonus[[Bookie]:[Bookie]],$A117)+SUMIFS(LayTable[[Faktisk res]:[Faktisk res]],LayTable[[Dato]:[Dato]],"&gt;="&amp;K$8,LayTable[[Dato]:[Dato]],"&lt;="&amp;EOMONTH(K$8,0),LayTable[[Bookmaker]:[Bookmaker]],$A117)+SUMIFS(BetTable[[AR_per_bookie]:[AR_per_bookie]],BetTable[[B1]:[B1]],$A117,BetTable[[Date]:[Date]], "&gt;="&amp;K$8,BetTable[[Date]:[Date]],"&lt;="&amp;EOMONTH(K$8,0))+SUMIFS(BetTable[[AR_per_bookie]:[AR_per_bookie]],BetTable[[B2]:[B2]],$A117,BetTable[[Date]:[Date]], "&gt;="&amp;K$8,BetTable[[Date]:[Date]],"&lt;="&amp;EOMONTH(K$8,0))+SUMIFS(BetTable[[AR_per_bookie]:[AR_per_bookie]],BetTable[[B3]:[B3]],$A117,BetTable[[Date]:[Date]], "&gt;="&amp;K$8,BetTable[[Date]:[Date]],"&lt;="&amp;EOMONTH(K$8,0))</f>
        <v>0</v>
      </c>
      <c r="L117" s="126">
        <f>SUMIFS(DWbonus[[Sum]:[Sum]],DWbonus[[Dato]:[Dato]], "&gt;="&amp;L$8,DWbonus[[Dato]:[Dato]],"&lt;="&amp;EOMONTH(L$8,0),DWbonus[[Bookie]:[Bookie]],$A117)+SUMIFS(LayTable[[Faktisk res]:[Faktisk res]],LayTable[[Dato]:[Dato]],"&gt;="&amp;L$8,LayTable[[Dato]:[Dato]],"&lt;="&amp;EOMONTH(L$8,0),LayTable[[Bookmaker]:[Bookmaker]],$A117)+SUMIFS(BetTable[[AR_per_bookie]:[AR_per_bookie]],BetTable[[B1]:[B1]],$A117,BetTable[[Date]:[Date]], "&gt;="&amp;L$8,BetTable[[Date]:[Date]],"&lt;="&amp;EOMONTH(L$8,0))+SUMIFS(BetTable[[AR_per_bookie]:[AR_per_bookie]],BetTable[[B2]:[B2]],$A117,BetTable[[Date]:[Date]], "&gt;="&amp;L$8,BetTable[[Date]:[Date]],"&lt;="&amp;EOMONTH(L$8,0))+SUMIFS(BetTable[[AR_per_bookie]:[AR_per_bookie]],BetTable[[B3]:[B3]],$A117,BetTable[[Date]:[Date]], "&gt;="&amp;L$8,BetTable[[Date]:[Date]],"&lt;="&amp;EOMONTH(L$8,0))</f>
        <v>0</v>
      </c>
      <c r="M117" s="126">
        <f>SUMIFS(DWbonus[[Sum]:[Sum]],DWbonus[[Dato]:[Dato]], "&gt;="&amp;M$8,DWbonus[[Dato]:[Dato]],"&lt;="&amp;EOMONTH(M$8,0),DWbonus[[Bookie]:[Bookie]],$A117)+SUMIFS(LayTable[[Faktisk res]:[Faktisk res]],LayTable[[Dato]:[Dato]],"&gt;="&amp;M$8,LayTable[[Dato]:[Dato]],"&lt;="&amp;EOMONTH(M$8,0),LayTable[[Bookmaker]:[Bookmaker]],$A117)+SUMIFS(BetTable[[AR_per_bookie]:[AR_per_bookie]],BetTable[[B1]:[B1]],$A117,BetTable[[Date]:[Date]], "&gt;="&amp;M$8,BetTable[[Date]:[Date]],"&lt;="&amp;EOMONTH(M$8,0))+SUMIFS(BetTable[[AR_per_bookie]:[AR_per_bookie]],BetTable[[B2]:[B2]],$A117,BetTable[[Date]:[Date]], "&gt;="&amp;M$8,BetTable[[Date]:[Date]],"&lt;="&amp;EOMONTH(M$8,0))+SUMIFS(BetTable[[AR_per_bookie]:[AR_per_bookie]],BetTable[[B3]:[B3]],$A117,BetTable[[Date]:[Date]], "&gt;="&amp;M$8,BetTable[[Date]:[Date]],"&lt;="&amp;EOMONTH(M$8,0))</f>
        <v>0</v>
      </c>
      <c r="N117" s="126">
        <f>SUMIFS(DWbonus[[Sum]:[Sum]],DWbonus[[Dato]:[Dato]], "&gt;="&amp;N$8,DWbonus[[Dato]:[Dato]],"&lt;="&amp;EOMONTH(N$8,0),DWbonus[[Bookie]:[Bookie]],$A117)+SUMIFS(LayTable[[Faktisk res]:[Faktisk res]],LayTable[[Dato]:[Dato]],"&gt;="&amp;N$8,LayTable[[Dato]:[Dato]],"&lt;="&amp;EOMONTH(N$8,0),LayTable[[Bookmaker]:[Bookmaker]],$A117)+SUMIFS(BetTable[[AR_per_bookie]:[AR_per_bookie]],BetTable[[B1]:[B1]],$A117,BetTable[[Date]:[Date]], "&gt;="&amp;N$8,BetTable[[Date]:[Date]],"&lt;="&amp;EOMONTH(N$8,0))+SUMIFS(BetTable[[AR_per_bookie]:[AR_per_bookie]],BetTable[[B2]:[B2]],$A117,BetTable[[Date]:[Date]], "&gt;="&amp;N$8,BetTable[[Date]:[Date]],"&lt;="&amp;EOMONTH(N$8,0))+SUMIFS(BetTable[[AR_per_bookie]:[AR_per_bookie]],BetTable[[B3]:[B3]],$A117,BetTable[[Date]:[Date]], "&gt;="&amp;N$8,BetTable[[Date]:[Date]],"&lt;="&amp;EOMONTH(N$8,0))</f>
        <v>0</v>
      </c>
      <c r="O117" s="126">
        <f>SUMIFS(DWbonus[[Sum]:[Sum]],DWbonus[[Dato]:[Dato]], "&gt;="&amp;O$8,DWbonus[[Dato]:[Dato]],"&lt;="&amp;EOMONTH(O$8,0),DWbonus[[Bookie]:[Bookie]],$A117)+SUMIFS(LayTable[[Faktisk res]:[Faktisk res]],LayTable[[Dato]:[Dato]],"&gt;="&amp;O$8,LayTable[[Dato]:[Dato]],"&lt;="&amp;EOMONTH(O$8,0),LayTable[[Bookmaker]:[Bookmaker]],$A117)+SUMIFS(BetTable[[AR_per_bookie]:[AR_per_bookie]],BetTable[[B1]:[B1]],$A117,BetTable[[Date]:[Date]], "&gt;="&amp;O$8,BetTable[[Date]:[Date]],"&lt;="&amp;EOMONTH(O$8,0))+SUMIFS(BetTable[[AR_per_bookie]:[AR_per_bookie]],BetTable[[B2]:[B2]],$A117,BetTable[[Date]:[Date]], "&gt;="&amp;O$8,BetTable[[Date]:[Date]],"&lt;="&amp;EOMONTH(O$8,0))+SUMIFS(BetTable[[AR_per_bookie]:[AR_per_bookie]],BetTable[[B3]:[B3]],$A117,BetTable[[Date]:[Date]], "&gt;="&amp;O$8,BetTable[[Date]:[Date]],"&lt;="&amp;EOMONTH(O$8,0))</f>
        <v>0</v>
      </c>
      <c r="P117" s="126">
        <f>SUMIFS(DWbonus[[Sum]:[Sum]],DWbonus[[Dato]:[Dato]], "&gt;="&amp;P$8,DWbonus[[Dato]:[Dato]],"&lt;="&amp;EOMONTH(P$8,0),DWbonus[[Bookie]:[Bookie]],$A117)+SUMIFS(LayTable[[Faktisk res]:[Faktisk res]],LayTable[[Dato]:[Dato]],"&gt;="&amp;P$8,LayTable[[Dato]:[Dato]],"&lt;="&amp;EOMONTH(P$8,0),LayTable[[Bookmaker]:[Bookmaker]],$A117)+SUMIFS(BetTable[[AR_per_bookie]:[AR_per_bookie]],BetTable[[B1]:[B1]],$A117,BetTable[[Date]:[Date]], "&gt;="&amp;P$8,BetTable[[Date]:[Date]],"&lt;="&amp;EOMONTH(P$8,0))+SUMIFS(BetTable[[AR_per_bookie]:[AR_per_bookie]],BetTable[[B2]:[B2]],$A117,BetTable[[Date]:[Date]], "&gt;="&amp;P$8,BetTable[[Date]:[Date]],"&lt;="&amp;EOMONTH(P$8,0))+SUMIFS(BetTable[[AR_per_bookie]:[AR_per_bookie]],BetTable[[B3]:[B3]],$A117,BetTable[[Date]:[Date]], "&gt;="&amp;P$8,BetTable[[Date]:[Date]],"&lt;="&amp;EOMONTH(P$8,0))</f>
        <v>0</v>
      </c>
      <c r="Q117" s="126">
        <f>SUMIFS(DWbonus[[Sum]:[Sum]],DWbonus[[Dato]:[Dato]], "&gt;="&amp;Q$8,DWbonus[[Dato]:[Dato]],"&lt;="&amp;EOMONTH(Q$8,0),DWbonus[[Bookie]:[Bookie]],$A117)+SUMIFS(LayTable[[Faktisk res]:[Faktisk res]],LayTable[[Dato]:[Dato]],"&gt;="&amp;Q$8,LayTable[[Dato]:[Dato]],"&lt;="&amp;EOMONTH(Q$8,0),LayTable[[Bookmaker]:[Bookmaker]],$A117)+SUMIFS(BetTable[[AR_per_bookie]:[AR_per_bookie]],BetTable[[B1]:[B1]],$A117,BetTable[[Date]:[Date]], "&gt;="&amp;Q$8,BetTable[[Date]:[Date]],"&lt;="&amp;EOMONTH(Q$8,0))+SUMIFS(BetTable[[AR_per_bookie]:[AR_per_bookie]],BetTable[[B2]:[B2]],$A117,BetTable[[Date]:[Date]], "&gt;="&amp;Q$8,BetTable[[Date]:[Date]],"&lt;="&amp;EOMONTH(Q$8,0))+SUMIFS(BetTable[[AR_per_bookie]:[AR_per_bookie]],BetTable[[B3]:[B3]],$A117,BetTable[[Date]:[Date]], "&gt;="&amp;Q$8,BetTable[[Date]:[Date]],"&lt;="&amp;EOMONTH(Q$8,0))</f>
        <v>0</v>
      </c>
      <c r="R117" s="126">
        <f>SUMIFS(DWbonus[[Sum]:[Sum]],DWbonus[[Dato]:[Dato]], "&gt;="&amp;R$8,DWbonus[[Dato]:[Dato]],"&lt;="&amp;EOMONTH(R$8,0),DWbonus[[Bookie]:[Bookie]],$A117)+SUMIFS(LayTable[[Faktisk res]:[Faktisk res]],LayTable[[Dato]:[Dato]],"&gt;="&amp;R$8,LayTable[[Dato]:[Dato]],"&lt;="&amp;EOMONTH(R$8,0),LayTable[[Bookmaker]:[Bookmaker]],$A117)+SUMIFS(BetTable[[AR_per_bookie]:[AR_per_bookie]],BetTable[[B1]:[B1]],$A117,BetTable[[Date]:[Date]], "&gt;="&amp;R$8,BetTable[[Date]:[Date]],"&lt;="&amp;EOMONTH(R$8,0))+SUMIFS(BetTable[[AR_per_bookie]:[AR_per_bookie]],BetTable[[B2]:[B2]],$A117,BetTable[[Date]:[Date]], "&gt;="&amp;R$8,BetTable[[Date]:[Date]],"&lt;="&amp;EOMONTH(R$8,0))+SUMIFS(BetTable[[AR_per_bookie]:[AR_per_bookie]],BetTable[[B3]:[B3]],$A117,BetTable[[Date]:[Date]], "&gt;="&amp;R$8,BetTable[[Date]:[Date]],"&lt;="&amp;EOMONTH(R$8,0))</f>
        <v>0</v>
      </c>
      <c r="S117" s="126">
        <f>SUMIFS(DWbonus[[Sum]:[Sum]],DWbonus[[Dato]:[Dato]], "&gt;="&amp;S$8,DWbonus[[Dato]:[Dato]],"&lt;="&amp;EOMONTH(S$8,0),DWbonus[[Bookie]:[Bookie]],$A117)+SUMIFS(LayTable[[Faktisk res]:[Faktisk res]],LayTable[[Dato]:[Dato]],"&gt;="&amp;S$8,LayTable[[Dato]:[Dato]],"&lt;="&amp;EOMONTH(S$8,0),LayTable[[Bookmaker]:[Bookmaker]],$A117)+SUMIFS(BetTable[[AR_per_bookie]:[AR_per_bookie]],BetTable[[B1]:[B1]],$A117,BetTable[[Date]:[Date]], "&gt;="&amp;S$8,BetTable[[Date]:[Date]],"&lt;="&amp;EOMONTH(S$8,0))+SUMIFS(BetTable[[AR_per_bookie]:[AR_per_bookie]],BetTable[[B2]:[B2]],$A117,BetTable[[Date]:[Date]], "&gt;="&amp;S$8,BetTable[[Date]:[Date]],"&lt;="&amp;EOMONTH(S$8,0))+SUMIFS(BetTable[[AR_per_bookie]:[AR_per_bookie]],BetTable[[B3]:[B3]],$A117,BetTable[[Date]:[Date]], "&gt;="&amp;S$8,BetTable[[Date]:[Date]],"&lt;="&amp;EOMONTH(S$8,0))</f>
        <v>0</v>
      </c>
    </row>
    <row r="118" spans="1:19">
      <c r="A118" s="115">
        <f>BookieNavn!I112</f>
        <v>0</v>
      </c>
      <c r="B118" s="126">
        <f>SUMIF(Penger!D$1:D$50072,A118,Penger!F$1:F$50072)</f>
        <v>0</v>
      </c>
      <c r="C118" s="126">
        <f>SUMIF(Penger!T$1:T$50072,A118,Penger!U$1:U$50072)</f>
        <v>0</v>
      </c>
      <c r="D118" s="126">
        <f ca="1">SUMIF(Spill!C$1:C$499895,A118,Spill!T$1:T$49895)+C118</f>
        <v>0</v>
      </c>
      <c r="E118" s="126">
        <f>SUMIF(Spill!C$1:C$49895,A118,Spill!T$1:T$49895)</f>
        <v>0</v>
      </c>
      <c r="F118" s="121" t="e">
        <f t="shared" ca="1" si="2"/>
        <v>#DIV/0!</v>
      </c>
      <c r="H118" s="126">
        <f>SUMIFS(DWbonus[[Sum]:[Sum]],DWbonus[[Dato]:[Dato]], "&gt;="&amp;H$8,DWbonus[[Dato]:[Dato]],"&lt;="&amp;EOMONTH(H$8,0),DWbonus[[Bookie]:[Bookie]],$A118)+SUMIFS(LayTable[[Faktisk res]:[Faktisk res]],LayTable[[Dato]:[Dato]],"&gt;="&amp;H$8,LayTable[[Dato]:[Dato]],"&lt;="&amp;EOMONTH(H$8,0),LayTable[[Bookmaker]:[Bookmaker]],$A118)+SUMIFS(BetTable[[AR_per_bookie]:[AR_per_bookie]],BetTable[[B1]:[B1]],$A118,BetTable[[Date]:[Date]], "&gt;="&amp;H$8,BetTable[[Date]:[Date]],"&lt;="&amp;EOMONTH(H$8,0))+SUMIFS(BetTable[[AR_per_bookie]:[AR_per_bookie]],BetTable[[B2]:[B2]],$A118,BetTable[[Date]:[Date]], "&gt;="&amp;H$8,BetTable[[Date]:[Date]],"&lt;="&amp;EOMONTH(H$8,0))+SUMIFS(BetTable[[AR_per_bookie]:[AR_per_bookie]],BetTable[[B3]:[B3]],$A118,BetTable[[Date]:[Date]], "&gt;="&amp;H$8,BetTable[[Date]:[Date]],"&lt;="&amp;EOMONTH(H$8,0))</f>
        <v>0</v>
      </c>
      <c r="I118" s="126">
        <f>SUMIFS(DWbonus[[Sum]:[Sum]],DWbonus[[Dato]:[Dato]], "&gt;="&amp;I$8,DWbonus[[Dato]:[Dato]],"&lt;="&amp;EOMONTH(I$8,0),DWbonus[[Bookie]:[Bookie]],$A118)+SUMIFS(LayTable[[Faktisk res]:[Faktisk res]],LayTable[[Dato]:[Dato]],"&gt;="&amp;I$8,LayTable[[Dato]:[Dato]],"&lt;="&amp;EOMONTH(I$8,0),LayTable[[Bookmaker]:[Bookmaker]],$A118)+SUMIFS(BetTable[[AR_per_bookie]:[AR_per_bookie]],BetTable[[B1]:[B1]],$A118,BetTable[[Date]:[Date]], "&gt;="&amp;I$8,BetTable[[Date]:[Date]],"&lt;="&amp;EOMONTH(I$8,0))+SUMIFS(BetTable[[AR_per_bookie]:[AR_per_bookie]],BetTable[[B2]:[B2]],$A118,BetTable[[Date]:[Date]], "&gt;="&amp;I$8,BetTable[[Date]:[Date]],"&lt;="&amp;EOMONTH(I$8,0))+SUMIFS(BetTable[[AR_per_bookie]:[AR_per_bookie]],BetTable[[B3]:[B3]],$A118,BetTable[[Date]:[Date]], "&gt;="&amp;I$8,BetTable[[Date]:[Date]],"&lt;="&amp;EOMONTH(I$8,0))</f>
        <v>0</v>
      </c>
      <c r="J118" s="126">
        <f>SUMIFS(DWbonus[[Sum]:[Sum]],DWbonus[[Dato]:[Dato]], "&gt;="&amp;J$8,DWbonus[[Dato]:[Dato]],"&lt;="&amp;EOMONTH(J$8,0),DWbonus[[Bookie]:[Bookie]],$A118)+SUMIFS(LayTable[[Faktisk res]:[Faktisk res]],LayTable[[Dato]:[Dato]],"&gt;="&amp;J$8,LayTable[[Dato]:[Dato]],"&lt;="&amp;EOMONTH(J$8,0),LayTable[[Bookmaker]:[Bookmaker]],$A118)+SUMIFS(BetTable[[AR_per_bookie]:[AR_per_bookie]],BetTable[[B1]:[B1]],$A118,BetTable[[Date]:[Date]], "&gt;="&amp;J$8,BetTable[[Date]:[Date]],"&lt;="&amp;EOMONTH(J$8,0))+SUMIFS(BetTable[[AR_per_bookie]:[AR_per_bookie]],BetTable[[B2]:[B2]],$A118,BetTable[[Date]:[Date]], "&gt;="&amp;J$8,BetTable[[Date]:[Date]],"&lt;="&amp;EOMONTH(J$8,0))+SUMIFS(BetTable[[AR_per_bookie]:[AR_per_bookie]],BetTable[[B3]:[B3]],$A118,BetTable[[Date]:[Date]], "&gt;="&amp;J$8,BetTable[[Date]:[Date]],"&lt;="&amp;EOMONTH(J$8,0))</f>
        <v>0</v>
      </c>
      <c r="K118" s="126">
        <f>SUMIFS(DWbonus[[Sum]:[Sum]],DWbonus[[Dato]:[Dato]], "&gt;="&amp;K$8,DWbonus[[Dato]:[Dato]],"&lt;="&amp;EOMONTH(K$8,0),DWbonus[[Bookie]:[Bookie]],$A118)+SUMIFS(LayTable[[Faktisk res]:[Faktisk res]],LayTable[[Dato]:[Dato]],"&gt;="&amp;K$8,LayTable[[Dato]:[Dato]],"&lt;="&amp;EOMONTH(K$8,0),LayTable[[Bookmaker]:[Bookmaker]],$A118)+SUMIFS(BetTable[[AR_per_bookie]:[AR_per_bookie]],BetTable[[B1]:[B1]],$A118,BetTable[[Date]:[Date]], "&gt;="&amp;K$8,BetTable[[Date]:[Date]],"&lt;="&amp;EOMONTH(K$8,0))+SUMIFS(BetTable[[AR_per_bookie]:[AR_per_bookie]],BetTable[[B2]:[B2]],$A118,BetTable[[Date]:[Date]], "&gt;="&amp;K$8,BetTable[[Date]:[Date]],"&lt;="&amp;EOMONTH(K$8,0))+SUMIFS(BetTable[[AR_per_bookie]:[AR_per_bookie]],BetTable[[B3]:[B3]],$A118,BetTable[[Date]:[Date]], "&gt;="&amp;K$8,BetTable[[Date]:[Date]],"&lt;="&amp;EOMONTH(K$8,0))</f>
        <v>0</v>
      </c>
      <c r="L118" s="126">
        <f>SUMIFS(DWbonus[[Sum]:[Sum]],DWbonus[[Dato]:[Dato]], "&gt;="&amp;L$8,DWbonus[[Dato]:[Dato]],"&lt;="&amp;EOMONTH(L$8,0),DWbonus[[Bookie]:[Bookie]],$A118)+SUMIFS(LayTable[[Faktisk res]:[Faktisk res]],LayTable[[Dato]:[Dato]],"&gt;="&amp;L$8,LayTable[[Dato]:[Dato]],"&lt;="&amp;EOMONTH(L$8,0),LayTable[[Bookmaker]:[Bookmaker]],$A118)+SUMIFS(BetTable[[AR_per_bookie]:[AR_per_bookie]],BetTable[[B1]:[B1]],$A118,BetTable[[Date]:[Date]], "&gt;="&amp;L$8,BetTable[[Date]:[Date]],"&lt;="&amp;EOMONTH(L$8,0))+SUMIFS(BetTable[[AR_per_bookie]:[AR_per_bookie]],BetTable[[B2]:[B2]],$A118,BetTable[[Date]:[Date]], "&gt;="&amp;L$8,BetTable[[Date]:[Date]],"&lt;="&amp;EOMONTH(L$8,0))+SUMIFS(BetTable[[AR_per_bookie]:[AR_per_bookie]],BetTable[[B3]:[B3]],$A118,BetTable[[Date]:[Date]], "&gt;="&amp;L$8,BetTable[[Date]:[Date]],"&lt;="&amp;EOMONTH(L$8,0))</f>
        <v>0</v>
      </c>
      <c r="M118" s="126">
        <f>SUMIFS(DWbonus[[Sum]:[Sum]],DWbonus[[Dato]:[Dato]], "&gt;="&amp;M$8,DWbonus[[Dato]:[Dato]],"&lt;="&amp;EOMONTH(M$8,0),DWbonus[[Bookie]:[Bookie]],$A118)+SUMIFS(LayTable[[Faktisk res]:[Faktisk res]],LayTable[[Dato]:[Dato]],"&gt;="&amp;M$8,LayTable[[Dato]:[Dato]],"&lt;="&amp;EOMONTH(M$8,0),LayTable[[Bookmaker]:[Bookmaker]],$A118)+SUMIFS(BetTable[[AR_per_bookie]:[AR_per_bookie]],BetTable[[B1]:[B1]],$A118,BetTable[[Date]:[Date]], "&gt;="&amp;M$8,BetTable[[Date]:[Date]],"&lt;="&amp;EOMONTH(M$8,0))+SUMIFS(BetTable[[AR_per_bookie]:[AR_per_bookie]],BetTable[[B2]:[B2]],$A118,BetTable[[Date]:[Date]], "&gt;="&amp;M$8,BetTable[[Date]:[Date]],"&lt;="&amp;EOMONTH(M$8,0))+SUMIFS(BetTable[[AR_per_bookie]:[AR_per_bookie]],BetTable[[B3]:[B3]],$A118,BetTable[[Date]:[Date]], "&gt;="&amp;M$8,BetTable[[Date]:[Date]],"&lt;="&amp;EOMONTH(M$8,0))</f>
        <v>0</v>
      </c>
      <c r="N118" s="126">
        <f>SUMIFS(DWbonus[[Sum]:[Sum]],DWbonus[[Dato]:[Dato]], "&gt;="&amp;N$8,DWbonus[[Dato]:[Dato]],"&lt;="&amp;EOMONTH(N$8,0),DWbonus[[Bookie]:[Bookie]],$A118)+SUMIFS(LayTable[[Faktisk res]:[Faktisk res]],LayTable[[Dato]:[Dato]],"&gt;="&amp;N$8,LayTable[[Dato]:[Dato]],"&lt;="&amp;EOMONTH(N$8,0),LayTable[[Bookmaker]:[Bookmaker]],$A118)+SUMIFS(BetTable[[AR_per_bookie]:[AR_per_bookie]],BetTable[[B1]:[B1]],$A118,BetTable[[Date]:[Date]], "&gt;="&amp;N$8,BetTable[[Date]:[Date]],"&lt;="&amp;EOMONTH(N$8,0))+SUMIFS(BetTable[[AR_per_bookie]:[AR_per_bookie]],BetTable[[B2]:[B2]],$A118,BetTable[[Date]:[Date]], "&gt;="&amp;N$8,BetTable[[Date]:[Date]],"&lt;="&amp;EOMONTH(N$8,0))+SUMIFS(BetTable[[AR_per_bookie]:[AR_per_bookie]],BetTable[[B3]:[B3]],$A118,BetTable[[Date]:[Date]], "&gt;="&amp;N$8,BetTable[[Date]:[Date]],"&lt;="&amp;EOMONTH(N$8,0))</f>
        <v>0</v>
      </c>
      <c r="O118" s="126">
        <f>SUMIFS(DWbonus[[Sum]:[Sum]],DWbonus[[Dato]:[Dato]], "&gt;="&amp;O$8,DWbonus[[Dato]:[Dato]],"&lt;="&amp;EOMONTH(O$8,0),DWbonus[[Bookie]:[Bookie]],$A118)+SUMIFS(LayTable[[Faktisk res]:[Faktisk res]],LayTable[[Dato]:[Dato]],"&gt;="&amp;O$8,LayTable[[Dato]:[Dato]],"&lt;="&amp;EOMONTH(O$8,0),LayTable[[Bookmaker]:[Bookmaker]],$A118)+SUMIFS(BetTable[[AR_per_bookie]:[AR_per_bookie]],BetTable[[B1]:[B1]],$A118,BetTable[[Date]:[Date]], "&gt;="&amp;O$8,BetTable[[Date]:[Date]],"&lt;="&amp;EOMONTH(O$8,0))+SUMIFS(BetTable[[AR_per_bookie]:[AR_per_bookie]],BetTable[[B2]:[B2]],$A118,BetTable[[Date]:[Date]], "&gt;="&amp;O$8,BetTable[[Date]:[Date]],"&lt;="&amp;EOMONTH(O$8,0))+SUMIFS(BetTable[[AR_per_bookie]:[AR_per_bookie]],BetTable[[B3]:[B3]],$A118,BetTable[[Date]:[Date]], "&gt;="&amp;O$8,BetTable[[Date]:[Date]],"&lt;="&amp;EOMONTH(O$8,0))</f>
        <v>0</v>
      </c>
      <c r="P118" s="126">
        <f>SUMIFS(DWbonus[[Sum]:[Sum]],DWbonus[[Dato]:[Dato]], "&gt;="&amp;P$8,DWbonus[[Dato]:[Dato]],"&lt;="&amp;EOMONTH(P$8,0),DWbonus[[Bookie]:[Bookie]],$A118)+SUMIFS(LayTable[[Faktisk res]:[Faktisk res]],LayTable[[Dato]:[Dato]],"&gt;="&amp;P$8,LayTable[[Dato]:[Dato]],"&lt;="&amp;EOMONTH(P$8,0),LayTable[[Bookmaker]:[Bookmaker]],$A118)+SUMIFS(BetTable[[AR_per_bookie]:[AR_per_bookie]],BetTable[[B1]:[B1]],$A118,BetTable[[Date]:[Date]], "&gt;="&amp;P$8,BetTable[[Date]:[Date]],"&lt;="&amp;EOMONTH(P$8,0))+SUMIFS(BetTable[[AR_per_bookie]:[AR_per_bookie]],BetTable[[B2]:[B2]],$A118,BetTable[[Date]:[Date]], "&gt;="&amp;P$8,BetTable[[Date]:[Date]],"&lt;="&amp;EOMONTH(P$8,0))+SUMIFS(BetTable[[AR_per_bookie]:[AR_per_bookie]],BetTable[[B3]:[B3]],$A118,BetTable[[Date]:[Date]], "&gt;="&amp;P$8,BetTable[[Date]:[Date]],"&lt;="&amp;EOMONTH(P$8,0))</f>
        <v>0</v>
      </c>
      <c r="Q118" s="126">
        <f>SUMIFS(DWbonus[[Sum]:[Sum]],DWbonus[[Dato]:[Dato]], "&gt;="&amp;Q$8,DWbonus[[Dato]:[Dato]],"&lt;="&amp;EOMONTH(Q$8,0),DWbonus[[Bookie]:[Bookie]],$A118)+SUMIFS(LayTable[[Faktisk res]:[Faktisk res]],LayTable[[Dato]:[Dato]],"&gt;="&amp;Q$8,LayTable[[Dato]:[Dato]],"&lt;="&amp;EOMONTH(Q$8,0),LayTable[[Bookmaker]:[Bookmaker]],$A118)+SUMIFS(BetTable[[AR_per_bookie]:[AR_per_bookie]],BetTable[[B1]:[B1]],$A118,BetTable[[Date]:[Date]], "&gt;="&amp;Q$8,BetTable[[Date]:[Date]],"&lt;="&amp;EOMONTH(Q$8,0))+SUMIFS(BetTable[[AR_per_bookie]:[AR_per_bookie]],BetTable[[B2]:[B2]],$A118,BetTable[[Date]:[Date]], "&gt;="&amp;Q$8,BetTable[[Date]:[Date]],"&lt;="&amp;EOMONTH(Q$8,0))+SUMIFS(BetTable[[AR_per_bookie]:[AR_per_bookie]],BetTable[[B3]:[B3]],$A118,BetTable[[Date]:[Date]], "&gt;="&amp;Q$8,BetTable[[Date]:[Date]],"&lt;="&amp;EOMONTH(Q$8,0))</f>
        <v>0</v>
      </c>
      <c r="R118" s="126">
        <f>SUMIFS(DWbonus[[Sum]:[Sum]],DWbonus[[Dato]:[Dato]], "&gt;="&amp;R$8,DWbonus[[Dato]:[Dato]],"&lt;="&amp;EOMONTH(R$8,0),DWbonus[[Bookie]:[Bookie]],$A118)+SUMIFS(LayTable[[Faktisk res]:[Faktisk res]],LayTable[[Dato]:[Dato]],"&gt;="&amp;R$8,LayTable[[Dato]:[Dato]],"&lt;="&amp;EOMONTH(R$8,0),LayTable[[Bookmaker]:[Bookmaker]],$A118)+SUMIFS(BetTable[[AR_per_bookie]:[AR_per_bookie]],BetTable[[B1]:[B1]],$A118,BetTable[[Date]:[Date]], "&gt;="&amp;R$8,BetTable[[Date]:[Date]],"&lt;="&amp;EOMONTH(R$8,0))+SUMIFS(BetTable[[AR_per_bookie]:[AR_per_bookie]],BetTable[[B2]:[B2]],$A118,BetTable[[Date]:[Date]], "&gt;="&amp;R$8,BetTable[[Date]:[Date]],"&lt;="&amp;EOMONTH(R$8,0))+SUMIFS(BetTable[[AR_per_bookie]:[AR_per_bookie]],BetTable[[B3]:[B3]],$A118,BetTable[[Date]:[Date]], "&gt;="&amp;R$8,BetTable[[Date]:[Date]],"&lt;="&amp;EOMONTH(R$8,0))</f>
        <v>0</v>
      </c>
      <c r="S118" s="126">
        <f>SUMIFS(DWbonus[[Sum]:[Sum]],DWbonus[[Dato]:[Dato]], "&gt;="&amp;S$8,DWbonus[[Dato]:[Dato]],"&lt;="&amp;EOMONTH(S$8,0),DWbonus[[Bookie]:[Bookie]],$A118)+SUMIFS(LayTable[[Faktisk res]:[Faktisk res]],LayTable[[Dato]:[Dato]],"&gt;="&amp;S$8,LayTable[[Dato]:[Dato]],"&lt;="&amp;EOMONTH(S$8,0),LayTable[[Bookmaker]:[Bookmaker]],$A118)+SUMIFS(BetTable[[AR_per_bookie]:[AR_per_bookie]],BetTable[[B1]:[B1]],$A118,BetTable[[Date]:[Date]], "&gt;="&amp;S$8,BetTable[[Date]:[Date]],"&lt;="&amp;EOMONTH(S$8,0))+SUMIFS(BetTable[[AR_per_bookie]:[AR_per_bookie]],BetTable[[B2]:[B2]],$A118,BetTable[[Date]:[Date]], "&gt;="&amp;S$8,BetTable[[Date]:[Date]],"&lt;="&amp;EOMONTH(S$8,0))+SUMIFS(BetTable[[AR_per_bookie]:[AR_per_bookie]],BetTable[[B3]:[B3]],$A118,BetTable[[Date]:[Date]], "&gt;="&amp;S$8,BetTable[[Date]:[Date]],"&lt;="&amp;EOMONTH(S$8,0))</f>
        <v>0</v>
      </c>
    </row>
    <row r="119" spans="1:19">
      <c r="A119" s="115">
        <f>BookieNavn!I113</f>
        <v>0</v>
      </c>
      <c r="B119" s="126">
        <f>SUMIF(Penger!D$1:D$50072,A119,Penger!F$1:F$50072)</f>
        <v>0</v>
      </c>
      <c r="C119" s="126">
        <f>SUMIF(Penger!T$1:T$50072,A119,Penger!U$1:U$50072)</f>
        <v>0</v>
      </c>
      <c r="D119" s="126">
        <f ca="1">SUMIF(Spill!C$1:C$499895,A119,Spill!T$1:T$49895)+C119</f>
        <v>0</v>
      </c>
      <c r="E119" s="126">
        <f>SUMIF(Spill!C$1:C$49895,A119,Spill!T$1:T$49895)</f>
        <v>0</v>
      </c>
      <c r="F119" s="121" t="e">
        <f t="shared" ca="1" si="2"/>
        <v>#DIV/0!</v>
      </c>
      <c r="H119" s="126">
        <f>SUMIFS(DWbonus[[Sum]:[Sum]],DWbonus[[Dato]:[Dato]], "&gt;="&amp;H$8,DWbonus[[Dato]:[Dato]],"&lt;="&amp;EOMONTH(H$8,0),DWbonus[[Bookie]:[Bookie]],$A119)+SUMIFS(LayTable[[Faktisk res]:[Faktisk res]],LayTable[[Dato]:[Dato]],"&gt;="&amp;H$8,LayTable[[Dato]:[Dato]],"&lt;="&amp;EOMONTH(H$8,0),LayTable[[Bookmaker]:[Bookmaker]],$A119)+SUMIFS(BetTable[[AR_per_bookie]:[AR_per_bookie]],BetTable[[B1]:[B1]],$A119,BetTable[[Date]:[Date]], "&gt;="&amp;H$8,BetTable[[Date]:[Date]],"&lt;="&amp;EOMONTH(H$8,0))+SUMIFS(BetTable[[AR_per_bookie]:[AR_per_bookie]],BetTable[[B2]:[B2]],$A119,BetTable[[Date]:[Date]], "&gt;="&amp;H$8,BetTable[[Date]:[Date]],"&lt;="&amp;EOMONTH(H$8,0))+SUMIFS(BetTable[[AR_per_bookie]:[AR_per_bookie]],BetTable[[B3]:[B3]],$A119,BetTable[[Date]:[Date]], "&gt;="&amp;H$8,BetTable[[Date]:[Date]],"&lt;="&amp;EOMONTH(H$8,0))</f>
        <v>0</v>
      </c>
      <c r="I119" s="126">
        <f>SUMIFS(DWbonus[[Sum]:[Sum]],DWbonus[[Dato]:[Dato]], "&gt;="&amp;I$8,DWbonus[[Dato]:[Dato]],"&lt;="&amp;EOMONTH(I$8,0),DWbonus[[Bookie]:[Bookie]],$A119)+SUMIFS(LayTable[[Faktisk res]:[Faktisk res]],LayTable[[Dato]:[Dato]],"&gt;="&amp;I$8,LayTable[[Dato]:[Dato]],"&lt;="&amp;EOMONTH(I$8,0),LayTable[[Bookmaker]:[Bookmaker]],$A119)+SUMIFS(BetTable[[AR_per_bookie]:[AR_per_bookie]],BetTable[[B1]:[B1]],$A119,BetTable[[Date]:[Date]], "&gt;="&amp;I$8,BetTable[[Date]:[Date]],"&lt;="&amp;EOMONTH(I$8,0))+SUMIFS(BetTable[[AR_per_bookie]:[AR_per_bookie]],BetTable[[B2]:[B2]],$A119,BetTable[[Date]:[Date]], "&gt;="&amp;I$8,BetTable[[Date]:[Date]],"&lt;="&amp;EOMONTH(I$8,0))+SUMIFS(BetTable[[AR_per_bookie]:[AR_per_bookie]],BetTable[[B3]:[B3]],$A119,BetTable[[Date]:[Date]], "&gt;="&amp;I$8,BetTable[[Date]:[Date]],"&lt;="&amp;EOMONTH(I$8,0))</f>
        <v>0</v>
      </c>
      <c r="J119" s="126">
        <f>SUMIFS(DWbonus[[Sum]:[Sum]],DWbonus[[Dato]:[Dato]], "&gt;="&amp;J$8,DWbonus[[Dato]:[Dato]],"&lt;="&amp;EOMONTH(J$8,0),DWbonus[[Bookie]:[Bookie]],$A119)+SUMIFS(LayTable[[Faktisk res]:[Faktisk res]],LayTable[[Dato]:[Dato]],"&gt;="&amp;J$8,LayTable[[Dato]:[Dato]],"&lt;="&amp;EOMONTH(J$8,0),LayTable[[Bookmaker]:[Bookmaker]],$A119)+SUMIFS(BetTable[[AR_per_bookie]:[AR_per_bookie]],BetTable[[B1]:[B1]],$A119,BetTable[[Date]:[Date]], "&gt;="&amp;J$8,BetTable[[Date]:[Date]],"&lt;="&amp;EOMONTH(J$8,0))+SUMIFS(BetTable[[AR_per_bookie]:[AR_per_bookie]],BetTable[[B2]:[B2]],$A119,BetTable[[Date]:[Date]], "&gt;="&amp;J$8,BetTable[[Date]:[Date]],"&lt;="&amp;EOMONTH(J$8,0))+SUMIFS(BetTable[[AR_per_bookie]:[AR_per_bookie]],BetTable[[B3]:[B3]],$A119,BetTable[[Date]:[Date]], "&gt;="&amp;J$8,BetTable[[Date]:[Date]],"&lt;="&amp;EOMONTH(J$8,0))</f>
        <v>0</v>
      </c>
      <c r="K119" s="126">
        <f>SUMIFS(DWbonus[[Sum]:[Sum]],DWbonus[[Dato]:[Dato]], "&gt;="&amp;K$8,DWbonus[[Dato]:[Dato]],"&lt;="&amp;EOMONTH(K$8,0),DWbonus[[Bookie]:[Bookie]],$A119)+SUMIFS(LayTable[[Faktisk res]:[Faktisk res]],LayTable[[Dato]:[Dato]],"&gt;="&amp;K$8,LayTable[[Dato]:[Dato]],"&lt;="&amp;EOMONTH(K$8,0),LayTable[[Bookmaker]:[Bookmaker]],$A119)+SUMIFS(BetTable[[AR_per_bookie]:[AR_per_bookie]],BetTable[[B1]:[B1]],$A119,BetTable[[Date]:[Date]], "&gt;="&amp;K$8,BetTable[[Date]:[Date]],"&lt;="&amp;EOMONTH(K$8,0))+SUMIFS(BetTable[[AR_per_bookie]:[AR_per_bookie]],BetTable[[B2]:[B2]],$A119,BetTable[[Date]:[Date]], "&gt;="&amp;K$8,BetTable[[Date]:[Date]],"&lt;="&amp;EOMONTH(K$8,0))+SUMIFS(BetTable[[AR_per_bookie]:[AR_per_bookie]],BetTable[[B3]:[B3]],$A119,BetTable[[Date]:[Date]], "&gt;="&amp;K$8,BetTable[[Date]:[Date]],"&lt;="&amp;EOMONTH(K$8,0))</f>
        <v>0</v>
      </c>
      <c r="L119" s="126">
        <f>SUMIFS(DWbonus[[Sum]:[Sum]],DWbonus[[Dato]:[Dato]], "&gt;="&amp;L$8,DWbonus[[Dato]:[Dato]],"&lt;="&amp;EOMONTH(L$8,0),DWbonus[[Bookie]:[Bookie]],$A119)+SUMIFS(LayTable[[Faktisk res]:[Faktisk res]],LayTable[[Dato]:[Dato]],"&gt;="&amp;L$8,LayTable[[Dato]:[Dato]],"&lt;="&amp;EOMONTH(L$8,0),LayTable[[Bookmaker]:[Bookmaker]],$A119)+SUMIFS(BetTable[[AR_per_bookie]:[AR_per_bookie]],BetTable[[B1]:[B1]],$A119,BetTable[[Date]:[Date]], "&gt;="&amp;L$8,BetTable[[Date]:[Date]],"&lt;="&amp;EOMONTH(L$8,0))+SUMIFS(BetTable[[AR_per_bookie]:[AR_per_bookie]],BetTable[[B2]:[B2]],$A119,BetTable[[Date]:[Date]], "&gt;="&amp;L$8,BetTable[[Date]:[Date]],"&lt;="&amp;EOMONTH(L$8,0))+SUMIFS(BetTable[[AR_per_bookie]:[AR_per_bookie]],BetTable[[B3]:[B3]],$A119,BetTable[[Date]:[Date]], "&gt;="&amp;L$8,BetTable[[Date]:[Date]],"&lt;="&amp;EOMONTH(L$8,0))</f>
        <v>0</v>
      </c>
      <c r="M119" s="126">
        <f>SUMIFS(DWbonus[[Sum]:[Sum]],DWbonus[[Dato]:[Dato]], "&gt;="&amp;M$8,DWbonus[[Dato]:[Dato]],"&lt;="&amp;EOMONTH(M$8,0),DWbonus[[Bookie]:[Bookie]],$A119)+SUMIFS(LayTable[[Faktisk res]:[Faktisk res]],LayTable[[Dato]:[Dato]],"&gt;="&amp;M$8,LayTable[[Dato]:[Dato]],"&lt;="&amp;EOMONTH(M$8,0),LayTable[[Bookmaker]:[Bookmaker]],$A119)+SUMIFS(BetTable[[AR_per_bookie]:[AR_per_bookie]],BetTable[[B1]:[B1]],$A119,BetTable[[Date]:[Date]], "&gt;="&amp;M$8,BetTable[[Date]:[Date]],"&lt;="&amp;EOMONTH(M$8,0))+SUMIFS(BetTable[[AR_per_bookie]:[AR_per_bookie]],BetTable[[B2]:[B2]],$A119,BetTable[[Date]:[Date]], "&gt;="&amp;M$8,BetTable[[Date]:[Date]],"&lt;="&amp;EOMONTH(M$8,0))+SUMIFS(BetTable[[AR_per_bookie]:[AR_per_bookie]],BetTable[[B3]:[B3]],$A119,BetTable[[Date]:[Date]], "&gt;="&amp;M$8,BetTable[[Date]:[Date]],"&lt;="&amp;EOMONTH(M$8,0))</f>
        <v>0</v>
      </c>
      <c r="N119" s="126">
        <f>SUMIFS(DWbonus[[Sum]:[Sum]],DWbonus[[Dato]:[Dato]], "&gt;="&amp;N$8,DWbonus[[Dato]:[Dato]],"&lt;="&amp;EOMONTH(N$8,0),DWbonus[[Bookie]:[Bookie]],$A119)+SUMIFS(LayTable[[Faktisk res]:[Faktisk res]],LayTable[[Dato]:[Dato]],"&gt;="&amp;N$8,LayTable[[Dato]:[Dato]],"&lt;="&amp;EOMONTH(N$8,0),LayTable[[Bookmaker]:[Bookmaker]],$A119)+SUMIFS(BetTable[[AR_per_bookie]:[AR_per_bookie]],BetTable[[B1]:[B1]],$A119,BetTable[[Date]:[Date]], "&gt;="&amp;N$8,BetTable[[Date]:[Date]],"&lt;="&amp;EOMONTH(N$8,0))+SUMIFS(BetTable[[AR_per_bookie]:[AR_per_bookie]],BetTable[[B2]:[B2]],$A119,BetTable[[Date]:[Date]], "&gt;="&amp;N$8,BetTable[[Date]:[Date]],"&lt;="&amp;EOMONTH(N$8,0))+SUMIFS(BetTable[[AR_per_bookie]:[AR_per_bookie]],BetTable[[B3]:[B3]],$A119,BetTable[[Date]:[Date]], "&gt;="&amp;N$8,BetTable[[Date]:[Date]],"&lt;="&amp;EOMONTH(N$8,0))</f>
        <v>0</v>
      </c>
      <c r="O119" s="126">
        <f>SUMIFS(DWbonus[[Sum]:[Sum]],DWbonus[[Dato]:[Dato]], "&gt;="&amp;O$8,DWbonus[[Dato]:[Dato]],"&lt;="&amp;EOMONTH(O$8,0),DWbonus[[Bookie]:[Bookie]],$A119)+SUMIFS(LayTable[[Faktisk res]:[Faktisk res]],LayTable[[Dato]:[Dato]],"&gt;="&amp;O$8,LayTable[[Dato]:[Dato]],"&lt;="&amp;EOMONTH(O$8,0),LayTable[[Bookmaker]:[Bookmaker]],$A119)+SUMIFS(BetTable[[AR_per_bookie]:[AR_per_bookie]],BetTable[[B1]:[B1]],$A119,BetTable[[Date]:[Date]], "&gt;="&amp;O$8,BetTable[[Date]:[Date]],"&lt;="&amp;EOMONTH(O$8,0))+SUMIFS(BetTable[[AR_per_bookie]:[AR_per_bookie]],BetTable[[B2]:[B2]],$A119,BetTable[[Date]:[Date]], "&gt;="&amp;O$8,BetTable[[Date]:[Date]],"&lt;="&amp;EOMONTH(O$8,0))+SUMIFS(BetTable[[AR_per_bookie]:[AR_per_bookie]],BetTable[[B3]:[B3]],$A119,BetTable[[Date]:[Date]], "&gt;="&amp;O$8,BetTable[[Date]:[Date]],"&lt;="&amp;EOMONTH(O$8,0))</f>
        <v>0</v>
      </c>
      <c r="P119" s="126">
        <f>SUMIFS(DWbonus[[Sum]:[Sum]],DWbonus[[Dato]:[Dato]], "&gt;="&amp;P$8,DWbonus[[Dato]:[Dato]],"&lt;="&amp;EOMONTH(P$8,0),DWbonus[[Bookie]:[Bookie]],$A119)+SUMIFS(LayTable[[Faktisk res]:[Faktisk res]],LayTable[[Dato]:[Dato]],"&gt;="&amp;P$8,LayTable[[Dato]:[Dato]],"&lt;="&amp;EOMONTH(P$8,0),LayTable[[Bookmaker]:[Bookmaker]],$A119)+SUMIFS(BetTable[[AR_per_bookie]:[AR_per_bookie]],BetTable[[B1]:[B1]],$A119,BetTable[[Date]:[Date]], "&gt;="&amp;P$8,BetTable[[Date]:[Date]],"&lt;="&amp;EOMONTH(P$8,0))+SUMIFS(BetTable[[AR_per_bookie]:[AR_per_bookie]],BetTable[[B2]:[B2]],$A119,BetTable[[Date]:[Date]], "&gt;="&amp;P$8,BetTable[[Date]:[Date]],"&lt;="&amp;EOMONTH(P$8,0))+SUMIFS(BetTable[[AR_per_bookie]:[AR_per_bookie]],BetTable[[B3]:[B3]],$A119,BetTable[[Date]:[Date]], "&gt;="&amp;P$8,BetTable[[Date]:[Date]],"&lt;="&amp;EOMONTH(P$8,0))</f>
        <v>0</v>
      </c>
      <c r="Q119" s="126">
        <f>SUMIFS(DWbonus[[Sum]:[Sum]],DWbonus[[Dato]:[Dato]], "&gt;="&amp;Q$8,DWbonus[[Dato]:[Dato]],"&lt;="&amp;EOMONTH(Q$8,0),DWbonus[[Bookie]:[Bookie]],$A119)+SUMIFS(LayTable[[Faktisk res]:[Faktisk res]],LayTable[[Dato]:[Dato]],"&gt;="&amp;Q$8,LayTable[[Dato]:[Dato]],"&lt;="&amp;EOMONTH(Q$8,0),LayTable[[Bookmaker]:[Bookmaker]],$A119)+SUMIFS(BetTable[[AR_per_bookie]:[AR_per_bookie]],BetTable[[B1]:[B1]],$A119,BetTable[[Date]:[Date]], "&gt;="&amp;Q$8,BetTable[[Date]:[Date]],"&lt;="&amp;EOMONTH(Q$8,0))+SUMIFS(BetTable[[AR_per_bookie]:[AR_per_bookie]],BetTable[[B2]:[B2]],$A119,BetTable[[Date]:[Date]], "&gt;="&amp;Q$8,BetTable[[Date]:[Date]],"&lt;="&amp;EOMONTH(Q$8,0))+SUMIFS(BetTable[[AR_per_bookie]:[AR_per_bookie]],BetTable[[B3]:[B3]],$A119,BetTable[[Date]:[Date]], "&gt;="&amp;Q$8,BetTable[[Date]:[Date]],"&lt;="&amp;EOMONTH(Q$8,0))</f>
        <v>0</v>
      </c>
      <c r="R119" s="126">
        <f>SUMIFS(DWbonus[[Sum]:[Sum]],DWbonus[[Dato]:[Dato]], "&gt;="&amp;R$8,DWbonus[[Dato]:[Dato]],"&lt;="&amp;EOMONTH(R$8,0),DWbonus[[Bookie]:[Bookie]],$A119)+SUMIFS(LayTable[[Faktisk res]:[Faktisk res]],LayTable[[Dato]:[Dato]],"&gt;="&amp;R$8,LayTable[[Dato]:[Dato]],"&lt;="&amp;EOMONTH(R$8,0),LayTable[[Bookmaker]:[Bookmaker]],$A119)+SUMIFS(BetTable[[AR_per_bookie]:[AR_per_bookie]],BetTable[[B1]:[B1]],$A119,BetTable[[Date]:[Date]], "&gt;="&amp;R$8,BetTable[[Date]:[Date]],"&lt;="&amp;EOMONTH(R$8,0))+SUMIFS(BetTable[[AR_per_bookie]:[AR_per_bookie]],BetTable[[B2]:[B2]],$A119,BetTable[[Date]:[Date]], "&gt;="&amp;R$8,BetTable[[Date]:[Date]],"&lt;="&amp;EOMONTH(R$8,0))+SUMIFS(BetTable[[AR_per_bookie]:[AR_per_bookie]],BetTable[[B3]:[B3]],$A119,BetTable[[Date]:[Date]], "&gt;="&amp;R$8,BetTable[[Date]:[Date]],"&lt;="&amp;EOMONTH(R$8,0))</f>
        <v>0</v>
      </c>
      <c r="S119" s="126">
        <f>SUMIFS(DWbonus[[Sum]:[Sum]],DWbonus[[Dato]:[Dato]], "&gt;="&amp;S$8,DWbonus[[Dato]:[Dato]],"&lt;="&amp;EOMONTH(S$8,0),DWbonus[[Bookie]:[Bookie]],$A119)+SUMIFS(LayTable[[Faktisk res]:[Faktisk res]],LayTable[[Dato]:[Dato]],"&gt;="&amp;S$8,LayTable[[Dato]:[Dato]],"&lt;="&amp;EOMONTH(S$8,0),LayTable[[Bookmaker]:[Bookmaker]],$A119)+SUMIFS(BetTable[[AR_per_bookie]:[AR_per_bookie]],BetTable[[B1]:[B1]],$A119,BetTable[[Date]:[Date]], "&gt;="&amp;S$8,BetTable[[Date]:[Date]],"&lt;="&amp;EOMONTH(S$8,0))+SUMIFS(BetTable[[AR_per_bookie]:[AR_per_bookie]],BetTable[[B2]:[B2]],$A119,BetTable[[Date]:[Date]], "&gt;="&amp;S$8,BetTable[[Date]:[Date]],"&lt;="&amp;EOMONTH(S$8,0))+SUMIFS(BetTable[[AR_per_bookie]:[AR_per_bookie]],BetTable[[B3]:[B3]],$A119,BetTable[[Date]:[Date]], "&gt;="&amp;S$8,BetTable[[Date]:[Date]],"&lt;="&amp;EOMONTH(S$8,0))</f>
        <v>0</v>
      </c>
    </row>
    <row r="120" spans="1:19">
      <c r="A120" s="115">
        <f>BookieNavn!I114</f>
        <v>0</v>
      </c>
      <c r="B120" s="126">
        <f>SUMIF(Penger!D$1:D$50072,A120,Penger!F$1:F$50072)</f>
        <v>0</v>
      </c>
      <c r="C120" s="126">
        <f>SUMIF(Penger!T$1:T$50072,A120,Penger!U$1:U$50072)</f>
        <v>0</v>
      </c>
      <c r="D120" s="126">
        <f ca="1">SUMIF(Spill!C$1:C$499895,A120,Spill!T$1:T$49895)+C120</f>
        <v>0</v>
      </c>
      <c r="E120" s="126">
        <f>SUMIF(Spill!C$1:C$49895,A120,Spill!T$1:T$49895)</f>
        <v>0</v>
      </c>
      <c r="F120" s="121" t="e">
        <f t="shared" ca="1" si="2"/>
        <v>#DIV/0!</v>
      </c>
      <c r="H120" s="126">
        <f>SUMIFS(DWbonus[[Sum]:[Sum]],DWbonus[[Dato]:[Dato]], "&gt;="&amp;H$8,DWbonus[[Dato]:[Dato]],"&lt;="&amp;EOMONTH(H$8,0),DWbonus[[Bookie]:[Bookie]],$A120)+SUMIFS(LayTable[[Faktisk res]:[Faktisk res]],LayTable[[Dato]:[Dato]],"&gt;="&amp;H$8,LayTable[[Dato]:[Dato]],"&lt;="&amp;EOMONTH(H$8,0),LayTable[[Bookmaker]:[Bookmaker]],$A120)+SUMIFS(BetTable[[AR_per_bookie]:[AR_per_bookie]],BetTable[[B1]:[B1]],$A120,BetTable[[Date]:[Date]], "&gt;="&amp;H$8,BetTable[[Date]:[Date]],"&lt;="&amp;EOMONTH(H$8,0))+SUMIFS(BetTable[[AR_per_bookie]:[AR_per_bookie]],BetTable[[B2]:[B2]],$A120,BetTable[[Date]:[Date]], "&gt;="&amp;H$8,BetTable[[Date]:[Date]],"&lt;="&amp;EOMONTH(H$8,0))+SUMIFS(BetTable[[AR_per_bookie]:[AR_per_bookie]],BetTable[[B3]:[B3]],$A120,BetTable[[Date]:[Date]], "&gt;="&amp;H$8,BetTable[[Date]:[Date]],"&lt;="&amp;EOMONTH(H$8,0))</f>
        <v>0</v>
      </c>
      <c r="I120" s="126">
        <f>SUMIFS(DWbonus[[Sum]:[Sum]],DWbonus[[Dato]:[Dato]], "&gt;="&amp;I$8,DWbonus[[Dato]:[Dato]],"&lt;="&amp;EOMONTH(I$8,0),DWbonus[[Bookie]:[Bookie]],$A120)+SUMIFS(LayTable[[Faktisk res]:[Faktisk res]],LayTable[[Dato]:[Dato]],"&gt;="&amp;I$8,LayTable[[Dato]:[Dato]],"&lt;="&amp;EOMONTH(I$8,0),LayTable[[Bookmaker]:[Bookmaker]],$A120)+SUMIFS(BetTable[[AR_per_bookie]:[AR_per_bookie]],BetTable[[B1]:[B1]],$A120,BetTable[[Date]:[Date]], "&gt;="&amp;I$8,BetTable[[Date]:[Date]],"&lt;="&amp;EOMONTH(I$8,0))+SUMIFS(BetTable[[AR_per_bookie]:[AR_per_bookie]],BetTable[[B2]:[B2]],$A120,BetTable[[Date]:[Date]], "&gt;="&amp;I$8,BetTable[[Date]:[Date]],"&lt;="&amp;EOMONTH(I$8,0))+SUMIFS(BetTable[[AR_per_bookie]:[AR_per_bookie]],BetTable[[B3]:[B3]],$A120,BetTable[[Date]:[Date]], "&gt;="&amp;I$8,BetTable[[Date]:[Date]],"&lt;="&amp;EOMONTH(I$8,0))</f>
        <v>0</v>
      </c>
      <c r="J120" s="126">
        <f>SUMIFS(DWbonus[[Sum]:[Sum]],DWbonus[[Dato]:[Dato]], "&gt;="&amp;J$8,DWbonus[[Dato]:[Dato]],"&lt;="&amp;EOMONTH(J$8,0),DWbonus[[Bookie]:[Bookie]],$A120)+SUMIFS(LayTable[[Faktisk res]:[Faktisk res]],LayTable[[Dato]:[Dato]],"&gt;="&amp;J$8,LayTable[[Dato]:[Dato]],"&lt;="&amp;EOMONTH(J$8,0),LayTable[[Bookmaker]:[Bookmaker]],$A120)+SUMIFS(BetTable[[AR_per_bookie]:[AR_per_bookie]],BetTable[[B1]:[B1]],$A120,BetTable[[Date]:[Date]], "&gt;="&amp;J$8,BetTable[[Date]:[Date]],"&lt;="&amp;EOMONTH(J$8,0))+SUMIFS(BetTable[[AR_per_bookie]:[AR_per_bookie]],BetTable[[B2]:[B2]],$A120,BetTable[[Date]:[Date]], "&gt;="&amp;J$8,BetTable[[Date]:[Date]],"&lt;="&amp;EOMONTH(J$8,0))+SUMIFS(BetTable[[AR_per_bookie]:[AR_per_bookie]],BetTable[[B3]:[B3]],$A120,BetTable[[Date]:[Date]], "&gt;="&amp;J$8,BetTable[[Date]:[Date]],"&lt;="&amp;EOMONTH(J$8,0))</f>
        <v>0</v>
      </c>
      <c r="K120" s="126">
        <f>SUMIFS(DWbonus[[Sum]:[Sum]],DWbonus[[Dato]:[Dato]], "&gt;="&amp;K$8,DWbonus[[Dato]:[Dato]],"&lt;="&amp;EOMONTH(K$8,0),DWbonus[[Bookie]:[Bookie]],$A120)+SUMIFS(LayTable[[Faktisk res]:[Faktisk res]],LayTable[[Dato]:[Dato]],"&gt;="&amp;K$8,LayTable[[Dato]:[Dato]],"&lt;="&amp;EOMONTH(K$8,0),LayTable[[Bookmaker]:[Bookmaker]],$A120)+SUMIFS(BetTable[[AR_per_bookie]:[AR_per_bookie]],BetTable[[B1]:[B1]],$A120,BetTable[[Date]:[Date]], "&gt;="&amp;K$8,BetTable[[Date]:[Date]],"&lt;="&amp;EOMONTH(K$8,0))+SUMIFS(BetTable[[AR_per_bookie]:[AR_per_bookie]],BetTable[[B2]:[B2]],$A120,BetTable[[Date]:[Date]], "&gt;="&amp;K$8,BetTable[[Date]:[Date]],"&lt;="&amp;EOMONTH(K$8,0))+SUMIFS(BetTable[[AR_per_bookie]:[AR_per_bookie]],BetTable[[B3]:[B3]],$A120,BetTable[[Date]:[Date]], "&gt;="&amp;K$8,BetTable[[Date]:[Date]],"&lt;="&amp;EOMONTH(K$8,0))</f>
        <v>0</v>
      </c>
      <c r="L120" s="126">
        <f>SUMIFS(DWbonus[[Sum]:[Sum]],DWbonus[[Dato]:[Dato]], "&gt;="&amp;L$8,DWbonus[[Dato]:[Dato]],"&lt;="&amp;EOMONTH(L$8,0),DWbonus[[Bookie]:[Bookie]],$A120)+SUMIFS(LayTable[[Faktisk res]:[Faktisk res]],LayTable[[Dato]:[Dato]],"&gt;="&amp;L$8,LayTable[[Dato]:[Dato]],"&lt;="&amp;EOMONTH(L$8,0),LayTable[[Bookmaker]:[Bookmaker]],$A120)+SUMIFS(BetTable[[AR_per_bookie]:[AR_per_bookie]],BetTable[[B1]:[B1]],$A120,BetTable[[Date]:[Date]], "&gt;="&amp;L$8,BetTable[[Date]:[Date]],"&lt;="&amp;EOMONTH(L$8,0))+SUMIFS(BetTable[[AR_per_bookie]:[AR_per_bookie]],BetTable[[B2]:[B2]],$A120,BetTable[[Date]:[Date]], "&gt;="&amp;L$8,BetTable[[Date]:[Date]],"&lt;="&amp;EOMONTH(L$8,0))+SUMIFS(BetTable[[AR_per_bookie]:[AR_per_bookie]],BetTable[[B3]:[B3]],$A120,BetTable[[Date]:[Date]], "&gt;="&amp;L$8,BetTable[[Date]:[Date]],"&lt;="&amp;EOMONTH(L$8,0))</f>
        <v>0</v>
      </c>
      <c r="M120" s="126">
        <f>SUMIFS(DWbonus[[Sum]:[Sum]],DWbonus[[Dato]:[Dato]], "&gt;="&amp;M$8,DWbonus[[Dato]:[Dato]],"&lt;="&amp;EOMONTH(M$8,0),DWbonus[[Bookie]:[Bookie]],$A120)+SUMIFS(LayTable[[Faktisk res]:[Faktisk res]],LayTable[[Dato]:[Dato]],"&gt;="&amp;M$8,LayTable[[Dato]:[Dato]],"&lt;="&amp;EOMONTH(M$8,0),LayTable[[Bookmaker]:[Bookmaker]],$A120)+SUMIFS(BetTable[[AR_per_bookie]:[AR_per_bookie]],BetTable[[B1]:[B1]],$A120,BetTable[[Date]:[Date]], "&gt;="&amp;M$8,BetTable[[Date]:[Date]],"&lt;="&amp;EOMONTH(M$8,0))+SUMIFS(BetTable[[AR_per_bookie]:[AR_per_bookie]],BetTable[[B2]:[B2]],$A120,BetTable[[Date]:[Date]], "&gt;="&amp;M$8,BetTable[[Date]:[Date]],"&lt;="&amp;EOMONTH(M$8,0))+SUMIFS(BetTable[[AR_per_bookie]:[AR_per_bookie]],BetTable[[B3]:[B3]],$A120,BetTable[[Date]:[Date]], "&gt;="&amp;M$8,BetTable[[Date]:[Date]],"&lt;="&amp;EOMONTH(M$8,0))</f>
        <v>0</v>
      </c>
      <c r="N120" s="126">
        <f>SUMIFS(DWbonus[[Sum]:[Sum]],DWbonus[[Dato]:[Dato]], "&gt;="&amp;N$8,DWbonus[[Dato]:[Dato]],"&lt;="&amp;EOMONTH(N$8,0),DWbonus[[Bookie]:[Bookie]],$A120)+SUMIFS(LayTable[[Faktisk res]:[Faktisk res]],LayTable[[Dato]:[Dato]],"&gt;="&amp;N$8,LayTable[[Dato]:[Dato]],"&lt;="&amp;EOMONTH(N$8,0),LayTable[[Bookmaker]:[Bookmaker]],$A120)+SUMIFS(BetTable[[AR_per_bookie]:[AR_per_bookie]],BetTable[[B1]:[B1]],$A120,BetTable[[Date]:[Date]], "&gt;="&amp;N$8,BetTable[[Date]:[Date]],"&lt;="&amp;EOMONTH(N$8,0))+SUMIFS(BetTable[[AR_per_bookie]:[AR_per_bookie]],BetTable[[B2]:[B2]],$A120,BetTable[[Date]:[Date]], "&gt;="&amp;N$8,BetTable[[Date]:[Date]],"&lt;="&amp;EOMONTH(N$8,0))+SUMIFS(BetTable[[AR_per_bookie]:[AR_per_bookie]],BetTable[[B3]:[B3]],$A120,BetTable[[Date]:[Date]], "&gt;="&amp;N$8,BetTable[[Date]:[Date]],"&lt;="&amp;EOMONTH(N$8,0))</f>
        <v>0</v>
      </c>
      <c r="O120" s="126">
        <f>SUMIFS(DWbonus[[Sum]:[Sum]],DWbonus[[Dato]:[Dato]], "&gt;="&amp;O$8,DWbonus[[Dato]:[Dato]],"&lt;="&amp;EOMONTH(O$8,0),DWbonus[[Bookie]:[Bookie]],$A120)+SUMIFS(LayTable[[Faktisk res]:[Faktisk res]],LayTable[[Dato]:[Dato]],"&gt;="&amp;O$8,LayTable[[Dato]:[Dato]],"&lt;="&amp;EOMONTH(O$8,0),LayTable[[Bookmaker]:[Bookmaker]],$A120)+SUMIFS(BetTable[[AR_per_bookie]:[AR_per_bookie]],BetTable[[B1]:[B1]],$A120,BetTable[[Date]:[Date]], "&gt;="&amp;O$8,BetTable[[Date]:[Date]],"&lt;="&amp;EOMONTH(O$8,0))+SUMIFS(BetTable[[AR_per_bookie]:[AR_per_bookie]],BetTable[[B2]:[B2]],$A120,BetTable[[Date]:[Date]], "&gt;="&amp;O$8,BetTable[[Date]:[Date]],"&lt;="&amp;EOMONTH(O$8,0))+SUMIFS(BetTable[[AR_per_bookie]:[AR_per_bookie]],BetTable[[B3]:[B3]],$A120,BetTable[[Date]:[Date]], "&gt;="&amp;O$8,BetTable[[Date]:[Date]],"&lt;="&amp;EOMONTH(O$8,0))</f>
        <v>0</v>
      </c>
      <c r="P120" s="126">
        <f>SUMIFS(DWbonus[[Sum]:[Sum]],DWbonus[[Dato]:[Dato]], "&gt;="&amp;P$8,DWbonus[[Dato]:[Dato]],"&lt;="&amp;EOMONTH(P$8,0),DWbonus[[Bookie]:[Bookie]],$A120)+SUMIFS(LayTable[[Faktisk res]:[Faktisk res]],LayTable[[Dato]:[Dato]],"&gt;="&amp;P$8,LayTable[[Dato]:[Dato]],"&lt;="&amp;EOMONTH(P$8,0),LayTable[[Bookmaker]:[Bookmaker]],$A120)+SUMIFS(BetTable[[AR_per_bookie]:[AR_per_bookie]],BetTable[[B1]:[B1]],$A120,BetTable[[Date]:[Date]], "&gt;="&amp;P$8,BetTable[[Date]:[Date]],"&lt;="&amp;EOMONTH(P$8,0))+SUMIFS(BetTable[[AR_per_bookie]:[AR_per_bookie]],BetTable[[B2]:[B2]],$A120,BetTable[[Date]:[Date]], "&gt;="&amp;P$8,BetTable[[Date]:[Date]],"&lt;="&amp;EOMONTH(P$8,0))+SUMIFS(BetTable[[AR_per_bookie]:[AR_per_bookie]],BetTable[[B3]:[B3]],$A120,BetTable[[Date]:[Date]], "&gt;="&amp;P$8,BetTable[[Date]:[Date]],"&lt;="&amp;EOMONTH(P$8,0))</f>
        <v>0</v>
      </c>
      <c r="Q120" s="126">
        <f>SUMIFS(DWbonus[[Sum]:[Sum]],DWbonus[[Dato]:[Dato]], "&gt;="&amp;Q$8,DWbonus[[Dato]:[Dato]],"&lt;="&amp;EOMONTH(Q$8,0),DWbonus[[Bookie]:[Bookie]],$A120)+SUMIFS(LayTable[[Faktisk res]:[Faktisk res]],LayTable[[Dato]:[Dato]],"&gt;="&amp;Q$8,LayTable[[Dato]:[Dato]],"&lt;="&amp;EOMONTH(Q$8,0),LayTable[[Bookmaker]:[Bookmaker]],$A120)+SUMIFS(BetTable[[AR_per_bookie]:[AR_per_bookie]],BetTable[[B1]:[B1]],$A120,BetTable[[Date]:[Date]], "&gt;="&amp;Q$8,BetTable[[Date]:[Date]],"&lt;="&amp;EOMONTH(Q$8,0))+SUMIFS(BetTable[[AR_per_bookie]:[AR_per_bookie]],BetTable[[B2]:[B2]],$A120,BetTable[[Date]:[Date]], "&gt;="&amp;Q$8,BetTable[[Date]:[Date]],"&lt;="&amp;EOMONTH(Q$8,0))+SUMIFS(BetTable[[AR_per_bookie]:[AR_per_bookie]],BetTable[[B3]:[B3]],$A120,BetTable[[Date]:[Date]], "&gt;="&amp;Q$8,BetTable[[Date]:[Date]],"&lt;="&amp;EOMONTH(Q$8,0))</f>
        <v>0</v>
      </c>
      <c r="R120" s="126">
        <f>SUMIFS(DWbonus[[Sum]:[Sum]],DWbonus[[Dato]:[Dato]], "&gt;="&amp;R$8,DWbonus[[Dato]:[Dato]],"&lt;="&amp;EOMONTH(R$8,0),DWbonus[[Bookie]:[Bookie]],$A120)+SUMIFS(LayTable[[Faktisk res]:[Faktisk res]],LayTable[[Dato]:[Dato]],"&gt;="&amp;R$8,LayTable[[Dato]:[Dato]],"&lt;="&amp;EOMONTH(R$8,0),LayTable[[Bookmaker]:[Bookmaker]],$A120)+SUMIFS(BetTable[[AR_per_bookie]:[AR_per_bookie]],BetTable[[B1]:[B1]],$A120,BetTable[[Date]:[Date]], "&gt;="&amp;R$8,BetTable[[Date]:[Date]],"&lt;="&amp;EOMONTH(R$8,0))+SUMIFS(BetTable[[AR_per_bookie]:[AR_per_bookie]],BetTable[[B2]:[B2]],$A120,BetTable[[Date]:[Date]], "&gt;="&amp;R$8,BetTable[[Date]:[Date]],"&lt;="&amp;EOMONTH(R$8,0))+SUMIFS(BetTable[[AR_per_bookie]:[AR_per_bookie]],BetTable[[B3]:[B3]],$A120,BetTable[[Date]:[Date]], "&gt;="&amp;R$8,BetTable[[Date]:[Date]],"&lt;="&amp;EOMONTH(R$8,0))</f>
        <v>0</v>
      </c>
      <c r="S120" s="126">
        <f>SUMIFS(DWbonus[[Sum]:[Sum]],DWbonus[[Dato]:[Dato]], "&gt;="&amp;S$8,DWbonus[[Dato]:[Dato]],"&lt;="&amp;EOMONTH(S$8,0),DWbonus[[Bookie]:[Bookie]],$A120)+SUMIFS(LayTable[[Faktisk res]:[Faktisk res]],LayTable[[Dato]:[Dato]],"&gt;="&amp;S$8,LayTable[[Dato]:[Dato]],"&lt;="&amp;EOMONTH(S$8,0),LayTable[[Bookmaker]:[Bookmaker]],$A120)+SUMIFS(BetTable[[AR_per_bookie]:[AR_per_bookie]],BetTable[[B1]:[B1]],$A120,BetTable[[Date]:[Date]], "&gt;="&amp;S$8,BetTable[[Date]:[Date]],"&lt;="&amp;EOMONTH(S$8,0))+SUMIFS(BetTable[[AR_per_bookie]:[AR_per_bookie]],BetTable[[B2]:[B2]],$A120,BetTable[[Date]:[Date]], "&gt;="&amp;S$8,BetTable[[Date]:[Date]],"&lt;="&amp;EOMONTH(S$8,0))+SUMIFS(BetTable[[AR_per_bookie]:[AR_per_bookie]],BetTable[[B3]:[B3]],$A120,BetTable[[Date]:[Date]], "&gt;="&amp;S$8,BetTable[[Date]:[Date]],"&lt;="&amp;EOMONTH(S$8,0))</f>
        <v>0</v>
      </c>
    </row>
    <row r="121" spans="1:19">
      <c r="A121" s="115">
        <f>BookieNavn!I115</f>
        <v>0</v>
      </c>
      <c r="B121" s="126">
        <f>SUMIF(Penger!D$1:D$50072,A121,Penger!F$1:F$50072)</f>
        <v>0</v>
      </c>
      <c r="C121" s="126">
        <f>SUMIF(Penger!T$1:T$50072,A121,Penger!U$1:U$50072)</f>
        <v>0</v>
      </c>
      <c r="D121" s="126">
        <f ca="1">SUMIF(Spill!C$1:C$499895,A121,Spill!T$1:T$49895)+C121</f>
        <v>0</v>
      </c>
      <c r="E121" s="126">
        <f>SUMIF(Spill!C$1:C$49895,A121,Spill!T$1:T$49895)</f>
        <v>0</v>
      </c>
      <c r="F121" s="121" t="e">
        <f t="shared" ca="1" si="2"/>
        <v>#DIV/0!</v>
      </c>
      <c r="H121" s="126">
        <f>SUMIFS(DWbonus[[Sum]:[Sum]],DWbonus[[Dato]:[Dato]], "&gt;="&amp;H$8,DWbonus[[Dato]:[Dato]],"&lt;="&amp;EOMONTH(H$8,0),DWbonus[[Bookie]:[Bookie]],$A121)+SUMIFS(LayTable[[Faktisk res]:[Faktisk res]],LayTable[[Dato]:[Dato]],"&gt;="&amp;H$8,LayTable[[Dato]:[Dato]],"&lt;="&amp;EOMONTH(H$8,0),LayTable[[Bookmaker]:[Bookmaker]],$A121)+SUMIFS(BetTable[[AR_per_bookie]:[AR_per_bookie]],BetTable[[B1]:[B1]],$A121,BetTable[[Date]:[Date]], "&gt;="&amp;H$8,BetTable[[Date]:[Date]],"&lt;="&amp;EOMONTH(H$8,0))+SUMIFS(BetTable[[AR_per_bookie]:[AR_per_bookie]],BetTable[[B2]:[B2]],$A121,BetTable[[Date]:[Date]], "&gt;="&amp;H$8,BetTable[[Date]:[Date]],"&lt;="&amp;EOMONTH(H$8,0))+SUMIFS(BetTable[[AR_per_bookie]:[AR_per_bookie]],BetTable[[B3]:[B3]],$A121,BetTable[[Date]:[Date]], "&gt;="&amp;H$8,BetTable[[Date]:[Date]],"&lt;="&amp;EOMONTH(H$8,0))</f>
        <v>0</v>
      </c>
      <c r="I121" s="126">
        <f>SUMIFS(DWbonus[[Sum]:[Sum]],DWbonus[[Dato]:[Dato]], "&gt;="&amp;I$8,DWbonus[[Dato]:[Dato]],"&lt;="&amp;EOMONTH(I$8,0),DWbonus[[Bookie]:[Bookie]],$A121)+SUMIFS(LayTable[[Faktisk res]:[Faktisk res]],LayTable[[Dato]:[Dato]],"&gt;="&amp;I$8,LayTable[[Dato]:[Dato]],"&lt;="&amp;EOMONTH(I$8,0),LayTable[[Bookmaker]:[Bookmaker]],$A121)+SUMIFS(BetTable[[AR_per_bookie]:[AR_per_bookie]],BetTable[[B1]:[B1]],$A121,BetTable[[Date]:[Date]], "&gt;="&amp;I$8,BetTable[[Date]:[Date]],"&lt;="&amp;EOMONTH(I$8,0))+SUMIFS(BetTable[[AR_per_bookie]:[AR_per_bookie]],BetTable[[B2]:[B2]],$A121,BetTable[[Date]:[Date]], "&gt;="&amp;I$8,BetTable[[Date]:[Date]],"&lt;="&amp;EOMONTH(I$8,0))+SUMIFS(BetTable[[AR_per_bookie]:[AR_per_bookie]],BetTable[[B3]:[B3]],$A121,BetTable[[Date]:[Date]], "&gt;="&amp;I$8,BetTable[[Date]:[Date]],"&lt;="&amp;EOMONTH(I$8,0))</f>
        <v>0</v>
      </c>
      <c r="J121" s="126">
        <f>SUMIFS(DWbonus[[Sum]:[Sum]],DWbonus[[Dato]:[Dato]], "&gt;="&amp;J$8,DWbonus[[Dato]:[Dato]],"&lt;="&amp;EOMONTH(J$8,0),DWbonus[[Bookie]:[Bookie]],$A121)+SUMIFS(LayTable[[Faktisk res]:[Faktisk res]],LayTable[[Dato]:[Dato]],"&gt;="&amp;J$8,LayTable[[Dato]:[Dato]],"&lt;="&amp;EOMONTH(J$8,0),LayTable[[Bookmaker]:[Bookmaker]],$A121)+SUMIFS(BetTable[[AR_per_bookie]:[AR_per_bookie]],BetTable[[B1]:[B1]],$A121,BetTable[[Date]:[Date]], "&gt;="&amp;J$8,BetTable[[Date]:[Date]],"&lt;="&amp;EOMONTH(J$8,0))+SUMIFS(BetTable[[AR_per_bookie]:[AR_per_bookie]],BetTable[[B2]:[B2]],$A121,BetTable[[Date]:[Date]], "&gt;="&amp;J$8,BetTable[[Date]:[Date]],"&lt;="&amp;EOMONTH(J$8,0))+SUMIFS(BetTable[[AR_per_bookie]:[AR_per_bookie]],BetTable[[B3]:[B3]],$A121,BetTable[[Date]:[Date]], "&gt;="&amp;J$8,BetTable[[Date]:[Date]],"&lt;="&amp;EOMONTH(J$8,0))</f>
        <v>0</v>
      </c>
      <c r="K121" s="126">
        <f>SUMIFS(DWbonus[[Sum]:[Sum]],DWbonus[[Dato]:[Dato]], "&gt;="&amp;K$8,DWbonus[[Dato]:[Dato]],"&lt;="&amp;EOMONTH(K$8,0),DWbonus[[Bookie]:[Bookie]],$A121)+SUMIFS(LayTable[[Faktisk res]:[Faktisk res]],LayTable[[Dato]:[Dato]],"&gt;="&amp;K$8,LayTable[[Dato]:[Dato]],"&lt;="&amp;EOMONTH(K$8,0),LayTable[[Bookmaker]:[Bookmaker]],$A121)+SUMIFS(BetTable[[AR_per_bookie]:[AR_per_bookie]],BetTable[[B1]:[B1]],$A121,BetTable[[Date]:[Date]], "&gt;="&amp;K$8,BetTable[[Date]:[Date]],"&lt;="&amp;EOMONTH(K$8,0))+SUMIFS(BetTable[[AR_per_bookie]:[AR_per_bookie]],BetTable[[B2]:[B2]],$A121,BetTable[[Date]:[Date]], "&gt;="&amp;K$8,BetTable[[Date]:[Date]],"&lt;="&amp;EOMONTH(K$8,0))+SUMIFS(BetTable[[AR_per_bookie]:[AR_per_bookie]],BetTable[[B3]:[B3]],$A121,BetTable[[Date]:[Date]], "&gt;="&amp;K$8,BetTable[[Date]:[Date]],"&lt;="&amp;EOMONTH(K$8,0))</f>
        <v>0</v>
      </c>
      <c r="L121" s="126">
        <f>SUMIFS(DWbonus[[Sum]:[Sum]],DWbonus[[Dato]:[Dato]], "&gt;="&amp;L$8,DWbonus[[Dato]:[Dato]],"&lt;="&amp;EOMONTH(L$8,0),DWbonus[[Bookie]:[Bookie]],$A121)+SUMIFS(LayTable[[Faktisk res]:[Faktisk res]],LayTable[[Dato]:[Dato]],"&gt;="&amp;L$8,LayTable[[Dato]:[Dato]],"&lt;="&amp;EOMONTH(L$8,0),LayTable[[Bookmaker]:[Bookmaker]],$A121)+SUMIFS(BetTable[[AR_per_bookie]:[AR_per_bookie]],BetTable[[B1]:[B1]],$A121,BetTable[[Date]:[Date]], "&gt;="&amp;L$8,BetTable[[Date]:[Date]],"&lt;="&amp;EOMONTH(L$8,0))+SUMIFS(BetTable[[AR_per_bookie]:[AR_per_bookie]],BetTable[[B2]:[B2]],$A121,BetTable[[Date]:[Date]], "&gt;="&amp;L$8,BetTable[[Date]:[Date]],"&lt;="&amp;EOMONTH(L$8,0))+SUMIFS(BetTable[[AR_per_bookie]:[AR_per_bookie]],BetTable[[B3]:[B3]],$A121,BetTable[[Date]:[Date]], "&gt;="&amp;L$8,BetTable[[Date]:[Date]],"&lt;="&amp;EOMONTH(L$8,0))</f>
        <v>0</v>
      </c>
      <c r="M121" s="126">
        <f>SUMIFS(DWbonus[[Sum]:[Sum]],DWbonus[[Dato]:[Dato]], "&gt;="&amp;M$8,DWbonus[[Dato]:[Dato]],"&lt;="&amp;EOMONTH(M$8,0),DWbonus[[Bookie]:[Bookie]],$A121)+SUMIFS(LayTable[[Faktisk res]:[Faktisk res]],LayTable[[Dato]:[Dato]],"&gt;="&amp;M$8,LayTable[[Dato]:[Dato]],"&lt;="&amp;EOMONTH(M$8,0),LayTable[[Bookmaker]:[Bookmaker]],$A121)+SUMIFS(BetTable[[AR_per_bookie]:[AR_per_bookie]],BetTable[[B1]:[B1]],$A121,BetTable[[Date]:[Date]], "&gt;="&amp;M$8,BetTable[[Date]:[Date]],"&lt;="&amp;EOMONTH(M$8,0))+SUMIFS(BetTable[[AR_per_bookie]:[AR_per_bookie]],BetTable[[B2]:[B2]],$A121,BetTable[[Date]:[Date]], "&gt;="&amp;M$8,BetTable[[Date]:[Date]],"&lt;="&amp;EOMONTH(M$8,0))+SUMIFS(BetTable[[AR_per_bookie]:[AR_per_bookie]],BetTable[[B3]:[B3]],$A121,BetTable[[Date]:[Date]], "&gt;="&amp;M$8,BetTable[[Date]:[Date]],"&lt;="&amp;EOMONTH(M$8,0))</f>
        <v>0</v>
      </c>
      <c r="N121" s="126">
        <f>SUMIFS(DWbonus[[Sum]:[Sum]],DWbonus[[Dato]:[Dato]], "&gt;="&amp;N$8,DWbonus[[Dato]:[Dato]],"&lt;="&amp;EOMONTH(N$8,0),DWbonus[[Bookie]:[Bookie]],$A121)+SUMIFS(LayTable[[Faktisk res]:[Faktisk res]],LayTable[[Dato]:[Dato]],"&gt;="&amp;N$8,LayTable[[Dato]:[Dato]],"&lt;="&amp;EOMONTH(N$8,0),LayTable[[Bookmaker]:[Bookmaker]],$A121)+SUMIFS(BetTable[[AR_per_bookie]:[AR_per_bookie]],BetTable[[B1]:[B1]],$A121,BetTable[[Date]:[Date]], "&gt;="&amp;N$8,BetTable[[Date]:[Date]],"&lt;="&amp;EOMONTH(N$8,0))+SUMIFS(BetTable[[AR_per_bookie]:[AR_per_bookie]],BetTable[[B2]:[B2]],$A121,BetTable[[Date]:[Date]], "&gt;="&amp;N$8,BetTable[[Date]:[Date]],"&lt;="&amp;EOMONTH(N$8,0))+SUMIFS(BetTable[[AR_per_bookie]:[AR_per_bookie]],BetTable[[B3]:[B3]],$A121,BetTable[[Date]:[Date]], "&gt;="&amp;N$8,BetTable[[Date]:[Date]],"&lt;="&amp;EOMONTH(N$8,0))</f>
        <v>0</v>
      </c>
      <c r="O121" s="126">
        <f>SUMIFS(DWbonus[[Sum]:[Sum]],DWbonus[[Dato]:[Dato]], "&gt;="&amp;O$8,DWbonus[[Dato]:[Dato]],"&lt;="&amp;EOMONTH(O$8,0),DWbonus[[Bookie]:[Bookie]],$A121)+SUMIFS(LayTable[[Faktisk res]:[Faktisk res]],LayTable[[Dato]:[Dato]],"&gt;="&amp;O$8,LayTable[[Dato]:[Dato]],"&lt;="&amp;EOMONTH(O$8,0),LayTable[[Bookmaker]:[Bookmaker]],$A121)+SUMIFS(BetTable[[AR_per_bookie]:[AR_per_bookie]],BetTable[[B1]:[B1]],$A121,BetTable[[Date]:[Date]], "&gt;="&amp;O$8,BetTable[[Date]:[Date]],"&lt;="&amp;EOMONTH(O$8,0))+SUMIFS(BetTable[[AR_per_bookie]:[AR_per_bookie]],BetTable[[B2]:[B2]],$A121,BetTable[[Date]:[Date]], "&gt;="&amp;O$8,BetTable[[Date]:[Date]],"&lt;="&amp;EOMONTH(O$8,0))+SUMIFS(BetTable[[AR_per_bookie]:[AR_per_bookie]],BetTable[[B3]:[B3]],$A121,BetTable[[Date]:[Date]], "&gt;="&amp;O$8,BetTable[[Date]:[Date]],"&lt;="&amp;EOMONTH(O$8,0))</f>
        <v>0</v>
      </c>
      <c r="P121" s="126">
        <f>SUMIFS(DWbonus[[Sum]:[Sum]],DWbonus[[Dato]:[Dato]], "&gt;="&amp;P$8,DWbonus[[Dato]:[Dato]],"&lt;="&amp;EOMONTH(P$8,0),DWbonus[[Bookie]:[Bookie]],$A121)+SUMIFS(LayTable[[Faktisk res]:[Faktisk res]],LayTable[[Dato]:[Dato]],"&gt;="&amp;P$8,LayTable[[Dato]:[Dato]],"&lt;="&amp;EOMONTH(P$8,0),LayTable[[Bookmaker]:[Bookmaker]],$A121)+SUMIFS(BetTable[[AR_per_bookie]:[AR_per_bookie]],BetTable[[B1]:[B1]],$A121,BetTable[[Date]:[Date]], "&gt;="&amp;P$8,BetTable[[Date]:[Date]],"&lt;="&amp;EOMONTH(P$8,0))+SUMIFS(BetTable[[AR_per_bookie]:[AR_per_bookie]],BetTable[[B2]:[B2]],$A121,BetTable[[Date]:[Date]], "&gt;="&amp;P$8,BetTable[[Date]:[Date]],"&lt;="&amp;EOMONTH(P$8,0))+SUMIFS(BetTable[[AR_per_bookie]:[AR_per_bookie]],BetTable[[B3]:[B3]],$A121,BetTable[[Date]:[Date]], "&gt;="&amp;P$8,BetTable[[Date]:[Date]],"&lt;="&amp;EOMONTH(P$8,0))</f>
        <v>0</v>
      </c>
      <c r="Q121" s="126">
        <f>SUMIFS(DWbonus[[Sum]:[Sum]],DWbonus[[Dato]:[Dato]], "&gt;="&amp;Q$8,DWbonus[[Dato]:[Dato]],"&lt;="&amp;EOMONTH(Q$8,0),DWbonus[[Bookie]:[Bookie]],$A121)+SUMIFS(LayTable[[Faktisk res]:[Faktisk res]],LayTable[[Dato]:[Dato]],"&gt;="&amp;Q$8,LayTable[[Dato]:[Dato]],"&lt;="&amp;EOMONTH(Q$8,0),LayTable[[Bookmaker]:[Bookmaker]],$A121)+SUMIFS(BetTable[[AR_per_bookie]:[AR_per_bookie]],BetTable[[B1]:[B1]],$A121,BetTable[[Date]:[Date]], "&gt;="&amp;Q$8,BetTable[[Date]:[Date]],"&lt;="&amp;EOMONTH(Q$8,0))+SUMIFS(BetTable[[AR_per_bookie]:[AR_per_bookie]],BetTable[[B2]:[B2]],$A121,BetTable[[Date]:[Date]], "&gt;="&amp;Q$8,BetTable[[Date]:[Date]],"&lt;="&amp;EOMONTH(Q$8,0))+SUMIFS(BetTable[[AR_per_bookie]:[AR_per_bookie]],BetTable[[B3]:[B3]],$A121,BetTable[[Date]:[Date]], "&gt;="&amp;Q$8,BetTable[[Date]:[Date]],"&lt;="&amp;EOMONTH(Q$8,0))</f>
        <v>0</v>
      </c>
      <c r="R121" s="126">
        <f>SUMIFS(DWbonus[[Sum]:[Sum]],DWbonus[[Dato]:[Dato]], "&gt;="&amp;R$8,DWbonus[[Dato]:[Dato]],"&lt;="&amp;EOMONTH(R$8,0),DWbonus[[Bookie]:[Bookie]],$A121)+SUMIFS(LayTable[[Faktisk res]:[Faktisk res]],LayTable[[Dato]:[Dato]],"&gt;="&amp;R$8,LayTable[[Dato]:[Dato]],"&lt;="&amp;EOMONTH(R$8,0),LayTable[[Bookmaker]:[Bookmaker]],$A121)+SUMIFS(BetTable[[AR_per_bookie]:[AR_per_bookie]],BetTable[[B1]:[B1]],$A121,BetTable[[Date]:[Date]], "&gt;="&amp;R$8,BetTable[[Date]:[Date]],"&lt;="&amp;EOMONTH(R$8,0))+SUMIFS(BetTable[[AR_per_bookie]:[AR_per_bookie]],BetTable[[B2]:[B2]],$A121,BetTable[[Date]:[Date]], "&gt;="&amp;R$8,BetTable[[Date]:[Date]],"&lt;="&amp;EOMONTH(R$8,0))+SUMIFS(BetTable[[AR_per_bookie]:[AR_per_bookie]],BetTable[[B3]:[B3]],$A121,BetTable[[Date]:[Date]], "&gt;="&amp;R$8,BetTable[[Date]:[Date]],"&lt;="&amp;EOMONTH(R$8,0))</f>
        <v>0</v>
      </c>
      <c r="S121" s="126">
        <f>SUMIFS(DWbonus[[Sum]:[Sum]],DWbonus[[Dato]:[Dato]], "&gt;="&amp;S$8,DWbonus[[Dato]:[Dato]],"&lt;="&amp;EOMONTH(S$8,0),DWbonus[[Bookie]:[Bookie]],$A121)+SUMIFS(LayTable[[Faktisk res]:[Faktisk res]],LayTable[[Dato]:[Dato]],"&gt;="&amp;S$8,LayTable[[Dato]:[Dato]],"&lt;="&amp;EOMONTH(S$8,0),LayTable[[Bookmaker]:[Bookmaker]],$A121)+SUMIFS(BetTable[[AR_per_bookie]:[AR_per_bookie]],BetTable[[B1]:[B1]],$A121,BetTable[[Date]:[Date]], "&gt;="&amp;S$8,BetTable[[Date]:[Date]],"&lt;="&amp;EOMONTH(S$8,0))+SUMIFS(BetTable[[AR_per_bookie]:[AR_per_bookie]],BetTable[[B2]:[B2]],$A121,BetTable[[Date]:[Date]], "&gt;="&amp;S$8,BetTable[[Date]:[Date]],"&lt;="&amp;EOMONTH(S$8,0))+SUMIFS(BetTable[[AR_per_bookie]:[AR_per_bookie]],BetTable[[B3]:[B3]],$A121,BetTable[[Date]:[Date]], "&gt;="&amp;S$8,BetTable[[Date]:[Date]],"&lt;="&amp;EOMONTH(S$8,0))</f>
        <v>0</v>
      </c>
    </row>
    <row r="122" spans="1:19">
      <c r="A122" s="115">
        <f>BookieNavn!I116</f>
        <v>0</v>
      </c>
      <c r="B122" s="126">
        <f>SUMIF(Penger!D$1:D$50072,A122,Penger!F$1:F$50072)</f>
        <v>0</v>
      </c>
      <c r="C122" s="126">
        <f>SUMIF(Penger!T$1:T$50072,A122,Penger!U$1:U$50072)</f>
        <v>0</v>
      </c>
      <c r="D122" s="126">
        <f ca="1">SUMIF(Spill!C$1:C$499895,A122,Spill!T$1:T$49895)+C122</f>
        <v>0</v>
      </c>
      <c r="E122" s="126">
        <f>SUMIF(Spill!C$1:C$49895,A122,Spill!T$1:T$49895)</f>
        <v>0</v>
      </c>
      <c r="F122" s="121" t="e">
        <f t="shared" ca="1" si="2"/>
        <v>#DIV/0!</v>
      </c>
      <c r="H122" s="126">
        <f>SUMIFS(DWbonus[[Sum]:[Sum]],DWbonus[[Dato]:[Dato]], "&gt;="&amp;H$8,DWbonus[[Dato]:[Dato]],"&lt;="&amp;EOMONTH(H$8,0),DWbonus[[Bookie]:[Bookie]],$A122)+SUMIFS(LayTable[[Faktisk res]:[Faktisk res]],LayTable[[Dato]:[Dato]],"&gt;="&amp;H$8,LayTable[[Dato]:[Dato]],"&lt;="&amp;EOMONTH(H$8,0),LayTable[[Bookmaker]:[Bookmaker]],$A122)+SUMIFS(BetTable[[AR_per_bookie]:[AR_per_bookie]],BetTable[[B1]:[B1]],$A122,BetTable[[Date]:[Date]], "&gt;="&amp;H$8,BetTable[[Date]:[Date]],"&lt;="&amp;EOMONTH(H$8,0))+SUMIFS(BetTable[[AR_per_bookie]:[AR_per_bookie]],BetTable[[B2]:[B2]],$A122,BetTable[[Date]:[Date]], "&gt;="&amp;H$8,BetTable[[Date]:[Date]],"&lt;="&amp;EOMONTH(H$8,0))+SUMIFS(BetTable[[AR_per_bookie]:[AR_per_bookie]],BetTable[[B3]:[B3]],$A122,BetTable[[Date]:[Date]], "&gt;="&amp;H$8,BetTable[[Date]:[Date]],"&lt;="&amp;EOMONTH(H$8,0))</f>
        <v>0</v>
      </c>
      <c r="I122" s="126">
        <f>SUMIFS(DWbonus[[Sum]:[Sum]],DWbonus[[Dato]:[Dato]], "&gt;="&amp;I$8,DWbonus[[Dato]:[Dato]],"&lt;="&amp;EOMONTH(I$8,0),DWbonus[[Bookie]:[Bookie]],$A122)+SUMIFS(LayTable[[Faktisk res]:[Faktisk res]],LayTable[[Dato]:[Dato]],"&gt;="&amp;I$8,LayTable[[Dato]:[Dato]],"&lt;="&amp;EOMONTH(I$8,0),LayTable[[Bookmaker]:[Bookmaker]],$A122)+SUMIFS(BetTable[[AR_per_bookie]:[AR_per_bookie]],BetTable[[B1]:[B1]],$A122,BetTable[[Date]:[Date]], "&gt;="&amp;I$8,BetTable[[Date]:[Date]],"&lt;="&amp;EOMONTH(I$8,0))+SUMIFS(BetTable[[AR_per_bookie]:[AR_per_bookie]],BetTable[[B2]:[B2]],$A122,BetTable[[Date]:[Date]], "&gt;="&amp;I$8,BetTable[[Date]:[Date]],"&lt;="&amp;EOMONTH(I$8,0))+SUMIFS(BetTable[[AR_per_bookie]:[AR_per_bookie]],BetTable[[B3]:[B3]],$A122,BetTable[[Date]:[Date]], "&gt;="&amp;I$8,BetTable[[Date]:[Date]],"&lt;="&amp;EOMONTH(I$8,0))</f>
        <v>0</v>
      </c>
      <c r="J122" s="126">
        <f>SUMIFS(DWbonus[[Sum]:[Sum]],DWbonus[[Dato]:[Dato]], "&gt;="&amp;J$8,DWbonus[[Dato]:[Dato]],"&lt;="&amp;EOMONTH(J$8,0),DWbonus[[Bookie]:[Bookie]],$A122)+SUMIFS(LayTable[[Faktisk res]:[Faktisk res]],LayTable[[Dato]:[Dato]],"&gt;="&amp;J$8,LayTable[[Dato]:[Dato]],"&lt;="&amp;EOMONTH(J$8,0),LayTable[[Bookmaker]:[Bookmaker]],$A122)+SUMIFS(BetTable[[AR_per_bookie]:[AR_per_bookie]],BetTable[[B1]:[B1]],$A122,BetTable[[Date]:[Date]], "&gt;="&amp;J$8,BetTable[[Date]:[Date]],"&lt;="&amp;EOMONTH(J$8,0))+SUMIFS(BetTable[[AR_per_bookie]:[AR_per_bookie]],BetTable[[B2]:[B2]],$A122,BetTable[[Date]:[Date]], "&gt;="&amp;J$8,BetTable[[Date]:[Date]],"&lt;="&amp;EOMONTH(J$8,0))+SUMIFS(BetTable[[AR_per_bookie]:[AR_per_bookie]],BetTable[[B3]:[B3]],$A122,BetTable[[Date]:[Date]], "&gt;="&amp;J$8,BetTable[[Date]:[Date]],"&lt;="&amp;EOMONTH(J$8,0))</f>
        <v>0</v>
      </c>
      <c r="K122" s="126">
        <f>SUMIFS(DWbonus[[Sum]:[Sum]],DWbonus[[Dato]:[Dato]], "&gt;="&amp;K$8,DWbonus[[Dato]:[Dato]],"&lt;="&amp;EOMONTH(K$8,0),DWbonus[[Bookie]:[Bookie]],$A122)+SUMIFS(LayTable[[Faktisk res]:[Faktisk res]],LayTable[[Dato]:[Dato]],"&gt;="&amp;K$8,LayTable[[Dato]:[Dato]],"&lt;="&amp;EOMONTH(K$8,0),LayTable[[Bookmaker]:[Bookmaker]],$A122)+SUMIFS(BetTable[[AR_per_bookie]:[AR_per_bookie]],BetTable[[B1]:[B1]],$A122,BetTable[[Date]:[Date]], "&gt;="&amp;K$8,BetTable[[Date]:[Date]],"&lt;="&amp;EOMONTH(K$8,0))+SUMIFS(BetTable[[AR_per_bookie]:[AR_per_bookie]],BetTable[[B2]:[B2]],$A122,BetTable[[Date]:[Date]], "&gt;="&amp;K$8,BetTable[[Date]:[Date]],"&lt;="&amp;EOMONTH(K$8,0))+SUMIFS(BetTable[[AR_per_bookie]:[AR_per_bookie]],BetTable[[B3]:[B3]],$A122,BetTable[[Date]:[Date]], "&gt;="&amp;K$8,BetTable[[Date]:[Date]],"&lt;="&amp;EOMONTH(K$8,0))</f>
        <v>0</v>
      </c>
      <c r="L122" s="126">
        <f>SUMIFS(DWbonus[[Sum]:[Sum]],DWbonus[[Dato]:[Dato]], "&gt;="&amp;L$8,DWbonus[[Dato]:[Dato]],"&lt;="&amp;EOMONTH(L$8,0),DWbonus[[Bookie]:[Bookie]],$A122)+SUMIFS(LayTable[[Faktisk res]:[Faktisk res]],LayTable[[Dato]:[Dato]],"&gt;="&amp;L$8,LayTable[[Dato]:[Dato]],"&lt;="&amp;EOMONTH(L$8,0),LayTable[[Bookmaker]:[Bookmaker]],$A122)+SUMIFS(BetTable[[AR_per_bookie]:[AR_per_bookie]],BetTable[[B1]:[B1]],$A122,BetTable[[Date]:[Date]], "&gt;="&amp;L$8,BetTable[[Date]:[Date]],"&lt;="&amp;EOMONTH(L$8,0))+SUMIFS(BetTable[[AR_per_bookie]:[AR_per_bookie]],BetTable[[B2]:[B2]],$A122,BetTable[[Date]:[Date]], "&gt;="&amp;L$8,BetTable[[Date]:[Date]],"&lt;="&amp;EOMONTH(L$8,0))+SUMIFS(BetTable[[AR_per_bookie]:[AR_per_bookie]],BetTable[[B3]:[B3]],$A122,BetTable[[Date]:[Date]], "&gt;="&amp;L$8,BetTable[[Date]:[Date]],"&lt;="&amp;EOMONTH(L$8,0))</f>
        <v>0</v>
      </c>
      <c r="M122" s="126">
        <f>SUMIFS(DWbonus[[Sum]:[Sum]],DWbonus[[Dato]:[Dato]], "&gt;="&amp;M$8,DWbonus[[Dato]:[Dato]],"&lt;="&amp;EOMONTH(M$8,0),DWbonus[[Bookie]:[Bookie]],$A122)+SUMIFS(LayTable[[Faktisk res]:[Faktisk res]],LayTable[[Dato]:[Dato]],"&gt;="&amp;M$8,LayTable[[Dato]:[Dato]],"&lt;="&amp;EOMONTH(M$8,0),LayTable[[Bookmaker]:[Bookmaker]],$A122)+SUMIFS(BetTable[[AR_per_bookie]:[AR_per_bookie]],BetTable[[B1]:[B1]],$A122,BetTable[[Date]:[Date]], "&gt;="&amp;M$8,BetTable[[Date]:[Date]],"&lt;="&amp;EOMONTH(M$8,0))+SUMIFS(BetTable[[AR_per_bookie]:[AR_per_bookie]],BetTable[[B2]:[B2]],$A122,BetTable[[Date]:[Date]], "&gt;="&amp;M$8,BetTable[[Date]:[Date]],"&lt;="&amp;EOMONTH(M$8,0))+SUMIFS(BetTable[[AR_per_bookie]:[AR_per_bookie]],BetTable[[B3]:[B3]],$A122,BetTable[[Date]:[Date]], "&gt;="&amp;M$8,BetTable[[Date]:[Date]],"&lt;="&amp;EOMONTH(M$8,0))</f>
        <v>0</v>
      </c>
      <c r="N122" s="126">
        <f>SUMIFS(DWbonus[[Sum]:[Sum]],DWbonus[[Dato]:[Dato]], "&gt;="&amp;N$8,DWbonus[[Dato]:[Dato]],"&lt;="&amp;EOMONTH(N$8,0),DWbonus[[Bookie]:[Bookie]],$A122)+SUMIFS(LayTable[[Faktisk res]:[Faktisk res]],LayTable[[Dato]:[Dato]],"&gt;="&amp;N$8,LayTable[[Dato]:[Dato]],"&lt;="&amp;EOMONTH(N$8,0),LayTable[[Bookmaker]:[Bookmaker]],$A122)+SUMIFS(BetTable[[AR_per_bookie]:[AR_per_bookie]],BetTable[[B1]:[B1]],$A122,BetTable[[Date]:[Date]], "&gt;="&amp;N$8,BetTable[[Date]:[Date]],"&lt;="&amp;EOMONTH(N$8,0))+SUMIFS(BetTable[[AR_per_bookie]:[AR_per_bookie]],BetTable[[B2]:[B2]],$A122,BetTable[[Date]:[Date]], "&gt;="&amp;N$8,BetTable[[Date]:[Date]],"&lt;="&amp;EOMONTH(N$8,0))+SUMIFS(BetTable[[AR_per_bookie]:[AR_per_bookie]],BetTable[[B3]:[B3]],$A122,BetTable[[Date]:[Date]], "&gt;="&amp;N$8,BetTable[[Date]:[Date]],"&lt;="&amp;EOMONTH(N$8,0))</f>
        <v>0</v>
      </c>
      <c r="O122" s="126">
        <f>SUMIFS(DWbonus[[Sum]:[Sum]],DWbonus[[Dato]:[Dato]], "&gt;="&amp;O$8,DWbonus[[Dato]:[Dato]],"&lt;="&amp;EOMONTH(O$8,0),DWbonus[[Bookie]:[Bookie]],$A122)+SUMIFS(LayTable[[Faktisk res]:[Faktisk res]],LayTable[[Dato]:[Dato]],"&gt;="&amp;O$8,LayTable[[Dato]:[Dato]],"&lt;="&amp;EOMONTH(O$8,0),LayTable[[Bookmaker]:[Bookmaker]],$A122)+SUMIFS(BetTable[[AR_per_bookie]:[AR_per_bookie]],BetTable[[B1]:[B1]],$A122,BetTable[[Date]:[Date]], "&gt;="&amp;O$8,BetTable[[Date]:[Date]],"&lt;="&amp;EOMONTH(O$8,0))+SUMIFS(BetTable[[AR_per_bookie]:[AR_per_bookie]],BetTable[[B2]:[B2]],$A122,BetTable[[Date]:[Date]], "&gt;="&amp;O$8,BetTable[[Date]:[Date]],"&lt;="&amp;EOMONTH(O$8,0))+SUMIFS(BetTable[[AR_per_bookie]:[AR_per_bookie]],BetTable[[B3]:[B3]],$A122,BetTable[[Date]:[Date]], "&gt;="&amp;O$8,BetTable[[Date]:[Date]],"&lt;="&amp;EOMONTH(O$8,0))</f>
        <v>0</v>
      </c>
      <c r="P122" s="126">
        <f>SUMIFS(DWbonus[[Sum]:[Sum]],DWbonus[[Dato]:[Dato]], "&gt;="&amp;P$8,DWbonus[[Dato]:[Dato]],"&lt;="&amp;EOMONTH(P$8,0),DWbonus[[Bookie]:[Bookie]],$A122)+SUMIFS(LayTable[[Faktisk res]:[Faktisk res]],LayTable[[Dato]:[Dato]],"&gt;="&amp;P$8,LayTable[[Dato]:[Dato]],"&lt;="&amp;EOMONTH(P$8,0),LayTable[[Bookmaker]:[Bookmaker]],$A122)+SUMIFS(BetTable[[AR_per_bookie]:[AR_per_bookie]],BetTable[[B1]:[B1]],$A122,BetTable[[Date]:[Date]], "&gt;="&amp;P$8,BetTable[[Date]:[Date]],"&lt;="&amp;EOMONTH(P$8,0))+SUMIFS(BetTable[[AR_per_bookie]:[AR_per_bookie]],BetTable[[B2]:[B2]],$A122,BetTable[[Date]:[Date]], "&gt;="&amp;P$8,BetTable[[Date]:[Date]],"&lt;="&amp;EOMONTH(P$8,0))+SUMIFS(BetTable[[AR_per_bookie]:[AR_per_bookie]],BetTable[[B3]:[B3]],$A122,BetTable[[Date]:[Date]], "&gt;="&amp;P$8,BetTable[[Date]:[Date]],"&lt;="&amp;EOMONTH(P$8,0))</f>
        <v>0</v>
      </c>
      <c r="Q122" s="126">
        <f>SUMIFS(DWbonus[[Sum]:[Sum]],DWbonus[[Dato]:[Dato]], "&gt;="&amp;Q$8,DWbonus[[Dato]:[Dato]],"&lt;="&amp;EOMONTH(Q$8,0),DWbonus[[Bookie]:[Bookie]],$A122)+SUMIFS(LayTable[[Faktisk res]:[Faktisk res]],LayTable[[Dato]:[Dato]],"&gt;="&amp;Q$8,LayTable[[Dato]:[Dato]],"&lt;="&amp;EOMONTH(Q$8,0),LayTable[[Bookmaker]:[Bookmaker]],$A122)+SUMIFS(BetTable[[AR_per_bookie]:[AR_per_bookie]],BetTable[[B1]:[B1]],$A122,BetTable[[Date]:[Date]], "&gt;="&amp;Q$8,BetTable[[Date]:[Date]],"&lt;="&amp;EOMONTH(Q$8,0))+SUMIFS(BetTable[[AR_per_bookie]:[AR_per_bookie]],BetTable[[B2]:[B2]],$A122,BetTable[[Date]:[Date]], "&gt;="&amp;Q$8,BetTable[[Date]:[Date]],"&lt;="&amp;EOMONTH(Q$8,0))+SUMIFS(BetTable[[AR_per_bookie]:[AR_per_bookie]],BetTable[[B3]:[B3]],$A122,BetTable[[Date]:[Date]], "&gt;="&amp;Q$8,BetTable[[Date]:[Date]],"&lt;="&amp;EOMONTH(Q$8,0))</f>
        <v>0</v>
      </c>
      <c r="R122" s="126">
        <f>SUMIFS(DWbonus[[Sum]:[Sum]],DWbonus[[Dato]:[Dato]], "&gt;="&amp;R$8,DWbonus[[Dato]:[Dato]],"&lt;="&amp;EOMONTH(R$8,0),DWbonus[[Bookie]:[Bookie]],$A122)+SUMIFS(LayTable[[Faktisk res]:[Faktisk res]],LayTable[[Dato]:[Dato]],"&gt;="&amp;R$8,LayTable[[Dato]:[Dato]],"&lt;="&amp;EOMONTH(R$8,0),LayTable[[Bookmaker]:[Bookmaker]],$A122)+SUMIFS(BetTable[[AR_per_bookie]:[AR_per_bookie]],BetTable[[B1]:[B1]],$A122,BetTable[[Date]:[Date]], "&gt;="&amp;R$8,BetTable[[Date]:[Date]],"&lt;="&amp;EOMONTH(R$8,0))+SUMIFS(BetTable[[AR_per_bookie]:[AR_per_bookie]],BetTable[[B2]:[B2]],$A122,BetTable[[Date]:[Date]], "&gt;="&amp;R$8,BetTable[[Date]:[Date]],"&lt;="&amp;EOMONTH(R$8,0))+SUMIFS(BetTable[[AR_per_bookie]:[AR_per_bookie]],BetTable[[B3]:[B3]],$A122,BetTable[[Date]:[Date]], "&gt;="&amp;R$8,BetTable[[Date]:[Date]],"&lt;="&amp;EOMONTH(R$8,0))</f>
        <v>0</v>
      </c>
      <c r="S122" s="126">
        <f>SUMIFS(DWbonus[[Sum]:[Sum]],DWbonus[[Dato]:[Dato]], "&gt;="&amp;S$8,DWbonus[[Dato]:[Dato]],"&lt;="&amp;EOMONTH(S$8,0),DWbonus[[Bookie]:[Bookie]],$A122)+SUMIFS(LayTable[[Faktisk res]:[Faktisk res]],LayTable[[Dato]:[Dato]],"&gt;="&amp;S$8,LayTable[[Dato]:[Dato]],"&lt;="&amp;EOMONTH(S$8,0),LayTable[[Bookmaker]:[Bookmaker]],$A122)+SUMIFS(BetTable[[AR_per_bookie]:[AR_per_bookie]],BetTable[[B1]:[B1]],$A122,BetTable[[Date]:[Date]], "&gt;="&amp;S$8,BetTable[[Date]:[Date]],"&lt;="&amp;EOMONTH(S$8,0))+SUMIFS(BetTable[[AR_per_bookie]:[AR_per_bookie]],BetTable[[B2]:[B2]],$A122,BetTable[[Date]:[Date]], "&gt;="&amp;S$8,BetTable[[Date]:[Date]],"&lt;="&amp;EOMONTH(S$8,0))+SUMIFS(BetTable[[AR_per_bookie]:[AR_per_bookie]],BetTable[[B3]:[B3]],$A122,BetTable[[Date]:[Date]], "&gt;="&amp;S$8,BetTable[[Date]:[Date]],"&lt;="&amp;EOMONTH(S$8,0))</f>
        <v>0</v>
      </c>
    </row>
    <row r="123" spans="1:19">
      <c r="A123" s="115">
        <f>BookieNavn!I117</f>
        <v>0</v>
      </c>
      <c r="B123" s="126">
        <f>SUMIF(Penger!D$1:D$50072,A123,Penger!F$1:F$50072)</f>
        <v>0</v>
      </c>
      <c r="C123" s="126">
        <f>SUMIF(Penger!T$1:T$50072,A123,Penger!U$1:U$50072)</f>
        <v>0</v>
      </c>
      <c r="D123" s="126">
        <f ca="1">SUMIF(Spill!C$1:C$499895,A123,Spill!T$1:T$49895)+C123</f>
        <v>0</v>
      </c>
      <c r="E123" s="126">
        <f>SUMIF(Spill!C$1:C$49895,A123,Spill!T$1:T$49895)</f>
        <v>0</v>
      </c>
      <c r="F123" s="121" t="e">
        <f t="shared" ca="1" si="2"/>
        <v>#DIV/0!</v>
      </c>
      <c r="H123" s="126">
        <f>SUMIFS(DWbonus[[Sum]:[Sum]],DWbonus[[Dato]:[Dato]], "&gt;="&amp;H$8,DWbonus[[Dato]:[Dato]],"&lt;="&amp;EOMONTH(H$8,0),DWbonus[[Bookie]:[Bookie]],$A123)+SUMIFS(LayTable[[Faktisk res]:[Faktisk res]],LayTable[[Dato]:[Dato]],"&gt;="&amp;H$8,LayTable[[Dato]:[Dato]],"&lt;="&amp;EOMONTH(H$8,0),LayTable[[Bookmaker]:[Bookmaker]],$A123)+SUMIFS(BetTable[[AR_per_bookie]:[AR_per_bookie]],BetTable[[B1]:[B1]],$A123,BetTable[[Date]:[Date]], "&gt;="&amp;H$8,BetTable[[Date]:[Date]],"&lt;="&amp;EOMONTH(H$8,0))+SUMIFS(BetTable[[AR_per_bookie]:[AR_per_bookie]],BetTable[[B2]:[B2]],$A123,BetTable[[Date]:[Date]], "&gt;="&amp;H$8,BetTable[[Date]:[Date]],"&lt;="&amp;EOMONTH(H$8,0))+SUMIFS(BetTable[[AR_per_bookie]:[AR_per_bookie]],BetTable[[B3]:[B3]],$A123,BetTable[[Date]:[Date]], "&gt;="&amp;H$8,BetTable[[Date]:[Date]],"&lt;="&amp;EOMONTH(H$8,0))</f>
        <v>0</v>
      </c>
      <c r="I123" s="126">
        <f>SUMIFS(DWbonus[[Sum]:[Sum]],DWbonus[[Dato]:[Dato]], "&gt;="&amp;I$8,DWbonus[[Dato]:[Dato]],"&lt;="&amp;EOMONTH(I$8,0),DWbonus[[Bookie]:[Bookie]],$A123)+SUMIFS(LayTable[[Faktisk res]:[Faktisk res]],LayTable[[Dato]:[Dato]],"&gt;="&amp;I$8,LayTable[[Dato]:[Dato]],"&lt;="&amp;EOMONTH(I$8,0),LayTable[[Bookmaker]:[Bookmaker]],$A123)+SUMIFS(BetTable[[AR_per_bookie]:[AR_per_bookie]],BetTable[[B1]:[B1]],$A123,BetTable[[Date]:[Date]], "&gt;="&amp;I$8,BetTable[[Date]:[Date]],"&lt;="&amp;EOMONTH(I$8,0))+SUMIFS(BetTable[[AR_per_bookie]:[AR_per_bookie]],BetTable[[B2]:[B2]],$A123,BetTable[[Date]:[Date]], "&gt;="&amp;I$8,BetTable[[Date]:[Date]],"&lt;="&amp;EOMONTH(I$8,0))+SUMIFS(BetTable[[AR_per_bookie]:[AR_per_bookie]],BetTable[[B3]:[B3]],$A123,BetTable[[Date]:[Date]], "&gt;="&amp;I$8,BetTable[[Date]:[Date]],"&lt;="&amp;EOMONTH(I$8,0))</f>
        <v>0</v>
      </c>
      <c r="J123" s="126">
        <f>SUMIFS(DWbonus[[Sum]:[Sum]],DWbonus[[Dato]:[Dato]], "&gt;="&amp;J$8,DWbonus[[Dato]:[Dato]],"&lt;="&amp;EOMONTH(J$8,0),DWbonus[[Bookie]:[Bookie]],$A123)+SUMIFS(LayTable[[Faktisk res]:[Faktisk res]],LayTable[[Dato]:[Dato]],"&gt;="&amp;J$8,LayTable[[Dato]:[Dato]],"&lt;="&amp;EOMONTH(J$8,0),LayTable[[Bookmaker]:[Bookmaker]],$A123)+SUMIFS(BetTable[[AR_per_bookie]:[AR_per_bookie]],BetTable[[B1]:[B1]],$A123,BetTable[[Date]:[Date]], "&gt;="&amp;J$8,BetTable[[Date]:[Date]],"&lt;="&amp;EOMONTH(J$8,0))+SUMIFS(BetTable[[AR_per_bookie]:[AR_per_bookie]],BetTable[[B2]:[B2]],$A123,BetTable[[Date]:[Date]], "&gt;="&amp;J$8,BetTable[[Date]:[Date]],"&lt;="&amp;EOMONTH(J$8,0))+SUMIFS(BetTable[[AR_per_bookie]:[AR_per_bookie]],BetTable[[B3]:[B3]],$A123,BetTable[[Date]:[Date]], "&gt;="&amp;J$8,BetTable[[Date]:[Date]],"&lt;="&amp;EOMONTH(J$8,0))</f>
        <v>0</v>
      </c>
      <c r="K123" s="126">
        <f>SUMIFS(DWbonus[[Sum]:[Sum]],DWbonus[[Dato]:[Dato]], "&gt;="&amp;K$8,DWbonus[[Dato]:[Dato]],"&lt;="&amp;EOMONTH(K$8,0),DWbonus[[Bookie]:[Bookie]],$A123)+SUMIFS(LayTable[[Faktisk res]:[Faktisk res]],LayTable[[Dato]:[Dato]],"&gt;="&amp;K$8,LayTable[[Dato]:[Dato]],"&lt;="&amp;EOMONTH(K$8,0),LayTable[[Bookmaker]:[Bookmaker]],$A123)+SUMIFS(BetTable[[AR_per_bookie]:[AR_per_bookie]],BetTable[[B1]:[B1]],$A123,BetTable[[Date]:[Date]], "&gt;="&amp;K$8,BetTable[[Date]:[Date]],"&lt;="&amp;EOMONTH(K$8,0))+SUMIFS(BetTable[[AR_per_bookie]:[AR_per_bookie]],BetTable[[B2]:[B2]],$A123,BetTable[[Date]:[Date]], "&gt;="&amp;K$8,BetTable[[Date]:[Date]],"&lt;="&amp;EOMONTH(K$8,0))+SUMIFS(BetTable[[AR_per_bookie]:[AR_per_bookie]],BetTable[[B3]:[B3]],$A123,BetTable[[Date]:[Date]], "&gt;="&amp;K$8,BetTable[[Date]:[Date]],"&lt;="&amp;EOMONTH(K$8,0))</f>
        <v>0</v>
      </c>
      <c r="L123" s="126">
        <f>SUMIFS(DWbonus[[Sum]:[Sum]],DWbonus[[Dato]:[Dato]], "&gt;="&amp;L$8,DWbonus[[Dato]:[Dato]],"&lt;="&amp;EOMONTH(L$8,0),DWbonus[[Bookie]:[Bookie]],$A123)+SUMIFS(LayTable[[Faktisk res]:[Faktisk res]],LayTable[[Dato]:[Dato]],"&gt;="&amp;L$8,LayTable[[Dato]:[Dato]],"&lt;="&amp;EOMONTH(L$8,0),LayTable[[Bookmaker]:[Bookmaker]],$A123)+SUMIFS(BetTable[[AR_per_bookie]:[AR_per_bookie]],BetTable[[B1]:[B1]],$A123,BetTable[[Date]:[Date]], "&gt;="&amp;L$8,BetTable[[Date]:[Date]],"&lt;="&amp;EOMONTH(L$8,0))+SUMIFS(BetTable[[AR_per_bookie]:[AR_per_bookie]],BetTable[[B2]:[B2]],$A123,BetTable[[Date]:[Date]], "&gt;="&amp;L$8,BetTable[[Date]:[Date]],"&lt;="&amp;EOMONTH(L$8,0))+SUMIFS(BetTable[[AR_per_bookie]:[AR_per_bookie]],BetTable[[B3]:[B3]],$A123,BetTable[[Date]:[Date]], "&gt;="&amp;L$8,BetTable[[Date]:[Date]],"&lt;="&amp;EOMONTH(L$8,0))</f>
        <v>0</v>
      </c>
      <c r="M123" s="126">
        <f>SUMIFS(DWbonus[[Sum]:[Sum]],DWbonus[[Dato]:[Dato]], "&gt;="&amp;M$8,DWbonus[[Dato]:[Dato]],"&lt;="&amp;EOMONTH(M$8,0),DWbonus[[Bookie]:[Bookie]],$A123)+SUMIFS(LayTable[[Faktisk res]:[Faktisk res]],LayTable[[Dato]:[Dato]],"&gt;="&amp;M$8,LayTable[[Dato]:[Dato]],"&lt;="&amp;EOMONTH(M$8,0),LayTable[[Bookmaker]:[Bookmaker]],$A123)+SUMIFS(BetTable[[AR_per_bookie]:[AR_per_bookie]],BetTable[[B1]:[B1]],$A123,BetTable[[Date]:[Date]], "&gt;="&amp;M$8,BetTable[[Date]:[Date]],"&lt;="&amp;EOMONTH(M$8,0))+SUMIFS(BetTable[[AR_per_bookie]:[AR_per_bookie]],BetTable[[B2]:[B2]],$A123,BetTable[[Date]:[Date]], "&gt;="&amp;M$8,BetTable[[Date]:[Date]],"&lt;="&amp;EOMONTH(M$8,0))+SUMIFS(BetTable[[AR_per_bookie]:[AR_per_bookie]],BetTable[[B3]:[B3]],$A123,BetTable[[Date]:[Date]], "&gt;="&amp;M$8,BetTable[[Date]:[Date]],"&lt;="&amp;EOMONTH(M$8,0))</f>
        <v>0</v>
      </c>
      <c r="N123" s="126">
        <f>SUMIFS(DWbonus[[Sum]:[Sum]],DWbonus[[Dato]:[Dato]], "&gt;="&amp;N$8,DWbonus[[Dato]:[Dato]],"&lt;="&amp;EOMONTH(N$8,0),DWbonus[[Bookie]:[Bookie]],$A123)+SUMIFS(LayTable[[Faktisk res]:[Faktisk res]],LayTable[[Dato]:[Dato]],"&gt;="&amp;N$8,LayTable[[Dato]:[Dato]],"&lt;="&amp;EOMONTH(N$8,0),LayTable[[Bookmaker]:[Bookmaker]],$A123)+SUMIFS(BetTable[[AR_per_bookie]:[AR_per_bookie]],BetTable[[B1]:[B1]],$A123,BetTable[[Date]:[Date]], "&gt;="&amp;N$8,BetTable[[Date]:[Date]],"&lt;="&amp;EOMONTH(N$8,0))+SUMIFS(BetTable[[AR_per_bookie]:[AR_per_bookie]],BetTable[[B2]:[B2]],$A123,BetTable[[Date]:[Date]], "&gt;="&amp;N$8,BetTable[[Date]:[Date]],"&lt;="&amp;EOMONTH(N$8,0))+SUMIFS(BetTable[[AR_per_bookie]:[AR_per_bookie]],BetTable[[B3]:[B3]],$A123,BetTable[[Date]:[Date]], "&gt;="&amp;N$8,BetTable[[Date]:[Date]],"&lt;="&amp;EOMONTH(N$8,0))</f>
        <v>0</v>
      </c>
      <c r="O123" s="126">
        <f>SUMIFS(DWbonus[[Sum]:[Sum]],DWbonus[[Dato]:[Dato]], "&gt;="&amp;O$8,DWbonus[[Dato]:[Dato]],"&lt;="&amp;EOMONTH(O$8,0),DWbonus[[Bookie]:[Bookie]],$A123)+SUMIFS(LayTable[[Faktisk res]:[Faktisk res]],LayTable[[Dato]:[Dato]],"&gt;="&amp;O$8,LayTable[[Dato]:[Dato]],"&lt;="&amp;EOMONTH(O$8,0),LayTable[[Bookmaker]:[Bookmaker]],$A123)+SUMIFS(BetTable[[AR_per_bookie]:[AR_per_bookie]],BetTable[[B1]:[B1]],$A123,BetTable[[Date]:[Date]], "&gt;="&amp;O$8,BetTable[[Date]:[Date]],"&lt;="&amp;EOMONTH(O$8,0))+SUMIFS(BetTable[[AR_per_bookie]:[AR_per_bookie]],BetTable[[B2]:[B2]],$A123,BetTable[[Date]:[Date]], "&gt;="&amp;O$8,BetTable[[Date]:[Date]],"&lt;="&amp;EOMONTH(O$8,0))+SUMIFS(BetTable[[AR_per_bookie]:[AR_per_bookie]],BetTable[[B3]:[B3]],$A123,BetTable[[Date]:[Date]], "&gt;="&amp;O$8,BetTable[[Date]:[Date]],"&lt;="&amp;EOMONTH(O$8,0))</f>
        <v>0</v>
      </c>
      <c r="P123" s="126">
        <f>SUMIFS(DWbonus[[Sum]:[Sum]],DWbonus[[Dato]:[Dato]], "&gt;="&amp;P$8,DWbonus[[Dato]:[Dato]],"&lt;="&amp;EOMONTH(P$8,0),DWbonus[[Bookie]:[Bookie]],$A123)+SUMIFS(LayTable[[Faktisk res]:[Faktisk res]],LayTable[[Dato]:[Dato]],"&gt;="&amp;P$8,LayTable[[Dato]:[Dato]],"&lt;="&amp;EOMONTH(P$8,0),LayTable[[Bookmaker]:[Bookmaker]],$A123)+SUMIFS(BetTable[[AR_per_bookie]:[AR_per_bookie]],BetTable[[B1]:[B1]],$A123,BetTable[[Date]:[Date]], "&gt;="&amp;P$8,BetTable[[Date]:[Date]],"&lt;="&amp;EOMONTH(P$8,0))+SUMIFS(BetTable[[AR_per_bookie]:[AR_per_bookie]],BetTable[[B2]:[B2]],$A123,BetTable[[Date]:[Date]], "&gt;="&amp;P$8,BetTable[[Date]:[Date]],"&lt;="&amp;EOMONTH(P$8,0))+SUMIFS(BetTable[[AR_per_bookie]:[AR_per_bookie]],BetTable[[B3]:[B3]],$A123,BetTable[[Date]:[Date]], "&gt;="&amp;P$8,BetTable[[Date]:[Date]],"&lt;="&amp;EOMONTH(P$8,0))</f>
        <v>0</v>
      </c>
      <c r="Q123" s="126">
        <f>SUMIFS(DWbonus[[Sum]:[Sum]],DWbonus[[Dato]:[Dato]], "&gt;="&amp;Q$8,DWbonus[[Dato]:[Dato]],"&lt;="&amp;EOMONTH(Q$8,0),DWbonus[[Bookie]:[Bookie]],$A123)+SUMIFS(LayTable[[Faktisk res]:[Faktisk res]],LayTable[[Dato]:[Dato]],"&gt;="&amp;Q$8,LayTable[[Dato]:[Dato]],"&lt;="&amp;EOMONTH(Q$8,0),LayTable[[Bookmaker]:[Bookmaker]],$A123)+SUMIFS(BetTable[[AR_per_bookie]:[AR_per_bookie]],BetTable[[B1]:[B1]],$A123,BetTable[[Date]:[Date]], "&gt;="&amp;Q$8,BetTable[[Date]:[Date]],"&lt;="&amp;EOMONTH(Q$8,0))+SUMIFS(BetTable[[AR_per_bookie]:[AR_per_bookie]],BetTable[[B2]:[B2]],$A123,BetTable[[Date]:[Date]], "&gt;="&amp;Q$8,BetTable[[Date]:[Date]],"&lt;="&amp;EOMONTH(Q$8,0))+SUMIFS(BetTable[[AR_per_bookie]:[AR_per_bookie]],BetTable[[B3]:[B3]],$A123,BetTable[[Date]:[Date]], "&gt;="&amp;Q$8,BetTable[[Date]:[Date]],"&lt;="&amp;EOMONTH(Q$8,0))</f>
        <v>0</v>
      </c>
      <c r="R123" s="126">
        <f>SUMIFS(DWbonus[[Sum]:[Sum]],DWbonus[[Dato]:[Dato]], "&gt;="&amp;R$8,DWbonus[[Dato]:[Dato]],"&lt;="&amp;EOMONTH(R$8,0),DWbonus[[Bookie]:[Bookie]],$A123)+SUMIFS(LayTable[[Faktisk res]:[Faktisk res]],LayTable[[Dato]:[Dato]],"&gt;="&amp;R$8,LayTable[[Dato]:[Dato]],"&lt;="&amp;EOMONTH(R$8,0),LayTable[[Bookmaker]:[Bookmaker]],$A123)+SUMIFS(BetTable[[AR_per_bookie]:[AR_per_bookie]],BetTable[[B1]:[B1]],$A123,BetTable[[Date]:[Date]], "&gt;="&amp;R$8,BetTable[[Date]:[Date]],"&lt;="&amp;EOMONTH(R$8,0))+SUMIFS(BetTable[[AR_per_bookie]:[AR_per_bookie]],BetTable[[B2]:[B2]],$A123,BetTable[[Date]:[Date]], "&gt;="&amp;R$8,BetTable[[Date]:[Date]],"&lt;="&amp;EOMONTH(R$8,0))+SUMIFS(BetTable[[AR_per_bookie]:[AR_per_bookie]],BetTable[[B3]:[B3]],$A123,BetTable[[Date]:[Date]], "&gt;="&amp;R$8,BetTable[[Date]:[Date]],"&lt;="&amp;EOMONTH(R$8,0))</f>
        <v>0</v>
      </c>
      <c r="S123" s="126">
        <f>SUMIFS(DWbonus[[Sum]:[Sum]],DWbonus[[Dato]:[Dato]], "&gt;="&amp;S$8,DWbonus[[Dato]:[Dato]],"&lt;="&amp;EOMONTH(S$8,0),DWbonus[[Bookie]:[Bookie]],$A123)+SUMIFS(LayTable[[Faktisk res]:[Faktisk res]],LayTable[[Dato]:[Dato]],"&gt;="&amp;S$8,LayTable[[Dato]:[Dato]],"&lt;="&amp;EOMONTH(S$8,0),LayTable[[Bookmaker]:[Bookmaker]],$A123)+SUMIFS(BetTable[[AR_per_bookie]:[AR_per_bookie]],BetTable[[B1]:[B1]],$A123,BetTable[[Date]:[Date]], "&gt;="&amp;S$8,BetTable[[Date]:[Date]],"&lt;="&amp;EOMONTH(S$8,0))+SUMIFS(BetTable[[AR_per_bookie]:[AR_per_bookie]],BetTable[[B2]:[B2]],$A123,BetTable[[Date]:[Date]], "&gt;="&amp;S$8,BetTable[[Date]:[Date]],"&lt;="&amp;EOMONTH(S$8,0))+SUMIFS(BetTable[[AR_per_bookie]:[AR_per_bookie]],BetTable[[B3]:[B3]],$A123,BetTable[[Date]:[Date]], "&gt;="&amp;S$8,BetTable[[Date]:[Date]],"&lt;="&amp;EOMONTH(S$8,0))</f>
        <v>0</v>
      </c>
    </row>
    <row r="124" spans="1:19">
      <c r="A124" s="115">
        <f>BookieNavn!I118</f>
        <v>0</v>
      </c>
      <c r="B124" s="126">
        <f>SUMIF(Penger!D$1:D$50072,A124,Penger!F$1:F$50072)</f>
        <v>0</v>
      </c>
      <c r="C124" s="126">
        <f>SUMIF(Penger!T$1:T$50072,A124,Penger!U$1:U$50072)</f>
        <v>0</v>
      </c>
      <c r="D124" s="126">
        <f ca="1">SUMIF(Spill!C$1:C$499895,A124,Spill!T$1:T$49895)+C124</f>
        <v>0</v>
      </c>
      <c r="E124" s="126">
        <f>SUMIF(Spill!C$1:C$49895,A124,Spill!T$1:T$49895)</f>
        <v>0</v>
      </c>
      <c r="F124" s="121" t="e">
        <f t="shared" ca="1" si="2"/>
        <v>#DIV/0!</v>
      </c>
      <c r="H124" s="126">
        <f>SUMIFS(DWbonus[[Sum]:[Sum]],DWbonus[[Dato]:[Dato]], "&gt;="&amp;H$8,DWbonus[[Dato]:[Dato]],"&lt;="&amp;EOMONTH(H$8,0),DWbonus[[Bookie]:[Bookie]],$A124)+SUMIFS(LayTable[[Faktisk res]:[Faktisk res]],LayTable[[Dato]:[Dato]],"&gt;="&amp;H$8,LayTable[[Dato]:[Dato]],"&lt;="&amp;EOMONTH(H$8,0),LayTable[[Bookmaker]:[Bookmaker]],$A124)+SUMIFS(BetTable[[AR_per_bookie]:[AR_per_bookie]],BetTable[[B1]:[B1]],$A124,BetTable[[Date]:[Date]], "&gt;="&amp;H$8,BetTable[[Date]:[Date]],"&lt;="&amp;EOMONTH(H$8,0))+SUMIFS(BetTable[[AR_per_bookie]:[AR_per_bookie]],BetTable[[B2]:[B2]],$A124,BetTable[[Date]:[Date]], "&gt;="&amp;H$8,BetTable[[Date]:[Date]],"&lt;="&amp;EOMONTH(H$8,0))+SUMIFS(BetTable[[AR_per_bookie]:[AR_per_bookie]],BetTable[[B3]:[B3]],$A124,BetTable[[Date]:[Date]], "&gt;="&amp;H$8,BetTable[[Date]:[Date]],"&lt;="&amp;EOMONTH(H$8,0))</f>
        <v>0</v>
      </c>
      <c r="I124" s="126">
        <f>SUMIFS(DWbonus[[Sum]:[Sum]],DWbonus[[Dato]:[Dato]], "&gt;="&amp;I$8,DWbonus[[Dato]:[Dato]],"&lt;="&amp;EOMONTH(I$8,0),DWbonus[[Bookie]:[Bookie]],$A124)+SUMIFS(LayTable[[Faktisk res]:[Faktisk res]],LayTable[[Dato]:[Dato]],"&gt;="&amp;I$8,LayTable[[Dato]:[Dato]],"&lt;="&amp;EOMONTH(I$8,0),LayTable[[Bookmaker]:[Bookmaker]],$A124)+SUMIFS(BetTable[[AR_per_bookie]:[AR_per_bookie]],BetTable[[B1]:[B1]],$A124,BetTable[[Date]:[Date]], "&gt;="&amp;I$8,BetTable[[Date]:[Date]],"&lt;="&amp;EOMONTH(I$8,0))+SUMIFS(BetTable[[AR_per_bookie]:[AR_per_bookie]],BetTable[[B2]:[B2]],$A124,BetTable[[Date]:[Date]], "&gt;="&amp;I$8,BetTable[[Date]:[Date]],"&lt;="&amp;EOMONTH(I$8,0))+SUMIFS(BetTable[[AR_per_bookie]:[AR_per_bookie]],BetTable[[B3]:[B3]],$A124,BetTable[[Date]:[Date]], "&gt;="&amp;I$8,BetTable[[Date]:[Date]],"&lt;="&amp;EOMONTH(I$8,0))</f>
        <v>0</v>
      </c>
      <c r="J124" s="126">
        <f>SUMIFS(DWbonus[[Sum]:[Sum]],DWbonus[[Dato]:[Dato]], "&gt;="&amp;J$8,DWbonus[[Dato]:[Dato]],"&lt;="&amp;EOMONTH(J$8,0),DWbonus[[Bookie]:[Bookie]],$A124)+SUMIFS(LayTable[[Faktisk res]:[Faktisk res]],LayTable[[Dato]:[Dato]],"&gt;="&amp;J$8,LayTable[[Dato]:[Dato]],"&lt;="&amp;EOMONTH(J$8,0),LayTable[[Bookmaker]:[Bookmaker]],$A124)+SUMIFS(BetTable[[AR_per_bookie]:[AR_per_bookie]],BetTable[[B1]:[B1]],$A124,BetTable[[Date]:[Date]], "&gt;="&amp;J$8,BetTable[[Date]:[Date]],"&lt;="&amp;EOMONTH(J$8,0))+SUMIFS(BetTable[[AR_per_bookie]:[AR_per_bookie]],BetTable[[B2]:[B2]],$A124,BetTable[[Date]:[Date]], "&gt;="&amp;J$8,BetTable[[Date]:[Date]],"&lt;="&amp;EOMONTH(J$8,0))+SUMIFS(BetTable[[AR_per_bookie]:[AR_per_bookie]],BetTable[[B3]:[B3]],$A124,BetTable[[Date]:[Date]], "&gt;="&amp;J$8,BetTable[[Date]:[Date]],"&lt;="&amp;EOMONTH(J$8,0))</f>
        <v>0</v>
      </c>
      <c r="K124" s="126">
        <f>SUMIFS(DWbonus[[Sum]:[Sum]],DWbonus[[Dato]:[Dato]], "&gt;="&amp;K$8,DWbonus[[Dato]:[Dato]],"&lt;="&amp;EOMONTH(K$8,0),DWbonus[[Bookie]:[Bookie]],$A124)+SUMIFS(LayTable[[Faktisk res]:[Faktisk res]],LayTable[[Dato]:[Dato]],"&gt;="&amp;K$8,LayTable[[Dato]:[Dato]],"&lt;="&amp;EOMONTH(K$8,0),LayTable[[Bookmaker]:[Bookmaker]],$A124)+SUMIFS(BetTable[[AR_per_bookie]:[AR_per_bookie]],BetTable[[B1]:[B1]],$A124,BetTable[[Date]:[Date]], "&gt;="&amp;K$8,BetTable[[Date]:[Date]],"&lt;="&amp;EOMONTH(K$8,0))+SUMIFS(BetTable[[AR_per_bookie]:[AR_per_bookie]],BetTable[[B2]:[B2]],$A124,BetTable[[Date]:[Date]], "&gt;="&amp;K$8,BetTable[[Date]:[Date]],"&lt;="&amp;EOMONTH(K$8,0))+SUMIFS(BetTable[[AR_per_bookie]:[AR_per_bookie]],BetTable[[B3]:[B3]],$A124,BetTable[[Date]:[Date]], "&gt;="&amp;K$8,BetTable[[Date]:[Date]],"&lt;="&amp;EOMONTH(K$8,0))</f>
        <v>0</v>
      </c>
      <c r="L124" s="126">
        <f>SUMIFS(DWbonus[[Sum]:[Sum]],DWbonus[[Dato]:[Dato]], "&gt;="&amp;L$8,DWbonus[[Dato]:[Dato]],"&lt;="&amp;EOMONTH(L$8,0),DWbonus[[Bookie]:[Bookie]],$A124)+SUMIFS(LayTable[[Faktisk res]:[Faktisk res]],LayTable[[Dato]:[Dato]],"&gt;="&amp;L$8,LayTable[[Dato]:[Dato]],"&lt;="&amp;EOMONTH(L$8,0),LayTable[[Bookmaker]:[Bookmaker]],$A124)+SUMIFS(BetTable[[AR_per_bookie]:[AR_per_bookie]],BetTable[[B1]:[B1]],$A124,BetTable[[Date]:[Date]], "&gt;="&amp;L$8,BetTable[[Date]:[Date]],"&lt;="&amp;EOMONTH(L$8,0))+SUMIFS(BetTable[[AR_per_bookie]:[AR_per_bookie]],BetTable[[B2]:[B2]],$A124,BetTable[[Date]:[Date]], "&gt;="&amp;L$8,BetTable[[Date]:[Date]],"&lt;="&amp;EOMONTH(L$8,0))+SUMIFS(BetTable[[AR_per_bookie]:[AR_per_bookie]],BetTable[[B3]:[B3]],$A124,BetTable[[Date]:[Date]], "&gt;="&amp;L$8,BetTable[[Date]:[Date]],"&lt;="&amp;EOMONTH(L$8,0))</f>
        <v>0</v>
      </c>
      <c r="M124" s="126">
        <f>SUMIFS(DWbonus[[Sum]:[Sum]],DWbonus[[Dato]:[Dato]], "&gt;="&amp;M$8,DWbonus[[Dato]:[Dato]],"&lt;="&amp;EOMONTH(M$8,0),DWbonus[[Bookie]:[Bookie]],$A124)+SUMIFS(LayTable[[Faktisk res]:[Faktisk res]],LayTable[[Dato]:[Dato]],"&gt;="&amp;M$8,LayTable[[Dato]:[Dato]],"&lt;="&amp;EOMONTH(M$8,0),LayTable[[Bookmaker]:[Bookmaker]],$A124)+SUMIFS(BetTable[[AR_per_bookie]:[AR_per_bookie]],BetTable[[B1]:[B1]],$A124,BetTable[[Date]:[Date]], "&gt;="&amp;M$8,BetTable[[Date]:[Date]],"&lt;="&amp;EOMONTH(M$8,0))+SUMIFS(BetTable[[AR_per_bookie]:[AR_per_bookie]],BetTable[[B2]:[B2]],$A124,BetTable[[Date]:[Date]], "&gt;="&amp;M$8,BetTable[[Date]:[Date]],"&lt;="&amp;EOMONTH(M$8,0))+SUMIFS(BetTable[[AR_per_bookie]:[AR_per_bookie]],BetTable[[B3]:[B3]],$A124,BetTable[[Date]:[Date]], "&gt;="&amp;M$8,BetTable[[Date]:[Date]],"&lt;="&amp;EOMONTH(M$8,0))</f>
        <v>0</v>
      </c>
      <c r="N124" s="126">
        <f>SUMIFS(DWbonus[[Sum]:[Sum]],DWbonus[[Dato]:[Dato]], "&gt;="&amp;N$8,DWbonus[[Dato]:[Dato]],"&lt;="&amp;EOMONTH(N$8,0),DWbonus[[Bookie]:[Bookie]],$A124)+SUMIFS(LayTable[[Faktisk res]:[Faktisk res]],LayTable[[Dato]:[Dato]],"&gt;="&amp;N$8,LayTable[[Dato]:[Dato]],"&lt;="&amp;EOMONTH(N$8,0),LayTable[[Bookmaker]:[Bookmaker]],$A124)+SUMIFS(BetTable[[AR_per_bookie]:[AR_per_bookie]],BetTable[[B1]:[B1]],$A124,BetTable[[Date]:[Date]], "&gt;="&amp;N$8,BetTable[[Date]:[Date]],"&lt;="&amp;EOMONTH(N$8,0))+SUMIFS(BetTable[[AR_per_bookie]:[AR_per_bookie]],BetTable[[B2]:[B2]],$A124,BetTable[[Date]:[Date]], "&gt;="&amp;N$8,BetTable[[Date]:[Date]],"&lt;="&amp;EOMONTH(N$8,0))+SUMIFS(BetTable[[AR_per_bookie]:[AR_per_bookie]],BetTable[[B3]:[B3]],$A124,BetTable[[Date]:[Date]], "&gt;="&amp;N$8,BetTable[[Date]:[Date]],"&lt;="&amp;EOMONTH(N$8,0))</f>
        <v>0</v>
      </c>
      <c r="O124" s="126">
        <f>SUMIFS(DWbonus[[Sum]:[Sum]],DWbonus[[Dato]:[Dato]], "&gt;="&amp;O$8,DWbonus[[Dato]:[Dato]],"&lt;="&amp;EOMONTH(O$8,0),DWbonus[[Bookie]:[Bookie]],$A124)+SUMIFS(LayTable[[Faktisk res]:[Faktisk res]],LayTable[[Dato]:[Dato]],"&gt;="&amp;O$8,LayTable[[Dato]:[Dato]],"&lt;="&amp;EOMONTH(O$8,0),LayTable[[Bookmaker]:[Bookmaker]],$A124)+SUMIFS(BetTable[[AR_per_bookie]:[AR_per_bookie]],BetTable[[B1]:[B1]],$A124,BetTable[[Date]:[Date]], "&gt;="&amp;O$8,BetTable[[Date]:[Date]],"&lt;="&amp;EOMONTH(O$8,0))+SUMIFS(BetTable[[AR_per_bookie]:[AR_per_bookie]],BetTable[[B2]:[B2]],$A124,BetTable[[Date]:[Date]], "&gt;="&amp;O$8,BetTable[[Date]:[Date]],"&lt;="&amp;EOMONTH(O$8,0))+SUMIFS(BetTable[[AR_per_bookie]:[AR_per_bookie]],BetTable[[B3]:[B3]],$A124,BetTable[[Date]:[Date]], "&gt;="&amp;O$8,BetTable[[Date]:[Date]],"&lt;="&amp;EOMONTH(O$8,0))</f>
        <v>0</v>
      </c>
      <c r="P124" s="126">
        <f>SUMIFS(DWbonus[[Sum]:[Sum]],DWbonus[[Dato]:[Dato]], "&gt;="&amp;P$8,DWbonus[[Dato]:[Dato]],"&lt;="&amp;EOMONTH(P$8,0),DWbonus[[Bookie]:[Bookie]],$A124)+SUMIFS(LayTable[[Faktisk res]:[Faktisk res]],LayTable[[Dato]:[Dato]],"&gt;="&amp;P$8,LayTable[[Dato]:[Dato]],"&lt;="&amp;EOMONTH(P$8,0),LayTable[[Bookmaker]:[Bookmaker]],$A124)+SUMIFS(BetTable[[AR_per_bookie]:[AR_per_bookie]],BetTable[[B1]:[B1]],$A124,BetTable[[Date]:[Date]], "&gt;="&amp;P$8,BetTable[[Date]:[Date]],"&lt;="&amp;EOMONTH(P$8,0))+SUMIFS(BetTable[[AR_per_bookie]:[AR_per_bookie]],BetTable[[B2]:[B2]],$A124,BetTable[[Date]:[Date]], "&gt;="&amp;P$8,BetTable[[Date]:[Date]],"&lt;="&amp;EOMONTH(P$8,0))+SUMIFS(BetTable[[AR_per_bookie]:[AR_per_bookie]],BetTable[[B3]:[B3]],$A124,BetTable[[Date]:[Date]], "&gt;="&amp;P$8,BetTable[[Date]:[Date]],"&lt;="&amp;EOMONTH(P$8,0))</f>
        <v>0</v>
      </c>
      <c r="Q124" s="126">
        <f>SUMIFS(DWbonus[[Sum]:[Sum]],DWbonus[[Dato]:[Dato]], "&gt;="&amp;Q$8,DWbonus[[Dato]:[Dato]],"&lt;="&amp;EOMONTH(Q$8,0),DWbonus[[Bookie]:[Bookie]],$A124)+SUMIFS(LayTable[[Faktisk res]:[Faktisk res]],LayTable[[Dato]:[Dato]],"&gt;="&amp;Q$8,LayTable[[Dato]:[Dato]],"&lt;="&amp;EOMONTH(Q$8,0),LayTable[[Bookmaker]:[Bookmaker]],$A124)+SUMIFS(BetTable[[AR_per_bookie]:[AR_per_bookie]],BetTable[[B1]:[B1]],$A124,BetTable[[Date]:[Date]], "&gt;="&amp;Q$8,BetTable[[Date]:[Date]],"&lt;="&amp;EOMONTH(Q$8,0))+SUMIFS(BetTable[[AR_per_bookie]:[AR_per_bookie]],BetTable[[B2]:[B2]],$A124,BetTable[[Date]:[Date]], "&gt;="&amp;Q$8,BetTable[[Date]:[Date]],"&lt;="&amp;EOMONTH(Q$8,0))+SUMIFS(BetTable[[AR_per_bookie]:[AR_per_bookie]],BetTable[[B3]:[B3]],$A124,BetTable[[Date]:[Date]], "&gt;="&amp;Q$8,BetTable[[Date]:[Date]],"&lt;="&amp;EOMONTH(Q$8,0))</f>
        <v>0</v>
      </c>
      <c r="R124" s="126">
        <f>SUMIFS(DWbonus[[Sum]:[Sum]],DWbonus[[Dato]:[Dato]], "&gt;="&amp;R$8,DWbonus[[Dato]:[Dato]],"&lt;="&amp;EOMONTH(R$8,0),DWbonus[[Bookie]:[Bookie]],$A124)+SUMIFS(LayTable[[Faktisk res]:[Faktisk res]],LayTable[[Dato]:[Dato]],"&gt;="&amp;R$8,LayTable[[Dato]:[Dato]],"&lt;="&amp;EOMONTH(R$8,0),LayTable[[Bookmaker]:[Bookmaker]],$A124)+SUMIFS(BetTable[[AR_per_bookie]:[AR_per_bookie]],BetTable[[B1]:[B1]],$A124,BetTable[[Date]:[Date]], "&gt;="&amp;R$8,BetTable[[Date]:[Date]],"&lt;="&amp;EOMONTH(R$8,0))+SUMIFS(BetTable[[AR_per_bookie]:[AR_per_bookie]],BetTable[[B2]:[B2]],$A124,BetTable[[Date]:[Date]], "&gt;="&amp;R$8,BetTable[[Date]:[Date]],"&lt;="&amp;EOMONTH(R$8,0))+SUMIFS(BetTable[[AR_per_bookie]:[AR_per_bookie]],BetTable[[B3]:[B3]],$A124,BetTable[[Date]:[Date]], "&gt;="&amp;R$8,BetTable[[Date]:[Date]],"&lt;="&amp;EOMONTH(R$8,0))</f>
        <v>0</v>
      </c>
      <c r="S124" s="126">
        <f>SUMIFS(DWbonus[[Sum]:[Sum]],DWbonus[[Dato]:[Dato]], "&gt;="&amp;S$8,DWbonus[[Dato]:[Dato]],"&lt;="&amp;EOMONTH(S$8,0),DWbonus[[Bookie]:[Bookie]],$A124)+SUMIFS(LayTable[[Faktisk res]:[Faktisk res]],LayTable[[Dato]:[Dato]],"&gt;="&amp;S$8,LayTable[[Dato]:[Dato]],"&lt;="&amp;EOMONTH(S$8,0),LayTable[[Bookmaker]:[Bookmaker]],$A124)+SUMIFS(BetTable[[AR_per_bookie]:[AR_per_bookie]],BetTable[[B1]:[B1]],$A124,BetTable[[Date]:[Date]], "&gt;="&amp;S$8,BetTable[[Date]:[Date]],"&lt;="&amp;EOMONTH(S$8,0))+SUMIFS(BetTable[[AR_per_bookie]:[AR_per_bookie]],BetTable[[B2]:[B2]],$A124,BetTable[[Date]:[Date]], "&gt;="&amp;S$8,BetTable[[Date]:[Date]],"&lt;="&amp;EOMONTH(S$8,0))+SUMIFS(BetTable[[AR_per_bookie]:[AR_per_bookie]],BetTable[[B3]:[B3]],$A124,BetTable[[Date]:[Date]], "&gt;="&amp;S$8,BetTable[[Date]:[Date]],"&lt;="&amp;EOMONTH(S$8,0))</f>
        <v>0</v>
      </c>
    </row>
    <row r="125" spans="1:19">
      <c r="A125" s="115">
        <f>BookieNavn!I119</f>
        <v>0</v>
      </c>
      <c r="B125" s="126">
        <f>SUMIF(Penger!D$1:D$50072,A125,Penger!F$1:F$50072)</f>
        <v>0</v>
      </c>
      <c r="C125" s="126">
        <f>SUMIF(Penger!T$1:T$50072,A125,Penger!U$1:U$50072)</f>
        <v>0</v>
      </c>
      <c r="D125" s="126">
        <f ca="1">SUMIF(Spill!C$1:C$499895,A125,Spill!T$1:T$49895)+C125</f>
        <v>0</v>
      </c>
      <c r="E125" s="126">
        <f>SUMIF(Spill!C$1:C$49895,A125,Spill!T$1:T$49895)</f>
        <v>0</v>
      </c>
      <c r="F125" s="121" t="e">
        <f t="shared" ca="1" si="2"/>
        <v>#DIV/0!</v>
      </c>
      <c r="H125" s="126">
        <f>SUMIFS(DWbonus[[Sum]:[Sum]],DWbonus[[Dato]:[Dato]], "&gt;="&amp;H$8,DWbonus[[Dato]:[Dato]],"&lt;="&amp;EOMONTH(H$8,0),DWbonus[[Bookie]:[Bookie]],$A125)+SUMIFS(LayTable[[Faktisk res]:[Faktisk res]],LayTable[[Dato]:[Dato]],"&gt;="&amp;H$8,LayTable[[Dato]:[Dato]],"&lt;="&amp;EOMONTH(H$8,0),LayTable[[Bookmaker]:[Bookmaker]],$A125)+SUMIFS(BetTable[[AR_per_bookie]:[AR_per_bookie]],BetTable[[B1]:[B1]],$A125,BetTable[[Date]:[Date]], "&gt;="&amp;H$8,BetTable[[Date]:[Date]],"&lt;="&amp;EOMONTH(H$8,0))+SUMIFS(BetTable[[AR_per_bookie]:[AR_per_bookie]],BetTable[[B2]:[B2]],$A125,BetTable[[Date]:[Date]], "&gt;="&amp;H$8,BetTable[[Date]:[Date]],"&lt;="&amp;EOMONTH(H$8,0))+SUMIFS(BetTable[[AR_per_bookie]:[AR_per_bookie]],BetTable[[B3]:[B3]],$A125,BetTable[[Date]:[Date]], "&gt;="&amp;H$8,BetTable[[Date]:[Date]],"&lt;="&amp;EOMONTH(H$8,0))</f>
        <v>0</v>
      </c>
      <c r="I125" s="126">
        <f>SUMIFS(DWbonus[[Sum]:[Sum]],DWbonus[[Dato]:[Dato]], "&gt;="&amp;I$8,DWbonus[[Dato]:[Dato]],"&lt;="&amp;EOMONTH(I$8,0),DWbonus[[Bookie]:[Bookie]],$A125)+SUMIFS(LayTable[[Faktisk res]:[Faktisk res]],LayTable[[Dato]:[Dato]],"&gt;="&amp;I$8,LayTable[[Dato]:[Dato]],"&lt;="&amp;EOMONTH(I$8,0),LayTable[[Bookmaker]:[Bookmaker]],$A125)+SUMIFS(BetTable[[AR_per_bookie]:[AR_per_bookie]],BetTable[[B1]:[B1]],$A125,BetTable[[Date]:[Date]], "&gt;="&amp;I$8,BetTable[[Date]:[Date]],"&lt;="&amp;EOMONTH(I$8,0))+SUMIFS(BetTable[[AR_per_bookie]:[AR_per_bookie]],BetTable[[B2]:[B2]],$A125,BetTable[[Date]:[Date]], "&gt;="&amp;I$8,BetTable[[Date]:[Date]],"&lt;="&amp;EOMONTH(I$8,0))+SUMIFS(BetTable[[AR_per_bookie]:[AR_per_bookie]],BetTable[[B3]:[B3]],$A125,BetTable[[Date]:[Date]], "&gt;="&amp;I$8,BetTable[[Date]:[Date]],"&lt;="&amp;EOMONTH(I$8,0))</f>
        <v>0</v>
      </c>
      <c r="J125" s="126">
        <f>SUMIFS(DWbonus[[Sum]:[Sum]],DWbonus[[Dato]:[Dato]], "&gt;="&amp;J$8,DWbonus[[Dato]:[Dato]],"&lt;="&amp;EOMONTH(J$8,0),DWbonus[[Bookie]:[Bookie]],$A125)+SUMIFS(LayTable[[Faktisk res]:[Faktisk res]],LayTable[[Dato]:[Dato]],"&gt;="&amp;J$8,LayTable[[Dato]:[Dato]],"&lt;="&amp;EOMONTH(J$8,0),LayTable[[Bookmaker]:[Bookmaker]],$A125)+SUMIFS(BetTable[[AR_per_bookie]:[AR_per_bookie]],BetTable[[B1]:[B1]],$A125,BetTable[[Date]:[Date]], "&gt;="&amp;J$8,BetTable[[Date]:[Date]],"&lt;="&amp;EOMONTH(J$8,0))+SUMIFS(BetTable[[AR_per_bookie]:[AR_per_bookie]],BetTable[[B2]:[B2]],$A125,BetTable[[Date]:[Date]], "&gt;="&amp;J$8,BetTable[[Date]:[Date]],"&lt;="&amp;EOMONTH(J$8,0))+SUMIFS(BetTable[[AR_per_bookie]:[AR_per_bookie]],BetTable[[B3]:[B3]],$A125,BetTable[[Date]:[Date]], "&gt;="&amp;J$8,BetTable[[Date]:[Date]],"&lt;="&amp;EOMONTH(J$8,0))</f>
        <v>0</v>
      </c>
      <c r="K125" s="126">
        <f>SUMIFS(DWbonus[[Sum]:[Sum]],DWbonus[[Dato]:[Dato]], "&gt;="&amp;K$8,DWbonus[[Dato]:[Dato]],"&lt;="&amp;EOMONTH(K$8,0),DWbonus[[Bookie]:[Bookie]],$A125)+SUMIFS(LayTable[[Faktisk res]:[Faktisk res]],LayTable[[Dato]:[Dato]],"&gt;="&amp;K$8,LayTable[[Dato]:[Dato]],"&lt;="&amp;EOMONTH(K$8,0),LayTable[[Bookmaker]:[Bookmaker]],$A125)+SUMIFS(BetTable[[AR_per_bookie]:[AR_per_bookie]],BetTable[[B1]:[B1]],$A125,BetTable[[Date]:[Date]], "&gt;="&amp;K$8,BetTable[[Date]:[Date]],"&lt;="&amp;EOMONTH(K$8,0))+SUMIFS(BetTable[[AR_per_bookie]:[AR_per_bookie]],BetTable[[B2]:[B2]],$A125,BetTable[[Date]:[Date]], "&gt;="&amp;K$8,BetTable[[Date]:[Date]],"&lt;="&amp;EOMONTH(K$8,0))+SUMIFS(BetTable[[AR_per_bookie]:[AR_per_bookie]],BetTable[[B3]:[B3]],$A125,BetTable[[Date]:[Date]], "&gt;="&amp;K$8,BetTable[[Date]:[Date]],"&lt;="&amp;EOMONTH(K$8,0))</f>
        <v>0</v>
      </c>
      <c r="L125" s="126">
        <f>SUMIFS(DWbonus[[Sum]:[Sum]],DWbonus[[Dato]:[Dato]], "&gt;="&amp;L$8,DWbonus[[Dato]:[Dato]],"&lt;="&amp;EOMONTH(L$8,0),DWbonus[[Bookie]:[Bookie]],$A125)+SUMIFS(LayTable[[Faktisk res]:[Faktisk res]],LayTable[[Dato]:[Dato]],"&gt;="&amp;L$8,LayTable[[Dato]:[Dato]],"&lt;="&amp;EOMONTH(L$8,0),LayTable[[Bookmaker]:[Bookmaker]],$A125)+SUMIFS(BetTable[[AR_per_bookie]:[AR_per_bookie]],BetTable[[B1]:[B1]],$A125,BetTable[[Date]:[Date]], "&gt;="&amp;L$8,BetTable[[Date]:[Date]],"&lt;="&amp;EOMONTH(L$8,0))+SUMIFS(BetTable[[AR_per_bookie]:[AR_per_bookie]],BetTable[[B2]:[B2]],$A125,BetTable[[Date]:[Date]], "&gt;="&amp;L$8,BetTable[[Date]:[Date]],"&lt;="&amp;EOMONTH(L$8,0))+SUMIFS(BetTable[[AR_per_bookie]:[AR_per_bookie]],BetTable[[B3]:[B3]],$A125,BetTable[[Date]:[Date]], "&gt;="&amp;L$8,BetTable[[Date]:[Date]],"&lt;="&amp;EOMONTH(L$8,0))</f>
        <v>0</v>
      </c>
      <c r="M125" s="126">
        <f>SUMIFS(DWbonus[[Sum]:[Sum]],DWbonus[[Dato]:[Dato]], "&gt;="&amp;M$8,DWbonus[[Dato]:[Dato]],"&lt;="&amp;EOMONTH(M$8,0),DWbonus[[Bookie]:[Bookie]],$A125)+SUMIFS(LayTable[[Faktisk res]:[Faktisk res]],LayTable[[Dato]:[Dato]],"&gt;="&amp;M$8,LayTable[[Dato]:[Dato]],"&lt;="&amp;EOMONTH(M$8,0),LayTable[[Bookmaker]:[Bookmaker]],$A125)+SUMIFS(BetTable[[AR_per_bookie]:[AR_per_bookie]],BetTable[[B1]:[B1]],$A125,BetTable[[Date]:[Date]], "&gt;="&amp;M$8,BetTable[[Date]:[Date]],"&lt;="&amp;EOMONTH(M$8,0))+SUMIFS(BetTable[[AR_per_bookie]:[AR_per_bookie]],BetTable[[B2]:[B2]],$A125,BetTable[[Date]:[Date]], "&gt;="&amp;M$8,BetTable[[Date]:[Date]],"&lt;="&amp;EOMONTH(M$8,0))+SUMIFS(BetTable[[AR_per_bookie]:[AR_per_bookie]],BetTable[[B3]:[B3]],$A125,BetTable[[Date]:[Date]], "&gt;="&amp;M$8,BetTable[[Date]:[Date]],"&lt;="&amp;EOMONTH(M$8,0))</f>
        <v>0</v>
      </c>
      <c r="N125" s="126">
        <f>SUMIFS(DWbonus[[Sum]:[Sum]],DWbonus[[Dato]:[Dato]], "&gt;="&amp;N$8,DWbonus[[Dato]:[Dato]],"&lt;="&amp;EOMONTH(N$8,0),DWbonus[[Bookie]:[Bookie]],$A125)+SUMIFS(LayTable[[Faktisk res]:[Faktisk res]],LayTable[[Dato]:[Dato]],"&gt;="&amp;N$8,LayTable[[Dato]:[Dato]],"&lt;="&amp;EOMONTH(N$8,0),LayTable[[Bookmaker]:[Bookmaker]],$A125)+SUMIFS(BetTable[[AR_per_bookie]:[AR_per_bookie]],BetTable[[B1]:[B1]],$A125,BetTable[[Date]:[Date]], "&gt;="&amp;N$8,BetTable[[Date]:[Date]],"&lt;="&amp;EOMONTH(N$8,0))+SUMIFS(BetTable[[AR_per_bookie]:[AR_per_bookie]],BetTable[[B2]:[B2]],$A125,BetTable[[Date]:[Date]], "&gt;="&amp;N$8,BetTable[[Date]:[Date]],"&lt;="&amp;EOMONTH(N$8,0))+SUMIFS(BetTable[[AR_per_bookie]:[AR_per_bookie]],BetTable[[B3]:[B3]],$A125,BetTable[[Date]:[Date]], "&gt;="&amp;N$8,BetTable[[Date]:[Date]],"&lt;="&amp;EOMONTH(N$8,0))</f>
        <v>0</v>
      </c>
      <c r="O125" s="126">
        <f>SUMIFS(DWbonus[[Sum]:[Sum]],DWbonus[[Dato]:[Dato]], "&gt;="&amp;O$8,DWbonus[[Dato]:[Dato]],"&lt;="&amp;EOMONTH(O$8,0),DWbonus[[Bookie]:[Bookie]],$A125)+SUMIFS(LayTable[[Faktisk res]:[Faktisk res]],LayTable[[Dato]:[Dato]],"&gt;="&amp;O$8,LayTable[[Dato]:[Dato]],"&lt;="&amp;EOMONTH(O$8,0),LayTable[[Bookmaker]:[Bookmaker]],$A125)+SUMIFS(BetTable[[AR_per_bookie]:[AR_per_bookie]],BetTable[[B1]:[B1]],$A125,BetTable[[Date]:[Date]], "&gt;="&amp;O$8,BetTable[[Date]:[Date]],"&lt;="&amp;EOMONTH(O$8,0))+SUMIFS(BetTable[[AR_per_bookie]:[AR_per_bookie]],BetTable[[B2]:[B2]],$A125,BetTable[[Date]:[Date]], "&gt;="&amp;O$8,BetTable[[Date]:[Date]],"&lt;="&amp;EOMONTH(O$8,0))+SUMIFS(BetTable[[AR_per_bookie]:[AR_per_bookie]],BetTable[[B3]:[B3]],$A125,BetTable[[Date]:[Date]], "&gt;="&amp;O$8,BetTable[[Date]:[Date]],"&lt;="&amp;EOMONTH(O$8,0))</f>
        <v>0</v>
      </c>
      <c r="P125" s="126">
        <f>SUMIFS(DWbonus[[Sum]:[Sum]],DWbonus[[Dato]:[Dato]], "&gt;="&amp;P$8,DWbonus[[Dato]:[Dato]],"&lt;="&amp;EOMONTH(P$8,0),DWbonus[[Bookie]:[Bookie]],$A125)+SUMIFS(LayTable[[Faktisk res]:[Faktisk res]],LayTable[[Dato]:[Dato]],"&gt;="&amp;P$8,LayTable[[Dato]:[Dato]],"&lt;="&amp;EOMONTH(P$8,0),LayTable[[Bookmaker]:[Bookmaker]],$A125)+SUMIFS(BetTable[[AR_per_bookie]:[AR_per_bookie]],BetTable[[B1]:[B1]],$A125,BetTable[[Date]:[Date]], "&gt;="&amp;P$8,BetTable[[Date]:[Date]],"&lt;="&amp;EOMONTH(P$8,0))+SUMIFS(BetTable[[AR_per_bookie]:[AR_per_bookie]],BetTable[[B2]:[B2]],$A125,BetTable[[Date]:[Date]], "&gt;="&amp;P$8,BetTable[[Date]:[Date]],"&lt;="&amp;EOMONTH(P$8,0))+SUMIFS(BetTable[[AR_per_bookie]:[AR_per_bookie]],BetTable[[B3]:[B3]],$A125,BetTable[[Date]:[Date]], "&gt;="&amp;P$8,BetTable[[Date]:[Date]],"&lt;="&amp;EOMONTH(P$8,0))</f>
        <v>0</v>
      </c>
      <c r="Q125" s="126">
        <f>SUMIFS(DWbonus[[Sum]:[Sum]],DWbonus[[Dato]:[Dato]], "&gt;="&amp;Q$8,DWbonus[[Dato]:[Dato]],"&lt;="&amp;EOMONTH(Q$8,0),DWbonus[[Bookie]:[Bookie]],$A125)+SUMIFS(LayTable[[Faktisk res]:[Faktisk res]],LayTable[[Dato]:[Dato]],"&gt;="&amp;Q$8,LayTable[[Dato]:[Dato]],"&lt;="&amp;EOMONTH(Q$8,0),LayTable[[Bookmaker]:[Bookmaker]],$A125)+SUMIFS(BetTable[[AR_per_bookie]:[AR_per_bookie]],BetTable[[B1]:[B1]],$A125,BetTable[[Date]:[Date]], "&gt;="&amp;Q$8,BetTable[[Date]:[Date]],"&lt;="&amp;EOMONTH(Q$8,0))+SUMIFS(BetTable[[AR_per_bookie]:[AR_per_bookie]],BetTable[[B2]:[B2]],$A125,BetTable[[Date]:[Date]], "&gt;="&amp;Q$8,BetTable[[Date]:[Date]],"&lt;="&amp;EOMONTH(Q$8,0))+SUMIFS(BetTable[[AR_per_bookie]:[AR_per_bookie]],BetTable[[B3]:[B3]],$A125,BetTable[[Date]:[Date]], "&gt;="&amp;Q$8,BetTable[[Date]:[Date]],"&lt;="&amp;EOMONTH(Q$8,0))</f>
        <v>0</v>
      </c>
      <c r="R125" s="126">
        <f>SUMIFS(DWbonus[[Sum]:[Sum]],DWbonus[[Dato]:[Dato]], "&gt;="&amp;R$8,DWbonus[[Dato]:[Dato]],"&lt;="&amp;EOMONTH(R$8,0),DWbonus[[Bookie]:[Bookie]],$A125)+SUMIFS(LayTable[[Faktisk res]:[Faktisk res]],LayTable[[Dato]:[Dato]],"&gt;="&amp;R$8,LayTable[[Dato]:[Dato]],"&lt;="&amp;EOMONTH(R$8,0),LayTable[[Bookmaker]:[Bookmaker]],$A125)+SUMIFS(BetTable[[AR_per_bookie]:[AR_per_bookie]],BetTable[[B1]:[B1]],$A125,BetTable[[Date]:[Date]], "&gt;="&amp;R$8,BetTable[[Date]:[Date]],"&lt;="&amp;EOMONTH(R$8,0))+SUMIFS(BetTable[[AR_per_bookie]:[AR_per_bookie]],BetTable[[B2]:[B2]],$A125,BetTable[[Date]:[Date]], "&gt;="&amp;R$8,BetTable[[Date]:[Date]],"&lt;="&amp;EOMONTH(R$8,0))+SUMIFS(BetTable[[AR_per_bookie]:[AR_per_bookie]],BetTable[[B3]:[B3]],$A125,BetTable[[Date]:[Date]], "&gt;="&amp;R$8,BetTable[[Date]:[Date]],"&lt;="&amp;EOMONTH(R$8,0))</f>
        <v>0</v>
      </c>
      <c r="S125" s="126">
        <f>SUMIFS(DWbonus[[Sum]:[Sum]],DWbonus[[Dato]:[Dato]], "&gt;="&amp;S$8,DWbonus[[Dato]:[Dato]],"&lt;="&amp;EOMONTH(S$8,0),DWbonus[[Bookie]:[Bookie]],$A125)+SUMIFS(LayTable[[Faktisk res]:[Faktisk res]],LayTable[[Dato]:[Dato]],"&gt;="&amp;S$8,LayTable[[Dato]:[Dato]],"&lt;="&amp;EOMONTH(S$8,0),LayTable[[Bookmaker]:[Bookmaker]],$A125)+SUMIFS(BetTable[[AR_per_bookie]:[AR_per_bookie]],BetTable[[B1]:[B1]],$A125,BetTable[[Date]:[Date]], "&gt;="&amp;S$8,BetTable[[Date]:[Date]],"&lt;="&amp;EOMONTH(S$8,0))+SUMIFS(BetTable[[AR_per_bookie]:[AR_per_bookie]],BetTable[[B2]:[B2]],$A125,BetTable[[Date]:[Date]], "&gt;="&amp;S$8,BetTable[[Date]:[Date]],"&lt;="&amp;EOMONTH(S$8,0))+SUMIFS(BetTable[[AR_per_bookie]:[AR_per_bookie]],BetTable[[B3]:[B3]],$A125,BetTable[[Date]:[Date]], "&gt;="&amp;S$8,BetTable[[Date]:[Date]],"&lt;="&amp;EOMONTH(S$8,0))</f>
        <v>0</v>
      </c>
    </row>
    <row r="126" spans="1:19">
      <c r="A126" s="115">
        <f>BookieNavn!I120</f>
        <v>0</v>
      </c>
      <c r="B126" s="126">
        <f>SUMIF(Penger!D$1:D$50072,A126,Penger!F$1:F$50072)</f>
        <v>0</v>
      </c>
      <c r="C126" s="126">
        <f>SUMIF(Penger!T$1:T$50072,A126,Penger!U$1:U$50072)</f>
        <v>0</v>
      </c>
      <c r="D126" s="126">
        <f ca="1">SUMIF(Spill!C$1:C$499895,A126,Spill!T$1:T$49895)+C126</f>
        <v>0</v>
      </c>
      <c r="E126" s="126">
        <f>SUMIF(Spill!C$1:C$49895,A126,Spill!T$1:T$49895)</f>
        <v>0</v>
      </c>
      <c r="F126" s="121" t="e">
        <f t="shared" ca="1" si="2"/>
        <v>#DIV/0!</v>
      </c>
      <c r="H126" s="126">
        <f>SUMIFS(DWbonus[[Sum]:[Sum]],DWbonus[[Dato]:[Dato]], "&gt;="&amp;H$8,DWbonus[[Dato]:[Dato]],"&lt;="&amp;EOMONTH(H$8,0),DWbonus[[Bookie]:[Bookie]],$A126)+SUMIFS(LayTable[[Faktisk res]:[Faktisk res]],LayTable[[Dato]:[Dato]],"&gt;="&amp;H$8,LayTable[[Dato]:[Dato]],"&lt;="&amp;EOMONTH(H$8,0),LayTable[[Bookmaker]:[Bookmaker]],$A126)+SUMIFS(BetTable[[AR_per_bookie]:[AR_per_bookie]],BetTable[[B1]:[B1]],$A126,BetTable[[Date]:[Date]], "&gt;="&amp;H$8,BetTable[[Date]:[Date]],"&lt;="&amp;EOMONTH(H$8,0))+SUMIFS(BetTable[[AR_per_bookie]:[AR_per_bookie]],BetTable[[B2]:[B2]],$A126,BetTable[[Date]:[Date]], "&gt;="&amp;H$8,BetTable[[Date]:[Date]],"&lt;="&amp;EOMONTH(H$8,0))+SUMIFS(BetTable[[AR_per_bookie]:[AR_per_bookie]],BetTable[[B3]:[B3]],$A126,BetTable[[Date]:[Date]], "&gt;="&amp;H$8,BetTable[[Date]:[Date]],"&lt;="&amp;EOMONTH(H$8,0))</f>
        <v>0</v>
      </c>
      <c r="I126" s="126">
        <f>SUMIFS(DWbonus[[Sum]:[Sum]],DWbonus[[Dato]:[Dato]], "&gt;="&amp;I$8,DWbonus[[Dato]:[Dato]],"&lt;="&amp;EOMONTH(I$8,0),DWbonus[[Bookie]:[Bookie]],$A126)+SUMIFS(LayTable[[Faktisk res]:[Faktisk res]],LayTable[[Dato]:[Dato]],"&gt;="&amp;I$8,LayTable[[Dato]:[Dato]],"&lt;="&amp;EOMONTH(I$8,0),LayTable[[Bookmaker]:[Bookmaker]],$A126)+SUMIFS(BetTable[[AR_per_bookie]:[AR_per_bookie]],BetTable[[B1]:[B1]],$A126,BetTable[[Date]:[Date]], "&gt;="&amp;I$8,BetTable[[Date]:[Date]],"&lt;="&amp;EOMONTH(I$8,0))+SUMIFS(BetTable[[AR_per_bookie]:[AR_per_bookie]],BetTable[[B2]:[B2]],$A126,BetTable[[Date]:[Date]], "&gt;="&amp;I$8,BetTable[[Date]:[Date]],"&lt;="&amp;EOMONTH(I$8,0))+SUMIFS(BetTable[[AR_per_bookie]:[AR_per_bookie]],BetTable[[B3]:[B3]],$A126,BetTable[[Date]:[Date]], "&gt;="&amp;I$8,BetTable[[Date]:[Date]],"&lt;="&amp;EOMONTH(I$8,0))</f>
        <v>0</v>
      </c>
      <c r="J126" s="126">
        <f>SUMIFS(DWbonus[[Sum]:[Sum]],DWbonus[[Dato]:[Dato]], "&gt;="&amp;J$8,DWbonus[[Dato]:[Dato]],"&lt;="&amp;EOMONTH(J$8,0),DWbonus[[Bookie]:[Bookie]],$A126)+SUMIFS(LayTable[[Faktisk res]:[Faktisk res]],LayTable[[Dato]:[Dato]],"&gt;="&amp;J$8,LayTable[[Dato]:[Dato]],"&lt;="&amp;EOMONTH(J$8,0),LayTable[[Bookmaker]:[Bookmaker]],$A126)+SUMIFS(BetTable[[AR_per_bookie]:[AR_per_bookie]],BetTable[[B1]:[B1]],$A126,BetTable[[Date]:[Date]], "&gt;="&amp;J$8,BetTable[[Date]:[Date]],"&lt;="&amp;EOMONTH(J$8,0))+SUMIFS(BetTable[[AR_per_bookie]:[AR_per_bookie]],BetTable[[B2]:[B2]],$A126,BetTable[[Date]:[Date]], "&gt;="&amp;J$8,BetTable[[Date]:[Date]],"&lt;="&amp;EOMONTH(J$8,0))+SUMIFS(BetTable[[AR_per_bookie]:[AR_per_bookie]],BetTable[[B3]:[B3]],$A126,BetTable[[Date]:[Date]], "&gt;="&amp;J$8,BetTable[[Date]:[Date]],"&lt;="&amp;EOMONTH(J$8,0))</f>
        <v>0</v>
      </c>
      <c r="K126" s="126">
        <f>SUMIFS(DWbonus[[Sum]:[Sum]],DWbonus[[Dato]:[Dato]], "&gt;="&amp;K$8,DWbonus[[Dato]:[Dato]],"&lt;="&amp;EOMONTH(K$8,0),DWbonus[[Bookie]:[Bookie]],$A126)+SUMIFS(LayTable[[Faktisk res]:[Faktisk res]],LayTable[[Dato]:[Dato]],"&gt;="&amp;K$8,LayTable[[Dato]:[Dato]],"&lt;="&amp;EOMONTH(K$8,0),LayTable[[Bookmaker]:[Bookmaker]],$A126)+SUMIFS(BetTable[[AR_per_bookie]:[AR_per_bookie]],BetTable[[B1]:[B1]],$A126,BetTable[[Date]:[Date]], "&gt;="&amp;K$8,BetTable[[Date]:[Date]],"&lt;="&amp;EOMONTH(K$8,0))+SUMIFS(BetTable[[AR_per_bookie]:[AR_per_bookie]],BetTable[[B2]:[B2]],$A126,BetTable[[Date]:[Date]], "&gt;="&amp;K$8,BetTable[[Date]:[Date]],"&lt;="&amp;EOMONTH(K$8,0))+SUMIFS(BetTable[[AR_per_bookie]:[AR_per_bookie]],BetTable[[B3]:[B3]],$A126,BetTable[[Date]:[Date]], "&gt;="&amp;K$8,BetTable[[Date]:[Date]],"&lt;="&amp;EOMONTH(K$8,0))</f>
        <v>0</v>
      </c>
      <c r="L126" s="126">
        <f>SUMIFS(DWbonus[[Sum]:[Sum]],DWbonus[[Dato]:[Dato]], "&gt;="&amp;L$8,DWbonus[[Dato]:[Dato]],"&lt;="&amp;EOMONTH(L$8,0),DWbonus[[Bookie]:[Bookie]],$A126)+SUMIFS(LayTable[[Faktisk res]:[Faktisk res]],LayTable[[Dato]:[Dato]],"&gt;="&amp;L$8,LayTable[[Dato]:[Dato]],"&lt;="&amp;EOMONTH(L$8,0),LayTable[[Bookmaker]:[Bookmaker]],$A126)+SUMIFS(BetTable[[AR_per_bookie]:[AR_per_bookie]],BetTable[[B1]:[B1]],$A126,BetTable[[Date]:[Date]], "&gt;="&amp;L$8,BetTable[[Date]:[Date]],"&lt;="&amp;EOMONTH(L$8,0))+SUMIFS(BetTable[[AR_per_bookie]:[AR_per_bookie]],BetTable[[B2]:[B2]],$A126,BetTable[[Date]:[Date]], "&gt;="&amp;L$8,BetTable[[Date]:[Date]],"&lt;="&amp;EOMONTH(L$8,0))+SUMIFS(BetTable[[AR_per_bookie]:[AR_per_bookie]],BetTable[[B3]:[B3]],$A126,BetTable[[Date]:[Date]], "&gt;="&amp;L$8,BetTable[[Date]:[Date]],"&lt;="&amp;EOMONTH(L$8,0))</f>
        <v>0</v>
      </c>
      <c r="M126" s="126">
        <f>SUMIFS(DWbonus[[Sum]:[Sum]],DWbonus[[Dato]:[Dato]], "&gt;="&amp;M$8,DWbonus[[Dato]:[Dato]],"&lt;="&amp;EOMONTH(M$8,0),DWbonus[[Bookie]:[Bookie]],$A126)+SUMIFS(LayTable[[Faktisk res]:[Faktisk res]],LayTable[[Dato]:[Dato]],"&gt;="&amp;M$8,LayTable[[Dato]:[Dato]],"&lt;="&amp;EOMONTH(M$8,0),LayTable[[Bookmaker]:[Bookmaker]],$A126)+SUMIFS(BetTable[[AR_per_bookie]:[AR_per_bookie]],BetTable[[B1]:[B1]],$A126,BetTable[[Date]:[Date]], "&gt;="&amp;M$8,BetTable[[Date]:[Date]],"&lt;="&amp;EOMONTH(M$8,0))+SUMIFS(BetTable[[AR_per_bookie]:[AR_per_bookie]],BetTable[[B2]:[B2]],$A126,BetTable[[Date]:[Date]], "&gt;="&amp;M$8,BetTable[[Date]:[Date]],"&lt;="&amp;EOMONTH(M$8,0))+SUMIFS(BetTable[[AR_per_bookie]:[AR_per_bookie]],BetTable[[B3]:[B3]],$A126,BetTable[[Date]:[Date]], "&gt;="&amp;M$8,BetTable[[Date]:[Date]],"&lt;="&amp;EOMONTH(M$8,0))</f>
        <v>0</v>
      </c>
      <c r="N126" s="126">
        <f>SUMIFS(DWbonus[[Sum]:[Sum]],DWbonus[[Dato]:[Dato]], "&gt;="&amp;N$8,DWbonus[[Dato]:[Dato]],"&lt;="&amp;EOMONTH(N$8,0),DWbonus[[Bookie]:[Bookie]],$A126)+SUMIFS(LayTable[[Faktisk res]:[Faktisk res]],LayTable[[Dato]:[Dato]],"&gt;="&amp;N$8,LayTable[[Dato]:[Dato]],"&lt;="&amp;EOMONTH(N$8,0),LayTable[[Bookmaker]:[Bookmaker]],$A126)+SUMIFS(BetTable[[AR_per_bookie]:[AR_per_bookie]],BetTable[[B1]:[B1]],$A126,BetTable[[Date]:[Date]], "&gt;="&amp;N$8,BetTable[[Date]:[Date]],"&lt;="&amp;EOMONTH(N$8,0))+SUMIFS(BetTable[[AR_per_bookie]:[AR_per_bookie]],BetTable[[B2]:[B2]],$A126,BetTable[[Date]:[Date]], "&gt;="&amp;N$8,BetTable[[Date]:[Date]],"&lt;="&amp;EOMONTH(N$8,0))+SUMIFS(BetTable[[AR_per_bookie]:[AR_per_bookie]],BetTable[[B3]:[B3]],$A126,BetTable[[Date]:[Date]], "&gt;="&amp;N$8,BetTable[[Date]:[Date]],"&lt;="&amp;EOMONTH(N$8,0))</f>
        <v>0</v>
      </c>
      <c r="O126" s="126">
        <f>SUMIFS(DWbonus[[Sum]:[Sum]],DWbonus[[Dato]:[Dato]], "&gt;="&amp;O$8,DWbonus[[Dato]:[Dato]],"&lt;="&amp;EOMONTH(O$8,0),DWbonus[[Bookie]:[Bookie]],$A126)+SUMIFS(LayTable[[Faktisk res]:[Faktisk res]],LayTable[[Dato]:[Dato]],"&gt;="&amp;O$8,LayTable[[Dato]:[Dato]],"&lt;="&amp;EOMONTH(O$8,0),LayTable[[Bookmaker]:[Bookmaker]],$A126)+SUMIFS(BetTable[[AR_per_bookie]:[AR_per_bookie]],BetTable[[B1]:[B1]],$A126,BetTable[[Date]:[Date]], "&gt;="&amp;O$8,BetTable[[Date]:[Date]],"&lt;="&amp;EOMONTH(O$8,0))+SUMIFS(BetTable[[AR_per_bookie]:[AR_per_bookie]],BetTable[[B2]:[B2]],$A126,BetTable[[Date]:[Date]], "&gt;="&amp;O$8,BetTable[[Date]:[Date]],"&lt;="&amp;EOMONTH(O$8,0))+SUMIFS(BetTable[[AR_per_bookie]:[AR_per_bookie]],BetTable[[B3]:[B3]],$A126,BetTable[[Date]:[Date]], "&gt;="&amp;O$8,BetTable[[Date]:[Date]],"&lt;="&amp;EOMONTH(O$8,0))</f>
        <v>0</v>
      </c>
      <c r="P126" s="126">
        <f>SUMIFS(DWbonus[[Sum]:[Sum]],DWbonus[[Dato]:[Dato]], "&gt;="&amp;P$8,DWbonus[[Dato]:[Dato]],"&lt;="&amp;EOMONTH(P$8,0),DWbonus[[Bookie]:[Bookie]],$A126)+SUMIFS(LayTable[[Faktisk res]:[Faktisk res]],LayTable[[Dato]:[Dato]],"&gt;="&amp;P$8,LayTable[[Dato]:[Dato]],"&lt;="&amp;EOMONTH(P$8,0),LayTable[[Bookmaker]:[Bookmaker]],$A126)+SUMIFS(BetTable[[AR_per_bookie]:[AR_per_bookie]],BetTable[[B1]:[B1]],$A126,BetTable[[Date]:[Date]], "&gt;="&amp;P$8,BetTable[[Date]:[Date]],"&lt;="&amp;EOMONTH(P$8,0))+SUMIFS(BetTable[[AR_per_bookie]:[AR_per_bookie]],BetTable[[B2]:[B2]],$A126,BetTable[[Date]:[Date]], "&gt;="&amp;P$8,BetTable[[Date]:[Date]],"&lt;="&amp;EOMONTH(P$8,0))+SUMIFS(BetTable[[AR_per_bookie]:[AR_per_bookie]],BetTable[[B3]:[B3]],$A126,BetTable[[Date]:[Date]], "&gt;="&amp;P$8,BetTable[[Date]:[Date]],"&lt;="&amp;EOMONTH(P$8,0))</f>
        <v>0</v>
      </c>
      <c r="Q126" s="126">
        <f>SUMIFS(DWbonus[[Sum]:[Sum]],DWbonus[[Dato]:[Dato]], "&gt;="&amp;Q$8,DWbonus[[Dato]:[Dato]],"&lt;="&amp;EOMONTH(Q$8,0),DWbonus[[Bookie]:[Bookie]],$A126)+SUMIFS(LayTable[[Faktisk res]:[Faktisk res]],LayTable[[Dato]:[Dato]],"&gt;="&amp;Q$8,LayTable[[Dato]:[Dato]],"&lt;="&amp;EOMONTH(Q$8,0),LayTable[[Bookmaker]:[Bookmaker]],$A126)+SUMIFS(BetTable[[AR_per_bookie]:[AR_per_bookie]],BetTable[[B1]:[B1]],$A126,BetTable[[Date]:[Date]], "&gt;="&amp;Q$8,BetTable[[Date]:[Date]],"&lt;="&amp;EOMONTH(Q$8,0))+SUMIFS(BetTable[[AR_per_bookie]:[AR_per_bookie]],BetTable[[B2]:[B2]],$A126,BetTable[[Date]:[Date]], "&gt;="&amp;Q$8,BetTable[[Date]:[Date]],"&lt;="&amp;EOMONTH(Q$8,0))+SUMIFS(BetTable[[AR_per_bookie]:[AR_per_bookie]],BetTable[[B3]:[B3]],$A126,BetTable[[Date]:[Date]], "&gt;="&amp;Q$8,BetTable[[Date]:[Date]],"&lt;="&amp;EOMONTH(Q$8,0))</f>
        <v>0</v>
      </c>
      <c r="R126" s="126">
        <f>SUMIFS(DWbonus[[Sum]:[Sum]],DWbonus[[Dato]:[Dato]], "&gt;="&amp;R$8,DWbonus[[Dato]:[Dato]],"&lt;="&amp;EOMONTH(R$8,0),DWbonus[[Bookie]:[Bookie]],$A126)+SUMIFS(LayTable[[Faktisk res]:[Faktisk res]],LayTable[[Dato]:[Dato]],"&gt;="&amp;R$8,LayTable[[Dato]:[Dato]],"&lt;="&amp;EOMONTH(R$8,0),LayTable[[Bookmaker]:[Bookmaker]],$A126)+SUMIFS(BetTable[[AR_per_bookie]:[AR_per_bookie]],BetTable[[B1]:[B1]],$A126,BetTable[[Date]:[Date]], "&gt;="&amp;R$8,BetTable[[Date]:[Date]],"&lt;="&amp;EOMONTH(R$8,0))+SUMIFS(BetTable[[AR_per_bookie]:[AR_per_bookie]],BetTable[[B2]:[B2]],$A126,BetTable[[Date]:[Date]], "&gt;="&amp;R$8,BetTable[[Date]:[Date]],"&lt;="&amp;EOMONTH(R$8,0))+SUMIFS(BetTable[[AR_per_bookie]:[AR_per_bookie]],BetTable[[B3]:[B3]],$A126,BetTable[[Date]:[Date]], "&gt;="&amp;R$8,BetTable[[Date]:[Date]],"&lt;="&amp;EOMONTH(R$8,0))</f>
        <v>0</v>
      </c>
      <c r="S126" s="126">
        <f>SUMIFS(DWbonus[[Sum]:[Sum]],DWbonus[[Dato]:[Dato]], "&gt;="&amp;S$8,DWbonus[[Dato]:[Dato]],"&lt;="&amp;EOMONTH(S$8,0),DWbonus[[Bookie]:[Bookie]],$A126)+SUMIFS(LayTable[[Faktisk res]:[Faktisk res]],LayTable[[Dato]:[Dato]],"&gt;="&amp;S$8,LayTable[[Dato]:[Dato]],"&lt;="&amp;EOMONTH(S$8,0),LayTable[[Bookmaker]:[Bookmaker]],$A126)+SUMIFS(BetTable[[AR_per_bookie]:[AR_per_bookie]],BetTable[[B1]:[B1]],$A126,BetTable[[Date]:[Date]], "&gt;="&amp;S$8,BetTable[[Date]:[Date]],"&lt;="&amp;EOMONTH(S$8,0))+SUMIFS(BetTable[[AR_per_bookie]:[AR_per_bookie]],BetTable[[B2]:[B2]],$A126,BetTable[[Date]:[Date]], "&gt;="&amp;S$8,BetTable[[Date]:[Date]],"&lt;="&amp;EOMONTH(S$8,0))+SUMIFS(BetTable[[AR_per_bookie]:[AR_per_bookie]],BetTable[[B3]:[B3]],$A126,BetTable[[Date]:[Date]], "&gt;="&amp;S$8,BetTable[[Date]:[Date]],"&lt;="&amp;EOMONTH(S$8,0))</f>
        <v>0</v>
      </c>
    </row>
    <row r="127" spans="1:19">
      <c r="A127" s="115">
        <f>BookieNavn!I121</f>
        <v>0</v>
      </c>
      <c r="B127" s="126">
        <f>SUMIF(Penger!D$1:D$50072,A127,Penger!F$1:F$50072)</f>
        <v>0</v>
      </c>
      <c r="C127" s="126">
        <f>SUMIF(Penger!T$1:T$50072,A127,Penger!U$1:U$50072)</f>
        <v>0</v>
      </c>
      <c r="D127" s="126">
        <f ca="1">SUMIF(Spill!C$1:C$499895,A127,Spill!T$1:T$49895)+C127</f>
        <v>0</v>
      </c>
      <c r="E127" s="126">
        <f>SUMIF(Spill!C$1:C$49895,A127,Spill!T$1:T$49895)</f>
        <v>0</v>
      </c>
      <c r="F127" s="121" t="e">
        <f t="shared" ca="1" si="2"/>
        <v>#DIV/0!</v>
      </c>
      <c r="H127" s="126">
        <f>SUMIFS(DWbonus[[Sum]:[Sum]],DWbonus[[Dato]:[Dato]], "&gt;="&amp;H$8,DWbonus[[Dato]:[Dato]],"&lt;="&amp;EOMONTH(H$8,0),DWbonus[[Bookie]:[Bookie]],$A127)+SUMIFS(LayTable[[Faktisk res]:[Faktisk res]],LayTable[[Dato]:[Dato]],"&gt;="&amp;H$8,LayTable[[Dato]:[Dato]],"&lt;="&amp;EOMONTH(H$8,0),LayTable[[Bookmaker]:[Bookmaker]],$A127)+SUMIFS(BetTable[[AR_per_bookie]:[AR_per_bookie]],BetTable[[B1]:[B1]],$A127,BetTable[[Date]:[Date]], "&gt;="&amp;H$8,BetTable[[Date]:[Date]],"&lt;="&amp;EOMONTH(H$8,0))+SUMIFS(BetTable[[AR_per_bookie]:[AR_per_bookie]],BetTable[[B2]:[B2]],$A127,BetTable[[Date]:[Date]], "&gt;="&amp;H$8,BetTable[[Date]:[Date]],"&lt;="&amp;EOMONTH(H$8,0))+SUMIFS(BetTable[[AR_per_bookie]:[AR_per_bookie]],BetTable[[B3]:[B3]],$A127,BetTable[[Date]:[Date]], "&gt;="&amp;H$8,BetTable[[Date]:[Date]],"&lt;="&amp;EOMONTH(H$8,0))</f>
        <v>0</v>
      </c>
      <c r="I127" s="126">
        <f>SUMIFS(DWbonus[[Sum]:[Sum]],DWbonus[[Dato]:[Dato]], "&gt;="&amp;I$8,DWbonus[[Dato]:[Dato]],"&lt;="&amp;EOMONTH(I$8,0),DWbonus[[Bookie]:[Bookie]],$A127)+SUMIFS(LayTable[[Faktisk res]:[Faktisk res]],LayTable[[Dato]:[Dato]],"&gt;="&amp;I$8,LayTable[[Dato]:[Dato]],"&lt;="&amp;EOMONTH(I$8,0),LayTable[[Bookmaker]:[Bookmaker]],$A127)+SUMIFS(BetTable[[AR_per_bookie]:[AR_per_bookie]],BetTable[[B1]:[B1]],$A127,BetTable[[Date]:[Date]], "&gt;="&amp;I$8,BetTable[[Date]:[Date]],"&lt;="&amp;EOMONTH(I$8,0))+SUMIFS(BetTable[[AR_per_bookie]:[AR_per_bookie]],BetTable[[B2]:[B2]],$A127,BetTable[[Date]:[Date]], "&gt;="&amp;I$8,BetTable[[Date]:[Date]],"&lt;="&amp;EOMONTH(I$8,0))+SUMIFS(BetTable[[AR_per_bookie]:[AR_per_bookie]],BetTable[[B3]:[B3]],$A127,BetTable[[Date]:[Date]], "&gt;="&amp;I$8,BetTable[[Date]:[Date]],"&lt;="&amp;EOMONTH(I$8,0))</f>
        <v>0</v>
      </c>
      <c r="J127" s="126">
        <f>SUMIFS(DWbonus[[Sum]:[Sum]],DWbonus[[Dato]:[Dato]], "&gt;="&amp;J$8,DWbonus[[Dato]:[Dato]],"&lt;="&amp;EOMONTH(J$8,0),DWbonus[[Bookie]:[Bookie]],$A127)+SUMIFS(LayTable[[Faktisk res]:[Faktisk res]],LayTable[[Dato]:[Dato]],"&gt;="&amp;J$8,LayTable[[Dato]:[Dato]],"&lt;="&amp;EOMONTH(J$8,0),LayTable[[Bookmaker]:[Bookmaker]],$A127)+SUMIFS(BetTable[[AR_per_bookie]:[AR_per_bookie]],BetTable[[B1]:[B1]],$A127,BetTable[[Date]:[Date]], "&gt;="&amp;J$8,BetTable[[Date]:[Date]],"&lt;="&amp;EOMONTH(J$8,0))+SUMIFS(BetTable[[AR_per_bookie]:[AR_per_bookie]],BetTable[[B2]:[B2]],$A127,BetTable[[Date]:[Date]], "&gt;="&amp;J$8,BetTable[[Date]:[Date]],"&lt;="&amp;EOMONTH(J$8,0))+SUMIFS(BetTable[[AR_per_bookie]:[AR_per_bookie]],BetTable[[B3]:[B3]],$A127,BetTable[[Date]:[Date]], "&gt;="&amp;J$8,BetTable[[Date]:[Date]],"&lt;="&amp;EOMONTH(J$8,0))</f>
        <v>0</v>
      </c>
      <c r="K127" s="126">
        <f>SUMIFS(DWbonus[[Sum]:[Sum]],DWbonus[[Dato]:[Dato]], "&gt;="&amp;K$8,DWbonus[[Dato]:[Dato]],"&lt;="&amp;EOMONTH(K$8,0),DWbonus[[Bookie]:[Bookie]],$A127)+SUMIFS(LayTable[[Faktisk res]:[Faktisk res]],LayTable[[Dato]:[Dato]],"&gt;="&amp;K$8,LayTable[[Dato]:[Dato]],"&lt;="&amp;EOMONTH(K$8,0),LayTable[[Bookmaker]:[Bookmaker]],$A127)+SUMIFS(BetTable[[AR_per_bookie]:[AR_per_bookie]],BetTable[[B1]:[B1]],$A127,BetTable[[Date]:[Date]], "&gt;="&amp;K$8,BetTable[[Date]:[Date]],"&lt;="&amp;EOMONTH(K$8,0))+SUMIFS(BetTable[[AR_per_bookie]:[AR_per_bookie]],BetTable[[B2]:[B2]],$A127,BetTable[[Date]:[Date]], "&gt;="&amp;K$8,BetTable[[Date]:[Date]],"&lt;="&amp;EOMONTH(K$8,0))+SUMIFS(BetTable[[AR_per_bookie]:[AR_per_bookie]],BetTable[[B3]:[B3]],$A127,BetTable[[Date]:[Date]], "&gt;="&amp;K$8,BetTable[[Date]:[Date]],"&lt;="&amp;EOMONTH(K$8,0))</f>
        <v>0</v>
      </c>
      <c r="L127" s="126">
        <f>SUMIFS(DWbonus[[Sum]:[Sum]],DWbonus[[Dato]:[Dato]], "&gt;="&amp;L$8,DWbonus[[Dato]:[Dato]],"&lt;="&amp;EOMONTH(L$8,0),DWbonus[[Bookie]:[Bookie]],$A127)+SUMIFS(LayTable[[Faktisk res]:[Faktisk res]],LayTable[[Dato]:[Dato]],"&gt;="&amp;L$8,LayTable[[Dato]:[Dato]],"&lt;="&amp;EOMONTH(L$8,0),LayTable[[Bookmaker]:[Bookmaker]],$A127)+SUMIFS(BetTable[[AR_per_bookie]:[AR_per_bookie]],BetTable[[B1]:[B1]],$A127,BetTable[[Date]:[Date]], "&gt;="&amp;L$8,BetTable[[Date]:[Date]],"&lt;="&amp;EOMONTH(L$8,0))+SUMIFS(BetTable[[AR_per_bookie]:[AR_per_bookie]],BetTable[[B2]:[B2]],$A127,BetTable[[Date]:[Date]], "&gt;="&amp;L$8,BetTable[[Date]:[Date]],"&lt;="&amp;EOMONTH(L$8,0))+SUMIFS(BetTable[[AR_per_bookie]:[AR_per_bookie]],BetTable[[B3]:[B3]],$A127,BetTable[[Date]:[Date]], "&gt;="&amp;L$8,BetTable[[Date]:[Date]],"&lt;="&amp;EOMONTH(L$8,0))</f>
        <v>0</v>
      </c>
      <c r="M127" s="126">
        <f>SUMIFS(DWbonus[[Sum]:[Sum]],DWbonus[[Dato]:[Dato]], "&gt;="&amp;M$8,DWbonus[[Dato]:[Dato]],"&lt;="&amp;EOMONTH(M$8,0),DWbonus[[Bookie]:[Bookie]],$A127)+SUMIFS(LayTable[[Faktisk res]:[Faktisk res]],LayTable[[Dato]:[Dato]],"&gt;="&amp;M$8,LayTable[[Dato]:[Dato]],"&lt;="&amp;EOMONTH(M$8,0),LayTable[[Bookmaker]:[Bookmaker]],$A127)+SUMIFS(BetTable[[AR_per_bookie]:[AR_per_bookie]],BetTable[[B1]:[B1]],$A127,BetTable[[Date]:[Date]], "&gt;="&amp;M$8,BetTable[[Date]:[Date]],"&lt;="&amp;EOMONTH(M$8,0))+SUMIFS(BetTable[[AR_per_bookie]:[AR_per_bookie]],BetTable[[B2]:[B2]],$A127,BetTable[[Date]:[Date]], "&gt;="&amp;M$8,BetTable[[Date]:[Date]],"&lt;="&amp;EOMONTH(M$8,0))+SUMIFS(BetTable[[AR_per_bookie]:[AR_per_bookie]],BetTable[[B3]:[B3]],$A127,BetTable[[Date]:[Date]], "&gt;="&amp;M$8,BetTable[[Date]:[Date]],"&lt;="&amp;EOMONTH(M$8,0))</f>
        <v>0</v>
      </c>
      <c r="N127" s="126">
        <f>SUMIFS(DWbonus[[Sum]:[Sum]],DWbonus[[Dato]:[Dato]], "&gt;="&amp;N$8,DWbonus[[Dato]:[Dato]],"&lt;="&amp;EOMONTH(N$8,0),DWbonus[[Bookie]:[Bookie]],$A127)+SUMIFS(LayTable[[Faktisk res]:[Faktisk res]],LayTable[[Dato]:[Dato]],"&gt;="&amp;N$8,LayTable[[Dato]:[Dato]],"&lt;="&amp;EOMONTH(N$8,0),LayTable[[Bookmaker]:[Bookmaker]],$A127)+SUMIFS(BetTable[[AR_per_bookie]:[AR_per_bookie]],BetTable[[B1]:[B1]],$A127,BetTable[[Date]:[Date]], "&gt;="&amp;N$8,BetTable[[Date]:[Date]],"&lt;="&amp;EOMONTH(N$8,0))+SUMIFS(BetTable[[AR_per_bookie]:[AR_per_bookie]],BetTable[[B2]:[B2]],$A127,BetTable[[Date]:[Date]], "&gt;="&amp;N$8,BetTable[[Date]:[Date]],"&lt;="&amp;EOMONTH(N$8,0))+SUMIFS(BetTable[[AR_per_bookie]:[AR_per_bookie]],BetTable[[B3]:[B3]],$A127,BetTable[[Date]:[Date]], "&gt;="&amp;N$8,BetTable[[Date]:[Date]],"&lt;="&amp;EOMONTH(N$8,0))</f>
        <v>0</v>
      </c>
      <c r="O127" s="126">
        <f>SUMIFS(DWbonus[[Sum]:[Sum]],DWbonus[[Dato]:[Dato]], "&gt;="&amp;O$8,DWbonus[[Dato]:[Dato]],"&lt;="&amp;EOMONTH(O$8,0),DWbonus[[Bookie]:[Bookie]],$A127)+SUMIFS(LayTable[[Faktisk res]:[Faktisk res]],LayTable[[Dato]:[Dato]],"&gt;="&amp;O$8,LayTable[[Dato]:[Dato]],"&lt;="&amp;EOMONTH(O$8,0),LayTable[[Bookmaker]:[Bookmaker]],$A127)+SUMIFS(BetTable[[AR_per_bookie]:[AR_per_bookie]],BetTable[[B1]:[B1]],$A127,BetTable[[Date]:[Date]], "&gt;="&amp;O$8,BetTable[[Date]:[Date]],"&lt;="&amp;EOMONTH(O$8,0))+SUMIFS(BetTable[[AR_per_bookie]:[AR_per_bookie]],BetTable[[B2]:[B2]],$A127,BetTable[[Date]:[Date]], "&gt;="&amp;O$8,BetTable[[Date]:[Date]],"&lt;="&amp;EOMONTH(O$8,0))+SUMIFS(BetTable[[AR_per_bookie]:[AR_per_bookie]],BetTable[[B3]:[B3]],$A127,BetTable[[Date]:[Date]], "&gt;="&amp;O$8,BetTable[[Date]:[Date]],"&lt;="&amp;EOMONTH(O$8,0))</f>
        <v>0</v>
      </c>
      <c r="P127" s="126">
        <f>SUMIFS(DWbonus[[Sum]:[Sum]],DWbonus[[Dato]:[Dato]], "&gt;="&amp;P$8,DWbonus[[Dato]:[Dato]],"&lt;="&amp;EOMONTH(P$8,0),DWbonus[[Bookie]:[Bookie]],$A127)+SUMIFS(LayTable[[Faktisk res]:[Faktisk res]],LayTable[[Dato]:[Dato]],"&gt;="&amp;P$8,LayTable[[Dato]:[Dato]],"&lt;="&amp;EOMONTH(P$8,0),LayTable[[Bookmaker]:[Bookmaker]],$A127)+SUMIFS(BetTable[[AR_per_bookie]:[AR_per_bookie]],BetTable[[B1]:[B1]],$A127,BetTable[[Date]:[Date]], "&gt;="&amp;P$8,BetTable[[Date]:[Date]],"&lt;="&amp;EOMONTH(P$8,0))+SUMIFS(BetTable[[AR_per_bookie]:[AR_per_bookie]],BetTable[[B2]:[B2]],$A127,BetTable[[Date]:[Date]], "&gt;="&amp;P$8,BetTable[[Date]:[Date]],"&lt;="&amp;EOMONTH(P$8,0))+SUMIFS(BetTable[[AR_per_bookie]:[AR_per_bookie]],BetTable[[B3]:[B3]],$A127,BetTable[[Date]:[Date]], "&gt;="&amp;P$8,BetTable[[Date]:[Date]],"&lt;="&amp;EOMONTH(P$8,0))</f>
        <v>0</v>
      </c>
      <c r="Q127" s="126">
        <f>SUMIFS(DWbonus[[Sum]:[Sum]],DWbonus[[Dato]:[Dato]], "&gt;="&amp;Q$8,DWbonus[[Dato]:[Dato]],"&lt;="&amp;EOMONTH(Q$8,0),DWbonus[[Bookie]:[Bookie]],$A127)+SUMIFS(LayTable[[Faktisk res]:[Faktisk res]],LayTable[[Dato]:[Dato]],"&gt;="&amp;Q$8,LayTable[[Dato]:[Dato]],"&lt;="&amp;EOMONTH(Q$8,0),LayTable[[Bookmaker]:[Bookmaker]],$A127)+SUMIFS(BetTable[[AR_per_bookie]:[AR_per_bookie]],BetTable[[B1]:[B1]],$A127,BetTable[[Date]:[Date]], "&gt;="&amp;Q$8,BetTable[[Date]:[Date]],"&lt;="&amp;EOMONTH(Q$8,0))+SUMIFS(BetTable[[AR_per_bookie]:[AR_per_bookie]],BetTable[[B2]:[B2]],$A127,BetTable[[Date]:[Date]], "&gt;="&amp;Q$8,BetTable[[Date]:[Date]],"&lt;="&amp;EOMONTH(Q$8,0))+SUMIFS(BetTable[[AR_per_bookie]:[AR_per_bookie]],BetTable[[B3]:[B3]],$A127,BetTable[[Date]:[Date]], "&gt;="&amp;Q$8,BetTable[[Date]:[Date]],"&lt;="&amp;EOMONTH(Q$8,0))</f>
        <v>0</v>
      </c>
      <c r="R127" s="126">
        <f>SUMIFS(DWbonus[[Sum]:[Sum]],DWbonus[[Dato]:[Dato]], "&gt;="&amp;R$8,DWbonus[[Dato]:[Dato]],"&lt;="&amp;EOMONTH(R$8,0),DWbonus[[Bookie]:[Bookie]],$A127)+SUMIFS(LayTable[[Faktisk res]:[Faktisk res]],LayTable[[Dato]:[Dato]],"&gt;="&amp;R$8,LayTable[[Dato]:[Dato]],"&lt;="&amp;EOMONTH(R$8,0),LayTable[[Bookmaker]:[Bookmaker]],$A127)+SUMIFS(BetTable[[AR_per_bookie]:[AR_per_bookie]],BetTable[[B1]:[B1]],$A127,BetTable[[Date]:[Date]], "&gt;="&amp;R$8,BetTable[[Date]:[Date]],"&lt;="&amp;EOMONTH(R$8,0))+SUMIFS(BetTable[[AR_per_bookie]:[AR_per_bookie]],BetTable[[B2]:[B2]],$A127,BetTable[[Date]:[Date]], "&gt;="&amp;R$8,BetTable[[Date]:[Date]],"&lt;="&amp;EOMONTH(R$8,0))+SUMIFS(BetTable[[AR_per_bookie]:[AR_per_bookie]],BetTable[[B3]:[B3]],$A127,BetTable[[Date]:[Date]], "&gt;="&amp;R$8,BetTable[[Date]:[Date]],"&lt;="&amp;EOMONTH(R$8,0))</f>
        <v>0</v>
      </c>
      <c r="S127" s="126">
        <f>SUMIFS(DWbonus[[Sum]:[Sum]],DWbonus[[Dato]:[Dato]], "&gt;="&amp;S$8,DWbonus[[Dato]:[Dato]],"&lt;="&amp;EOMONTH(S$8,0),DWbonus[[Bookie]:[Bookie]],$A127)+SUMIFS(LayTable[[Faktisk res]:[Faktisk res]],LayTable[[Dato]:[Dato]],"&gt;="&amp;S$8,LayTable[[Dato]:[Dato]],"&lt;="&amp;EOMONTH(S$8,0),LayTable[[Bookmaker]:[Bookmaker]],$A127)+SUMIFS(BetTable[[AR_per_bookie]:[AR_per_bookie]],BetTable[[B1]:[B1]],$A127,BetTable[[Date]:[Date]], "&gt;="&amp;S$8,BetTable[[Date]:[Date]],"&lt;="&amp;EOMONTH(S$8,0))+SUMIFS(BetTable[[AR_per_bookie]:[AR_per_bookie]],BetTable[[B2]:[B2]],$A127,BetTable[[Date]:[Date]], "&gt;="&amp;S$8,BetTable[[Date]:[Date]],"&lt;="&amp;EOMONTH(S$8,0))+SUMIFS(BetTable[[AR_per_bookie]:[AR_per_bookie]],BetTable[[B3]:[B3]],$A127,BetTable[[Date]:[Date]], "&gt;="&amp;S$8,BetTable[[Date]:[Date]],"&lt;="&amp;EOMONTH(S$8,0))</f>
        <v>0</v>
      </c>
    </row>
    <row r="128" spans="1:19">
      <c r="A128" s="115">
        <f>BookieNavn!I122</f>
        <v>0</v>
      </c>
      <c r="B128" s="126">
        <f>SUMIF(Penger!D$1:D$50072,A128,Penger!F$1:F$50072)</f>
        <v>0</v>
      </c>
      <c r="C128" s="126">
        <f>SUMIF(Penger!T$1:T$50072,A128,Penger!U$1:U$50072)</f>
        <v>0</v>
      </c>
      <c r="D128" s="126">
        <f ca="1">SUMIF(Spill!C$1:C$499895,A128,Spill!T$1:T$49895)+C128</f>
        <v>0</v>
      </c>
      <c r="E128" s="126">
        <f>SUMIF(Spill!C$1:C$49895,A128,Spill!T$1:T$49895)</f>
        <v>0</v>
      </c>
      <c r="F128" s="121" t="e">
        <f t="shared" ca="1" si="2"/>
        <v>#DIV/0!</v>
      </c>
      <c r="H128" s="126">
        <f>SUMIFS(DWbonus[[Sum]:[Sum]],DWbonus[[Dato]:[Dato]], "&gt;="&amp;H$8,DWbonus[[Dato]:[Dato]],"&lt;="&amp;EOMONTH(H$8,0),DWbonus[[Bookie]:[Bookie]],$A128)+SUMIFS(LayTable[[Faktisk res]:[Faktisk res]],LayTable[[Dato]:[Dato]],"&gt;="&amp;H$8,LayTable[[Dato]:[Dato]],"&lt;="&amp;EOMONTH(H$8,0),LayTable[[Bookmaker]:[Bookmaker]],$A128)+SUMIFS(BetTable[[AR_per_bookie]:[AR_per_bookie]],BetTable[[B1]:[B1]],$A128,BetTable[[Date]:[Date]], "&gt;="&amp;H$8,BetTable[[Date]:[Date]],"&lt;="&amp;EOMONTH(H$8,0))+SUMIFS(BetTable[[AR_per_bookie]:[AR_per_bookie]],BetTable[[B2]:[B2]],$A128,BetTable[[Date]:[Date]], "&gt;="&amp;H$8,BetTable[[Date]:[Date]],"&lt;="&amp;EOMONTH(H$8,0))+SUMIFS(BetTable[[AR_per_bookie]:[AR_per_bookie]],BetTable[[B3]:[B3]],$A128,BetTable[[Date]:[Date]], "&gt;="&amp;H$8,BetTable[[Date]:[Date]],"&lt;="&amp;EOMONTH(H$8,0))</f>
        <v>0</v>
      </c>
      <c r="I128" s="126">
        <f>SUMIFS(DWbonus[[Sum]:[Sum]],DWbonus[[Dato]:[Dato]], "&gt;="&amp;I$8,DWbonus[[Dato]:[Dato]],"&lt;="&amp;EOMONTH(I$8,0),DWbonus[[Bookie]:[Bookie]],$A128)+SUMIFS(LayTable[[Faktisk res]:[Faktisk res]],LayTable[[Dato]:[Dato]],"&gt;="&amp;I$8,LayTable[[Dato]:[Dato]],"&lt;="&amp;EOMONTH(I$8,0),LayTable[[Bookmaker]:[Bookmaker]],$A128)+SUMIFS(BetTable[[AR_per_bookie]:[AR_per_bookie]],BetTable[[B1]:[B1]],$A128,BetTable[[Date]:[Date]], "&gt;="&amp;I$8,BetTable[[Date]:[Date]],"&lt;="&amp;EOMONTH(I$8,0))+SUMIFS(BetTable[[AR_per_bookie]:[AR_per_bookie]],BetTable[[B2]:[B2]],$A128,BetTable[[Date]:[Date]], "&gt;="&amp;I$8,BetTable[[Date]:[Date]],"&lt;="&amp;EOMONTH(I$8,0))+SUMIFS(BetTable[[AR_per_bookie]:[AR_per_bookie]],BetTable[[B3]:[B3]],$A128,BetTable[[Date]:[Date]], "&gt;="&amp;I$8,BetTable[[Date]:[Date]],"&lt;="&amp;EOMONTH(I$8,0))</f>
        <v>0</v>
      </c>
      <c r="J128" s="126">
        <f>SUMIFS(DWbonus[[Sum]:[Sum]],DWbonus[[Dato]:[Dato]], "&gt;="&amp;J$8,DWbonus[[Dato]:[Dato]],"&lt;="&amp;EOMONTH(J$8,0),DWbonus[[Bookie]:[Bookie]],$A128)+SUMIFS(LayTable[[Faktisk res]:[Faktisk res]],LayTable[[Dato]:[Dato]],"&gt;="&amp;J$8,LayTable[[Dato]:[Dato]],"&lt;="&amp;EOMONTH(J$8,0),LayTable[[Bookmaker]:[Bookmaker]],$A128)+SUMIFS(BetTable[[AR_per_bookie]:[AR_per_bookie]],BetTable[[B1]:[B1]],$A128,BetTable[[Date]:[Date]], "&gt;="&amp;J$8,BetTable[[Date]:[Date]],"&lt;="&amp;EOMONTH(J$8,0))+SUMIFS(BetTable[[AR_per_bookie]:[AR_per_bookie]],BetTable[[B2]:[B2]],$A128,BetTable[[Date]:[Date]], "&gt;="&amp;J$8,BetTable[[Date]:[Date]],"&lt;="&amp;EOMONTH(J$8,0))+SUMIFS(BetTable[[AR_per_bookie]:[AR_per_bookie]],BetTable[[B3]:[B3]],$A128,BetTable[[Date]:[Date]], "&gt;="&amp;J$8,BetTable[[Date]:[Date]],"&lt;="&amp;EOMONTH(J$8,0))</f>
        <v>0</v>
      </c>
      <c r="K128" s="126">
        <f>SUMIFS(DWbonus[[Sum]:[Sum]],DWbonus[[Dato]:[Dato]], "&gt;="&amp;K$8,DWbonus[[Dato]:[Dato]],"&lt;="&amp;EOMONTH(K$8,0),DWbonus[[Bookie]:[Bookie]],$A128)+SUMIFS(LayTable[[Faktisk res]:[Faktisk res]],LayTable[[Dato]:[Dato]],"&gt;="&amp;K$8,LayTable[[Dato]:[Dato]],"&lt;="&amp;EOMONTH(K$8,0),LayTable[[Bookmaker]:[Bookmaker]],$A128)+SUMIFS(BetTable[[AR_per_bookie]:[AR_per_bookie]],BetTable[[B1]:[B1]],$A128,BetTable[[Date]:[Date]], "&gt;="&amp;K$8,BetTable[[Date]:[Date]],"&lt;="&amp;EOMONTH(K$8,0))+SUMIFS(BetTable[[AR_per_bookie]:[AR_per_bookie]],BetTable[[B2]:[B2]],$A128,BetTable[[Date]:[Date]], "&gt;="&amp;K$8,BetTable[[Date]:[Date]],"&lt;="&amp;EOMONTH(K$8,0))+SUMIFS(BetTable[[AR_per_bookie]:[AR_per_bookie]],BetTable[[B3]:[B3]],$A128,BetTable[[Date]:[Date]], "&gt;="&amp;K$8,BetTable[[Date]:[Date]],"&lt;="&amp;EOMONTH(K$8,0))</f>
        <v>0</v>
      </c>
      <c r="L128" s="126">
        <f>SUMIFS(DWbonus[[Sum]:[Sum]],DWbonus[[Dato]:[Dato]], "&gt;="&amp;L$8,DWbonus[[Dato]:[Dato]],"&lt;="&amp;EOMONTH(L$8,0),DWbonus[[Bookie]:[Bookie]],$A128)+SUMIFS(LayTable[[Faktisk res]:[Faktisk res]],LayTable[[Dato]:[Dato]],"&gt;="&amp;L$8,LayTable[[Dato]:[Dato]],"&lt;="&amp;EOMONTH(L$8,0),LayTable[[Bookmaker]:[Bookmaker]],$A128)+SUMIFS(BetTable[[AR_per_bookie]:[AR_per_bookie]],BetTable[[B1]:[B1]],$A128,BetTable[[Date]:[Date]], "&gt;="&amp;L$8,BetTable[[Date]:[Date]],"&lt;="&amp;EOMONTH(L$8,0))+SUMIFS(BetTable[[AR_per_bookie]:[AR_per_bookie]],BetTable[[B2]:[B2]],$A128,BetTable[[Date]:[Date]], "&gt;="&amp;L$8,BetTable[[Date]:[Date]],"&lt;="&amp;EOMONTH(L$8,0))+SUMIFS(BetTable[[AR_per_bookie]:[AR_per_bookie]],BetTable[[B3]:[B3]],$A128,BetTable[[Date]:[Date]], "&gt;="&amp;L$8,BetTable[[Date]:[Date]],"&lt;="&amp;EOMONTH(L$8,0))</f>
        <v>0</v>
      </c>
      <c r="M128" s="126">
        <f>SUMIFS(DWbonus[[Sum]:[Sum]],DWbonus[[Dato]:[Dato]], "&gt;="&amp;M$8,DWbonus[[Dato]:[Dato]],"&lt;="&amp;EOMONTH(M$8,0),DWbonus[[Bookie]:[Bookie]],$A128)+SUMIFS(LayTable[[Faktisk res]:[Faktisk res]],LayTable[[Dato]:[Dato]],"&gt;="&amp;M$8,LayTable[[Dato]:[Dato]],"&lt;="&amp;EOMONTH(M$8,0),LayTable[[Bookmaker]:[Bookmaker]],$A128)+SUMIFS(BetTable[[AR_per_bookie]:[AR_per_bookie]],BetTable[[B1]:[B1]],$A128,BetTable[[Date]:[Date]], "&gt;="&amp;M$8,BetTable[[Date]:[Date]],"&lt;="&amp;EOMONTH(M$8,0))+SUMIFS(BetTable[[AR_per_bookie]:[AR_per_bookie]],BetTable[[B2]:[B2]],$A128,BetTable[[Date]:[Date]], "&gt;="&amp;M$8,BetTable[[Date]:[Date]],"&lt;="&amp;EOMONTH(M$8,0))+SUMIFS(BetTable[[AR_per_bookie]:[AR_per_bookie]],BetTable[[B3]:[B3]],$A128,BetTable[[Date]:[Date]], "&gt;="&amp;M$8,BetTable[[Date]:[Date]],"&lt;="&amp;EOMONTH(M$8,0))</f>
        <v>0</v>
      </c>
      <c r="N128" s="126">
        <f>SUMIFS(DWbonus[[Sum]:[Sum]],DWbonus[[Dato]:[Dato]], "&gt;="&amp;N$8,DWbonus[[Dato]:[Dato]],"&lt;="&amp;EOMONTH(N$8,0),DWbonus[[Bookie]:[Bookie]],$A128)+SUMIFS(LayTable[[Faktisk res]:[Faktisk res]],LayTable[[Dato]:[Dato]],"&gt;="&amp;N$8,LayTable[[Dato]:[Dato]],"&lt;="&amp;EOMONTH(N$8,0),LayTable[[Bookmaker]:[Bookmaker]],$A128)+SUMIFS(BetTable[[AR_per_bookie]:[AR_per_bookie]],BetTable[[B1]:[B1]],$A128,BetTable[[Date]:[Date]], "&gt;="&amp;N$8,BetTable[[Date]:[Date]],"&lt;="&amp;EOMONTH(N$8,0))+SUMIFS(BetTable[[AR_per_bookie]:[AR_per_bookie]],BetTable[[B2]:[B2]],$A128,BetTable[[Date]:[Date]], "&gt;="&amp;N$8,BetTable[[Date]:[Date]],"&lt;="&amp;EOMONTH(N$8,0))+SUMIFS(BetTable[[AR_per_bookie]:[AR_per_bookie]],BetTable[[B3]:[B3]],$A128,BetTable[[Date]:[Date]], "&gt;="&amp;N$8,BetTable[[Date]:[Date]],"&lt;="&amp;EOMONTH(N$8,0))</f>
        <v>0</v>
      </c>
      <c r="O128" s="126">
        <f>SUMIFS(DWbonus[[Sum]:[Sum]],DWbonus[[Dato]:[Dato]], "&gt;="&amp;O$8,DWbonus[[Dato]:[Dato]],"&lt;="&amp;EOMONTH(O$8,0),DWbonus[[Bookie]:[Bookie]],$A128)+SUMIFS(LayTable[[Faktisk res]:[Faktisk res]],LayTable[[Dato]:[Dato]],"&gt;="&amp;O$8,LayTable[[Dato]:[Dato]],"&lt;="&amp;EOMONTH(O$8,0),LayTable[[Bookmaker]:[Bookmaker]],$A128)+SUMIFS(BetTable[[AR_per_bookie]:[AR_per_bookie]],BetTable[[B1]:[B1]],$A128,BetTable[[Date]:[Date]], "&gt;="&amp;O$8,BetTable[[Date]:[Date]],"&lt;="&amp;EOMONTH(O$8,0))+SUMIFS(BetTable[[AR_per_bookie]:[AR_per_bookie]],BetTable[[B2]:[B2]],$A128,BetTable[[Date]:[Date]], "&gt;="&amp;O$8,BetTable[[Date]:[Date]],"&lt;="&amp;EOMONTH(O$8,0))+SUMIFS(BetTable[[AR_per_bookie]:[AR_per_bookie]],BetTable[[B3]:[B3]],$A128,BetTable[[Date]:[Date]], "&gt;="&amp;O$8,BetTable[[Date]:[Date]],"&lt;="&amp;EOMONTH(O$8,0))</f>
        <v>0</v>
      </c>
      <c r="P128" s="126">
        <f>SUMIFS(DWbonus[[Sum]:[Sum]],DWbonus[[Dato]:[Dato]], "&gt;="&amp;P$8,DWbonus[[Dato]:[Dato]],"&lt;="&amp;EOMONTH(P$8,0),DWbonus[[Bookie]:[Bookie]],$A128)+SUMIFS(LayTable[[Faktisk res]:[Faktisk res]],LayTable[[Dato]:[Dato]],"&gt;="&amp;P$8,LayTable[[Dato]:[Dato]],"&lt;="&amp;EOMONTH(P$8,0),LayTable[[Bookmaker]:[Bookmaker]],$A128)+SUMIFS(BetTable[[AR_per_bookie]:[AR_per_bookie]],BetTable[[B1]:[B1]],$A128,BetTable[[Date]:[Date]], "&gt;="&amp;P$8,BetTable[[Date]:[Date]],"&lt;="&amp;EOMONTH(P$8,0))+SUMIFS(BetTable[[AR_per_bookie]:[AR_per_bookie]],BetTable[[B2]:[B2]],$A128,BetTable[[Date]:[Date]], "&gt;="&amp;P$8,BetTable[[Date]:[Date]],"&lt;="&amp;EOMONTH(P$8,0))+SUMIFS(BetTable[[AR_per_bookie]:[AR_per_bookie]],BetTable[[B3]:[B3]],$A128,BetTable[[Date]:[Date]], "&gt;="&amp;P$8,BetTable[[Date]:[Date]],"&lt;="&amp;EOMONTH(P$8,0))</f>
        <v>0</v>
      </c>
      <c r="Q128" s="126">
        <f>SUMIFS(DWbonus[[Sum]:[Sum]],DWbonus[[Dato]:[Dato]], "&gt;="&amp;Q$8,DWbonus[[Dato]:[Dato]],"&lt;="&amp;EOMONTH(Q$8,0),DWbonus[[Bookie]:[Bookie]],$A128)+SUMIFS(LayTable[[Faktisk res]:[Faktisk res]],LayTable[[Dato]:[Dato]],"&gt;="&amp;Q$8,LayTable[[Dato]:[Dato]],"&lt;="&amp;EOMONTH(Q$8,0),LayTable[[Bookmaker]:[Bookmaker]],$A128)+SUMIFS(BetTable[[AR_per_bookie]:[AR_per_bookie]],BetTable[[B1]:[B1]],$A128,BetTable[[Date]:[Date]], "&gt;="&amp;Q$8,BetTable[[Date]:[Date]],"&lt;="&amp;EOMONTH(Q$8,0))+SUMIFS(BetTable[[AR_per_bookie]:[AR_per_bookie]],BetTable[[B2]:[B2]],$A128,BetTable[[Date]:[Date]], "&gt;="&amp;Q$8,BetTable[[Date]:[Date]],"&lt;="&amp;EOMONTH(Q$8,0))+SUMIFS(BetTable[[AR_per_bookie]:[AR_per_bookie]],BetTable[[B3]:[B3]],$A128,BetTable[[Date]:[Date]], "&gt;="&amp;Q$8,BetTable[[Date]:[Date]],"&lt;="&amp;EOMONTH(Q$8,0))</f>
        <v>0</v>
      </c>
      <c r="R128" s="126">
        <f>SUMIFS(DWbonus[[Sum]:[Sum]],DWbonus[[Dato]:[Dato]], "&gt;="&amp;R$8,DWbonus[[Dato]:[Dato]],"&lt;="&amp;EOMONTH(R$8,0),DWbonus[[Bookie]:[Bookie]],$A128)+SUMIFS(LayTable[[Faktisk res]:[Faktisk res]],LayTable[[Dato]:[Dato]],"&gt;="&amp;R$8,LayTable[[Dato]:[Dato]],"&lt;="&amp;EOMONTH(R$8,0),LayTable[[Bookmaker]:[Bookmaker]],$A128)+SUMIFS(BetTable[[AR_per_bookie]:[AR_per_bookie]],BetTable[[B1]:[B1]],$A128,BetTable[[Date]:[Date]], "&gt;="&amp;R$8,BetTable[[Date]:[Date]],"&lt;="&amp;EOMONTH(R$8,0))+SUMIFS(BetTable[[AR_per_bookie]:[AR_per_bookie]],BetTable[[B2]:[B2]],$A128,BetTable[[Date]:[Date]], "&gt;="&amp;R$8,BetTable[[Date]:[Date]],"&lt;="&amp;EOMONTH(R$8,0))+SUMIFS(BetTable[[AR_per_bookie]:[AR_per_bookie]],BetTable[[B3]:[B3]],$A128,BetTable[[Date]:[Date]], "&gt;="&amp;R$8,BetTable[[Date]:[Date]],"&lt;="&amp;EOMONTH(R$8,0))</f>
        <v>0</v>
      </c>
      <c r="S128" s="126">
        <f>SUMIFS(DWbonus[[Sum]:[Sum]],DWbonus[[Dato]:[Dato]], "&gt;="&amp;S$8,DWbonus[[Dato]:[Dato]],"&lt;="&amp;EOMONTH(S$8,0),DWbonus[[Bookie]:[Bookie]],$A128)+SUMIFS(LayTable[[Faktisk res]:[Faktisk res]],LayTable[[Dato]:[Dato]],"&gt;="&amp;S$8,LayTable[[Dato]:[Dato]],"&lt;="&amp;EOMONTH(S$8,0),LayTable[[Bookmaker]:[Bookmaker]],$A128)+SUMIFS(BetTable[[AR_per_bookie]:[AR_per_bookie]],BetTable[[B1]:[B1]],$A128,BetTable[[Date]:[Date]], "&gt;="&amp;S$8,BetTable[[Date]:[Date]],"&lt;="&amp;EOMONTH(S$8,0))+SUMIFS(BetTable[[AR_per_bookie]:[AR_per_bookie]],BetTable[[B2]:[B2]],$A128,BetTable[[Date]:[Date]], "&gt;="&amp;S$8,BetTable[[Date]:[Date]],"&lt;="&amp;EOMONTH(S$8,0))+SUMIFS(BetTable[[AR_per_bookie]:[AR_per_bookie]],BetTable[[B3]:[B3]],$A128,BetTable[[Date]:[Date]], "&gt;="&amp;S$8,BetTable[[Date]:[Date]],"&lt;="&amp;EOMONTH(S$8,0))</f>
        <v>0</v>
      </c>
    </row>
    <row r="129" spans="1:19">
      <c r="A129" s="115">
        <f>BookieNavn!I123</f>
        <v>0</v>
      </c>
      <c r="B129" s="126">
        <f>SUMIF(Penger!D$1:D$50072,A129,Penger!F$1:F$50072)</f>
        <v>0</v>
      </c>
      <c r="C129" s="126">
        <f>SUMIF(Penger!T$1:T$50072,A129,Penger!U$1:U$50072)</f>
        <v>0</v>
      </c>
      <c r="D129" s="126">
        <f ca="1">SUMIF(Spill!C$1:C$499895,A129,Spill!T$1:T$49895)+C129</f>
        <v>0</v>
      </c>
      <c r="E129" s="126">
        <f>SUMIF(Spill!C$1:C$49895,A129,Spill!T$1:T$49895)</f>
        <v>0</v>
      </c>
      <c r="F129" s="121" t="e">
        <f t="shared" ca="1" si="2"/>
        <v>#DIV/0!</v>
      </c>
      <c r="H129" s="126">
        <f>SUMIFS(DWbonus[[Sum]:[Sum]],DWbonus[[Dato]:[Dato]], "&gt;="&amp;H$8,DWbonus[[Dato]:[Dato]],"&lt;="&amp;EOMONTH(H$8,0),DWbonus[[Bookie]:[Bookie]],$A129)+SUMIFS(LayTable[[Faktisk res]:[Faktisk res]],LayTable[[Dato]:[Dato]],"&gt;="&amp;H$8,LayTable[[Dato]:[Dato]],"&lt;="&amp;EOMONTH(H$8,0),LayTable[[Bookmaker]:[Bookmaker]],$A129)+SUMIFS(BetTable[[AR_per_bookie]:[AR_per_bookie]],BetTable[[B1]:[B1]],$A129,BetTable[[Date]:[Date]], "&gt;="&amp;H$8,BetTable[[Date]:[Date]],"&lt;="&amp;EOMONTH(H$8,0))+SUMIFS(BetTable[[AR_per_bookie]:[AR_per_bookie]],BetTable[[B2]:[B2]],$A129,BetTable[[Date]:[Date]], "&gt;="&amp;H$8,BetTable[[Date]:[Date]],"&lt;="&amp;EOMONTH(H$8,0))+SUMIFS(BetTable[[AR_per_bookie]:[AR_per_bookie]],BetTable[[B3]:[B3]],$A129,BetTable[[Date]:[Date]], "&gt;="&amp;H$8,BetTable[[Date]:[Date]],"&lt;="&amp;EOMONTH(H$8,0))</f>
        <v>0</v>
      </c>
      <c r="I129" s="126">
        <f>SUMIFS(DWbonus[[Sum]:[Sum]],DWbonus[[Dato]:[Dato]], "&gt;="&amp;I$8,DWbonus[[Dato]:[Dato]],"&lt;="&amp;EOMONTH(I$8,0),DWbonus[[Bookie]:[Bookie]],$A129)+SUMIFS(LayTable[[Faktisk res]:[Faktisk res]],LayTable[[Dato]:[Dato]],"&gt;="&amp;I$8,LayTable[[Dato]:[Dato]],"&lt;="&amp;EOMONTH(I$8,0),LayTable[[Bookmaker]:[Bookmaker]],$A129)+SUMIFS(BetTable[[AR_per_bookie]:[AR_per_bookie]],BetTable[[B1]:[B1]],$A129,BetTable[[Date]:[Date]], "&gt;="&amp;I$8,BetTable[[Date]:[Date]],"&lt;="&amp;EOMONTH(I$8,0))+SUMIFS(BetTable[[AR_per_bookie]:[AR_per_bookie]],BetTable[[B2]:[B2]],$A129,BetTable[[Date]:[Date]], "&gt;="&amp;I$8,BetTable[[Date]:[Date]],"&lt;="&amp;EOMONTH(I$8,0))+SUMIFS(BetTable[[AR_per_bookie]:[AR_per_bookie]],BetTable[[B3]:[B3]],$A129,BetTable[[Date]:[Date]], "&gt;="&amp;I$8,BetTable[[Date]:[Date]],"&lt;="&amp;EOMONTH(I$8,0))</f>
        <v>0</v>
      </c>
      <c r="J129" s="126">
        <f>SUMIFS(DWbonus[[Sum]:[Sum]],DWbonus[[Dato]:[Dato]], "&gt;="&amp;J$8,DWbonus[[Dato]:[Dato]],"&lt;="&amp;EOMONTH(J$8,0),DWbonus[[Bookie]:[Bookie]],$A129)+SUMIFS(LayTable[[Faktisk res]:[Faktisk res]],LayTable[[Dato]:[Dato]],"&gt;="&amp;J$8,LayTable[[Dato]:[Dato]],"&lt;="&amp;EOMONTH(J$8,0),LayTable[[Bookmaker]:[Bookmaker]],$A129)+SUMIFS(BetTable[[AR_per_bookie]:[AR_per_bookie]],BetTable[[B1]:[B1]],$A129,BetTable[[Date]:[Date]], "&gt;="&amp;J$8,BetTable[[Date]:[Date]],"&lt;="&amp;EOMONTH(J$8,0))+SUMIFS(BetTable[[AR_per_bookie]:[AR_per_bookie]],BetTable[[B2]:[B2]],$A129,BetTable[[Date]:[Date]], "&gt;="&amp;J$8,BetTable[[Date]:[Date]],"&lt;="&amp;EOMONTH(J$8,0))+SUMIFS(BetTable[[AR_per_bookie]:[AR_per_bookie]],BetTable[[B3]:[B3]],$A129,BetTable[[Date]:[Date]], "&gt;="&amp;J$8,BetTable[[Date]:[Date]],"&lt;="&amp;EOMONTH(J$8,0))</f>
        <v>0</v>
      </c>
      <c r="K129" s="126">
        <f>SUMIFS(DWbonus[[Sum]:[Sum]],DWbonus[[Dato]:[Dato]], "&gt;="&amp;K$8,DWbonus[[Dato]:[Dato]],"&lt;="&amp;EOMONTH(K$8,0),DWbonus[[Bookie]:[Bookie]],$A129)+SUMIFS(LayTable[[Faktisk res]:[Faktisk res]],LayTable[[Dato]:[Dato]],"&gt;="&amp;K$8,LayTable[[Dato]:[Dato]],"&lt;="&amp;EOMONTH(K$8,0),LayTable[[Bookmaker]:[Bookmaker]],$A129)+SUMIFS(BetTable[[AR_per_bookie]:[AR_per_bookie]],BetTable[[B1]:[B1]],$A129,BetTable[[Date]:[Date]], "&gt;="&amp;K$8,BetTable[[Date]:[Date]],"&lt;="&amp;EOMONTH(K$8,0))+SUMIFS(BetTable[[AR_per_bookie]:[AR_per_bookie]],BetTable[[B2]:[B2]],$A129,BetTable[[Date]:[Date]], "&gt;="&amp;K$8,BetTable[[Date]:[Date]],"&lt;="&amp;EOMONTH(K$8,0))+SUMIFS(BetTable[[AR_per_bookie]:[AR_per_bookie]],BetTable[[B3]:[B3]],$A129,BetTable[[Date]:[Date]], "&gt;="&amp;K$8,BetTable[[Date]:[Date]],"&lt;="&amp;EOMONTH(K$8,0))</f>
        <v>0</v>
      </c>
      <c r="L129" s="126">
        <f>SUMIFS(DWbonus[[Sum]:[Sum]],DWbonus[[Dato]:[Dato]], "&gt;="&amp;L$8,DWbonus[[Dato]:[Dato]],"&lt;="&amp;EOMONTH(L$8,0),DWbonus[[Bookie]:[Bookie]],$A129)+SUMIFS(LayTable[[Faktisk res]:[Faktisk res]],LayTable[[Dato]:[Dato]],"&gt;="&amp;L$8,LayTable[[Dato]:[Dato]],"&lt;="&amp;EOMONTH(L$8,0),LayTable[[Bookmaker]:[Bookmaker]],$A129)+SUMIFS(BetTable[[AR_per_bookie]:[AR_per_bookie]],BetTable[[B1]:[B1]],$A129,BetTable[[Date]:[Date]], "&gt;="&amp;L$8,BetTable[[Date]:[Date]],"&lt;="&amp;EOMONTH(L$8,0))+SUMIFS(BetTable[[AR_per_bookie]:[AR_per_bookie]],BetTable[[B2]:[B2]],$A129,BetTable[[Date]:[Date]], "&gt;="&amp;L$8,BetTable[[Date]:[Date]],"&lt;="&amp;EOMONTH(L$8,0))+SUMIFS(BetTable[[AR_per_bookie]:[AR_per_bookie]],BetTable[[B3]:[B3]],$A129,BetTable[[Date]:[Date]], "&gt;="&amp;L$8,BetTable[[Date]:[Date]],"&lt;="&amp;EOMONTH(L$8,0))</f>
        <v>0</v>
      </c>
      <c r="M129" s="126">
        <f>SUMIFS(DWbonus[[Sum]:[Sum]],DWbonus[[Dato]:[Dato]], "&gt;="&amp;M$8,DWbonus[[Dato]:[Dato]],"&lt;="&amp;EOMONTH(M$8,0),DWbonus[[Bookie]:[Bookie]],$A129)+SUMIFS(LayTable[[Faktisk res]:[Faktisk res]],LayTable[[Dato]:[Dato]],"&gt;="&amp;M$8,LayTable[[Dato]:[Dato]],"&lt;="&amp;EOMONTH(M$8,0),LayTable[[Bookmaker]:[Bookmaker]],$A129)+SUMIFS(BetTable[[AR_per_bookie]:[AR_per_bookie]],BetTable[[B1]:[B1]],$A129,BetTable[[Date]:[Date]], "&gt;="&amp;M$8,BetTable[[Date]:[Date]],"&lt;="&amp;EOMONTH(M$8,0))+SUMIFS(BetTable[[AR_per_bookie]:[AR_per_bookie]],BetTable[[B2]:[B2]],$A129,BetTable[[Date]:[Date]], "&gt;="&amp;M$8,BetTable[[Date]:[Date]],"&lt;="&amp;EOMONTH(M$8,0))+SUMIFS(BetTable[[AR_per_bookie]:[AR_per_bookie]],BetTable[[B3]:[B3]],$A129,BetTable[[Date]:[Date]], "&gt;="&amp;M$8,BetTable[[Date]:[Date]],"&lt;="&amp;EOMONTH(M$8,0))</f>
        <v>0</v>
      </c>
      <c r="N129" s="126">
        <f>SUMIFS(DWbonus[[Sum]:[Sum]],DWbonus[[Dato]:[Dato]], "&gt;="&amp;N$8,DWbonus[[Dato]:[Dato]],"&lt;="&amp;EOMONTH(N$8,0),DWbonus[[Bookie]:[Bookie]],$A129)+SUMIFS(LayTable[[Faktisk res]:[Faktisk res]],LayTable[[Dato]:[Dato]],"&gt;="&amp;N$8,LayTable[[Dato]:[Dato]],"&lt;="&amp;EOMONTH(N$8,0),LayTable[[Bookmaker]:[Bookmaker]],$A129)+SUMIFS(BetTable[[AR_per_bookie]:[AR_per_bookie]],BetTable[[B1]:[B1]],$A129,BetTable[[Date]:[Date]], "&gt;="&amp;N$8,BetTable[[Date]:[Date]],"&lt;="&amp;EOMONTH(N$8,0))+SUMIFS(BetTable[[AR_per_bookie]:[AR_per_bookie]],BetTable[[B2]:[B2]],$A129,BetTable[[Date]:[Date]], "&gt;="&amp;N$8,BetTable[[Date]:[Date]],"&lt;="&amp;EOMONTH(N$8,0))+SUMIFS(BetTable[[AR_per_bookie]:[AR_per_bookie]],BetTable[[B3]:[B3]],$A129,BetTable[[Date]:[Date]], "&gt;="&amp;N$8,BetTable[[Date]:[Date]],"&lt;="&amp;EOMONTH(N$8,0))</f>
        <v>0</v>
      </c>
      <c r="O129" s="126">
        <f>SUMIFS(DWbonus[[Sum]:[Sum]],DWbonus[[Dato]:[Dato]], "&gt;="&amp;O$8,DWbonus[[Dato]:[Dato]],"&lt;="&amp;EOMONTH(O$8,0),DWbonus[[Bookie]:[Bookie]],$A129)+SUMIFS(LayTable[[Faktisk res]:[Faktisk res]],LayTable[[Dato]:[Dato]],"&gt;="&amp;O$8,LayTable[[Dato]:[Dato]],"&lt;="&amp;EOMONTH(O$8,0),LayTable[[Bookmaker]:[Bookmaker]],$A129)+SUMIFS(BetTable[[AR_per_bookie]:[AR_per_bookie]],BetTable[[B1]:[B1]],$A129,BetTable[[Date]:[Date]], "&gt;="&amp;O$8,BetTable[[Date]:[Date]],"&lt;="&amp;EOMONTH(O$8,0))+SUMIFS(BetTable[[AR_per_bookie]:[AR_per_bookie]],BetTable[[B2]:[B2]],$A129,BetTable[[Date]:[Date]], "&gt;="&amp;O$8,BetTable[[Date]:[Date]],"&lt;="&amp;EOMONTH(O$8,0))+SUMIFS(BetTable[[AR_per_bookie]:[AR_per_bookie]],BetTable[[B3]:[B3]],$A129,BetTable[[Date]:[Date]], "&gt;="&amp;O$8,BetTable[[Date]:[Date]],"&lt;="&amp;EOMONTH(O$8,0))</f>
        <v>0</v>
      </c>
      <c r="P129" s="126">
        <f>SUMIFS(DWbonus[[Sum]:[Sum]],DWbonus[[Dato]:[Dato]], "&gt;="&amp;P$8,DWbonus[[Dato]:[Dato]],"&lt;="&amp;EOMONTH(P$8,0),DWbonus[[Bookie]:[Bookie]],$A129)+SUMIFS(LayTable[[Faktisk res]:[Faktisk res]],LayTable[[Dato]:[Dato]],"&gt;="&amp;P$8,LayTable[[Dato]:[Dato]],"&lt;="&amp;EOMONTH(P$8,0),LayTable[[Bookmaker]:[Bookmaker]],$A129)+SUMIFS(BetTable[[AR_per_bookie]:[AR_per_bookie]],BetTable[[B1]:[B1]],$A129,BetTable[[Date]:[Date]], "&gt;="&amp;P$8,BetTable[[Date]:[Date]],"&lt;="&amp;EOMONTH(P$8,0))+SUMIFS(BetTable[[AR_per_bookie]:[AR_per_bookie]],BetTable[[B2]:[B2]],$A129,BetTable[[Date]:[Date]], "&gt;="&amp;P$8,BetTable[[Date]:[Date]],"&lt;="&amp;EOMONTH(P$8,0))+SUMIFS(BetTable[[AR_per_bookie]:[AR_per_bookie]],BetTable[[B3]:[B3]],$A129,BetTable[[Date]:[Date]], "&gt;="&amp;P$8,BetTable[[Date]:[Date]],"&lt;="&amp;EOMONTH(P$8,0))</f>
        <v>0</v>
      </c>
      <c r="Q129" s="126">
        <f>SUMIFS(DWbonus[[Sum]:[Sum]],DWbonus[[Dato]:[Dato]], "&gt;="&amp;Q$8,DWbonus[[Dato]:[Dato]],"&lt;="&amp;EOMONTH(Q$8,0),DWbonus[[Bookie]:[Bookie]],$A129)+SUMIFS(LayTable[[Faktisk res]:[Faktisk res]],LayTable[[Dato]:[Dato]],"&gt;="&amp;Q$8,LayTable[[Dato]:[Dato]],"&lt;="&amp;EOMONTH(Q$8,0),LayTable[[Bookmaker]:[Bookmaker]],$A129)+SUMIFS(BetTable[[AR_per_bookie]:[AR_per_bookie]],BetTable[[B1]:[B1]],$A129,BetTable[[Date]:[Date]], "&gt;="&amp;Q$8,BetTable[[Date]:[Date]],"&lt;="&amp;EOMONTH(Q$8,0))+SUMIFS(BetTable[[AR_per_bookie]:[AR_per_bookie]],BetTable[[B2]:[B2]],$A129,BetTable[[Date]:[Date]], "&gt;="&amp;Q$8,BetTable[[Date]:[Date]],"&lt;="&amp;EOMONTH(Q$8,0))+SUMIFS(BetTable[[AR_per_bookie]:[AR_per_bookie]],BetTable[[B3]:[B3]],$A129,BetTable[[Date]:[Date]], "&gt;="&amp;Q$8,BetTable[[Date]:[Date]],"&lt;="&amp;EOMONTH(Q$8,0))</f>
        <v>0</v>
      </c>
      <c r="R129" s="126">
        <f>SUMIFS(DWbonus[[Sum]:[Sum]],DWbonus[[Dato]:[Dato]], "&gt;="&amp;R$8,DWbonus[[Dato]:[Dato]],"&lt;="&amp;EOMONTH(R$8,0),DWbonus[[Bookie]:[Bookie]],$A129)+SUMIFS(LayTable[[Faktisk res]:[Faktisk res]],LayTable[[Dato]:[Dato]],"&gt;="&amp;R$8,LayTable[[Dato]:[Dato]],"&lt;="&amp;EOMONTH(R$8,0),LayTable[[Bookmaker]:[Bookmaker]],$A129)+SUMIFS(BetTable[[AR_per_bookie]:[AR_per_bookie]],BetTable[[B1]:[B1]],$A129,BetTable[[Date]:[Date]], "&gt;="&amp;R$8,BetTable[[Date]:[Date]],"&lt;="&amp;EOMONTH(R$8,0))+SUMIFS(BetTable[[AR_per_bookie]:[AR_per_bookie]],BetTable[[B2]:[B2]],$A129,BetTable[[Date]:[Date]], "&gt;="&amp;R$8,BetTable[[Date]:[Date]],"&lt;="&amp;EOMONTH(R$8,0))+SUMIFS(BetTable[[AR_per_bookie]:[AR_per_bookie]],BetTable[[B3]:[B3]],$A129,BetTable[[Date]:[Date]], "&gt;="&amp;R$8,BetTable[[Date]:[Date]],"&lt;="&amp;EOMONTH(R$8,0))</f>
        <v>0</v>
      </c>
      <c r="S129" s="126">
        <f>SUMIFS(DWbonus[[Sum]:[Sum]],DWbonus[[Dato]:[Dato]], "&gt;="&amp;S$8,DWbonus[[Dato]:[Dato]],"&lt;="&amp;EOMONTH(S$8,0),DWbonus[[Bookie]:[Bookie]],$A129)+SUMIFS(LayTable[[Faktisk res]:[Faktisk res]],LayTable[[Dato]:[Dato]],"&gt;="&amp;S$8,LayTable[[Dato]:[Dato]],"&lt;="&amp;EOMONTH(S$8,0),LayTable[[Bookmaker]:[Bookmaker]],$A129)+SUMIFS(BetTable[[AR_per_bookie]:[AR_per_bookie]],BetTable[[B1]:[B1]],$A129,BetTable[[Date]:[Date]], "&gt;="&amp;S$8,BetTable[[Date]:[Date]],"&lt;="&amp;EOMONTH(S$8,0))+SUMIFS(BetTable[[AR_per_bookie]:[AR_per_bookie]],BetTable[[B2]:[B2]],$A129,BetTable[[Date]:[Date]], "&gt;="&amp;S$8,BetTable[[Date]:[Date]],"&lt;="&amp;EOMONTH(S$8,0))+SUMIFS(BetTable[[AR_per_bookie]:[AR_per_bookie]],BetTable[[B3]:[B3]],$A129,BetTable[[Date]:[Date]], "&gt;="&amp;S$8,BetTable[[Date]:[Date]],"&lt;="&amp;EOMONTH(S$8,0))</f>
        <v>0</v>
      </c>
    </row>
    <row r="130" spans="1:19">
      <c r="A130" s="115">
        <f>BookieNavn!I124</f>
        <v>0</v>
      </c>
      <c r="B130" s="126">
        <f>SUMIF(Penger!D$1:D$50072,A130,Penger!F$1:F$50072)</f>
        <v>0</v>
      </c>
      <c r="C130" s="126">
        <f>SUMIF(Penger!T$1:T$50072,A130,Penger!U$1:U$50072)</f>
        <v>0</v>
      </c>
      <c r="D130" s="126">
        <f ca="1">SUMIF(Spill!C$1:C$499895,A130,Spill!T$1:T$49895)+C130</f>
        <v>0</v>
      </c>
      <c r="E130" s="126">
        <f>SUMIF(Spill!C$1:C$49895,A130,Spill!T$1:T$49895)</f>
        <v>0</v>
      </c>
      <c r="F130" s="121" t="e">
        <f t="shared" ca="1" si="2"/>
        <v>#DIV/0!</v>
      </c>
      <c r="H130" s="126">
        <f>SUMIFS(DWbonus[[Sum]:[Sum]],DWbonus[[Dato]:[Dato]], "&gt;="&amp;H$8,DWbonus[[Dato]:[Dato]],"&lt;="&amp;EOMONTH(H$8,0),DWbonus[[Bookie]:[Bookie]],$A130)+SUMIFS(LayTable[[Faktisk res]:[Faktisk res]],LayTable[[Dato]:[Dato]],"&gt;="&amp;H$8,LayTable[[Dato]:[Dato]],"&lt;="&amp;EOMONTH(H$8,0),LayTable[[Bookmaker]:[Bookmaker]],$A130)+SUMIFS(BetTable[[AR_per_bookie]:[AR_per_bookie]],BetTable[[B1]:[B1]],$A130,BetTable[[Date]:[Date]], "&gt;="&amp;H$8,BetTable[[Date]:[Date]],"&lt;="&amp;EOMONTH(H$8,0))+SUMIFS(BetTable[[AR_per_bookie]:[AR_per_bookie]],BetTable[[B2]:[B2]],$A130,BetTable[[Date]:[Date]], "&gt;="&amp;H$8,BetTable[[Date]:[Date]],"&lt;="&amp;EOMONTH(H$8,0))+SUMIFS(BetTable[[AR_per_bookie]:[AR_per_bookie]],BetTable[[B3]:[B3]],$A130,BetTable[[Date]:[Date]], "&gt;="&amp;H$8,BetTable[[Date]:[Date]],"&lt;="&amp;EOMONTH(H$8,0))</f>
        <v>0</v>
      </c>
      <c r="I130" s="126">
        <f>SUMIFS(DWbonus[[Sum]:[Sum]],DWbonus[[Dato]:[Dato]], "&gt;="&amp;I$8,DWbonus[[Dato]:[Dato]],"&lt;="&amp;EOMONTH(I$8,0),DWbonus[[Bookie]:[Bookie]],$A130)+SUMIFS(LayTable[[Faktisk res]:[Faktisk res]],LayTable[[Dato]:[Dato]],"&gt;="&amp;I$8,LayTable[[Dato]:[Dato]],"&lt;="&amp;EOMONTH(I$8,0),LayTable[[Bookmaker]:[Bookmaker]],$A130)+SUMIFS(BetTable[[AR_per_bookie]:[AR_per_bookie]],BetTable[[B1]:[B1]],$A130,BetTable[[Date]:[Date]], "&gt;="&amp;I$8,BetTable[[Date]:[Date]],"&lt;="&amp;EOMONTH(I$8,0))+SUMIFS(BetTable[[AR_per_bookie]:[AR_per_bookie]],BetTable[[B2]:[B2]],$A130,BetTable[[Date]:[Date]], "&gt;="&amp;I$8,BetTable[[Date]:[Date]],"&lt;="&amp;EOMONTH(I$8,0))+SUMIFS(BetTable[[AR_per_bookie]:[AR_per_bookie]],BetTable[[B3]:[B3]],$A130,BetTable[[Date]:[Date]], "&gt;="&amp;I$8,BetTable[[Date]:[Date]],"&lt;="&amp;EOMONTH(I$8,0))</f>
        <v>0</v>
      </c>
      <c r="J130" s="126">
        <f>SUMIFS(DWbonus[[Sum]:[Sum]],DWbonus[[Dato]:[Dato]], "&gt;="&amp;J$8,DWbonus[[Dato]:[Dato]],"&lt;="&amp;EOMONTH(J$8,0),DWbonus[[Bookie]:[Bookie]],$A130)+SUMIFS(LayTable[[Faktisk res]:[Faktisk res]],LayTable[[Dato]:[Dato]],"&gt;="&amp;J$8,LayTable[[Dato]:[Dato]],"&lt;="&amp;EOMONTH(J$8,0),LayTable[[Bookmaker]:[Bookmaker]],$A130)+SUMIFS(BetTable[[AR_per_bookie]:[AR_per_bookie]],BetTable[[B1]:[B1]],$A130,BetTable[[Date]:[Date]], "&gt;="&amp;J$8,BetTable[[Date]:[Date]],"&lt;="&amp;EOMONTH(J$8,0))+SUMIFS(BetTable[[AR_per_bookie]:[AR_per_bookie]],BetTable[[B2]:[B2]],$A130,BetTable[[Date]:[Date]], "&gt;="&amp;J$8,BetTable[[Date]:[Date]],"&lt;="&amp;EOMONTH(J$8,0))+SUMIFS(BetTable[[AR_per_bookie]:[AR_per_bookie]],BetTable[[B3]:[B3]],$A130,BetTable[[Date]:[Date]], "&gt;="&amp;J$8,BetTable[[Date]:[Date]],"&lt;="&amp;EOMONTH(J$8,0))</f>
        <v>0</v>
      </c>
      <c r="K130" s="126">
        <f>SUMIFS(DWbonus[[Sum]:[Sum]],DWbonus[[Dato]:[Dato]], "&gt;="&amp;K$8,DWbonus[[Dato]:[Dato]],"&lt;="&amp;EOMONTH(K$8,0),DWbonus[[Bookie]:[Bookie]],$A130)+SUMIFS(LayTable[[Faktisk res]:[Faktisk res]],LayTable[[Dato]:[Dato]],"&gt;="&amp;K$8,LayTable[[Dato]:[Dato]],"&lt;="&amp;EOMONTH(K$8,0),LayTable[[Bookmaker]:[Bookmaker]],$A130)+SUMIFS(BetTable[[AR_per_bookie]:[AR_per_bookie]],BetTable[[B1]:[B1]],$A130,BetTable[[Date]:[Date]], "&gt;="&amp;K$8,BetTable[[Date]:[Date]],"&lt;="&amp;EOMONTH(K$8,0))+SUMIFS(BetTable[[AR_per_bookie]:[AR_per_bookie]],BetTable[[B2]:[B2]],$A130,BetTable[[Date]:[Date]], "&gt;="&amp;K$8,BetTable[[Date]:[Date]],"&lt;="&amp;EOMONTH(K$8,0))+SUMIFS(BetTable[[AR_per_bookie]:[AR_per_bookie]],BetTable[[B3]:[B3]],$A130,BetTable[[Date]:[Date]], "&gt;="&amp;K$8,BetTable[[Date]:[Date]],"&lt;="&amp;EOMONTH(K$8,0))</f>
        <v>0</v>
      </c>
      <c r="L130" s="126">
        <f>SUMIFS(DWbonus[[Sum]:[Sum]],DWbonus[[Dato]:[Dato]], "&gt;="&amp;L$8,DWbonus[[Dato]:[Dato]],"&lt;="&amp;EOMONTH(L$8,0),DWbonus[[Bookie]:[Bookie]],$A130)+SUMIFS(LayTable[[Faktisk res]:[Faktisk res]],LayTable[[Dato]:[Dato]],"&gt;="&amp;L$8,LayTable[[Dato]:[Dato]],"&lt;="&amp;EOMONTH(L$8,0),LayTable[[Bookmaker]:[Bookmaker]],$A130)+SUMIFS(BetTable[[AR_per_bookie]:[AR_per_bookie]],BetTable[[B1]:[B1]],$A130,BetTable[[Date]:[Date]], "&gt;="&amp;L$8,BetTable[[Date]:[Date]],"&lt;="&amp;EOMONTH(L$8,0))+SUMIFS(BetTable[[AR_per_bookie]:[AR_per_bookie]],BetTable[[B2]:[B2]],$A130,BetTable[[Date]:[Date]], "&gt;="&amp;L$8,BetTable[[Date]:[Date]],"&lt;="&amp;EOMONTH(L$8,0))+SUMIFS(BetTable[[AR_per_bookie]:[AR_per_bookie]],BetTable[[B3]:[B3]],$A130,BetTable[[Date]:[Date]], "&gt;="&amp;L$8,BetTable[[Date]:[Date]],"&lt;="&amp;EOMONTH(L$8,0))</f>
        <v>0</v>
      </c>
      <c r="M130" s="126">
        <f>SUMIFS(DWbonus[[Sum]:[Sum]],DWbonus[[Dato]:[Dato]], "&gt;="&amp;M$8,DWbonus[[Dato]:[Dato]],"&lt;="&amp;EOMONTH(M$8,0),DWbonus[[Bookie]:[Bookie]],$A130)+SUMIFS(LayTable[[Faktisk res]:[Faktisk res]],LayTable[[Dato]:[Dato]],"&gt;="&amp;M$8,LayTable[[Dato]:[Dato]],"&lt;="&amp;EOMONTH(M$8,0),LayTable[[Bookmaker]:[Bookmaker]],$A130)+SUMIFS(BetTable[[AR_per_bookie]:[AR_per_bookie]],BetTable[[B1]:[B1]],$A130,BetTable[[Date]:[Date]], "&gt;="&amp;M$8,BetTable[[Date]:[Date]],"&lt;="&amp;EOMONTH(M$8,0))+SUMIFS(BetTable[[AR_per_bookie]:[AR_per_bookie]],BetTable[[B2]:[B2]],$A130,BetTable[[Date]:[Date]], "&gt;="&amp;M$8,BetTable[[Date]:[Date]],"&lt;="&amp;EOMONTH(M$8,0))+SUMIFS(BetTable[[AR_per_bookie]:[AR_per_bookie]],BetTable[[B3]:[B3]],$A130,BetTable[[Date]:[Date]], "&gt;="&amp;M$8,BetTable[[Date]:[Date]],"&lt;="&amp;EOMONTH(M$8,0))</f>
        <v>0</v>
      </c>
      <c r="N130" s="126">
        <f>SUMIFS(DWbonus[[Sum]:[Sum]],DWbonus[[Dato]:[Dato]], "&gt;="&amp;N$8,DWbonus[[Dato]:[Dato]],"&lt;="&amp;EOMONTH(N$8,0),DWbonus[[Bookie]:[Bookie]],$A130)+SUMIFS(LayTable[[Faktisk res]:[Faktisk res]],LayTable[[Dato]:[Dato]],"&gt;="&amp;N$8,LayTable[[Dato]:[Dato]],"&lt;="&amp;EOMONTH(N$8,0),LayTable[[Bookmaker]:[Bookmaker]],$A130)+SUMIFS(BetTable[[AR_per_bookie]:[AR_per_bookie]],BetTable[[B1]:[B1]],$A130,BetTable[[Date]:[Date]], "&gt;="&amp;N$8,BetTable[[Date]:[Date]],"&lt;="&amp;EOMONTH(N$8,0))+SUMIFS(BetTable[[AR_per_bookie]:[AR_per_bookie]],BetTable[[B2]:[B2]],$A130,BetTable[[Date]:[Date]], "&gt;="&amp;N$8,BetTable[[Date]:[Date]],"&lt;="&amp;EOMONTH(N$8,0))+SUMIFS(BetTable[[AR_per_bookie]:[AR_per_bookie]],BetTable[[B3]:[B3]],$A130,BetTable[[Date]:[Date]], "&gt;="&amp;N$8,BetTable[[Date]:[Date]],"&lt;="&amp;EOMONTH(N$8,0))</f>
        <v>0</v>
      </c>
      <c r="O130" s="126">
        <f>SUMIFS(DWbonus[[Sum]:[Sum]],DWbonus[[Dato]:[Dato]], "&gt;="&amp;O$8,DWbonus[[Dato]:[Dato]],"&lt;="&amp;EOMONTH(O$8,0),DWbonus[[Bookie]:[Bookie]],$A130)+SUMIFS(LayTable[[Faktisk res]:[Faktisk res]],LayTable[[Dato]:[Dato]],"&gt;="&amp;O$8,LayTable[[Dato]:[Dato]],"&lt;="&amp;EOMONTH(O$8,0),LayTable[[Bookmaker]:[Bookmaker]],$A130)+SUMIFS(BetTable[[AR_per_bookie]:[AR_per_bookie]],BetTable[[B1]:[B1]],$A130,BetTable[[Date]:[Date]], "&gt;="&amp;O$8,BetTable[[Date]:[Date]],"&lt;="&amp;EOMONTH(O$8,0))+SUMIFS(BetTable[[AR_per_bookie]:[AR_per_bookie]],BetTable[[B2]:[B2]],$A130,BetTable[[Date]:[Date]], "&gt;="&amp;O$8,BetTable[[Date]:[Date]],"&lt;="&amp;EOMONTH(O$8,0))+SUMIFS(BetTable[[AR_per_bookie]:[AR_per_bookie]],BetTable[[B3]:[B3]],$A130,BetTable[[Date]:[Date]], "&gt;="&amp;O$8,BetTable[[Date]:[Date]],"&lt;="&amp;EOMONTH(O$8,0))</f>
        <v>0</v>
      </c>
      <c r="P130" s="126">
        <f>SUMIFS(DWbonus[[Sum]:[Sum]],DWbonus[[Dato]:[Dato]], "&gt;="&amp;P$8,DWbonus[[Dato]:[Dato]],"&lt;="&amp;EOMONTH(P$8,0),DWbonus[[Bookie]:[Bookie]],$A130)+SUMIFS(LayTable[[Faktisk res]:[Faktisk res]],LayTable[[Dato]:[Dato]],"&gt;="&amp;P$8,LayTable[[Dato]:[Dato]],"&lt;="&amp;EOMONTH(P$8,0),LayTable[[Bookmaker]:[Bookmaker]],$A130)+SUMIFS(BetTable[[AR_per_bookie]:[AR_per_bookie]],BetTable[[B1]:[B1]],$A130,BetTable[[Date]:[Date]], "&gt;="&amp;P$8,BetTable[[Date]:[Date]],"&lt;="&amp;EOMONTH(P$8,0))+SUMIFS(BetTable[[AR_per_bookie]:[AR_per_bookie]],BetTable[[B2]:[B2]],$A130,BetTable[[Date]:[Date]], "&gt;="&amp;P$8,BetTable[[Date]:[Date]],"&lt;="&amp;EOMONTH(P$8,0))+SUMIFS(BetTable[[AR_per_bookie]:[AR_per_bookie]],BetTable[[B3]:[B3]],$A130,BetTable[[Date]:[Date]], "&gt;="&amp;P$8,BetTable[[Date]:[Date]],"&lt;="&amp;EOMONTH(P$8,0))</f>
        <v>0</v>
      </c>
      <c r="Q130" s="126">
        <f>SUMIFS(DWbonus[[Sum]:[Sum]],DWbonus[[Dato]:[Dato]], "&gt;="&amp;Q$8,DWbonus[[Dato]:[Dato]],"&lt;="&amp;EOMONTH(Q$8,0),DWbonus[[Bookie]:[Bookie]],$A130)+SUMIFS(LayTable[[Faktisk res]:[Faktisk res]],LayTable[[Dato]:[Dato]],"&gt;="&amp;Q$8,LayTable[[Dato]:[Dato]],"&lt;="&amp;EOMONTH(Q$8,0),LayTable[[Bookmaker]:[Bookmaker]],$A130)+SUMIFS(BetTable[[AR_per_bookie]:[AR_per_bookie]],BetTable[[B1]:[B1]],$A130,BetTable[[Date]:[Date]], "&gt;="&amp;Q$8,BetTable[[Date]:[Date]],"&lt;="&amp;EOMONTH(Q$8,0))+SUMIFS(BetTable[[AR_per_bookie]:[AR_per_bookie]],BetTable[[B2]:[B2]],$A130,BetTable[[Date]:[Date]], "&gt;="&amp;Q$8,BetTable[[Date]:[Date]],"&lt;="&amp;EOMONTH(Q$8,0))+SUMIFS(BetTable[[AR_per_bookie]:[AR_per_bookie]],BetTable[[B3]:[B3]],$A130,BetTable[[Date]:[Date]], "&gt;="&amp;Q$8,BetTable[[Date]:[Date]],"&lt;="&amp;EOMONTH(Q$8,0))</f>
        <v>0</v>
      </c>
      <c r="R130" s="126">
        <f>SUMIFS(DWbonus[[Sum]:[Sum]],DWbonus[[Dato]:[Dato]], "&gt;="&amp;R$8,DWbonus[[Dato]:[Dato]],"&lt;="&amp;EOMONTH(R$8,0),DWbonus[[Bookie]:[Bookie]],$A130)+SUMIFS(LayTable[[Faktisk res]:[Faktisk res]],LayTable[[Dato]:[Dato]],"&gt;="&amp;R$8,LayTable[[Dato]:[Dato]],"&lt;="&amp;EOMONTH(R$8,0),LayTable[[Bookmaker]:[Bookmaker]],$A130)+SUMIFS(BetTable[[AR_per_bookie]:[AR_per_bookie]],BetTable[[B1]:[B1]],$A130,BetTable[[Date]:[Date]], "&gt;="&amp;R$8,BetTable[[Date]:[Date]],"&lt;="&amp;EOMONTH(R$8,0))+SUMIFS(BetTable[[AR_per_bookie]:[AR_per_bookie]],BetTable[[B2]:[B2]],$A130,BetTable[[Date]:[Date]], "&gt;="&amp;R$8,BetTable[[Date]:[Date]],"&lt;="&amp;EOMONTH(R$8,0))+SUMIFS(BetTable[[AR_per_bookie]:[AR_per_bookie]],BetTable[[B3]:[B3]],$A130,BetTable[[Date]:[Date]], "&gt;="&amp;R$8,BetTable[[Date]:[Date]],"&lt;="&amp;EOMONTH(R$8,0))</f>
        <v>0</v>
      </c>
      <c r="S130" s="126">
        <f>SUMIFS(DWbonus[[Sum]:[Sum]],DWbonus[[Dato]:[Dato]], "&gt;="&amp;S$8,DWbonus[[Dato]:[Dato]],"&lt;="&amp;EOMONTH(S$8,0),DWbonus[[Bookie]:[Bookie]],$A130)+SUMIFS(LayTable[[Faktisk res]:[Faktisk res]],LayTable[[Dato]:[Dato]],"&gt;="&amp;S$8,LayTable[[Dato]:[Dato]],"&lt;="&amp;EOMONTH(S$8,0),LayTable[[Bookmaker]:[Bookmaker]],$A130)+SUMIFS(BetTable[[AR_per_bookie]:[AR_per_bookie]],BetTable[[B1]:[B1]],$A130,BetTable[[Date]:[Date]], "&gt;="&amp;S$8,BetTable[[Date]:[Date]],"&lt;="&amp;EOMONTH(S$8,0))+SUMIFS(BetTable[[AR_per_bookie]:[AR_per_bookie]],BetTable[[B2]:[B2]],$A130,BetTable[[Date]:[Date]], "&gt;="&amp;S$8,BetTable[[Date]:[Date]],"&lt;="&amp;EOMONTH(S$8,0))+SUMIFS(BetTable[[AR_per_bookie]:[AR_per_bookie]],BetTable[[B3]:[B3]],$A130,BetTable[[Date]:[Date]], "&gt;="&amp;S$8,BetTable[[Date]:[Date]],"&lt;="&amp;EOMONTH(S$8,0))</f>
        <v>0</v>
      </c>
    </row>
    <row r="131" spans="1:19">
      <c r="A131" s="115">
        <f>BookieNavn!I125</f>
        <v>0</v>
      </c>
      <c r="B131" s="126">
        <f>SUMIF(Penger!D$1:D$50072,A131,Penger!F$1:F$50072)</f>
        <v>0</v>
      </c>
      <c r="C131" s="126">
        <f>SUMIF(Penger!T$1:T$50072,A131,Penger!U$1:U$50072)</f>
        <v>0</v>
      </c>
      <c r="D131" s="126">
        <f ca="1">SUMIF(Spill!C$1:C$499895,A131,Spill!T$1:T$49895)+C131</f>
        <v>0</v>
      </c>
      <c r="E131" s="126">
        <f>SUMIF(Spill!C$1:C$49895,A131,Spill!T$1:T$49895)</f>
        <v>0</v>
      </c>
      <c r="F131" s="121" t="e">
        <f t="shared" ca="1" si="2"/>
        <v>#DIV/0!</v>
      </c>
      <c r="H131" s="126">
        <f>SUMIFS(DWbonus[[Sum]:[Sum]],DWbonus[[Dato]:[Dato]], "&gt;="&amp;H$8,DWbonus[[Dato]:[Dato]],"&lt;="&amp;EOMONTH(H$8,0),DWbonus[[Bookie]:[Bookie]],$A131)+SUMIFS(LayTable[[Faktisk res]:[Faktisk res]],LayTable[[Dato]:[Dato]],"&gt;="&amp;H$8,LayTable[[Dato]:[Dato]],"&lt;="&amp;EOMONTH(H$8,0),LayTable[[Bookmaker]:[Bookmaker]],$A131)+SUMIFS(BetTable[[AR_per_bookie]:[AR_per_bookie]],BetTable[[B1]:[B1]],$A131,BetTable[[Date]:[Date]], "&gt;="&amp;H$8,BetTable[[Date]:[Date]],"&lt;="&amp;EOMONTH(H$8,0))+SUMIFS(BetTable[[AR_per_bookie]:[AR_per_bookie]],BetTable[[B2]:[B2]],$A131,BetTable[[Date]:[Date]], "&gt;="&amp;H$8,BetTable[[Date]:[Date]],"&lt;="&amp;EOMONTH(H$8,0))+SUMIFS(BetTable[[AR_per_bookie]:[AR_per_bookie]],BetTable[[B3]:[B3]],$A131,BetTable[[Date]:[Date]], "&gt;="&amp;H$8,BetTable[[Date]:[Date]],"&lt;="&amp;EOMONTH(H$8,0))</f>
        <v>0</v>
      </c>
      <c r="I131" s="126">
        <f>SUMIFS(DWbonus[[Sum]:[Sum]],DWbonus[[Dato]:[Dato]], "&gt;="&amp;I$8,DWbonus[[Dato]:[Dato]],"&lt;="&amp;EOMONTH(I$8,0),DWbonus[[Bookie]:[Bookie]],$A131)+SUMIFS(LayTable[[Faktisk res]:[Faktisk res]],LayTable[[Dato]:[Dato]],"&gt;="&amp;I$8,LayTable[[Dato]:[Dato]],"&lt;="&amp;EOMONTH(I$8,0),LayTable[[Bookmaker]:[Bookmaker]],$A131)+SUMIFS(BetTable[[AR_per_bookie]:[AR_per_bookie]],BetTable[[B1]:[B1]],$A131,BetTable[[Date]:[Date]], "&gt;="&amp;I$8,BetTable[[Date]:[Date]],"&lt;="&amp;EOMONTH(I$8,0))+SUMIFS(BetTable[[AR_per_bookie]:[AR_per_bookie]],BetTable[[B2]:[B2]],$A131,BetTable[[Date]:[Date]], "&gt;="&amp;I$8,BetTable[[Date]:[Date]],"&lt;="&amp;EOMONTH(I$8,0))+SUMIFS(BetTable[[AR_per_bookie]:[AR_per_bookie]],BetTable[[B3]:[B3]],$A131,BetTable[[Date]:[Date]], "&gt;="&amp;I$8,BetTable[[Date]:[Date]],"&lt;="&amp;EOMONTH(I$8,0))</f>
        <v>0</v>
      </c>
      <c r="J131" s="126">
        <f>SUMIFS(DWbonus[[Sum]:[Sum]],DWbonus[[Dato]:[Dato]], "&gt;="&amp;J$8,DWbonus[[Dato]:[Dato]],"&lt;="&amp;EOMONTH(J$8,0),DWbonus[[Bookie]:[Bookie]],$A131)+SUMIFS(LayTable[[Faktisk res]:[Faktisk res]],LayTable[[Dato]:[Dato]],"&gt;="&amp;J$8,LayTable[[Dato]:[Dato]],"&lt;="&amp;EOMONTH(J$8,0),LayTable[[Bookmaker]:[Bookmaker]],$A131)+SUMIFS(BetTable[[AR_per_bookie]:[AR_per_bookie]],BetTable[[B1]:[B1]],$A131,BetTable[[Date]:[Date]], "&gt;="&amp;J$8,BetTable[[Date]:[Date]],"&lt;="&amp;EOMONTH(J$8,0))+SUMIFS(BetTable[[AR_per_bookie]:[AR_per_bookie]],BetTable[[B2]:[B2]],$A131,BetTable[[Date]:[Date]], "&gt;="&amp;J$8,BetTable[[Date]:[Date]],"&lt;="&amp;EOMONTH(J$8,0))+SUMIFS(BetTable[[AR_per_bookie]:[AR_per_bookie]],BetTable[[B3]:[B3]],$A131,BetTable[[Date]:[Date]], "&gt;="&amp;J$8,BetTable[[Date]:[Date]],"&lt;="&amp;EOMONTH(J$8,0))</f>
        <v>0</v>
      </c>
      <c r="K131" s="126">
        <f>SUMIFS(DWbonus[[Sum]:[Sum]],DWbonus[[Dato]:[Dato]], "&gt;="&amp;K$8,DWbonus[[Dato]:[Dato]],"&lt;="&amp;EOMONTH(K$8,0),DWbonus[[Bookie]:[Bookie]],$A131)+SUMIFS(LayTable[[Faktisk res]:[Faktisk res]],LayTable[[Dato]:[Dato]],"&gt;="&amp;K$8,LayTable[[Dato]:[Dato]],"&lt;="&amp;EOMONTH(K$8,0),LayTable[[Bookmaker]:[Bookmaker]],$A131)+SUMIFS(BetTable[[AR_per_bookie]:[AR_per_bookie]],BetTable[[B1]:[B1]],$A131,BetTable[[Date]:[Date]], "&gt;="&amp;K$8,BetTable[[Date]:[Date]],"&lt;="&amp;EOMONTH(K$8,0))+SUMIFS(BetTable[[AR_per_bookie]:[AR_per_bookie]],BetTable[[B2]:[B2]],$A131,BetTable[[Date]:[Date]], "&gt;="&amp;K$8,BetTable[[Date]:[Date]],"&lt;="&amp;EOMONTH(K$8,0))+SUMIFS(BetTable[[AR_per_bookie]:[AR_per_bookie]],BetTable[[B3]:[B3]],$A131,BetTable[[Date]:[Date]], "&gt;="&amp;K$8,BetTable[[Date]:[Date]],"&lt;="&amp;EOMONTH(K$8,0))</f>
        <v>0</v>
      </c>
      <c r="L131" s="126">
        <f>SUMIFS(DWbonus[[Sum]:[Sum]],DWbonus[[Dato]:[Dato]], "&gt;="&amp;L$8,DWbonus[[Dato]:[Dato]],"&lt;="&amp;EOMONTH(L$8,0),DWbonus[[Bookie]:[Bookie]],$A131)+SUMIFS(LayTable[[Faktisk res]:[Faktisk res]],LayTable[[Dato]:[Dato]],"&gt;="&amp;L$8,LayTable[[Dato]:[Dato]],"&lt;="&amp;EOMONTH(L$8,0),LayTable[[Bookmaker]:[Bookmaker]],$A131)+SUMIFS(BetTable[[AR_per_bookie]:[AR_per_bookie]],BetTable[[B1]:[B1]],$A131,BetTable[[Date]:[Date]], "&gt;="&amp;L$8,BetTable[[Date]:[Date]],"&lt;="&amp;EOMONTH(L$8,0))+SUMIFS(BetTable[[AR_per_bookie]:[AR_per_bookie]],BetTable[[B2]:[B2]],$A131,BetTable[[Date]:[Date]], "&gt;="&amp;L$8,BetTable[[Date]:[Date]],"&lt;="&amp;EOMONTH(L$8,0))+SUMIFS(BetTable[[AR_per_bookie]:[AR_per_bookie]],BetTable[[B3]:[B3]],$A131,BetTable[[Date]:[Date]], "&gt;="&amp;L$8,BetTable[[Date]:[Date]],"&lt;="&amp;EOMONTH(L$8,0))</f>
        <v>0</v>
      </c>
      <c r="M131" s="126">
        <f>SUMIFS(DWbonus[[Sum]:[Sum]],DWbonus[[Dato]:[Dato]], "&gt;="&amp;M$8,DWbonus[[Dato]:[Dato]],"&lt;="&amp;EOMONTH(M$8,0),DWbonus[[Bookie]:[Bookie]],$A131)+SUMIFS(LayTable[[Faktisk res]:[Faktisk res]],LayTable[[Dato]:[Dato]],"&gt;="&amp;M$8,LayTable[[Dato]:[Dato]],"&lt;="&amp;EOMONTH(M$8,0),LayTable[[Bookmaker]:[Bookmaker]],$A131)+SUMIFS(BetTable[[AR_per_bookie]:[AR_per_bookie]],BetTable[[B1]:[B1]],$A131,BetTable[[Date]:[Date]], "&gt;="&amp;M$8,BetTable[[Date]:[Date]],"&lt;="&amp;EOMONTH(M$8,0))+SUMIFS(BetTable[[AR_per_bookie]:[AR_per_bookie]],BetTable[[B2]:[B2]],$A131,BetTable[[Date]:[Date]], "&gt;="&amp;M$8,BetTable[[Date]:[Date]],"&lt;="&amp;EOMONTH(M$8,0))+SUMIFS(BetTable[[AR_per_bookie]:[AR_per_bookie]],BetTable[[B3]:[B3]],$A131,BetTable[[Date]:[Date]], "&gt;="&amp;M$8,BetTable[[Date]:[Date]],"&lt;="&amp;EOMONTH(M$8,0))</f>
        <v>0</v>
      </c>
      <c r="N131" s="126">
        <f>SUMIFS(DWbonus[[Sum]:[Sum]],DWbonus[[Dato]:[Dato]], "&gt;="&amp;N$8,DWbonus[[Dato]:[Dato]],"&lt;="&amp;EOMONTH(N$8,0),DWbonus[[Bookie]:[Bookie]],$A131)+SUMIFS(LayTable[[Faktisk res]:[Faktisk res]],LayTable[[Dato]:[Dato]],"&gt;="&amp;N$8,LayTable[[Dato]:[Dato]],"&lt;="&amp;EOMONTH(N$8,0),LayTable[[Bookmaker]:[Bookmaker]],$A131)+SUMIFS(BetTable[[AR_per_bookie]:[AR_per_bookie]],BetTable[[B1]:[B1]],$A131,BetTable[[Date]:[Date]], "&gt;="&amp;N$8,BetTable[[Date]:[Date]],"&lt;="&amp;EOMONTH(N$8,0))+SUMIFS(BetTable[[AR_per_bookie]:[AR_per_bookie]],BetTable[[B2]:[B2]],$A131,BetTable[[Date]:[Date]], "&gt;="&amp;N$8,BetTable[[Date]:[Date]],"&lt;="&amp;EOMONTH(N$8,0))+SUMIFS(BetTable[[AR_per_bookie]:[AR_per_bookie]],BetTable[[B3]:[B3]],$A131,BetTable[[Date]:[Date]], "&gt;="&amp;N$8,BetTable[[Date]:[Date]],"&lt;="&amp;EOMONTH(N$8,0))</f>
        <v>0</v>
      </c>
      <c r="O131" s="126">
        <f>SUMIFS(DWbonus[[Sum]:[Sum]],DWbonus[[Dato]:[Dato]], "&gt;="&amp;O$8,DWbonus[[Dato]:[Dato]],"&lt;="&amp;EOMONTH(O$8,0),DWbonus[[Bookie]:[Bookie]],$A131)+SUMIFS(LayTable[[Faktisk res]:[Faktisk res]],LayTable[[Dato]:[Dato]],"&gt;="&amp;O$8,LayTable[[Dato]:[Dato]],"&lt;="&amp;EOMONTH(O$8,0),LayTable[[Bookmaker]:[Bookmaker]],$A131)+SUMIFS(BetTable[[AR_per_bookie]:[AR_per_bookie]],BetTable[[B1]:[B1]],$A131,BetTable[[Date]:[Date]], "&gt;="&amp;O$8,BetTable[[Date]:[Date]],"&lt;="&amp;EOMONTH(O$8,0))+SUMIFS(BetTable[[AR_per_bookie]:[AR_per_bookie]],BetTable[[B2]:[B2]],$A131,BetTable[[Date]:[Date]], "&gt;="&amp;O$8,BetTable[[Date]:[Date]],"&lt;="&amp;EOMONTH(O$8,0))+SUMIFS(BetTable[[AR_per_bookie]:[AR_per_bookie]],BetTable[[B3]:[B3]],$A131,BetTable[[Date]:[Date]], "&gt;="&amp;O$8,BetTable[[Date]:[Date]],"&lt;="&amp;EOMONTH(O$8,0))</f>
        <v>0</v>
      </c>
      <c r="P131" s="126">
        <f>SUMIFS(DWbonus[[Sum]:[Sum]],DWbonus[[Dato]:[Dato]], "&gt;="&amp;P$8,DWbonus[[Dato]:[Dato]],"&lt;="&amp;EOMONTH(P$8,0),DWbonus[[Bookie]:[Bookie]],$A131)+SUMIFS(LayTable[[Faktisk res]:[Faktisk res]],LayTable[[Dato]:[Dato]],"&gt;="&amp;P$8,LayTable[[Dato]:[Dato]],"&lt;="&amp;EOMONTH(P$8,0),LayTable[[Bookmaker]:[Bookmaker]],$A131)+SUMIFS(BetTable[[AR_per_bookie]:[AR_per_bookie]],BetTable[[B1]:[B1]],$A131,BetTable[[Date]:[Date]], "&gt;="&amp;P$8,BetTable[[Date]:[Date]],"&lt;="&amp;EOMONTH(P$8,0))+SUMIFS(BetTable[[AR_per_bookie]:[AR_per_bookie]],BetTable[[B2]:[B2]],$A131,BetTable[[Date]:[Date]], "&gt;="&amp;P$8,BetTable[[Date]:[Date]],"&lt;="&amp;EOMONTH(P$8,0))+SUMIFS(BetTable[[AR_per_bookie]:[AR_per_bookie]],BetTable[[B3]:[B3]],$A131,BetTable[[Date]:[Date]], "&gt;="&amp;P$8,BetTable[[Date]:[Date]],"&lt;="&amp;EOMONTH(P$8,0))</f>
        <v>0</v>
      </c>
      <c r="Q131" s="126">
        <f>SUMIFS(DWbonus[[Sum]:[Sum]],DWbonus[[Dato]:[Dato]], "&gt;="&amp;Q$8,DWbonus[[Dato]:[Dato]],"&lt;="&amp;EOMONTH(Q$8,0),DWbonus[[Bookie]:[Bookie]],$A131)+SUMIFS(LayTable[[Faktisk res]:[Faktisk res]],LayTable[[Dato]:[Dato]],"&gt;="&amp;Q$8,LayTable[[Dato]:[Dato]],"&lt;="&amp;EOMONTH(Q$8,0),LayTable[[Bookmaker]:[Bookmaker]],$A131)+SUMIFS(BetTable[[AR_per_bookie]:[AR_per_bookie]],BetTable[[B1]:[B1]],$A131,BetTable[[Date]:[Date]], "&gt;="&amp;Q$8,BetTable[[Date]:[Date]],"&lt;="&amp;EOMONTH(Q$8,0))+SUMIFS(BetTable[[AR_per_bookie]:[AR_per_bookie]],BetTable[[B2]:[B2]],$A131,BetTable[[Date]:[Date]], "&gt;="&amp;Q$8,BetTable[[Date]:[Date]],"&lt;="&amp;EOMONTH(Q$8,0))+SUMIFS(BetTable[[AR_per_bookie]:[AR_per_bookie]],BetTable[[B3]:[B3]],$A131,BetTable[[Date]:[Date]], "&gt;="&amp;Q$8,BetTable[[Date]:[Date]],"&lt;="&amp;EOMONTH(Q$8,0))</f>
        <v>0</v>
      </c>
      <c r="R131" s="126">
        <f>SUMIFS(DWbonus[[Sum]:[Sum]],DWbonus[[Dato]:[Dato]], "&gt;="&amp;R$8,DWbonus[[Dato]:[Dato]],"&lt;="&amp;EOMONTH(R$8,0),DWbonus[[Bookie]:[Bookie]],$A131)+SUMIFS(LayTable[[Faktisk res]:[Faktisk res]],LayTable[[Dato]:[Dato]],"&gt;="&amp;R$8,LayTable[[Dato]:[Dato]],"&lt;="&amp;EOMONTH(R$8,0),LayTable[[Bookmaker]:[Bookmaker]],$A131)+SUMIFS(BetTable[[AR_per_bookie]:[AR_per_bookie]],BetTable[[B1]:[B1]],$A131,BetTable[[Date]:[Date]], "&gt;="&amp;R$8,BetTable[[Date]:[Date]],"&lt;="&amp;EOMONTH(R$8,0))+SUMIFS(BetTable[[AR_per_bookie]:[AR_per_bookie]],BetTable[[B2]:[B2]],$A131,BetTable[[Date]:[Date]], "&gt;="&amp;R$8,BetTable[[Date]:[Date]],"&lt;="&amp;EOMONTH(R$8,0))+SUMIFS(BetTable[[AR_per_bookie]:[AR_per_bookie]],BetTable[[B3]:[B3]],$A131,BetTable[[Date]:[Date]], "&gt;="&amp;R$8,BetTable[[Date]:[Date]],"&lt;="&amp;EOMONTH(R$8,0))</f>
        <v>0</v>
      </c>
      <c r="S131" s="126">
        <f>SUMIFS(DWbonus[[Sum]:[Sum]],DWbonus[[Dato]:[Dato]], "&gt;="&amp;S$8,DWbonus[[Dato]:[Dato]],"&lt;="&amp;EOMONTH(S$8,0),DWbonus[[Bookie]:[Bookie]],$A131)+SUMIFS(LayTable[[Faktisk res]:[Faktisk res]],LayTable[[Dato]:[Dato]],"&gt;="&amp;S$8,LayTable[[Dato]:[Dato]],"&lt;="&amp;EOMONTH(S$8,0),LayTable[[Bookmaker]:[Bookmaker]],$A131)+SUMIFS(BetTable[[AR_per_bookie]:[AR_per_bookie]],BetTable[[B1]:[B1]],$A131,BetTable[[Date]:[Date]], "&gt;="&amp;S$8,BetTable[[Date]:[Date]],"&lt;="&amp;EOMONTH(S$8,0))+SUMIFS(BetTable[[AR_per_bookie]:[AR_per_bookie]],BetTable[[B2]:[B2]],$A131,BetTable[[Date]:[Date]], "&gt;="&amp;S$8,BetTable[[Date]:[Date]],"&lt;="&amp;EOMONTH(S$8,0))+SUMIFS(BetTable[[AR_per_bookie]:[AR_per_bookie]],BetTable[[B3]:[B3]],$A131,BetTable[[Date]:[Date]], "&gt;="&amp;S$8,BetTable[[Date]:[Date]],"&lt;="&amp;EOMONTH(S$8,0))</f>
        <v>0</v>
      </c>
    </row>
    <row r="132" spans="1:19">
      <c r="A132" s="115">
        <f>BookieNavn!I126</f>
        <v>0</v>
      </c>
      <c r="B132" s="126">
        <f>SUMIF(Penger!D$1:D$50072,A132,Penger!F$1:F$50072)</f>
        <v>0</v>
      </c>
      <c r="C132" s="126">
        <f>SUMIF(Penger!T$1:T$50072,A132,Penger!U$1:U$50072)</f>
        <v>0</v>
      </c>
      <c r="D132" s="126">
        <f ca="1">SUMIF(Spill!C$1:C$499895,A132,Spill!T$1:T$49895)+C132</f>
        <v>0</v>
      </c>
      <c r="E132" s="126">
        <f>SUMIF(Spill!C$1:C$49895,A132,Spill!T$1:T$49895)</f>
        <v>0</v>
      </c>
      <c r="F132" s="121" t="e">
        <f t="shared" ca="1" si="2"/>
        <v>#DIV/0!</v>
      </c>
      <c r="H132" s="126">
        <f>SUMIFS(DWbonus[[Sum]:[Sum]],DWbonus[[Dato]:[Dato]], "&gt;="&amp;H$8,DWbonus[[Dato]:[Dato]],"&lt;="&amp;EOMONTH(H$8,0),DWbonus[[Bookie]:[Bookie]],$A132)+SUMIFS(LayTable[[Faktisk res]:[Faktisk res]],LayTable[[Dato]:[Dato]],"&gt;="&amp;H$8,LayTable[[Dato]:[Dato]],"&lt;="&amp;EOMONTH(H$8,0),LayTable[[Bookmaker]:[Bookmaker]],$A132)+SUMIFS(BetTable[[AR_per_bookie]:[AR_per_bookie]],BetTable[[B1]:[B1]],$A132,BetTable[[Date]:[Date]], "&gt;="&amp;H$8,BetTable[[Date]:[Date]],"&lt;="&amp;EOMONTH(H$8,0))+SUMIFS(BetTable[[AR_per_bookie]:[AR_per_bookie]],BetTable[[B2]:[B2]],$A132,BetTable[[Date]:[Date]], "&gt;="&amp;H$8,BetTable[[Date]:[Date]],"&lt;="&amp;EOMONTH(H$8,0))+SUMIFS(BetTable[[AR_per_bookie]:[AR_per_bookie]],BetTable[[B3]:[B3]],$A132,BetTable[[Date]:[Date]], "&gt;="&amp;H$8,BetTable[[Date]:[Date]],"&lt;="&amp;EOMONTH(H$8,0))</f>
        <v>0</v>
      </c>
      <c r="I132" s="126">
        <f>SUMIFS(DWbonus[[Sum]:[Sum]],DWbonus[[Dato]:[Dato]], "&gt;="&amp;I$8,DWbonus[[Dato]:[Dato]],"&lt;="&amp;EOMONTH(I$8,0),DWbonus[[Bookie]:[Bookie]],$A132)+SUMIFS(LayTable[[Faktisk res]:[Faktisk res]],LayTable[[Dato]:[Dato]],"&gt;="&amp;I$8,LayTable[[Dato]:[Dato]],"&lt;="&amp;EOMONTH(I$8,0),LayTable[[Bookmaker]:[Bookmaker]],$A132)+SUMIFS(BetTable[[AR_per_bookie]:[AR_per_bookie]],BetTable[[B1]:[B1]],$A132,BetTable[[Date]:[Date]], "&gt;="&amp;I$8,BetTable[[Date]:[Date]],"&lt;="&amp;EOMONTH(I$8,0))+SUMIFS(BetTable[[AR_per_bookie]:[AR_per_bookie]],BetTable[[B2]:[B2]],$A132,BetTable[[Date]:[Date]], "&gt;="&amp;I$8,BetTable[[Date]:[Date]],"&lt;="&amp;EOMONTH(I$8,0))+SUMIFS(BetTable[[AR_per_bookie]:[AR_per_bookie]],BetTable[[B3]:[B3]],$A132,BetTable[[Date]:[Date]], "&gt;="&amp;I$8,BetTable[[Date]:[Date]],"&lt;="&amp;EOMONTH(I$8,0))</f>
        <v>0</v>
      </c>
      <c r="J132" s="126">
        <f>SUMIFS(DWbonus[[Sum]:[Sum]],DWbonus[[Dato]:[Dato]], "&gt;="&amp;J$8,DWbonus[[Dato]:[Dato]],"&lt;="&amp;EOMONTH(J$8,0),DWbonus[[Bookie]:[Bookie]],$A132)+SUMIFS(LayTable[[Faktisk res]:[Faktisk res]],LayTable[[Dato]:[Dato]],"&gt;="&amp;J$8,LayTable[[Dato]:[Dato]],"&lt;="&amp;EOMONTH(J$8,0),LayTable[[Bookmaker]:[Bookmaker]],$A132)+SUMIFS(BetTable[[AR_per_bookie]:[AR_per_bookie]],BetTable[[B1]:[B1]],$A132,BetTable[[Date]:[Date]], "&gt;="&amp;J$8,BetTable[[Date]:[Date]],"&lt;="&amp;EOMONTH(J$8,0))+SUMIFS(BetTable[[AR_per_bookie]:[AR_per_bookie]],BetTable[[B2]:[B2]],$A132,BetTable[[Date]:[Date]], "&gt;="&amp;J$8,BetTable[[Date]:[Date]],"&lt;="&amp;EOMONTH(J$8,0))+SUMIFS(BetTable[[AR_per_bookie]:[AR_per_bookie]],BetTable[[B3]:[B3]],$A132,BetTable[[Date]:[Date]], "&gt;="&amp;J$8,BetTable[[Date]:[Date]],"&lt;="&amp;EOMONTH(J$8,0))</f>
        <v>0</v>
      </c>
      <c r="K132" s="126">
        <f>SUMIFS(DWbonus[[Sum]:[Sum]],DWbonus[[Dato]:[Dato]], "&gt;="&amp;K$8,DWbonus[[Dato]:[Dato]],"&lt;="&amp;EOMONTH(K$8,0),DWbonus[[Bookie]:[Bookie]],$A132)+SUMIFS(LayTable[[Faktisk res]:[Faktisk res]],LayTable[[Dato]:[Dato]],"&gt;="&amp;K$8,LayTable[[Dato]:[Dato]],"&lt;="&amp;EOMONTH(K$8,0),LayTable[[Bookmaker]:[Bookmaker]],$A132)+SUMIFS(BetTable[[AR_per_bookie]:[AR_per_bookie]],BetTable[[B1]:[B1]],$A132,BetTable[[Date]:[Date]], "&gt;="&amp;K$8,BetTable[[Date]:[Date]],"&lt;="&amp;EOMONTH(K$8,0))+SUMIFS(BetTable[[AR_per_bookie]:[AR_per_bookie]],BetTable[[B2]:[B2]],$A132,BetTable[[Date]:[Date]], "&gt;="&amp;K$8,BetTable[[Date]:[Date]],"&lt;="&amp;EOMONTH(K$8,0))+SUMIFS(BetTable[[AR_per_bookie]:[AR_per_bookie]],BetTable[[B3]:[B3]],$A132,BetTable[[Date]:[Date]], "&gt;="&amp;K$8,BetTable[[Date]:[Date]],"&lt;="&amp;EOMONTH(K$8,0))</f>
        <v>0</v>
      </c>
      <c r="L132" s="126">
        <f>SUMIFS(DWbonus[[Sum]:[Sum]],DWbonus[[Dato]:[Dato]], "&gt;="&amp;L$8,DWbonus[[Dato]:[Dato]],"&lt;="&amp;EOMONTH(L$8,0),DWbonus[[Bookie]:[Bookie]],$A132)+SUMIFS(LayTable[[Faktisk res]:[Faktisk res]],LayTable[[Dato]:[Dato]],"&gt;="&amp;L$8,LayTable[[Dato]:[Dato]],"&lt;="&amp;EOMONTH(L$8,0),LayTable[[Bookmaker]:[Bookmaker]],$A132)+SUMIFS(BetTable[[AR_per_bookie]:[AR_per_bookie]],BetTable[[B1]:[B1]],$A132,BetTable[[Date]:[Date]], "&gt;="&amp;L$8,BetTable[[Date]:[Date]],"&lt;="&amp;EOMONTH(L$8,0))+SUMIFS(BetTable[[AR_per_bookie]:[AR_per_bookie]],BetTable[[B2]:[B2]],$A132,BetTable[[Date]:[Date]], "&gt;="&amp;L$8,BetTable[[Date]:[Date]],"&lt;="&amp;EOMONTH(L$8,0))+SUMIFS(BetTable[[AR_per_bookie]:[AR_per_bookie]],BetTable[[B3]:[B3]],$A132,BetTable[[Date]:[Date]], "&gt;="&amp;L$8,BetTable[[Date]:[Date]],"&lt;="&amp;EOMONTH(L$8,0))</f>
        <v>0</v>
      </c>
      <c r="M132" s="126">
        <f>SUMIFS(DWbonus[[Sum]:[Sum]],DWbonus[[Dato]:[Dato]], "&gt;="&amp;M$8,DWbonus[[Dato]:[Dato]],"&lt;="&amp;EOMONTH(M$8,0),DWbonus[[Bookie]:[Bookie]],$A132)+SUMIFS(LayTable[[Faktisk res]:[Faktisk res]],LayTable[[Dato]:[Dato]],"&gt;="&amp;M$8,LayTable[[Dato]:[Dato]],"&lt;="&amp;EOMONTH(M$8,0),LayTable[[Bookmaker]:[Bookmaker]],$A132)+SUMIFS(BetTable[[AR_per_bookie]:[AR_per_bookie]],BetTable[[B1]:[B1]],$A132,BetTable[[Date]:[Date]], "&gt;="&amp;M$8,BetTable[[Date]:[Date]],"&lt;="&amp;EOMONTH(M$8,0))+SUMIFS(BetTable[[AR_per_bookie]:[AR_per_bookie]],BetTable[[B2]:[B2]],$A132,BetTable[[Date]:[Date]], "&gt;="&amp;M$8,BetTable[[Date]:[Date]],"&lt;="&amp;EOMONTH(M$8,0))+SUMIFS(BetTable[[AR_per_bookie]:[AR_per_bookie]],BetTable[[B3]:[B3]],$A132,BetTable[[Date]:[Date]], "&gt;="&amp;M$8,BetTable[[Date]:[Date]],"&lt;="&amp;EOMONTH(M$8,0))</f>
        <v>0</v>
      </c>
      <c r="N132" s="126">
        <f>SUMIFS(DWbonus[[Sum]:[Sum]],DWbonus[[Dato]:[Dato]], "&gt;="&amp;N$8,DWbonus[[Dato]:[Dato]],"&lt;="&amp;EOMONTH(N$8,0),DWbonus[[Bookie]:[Bookie]],$A132)+SUMIFS(LayTable[[Faktisk res]:[Faktisk res]],LayTable[[Dato]:[Dato]],"&gt;="&amp;N$8,LayTable[[Dato]:[Dato]],"&lt;="&amp;EOMONTH(N$8,0),LayTable[[Bookmaker]:[Bookmaker]],$A132)+SUMIFS(BetTable[[AR_per_bookie]:[AR_per_bookie]],BetTable[[B1]:[B1]],$A132,BetTable[[Date]:[Date]], "&gt;="&amp;N$8,BetTable[[Date]:[Date]],"&lt;="&amp;EOMONTH(N$8,0))+SUMIFS(BetTable[[AR_per_bookie]:[AR_per_bookie]],BetTable[[B2]:[B2]],$A132,BetTable[[Date]:[Date]], "&gt;="&amp;N$8,BetTable[[Date]:[Date]],"&lt;="&amp;EOMONTH(N$8,0))+SUMIFS(BetTable[[AR_per_bookie]:[AR_per_bookie]],BetTable[[B3]:[B3]],$A132,BetTable[[Date]:[Date]], "&gt;="&amp;N$8,BetTable[[Date]:[Date]],"&lt;="&amp;EOMONTH(N$8,0))</f>
        <v>0</v>
      </c>
      <c r="O132" s="126">
        <f>SUMIFS(DWbonus[[Sum]:[Sum]],DWbonus[[Dato]:[Dato]], "&gt;="&amp;O$8,DWbonus[[Dato]:[Dato]],"&lt;="&amp;EOMONTH(O$8,0),DWbonus[[Bookie]:[Bookie]],$A132)+SUMIFS(LayTable[[Faktisk res]:[Faktisk res]],LayTable[[Dato]:[Dato]],"&gt;="&amp;O$8,LayTable[[Dato]:[Dato]],"&lt;="&amp;EOMONTH(O$8,0),LayTable[[Bookmaker]:[Bookmaker]],$A132)+SUMIFS(BetTable[[AR_per_bookie]:[AR_per_bookie]],BetTable[[B1]:[B1]],$A132,BetTable[[Date]:[Date]], "&gt;="&amp;O$8,BetTable[[Date]:[Date]],"&lt;="&amp;EOMONTH(O$8,0))+SUMIFS(BetTable[[AR_per_bookie]:[AR_per_bookie]],BetTable[[B2]:[B2]],$A132,BetTable[[Date]:[Date]], "&gt;="&amp;O$8,BetTable[[Date]:[Date]],"&lt;="&amp;EOMONTH(O$8,0))+SUMIFS(BetTable[[AR_per_bookie]:[AR_per_bookie]],BetTable[[B3]:[B3]],$A132,BetTable[[Date]:[Date]], "&gt;="&amp;O$8,BetTable[[Date]:[Date]],"&lt;="&amp;EOMONTH(O$8,0))</f>
        <v>0</v>
      </c>
      <c r="P132" s="126">
        <f>SUMIFS(DWbonus[[Sum]:[Sum]],DWbonus[[Dato]:[Dato]], "&gt;="&amp;P$8,DWbonus[[Dato]:[Dato]],"&lt;="&amp;EOMONTH(P$8,0),DWbonus[[Bookie]:[Bookie]],$A132)+SUMIFS(LayTable[[Faktisk res]:[Faktisk res]],LayTable[[Dato]:[Dato]],"&gt;="&amp;P$8,LayTable[[Dato]:[Dato]],"&lt;="&amp;EOMONTH(P$8,0),LayTable[[Bookmaker]:[Bookmaker]],$A132)+SUMIFS(BetTable[[AR_per_bookie]:[AR_per_bookie]],BetTable[[B1]:[B1]],$A132,BetTable[[Date]:[Date]], "&gt;="&amp;P$8,BetTable[[Date]:[Date]],"&lt;="&amp;EOMONTH(P$8,0))+SUMIFS(BetTable[[AR_per_bookie]:[AR_per_bookie]],BetTable[[B2]:[B2]],$A132,BetTable[[Date]:[Date]], "&gt;="&amp;P$8,BetTable[[Date]:[Date]],"&lt;="&amp;EOMONTH(P$8,0))+SUMIFS(BetTable[[AR_per_bookie]:[AR_per_bookie]],BetTable[[B3]:[B3]],$A132,BetTable[[Date]:[Date]], "&gt;="&amp;P$8,BetTable[[Date]:[Date]],"&lt;="&amp;EOMONTH(P$8,0))</f>
        <v>0</v>
      </c>
      <c r="Q132" s="126">
        <f>SUMIFS(DWbonus[[Sum]:[Sum]],DWbonus[[Dato]:[Dato]], "&gt;="&amp;Q$8,DWbonus[[Dato]:[Dato]],"&lt;="&amp;EOMONTH(Q$8,0),DWbonus[[Bookie]:[Bookie]],$A132)+SUMIFS(LayTable[[Faktisk res]:[Faktisk res]],LayTable[[Dato]:[Dato]],"&gt;="&amp;Q$8,LayTable[[Dato]:[Dato]],"&lt;="&amp;EOMONTH(Q$8,0),LayTable[[Bookmaker]:[Bookmaker]],$A132)+SUMIFS(BetTable[[AR_per_bookie]:[AR_per_bookie]],BetTable[[B1]:[B1]],$A132,BetTable[[Date]:[Date]], "&gt;="&amp;Q$8,BetTable[[Date]:[Date]],"&lt;="&amp;EOMONTH(Q$8,0))+SUMIFS(BetTable[[AR_per_bookie]:[AR_per_bookie]],BetTable[[B2]:[B2]],$A132,BetTable[[Date]:[Date]], "&gt;="&amp;Q$8,BetTable[[Date]:[Date]],"&lt;="&amp;EOMONTH(Q$8,0))+SUMIFS(BetTable[[AR_per_bookie]:[AR_per_bookie]],BetTable[[B3]:[B3]],$A132,BetTable[[Date]:[Date]], "&gt;="&amp;Q$8,BetTable[[Date]:[Date]],"&lt;="&amp;EOMONTH(Q$8,0))</f>
        <v>0</v>
      </c>
      <c r="R132" s="126">
        <f>SUMIFS(DWbonus[[Sum]:[Sum]],DWbonus[[Dato]:[Dato]], "&gt;="&amp;R$8,DWbonus[[Dato]:[Dato]],"&lt;="&amp;EOMONTH(R$8,0),DWbonus[[Bookie]:[Bookie]],$A132)+SUMIFS(LayTable[[Faktisk res]:[Faktisk res]],LayTable[[Dato]:[Dato]],"&gt;="&amp;R$8,LayTable[[Dato]:[Dato]],"&lt;="&amp;EOMONTH(R$8,0),LayTable[[Bookmaker]:[Bookmaker]],$A132)+SUMIFS(BetTable[[AR_per_bookie]:[AR_per_bookie]],BetTable[[B1]:[B1]],$A132,BetTable[[Date]:[Date]], "&gt;="&amp;R$8,BetTable[[Date]:[Date]],"&lt;="&amp;EOMONTH(R$8,0))+SUMIFS(BetTable[[AR_per_bookie]:[AR_per_bookie]],BetTable[[B2]:[B2]],$A132,BetTable[[Date]:[Date]], "&gt;="&amp;R$8,BetTable[[Date]:[Date]],"&lt;="&amp;EOMONTH(R$8,0))+SUMIFS(BetTable[[AR_per_bookie]:[AR_per_bookie]],BetTable[[B3]:[B3]],$A132,BetTable[[Date]:[Date]], "&gt;="&amp;R$8,BetTable[[Date]:[Date]],"&lt;="&amp;EOMONTH(R$8,0))</f>
        <v>0</v>
      </c>
      <c r="S132" s="126">
        <f>SUMIFS(DWbonus[[Sum]:[Sum]],DWbonus[[Dato]:[Dato]], "&gt;="&amp;S$8,DWbonus[[Dato]:[Dato]],"&lt;="&amp;EOMONTH(S$8,0),DWbonus[[Bookie]:[Bookie]],$A132)+SUMIFS(LayTable[[Faktisk res]:[Faktisk res]],LayTable[[Dato]:[Dato]],"&gt;="&amp;S$8,LayTable[[Dato]:[Dato]],"&lt;="&amp;EOMONTH(S$8,0),LayTable[[Bookmaker]:[Bookmaker]],$A132)+SUMIFS(BetTable[[AR_per_bookie]:[AR_per_bookie]],BetTable[[B1]:[B1]],$A132,BetTable[[Date]:[Date]], "&gt;="&amp;S$8,BetTable[[Date]:[Date]],"&lt;="&amp;EOMONTH(S$8,0))+SUMIFS(BetTable[[AR_per_bookie]:[AR_per_bookie]],BetTable[[B2]:[B2]],$A132,BetTable[[Date]:[Date]], "&gt;="&amp;S$8,BetTable[[Date]:[Date]],"&lt;="&amp;EOMONTH(S$8,0))+SUMIFS(BetTable[[AR_per_bookie]:[AR_per_bookie]],BetTable[[B3]:[B3]],$A132,BetTable[[Date]:[Date]], "&gt;="&amp;S$8,BetTable[[Date]:[Date]],"&lt;="&amp;EOMONTH(S$8,0))</f>
        <v>0</v>
      </c>
    </row>
    <row r="133" spans="1:19">
      <c r="A133" s="115">
        <f>BookieNavn!I127</f>
        <v>0</v>
      </c>
      <c r="B133" s="126">
        <f>SUMIF(Penger!D$1:D$50072,A133,Penger!F$1:F$50072)</f>
        <v>0</v>
      </c>
      <c r="C133" s="126">
        <f>SUMIF(Penger!T$1:T$50072,A133,Penger!U$1:U$50072)</f>
        <v>0</v>
      </c>
      <c r="D133" s="126">
        <f ca="1">SUMIF(Spill!C$1:C$499895,A133,Spill!T$1:T$49895)+C133</f>
        <v>0</v>
      </c>
      <c r="E133" s="126">
        <f>SUMIF(Spill!C$1:C$49895,A133,Spill!T$1:T$49895)</f>
        <v>0</v>
      </c>
      <c r="F133" s="121" t="e">
        <f t="shared" ca="1" si="2"/>
        <v>#DIV/0!</v>
      </c>
      <c r="H133" s="126">
        <f>SUMIFS(DWbonus[[Sum]:[Sum]],DWbonus[[Dato]:[Dato]], "&gt;="&amp;H$8,DWbonus[[Dato]:[Dato]],"&lt;="&amp;EOMONTH(H$8,0),DWbonus[[Bookie]:[Bookie]],$A133)+SUMIFS(LayTable[[Faktisk res]:[Faktisk res]],LayTable[[Dato]:[Dato]],"&gt;="&amp;H$8,LayTable[[Dato]:[Dato]],"&lt;="&amp;EOMONTH(H$8,0),LayTable[[Bookmaker]:[Bookmaker]],$A133)+SUMIFS(BetTable[[AR_per_bookie]:[AR_per_bookie]],BetTable[[B1]:[B1]],$A133,BetTable[[Date]:[Date]], "&gt;="&amp;H$8,BetTable[[Date]:[Date]],"&lt;="&amp;EOMONTH(H$8,0))+SUMIFS(BetTable[[AR_per_bookie]:[AR_per_bookie]],BetTable[[B2]:[B2]],$A133,BetTable[[Date]:[Date]], "&gt;="&amp;H$8,BetTable[[Date]:[Date]],"&lt;="&amp;EOMONTH(H$8,0))+SUMIFS(BetTable[[AR_per_bookie]:[AR_per_bookie]],BetTable[[B3]:[B3]],$A133,BetTable[[Date]:[Date]], "&gt;="&amp;H$8,BetTable[[Date]:[Date]],"&lt;="&amp;EOMONTH(H$8,0))</f>
        <v>0</v>
      </c>
      <c r="I133" s="126">
        <f>SUMIFS(DWbonus[[Sum]:[Sum]],DWbonus[[Dato]:[Dato]], "&gt;="&amp;I$8,DWbonus[[Dato]:[Dato]],"&lt;="&amp;EOMONTH(I$8,0),DWbonus[[Bookie]:[Bookie]],$A133)+SUMIFS(LayTable[[Faktisk res]:[Faktisk res]],LayTable[[Dato]:[Dato]],"&gt;="&amp;I$8,LayTable[[Dato]:[Dato]],"&lt;="&amp;EOMONTH(I$8,0),LayTable[[Bookmaker]:[Bookmaker]],$A133)+SUMIFS(BetTable[[AR_per_bookie]:[AR_per_bookie]],BetTable[[B1]:[B1]],$A133,BetTable[[Date]:[Date]], "&gt;="&amp;I$8,BetTable[[Date]:[Date]],"&lt;="&amp;EOMONTH(I$8,0))+SUMIFS(BetTable[[AR_per_bookie]:[AR_per_bookie]],BetTable[[B2]:[B2]],$A133,BetTable[[Date]:[Date]], "&gt;="&amp;I$8,BetTable[[Date]:[Date]],"&lt;="&amp;EOMONTH(I$8,0))+SUMIFS(BetTable[[AR_per_bookie]:[AR_per_bookie]],BetTable[[B3]:[B3]],$A133,BetTable[[Date]:[Date]], "&gt;="&amp;I$8,BetTable[[Date]:[Date]],"&lt;="&amp;EOMONTH(I$8,0))</f>
        <v>0</v>
      </c>
      <c r="J133" s="126">
        <f>SUMIFS(DWbonus[[Sum]:[Sum]],DWbonus[[Dato]:[Dato]], "&gt;="&amp;J$8,DWbonus[[Dato]:[Dato]],"&lt;="&amp;EOMONTH(J$8,0),DWbonus[[Bookie]:[Bookie]],$A133)+SUMIFS(LayTable[[Faktisk res]:[Faktisk res]],LayTable[[Dato]:[Dato]],"&gt;="&amp;J$8,LayTable[[Dato]:[Dato]],"&lt;="&amp;EOMONTH(J$8,0),LayTable[[Bookmaker]:[Bookmaker]],$A133)+SUMIFS(BetTable[[AR_per_bookie]:[AR_per_bookie]],BetTable[[B1]:[B1]],$A133,BetTable[[Date]:[Date]], "&gt;="&amp;J$8,BetTable[[Date]:[Date]],"&lt;="&amp;EOMONTH(J$8,0))+SUMIFS(BetTable[[AR_per_bookie]:[AR_per_bookie]],BetTable[[B2]:[B2]],$A133,BetTable[[Date]:[Date]], "&gt;="&amp;J$8,BetTable[[Date]:[Date]],"&lt;="&amp;EOMONTH(J$8,0))+SUMIFS(BetTable[[AR_per_bookie]:[AR_per_bookie]],BetTable[[B3]:[B3]],$A133,BetTable[[Date]:[Date]], "&gt;="&amp;J$8,BetTable[[Date]:[Date]],"&lt;="&amp;EOMONTH(J$8,0))</f>
        <v>0</v>
      </c>
      <c r="K133" s="126">
        <f>SUMIFS(DWbonus[[Sum]:[Sum]],DWbonus[[Dato]:[Dato]], "&gt;="&amp;K$8,DWbonus[[Dato]:[Dato]],"&lt;="&amp;EOMONTH(K$8,0),DWbonus[[Bookie]:[Bookie]],$A133)+SUMIFS(LayTable[[Faktisk res]:[Faktisk res]],LayTable[[Dato]:[Dato]],"&gt;="&amp;K$8,LayTable[[Dato]:[Dato]],"&lt;="&amp;EOMONTH(K$8,0),LayTable[[Bookmaker]:[Bookmaker]],$A133)+SUMIFS(BetTable[[AR_per_bookie]:[AR_per_bookie]],BetTable[[B1]:[B1]],$A133,BetTable[[Date]:[Date]], "&gt;="&amp;K$8,BetTable[[Date]:[Date]],"&lt;="&amp;EOMONTH(K$8,0))+SUMIFS(BetTable[[AR_per_bookie]:[AR_per_bookie]],BetTable[[B2]:[B2]],$A133,BetTable[[Date]:[Date]], "&gt;="&amp;K$8,BetTable[[Date]:[Date]],"&lt;="&amp;EOMONTH(K$8,0))+SUMIFS(BetTable[[AR_per_bookie]:[AR_per_bookie]],BetTable[[B3]:[B3]],$A133,BetTable[[Date]:[Date]], "&gt;="&amp;K$8,BetTable[[Date]:[Date]],"&lt;="&amp;EOMONTH(K$8,0))</f>
        <v>0</v>
      </c>
      <c r="L133" s="126">
        <f>SUMIFS(DWbonus[[Sum]:[Sum]],DWbonus[[Dato]:[Dato]], "&gt;="&amp;L$8,DWbonus[[Dato]:[Dato]],"&lt;="&amp;EOMONTH(L$8,0),DWbonus[[Bookie]:[Bookie]],$A133)+SUMIFS(LayTable[[Faktisk res]:[Faktisk res]],LayTable[[Dato]:[Dato]],"&gt;="&amp;L$8,LayTable[[Dato]:[Dato]],"&lt;="&amp;EOMONTH(L$8,0),LayTable[[Bookmaker]:[Bookmaker]],$A133)+SUMIFS(BetTable[[AR_per_bookie]:[AR_per_bookie]],BetTable[[B1]:[B1]],$A133,BetTable[[Date]:[Date]], "&gt;="&amp;L$8,BetTable[[Date]:[Date]],"&lt;="&amp;EOMONTH(L$8,0))+SUMIFS(BetTable[[AR_per_bookie]:[AR_per_bookie]],BetTable[[B2]:[B2]],$A133,BetTable[[Date]:[Date]], "&gt;="&amp;L$8,BetTable[[Date]:[Date]],"&lt;="&amp;EOMONTH(L$8,0))+SUMIFS(BetTable[[AR_per_bookie]:[AR_per_bookie]],BetTable[[B3]:[B3]],$A133,BetTable[[Date]:[Date]], "&gt;="&amp;L$8,BetTable[[Date]:[Date]],"&lt;="&amp;EOMONTH(L$8,0))</f>
        <v>0</v>
      </c>
      <c r="M133" s="126">
        <f>SUMIFS(DWbonus[[Sum]:[Sum]],DWbonus[[Dato]:[Dato]], "&gt;="&amp;M$8,DWbonus[[Dato]:[Dato]],"&lt;="&amp;EOMONTH(M$8,0),DWbonus[[Bookie]:[Bookie]],$A133)+SUMIFS(LayTable[[Faktisk res]:[Faktisk res]],LayTable[[Dato]:[Dato]],"&gt;="&amp;M$8,LayTable[[Dato]:[Dato]],"&lt;="&amp;EOMONTH(M$8,0),LayTable[[Bookmaker]:[Bookmaker]],$A133)+SUMIFS(BetTable[[AR_per_bookie]:[AR_per_bookie]],BetTable[[B1]:[B1]],$A133,BetTable[[Date]:[Date]], "&gt;="&amp;M$8,BetTable[[Date]:[Date]],"&lt;="&amp;EOMONTH(M$8,0))+SUMIFS(BetTable[[AR_per_bookie]:[AR_per_bookie]],BetTable[[B2]:[B2]],$A133,BetTable[[Date]:[Date]], "&gt;="&amp;M$8,BetTable[[Date]:[Date]],"&lt;="&amp;EOMONTH(M$8,0))+SUMIFS(BetTable[[AR_per_bookie]:[AR_per_bookie]],BetTable[[B3]:[B3]],$A133,BetTable[[Date]:[Date]], "&gt;="&amp;M$8,BetTable[[Date]:[Date]],"&lt;="&amp;EOMONTH(M$8,0))</f>
        <v>0</v>
      </c>
      <c r="N133" s="126">
        <f>SUMIFS(DWbonus[[Sum]:[Sum]],DWbonus[[Dato]:[Dato]], "&gt;="&amp;N$8,DWbonus[[Dato]:[Dato]],"&lt;="&amp;EOMONTH(N$8,0),DWbonus[[Bookie]:[Bookie]],$A133)+SUMIFS(LayTable[[Faktisk res]:[Faktisk res]],LayTable[[Dato]:[Dato]],"&gt;="&amp;N$8,LayTable[[Dato]:[Dato]],"&lt;="&amp;EOMONTH(N$8,0),LayTable[[Bookmaker]:[Bookmaker]],$A133)+SUMIFS(BetTable[[AR_per_bookie]:[AR_per_bookie]],BetTable[[B1]:[B1]],$A133,BetTable[[Date]:[Date]], "&gt;="&amp;N$8,BetTable[[Date]:[Date]],"&lt;="&amp;EOMONTH(N$8,0))+SUMIFS(BetTable[[AR_per_bookie]:[AR_per_bookie]],BetTable[[B2]:[B2]],$A133,BetTable[[Date]:[Date]], "&gt;="&amp;N$8,BetTable[[Date]:[Date]],"&lt;="&amp;EOMONTH(N$8,0))+SUMIFS(BetTable[[AR_per_bookie]:[AR_per_bookie]],BetTable[[B3]:[B3]],$A133,BetTable[[Date]:[Date]], "&gt;="&amp;N$8,BetTable[[Date]:[Date]],"&lt;="&amp;EOMONTH(N$8,0))</f>
        <v>0</v>
      </c>
      <c r="O133" s="126">
        <f>SUMIFS(DWbonus[[Sum]:[Sum]],DWbonus[[Dato]:[Dato]], "&gt;="&amp;O$8,DWbonus[[Dato]:[Dato]],"&lt;="&amp;EOMONTH(O$8,0),DWbonus[[Bookie]:[Bookie]],$A133)+SUMIFS(LayTable[[Faktisk res]:[Faktisk res]],LayTable[[Dato]:[Dato]],"&gt;="&amp;O$8,LayTable[[Dato]:[Dato]],"&lt;="&amp;EOMONTH(O$8,0),LayTable[[Bookmaker]:[Bookmaker]],$A133)+SUMIFS(BetTable[[AR_per_bookie]:[AR_per_bookie]],BetTable[[B1]:[B1]],$A133,BetTable[[Date]:[Date]], "&gt;="&amp;O$8,BetTable[[Date]:[Date]],"&lt;="&amp;EOMONTH(O$8,0))+SUMIFS(BetTable[[AR_per_bookie]:[AR_per_bookie]],BetTable[[B2]:[B2]],$A133,BetTable[[Date]:[Date]], "&gt;="&amp;O$8,BetTable[[Date]:[Date]],"&lt;="&amp;EOMONTH(O$8,0))+SUMIFS(BetTable[[AR_per_bookie]:[AR_per_bookie]],BetTable[[B3]:[B3]],$A133,BetTable[[Date]:[Date]], "&gt;="&amp;O$8,BetTable[[Date]:[Date]],"&lt;="&amp;EOMONTH(O$8,0))</f>
        <v>0</v>
      </c>
      <c r="P133" s="126">
        <f>SUMIFS(DWbonus[[Sum]:[Sum]],DWbonus[[Dato]:[Dato]], "&gt;="&amp;P$8,DWbonus[[Dato]:[Dato]],"&lt;="&amp;EOMONTH(P$8,0),DWbonus[[Bookie]:[Bookie]],$A133)+SUMIFS(LayTable[[Faktisk res]:[Faktisk res]],LayTable[[Dato]:[Dato]],"&gt;="&amp;P$8,LayTable[[Dato]:[Dato]],"&lt;="&amp;EOMONTH(P$8,0),LayTable[[Bookmaker]:[Bookmaker]],$A133)+SUMIFS(BetTable[[AR_per_bookie]:[AR_per_bookie]],BetTable[[B1]:[B1]],$A133,BetTable[[Date]:[Date]], "&gt;="&amp;P$8,BetTable[[Date]:[Date]],"&lt;="&amp;EOMONTH(P$8,0))+SUMIFS(BetTable[[AR_per_bookie]:[AR_per_bookie]],BetTable[[B2]:[B2]],$A133,BetTable[[Date]:[Date]], "&gt;="&amp;P$8,BetTable[[Date]:[Date]],"&lt;="&amp;EOMONTH(P$8,0))+SUMIFS(BetTable[[AR_per_bookie]:[AR_per_bookie]],BetTable[[B3]:[B3]],$A133,BetTable[[Date]:[Date]], "&gt;="&amp;P$8,BetTable[[Date]:[Date]],"&lt;="&amp;EOMONTH(P$8,0))</f>
        <v>0</v>
      </c>
      <c r="Q133" s="126">
        <f>SUMIFS(DWbonus[[Sum]:[Sum]],DWbonus[[Dato]:[Dato]], "&gt;="&amp;Q$8,DWbonus[[Dato]:[Dato]],"&lt;="&amp;EOMONTH(Q$8,0),DWbonus[[Bookie]:[Bookie]],$A133)+SUMIFS(LayTable[[Faktisk res]:[Faktisk res]],LayTable[[Dato]:[Dato]],"&gt;="&amp;Q$8,LayTable[[Dato]:[Dato]],"&lt;="&amp;EOMONTH(Q$8,0),LayTable[[Bookmaker]:[Bookmaker]],$A133)+SUMIFS(BetTable[[AR_per_bookie]:[AR_per_bookie]],BetTable[[B1]:[B1]],$A133,BetTable[[Date]:[Date]], "&gt;="&amp;Q$8,BetTable[[Date]:[Date]],"&lt;="&amp;EOMONTH(Q$8,0))+SUMIFS(BetTable[[AR_per_bookie]:[AR_per_bookie]],BetTable[[B2]:[B2]],$A133,BetTable[[Date]:[Date]], "&gt;="&amp;Q$8,BetTable[[Date]:[Date]],"&lt;="&amp;EOMONTH(Q$8,0))+SUMIFS(BetTable[[AR_per_bookie]:[AR_per_bookie]],BetTable[[B3]:[B3]],$A133,BetTable[[Date]:[Date]], "&gt;="&amp;Q$8,BetTable[[Date]:[Date]],"&lt;="&amp;EOMONTH(Q$8,0))</f>
        <v>0</v>
      </c>
      <c r="R133" s="126">
        <f>SUMIFS(DWbonus[[Sum]:[Sum]],DWbonus[[Dato]:[Dato]], "&gt;="&amp;R$8,DWbonus[[Dato]:[Dato]],"&lt;="&amp;EOMONTH(R$8,0),DWbonus[[Bookie]:[Bookie]],$A133)+SUMIFS(LayTable[[Faktisk res]:[Faktisk res]],LayTable[[Dato]:[Dato]],"&gt;="&amp;R$8,LayTable[[Dato]:[Dato]],"&lt;="&amp;EOMONTH(R$8,0),LayTable[[Bookmaker]:[Bookmaker]],$A133)+SUMIFS(BetTable[[AR_per_bookie]:[AR_per_bookie]],BetTable[[B1]:[B1]],$A133,BetTable[[Date]:[Date]], "&gt;="&amp;R$8,BetTable[[Date]:[Date]],"&lt;="&amp;EOMONTH(R$8,0))+SUMIFS(BetTable[[AR_per_bookie]:[AR_per_bookie]],BetTable[[B2]:[B2]],$A133,BetTable[[Date]:[Date]], "&gt;="&amp;R$8,BetTable[[Date]:[Date]],"&lt;="&amp;EOMONTH(R$8,0))+SUMIFS(BetTable[[AR_per_bookie]:[AR_per_bookie]],BetTable[[B3]:[B3]],$A133,BetTable[[Date]:[Date]], "&gt;="&amp;R$8,BetTable[[Date]:[Date]],"&lt;="&amp;EOMONTH(R$8,0))</f>
        <v>0</v>
      </c>
      <c r="S133" s="126">
        <f>SUMIFS(DWbonus[[Sum]:[Sum]],DWbonus[[Dato]:[Dato]], "&gt;="&amp;S$8,DWbonus[[Dato]:[Dato]],"&lt;="&amp;EOMONTH(S$8,0),DWbonus[[Bookie]:[Bookie]],$A133)+SUMIFS(LayTable[[Faktisk res]:[Faktisk res]],LayTable[[Dato]:[Dato]],"&gt;="&amp;S$8,LayTable[[Dato]:[Dato]],"&lt;="&amp;EOMONTH(S$8,0),LayTable[[Bookmaker]:[Bookmaker]],$A133)+SUMIFS(BetTable[[AR_per_bookie]:[AR_per_bookie]],BetTable[[B1]:[B1]],$A133,BetTable[[Date]:[Date]], "&gt;="&amp;S$8,BetTable[[Date]:[Date]],"&lt;="&amp;EOMONTH(S$8,0))+SUMIFS(BetTable[[AR_per_bookie]:[AR_per_bookie]],BetTable[[B2]:[B2]],$A133,BetTable[[Date]:[Date]], "&gt;="&amp;S$8,BetTable[[Date]:[Date]],"&lt;="&amp;EOMONTH(S$8,0))+SUMIFS(BetTable[[AR_per_bookie]:[AR_per_bookie]],BetTable[[B3]:[B3]],$A133,BetTable[[Date]:[Date]], "&gt;="&amp;S$8,BetTable[[Date]:[Date]],"&lt;="&amp;EOMONTH(S$8,0))</f>
        <v>0</v>
      </c>
    </row>
    <row r="134" spans="1:19">
      <c r="A134" s="115">
        <f>BookieNavn!I128</f>
        <v>0</v>
      </c>
      <c r="B134" s="126">
        <f>SUMIF(Penger!D$1:D$50072,A134,Penger!F$1:F$50072)</f>
        <v>0</v>
      </c>
      <c r="C134" s="126">
        <f>SUMIF(Penger!T$1:T$50072,A134,Penger!U$1:U$50072)</f>
        <v>0</v>
      </c>
      <c r="D134" s="126">
        <f ca="1">SUMIF(Spill!C$1:C$499895,A134,Spill!T$1:T$49895)+C134</f>
        <v>0</v>
      </c>
      <c r="E134" s="126">
        <f>SUMIF(Spill!C$1:C$49895,A134,Spill!T$1:T$49895)</f>
        <v>0</v>
      </c>
      <c r="F134" s="121" t="e">
        <f t="shared" ca="1" si="2"/>
        <v>#DIV/0!</v>
      </c>
      <c r="H134" s="126">
        <f>SUMIFS(DWbonus[[Sum]:[Sum]],DWbonus[[Dato]:[Dato]], "&gt;="&amp;H$8,DWbonus[[Dato]:[Dato]],"&lt;="&amp;EOMONTH(H$8,0),DWbonus[[Bookie]:[Bookie]],$A134)+SUMIFS(LayTable[[Faktisk res]:[Faktisk res]],LayTable[[Dato]:[Dato]],"&gt;="&amp;H$8,LayTable[[Dato]:[Dato]],"&lt;="&amp;EOMONTH(H$8,0),LayTable[[Bookmaker]:[Bookmaker]],$A134)+SUMIFS(BetTable[[AR_per_bookie]:[AR_per_bookie]],BetTable[[B1]:[B1]],$A134,BetTable[[Date]:[Date]], "&gt;="&amp;H$8,BetTable[[Date]:[Date]],"&lt;="&amp;EOMONTH(H$8,0))+SUMIFS(BetTable[[AR_per_bookie]:[AR_per_bookie]],BetTable[[B2]:[B2]],$A134,BetTable[[Date]:[Date]], "&gt;="&amp;H$8,BetTable[[Date]:[Date]],"&lt;="&amp;EOMONTH(H$8,0))+SUMIFS(BetTable[[AR_per_bookie]:[AR_per_bookie]],BetTable[[B3]:[B3]],$A134,BetTable[[Date]:[Date]], "&gt;="&amp;H$8,BetTable[[Date]:[Date]],"&lt;="&amp;EOMONTH(H$8,0))</f>
        <v>0</v>
      </c>
      <c r="I134" s="126">
        <f>SUMIFS(DWbonus[[Sum]:[Sum]],DWbonus[[Dato]:[Dato]], "&gt;="&amp;I$8,DWbonus[[Dato]:[Dato]],"&lt;="&amp;EOMONTH(I$8,0),DWbonus[[Bookie]:[Bookie]],$A134)+SUMIFS(LayTable[[Faktisk res]:[Faktisk res]],LayTable[[Dato]:[Dato]],"&gt;="&amp;I$8,LayTable[[Dato]:[Dato]],"&lt;="&amp;EOMONTH(I$8,0),LayTable[[Bookmaker]:[Bookmaker]],$A134)+SUMIFS(BetTable[[AR_per_bookie]:[AR_per_bookie]],BetTable[[B1]:[B1]],$A134,BetTable[[Date]:[Date]], "&gt;="&amp;I$8,BetTable[[Date]:[Date]],"&lt;="&amp;EOMONTH(I$8,0))+SUMIFS(BetTable[[AR_per_bookie]:[AR_per_bookie]],BetTable[[B2]:[B2]],$A134,BetTable[[Date]:[Date]], "&gt;="&amp;I$8,BetTable[[Date]:[Date]],"&lt;="&amp;EOMONTH(I$8,0))+SUMIFS(BetTable[[AR_per_bookie]:[AR_per_bookie]],BetTable[[B3]:[B3]],$A134,BetTable[[Date]:[Date]], "&gt;="&amp;I$8,BetTable[[Date]:[Date]],"&lt;="&amp;EOMONTH(I$8,0))</f>
        <v>0</v>
      </c>
      <c r="J134" s="126">
        <f>SUMIFS(DWbonus[[Sum]:[Sum]],DWbonus[[Dato]:[Dato]], "&gt;="&amp;J$8,DWbonus[[Dato]:[Dato]],"&lt;="&amp;EOMONTH(J$8,0),DWbonus[[Bookie]:[Bookie]],$A134)+SUMIFS(LayTable[[Faktisk res]:[Faktisk res]],LayTable[[Dato]:[Dato]],"&gt;="&amp;J$8,LayTable[[Dato]:[Dato]],"&lt;="&amp;EOMONTH(J$8,0),LayTable[[Bookmaker]:[Bookmaker]],$A134)+SUMIFS(BetTable[[AR_per_bookie]:[AR_per_bookie]],BetTable[[B1]:[B1]],$A134,BetTable[[Date]:[Date]], "&gt;="&amp;J$8,BetTable[[Date]:[Date]],"&lt;="&amp;EOMONTH(J$8,0))+SUMIFS(BetTable[[AR_per_bookie]:[AR_per_bookie]],BetTable[[B2]:[B2]],$A134,BetTable[[Date]:[Date]], "&gt;="&amp;J$8,BetTable[[Date]:[Date]],"&lt;="&amp;EOMONTH(J$8,0))+SUMIFS(BetTable[[AR_per_bookie]:[AR_per_bookie]],BetTable[[B3]:[B3]],$A134,BetTable[[Date]:[Date]], "&gt;="&amp;J$8,BetTable[[Date]:[Date]],"&lt;="&amp;EOMONTH(J$8,0))</f>
        <v>0</v>
      </c>
      <c r="K134" s="126">
        <f>SUMIFS(DWbonus[[Sum]:[Sum]],DWbonus[[Dato]:[Dato]], "&gt;="&amp;K$8,DWbonus[[Dato]:[Dato]],"&lt;="&amp;EOMONTH(K$8,0),DWbonus[[Bookie]:[Bookie]],$A134)+SUMIFS(LayTable[[Faktisk res]:[Faktisk res]],LayTable[[Dato]:[Dato]],"&gt;="&amp;K$8,LayTable[[Dato]:[Dato]],"&lt;="&amp;EOMONTH(K$8,0),LayTable[[Bookmaker]:[Bookmaker]],$A134)+SUMIFS(BetTable[[AR_per_bookie]:[AR_per_bookie]],BetTable[[B1]:[B1]],$A134,BetTable[[Date]:[Date]], "&gt;="&amp;K$8,BetTable[[Date]:[Date]],"&lt;="&amp;EOMONTH(K$8,0))+SUMIFS(BetTable[[AR_per_bookie]:[AR_per_bookie]],BetTable[[B2]:[B2]],$A134,BetTable[[Date]:[Date]], "&gt;="&amp;K$8,BetTable[[Date]:[Date]],"&lt;="&amp;EOMONTH(K$8,0))+SUMIFS(BetTable[[AR_per_bookie]:[AR_per_bookie]],BetTable[[B3]:[B3]],$A134,BetTable[[Date]:[Date]], "&gt;="&amp;K$8,BetTable[[Date]:[Date]],"&lt;="&amp;EOMONTH(K$8,0))</f>
        <v>0</v>
      </c>
      <c r="L134" s="126">
        <f>SUMIFS(DWbonus[[Sum]:[Sum]],DWbonus[[Dato]:[Dato]], "&gt;="&amp;L$8,DWbonus[[Dato]:[Dato]],"&lt;="&amp;EOMONTH(L$8,0),DWbonus[[Bookie]:[Bookie]],$A134)+SUMIFS(LayTable[[Faktisk res]:[Faktisk res]],LayTable[[Dato]:[Dato]],"&gt;="&amp;L$8,LayTable[[Dato]:[Dato]],"&lt;="&amp;EOMONTH(L$8,0),LayTable[[Bookmaker]:[Bookmaker]],$A134)+SUMIFS(BetTable[[AR_per_bookie]:[AR_per_bookie]],BetTable[[B1]:[B1]],$A134,BetTable[[Date]:[Date]], "&gt;="&amp;L$8,BetTable[[Date]:[Date]],"&lt;="&amp;EOMONTH(L$8,0))+SUMIFS(BetTable[[AR_per_bookie]:[AR_per_bookie]],BetTable[[B2]:[B2]],$A134,BetTable[[Date]:[Date]], "&gt;="&amp;L$8,BetTable[[Date]:[Date]],"&lt;="&amp;EOMONTH(L$8,0))+SUMIFS(BetTable[[AR_per_bookie]:[AR_per_bookie]],BetTable[[B3]:[B3]],$A134,BetTable[[Date]:[Date]], "&gt;="&amp;L$8,BetTable[[Date]:[Date]],"&lt;="&amp;EOMONTH(L$8,0))</f>
        <v>0</v>
      </c>
      <c r="M134" s="126">
        <f>SUMIFS(DWbonus[[Sum]:[Sum]],DWbonus[[Dato]:[Dato]], "&gt;="&amp;M$8,DWbonus[[Dato]:[Dato]],"&lt;="&amp;EOMONTH(M$8,0),DWbonus[[Bookie]:[Bookie]],$A134)+SUMIFS(LayTable[[Faktisk res]:[Faktisk res]],LayTable[[Dato]:[Dato]],"&gt;="&amp;M$8,LayTable[[Dato]:[Dato]],"&lt;="&amp;EOMONTH(M$8,0),LayTable[[Bookmaker]:[Bookmaker]],$A134)+SUMIFS(BetTable[[AR_per_bookie]:[AR_per_bookie]],BetTable[[B1]:[B1]],$A134,BetTable[[Date]:[Date]], "&gt;="&amp;M$8,BetTable[[Date]:[Date]],"&lt;="&amp;EOMONTH(M$8,0))+SUMIFS(BetTable[[AR_per_bookie]:[AR_per_bookie]],BetTable[[B2]:[B2]],$A134,BetTable[[Date]:[Date]], "&gt;="&amp;M$8,BetTable[[Date]:[Date]],"&lt;="&amp;EOMONTH(M$8,0))+SUMIFS(BetTable[[AR_per_bookie]:[AR_per_bookie]],BetTable[[B3]:[B3]],$A134,BetTable[[Date]:[Date]], "&gt;="&amp;M$8,BetTable[[Date]:[Date]],"&lt;="&amp;EOMONTH(M$8,0))</f>
        <v>0</v>
      </c>
      <c r="N134" s="126">
        <f>SUMIFS(DWbonus[[Sum]:[Sum]],DWbonus[[Dato]:[Dato]], "&gt;="&amp;N$8,DWbonus[[Dato]:[Dato]],"&lt;="&amp;EOMONTH(N$8,0),DWbonus[[Bookie]:[Bookie]],$A134)+SUMIFS(LayTable[[Faktisk res]:[Faktisk res]],LayTable[[Dato]:[Dato]],"&gt;="&amp;N$8,LayTable[[Dato]:[Dato]],"&lt;="&amp;EOMONTH(N$8,0),LayTable[[Bookmaker]:[Bookmaker]],$A134)+SUMIFS(BetTable[[AR_per_bookie]:[AR_per_bookie]],BetTable[[B1]:[B1]],$A134,BetTable[[Date]:[Date]], "&gt;="&amp;N$8,BetTable[[Date]:[Date]],"&lt;="&amp;EOMONTH(N$8,0))+SUMIFS(BetTable[[AR_per_bookie]:[AR_per_bookie]],BetTable[[B2]:[B2]],$A134,BetTable[[Date]:[Date]], "&gt;="&amp;N$8,BetTable[[Date]:[Date]],"&lt;="&amp;EOMONTH(N$8,0))+SUMIFS(BetTable[[AR_per_bookie]:[AR_per_bookie]],BetTable[[B3]:[B3]],$A134,BetTable[[Date]:[Date]], "&gt;="&amp;N$8,BetTable[[Date]:[Date]],"&lt;="&amp;EOMONTH(N$8,0))</f>
        <v>0</v>
      </c>
      <c r="O134" s="126">
        <f>SUMIFS(DWbonus[[Sum]:[Sum]],DWbonus[[Dato]:[Dato]], "&gt;="&amp;O$8,DWbonus[[Dato]:[Dato]],"&lt;="&amp;EOMONTH(O$8,0),DWbonus[[Bookie]:[Bookie]],$A134)+SUMIFS(LayTable[[Faktisk res]:[Faktisk res]],LayTable[[Dato]:[Dato]],"&gt;="&amp;O$8,LayTable[[Dato]:[Dato]],"&lt;="&amp;EOMONTH(O$8,0),LayTable[[Bookmaker]:[Bookmaker]],$A134)+SUMIFS(BetTable[[AR_per_bookie]:[AR_per_bookie]],BetTable[[B1]:[B1]],$A134,BetTable[[Date]:[Date]], "&gt;="&amp;O$8,BetTable[[Date]:[Date]],"&lt;="&amp;EOMONTH(O$8,0))+SUMIFS(BetTable[[AR_per_bookie]:[AR_per_bookie]],BetTable[[B2]:[B2]],$A134,BetTable[[Date]:[Date]], "&gt;="&amp;O$8,BetTable[[Date]:[Date]],"&lt;="&amp;EOMONTH(O$8,0))+SUMIFS(BetTable[[AR_per_bookie]:[AR_per_bookie]],BetTable[[B3]:[B3]],$A134,BetTable[[Date]:[Date]], "&gt;="&amp;O$8,BetTable[[Date]:[Date]],"&lt;="&amp;EOMONTH(O$8,0))</f>
        <v>0</v>
      </c>
      <c r="P134" s="126">
        <f>SUMIFS(DWbonus[[Sum]:[Sum]],DWbonus[[Dato]:[Dato]], "&gt;="&amp;P$8,DWbonus[[Dato]:[Dato]],"&lt;="&amp;EOMONTH(P$8,0),DWbonus[[Bookie]:[Bookie]],$A134)+SUMIFS(LayTable[[Faktisk res]:[Faktisk res]],LayTable[[Dato]:[Dato]],"&gt;="&amp;P$8,LayTable[[Dato]:[Dato]],"&lt;="&amp;EOMONTH(P$8,0),LayTable[[Bookmaker]:[Bookmaker]],$A134)+SUMIFS(BetTable[[AR_per_bookie]:[AR_per_bookie]],BetTable[[B1]:[B1]],$A134,BetTable[[Date]:[Date]], "&gt;="&amp;P$8,BetTable[[Date]:[Date]],"&lt;="&amp;EOMONTH(P$8,0))+SUMIFS(BetTable[[AR_per_bookie]:[AR_per_bookie]],BetTable[[B2]:[B2]],$A134,BetTable[[Date]:[Date]], "&gt;="&amp;P$8,BetTable[[Date]:[Date]],"&lt;="&amp;EOMONTH(P$8,0))+SUMIFS(BetTable[[AR_per_bookie]:[AR_per_bookie]],BetTable[[B3]:[B3]],$A134,BetTable[[Date]:[Date]], "&gt;="&amp;P$8,BetTable[[Date]:[Date]],"&lt;="&amp;EOMONTH(P$8,0))</f>
        <v>0</v>
      </c>
      <c r="Q134" s="126">
        <f>SUMIFS(DWbonus[[Sum]:[Sum]],DWbonus[[Dato]:[Dato]], "&gt;="&amp;Q$8,DWbonus[[Dato]:[Dato]],"&lt;="&amp;EOMONTH(Q$8,0),DWbonus[[Bookie]:[Bookie]],$A134)+SUMIFS(LayTable[[Faktisk res]:[Faktisk res]],LayTable[[Dato]:[Dato]],"&gt;="&amp;Q$8,LayTable[[Dato]:[Dato]],"&lt;="&amp;EOMONTH(Q$8,0),LayTable[[Bookmaker]:[Bookmaker]],$A134)+SUMIFS(BetTable[[AR_per_bookie]:[AR_per_bookie]],BetTable[[B1]:[B1]],$A134,BetTable[[Date]:[Date]], "&gt;="&amp;Q$8,BetTable[[Date]:[Date]],"&lt;="&amp;EOMONTH(Q$8,0))+SUMIFS(BetTable[[AR_per_bookie]:[AR_per_bookie]],BetTable[[B2]:[B2]],$A134,BetTable[[Date]:[Date]], "&gt;="&amp;Q$8,BetTable[[Date]:[Date]],"&lt;="&amp;EOMONTH(Q$8,0))+SUMIFS(BetTable[[AR_per_bookie]:[AR_per_bookie]],BetTable[[B3]:[B3]],$A134,BetTable[[Date]:[Date]], "&gt;="&amp;Q$8,BetTable[[Date]:[Date]],"&lt;="&amp;EOMONTH(Q$8,0))</f>
        <v>0</v>
      </c>
      <c r="R134" s="126">
        <f>SUMIFS(DWbonus[[Sum]:[Sum]],DWbonus[[Dato]:[Dato]], "&gt;="&amp;R$8,DWbonus[[Dato]:[Dato]],"&lt;="&amp;EOMONTH(R$8,0),DWbonus[[Bookie]:[Bookie]],$A134)+SUMIFS(LayTable[[Faktisk res]:[Faktisk res]],LayTable[[Dato]:[Dato]],"&gt;="&amp;R$8,LayTable[[Dato]:[Dato]],"&lt;="&amp;EOMONTH(R$8,0),LayTable[[Bookmaker]:[Bookmaker]],$A134)+SUMIFS(BetTable[[AR_per_bookie]:[AR_per_bookie]],BetTable[[B1]:[B1]],$A134,BetTable[[Date]:[Date]], "&gt;="&amp;R$8,BetTable[[Date]:[Date]],"&lt;="&amp;EOMONTH(R$8,0))+SUMIFS(BetTable[[AR_per_bookie]:[AR_per_bookie]],BetTable[[B2]:[B2]],$A134,BetTable[[Date]:[Date]], "&gt;="&amp;R$8,BetTable[[Date]:[Date]],"&lt;="&amp;EOMONTH(R$8,0))+SUMIFS(BetTable[[AR_per_bookie]:[AR_per_bookie]],BetTable[[B3]:[B3]],$A134,BetTable[[Date]:[Date]], "&gt;="&amp;R$8,BetTable[[Date]:[Date]],"&lt;="&amp;EOMONTH(R$8,0))</f>
        <v>0</v>
      </c>
      <c r="S134" s="126">
        <f>SUMIFS(DWbonus[[Sum]:[Sum]],DWbonus[[Dato]:[Dato]], "&gt;="&amp;S$8,DWbonus[[Dato]:[Dato]],"&lt;="&amp;EOMONTH(S$8,0),DWbonus[[Bookie]:[Bookie]],$A134)+SUMIFS(LayTable[[Faktisk res]:[Faktisk res]],LayTable[[Dato]:[Dato]],"&gt;="&amp;S$8,LayTable[[Dato]:[Dato]],"&lt;="&amp;EOMONTH(S$8,0),LayTable[[Bookmaker]:[Bookmaker]],$A134)+SUMIFS(BetTable[[AR_per_bookie]:[AR_per_bookie]],BetTable[[B1]:[B1]],$A134,BetTable[[Date]:[Date]], "&gt;="&amp;S$8,BetTable[[Date]:[Date]],"&lt;="&amp;EOMONTH(S$8,0))+SUMIFS(BetTable[[AR_per_bookie]:[AR_per_bookie]],BetTable[[B2]:[B2]],$A134,BetTable[[Date]:[Date]], "&gt;="&amp;S$8,BetTable[[Date]:[Date]],"&lt;="&amp;EOMONTH(S$8,0))+SUMIFS(BetTable[[AR_per_bookie]:[AR_per_bookie]],BetTable[[B3]:[B3]],$A134,BetTable[[Date]:[Date]], "&gt;="&amp;S$8,BetTable[[Date]:[Date]],"&lt;="&amp;EOMONTH(S$8,0))</f>
        <v>0</v>
      </c>
    </row>
    <row r="135" spans="1:19">
      <c r="A135" s="115">
        <f>BookieNavn!I129</f>
        <v>0</v>
      </c>
      <c r="B135" s="126">
        <f>SUMIF(Penger!D$1:D$50072,A135,Penger!F$1:F$50072)</f>
        <v>0</v>
      </c>
      <c r="C135" s="126">
        <f>SUMIF(Penger!T$1:T$50072,A135,Penger!U$1:U$50072)</f>
        <v>0</v>
      </c>
      <c r="D135" s="126">
        <f ca="1">SUMIF(Spill!C$1:C$499895,A135,Spill!T$1:T$49895)+C135</f>
        <v>0</v>
      </c>
      <c r="E135" s="126">
        <f>SUMIF(Spill!C$1:C$49895,A135,Spill!T$1:T$49895)</f>
        <v>0</v>
      </c>
      <c r="F135" s="121" t="e">
        <f t="shared" ca="1" si="2"/>
        <v>#DIV/0!</v>
      </c>
      <c r="H135" s="126">
        <f>SUMIFS(DWbonus[[Sum]:[Sum]],DWbonus[[Dato]:[Dato]], "&gt;="&amp;H$8,DWbonus[[Dato]:[Dato]],"&lt;="&amp;EOMONTH(H$8,0),DWbonus[[Bookie]:[Bookie]],$A135)+SUMIFS(LayTable[[Faktisk res]:[Faktisk res]],LayTable[[Dato]:[Dato]],"&gt;="&amp;H$8,LayTable[[Dato]:[Dato]],"&lt;="&amp;EOMONTH(H$8,0),LayTable[[Bookmaker]:[Bookmaker]],$A135)+SUMIFS(BetTable[[AR_per_bookie]:[AR_per_bookie]],BetTable[[B1]:[B1]],$A135,BetTable[[Date]:[Date]], "&gt;="&amp;H$8,BetTable[[Date]:[Date]],"&lt;="&amp;EOMONTH(H$8,0))+SUMIFS(BetTable[[AR_per_bookie]:[AR_per_bookie]],BetTable[[B2]:[B2]],$A135,BetTable[[Date]:[Date]], "&gt;="&amp;H$8,BetTable[[Date]:[Date]],"&lt;="&amp;EOMONTH(H$8,0))+SUMIFS(BetTable[[AR_per_bookie]:[AR_per_bookie]],BetTable[[B3]:[B3]],$A135,BetTable[[Date]:[Date]], "&gt;="&amp;H$8,BetTable[[Date]:[Date]],"&lt;="&amp;EOMONTH(H$8,0))</f>
        <v>0</v>
      </c>
      <c r="I135" s="126">
        <f>SUMIFS(DWbonus[[Sum]:[Sum]],DWbonus[[Dato]:[Dato]], "&gt;="&amp;I$8,DWbonus[[Dato]:[Dato]],"&lt;="&amp;EOMONTH(I$8,0),DWbonus[[Bookie]:[Bookie]],$A135)+SUMIFS(LayTable[[Faktisk res]:[Faktisk res]],LayTable[[Dato]:[Dato]],"&gt;="&amp;I$8,LayTable[[Dato]:[Dato]],"&lt;="&amp;EOMONTH(I$8,0),LayTable[[Bookmaker]:[Bookmaker]],$A135)+SUMIFS(BetTable[[AR_per_bookie]:[AR_per_bookie]],BetTable[[B1]:[B1]],$A135,BetTable[[Date]:[Date]], "&gt;="&amp;I$8,BetTable[[Date]:[Date]],"&lt;="&amp;EOMONTH(I$8,0))+SUMIFS(BetTable[[AR_per_bookie]:[AR_per_bookie]],BetTable[[B2]:[B2]],$A135,BetTable[[Date]:[Date]], "&gt;="&amp;I$8,BetTable[[Date]:[Date]],"&lt;="&amp;EOMONTH(I$8,0))+SUMIFS(BetTable[[AR_per_bookie]:[AR_per_bookie]],BetTable[[B3]:[B3]],$A135,BetTable[[Date]:[Date]], "&gt;="&amp;I$8,BetTable[[Date]:[Date]],"&lt;="&amp;EOMONTH(I$8,0))</f>
        <v>0</v>
      </c>
      <c r="J135" s="126">
        <f>SUMIFS(DWbonus[[Sum]:[Sum]],DWbonus[[Dato]:[Dato]], "&gt;="&amp;J$8,DWbonus[[Dato]:[Dato]],"&lt;="&amp;EOMONTH(J$8,0),DWbonus[[Bookie]:[Bookie]],$A135)+SUMIFS(LayTable[[Faktisk res]:[Faktisk res]],LayTable[[Dato]:[Dato]],"&gt;="&amp;J$8,LayTable[[Dato]:[Dato]],"&lt;="&amp;EOMONTH(J$8,0),LayTable[[Bookmaker]:[Bookmaker]],$A135)+SUMIFS(BetTable[[AR_per_bookie]:[AR_per_bookie]],BetTable[[B1]:[B1]],$A135,BetTable[[Date]:[Date]], "&gt;="&amp;J$8,BetTable[[Date]:[Date]],"&lt;="&amp;EOMONTH(J$8,0))+SUMIFS(BetTable[[AR_per_bookie]:[AR_per_bookie]],BetTable[[B2]:[B2]],$A135,BetTable[[Date]:[Date]], "&gt;="&amp;J$8,BetTable[[Date]:[Date]],"&lt;="&amp;EOMONTH(J$8,0))+SUMIFS(BetTable[[AR_per_bookie]:[AR_per_bookie]],BetTable[[B3]:[B3]],$A135,BetTable[[Date]:[Date]], "&gt;="&amp;J$8,BetTable[[Date]:[Date]],"&lt;="&amp;EOMONTH(J$8,0))</f>
        <v>0</v>
      </c>
      <c r="K135" s="126">
        <f>SUMIFS(DWbonus[[Sum]:[Sum]],DWbonus[[Dato]:[Dato]], "&gt;="&amp;K$8,DWbonus[[Dato]:[Dato]],"&lt;="&amp;EOMONTH(K$8,0),DWbonus[[Bookie]:[Bookie]],$A135)+SUMIFS(LayTable[[Faktisk res]:[Faktisk res]],LayTable[[Dato]:[Dato]],"&gt;="&amp;K$8,LayTable[[Dato]:[Dato]],"&lt;="&amp;EOMONTH(K$8,0),LayTable[[Bookmaker]:[Bookmaker]],$A135)+SUMIFS(BetTable[[AR_per_bookie]:[AR_per_bookie]],BetTable[[B1]:[B1]],$A135,BetTable[[Date]:[Date]], "&gt;="&amp;K$8,BetTable[[Date]:[Date]],"&lt;="&amp;EOMONTH(K$8,0))+SUMIFS(BetTable[[AR_per_bookie]:[AR_per_bookie]],BetTable[[B2]:[B2]],$A135,BetTable[[Date]:[Date]], "&gt;="&amp;K$8,BetTable[[Date]:[Date]],"&lt;="&amp;EOMONTH(K$8,0))+SUMIFS(BetTable[[AR_per_bookie]:[AR_per_bookie]],BetTable[[B3]:[B3]],$A135,BetTable[[Date]:[Date]], "&gt;="&amp;K$8,BetTable[[Date]:[Date]],"&lt;="&amp;EOMONTH(K$8,0))</f>
        <v>0</v>
      </c>
      <c r="L135" s="126">
        <f>SUMIFS(DWbonus[[Sum]:[Sum]],DWbonus[[Dato]:[Dato]], "&gt;="&amp;L$8,DWbonus[[Dato]:[Dato]],"&lt;="&amp;EOMONTH(L$8,0),DWbonus[[Bookie]:[Bookie]],$A135)+SUMIFS(LayTable[[Faktisk res]:[Faktisk res]],LayTable[[Dato]:[Dato]],"&gt;="&amp;L$8,LayTable[[Dato]:[Dato]],"&lt;="&amp;EOMONTH(L$8,0),LayTable[[Bookmaker]:[Bookmaker]],$A135)+SUMIFS(BetTable[[AR_per_bookie]:[AR_per_bookie]],BetTable[[B1]:[B1]],$A135,BetTable[[Date]:[Date]], "&gt;="&amp;L$8,BetTable[[Date]:[Date]],"&lt;="&amp;EOMONTH(L$8,0))+SUMIFS(BetTable[[AR_per_bookie]:[AR_per_bookie]],BetTable[[B2]:[B2]],$A135,BetTable[[Date]:[Date]], "&gt;="&amp;L$8,BetTable[[Date]:[Date]],"&lt;="&amp;EOMONTH(L$8,0))+SUMIFS(BetTable[[AR_per_bookie]:[AR_per_bookie]],BetTable[[B3]:[B3]],$A135,BetTable[[Date]:[Date]], "&gt;="&amp;L$8,BetTable[[Date]:[Date]],"&lt;="&amp;EOMONTH(L$8,0))</f>
        <v>0</v>
      </c>
      <c r="M135" s="126">
        <f>SUMIFS(DWbonus[[Sum]:[Sum]],DWbonus[[Dato]:[Dato]], "&gt;="&amp;M$8,DWbonus[[Dato]:[Dato]],"&lt;="&amp;EOMONTH(M$8,0),DWbonus[[Bookie]:[Bookie]],$A135)+SUMIFS(LayTable[[Faktisk res]:[Faktisk res]],LayTable[[Dato]:[Dato]],"&gt;="&amp;M$8,LayTable[[Dato]:[Dato]],"&lt;="&amp;EOMONTH(M$8,0),LayTable[[Bookmaker]:[Bookmaker]],$A135)+SUMIFS(BetTable[[AR_per_bookie]:[AR_per_bookie]],BetTable[[B1]:[B1]],$A135,BetTable[[Date]:[Date]], "&gt;="&amp;M$8,BetTable[[Date]:[Date]],"&lt;="&amp;EOMONTH(M$8,0))+SUMIFS(BetTable[[AR_per_bookie]:[AR_per_bookie]],BetTable[[B2]:[B2]],$A135,BetTable[[Date]:[Date]], "&gt;="&amp;M$8,BetTable[[Date]:[Date]],"&lt;="&amp;EOMONTH(M$8,0))+SUMIFS(BetTable[[AR_per_bookie]:[AR_per_bookie]],BetTable[[B3]:[B3]],$A135,BetTable[[Date]:[Date]], "&gt;="&amp;M$8,BetTable[[Date]:[Date]],"&lt;="&amp;EOMONTH(M$8,0))</f>
        <v>0</v>
      </c>
      <c r="N135" s="126">
        <f>SUMIFS(DWbonus[[Sum]:[Sum]],DWbonus[[Dato]:[Dato]], "&gt;="&amp;N$8,DWbonus[[Dato]:[Dato]],"&lt;="&amp;EOMONTH(N$8,0),DWbonus[[Bookie]:[Bookie]],$A135)+SUMIFS(LayTable[[Faktisk res]:[Faktisk res]],LayTable[[Dato]:[Dato]],"&gt;="&amp;N$8,LayTable[[Dato]:[Dato]],"&lt;="&amp;EOMONTH(N$8,0),LayTable[[Bookmaker]:[Bookmaker]],$A135)+SUMIFS(BetTable[[AR_per_bookie]:[AR_per_bookie]],BetTable[[B1]:[B1]],$A135,BetTable[[Date]:[Date]], "&gt;="&amp;N$8,BetTable[[Date]:[Date]],"&lt;="&amp;EOMONTH(N$8,0))+SUMIFS(BetTable[[AR_per_bookie]:[AR_per_bookie]],BetTable[[B2]:[B2]],$A135,BetTable[[Date]:[Date]], "&gt;="&amp;N$8,BetTable[[Date]:[Date]],"&lt;="&amp;EOMONTH(N$8,0))+SUMIFS(BetTable[[AR_per_bookie]:[AR_per_bookie]],BetTable[[B3]:[B3]],$A135,BetTable[[Date]:[Date]], "&gt;="&amp;N$8,BetTable[[Date]:[Date]],"&lt;="&amp;EOMONTH(N$8,0))</f>
        <v>0</v>
      </c>
      <c r="O135" s="126">
        <f>SUMIFS(DWbonus[[Sum]:[Sum]],DWbonus[[Dato]:[Dato]], "&gt;="&amp;O$8,DWbonus[[Dato]:[Dato]],"&lt;="&amp;EOMONTH(O$8,0),DWbonus[[Bookie]:[Bookie]],$A135)+SUMIFS(LayTable[[Faktisk res]:[Faktisk res]],LayTable[[Dato]:[Dato]],"&gt;="&amp;O$8,LayTable[[Dato]:[Dato]],"&lt;="&amp;EOMONTH(O$8,0),LayTable[[Bookmaker]:[Bookmaker]],$A135)+SUMIFS(BetTable[[AR_per_bookie]:[AR_per_bookie]],BetTable[[B1]:[B1]],$A135,BetTable[[Date]:[Date]], "&gt;="&amp;O$8,BetTable[[Date]:[Date]],"&lt;="&amp;EOMONTH(O$8,0))+SUMIFS(BetTable[[AR_per_bookie]:[AR_per_bookie]],BetTable[[B2]:[B2]],$A135,BetTable[[Date]:[Date]], "&gt;="&amp;O$8,BetTable[[Date]:[Date]],"&lt;="&amp;EOMONTH(O$8,0))+SUMIFS(BetTable[[AR_per_bookie]:[AR_per_bookie]],BetTable[[B3]:[B3]],$A135,BetTable[[Date]:[Date]], "&gt;="&amp;O$8,BetTable[[Date]:[Date]],"&lt;="&amp;EOMONTH(O$8,0))</f>
        <v>0</v>
      </c>
      <c r="P135" s="126">
        <f>SUMIFS(DWbonus[[Sum]:[Sum]],DWbonus[[Dato]:[Dato]], "&gt;="&amp;P$8,DWbonus[[Dato]:[Dato]],"&lt;="&amp;EOMONTH(P$8,0),DWbonus[[Bookie]:[Bookie]],$A135)+SUMIFS(LayTable[[Faktisk res]:[Faktisk res]],LayTable[[Dato]:[Dato]],"&gt;="&amp;P$8,LayTable[[Dato]:[Dato]],"&lt;="&amp;EOMONTH(P$8,0),LayTable[[Bookmaker]:[Bookmaker]],$A135)+SUMIFS(BetTable[[AR_per_bookie]:[AR_per_bookie]],BetTable[[B1]:[B1]],$A135,BetTable[[Date]:[Date]], "&gt;="&amp;P$8,BetTable[[Date]:[Date]],"&lt;="&amp;EOMONTH(P$8,0))+SUMIFS(BetTable[[AR_per_bookie]:[AR_per_bookie]],BetTable[[B2]:[B2]],$A135,BetTable[[Date]:[Date]], "&gt;="&amp;P$8,BetTable[[Date]:[Date]],"&lt;="&amp;EOMONTH(P$8,0))+SUMIFS(BetTable[[AR_per_bookie]:[AR_per_bookie]],BetTable[[B3]:[B3]],$A135,BetTable[[Date]:[Date]], "&gt;="&amp;P$8,BetTable[[Date]:[Date]],"&lt;="&amp;EOMONTH(P$8,0))</f>
        <v>0</v>
      </c>
      <c r="Q135" s="126">
        <f>SUMIFS(DWbonus[[Sum]:[Sum]],DWbonus[[Dato]:[Dato]], "&gt;="&amp;Q$8,DWbonus[[Dato]:[Dato]],"&lt;="&amp;EOMONTH(Q$8,0),DWbonus[[Bookie]:[Bookie]],$A135)+SUMIFS(LayTable[[Faktisk res]:[Faktisk res]],LayTable[[Dato]:[Dato]],"&gt;="&amp;Q$8,LayTable[[Dato]:[Dato]],"&lt;="&amp;EOMONTH(Q$8,0),LayTable[[Bookmaker]:[Bookmaker]],$A135)+SUMIFS(BetTable[[AR_per_bookie]:[AR_per_bookie]],BetTable[[B1]:[B1]],$A135,BetTable[[Date]:[Date]], "&gt;="&amp;Q$8,BetTable[[Date]:[Date]],"&lt;="&amp;EOMONTH(Q$8,0))+SUMIFS(BetTable[[AR_per_bookie]:[AR_per_bookie]],BetTable[[B2]:[B2]],$A135,BetTable[[Date]:[Date]], "&gt;="&amp;Q$8,BetTable[[Date]:[Date]],"&lt;="&amp;EOMONTH(Q$8,0))+SUMIFS(BetTable[[AR_per_bookie]:[AR_per_bookie]],BetTable[[B3]:[B3]],$A135,BetTable[[Date]:[Date]], "&gt;="&amp;Q$8,BetTable[[Date]:[Date]],"&lt;="&amp;EOMONTH(Q$8,0))</f>
        <v>0</v>
      </c>
      <c r="R135" s="126">
        <f>SUMIFS(DWbonus[[Sum]:[Sum]],DWbonus[[Dato]:[Dato]], "&gt;="&amp;R$8,DWbonus[[Dato]:[Dato]],"&lt;="&amp;EOMONTH(R$8,0),DWbonus[[Bookie]:[Bookie]],$A135)+SUMIFS(LayTable[[Faktisk res]:[Faktisk res]],LayTable[[Dato]:[Dato]],"&gt;="&amp;R$8,LayTable[[Dato]:[Dato]],"&lt;="&amp;EOMONTH(R$8,0),LayTable[[Bookmaker]:[Bookmaker]],$A135)+SUMIFS(BetTable[[AR_per_bookie]:[AR_per_bookie]],BetTable[[B1]:[B1]],$A135,BetTable[[Date]:[Date]], "&gt;="&amp;R$8,BetTable[[Date]:[Date]],"&lt;="&amp;EOMONTH(R$8,0))+SUMIFS(BetTable[[AR_per_bookie]:[AR_per_bookie]],BetTable[[B2]:[B2]],$A135,BetTable[[Date]:[Date]], "&gt;="&amp;R$8,BetTable[[Date]:[Date]],"&lt;="&amp;EOMONTH(R$8,0))+SUMIFS(BetTable[[AR_per_bookie]:[AR_per_bookie]],BetTable[[B3]:[B3]],$A135,BetTable[[Date]:[Date]], "&gt;="&amp;R$8,BetTable[[Date]:[Date]],"&lt;="&amp;EOMONTH(R$8,0))</f>
        <v>0</v>
      </c>
      <c r="S135" s="126">
        <f>SUMIFS(DWbonus[[Sum]:[Sum]],DWbonus[[Dato]:[Dato]], "&gt;="&amp;S$8,DWbonus[[Dato]:[Dato]],"&lt;="&amp;EOMONTH(S$8,0),DWbonus[[Bookie]:[Bookie]],$A135)+SUMIFS(LayTable[[Faktisk res]:[Faktisk res]],LayTable[[Dato]:[Dato]],"&gt;="&amp;S$8,LayTable[[Dato]:[Dato]],"&lt;="&amp;EOMONTH(S$8,0),LayTable[[Bookmaker]:[Bookmaker]],$A135)+SUMIFS(BetTable[[AR_per_bookie]:[AR_per_bookie]],BetTable[[B1]:[B1]],$A135,BetTable[[Date]:[Date]], "&gt;="&amp;S$8,BetTable[[Date]:[Date]],"&lt;="&amp;EOMONTH(S$8,0))+SUMIFS(BetTable[[AR_per_bookie]:[AR_per_bookie]],BetTable[[B2]:[B2]],$A135,BetTable[[Date]:[Date]], "&gt;="&amp;S$8,BetTable[[Date]:[Date]],"&lt;="&amp;EOMONTH(S$8,0))+SUMIFS(BetTable[[AR_per_bookie]:[AR_per_bookie]],BetTable[[B3]:[B3]],$A135,BetTable[[Date]:[Date]], "&gt;="&amp;S$8,BetTable[[Date]:[Date]],"&lt;="&amp;EOMONTH(S$8,0))</f>
        <v>0</v>
      </c>
    </row>
    <row r="136" spans="1:19">
      <c r="A136" s="115">
        <f>BookieNavn!I130</f>
        <v>0</v>
      </c>
      <c r="B136" s="126">
        <f>SUMIF(Penger!D$1:D$50072,A136,Penger!F$1:F$50072)</f>
        <v>0</v>
      </c>
      <c r="C136" s="126">
        <f>SUMIF(Penger!T$1:T$50072,A136,Penger!U$1:U$50072)</f>
        <v>0</v>
      </c>
      <c r="D136" s="126">
        <f ca="1">SUMIF(Spill!C$1:C$499895,A136,Spill!T$1:T$49895)+C136</f>
        <v>0</v>
      </c>
      <c r="E136" s="126">
        <f>SUMIF(Spill!C$1:C$49895,A136,Spill!T$1:T$49895)</f>
        <v>0</v>
      </c>
      <c r="F136" s="121" t="e">
        <f t="shared" ca="1" si="2"/>
        <v>#DIV/0!</v>
      </c>
      <c r="H136" s="126">
        <f>SUMIFS(DWbonus[[Sum]:[Sum]],DWbonus[[Dato]:[Dato]], "&gt;="&amp;H$8,DWbonus[[Dato]:[Dato]],"&lt;="&amp;EOMONTH(H$8,0),DWbonus[[Bookie]:[Bookie]],$A136)+SUMIFS(LayTable[[Faktisk res]:[Faktisk res]],LayTable[[Dato]:[Dato]],"&gt;="&amp;H$8,LayTable[[Dato]:[Dato]],"&lt;="&amp;EOMONTH(H$8,0),LayTable[[Bookmaker]:[Bookmaker]],$A136)+SUMIFS(BetTable[[AR_per_bookie]:[AR_per_bookie]],BetTable[[B1]:[B1]],$A136,BetTable[[Date]:[Date]], "&gt;="&amp;H$8,BetTable[[Date]:[Date]],"&lt;="&amp;EOMONTH(H$8,0))+SUMIFS(BetTable[[AR_per_bookie]:[AR_per_bookie]],BetTable[[B2]:[B2]],$A136,BetTable[[Date]:[Date]], "&gt;="&amp;H$8,BetTable[[Date]:[Date]],"&lt;="&amp;EOMONTH(H$8,0))+SUMIFS(BetTable[[AR_per_bookie]:[AR_per_bookie]],BetTable[[B3]:[B3]],$A136,BetTable[[Date]:[Date]], "&gt;="&amp;H$8,BetTable[[Date]:[Date]],"&lt;="&amp;EOMONTH(H$8,0))</f>
        <v>0</v>
      </c>
      <c r="I136" s="126">
        <f>SUMIFS(DWbonus[[Sum]:[Sum]],DWbonus[[Dato]:[Dato]], "&gt;="&amp;I$8,DWbonus[[Dato]:[Dato]],"&lt;="&amp;EOMONTH(I$8,0),DWbonus[[Bookie]:[Bookie]],$A136)+SUMIFS(LayTable[[Faktisk res]:[Faktisk res]],LayTable[[Dato]:[Dato]],"&gt;="&amp;I$8,LayTable[[Dato]:[Dato]],"&lt;="&amp;EOMONTH(I$8,0),LayTable[[Bookmaker]:[Bookmaker]],$A136)+SUMIFS(BetTable[[AR_per_bookie]:[AR_per_bookie]],BetTable[[B1]:[B1]],$A136,BetTable[[Date]:[Date]], "&gt;="&amp;I$8,BetTable[[Date]:[Date]],"&lt;="&amp;EOMONTH(I$8,0))+SUMIFS(BetTable[[AR_per_bookie]:[AR_per_bookie]],BetTable[[B2]:[B2]],$A136,BetTable[[Date]:[Date]], "&gt;="&amp;I$8,BetTable[[Date]:[Date]],"&lt;="&amp;EOMONTH(I$8,0))+SUMIFS(BetTable[[AR_per_bookie]:[AR_per_bookie]],BetTable[[B3]:[B3]],$A136,BetTable[[Date]:[Date]], "&gt;="&amp;I$8,BetTable[[Date]:[Date]],"&lt;="&amp;EOMONTH(I$8,0))</f>
        <v>0</v>
      </c>
      <c r="J136" s="126">
        <f>SUMIFS(DWbonus[[Sum]:[Sum]],DWbonus[[Dato]:[Dato]], "&gt;="&amp;J$8,DWbonus[[Dato]:[Dato]],"&lt;="&amp;EOMONTH(J$8,0),DWbonus[[Bookie]:[Bookie]],$A136)+SUMIFS(LayTable[[Faktisk res]:[Faktisk res]],LayTable[[Dato]:[Dato]],"&gt;="&amp;J$8,LayTable[[Dato]:[Dato]],"&lt;="&amp;EOMONTH(J$8,0),LayTable[[Bookmaker]:[Bookmaker]],$A136)+SUMIFS(BetTable[[AR_per_bookie]:[AR_per_bookie]],BetTable[[B1]:[B1]],$A136,BetTable[[Date]:[Date]], "&gt;="&amp;J$8,BetTable[[Date]:[Date]],"&lt;="&amp;EOMONTH(J$8,0))+SUMIFS(BetTable[[AR_per_bookie]:[AR_per_bookie]],BetTable[[B2]:[B2]],$A136,BetTable[[Date]:[Date]], "&gt;="&amp;J$8,BetTable[[Date]:[Date]],"&lt;="&amp;EOMONTH(J$8,0))+SUMIFS(BetTable[[AR_per_bookie]:[AR_per_bookie]],BetTable[[B3]:[B3]],$A136,BetTable[[Date]:[Date]], "&gt;="&amp;J$8,BetTable[[Date]:[Date]],"&lt;="&amp;EOMONTH(J$8,0))</f>
        <v>0</v>
      </c>
      <c r="K136" s="126">
        <f>SUMIFS(DWbonus[[Sum]:[Sum]],DWbonus[[Dato]:[Dato]], "&gt;="&amp;K$8,DWbonus[[Dato]:[Dato]],"&lt;="&amp;EOMONTH(K$8,0),DWbonus[[Bookie]:[Bookie]],$A136)+SUMIFS(LayTable[[Faktisk res]:[Faktisk res]],LayTable[[Dato]:[Dato]],"&gt;="&amp;K$8,LayTable[[Dato]:[Dato]],"&lt;="&amp;EOMONTH(K$8,0),LayTable[[Bookmaker]:[Bookmaker]],$A136)+SUMIFS(BetTable[[AR_per_bookie]:[AR_per_bookie]],BetTable[[B1]:[B1]],$A136,BetTable[[Date]:[Date]], "&gt;="&amp;K$8,BetTable[[Date]:[Date]],"&lt;="&amp;EOMONTH(K$8,0))+SUMIFS(BetTable[[AR_per_bookie]:[AR_per_bookie]],BetTable[[B2]:[B2]],$A136,BetTable[[Date]:[Date]], "&gt;="&amp;K$8,BetTable[[Date]:[Date]],"&lt;="&amp;EOMONTH(K$8,0))+SUMIFS(BetTable[[AR_per_bookie]:[AR_per_bookie]],BetTable[[B3]:[B3]],$A136,BetTable[[Date]:[Date]], "&gt;="&amp;K$8,BetTable[[Date]:[Date]],"&lt;="&amp;EOMONTH(K$8,0))</f>
        <v>0</v>
      </c>
      <c r="L136" s="126">
        <f>SUMIFS(DWbonus[[Sum]:[Sum]],DWbonus[[Dato]:[Dato]], "&gt;="&amp;L$8,DWbonus[[Dato]:[Dato]],"&lt;="&amp;EOMONTH(L$8,0),DWbonus[[Bookie]:[Bookie]],$A136)+SUMIFS(LayTable[[Faktisk res]:[Faktisk res]],LayTable[[Dato]:[Dato]],"&gt;="&amp;L$8,LayTable[[Dato]:[Dato]],"&lt;="&amp;EOMONTH(L$8,0),LayTable[[Bookmaker]:[Bookmaker]],$A136)+SUMIFS(BetTable[[AR_per_bookie]:[AR_per_bookie]],BetTable[[B1]:[B1]],$A136,BetTable[[Date]:[Date]], "&gt;="&amp;L$8,BetTable[[Date]:[Date]],"&lt;="&amp;EOMONTH(L$8,0))+SUMIFS(BetTable[[AR_per_bookie]:[AR_per_bookie]],BetTable[[B2]:[B2]],$A136,BetTable[[Date]:[Date]], "&gt;="&amp;L$8,BetTable[[Date]:[Date]],"&lt;="&amp;EOMONTH(L$8,0))+SUMIFS(BetTable[[AR_per_bookie]:[AR_per_bookie]],BetTable[[B3]:[B3]],$A136,BetTable[[Date]:[Date]], "&gt;="&amp;L$8,BetTable[[Date]:[Date]],"&lt;="&amp;EOMONTH(L$8,0))</f>
        <v>0</v>
      </c>
      <c r="M136" s="126">
        <f>SUMIFS(DWbonus[[Sum]:[Sum]],DWbonus[[Dato]:[Dato]], "&gt;="&amp;M$8,DWbonus[[Dato]:[Dato]],"&lt;="&amp;EOMONTH(M$8,0),DWbonus[[Bookie]:[Bookie]],$A136)+SUMIFS(LayTable[[Faktisk res]:[Faktisk res]],LayTable[[Dato]:[Dato]],"&gt;="&amp;M$8,LayTable[[Dato]:[Dato]],"&lt;="&amp;EOMONTH(M$8,0),LayTable[[Bookmaker]:[Bookmaker]],$A136)+SUMIFS(BetTable[[AR_per_bookie]:[AR_per_bookie]],BetTable[[B1]:[B1]],$A136,BetTable[[Date]:[Date]], "&gt;="&amp;M$8,BetTable[[Date]:[Date]],"&lt;="&amp;EOMONTH(M$8,0))+SUMIFS(BetTable[[AR_per_bookie]:[AR_per_bookie]],BetTable[[B2]:[B2]],$A136,BetTable[[Date]:[Date]], "&gt;="&amp;M$8,BetTable[[Date]:[Date]],"&lt;="&amp;EOMONTH(M$8,0))+SUMIFS(BetTable[[AR_per_bookie]:[AR_per_bookie]],BetTable[[B3]:[B3]],$A136,BetTable[[Date]:[Date]], "&gt;="&amp;M$8,BetTable[[Date]:[Date]],"&lt;="&amp;EOMONTH(M$8,0))</f>
        <v>0</v>
      </c>
      <c r="N136" s="126">
        <f>SUMIFS(DWbonus[[Sum]:[Sum]],DWbonus[[Dato]:[Dato]], "&gt;="&amp;N$8,DWbonus[[Dato]:[Dato]],"&lt;="&amp;EOMONTH(N$8,0),DWbonus[[Bookie]:[Bookie]],$A136)+SUMIFS(LayTable[[Faktisk res]:[Faktisk res]],LayTable[[Dato]:[Dato]],"&gt;="&amp;N$8,LayTable[[Dato]:[Dato]],"&lt;="&amp;EOMONTH(N$8,0),LayTable[[Bookmaker]:[Bookmaker]],$A136)+SUMIFS(BetTable[[AR_per_bookie]:[AR_per_bookie]],BetTable[[B1]:[B1]],$A136,BetTable[[Date]:[Date]], "&gt;="&amp;N$8,BetTable[[Date]:[Date]],"&lt;="&amp;EOMONTH(N$8,0))+SUMIFS(BetTable[[AR_per_bookie]:[AR_per_bookie]],BetTable[[B2]:[B2]],$A136,BetTable[[Date]:[Date]], "&gt;="&amp;N$8,BetTable[[Date]:[Date]],"&lt;="&amp;EOMONTH(N$8,0))+SUMIFS(BetTable[[AR_per_bookie]:[AR_per_bookie]],BetTable[[B3]:[B3]],$A136,BetTable[[Date]:[Date]], "&gt;="&amp;N$8,BetTable[[Date]:[Date]],"&lt;="&amp;EOMONTH(N$8,0))</f>
        <v>0</v>
      </c>
      <c r="O136" s="126">
        <f>SUMIFS(DWbonus[[Sum]:[Sum]],DWbonus[[Dato]:[Dato]], "&gt;="&amp;O$8,DWbonus[[Dato]:[Dato]],"&lt;="&amp;EOMONTH(O$8,0),DWbonus[[Bookie]:[Bookie]],$A136)+SUMIFS(LayTable[[Faktisk res]:[Faktisk res]],LayTable[[Dato]:[Dato]],"&gt;="&amp;O$8,LayTable[[Dato]:[Dato]],"&lt;="&amp;EOMONTH(O$8,0),LayTable[[Bookmaker]:[Bookmaker]],$A136)+SUMIFS(BetTable[[AR_per_bookie]:[AR_per_bookie]],BetTable[[B1]:[B1]],$A136,BetTable[[Date]:[Date]], "&gt;="&amp;O$8,BetTable[[Date]:[Date]],"&lt;="&amp;EOMONTH(O$8,0))+SUMIFS(BetTable[[AR_per_bookie]:[AR_per_bookie]],BetTable[[B2]:[B2]],$A136,BetTable[[Date]:[Date]], "&gt;="&amp;O$8,BetTable[[Date]:[Date]],"&lt;="&amp;EOMONTH(O$8,0))+SUMIFS(BetTable[[AR_per_bookie]:[AR_per_bookie]],BetTable[[B3]:[B3]],$A136,BetTable[[Date]:[Date]], "&gt;="&amp;O$8,BetTable[[Date]:[Date]],"&lt;="&amp;EOMONTH(O$8,0))</f>
        <v>0</v>
      </c>
      <c r="P136" s="126">
        <f>SUMIFS(DWbonus[[Sum]:[Sum]],DWbonus[[Dato]:[Dato]], "&gt;="&amp;P$8,DWbonus[[Dato]:[Dato]],"&lt;="&amp;EOMONTH(P$8,0),DWbonus[[Bookie]:[Bookie]],$A136)+SUMIFS(LayTable[[Faktisk res]:[Faktisk res]],LayTable[[Dato]:[Dato]],"&gt;="&amp;P$8,LayTable[[Dato]:[Dato]],"&lt;="&amp;EOMONTH(P$8,0),LayTable[[Bookmaker]:[Bookmaker]],$A136)+SUMIFS(BetTable[[AR_per_bookie]:[AR_per_bookie]],BetTable[[B1]:[B1]],$A136,BetTable[[Date]:[Date]], "&gt;="&amp;P$8,BetTable[[Date]:[Date]],"&lt;="&amp;EOMONTH(P$8,0))+SUMIFS(BetTable[[AR_per_bookie]:[AR_per_bookie]],BetTable[[B2]:[B2]],$A136,BetTable[[Date]:[Date]], "&gt;="&amp;P$8,BetTable[[Date]:[Date]],"&lt;="&amp;EOMONTH(P$8,0))+SUMIFS(BetTable[[AR_per_bookie]:[AR_per_bookie]],BetTable[[B3]:[B3]],$A136,BetTable[[Date]:[Date]], "&gt;="&amp;P$8,BetTable[[Date]:[Date]],"&lt;="&amp;EOMONTH(P$8,0))</f>
        <v>0</v>
      </c>
      <c r="Q136" s="126">
        <f>SUMIFS(DWbonus[[Sum]:[Sum]],DWbonus[[Dato]:[Dato]], "&gt;="&amp;Q$8,DWbonus[[Dato]:[Dato]],"&lt;="&amp;EOMONTH(Q$8,0),DWbonus[[Bookie]:[Bookie]],$A136)+SUMIFS(LayTable[[Faktisk res]:[Faktisk res]],LayTable[[Dato]:[Dato]],"&gt;="&amp;Q$8,LayTable[[Dato]:[Dato]],"&lt;="&amp;EOMONTH(Q$8,0),LayTable[[Bookmaker]:[Bookmaker]],$A136)+SUMIFS(BetTable[[AR_per_bookie]:[AR_per_bookie]],BetTable[[B1]:[B1]],$A136,BetTable[[Date]:[Date]], "&gt;="&amp;Q$8,BetTable[[Date]:[Date]],"&lt;="&amp;EOMONTH(Q$8,0))+SUMIFS(BetTable[[AR_per_bookie]:[AR_per_bookie]],BetTable[[B2]:[B2]],$A136,BetTable[[Date]:[Date]], "&gt;="&amp;Q$8,BetTable[[Date]:[Date]],"&lt;="&amp;EOMONTH(Q$8,0))+SUMIFS(BetTable[[AR_per_bookie]:[AR_per_bookie]],BetTable[[B3]:[B3]],$A136,BetTable[[Date]:[Date]], "&gt;="&amp;Q$8,BetTable[[Date]:[Date]],"&lt;="&amp;EOMONTH(Q$8,0))</f>
        <v>0</v>
      </c>
      <c r="R136" s="126">
        <f>SUMIFS(DWbonus[[Sum]:[Sum]],DWbonus[[Dato]:[Dato]], "&gt;="&amp;R$8,DWbonus[[Dato]:[Dato]],"&lt;="&amp;EOMONTH(R$8,0),DWbonus[[Bookie]:[Bookie]],$A136)+SUMIFS(LayTable[[Faktisk res]:[Faktisk res]],LayTable[[Dato]:[Dato]],"&gt;="&amp;R$8,LayTable[[Dato]:[Dato]],"&lt;="&amp;EOMONTH(R$8,0),LayTable[[Bookmaker]:[Bookmaker]],$A136)+SUMIFS(BetTable[[AR_per_bookie]:[AR_per_bookie]],BetTable[[B1]:[B1]],$A136,BetTable[[Date]:[Date]], "&gt;="&amp;R$8,BetTable[[Date]:[Date]],"&lt;="&amp;EOMONTH(R$8,0))+SUMIFS(BetTable[[AR_per_bookie]:[AR_per_bookie]],BetTable[[B2]:[B2]],$A136,BetTable[[Date]:[Date]], "&gt;="&amp;R$8,BetTable[[Date]:[Date]],"&lt;="&amp;EOMONTH(R$8,0))+SUMIFS(BetTable[[AR_per_bookie]:[AR_per_bookie]],BetTable[[B3]:[B3]],$A136,BetTable[[Date]:[Date]], "&gt;="&amp;R$8,BetTable[[Date]:[Date]],"&lt;="&amp;EOMONTH(R$8,0))</f>
        <v>0</v>
      </c>
      <c r="S136" s="126">
        <f>SUMIFS(DWbonus[[Sum]:[Sum]],DWbonus[[Dato]:[Dato]], "&gt;="&amp;S$8,DWbonus[[Dato]:[Dato]],"&lt;="&amp;EOMONTH(S$8,0),DWbonus[[Bookie]:[Bookie]],$A136)+SUMIFS(LayTable[[Faktisk res]:[Faktisk res]],LayTable[[Dato]:[Dato]],"&gt;="&amp;S$8,LayTable[[Dato]:[Dato]],"&lt;="&amp;EOMONTH(S$8,0),LayTable[[Bookmaker]:[Bookmaker]],$A136)+SUMIFS(BetTable[[AR_per_bookie]:[AR_per_bookie]],BetTable[[B1]:[B1]],$A136,BetTable[[Date]:[Date]], "&gt;="&amp;S$8,BetTable[[Date]:[Date]],"&lt;="&amp;EOMONTH(S$8,0))+SUMIFS(BetTable[[AR_per_bookie]:[AR_per_bookie]],BetTable[[B2]:[B2]],$A136,BetTable[[Date]:[Date]], "&gt;="&amp;S$8,BetTable[[Date]:[Date]],"&lt;="&amp;EOMONTH(S$8,0))+SUMIFS(BetTable[[AR_per_bookie]:[AR_per_bookie]],BetTable[[B3]:[B3]],$A136,BetTable[[Date]:[Date]], "&gt;="&amp;S$8,BetTable[[Date]:[Date]],"&lt;="&amp;EOMONTH(S$8,0))</f>
        <v>0</v>
      </c>
    </row>
    <row r="137" spans="1:19">
      <c r="A137" s="115">
        <f>BookieNavn!I131</f>
        <v>0</v>
      </c>
      <c r="B137" s="126">
        <f>SUMIF(Penger!D$1:D$50072,A137,Penger!F$1:F$50072)</f>
        <v>0</v>
      </c>
      <c r="C137" s="126">
        <f>SUMIF(Penger!T$1:T$50072,A137,Penger!U$1:U$50072)</f>
        <v>0</v>
      </c>
      <c r="D137" s="126">
        <f ca="1">SUMIF(Spill!C$1:C$499895,A137,Spill!T$1:T$49895)+C137</f>
        <v>0</v>
      </c>
      <c r="E137" s="126">
        <f>SUMIF(Spill!C$1:C$49895,A137,Spill!T$1:T$49895)</f>
        <v>0</v>
      </c>
      <c r="F137" s="121" t="e">
        <f t="shared" ca="1" si="2"/>
        <v>#DIV/0!</v>
      </c>
      <c r="H137" s="126">
        <f>SUMIFS(DWbonus[[Sum]:[Sum]],DWbonus[[Dato]:[Dato]], "&gt;="&amp;H$8,DWbonus[[Dato]:[Dato]],"&lt;="&amp;EOMONTH(H$8,0),DWbonus[[Bookie]:[Bookie]],$A137)+SUMIFS(LayTable[[Faktisk res]:[Faktisk res]],LayTable[[Dato]:[Dato]],"&gt;="&amp;H$8,LayTable[[Dato]:[Dato]],"&lt;="&amp;EOMONTH(H$8,0),LayTable[[Bookmaker]:[Bookmaker]],$A137)+SUMIFS(BetTable[[AR_per_bookie]:[AR_per_bookie]],BetTable[[B1]:[B1]],$A137,BetTable[[Date]:[Date]], "&gt;="&amp;H$8,BetTable[[Date]:[Date]],"&lt;="&amp;EOMONTH(H$8,0))+SUMIFS(BetTable[[AR_per_bookie]:[AR_per_bookie]],BetTable[[B2]:[B2]],$A137,BetTable[[Date]:[Date]], "&gt;="&amp;H$8,BetTable[[Date]:[Date]],"&lt;="&amp;EOMONTH(H$8,0))+SUMIFS(BetTable[[AR_per_bookie]:[AR_per_bookie]],BetTable[[B3]:[B3]],$A137,BetTable[[Date]:[Date]], "&gt;="&amp;H$8,BetTable[[Date]:[Date]],"&lt;="&amp;EOMONTH(H$8,0))</f>
        <v>0</v>
      </c>
      <c r="I137" s="126">
        <f>SUMIFS(DWbonus[[Sum]:[Sum]],DWbonus[[Dato]:[Dato]], "&gt;="&amp;I$8,DWbonus[[Dato]:[Dato]],"&lt;="&amp;EOMONTH(I$8,0),DWbonus[[Bookie]:[Bookie]],$A137)+SUMIFS(LayTable[[Faktisk res]:[Faktisk res]],LayTable[[Dato]:[Dato]],"&gt;="&amp;I$8,LayTable[[Dato]:[Dato]],"&lt;="&amp;EOMONTH(I$8,0),LayTable[[Bookmaker]:[Bookmaker]],$A137)+SUMIFS(BetTable[[AR_per_bookie]:[AR_per_bookie]],BetTable[[B1]:[B1]],$A137,BetTable[[Date]:[Date]], "&gt;="&amp;I$8,BetTable[[Date]:[Date]],"&lt;="&amp;EOMONTH(I$8,0))+SUMIFS(BetTable[[AR_per_bookie]:[AR_per_bookie]],BetTable[[B2]:[B2]],$A137,BetTable[[Date]:[Date]], "&gt;="&amp;I$8,BetTable[[Date]:[Date]],"&lt;="&amp;EOMONTH(I$8,0))+SUMIFS(BetTable[[AR_per_bookie]:[AR_per_bookie]],BetTable[[B3]:[B3]],$A137,BetTable[[Date]:[Date]], "&gt;="&amp;I$8,BetTable[[Date]:[Date]],"&lt;="&amp;EOMONTH(I$8,0))</f>
        <v>0</v>
      </c>
      <c r="J137" s="126">
        <f>SUMIFS(DWbonus[[Sum]:[Sum]],DWbonus[[Dato]:[Dato]], "&gt;="&amp;J$8,DWbonus[[Dato]:[Dato]],"&lt;="&amp;EOMONTH(J$8,0),DWbonus[[Bookie]:[Bookie]],$A137)+SUMIFS(LayTable[[Faktisk res]:[Faktisk res]],LayTable[[Dato]:[Dato]],"&gt;="&amp;J$8,LayTable[[Dato]:[Dato]],"&lt;="&amp;EOMONTH(J$8,0),LayTable[[Bookmaker]:[Bookmaker]],$A137)+SUMIFS(BetTable[[AR_per_bookie]:[AR_per_bookie]],BetTable[[B1]:[B1]],$A137,BetTable[[Date]:[Date]], "&gt;="&amp;J$8,BetTable[[Date]:[Date]],"&lt;="&amp;EOMONTH(J$8,0))+SUMIFS(BetTable[[AR_per_bookie]:[AR_per_bookie]],BetTable[[B2]:[B2]],$A137,BetTable[[Date]:[Date]], "&gt;="&amp;J$8,BetTable[[Date]:[Date]],"&lt;="&amp;EOMONTH(J$8,0))+SUMIFS(BetTable[[AR_per_bookie]:[AR_per_bookie]],BetTable[[B3]:[B3]],$A137,BetTable[[Date]:[Date]], "&gt;="&amp;J$8,BetTable[[Date]:[Date]],"&lt;="&amp;EOMONTH(J$8,0))</f>
        <v>0</v>
      </c>
      <c r="K137" s="126">
        <f>SUMIFS(DWbonus[[Sum]:[Sum]],DWbonus[[Dato]:[Dato]], "&gt;="&amp;K$8,DWbonus[[Dato]:[Dato]],"&lt;="&amp;EOMONTH(K$8,0),DWbonus[[Bookie]:[Bookie]],$A137)+SUMIFS(LayTable[[Faktisk res]:[Faktisk res]],LayTable[[Dato]:[Dato]],"&gt;="&amp;K$8,LayTable[[Dato]:[Dato]],"&lt;="&amp;EOMONTH(K$8,0),LayTable[[Bookmaker]:[Bookmaker]],$A137)+SUMIFS(BetTable[[AR_per_bookie]:[AR_per_bookie]],BetTable[[B1]:[B1]],$A137,BetTable[[Date]:[Date]], "&gt;="&amp;K$8,BetTable[[Date]:[Date]],"&lt;="&amp;EOMONTH(K$8,0))+SUMIFS(BetTable[[AR_per_bookie]:[AR_per_bookie]],BetTable[[B2]:[B2]],$A137,BetTable[[Date]:[Date]], "&gt;="&amp;K$8,BetTable[[Date]:[Date]],"&lt;="&amp;EOMONTH(K$8,0))+SUMIFS(BetTable[[AR_per_bookie]:[AR_per_bookie]],BetTable[[B3]:[B3]],$A137,BetTable[[Date]:[Date]], "&gt;="&amp;K$8,BetTable[[Date]:[Date]],"&lt;="&amp;EOMONTH(K$8,0))</f>
        <v>0</v>
      </c>
      <c r="L137" s="126">
        <f>SUMIFS(DWbonus[[Sum]:[Sum]],DWbonus[[Dato]:[Dato]], "&gt;="&amp;L$8,DWbonus[[Dato]:[Dato]],"&lt;="&amp;EOMONTH(L$8,0),DWbonus[[Bookie]:[Bookie]],$A137)+SUMIFS(LayTable[[Faktisk res]:[Faktisk res]],LayTable[[Dato]:[Dato]],"&gt;="&amp;L$8,LayTable[[Dato]:[Dato]],"&lt;="&amp;EOMONTH(L$8,0),LayTable[[Bookmaker]:[Bookmaker]],$A137)+SUMIFS(BetTable[[AR_per_bookie]:[AR_per_bookie]],BetTable[[B1]:[B1]],$A137,BetTable[[Date]:[Date]], "&gt;="&amp;L$8,BetTable[[Date]:[Date]],"&lt;="&amp;EOMONTH(L$8,0))+SUMIFS(BetTable[[AR_per_bookie]:[AR_per_bookie]],BetTable[[B2]:[B2]],$A137,BetTable[[Date]:[Date]], "&gt;="&amp;L$8,BetTable[[Date]:[Date]],"&lt;="&amp;EOMONTH(L$8,0))+SUMIFS(BetTable[[AR_per_bookie]:[AR_per_bookie]],BetTable[[B3]:[B3]],$A137,BetTable[[Date]:[Date]], "&gt;="&amp;L$8,BetTable[[Date]:[Date]],"&lt;="&amp;EOMONTH(L$8,0))</f>
        <v>0</v>
      </c>
      <c r="M137" s="126">
        <f>SUMIFS(DWbonus[[Sum]:[Sum]],DWbonus[[Dato]:[Dato]], "&gt;="&amp;M$8,DWbonus[[Dato]:[Dato]],"&lt;="&amp;EOMONTH(M$8,0),DWbonus[[Bookie]:[Bookie]],$A137)+SUMIFS(LayTable[[Faktisk res]:[Faktisk res]],LayTable[[Dato]:[Dato]],"&gt;="&amp;M$8,LayTable[[Dato]:[Dato]],"&lt;="&amp;EOMONTH(M$8,0),LayTable[[Bookmaker]:[Bookmaker]],$A137)+SUMIFS(BetTable[[AR_per_bookie]:[AR_per_bookie]],BetTable[[B1]:[B1]],$A137,BetTable[[Date]:[Date]], "&gt;="&amp;M$8,BetTable[[Date]:[Date]],"&lt;="&amp;EOMONTH(M$8,0))+SUMIFS(BetTable[[AR_per_bookie]:[AR_per_bookie]],BetTable[[B2]:[B2]],$A137,BetTable[[Date]:[Date]], "&gt;="&amp;M$8,BetTable[[Date]:[Date]],"&lt;="&amp;EOMONTH(M$8,0))+SUMIFS(BetTable[[AR_per_bookie]:[AR_per_bookie]],BetTable[[B3]:[B3]],$A137,BetTable[[Date]:[Date]], "&gt;="&amp;M$8,BetTable[[Date]:[Date]],"&lt;="&amp;EOMONTH(M$8,0))</f>
        <v>0</v>
      </c>
      <c r="N137" s="126">
        <f>SUMIFS(DWbonus[[Sum]:[Sum]],DWbonus[[Dato]:[Dato]], "&gt;="&amp;N$8,DWbonus[[Dato]:[Dato]],"&lt;="&amp;EOMONTH(N$8,0),DWbonus[[Bookie]:[Bookie]],$A137)+SUMIFS(LayTable[[Faktisk res]:[Faktisk res]],LayTable[[Dato]:[Dato]],"&gt;="&amp;N$8,LayTable[[Dato]:[Dato]],"&lt;="&amp;EOMONTH(N$8,0),LayTable[[Bookmaker]:[Bookmaker]],$A137)+SUMIFS(BetTable[[AR_per_bookie]:[AR_per_bookie]],BetTable[[B1]:[B1]],$A137,BetTable[[Date]:[Date]], "&gt;="&amp;N$8,BetTable[[Date]:[Date]],"&lt;="&amp;EOMONTH(N$8,0))+SUMIFS(BetTable[[AR_per_bookie]:[AR_per_bookie]],BetTable[[B2]:[B2]],$A137,BetTable[[Date]:[Date]], "&gt;="&amp;N$8,BetTable[[Date]:[Date]],"&lt;="&amp;EOMONTH(N$8,0))+SUMIFS(BetTable[[AR_per_bookie]:[AR_per_bookie]],BetTable[[B3]:[B3]],$A137,BetTable[[Date]:[Date]], "&gt;="&amp;N$8,BetTable[[Date]:[Date]],"&lt;="&amp;EOMONTH(N$8,0))</f>
        <v>0</v>
      </c>
      <c r="O137" s="126">
        <f>SUMIFS(DWbonus[[Sum]:[Sum]],DWbonus[[Dato]:[Dato]], "&gt;="&amp;O$8,DWbonus[[Dato]:[Dato]],"&lt;="&amp;EOMONTH(O$8,0),DWbonus[[Bookie]:[Bookie]],$A137)+SUMIFS(LayTable[[Faktisk res]:[Faktisk res]],LayTable[[Dato]:[Dato]],"&gt;="&amp;O$8,LayTable[[Dato]:[Dato]],"&lt;="&amp;EOMONTH(O$8,0),LayTable[[Bookmaker]:[Bookmaker]],$A137)+SUMIFS(BetTable[[AR_per_bookie]:[AR_per_bookie]],BetTable[[B1]:[B1]],$A137,BetTable[[Date]:[Date]], "&gt;="&amp;O$8,BetTable[[Date]:[Date]],"&lt;="&amp;EOMONTH(O$8,0))+SUMIFS(BetTable[[AR_per_bookie]:[AR_per_bookie]],BetTable[[B2]:[B2]],$A137,BetTable[[Date]:[Date]], "&gt;="&amp;O$8,BetTable[[Date]:[Date]],"&lt;="&amp;EOMONTH(O$8,0))+SUMIFS(BetTable[[AR_per_bookie]:[AR_per_bookie]],BetTable[[B3]:[B3]],$A137,BetTable[[Date]:[Date]], "&gt;="&amp;O$8,BetTable[[Date]:[Date]],"&lt;="&amp;EOMONTH(O$8,0))</f>
        <v>0</v>
      </c>
      <c r="P137" s="126">
        <f>SUMIFS(DWbonus[[Sum]:[Sum]],DWbonus[[Dato]:[Dato]], "&gt;="&amp;P$8,DWbonus[[Dato]:[Dato]],"&lt;="&amp;EOMONTH(P$8,0),DWbonus[[Bookie]:[Bookie]],$A137)+SUMIFS(LayTable[[Faktisk res]:[Faktisk res]],LayTable[[Dato]:[Dato]],"&gt;="&amp;P$8,LayTable[[Dato]:[Dato]],"&lt;="&amp;EOMONTH(P$8,0),LayTable[[Bookmaker]:[Bookmaker]],$A137)+SUMIFS(BetTable[[AR_per_bookie]:[AR_per_bookie]],BetTable[[B1]:[B1]],$A137,BetTable[[Date]:[Date]], "&gt;="&amp;P$8,BetTable[[Date]:[Date]],"&lt;="&amp;EOMONTH(P$8,0))+SUMIFS(BetTable[[AR_per_bookie]:[AR_per_bookie]],BetTable[[B2]:[B2]],$A137,BetTable[[Date]:[Date]], "&gt;="&amp;P$8,BetTable[[Date]:[Date]],"&lt;="&amp;EOMONTH(P$8,0))+SUMIFS(BetTable[[AR_per_bookie]:[AR_per_bookie]],BetTable[[B3]:[B3]],$A137,BetTable[[Date]:[Date]], "&gt;="&amp;P$8,BetTable[[Date]:[Date]],"&lt;="&amp;EOMONTH(P$8,0))</f>
        <v>0</v>
      </c>
      <c r="Q137" s="126">
        <f>SUMIFS(DWbonus[[Sum]:[Sum]],DWbonus[[Dato]:[Dato]], "&gt;="&amp;Q$8,DWbonus[[Dato]:[Dato]],"&lt;="&amp;EOMONTH(Q$8,0),DWbonus[[Bookie]:[Bookie]],$A137)+SUMIFS(LayTable[[Faktisk res]:[Faktisk res]],LayTable[[Dato]:[Dato]],"&gt;="&amp;Q$8,LayTable[[Dato]:[Dato]],"&lt;="&amp;EOMONTH(Q$8,0),LayTable[[Bookmaker]:[Bookmaker]],$A137)+SUMIFS(BetTable[[AR_per_bookie]:[AR_per_bookie]],BetTable[[B1]:[B1]],$A137,BetTable[[Date]:[Date]], "&gt;="&amp;Q$8,BetTable[[Date]:[Date]],"&lt;="&amp;EOMONTH(Q$8,0))+SUMIFS(BetTable[[AR_per_bookie]:[AR_per_bookie]],BetTable[[B2]:[B2]],$A137,BetTable[[Date]:[Date]], "&gt;="&amp;Q$8,BetTable[[Date]:[Date]],"&lt;="&amp;EOMONTH(Q$8,0))+SUMIFS(BetTable[[AR_per_bookie]:[AR_per_bookie]],BetTable[[B3]:[B3]],$A137,BetTable[[Date]:[Date]], "&gt;="&amp;Q$8,BetTable[[Date]:[Date]],"&lt;="&amp;EOMONTH(Q$8,0))</f>
        <v>0</v>
      </c>
      <c r="R137" s="126">
        <f>SUMIFS(DWbonus[[Sum]:[Sum]],DWbonus[[Dato]:[Dato]], "&gt;="&amp;R$8,DWbonus[[Dato]:[Dato]],"&lt;="&amp;EOMONTH(R$8,0),DWbonus[[Bookie]:[Bookie]],$A137)+SUMIFS(LayTable[[Faktisk res]:[Faktisk res]],LayTable[[Dato]:[Dato]],"&gt;="&amp;R$8,LayTable[[Dato]:[Dato]],"&lt;="&amp;EOMONTH(R$8,0),LayTable[[Bookmaker]:[Bookmaker]],$A137)+SUMIFS(BetTable[[AR_per_bookie]:[AR_per_bookie]],BetTable[[B1]:[B1]],$A137,BetTable[[Date]:[Date]], "&gt;="&amp;R$8,BetTable[[Date]:[Date]],"&lt;="&amp;EOMONTH(R$8,0))+SUMIFS(BetTable[[AR_per_bookie]:[AR_per_bookie]],BetTable[[B2]:[B2]],$A137,BetTable[[Date]:[Date]], "&gt;="&amp;R$8,BetTable[[Date]:[Date]],"&lt;="&amp;EOMONTH(R$8,0))+SUMIFS(BetTable[[AR_per_bookie]:[AR_per_bookie]],BetTable[[B3]:[B3]],$A137,BetTable[[Date]:[Date]], "&gt;="&amp;R$8,BetTable[[Date]:[Date]],"&lt;="&amp;EOMONTH(R$8,0))</f>
        <v>0</v>
      </c>
      <c r="S137" s="126">
        <f>SUMIFS(DWbonus[[Sum]:[Sum]],DWbonus[[Dato]:[Dato]], "&gt;="&amp;S$8,DWbonus[[Dato]:[Dato]],"&lt;="&amp;EOMONTH(S$8,0),DWbonus[[Bookie]:[Bookie]],$A137)+SUMIFS(LayTable[[Faktisk res]:[Faktisk res]],LayTable[[Dato]:[Dato]],"&gt;="&amp;S$8,LayTable[[Dato]:[Dato]],"&lt;="&amp;EOMONTH(S$8,0),LayTable[[Bookmaker]:[Bookmaker]],$A137)+SUMIFS(BetTable[[AR_per_bookie]:[AR_per_bookie]],BetTable[[B1]:[B1]],$A137,BetTable[[Date]:[Date]], "&gt;="&amp;S$8,BetTable[[Date]:[Date]],"&lt;="&amp;EOMONTH(S$8,0))+SUMIFS(BetTable[[AR_per_bookie]:[AR_per_bookie]],BetTable[[B2]:[B2]],$A137,BetTable[[Date]:[Date]], "&gt;="&amp;S$8,BetTable[[Date]:[Date]],"&lt;="&amp;EOMONTH(S$8,0))+SUMIFS(BetTable[[AR_per_bookie]:[AR_per_bookie]],BetTable[[B3]:[B3]],$A137,BetTable[[Date]:[Date]], "&gt;="&amp;S$8,BetTable[[Date]:[Date]],"&lt;="&amp;EOMONTH(S$8,0))</f>
        <v>0</v>
      </c>
    </row>
    <row r="138" spans="1:19">
      <c r="A138" s="115">
        <f>BookieNavn!I132</f>
        <v>0</v>
      </c>
      <c r="B138" s="126">
        <f>SUMIF(Penger!D$1:D$50072,A138,Penger!F$1:F$50072)</f>
        <v>0</v>
      </c>
      <c r="C138" s="126">
        <f>SUMIF(Penger!T$1:T$50072,A138,Penger!U$1:U$50072)</f>
        <v>0</v>
      </c>
      <c r="D138" s="126">
        <f ca="1">SUMIF(Spill!C$1:C$499895,A138,Spill!T$1:T$49895)+C138</f>
        <v>0</v>
      </c>
      <c r="E138" s="126">
        <f>SUMIF(Spill!C$1:C$49895,A138,Spill!T$1:T$49895)</f>
        <v>0</v>
      </c>
      <c r="F138" s="121" t="e">
        <f t="shared" ca="1" si="2"/>
        <v>#DIV/0!</v>
      </c>
      <c r="H138" s="126">
        <f>SUMIFS(DWbonus[[Sum]:[Sum]],DWbonus[[Dato]:[Dato]], "&gt;="&amp;H$8,DWbonus[[Dato]:[Dato]],"&lt;="&amp;EOMONTH(H$8,0),DWbonus[[Bookie]:[Bookie]],$A138)+SUMIFS(LayTable[[Faktisk res]:[Faktisk res]],LayTable[[Dato]:[Dato]],"&gt;="&amp;H$8,LayTable[[Dato]:[Dato]],"&lt;="&amp;EOMONTH(H$8,0),LayTable[[Bookmaker]:[Bookmaker]],$A138)+SUMIFS(BetTable[[AR_per_bookie]:[AR_per_bookie]],BetTable[[B1]:[B1]],$A138,BetTable[[Date]:[Date]], "&gt;="&amp;H$8,BetTable[[Date]:[Date]],"&lt;="&amp;EOMONTH(H$8,0))+SUMIFS(BetTable[[AR_per_bookie]:[AR_per_bookie]],BetTable[[B2]:[B2]],$A138,BetTable[[Date]:[Date]], "&gt;="&amp;H$8,BetTable[[Date]:[Date]],"&lt;="&amp;EOMONTH(H$8,0))+SUMIFS(BetTable[[AR_per_bookie]:[AR_per_bookie]],BetTable[[B3]:[B3]],$A138,BetTable[[Date]:[Date]], "&gt;="&amp;H$8,BetTable[[Date]:[Date]],"&lt;="&amp;EOMONTH(H$8,0))</f>
        <v>0</v>
      </c>
      <c r="I138" s="126">
        <f>SUMIFS(DWbonus[[Sum]:[Sum]],DWbonus[[Dato]:[Dato]], "&gt;="&amp;I$8,DWbonus[[Dato]:[Dato]],"&lt;="&amp;EOMONTH(I$8,0),DWbonus[[Bookie]:[Bookie]],$A138)+SUMIFS(LayTable[[Faktisk res]:[Faktisk res]],LayTable[[Dato]:[Dato]],"&gt;="&amp;I$8,LayTable[[Dato]:[Dato]],"&lt;="&amp;EOMONTH(I$8,0),LayTable[[Bookmaker]:[Bookmaker]],$A138)+SUMIFS(BetTable[[AR_per_bookie]:[AR_per_bookie]],BetTable[[B1]:[B1]],$A138,BetTable[[Date]:[Date]], "&gt;="&amp;I$8,BetTable[[Date]:[Date]],"&lt;="&amp;EOMONTH(I$8,0))+SUMIFS(BetTable[[AR_per_bookie]:[AR_per_bookie]],BetTable[[B2]:[B2]],$A138,BetTable[[Date]:[Date]], "&gt;="&amp;I$8,BetTable[[Date]:[Date]],"&lt;="&amp;EOMONTH(I$8,0))+SUMIFS(BetTable[[AR_per_bookie]:[AR_per_bookie]],BetTable[[B3]:[B3]],$A138,BetTable[[Date]:[Date]], "&gt;="&amp;I$8,BetTable[[Date]:[Date]],"&lt;="&amp;EOMONTH(I$8,0))</f>
        <v>0</v>
      </c>
      <c r="J138" s="126">
        <f>SUMIFS(DWbonus[[Sum]:[Sum]],DWbonus[[Dato]:[Dato]], "&gt;="&amp;J$8,DWbonus[[Dato]:[Dato]],"&lt;="&amp;EOMONTH(J$8,0),DWbonus[[Bookie]:[Bookie]],$A138)+SUMIFS(LayTable[[Faktisk res]:[Faktisk res]],LayTable[[Dato]:[Dato]],"&gt;="&amp;J$8,LayTable[[Dato]:[Dato]],"&lt;="&amp;EOMONTH(J$8,0),LayTable[[Bookmaker]:[Bookmaker]],$A138)+SUMIFS(BetTable[[AR_per_bookie]:[AR_per_bookie]],BetTable[[B1]:[B1]],$A138,BetTable[[Date]:[Date]], "&gt;="&amp;J$8,BetTable[[Date]:[Date]],"&lt;="&amp;EOMONTH(J$8,0))+SUMIFS(BetTable[[AR_per_bookie]:[AR_per_bookie]],BetTable[[B2]:[B2]],$A138,BetTable[[Date]:[Date]], "&gt;="&amp;J$8,BetTable[[Date]:[Date]],"&lt;="&amp;EOMONTH(J$8,0))+SUMIFS(BetTable[[AR_per_bookie]:[AR_per_bookie]],BetTable[[B3]:[B3]],$A138,BetTable[[Date]:[Date]], "&gt;="&amp;J$8,BetTable[[Date]:[Date]],"&lt;="&amp;EOMONTH(J$8,0))</f>
        <v>0</v>
      </c>
      <c r="K138" s="126">
        <f>SUMIFS(DWbonus[[Sum]:[Sum]],DWbonus[[Dato]:[Dato]], "&gt;="&amp;K$8,DWbonus[[Dato]:[Dato]],"&lt;="&amp;EOMONTH(K$8,0),DWbonus[[Bookie]:[Bookie]],$A138)+SUMIFS(LayTable[[Faktisk res]:[Faktisk res]],LayTable[[Dato]:[Dato]],"&gt;="&amp;K$8,LayTable[[Dato]:[Dato]],"&lt;="&amp;EOMONTH(K$8,0),LayTable[[Bookmaker]:[Bookmaker]],$A138)+SUMIFS(BetTable[[AR_per_bookie]:[AR_per_bookie]],BetTable[[B1]:[B1]],$A138,BetTable[[Date]:[Date]], "&gt;="&amp;K$8,BetTable[[Date]:[Date]],"&lt;="&amp;EOMONTH(K$8,0))+SUMIFS(BetTable[[AR_per_bookie]:[AR_per_bookie]],BetTable[[B2]:[B2]],$A138,BetTable[[Date]:[Date]], "&gt;="&amp;K$8,BetTable[[Date]:[Date]],"&lt;="&amp;EOMONTH(K$8,0))+SUMIFS(BetTable[[AR_per_bookie]:[AR_per_bookie]],BetTable[[B3]:[B3]],$A138,BetTable[[Date]:[Date]], "&gt;="&amp;K$8,BetTable[[Date]:[Date]],"&lt;="&amp;EOMONTH(K$8,0))</f>
        <v>0</v>
      </c>
      <c r="L138" s="126">
        <f>SUMIFS(DWbonus[[Sum]:[Sum]],DWbonus[[Dato]:[Dato]], "&gt;="&amp;L$8,DWbonus[[Dato]:[Dato]],"&lt;="&amp;EOMONTH(L$8,0),DWbonus[[Bookie]:[Bookie]],$A138)+SUMIFS(LayTable[[Faktisk res]:[Faktisk res]],LayTable[[Dato]:[Dato]],"&gt;="&amp;L$8,LayTable[[Dato]:[Dato]],"&lt;="&amp;EOMONTH(L$8,0),LayTable[[Bookmaker]:[Bookmaker]],$A138)+SUMIFS(BetTable[[AR_per_bookie]:[AR_per_bookie]],BetTable[[B1]:[B1]],$A138,BetTable[[Date]:[Date]], "&gt;="&amp;L$8,BetTable[[Date]:[Date]],"&lt;="&amp;EOMONTH(L$8,0))+SUMIFS(BetTable[[AR_per_bookie]:[AR_per_bookie]],BetTable[[B2]:[B2]],$A138,BetTable[[Date]:[Date]], "&gt;="&amp;L$8,BetTable[[Date]:[Date]],"&lt;="&amp;EOMONTH(L$8,0))+SUMIFS(BetTable[[AR_per_bookie]:[AR_per_bookie]],BetTable[[B3]:[B3]],$A138,BetTable[[Date]:[Date]], "&gt;="&amp;L$8,BetTable[[Date]:[Date]],"&lt;="&amp;EOMONTH(L$8,0))</f>
        <v>0</v>
      </c>
      <c r="M138" s="126">
        <f>SUMIFS(DWbonus[[Sum]:[Sum]],DWbonus[[Dato]:[Dato]], "&gt;="&amp;M$8,DWbonus[[Dato]:[Dato]],"&lt;="&amp;EOMONTH(M$8,0),DWbonus[[Bookie]:[Bookie]],$A138)+SUMIFS(LayTable[[Faktisk res]:[Faktisk res]],LayTable[[Dato]:[Dato]],"&gt;="&amp;M$8,LayTable[[Dato]:[Dato]],"&lt;="&amp;EOMONTH(M$8,0),LayTable[[Bookmaker]:[Bookmaker]],$A138)+SUMIFS(BetTable[[AR_per_bookie]:[AR_per_bookie]],BetTable[[B1]:[B1]],$A138,BetTable[[Date]:[Date]], "&gt;="&amp;M$8,BetTable[[Date]:[Date]],"&lt;="&amp;EOMONTH(M$8,0))+SUMIFS(BetTable[[AR_per_bookie]:[AR_per_bookie]],BetTable[[B2]:[B2]],$A138,BetTable[[Date]:[Date]], "&gt;="&amp;M$8,BetTable[[Date]:[Date]],"&lt;="&amp;EOMONTH(M$8,0))+SUMIFS(BetTable[[AR_per_bookie]:[AR_per_bookie]],BetTable[[B3]:[B3]],$A138,BetTable[[Date]:[Date]], "&gt;="&amp;M$8,BetTable[[Date]:[Date]],"&lt;="&amp;EOMONTH(M$8,0))</f>
        <v>0</v>
      </c>
      <c r="N138" s="126">
        <f>SUMIFS(DWbonus[[Sum]:[Sum]],DWbonus[[Dato]:[Dato]], "&gt;="&amp;N$8,DWbonus[[Dato]:[Dato]],"&lt;="&amp;EOMONTH(N$8,0),DWbonus[[Bookie]:[Bookie]],$A138)+SUMIFS(LayTable[[Faktisk res]:[Faktisk res]],LayTable[[Dato]:[Dato]],"&gt;="&amp;N$8,LayTable[[Dato]:[Dato]],"&lt;="&amp;EOMONTH(N$8,0),LayTable[[Bookmaker]:[Bookmaker]],$A138)+SUMIFS(BetTable[[AR_per_bookie]:[AR_per_bookie]],BetTable[[B1]:[B1]],$A138,BetTable[[Date]:[Date]], "&gt;="&amp;N$8,BetTable[[Date]:[Date]],"&lt;="&amp;EOMONTH(N$8,0))+SUMIFS(BetTable[[AR_per_bookie]:[AR_per_bookie]],BetTable[[B2]:[B2]],$A138,BetTable[[Date]:[Date]], "&gt;="&amp;N$8,BetTable[[Date]:[Date]],"&lt;="&amp;EOMONTH(N$8,0))+SUMIFS(BetTable[[AR_per_bookie]:[AR_per_bookie]],BetTable[[B3]:[B3]],$A138,BetTable[[Date]:[Date]], "&gt;="&amp;N$8,BetTable[[Date]:[Date]],"&lt;="&amp;EOMONTH(N$8,0))</f>
        <v>0</v>
      </c>
      <c r="O138" s="126">
        <f>SUMIFS(DWbonus[[Sum]:[Sum]],DWbonus[[Dato]:[Dato]], "&gt;="&amp;O$8,DWbonus[[Dato]:[Dato]],"&lt;="&amp;EOMONTH(O$8,0),DWbonus[[Bookie]:[Bookie]],$A138)+SUMIFS(LayTable[[Faktisk res]:[Faktisk res]],LayTable[[Dato]:[Dato]],"&gt;="&amp;O$8,LayTable[[Dato]:[Dato]],"&lt;="&amp;EOMONTH(O$8,0),LayTable[[Bookmaker]:[Bookmaker]],$A138)+SUMIFS(BetTable[[AR_per_bookie]:[AR_per_bookie]],BetTable[[B1]:[B1]],$A138,BetTable[[Date]:[Date]], "&gt;="&amp;O$8,BetTable[[Date]:[Date]],"&lt;="&amp;EOMONTH(O$8,0))+SUMIFS(BetTable[[AR_per_bookie]:[AR_per_bookie]],BetTable[[B2]:[B2]],$A138,BetTable[[Date]:[Date]], "&gt;="&amp;O$8,BetTable[[Date]:[Date]],"&lt;="&amp;EOMONTH(O$8,0))+SUMIFS(BetTable[[AR_per_bookie]:[AR_per_bookie]],BetTable[[B3]:[B3]],$A138,BetTable[[Date]:[Date]], "&gt;="&amp;O$8,BetTable[[Date]:[Date]],"&lt;="&amp;EOMONTH(O$8,0))</f>
        <v>0</v>
      </c>
      <c r="P138" s="126">
        <f>SUMIFS(DWbonus[[Sum]:[Sum]],DWbonus[[Dato]:[Dato]], "&gt;="&amp;P$8,DWbonus[[Dato]:[Dato]],"&lt;="&amp;EOMONTH(P$8,0),DWbonus[[Bookie]:[Bookie]],$A138)+SUMIFS(LayTable[[Faktisk res]:[Faktisk res]],LayTable[[Dato]:[Dato]],"&gt;="&amp;P$8,LayTable[[Dato]:[Dato]],"&lt;="&amp;EOMONTH(P$8,0),LayTable[[Bookmaker]:[Bookmaker]],$A138)+SUMIFS(BetTable[[AR_per_bookie]:[AR_per_bookie]],BetTable[[B1]:[B1]],$A138,BetTable[[Date]:[Date]], "&gt;="&amp;P$8,BetTable[[Date]:[Date]],"&lt;="&amp;EOMONTH(P$8,0))+SUMIFS(BetTable[[AR_per_bookie]:[AR_per_bookie]],BetTable[[B2]:[B2]],$A138,BetTable[[Date]:[Date]], "&gt;="&amp;P$8,BetTable[[Date]:[Date]],"&lt;="&amp;EOMONTH(P$8,0))+SUMIFS(BetTable[[AR_per_bookie]:[AR_per_bookie]],BetTable[[B3]:[B3]],$A138,BetTable[[Date]:[Date]], "&gt;="&amp;P$8,BetTable[[Date]:[Date]],"&lt;="&amp;EOMONTH(P$8,0))</f>
        <v>0</v>
      </c>
      <c r="Q138" s="126">
        <f>SUMIFS(DWbonus[[Sum]:[Sum]],DWbonus[[Dato]:[Dato]], "&gt;="&amp;Q$8,DWbonus[[Dato]:[Dato]],"&lt;="&amp;EOMONTH(Q$8,0),DWbonus[[Bookie]:[Bookie]],$A138)+SUMIFS(LayTable[[Faktisk res]:[Faktisk res]],LayTable[[Dato]:[Dato]],"&gt;="&amp;Q$8,LayTable[[Dato]:[Dato]],"&lt;="&amp;EOMONTH(Q$8,0),LayTable[[Bookmaker]:[Bookmaker]],$A138)+SUMIFS(BetTable[[AR_per_bookie]:[AR_per_bookie]],BetTable[[B1]:[B1]],$A138,BetTable[[Date]:[Date]], "&gt;="&amp;Q$8,BetTable[[Date]:[Date]],"&lt;="&amp;EOMONTH(Q$8,0))+SUMIFS(BetTable[[AR_per_bookie]:[AR_per_bookie]],BetTable[[B2]:[B2]],$A138,BetTable[[Date]:[Date]], "&gt;="&amp;Q$8,BetTable[[Date]:[Date]],"&lt;="&amp;EOMONTH(Q$8,0))+SUMIFS(BetTable[[AR_per_bookie]:[AR_per_bookie]],BetTable[[B3]:[B3]],$A138,BetTable[[Date]:[Date]], "&gt;="&amp;Q$8,BetTable[[Date]:[Date]],"&lt;="&amp;EOMONTH(Q$8,0))</f>
        <v>0</v>
      </c>
      <c r="R138" s="126">
        <f>SUMIFS(DWbonus[[Sum]:[Sum]],DWbonus[[Dato]:[Dato]], "&gt;="&amp;R$8,DWbonus[[Dato]:[Dato]],"&lt;="&amp;EOMONTH(R$8,0),DWbonus[[Bookie]:[Bookie]],$A138)+SUMIFS(LayTable[[Faktisk res]:[Faktisk res]],LayTable[[Dato]:[Dato]],"&gt;="&amp;R$8,LayTable[[Dato]:[Dato]],"&lt;="&amp;EOMONTH(R$8,0),LayTable[[Bookmaker]:[Bookmaker]],$A138)+SUMIFS(BetTable[[AR_per_bookie]:[AR_per_bookie]],BetTable[[B1]:[B1]],$A138,BetTable[[Date]:[Date]], "&gt;="&amp;R$8,BetTable[[Date]:[Date]],"&lt;="&amp;EOMONTH(R$8,0))+SUMIFS(BetTable[[AR_per_bookie]:[AR_per_bookie]],BetTable[[B2]:[B2]],$A138,BetTable[[Date]:[Date]], "&gt;="&amp;R$8,BetTable[[Date]:[Date]],"&lt;="&amp;EOMONTH(R$8,0))+SUMIFS(BetTable[[AR_per_bookie]:[AR_per_bookie]],BetTable[[B3]:[B3]],$A138,BetTable[[Date]:[Date]], "&gt;="&amp;R$8,BetTable[[Date]:[Date]],"&lt;="&amp;EOMONTH(R$8,0))</f>
        <v>0</v>
      </c>
      <c r="S138" s="126">
        <f>SUMIFS(DWbonus[[Sum]:[Sum]],DWbonus[[Dato]:[Dato]], "&gt;="&amp;S$8,DWbonus[[Dato]:[Dato]],"&lt;="&amp;EOMONTH(S$8,0),DWbonus[[Bookie]:[Bookie]],$A138)+SUMIFS(LayTable[[Faktisk res]:[Faktisk res]],LayTable[[Dato]:[Dato]],"&gt;="&amp;S$8,LayTable[[Dato]:[Dato]],"&lt;="&amp;EOMONTH(S$8,0),LayTable[[Bookmaker]:[Bookmaker]],$A138)+SUMIFS(BetTable[[AR_per_bookie]:[AR_per_bookie]],BetTable[[B1]:[B1]],$A138,BetTable[[Date]:[Date]], "&gt;="&amp;S$8,BetTable[[Date]:[Date]],"&lt;="&amp;EOMONTH(S$8,0))+SUMIFS(BetTable[[AR_per_bookie]:[AR_per_bookie]],BetTable[[B2]:[B2]],$A138,BetTable[[Date]:[Date]], "&gt;="&amp;S$8,BetTable[[Date]:[Date]],"&lt;="&amp;EOMONTH(S$8,0))+SUMIFS(BetTable[[AR_per_bookie]:[AR_per_bookie]],BetTable[[B3]:[B3]],$A138,BetTable[[Date]:[Date]], "&gt;="&amp;S$8,BetTable[[Date]:[Date]],"&lt;="&amp;EOMONTH(S$8,0))</f>
        <v>0</v>
      </c>
    </row>
    <row r="139" spans="1:19">
      <c r="A139" s="115">
        <f>BookieNavn!I133</f>
        <v>0</v>
      </c>
      <c r="B139" s="126">
        <f>SUMIF(Penger!D$1:D$50072,A139,Penger!F$1:F$50072)</f>
        <v>0</v>
      </c>
      <c r="C139" s="126">
        <f>SUMIF(Penger!T$1:T$50072,A139,Penger!U$1:U$50072)</f>
        <v>0</v>
      </c>
      <c r="D139" s="126">
        <f ca="1">SUMIF(Spill!C$1:C$499895,A139,Spill!T$1:T$49895)+C139</f>
        <v>0</v>
      </c>
      <c r="E139" s="126">
        <f>SUMIF(Spill!C$1:C$49895,A139,Spill!T$1:T$49895)</f>
        <v>0</v>
      </c>
      <c r="F139" s="121" t="e">
        <f t="shared" ca="1" si="2"/>
        <v>#DIV/0!</v>
      </c>
      <c r="H139" s="126">
        <f>SUMIFS(DWbonus[[Sum]:[Sum]],DWbonus[[Dato]:[Dato]], "&gt;="&amp;H$8,DWbonus[[Dato]:[Dato]],"&lt;="&amp;EOMONTH(H$8,0),DWbonus[[Bookie]:[Bookie]],$A139)+SUMIFS(LayTable[[Faktisk res]:[Faktisk res]],LayTable[[Dato]:[Dato]],"&gt;="&amp;H$8,LayTable[[Dato]:[Dato]],"&lt;="&amp;EOMONTH(H$8,0),LayTable[[Bookmaker]:[Bookmaker]],$A139)+SUMIFS(BetTable[[AR_per_bookie]:[AR_per_bookie]],BetTable[[B1]:[B1]],$A139,BetTable[[Date]:[Date]], "&gt;="&amp;H$8,BetTable[[Date]:[Date]],"&lt;="&amp;EOMONTH(H$8,0))+SUMIFS(BetTable[[AR_per_bookie]:[AR_per_bookie]],BetTable[[B2]:[B2]],$A139,BetTable[[Date]:[Date]], "&gt;="&amp;H$8,BetTable[[Date]:[Date]],"&lt;="&amp;EOMONTH(H$8,0))+SUMIFS(BetTable[[AR_per_bookie]:[AR_per_bookie]],BetTable[[B3]:[B3]],$A139,BetTable[[Date]:[Date]], "&gt;="&amp;H$8,BetTable[[Date]:[Date]],"&lt;="&amp;EOMONTH(H$8,0))</f>
        <v>0</v>
      </c>
      <c r="I139" s="126">
        <f>SUMIFS(DWbonus[[Sum]:[Sum]],DWbonus[[Dato]:[Dato]], "&gt;="&amp;I$8,DWbonus[[Dato]:[Dato]],"&lt;="&amp;EOMONTH(I$8,0),DWbonus[[Bookie]:[Bookie]],$A139)+SUMIFS(LayTable[[Faktisk res]:[Faktisk res]],LayTable[[Dato]:[Dato]],"&gt;="&amp;I$8,LayTable[[Dato]:[Dato]],"&lt;="&amp;EOMONTH(I$8,0),LayTable[[Bookmaker]:[Bookmaker]],$A139)+SUMIFS(BetTable[[AR_per_bookie]:[AR_per_bookie]],BetTable[[B1]:[B1]],$A139,BetTable[[Date]:[Date]], "&gt;="&amp;I$8,BetTable[[Date]:[Date]],"&lt;="&amp;EOMONTH(I$8,0))+SUMIFS(BetTable[[AR_per_bookie]:[AR_per_bookie]],BetTable[[B2]:[B2]],$A139,BetTable[[Date]:[Date]], "&gt;="&amp;I$8,BetTable[[Date]:[Date]],"&lt;="&amp;EOMONTH(I$8,0))+SUMIFS(BetTable[[AR_per_bookie]:[AR_per_bookie]],BetTable[[B3]:[B3]],$A139,BetTable[[Date]:[Date]], "&gt;="&amp;I$8,BetTable[[Date]:[Date]],"&lt;="&amp;EOMONTH(I$8,0))</f>
        <v>0</v>
      </c>
      <c r="J139" s="126">
        <f>SUMIFS(DWbonus[[Sum]:[Sum]],DWbonus[[Dato]:[Dato]], "&gt;="&amp;J$8,DWbonus[[Dato]:[Dato]],"&lt;="&amp;EOMONTH(J$8,0),DWbonus[[Bookie]:[Bookie]],$A139)+SUMIFS(LayTable[[Faktisk res]:[Faktisk res]],LayTable[[Dato]:[Dato]],"&gt;="&amp;J$8,LayTable[[Dato]:[Dato]],"&lt;="&amp;EOMONTH(J$8,0),LayTable[[Bookmaker]:[Bookmaker]],$A139)+SUMIFS(BetTable[[AR_per_bookie]:[AR_per_bookie]],BetTable[[B1]:[B1]],$A139,BetTable[[Date]:[Date]], "&gt;="&amp;J$8,BetTable[[Date]:[Date]],"&lt;="&amp;EOMONTH(J$8,0))+SUMIFS(BetTable[[AR_per_bookie]:[AR_per_bookie]],BetTable[[B2]:[B2]],$A139,BetTable[[Date]:[Date]], "&gt;="&amp;J$8,BetTable[[Date]:[Date]],"&lt;="&amp;EOMONTH(J$8,0))+SUMIFS(BetTable[[AR_per_bookie]:[AR_per_bookie]],BetTable[[B3]:[B3]],$A139,BetTable[[Date]:[Date]], "&gt;="&amp;J$8,BetTable[[Date]:[Date]],"&lt;="&amp;EOMONTH(J$8,0))</f>
        <v>0</v>
      </c>
      <c r="K139" s="126">
        <f>SUMIFS(DWbonus[[Sum]:[Sum]],DWbonus[[Dato]:[Dato]], "&gt;="&amp;K$8,DWbonus[[Dato]:[Dato]],"&lt;="&amp;EOMONTH(K$8,0),DWbonus[[Bookie]:[Bookie]],$A139)+SUMIFS(LayTable[[Faktisk res]:[Faktisk res]],LayTable[[Dato]:[Dato]],"&gt;="&amp;K$8,LayTable[[Dato]:[Dato]],"&lt;="&amp;EOMONTH(K$8,0),LayTable[[Bookmaker]:[Bookmaker]],$A139)+SUMIFS(BetTable[[AR_per_bookie]:[AR_per_bookie]],BetTable[[B1]:[B1]],$A139,BetTable[[Date]:[Date]], "&gt;="&amp;K$8,BetTable[[Date]:[Date]],"&lt;="&amp;EOMONTH(K$8,0))+SUMIFS(BetTable[[AR_per_bookie]:[AR_per_bookie]],BetTable[[B2]:[B2]],$A139,BetTable[[Date]:[Date]], "&gt;="&amp;K$8,BetTable[[Date]:[Date]],"&lt;="&amp;EOMONTH(K$8,0))+SUMIFS(BetTable[[AR_per_bookie]:[AR_per_bookie]],BetTable[[B3]:[B3]],$A139,BetTable[[Date]:[Date]], "&gt;="&amp;K$8,BetTable[[Date]:[Date]],"&lt;="&amp;EOMONTH(K$8,0))</f>
        <v>0</v>
      </c>
      <c r="L139" s="126">
        <f>SUMIFS(DWbonus[[Sum]:[Sum]],DWbonus[[Dato]:[Dato]], "&gt;="&amp;L$8,DWbonus[[Dato]:[Dato]],"&lt;="&amp;EOMONTH(L$8,0),DWbonus[[Bookie]:[Bookie]],$A139)+SUMIFS(LayTable[[Faktisk res]:[Faktisk res]],LayTable[[Dato]:[Dato]],"&gt;="&amp;L$8,LayTable[[Dato]:[Dato]],"&lt;="&amp;EOMONTH(L$8,0),LayTable[[Bookmaker]:[Bookmaker]],$A139)+SUMIFS(BetTable[[AR_per_bookie]:[AR_per_bookie]],BetTable[[B1]:[B1]],$A139,BetTable[[Date]:[Date]], "&gt;="&amp;L$8,BetTable[[Date]:[Date]],"&lt;="&amp;EOMONTH(L$8,0))+SUMIFS(BetTable[[AR_per_bookie]:[AR_per_bookie]],BetTable[[B2]:[B2]],$A139,BetTable[[Date]:[Date]], "&gt;="&amp;L$8,BetTable[[Date]:[Date]],"&lt;="&amp;EOMONTH(L$8,0))+SUMIFS(BetTable[[AR_per_bookie]:[AR_per_bookie]],BetTable[[B3]:[B3]],$A139,BetTable[[Date]:[Date]], "&gt;="&amp;L$8,BetTable[[Date]:[Date]],"&lt;="&amp;EOMONTH(L$8,0))</f>
        <v>0</v>
      </c>
      <c r="M139" s="126">
        <f>SUMIFS(DWbonus[[Sum]:[Sum]],DWbonus[[Dato]:[Dato]], "&gt;="&amp;M$8,DWbonus[[Dato]:[Dato]],"&lt;="&amp;EOMONTH(M$8,0),DWbonus[[Bookie]:[Bookie]],$A139)+SUMIFS(LayTable[[Faktisk res]:[Faktisk res]],LayTable[[Dato]:[Dato]],"&gt;="&amp;M$8,LayTable[[Dato]:[Dato]],"&lt;="&amp;EOMONTH(M$8,0),LayTable[[Bookmaker]:[Bookmaker]],$A139)+SUMIFS(BetTable[[AR_per_bookie]:[AR_per_bookie]],BetTable[[B1]:[B1]],$A139,BetTable[[Date]:[Date]], "&gt;="&amp;M$8,BetTable[[Date]:[Date]],"&lt;="&amp;EOMONTH(M$8,0))+SUMIFS(BetTable[[AR_per_bookie]:[AR_per_bookie]],BetTable[[B2]:[B2]],$A139,BetTable[[Date]:[Date]], "&gt;="&amp;M$8,BetTable[[Date]:[Date]],"&lt;="&amp;EOMONTH(M$8,0))+SUMIFS(BetTable[[AR_per_bookie]:[AR_per_bookie]],BetTable[[B3]:[B3]],$A139,BetTable[[Date]:[Date]], "&gt;="&amp;M$8,BetTable[[Date]:[Date]],"&lt;="&amp;EOMONTH(M$8,0))</f>
        <v>0</v>
      </c>
      <c r="N139" s="126">
        <f>SUMIFS(DWbonus[[Sum]:[Sum]],DWbonus[[Dato]:[Dato]], "&gt;="&amp;N$8,DWbonus[[Dato]:[Dato]],"&lt;="&amp;EOMONTH(N$8,0),DWbonus[[Bookie]:[Bookie]],$A139)+SUMIFS(LayTable[[Faktisk res]:[Faktisk res]],LayTable[[Dato]:[Dato]],"&gt;="&amp;N$8,LayTable[[Dato]:[Dato]],"&lt;="&amp;EOMONTH(N$8,0),LayTable[[Bookmaker]:[Bookmaker]],$A139)+SUMIFS(BetTable[[AR_per_bookie]:[AR_per_bookie]],BetTable[[B1]:[B1]],$A139,BetTable[[Date]:[Date]], "&gt;="&amp;N$8,BetTable[[Date]:[Date]],"&lt;="&amp;EOMONTH(N$8,0))+SUMIFS(BetTable[[AR_per_bookie]:[AR_per_bookie]],BetTable[[B2]:[B2]],$A139,BetTable[[Date]:[Date]], "&gt;="&amp;N$8,BetTable[[Date]:[Date]],"&lt;="&amp;EOMONTH(N$8,0))+SUMIFS(BetTable[[AR_per_bookie]:[AR_per_bookie]],BetTable[[B3]:[B3]],$A139,BetTable[[Date]:[Date]], "&gt;="&amp;N$8,BetTable[[Date]:[Date]],"&lt;="&amp;EOMONTH(N$8,0))</f>
        <v>0</v>
      </c>
      <c r="O139" s="126">
        <f>SUMIFS(DWbonus[[Sum]:[Sum]],DWbonus[[Dato]:[Dato]], "&gt;="&amp;O$8,DWbonus[[Dato]:[Dato]],"&lt;="&amp;EOMONTH(O$8,0),DWbonus[[Bookie]:[Bookie]],$A139)+SUMIFS(LayTable[[Faktisk res]:[Faktisk res]],LayTable[[Dato]:[Dato]],"&gt;="&amp;O$8,LayTable[[Dato]:[Dato]],"&lt;="&amp;EOMONTH(O$8,0),LayTable[[Bookmaker]:[Bookmaker]],$A139)+SUMIFS(BetTable[[AR_per_bookie]:[AR_per_bookie]],BetTable[[B1]:[B1]],$A139,BetTable[[Date]:[Date]], "&gt;="&amp;O$8,BetTable[[Date]:[Date]],"&lt;="&amp;EOMONTH(O$8,0))+SUMIFS(BetTable[[AR_per_bookie]:[AR_per_bookie]],BetTable[[B2]:[B2]],$A139,BetTable[[Date]:[Date]], "&gt;="&amp;O$8,BetTable[[Date]:[Date]],"&lt;="&amp;EOMONTH(O$8,0))+SUMIFS(BetTable[[AR_per_bookie]:[AR_per_bookie]],BetTable[[B3]:[B3]],$A139,BetTable[[Date]:[Date]], "&gt;="&amp;O$8,BetTable[[Date]:[Date]],"&lt;="&amp;EOMONTH(O$8,0))</f>
        <v>0</v>
      </c>
      <c r="P139" s="126">
        <f>SUMIFS(DWbonus[[Sum]:[Sum]],DWbonus[[Dato]:[Dato]], "&gt;="&amp;P$8,DWbonus[[Dato]:[Dato]],"&lt;="&amp;EOMONTH(P$8,0),DWbonus[[Bookie]:[Bookie]],$A139)+SUMIFS(LayTable[[Faktisk res]:[Faktisk res]],LayTable[[Dato]:[Dato]],"&gt;="&amp;P$8,LayTable[[Dato]:[Dato]],"&lt;="&amp;EOMONTH(P$8,0),LayTable[[Bookmaker]:[Bookmaker]],$A139)+SUMIFS(BetTable[[AR_per_bookie]:[AR_per_bookie]],BetTable[[B1]:[B1]],$A139,BetTable[[Date]:[Date]], "&gt;="&amp;P$8,BetTable[[Date]:[Date]],"&lt;="&amp;EOMONTH(P$8,0))+SUMIFS(BetTable[[AR_per_bookie]:[AR_per_bookie]],BetTable[[B2]:[B2]],$A139,BetTable[[Date]:[Date]], "&gt;="&amp;P$8,BetTable[[Date]:[Date]],"&lt;="&amp;EOMONTH(P$8,0))+SUMIFS(BetTable[[AR_per_bookie]:[AR_per_bookie]],BetTable[[B3]:[B3]],$A139,BetTable[[Date]:[Date]], "&gt;="&amp;P$8,BetTable[[Date]:[Date]],"&lt;="&amp;EOMONTH(P$8,0))</f>
        <v>0</v>
      </c>
      <c r="Q139" s="126">
        <f>SUMIFS(DWbonus[[Sum]:[Sum]],DWbonus[[Dato]:[Dato]], "&gt;="&amp;Q$8,DWbonus[[Dato]:[Dato]],"&lt;="&amp;EOMONTH(Q$8,0),DWbonus[[Bookie]:[Bookie]],$A139)+SUMIFS(LayTable[[Faktisk res]:[Faktisk res]],LayTable[[Dato]:[Dato]],"&gt;="&amp;Q$8,LayTable[[Dato]:[Dato]],"&lt;="&amp;EOMONTH(Q$8,0),LayTable[[Bookmaker]:[Bookmaker]],$A139)+SUMIFS(BetTable[[AR_per_bookie]:[AR_per_bookie]],BetTable[[B1]:[B1]],$A139,BetTable[[Date]:[Date]], "&gt;="&amp;Q$8,BetTable[[Date]:[Date]],"&lt;="&amp;EOMONTH(Q$8,0))+SUMIFS(BetTable[[AR_per_bookie]:[AR_per_bookie]],BetTable[[B2]:[B2]],$A139,BetTable[[Date]:[Date]], "&gt;="&amp;Q$8,BetTable[[Date]:[Date]],"&lt;="&amp;EOMONTH(Q$8,0))+SUMIFS(BetTable[[AR_per_bookie]:[AR_per_bookie]],BetTable[[B3]:[B3]],$A139,BetTable[[Date]:[Date]], "&gt;="&amp;Q$8,BetTable[[Date]:[Date]],"&lt;="&amp;EOMONTH(Q$8,0))</f>
        <v>0</v>
      </c>
      <c r="R139" s="126">
        <f>SUMIFS(DWbonus[[Sum]:[Sum]],DWbonus[[Dato]:[Dato]], "&gt;="&amp;R$8,DWbonus[[Dato]:[Dato]],"&lt;="&amp;EOMONTH(R$8,0),DWbonus[[Bookie]:[Bookie]],$A139)+SUMIFS(LayTable[[Faktisk res]:[Faktisk res]],LayTable[[Dato]:[Dato]],"&gt;="&amp;R$8,LayTable[[Dato]:[Dato]],"&lt;="&amp;EOMONTH(R$8,0),LayTable[[Bookmaker]:[Bookmaker]],$A139)+SUMIFS(BetTable[[AR_per_bookie]:[AR_per_bookie]],BetTable[[B1]:[B1]],$A139,BetTable[[Date]:[Date]], "&gt;="&amp;R$8,BetTable[[Date]:[Date]],"&lt;="&amp;EOMONTH(R$8,0))+SUMIFS(BetTable[[AR_per_bookie]:[AR_per_bookie]],BetTable[[B2]:[B2]],$A139,BetTable[[Date]:[Date]], "&gt;="&amp;R$8,BetTable[[Date]:[Date]],"&lt;="&amp;EOMONTH(R$8,0))+SUMIFS(BetTable[[AR_per_bookie]:[AR_per_bookie]],BetTable[[B3]:[B3]],$A139,BetTable[[Date]:[Date]], "&gt;="&amp;R$8,BetTable[[Date]:[Date]],"&lt;="&amp;EOMONTH(R$8,0))</f>
        <v>0</v>
      </c>
      <c r="S139" s="126">
        <f>SUMIFS(DWbonus[[Sum]:[Sum]],DWbonus[[Dato]:[Dato]], "&gt;="&amp;S$8,DWbonus[[Dato]:[Dato]],"&lt;="&amp;EOMONTH(S$8,0),DWbonus[[Bookie]:[Bookie]],$A139)+SUMIFS(LayTable[[Faktisk res]:[Faktisk res]],LayTable[[Dato]:[Dato]],"&gt;="&amp;S$8,LayTable[[Dato]:[Dato]],"&lt;="&amp;EOMONTH(S$8,0),LayTable[[Bookmaker]:[Bookmaker]],$A139)+SUMIFS(BetTable[[AR_per_bookie]:[AR_per_bookie]],BetTable[[B1]:[B1]],$A139,BetTable[[Date]:[Date]], "&gt;="&amp;S$8,BetTable[[Date]:[Date]],"&lt;="&amp;EOMONTH(S$8,0))+SUMIFS(BetTable[[AR_per_bookie]:[AR_per_bookie]],BetTable[[B2]:[B2]],$A139,BetTable[[Date]:[Date]], "&gt;="&amp;S$8,BetTable[[Date]:[Date]],"&lt;="&amp;EOMONTH(S$8,0))+SUMIFS(BetTable[[AR_per_bookie]:[AR_per_bookie]],BetTable[[B3]:[B3]],$A139,BetTable[[Date]:[Date]], "&gt;="&amp;S$8,BetTable[[Date]:[Date]],"&lt;="&amp;EOMONTH(S$8,0))</f>
        <v>0</v>
      </c>
    </row>
    <row r="140" spans="1:19">
      <c r="A140" s="115">
        <f>BookieNavn!I134</f>
        <v>0</v>
      </c>
      <c r="B140" s="126">
        <f>SUMIF(Penger!D$1:D$50072,A140,Penger!F$1:F$50072)</f>
        <v>0</v>
      </c>
      <c r="C140" s="126">
        <f>SUMIF(Penger!T$1:T$50072,A140,Penger!U$1:U$50072)</f>
        <v>0</v>
      </c>
      <c r="D140" s="126">
        <f ca="1">SUMIF(Spill!C$1:C$499895,A140,Spill!T$1:T$49895)+C140</f>
        <v>0</v>
      </c>
      <c r="E140" s="126">
        <f>SUMIF(Spill!C$1:C$49895,A140,Spill!T$1:T$49895)</f>
        <v>0</v>
      </c>
      <c r="F140" s="121" t="e">
        <f t="shared" ref="F140:F159" ca="1" si="3">D140/C140</f>
        <v>#DIV/0!</v>
      </c>
      <c r="H140" s="126">
        <f>SUMIFS(DWbonus[[Sum]:[Sum]],DWbonus[[Dato]:[Dato]], "&gt;="&amp;H$8,DWbonus[[Dato]:[Dato]],"&lt;="&amp;EOMONTH(H$8,0),DWbonus[[Bookie]:[Bookie]],$A140)+SUMIFS(LayTable[[Faktisk res]:[Faktisk res]],LayTable[[Dato]:[Dato]],"&gt;="&amp;H$8,LayTable[[Dato]:[Dato]],"&lt;="&amp;EOMONTH(H$8,0),LayTable[[Bookmaker]:[Bookmaker]],$A140)+SUMIFS(BetTable[[AR_per_bookie]:[AR_per_bookie]],BetTable[[B1]:[B1]],$A140,BetTable[[Date]:[Date]], "&gt;="&amp;H$8,BetTable[[Date]:[Date]],"&lt;="&amp;EOMONTH(H$8,0))+SUMIFS(BetTable[[AR_per_bookie]:[AR_per_bookie]],BetTable[[B2]:[B2]],$A140,BetTable[[Date]:[Date]], "&gt;="&amp;H$8,BetTable[[Date]:[Date]],"&lt;="&amp;EOMONTH(H$8,0))+SUMIFS(BetTable[[AR_per_bookie]:[AR_per_bookie]],BetTable[[B3]:[B3]],$A140,BetTable[[Date]:[Date]], "&gt;="&amp;H$8,BetTable[[Date]:[Date]],"&lt;="&amp;EOMONTH(H$8,0))</f>
        <v>0</v>
      </c>
      <c r="I140" s="126">
        <f>SUMIFS(DWbonus[[Sum]:[Sum]],DWbonus[[Dato]:[Dato]], "&gt;="&amp;I$8,DWbonus[[Dato]:[Dato]],"&lt;="&amp;EOMONTH(I$8,0),DWbonus[[Bookie]:[Bookie]],$A140)+SUMIFS(LayTable[[Faktisk res]:[Faktisk res]],LayTable[[Dato]:[Dato]],"&gt;="&amp;I$8,LayTable[[Dato]:[Dato]],"&lt;="&amp;EOMONTH(I$8,0),LayTable[[Bookmaker]:[Bookmaker]],$A140)+SUMIFS(BetTable[[AR_per_bookie]:[AR_per_bookie]],BetTable[[B1]:[B1]],$A140,BetTable[[Date]:[Date]], "&gt;="&amp;I$8,BetTable[[Date]:[Date]],"&lt;="&amp;EOMONTH(I$8,0))+SUMIFS(BetTable[[AR_per_bookie]:[AR_per_bookie]],BetTable[[B2]:[B2]],$A140,BetTable[[Date]:[Date]], "&gt;="&amp;I$8,BetTable[[Date]:[Date]],"&lt;="&amp;EOMONTH(I$8,0))+SUMIFS(BetTable[[AR_per_bookie]:[AR_per_bookie]],BetTable[[B3]:[B3]],$A140,BetTable[[Date]:[Date]], "&gt;="&amp;I$8,BetTable[[Date]:[Date]],"&lt;="&amp;EOMONTH(I$8,0))</f>
        <v>0</v>
      </c>
      <c r="J140" s="126">
        <f>SUMIFS(DWbonus[[Sum]:[Sum]],DWbonus[[Dato]:[Dato]], "&gt;="&amp;J$8,DWbonus[[Dato]:[Dato]],"&lt;="&amp;EOMONTH(J$8,0),DWbonus[[Bookie]:[Bookie]],$A140)+SUMIFS(LayTable[[Faktisk res]:[Faktisk res]],LayTable[[Dato]:[Dato]],"&gt;="&amp;J$8,LayTable[[Dato]:[Dato]],"&lt;="&amp;EOMONTH(J$8,0),LayTable[[Bookmaker]:[Bookmaker]],$A140)+SUMIFS(BetTable[[AR_per_bookie]:[AR_per_bookie]],BetTable[[B1]:[B1]],$A140,BetTable[[Date]:[Date]], "&gt;="&amp;J$8,BetTable[[Date]:[Date]],"&lt;="&amp;EOMONTH(J$8,0))+SUMIFS(BetTable[[AR_per_bookie]:[AR_per_bookie]],BetTable[[B2]:[B2]],$A140,BetTable[[Date]:[Date]], "&gt;="&amp;J$8,BetTable[[Date]:[Date]],"&lt;="&amp;EOMONTH(J$8,0))+SUMIFS(BetTable[[AR_per_bookie]:[AR_per_bookie]],BetTable[[B3]:[B3]],$A140,BetTable[[Date]:[Date]], "&gt;="&amp;J$8,BetTable[[Date]:[Date]],"&lt;="&amp;EOMONTH(J$8,0))</f>
        <v>0</v>
      </c>
      <c r="K140" s="126">
        <f>SUMIFS(DWbonus[[Sum]:[Sum]],DWbonus[[Dato]:[Dato]], "&gt;="&amp;K$8,DWbonus[[Dato]:[Dato]],"&lt;="&amp;EOMONTH(K$8,0),DWbonus[[Bookie]:[Bookie]],$A140)+SUMIFS(LayTable[[Faktisk res]:[Faktisk res]],LayTable[[Dato]:[Dato]],"&gt;="&amp;K$8,LayTable[[Dato]:[Dato]],"&lt;="&amp;EOMONTH(K$8,0),LayTable[[Bookmaker]:[Bookmaker]],$A140)+SUMIFS(BetTable[[AR_per_bookie]:[AR_per_bookie]],BetTable[[B1]:[B1]],$A140,BetTable[[Date]:[Date]], "&gt;="&amp;K$8,BetTable[[Date]:[Date]],"&lt;="&amp;EOMONTH(K$8,0))+SUMIFS(BetTable[[AR_per_bookie]:[AR_per_bookie]],BetTable[[B2]:[B2]],$A140,BetTable[[Date]:[Date]], "&gt;="&amp;K$8,BetTable[[Date]:[Date]],"&lt;="&amp;EOMONTH(K$8,0))+SUMIFS(BetTable[[AR_per_bookie]:[AR_per_bookie]],BetTable[[B3]:[B3]],$A140,BetTable[[Date]:[Date]], "&gt;="&amp;K$8,BetTable[[Date]:[Date]],"&lt;="&amp;EOMONTH(K$8,0))</f>
        <v>0</v>
      </c>
      <c r="L140" s="126">
        <f>SUMIFS(DWbonus[[Sum]:[Sum]],DWbonus[[Dato]:[Dato]], "&gt;="&amp;L$8,DWbonus[[Dato]:[Dato]],"&lt;="&amp;EOMONTH(L$8,0),DWbonus[[Bookie]:[Bookie]],$A140)+SUMIFS(LayTable[[Faktisk res]:[Faktisk res]],LayTable[[Dato]:[Dato]],"&gt;="&amp;L$8,LayTable[[Dato]:[Dato]],"&lt;="&amp;EOMONTH(L$8,0),LayTable[[Bookmaker]:[Bookmaker]],$A140)+SUMIFS(BetTable[[AR_per_bookie]:[AR_per_bookie]],BetTable[[B1]:[B1]],$A140,BetTable[[Date]:[Date]], "&gt;="&amp;L$8,BetTable[[Date]:[Date]],"&lt;="&amp;EOMONTH(L$8,0))+SUMIFS(BetTable[[AR_per_bookie]:[AR_per_bookie]],BetTable[[B2]:[B2]],$A140,BetTable[[Date]:[Date]], "&gt;="&amp;L$8,BetTable[[Date]:[Date]],"&lt;="&amp;EOMONTH(L$8,0))+SUMIFS(BetTable[[AR_per_bookie]:[AR_per_bookie]],BetTable[[B3]:[B3]],$A140,BetTable[[Date]:[Date]], "&gt;="&amp;L$8,BetTable[[Date]:[Date]],"&lt;="&amp;EOMONTH(L$8,0))</f>
        <v>0</v>
      </c>
      <c r="M140" s="126">
        <f>SUMIFS(DWbonus[[Sum]:[Sum]],DWbonus[[Dato]:[Dato]], "&gt;="&amp;M$8,DWbonus[[Dato]:[Dato]],"&lt;="&amp;EOMONTH(M$8,0),DWbonus[[Bookie]:[Bookie]],$A140)+SUMIFS(LayTable[[Faktisk res]:[Faktisk res]],LayTable[[Dato]:[Dato]],"&gt;="&amp;M$8,LayTable[[Dato]:[Dato]],"&lt;="&amp;EOMONTH(M$8,0),LayTable[[Bookmaker]:[Bookmaker]],$A140)+SUMIFS(BetTable[[AR_per_bookie]:[AR_per_bookie]],BetTable[[B1]:[B1]],$A140,BetTable[[Date]:[Date]], "&gt;="&amp;M$8,BetTable[[Date]:[Date]],"&lt;="&amp;EOMONTH(M$8,0))+SUMIFS(BetTable[[AR_per_bookie]:[AR_per_bookie]],BetTable[[B2]:[B2]],$A140,BetTable[[Date]:[Date]], "&gt;="&amp;M$8,BetTable[[Date]:[Date]],"&lt;="&amp;EOMONTH(M$8,0))+SUMIFS(BetTable[[AR_per_bookie]:[AR_per_bookie]],BetTable[[B3]:[B3]],$A140,BetTable[[Date]:[Date]], "&gt;="&amp;M$8,BetTable[[Date]:[Date]],"&lt;="&amp;EOMONTH(M$8,0))</f>
        <v>0</v>
      </c>
      <c r="N140" s="126">
        <f>SUMIFS(DWbonus[[Sum]:[Sum]],DWbonus[[Dato]:[Dato]], "&gt;="&amp;N$8,DWbonus[[Dato]:[Dato]],"&lt;="&amp;EOMONTH(N$8,0),DWbonus[[Bookie]:[Bookie]],$A140)+SUMIFS(LayTable[[Faktisk res]:[Faktisk res]],LayTable[[Dato]:[Dato]],"&gt;="&amp;N$8,LayTable[[Dato]:[Dato]],"&lt;="&amp;EOMONTH(N$8,0),LayTable[[Bookmaker]:[Bookmaker]],$A140)+SUMIFS(BetTable[[AR_per_bookie]:[AR_per_bookie]],BetTable[[B1]:[B1]],$A140,BetTable[[Date]:[Date]], "&gt;="&amp;N$8,BetTable[[Date]:[Date]],"&lt;="&amp;EOMONTH(N$8,0))+SUMIFS(BetTable[[AR_per_bookie]:[AR_per_bookie]],BetTable[[B2]:[B2]],$A140,BetTable[[Date]:[Date]], "&gt;="&amp;N$8,BetTable[[Date]:[Date]],"&lt;="&amp;EOMONTH(N$8,0))+SUMIFS(BetTable[[AR_per_bookie]:[AR_per_bookie]],BetTable[[B3]:[B3]],$A140,BetTable[[Date]:[Date]], "&gt;="&amp;N$8,BetTable[[Date]:[Date]],"&lt;="&amp;EOMONTH(N$8,0))</f>
        <v>0</v>
      </c>
      <c r="O140" s="126">
        <f>SUMIFS(DWbonus[[Sum]:[Sum]],DWbonus[[Dato]:[Dato]], "&gt;="&amp;O$8,DWbonus[[Dato]:[Dato]],"&lt;="&amp;EOMONTH(O$8,0),DWbonus[[Bookie]:[Bookie]],$A140)+SUMIFS(LayTable[[Faktisk res]:[Faktisk res]],LayTable[[Dato]:[Dato]],"&gt;="&amp;O$8,LayTable[[Dato]:[Dato]],"&lt;="&amp;EOMONTH(O$8,0),LayTable[[Bookmaker]:[Bookmaker]],$A140)+SUMIFS(BetTable[[AR_per_bookie]:[AR_per_bookie]],BetTable[[B1]:[B1]],$A140,BetTable[[Date]:[Date]], "&gt;="&amp;O$8,BetTable[[Date]:[Date]],"&lt;="&amp;EOMONTH(O$8,0))+SUMIFS(BetTable[[AR_per_bookie]:[AR_per_bookie]],BetTable[[B2]:[B2]],$A140,BetTable[[Date]:[Date]], "&gt;="&amp;O$8,BetTable[[Date]:[Date]],"&lt;="&amp;EOMONTH(O$8,0))+SUMIFS(BetTable[[AR_per_bookie]:[AR_per_bookie]],BetTable[[B3]:[B3]],$A140,BetTable[[Date]:[Date]], "&gt;="&amp;O$8,BetTable[[Date]:[Date]],"&lt;="&amp;EOMONTH(O$8,0))</f>
        <v>0</v>
      </c>
      <c r="P140" s="126">
        <f>SUMIFS(DWbonus[[Sum]:[Sum]],DWbonus[[Dato]:[Dato]], "&gt;="&amp;P$8,DWbonus[[Dato]:[Dato]],"&lt;="&amp;EOMONTH(P$8,0),DWbonus[[Bookie]:[Bookie]],$A140)+SUMIFS(LayTable[[Faktisk res]:[Faktisk res]],LayTable[[Dato]:[Dato]],"&gt;="&amp;P$8,LayTable[[Dato]:[Dato]],"&lt;="&amp;EOMONTH(P$8,0),LayTable[[Bookmaker]:[Bookmaker]],$A140)+SUMIFS(BetTable[[AR_per_bookie]:[AR_per_bookie]],BetTable[[B1]:[B1]],$A140,BetTable[[Date]:[Date]], "&gt;="&amp;P$8,BetTable[[Date]:[Date]],"&lt;="&amp;EOMONTH(P$8,0))+SUMIFS(BetTable[[AR_per_bookie]:[AR_per_bookie]],BetTable[[B2]:[B2]],$A140,BetTable[[Date]:[Date]], "&gt;="&amp;P$8,BetTable[[Date]:[Date]],"&lt;="&amp;EOMONTH(P$8,0))+SUMIFS(BetTable[[AR_per_bookie]:[AR_per_bookie]],BetTable[[B3]:[B3]],$A140,BetTable[[Date]:[Date]], "&gt;="&amp;P$8,BetTable[[Date]:[Date]],"&lt;="&amp;EOMONTH(P$8,0))</f>
        <v>0</v>
      </c>
      <c r="Q140" s="126">
        <f>SUMIFS(DWbonus[[Sum]:[Sum]],DWbonus[[Dato]:[Dato]], "&gt;="&amp;Q$8,DWbonus[[Dato]:[Dato]],"&lt;="&amp;EOMONTH(Q$8,0),DWbonus[[Bookie]:[Bookie]],$A140)+SUMIFS(LayTable[[Faktisk res]:[Faktisk res]],LayTable[[Dato]:[Dato]],"&gt;="&amp;Q$8,LayTable[[Dato]:[Dato]],"&lt;="&amp;EOMONTH(Q$8,0),LayTable[[Bookmaker]:[Bookmaker]],$A140)+SUMIFS(BetTable[[AR_per_bookie]:[AR_per_bookie]],BetTable[[B1]:[B1]],$A140,BetTable[[Date]:[Date]], "&gt;="&amp;Q$8,BetTable[[Date]:[Date]],"&lt;="&amp;EOMONTH(Q$8,0))+SUMIFS(BetTable[[AR_per_bookie]:[AR_per_bookie]],BetTable[[B2]:[B2]],$A140,BetTable[[Date]:[Date]], "&gt;="&amp;Q$8,BetTable[[Date]:[Date]],"&lt;="&amp;EOMONTH(Q$8,0))+SUMIFS(BetTable[[AR_per_bookie]:[AR_per_bookie]],BetTable[[B3]:[B3]],$A140,BetTable[[Date]:[Date]], "&gt;="&amp;Q$8,BetTable[[Date]:[Date]],"&lt;="&amp;EOMONTH(Q$8,0))</f>
        <v>0</v>
      </c>
      <c r="R140" s="126">
        <f>SUMIFS(DWbonus[[Sum]:[Sum]],DWbonus[[Dato]:[Dato]], "&gt;="&amp;R$8,DWbonus[[Dato]:[Dato]],"&lt;="&amp;EOMONTH(R$8,0),DWbonus[[Bookie]:[Bookie]],$A140)+SUMIFS(LayTable[[Faktisk res]:[Faktisk res]],LayTable[[Dato]:[Dato]],"&gt;="&amp;R$8,LayTable[[Dato]:[Dato]],"&lt;="&amp;EOMONTH(R$8,0),LayTable[[Bookmaker]:[Bookmaker]],$A140)+SUMIFS(BetTable[[AR_per_bookie]:[AR_per_bookie]],BetTable[[B1]:[B1]],$A140,BetTable[[Date]:[Date]], "&gt;="&amp;R$8,BetTable[[Date]:[Date]],"&lt;="&amp;EOMONTH(R$8,0))+SUMIFS(BetTable[[AR_per_bookie]:[AR_per_bookie]],BetTable[[B2]:[B2]],$A140,BetTable[[Date]:[Date]], "&gt;="&amp;R$8,BetTable[[Date]:[Date]],"&lt;="&amp;EOMONTH(R$8,0))+SUMIFS(BetTable[[AR_per_bookie]:[AR_per_bookie]],BetTable[[B3]:[B3]],$A140,BetTable[[Date]:[Date]], "&gt;="&amp;R$8,BetTable[[Date]:[Date]],"&lt;="&amp;EOMONTH(R$8,0))</f>
        <v>0</v>
      </c>
      <c r="S140" s="126">
        <f>SUMIFS(DWbonus[[Sum]:[Sum]],DWbonus[[Dato]:[Dato]], "&gt;="&amp;S$8,DWbonus[[Dato]:[Dato]],"&lt;="&amp;EOMONTH(S$8,0),DWbonus[[Bookie]:[Bookie]],$A140)+SUMIFS(LayTable[[Faktisk res]:[Faktisk res]],LayTable[[Dato]:[Dato]],"&gt;="&amp;S$8,LayTable[[Dato]:[Dato]],"&lt;="&amp;EOMONTH(S$8,0),LayTable[[Bookmaker]:[Bookmaker]],$A140)+SUMIFS(BetTable[[AR_per_bookie]:[AR_per_bookie]],BetTable[[B1]:[B1]],$A140,BetTable[[Date]:[Date]], "&gt;="&amp;S$8,BetTable[[Date]:[Date]],"&lt;="&amp;EOMONTH(S$8,0))+SUMIFS(BetTable[[AR_per_bookie]:[AR_per_bookie]],BetTable[[B2]:[B2]],$A140,BetTable[[Date]:[Date]], "&gt;="&amp;S$8,BetTable[[Date]:[Date]],"&lt;="&amp;EOMONTH(S$8,0))+SUMIFS(BetTable[[AR_per_bookie]:[AR_per_bookie]],BetTable[[B3]:[B3]],$A140,BetTable[[Date]:[Date]], "&gt;="&amp;S$8,BetTable[[Date]:[Date]],"&lt;="&amp;EOMONTH(S$8,0))</f>
        <v>0</v>
      </c>
    </row>
    <row r="141" spans="1:19">
      <c r="A141" s="115">
        <f>BookieNavn!I135</f>
        <v>0</v>
      </c>
      <c r="B141" s="126">
        <f>SUMIF(Penger!D$1:D$50072,A141,Penger!F$1:F$50072)</f>
        <v>0</v>
      </c>
      <c r="C141" s="126">
        <f>SUMIF(Penger!T$1:T$50072,A141,Penger!U$1:U$50072)</f>
        <v>0</v>
      </c>
      <c r="D141" s="126">
        <f ca="1">SUMIF(Spill!C$1:C$499895,A141,Spill!T$1:T$49895)+C141</f>
        <v>0</v>
      </c>
      <c r="E141" s="126">
        <f>SUMIF(Spill!C$1:C$49895,A141,Spill!T$1:T$49895)</f>
        <v>0</v>
      </c>
      <c r="F141" s="121" t="e">
        <f t="shared" ca="1" si="3"/>
        <v>#DIV/0!</v>
      </c>
      <c r="H141" s="126">
        <f>SUMIFS(DWbonus[[Sum]:[Sum]],DWbonus[[Dato]:[Dato]], "&gt;="&amp;H$8,DWbonus[[Dato]:[Dato]],"&lt;="&amp;EOMONTH(H$8,0),DWbonus[[Bookie]:[Bookie]],$A141)+SUMIFS(LayTable[[Faktisk res]:[Faktisk res]],LayTable[[Dato]:[Dato]],"&gt;="&amp;H$8,LayTable[[Dato]:[Dato]],"&lt;="&amp;EOMONTH(H$8,0),LayTable[[Bookmaker]:[Bookmaker]],$A141)+SUMIFS(BetTable[[AR_per_bookie]:[AR_per_bookie]],BetTable[[B1]:[B1]],$A141,BetTable[[Date]:[Date]], "&gt;="&amp;H$8,BetTable[[Date]:[Date]],"&lt;="&amp;EOMONTH(H$8,0))+SUMIFS(BetTable[[AR_per_bookie]:[AR_per_bookie]],BetTable[[B2]:[B2]],$A141,BetTable[[Date]:[Date]], "&gt;="&amp;H$8,BetTable[[Date]:[Date]],"&lt;="&amp;EOMONTH(H$8,0))+SUMIFS(BetTable[[AR_per_bookie]:[AR_per_bookie]],BetTable[[B3]:[B3]],$A141,BetTable[[Date]:[Date]], "&gt;="&amp;H$8,BetTable[[Date]:[Date]],"&lt;="&amp;EOMONTH(H$8,0))</f>
        <v>0</v>
      </c>
      <c r="I141" s="126">
        <f>SUMIFS(DWbonus[[Sum]:[Sum]],DWbonus[[Dato]:[Dato]], "&gt;="&amp;I$8,DWbonus[[Dato]:[Dato]],"&lt;="&amp;EOMONTH(I$8,0),DWbonus[[Bookie]:[Bookie]],$A141)+SUMIFS(LayTable[[Faktisk res]:[Faktisk res]],LayTable[[Dato]:[Dato]],"&gt;="&amp;I$8,LayTable[[Dato]:[Dato]],"&lt;="&amp;EOMONTH(I$8,0),LayTable[[Bookmaker]:[Bookmaker]],$A141)+SUMIFS(BetTable[[AR_per_bookie]:[AR_per_bookie]],BetTable[[B1]:[B1]],$A141,BetTable[[Date]:[Date]], "&gt;="&amp;I$8,BetTable[[Date]:[Date]],"&lt;="&amp;EOMONTH(I$8,0))+SUMIFS(BetTable[[AR_per_bookie]:[AR_per_bookie]],BetTable[[B2]:[B2]],$A141,BetTable[[Date]:[Date]], "&gt;="&amp;I$8,BetTable[[Date]:[Date]],"&lt;="&amp;EOMONTH(I$8,0))+SUMIFS(BetTable[[AR_per_bookie]:[AR_per_bookie]],BetTable[[B3]:[B3]],$A141,BetTable[[Date]:[Date]], "&gt;="&amp;I$8,BetTable[[Date]:[Date]],"&lt;="&amp;EOMONTH(I$8,0))</f>
        <v>0</v>
      </c>
      <c r="J141" s="126">
        <f>SUMIFS(DWbonus[[Sum]:[Sum]],DWbonus[[Dato]:[Dato]], "&gt;="&amp;J$8,DWbonus[[Dato]:[Dato]],"&lt;="&amp;EOMONTH(J$8,0),DWbonus[[Bookie]:[Bookie]],$A141)+SUMIFS(LayTable[[Faktisk res]:[Faktisk res]],LayTable[[Dato]:[Dato]],"&gt;="&amp;J$8,LayTable[[Dato]:[Dato]],"&lt;="&amp;EOMONTH(J$8,0),LayTable[[Bookmaker]:[Bookmaker]],$A141)+SUMIFS(BetTable[[AR_per_bookie]:[AR_per_bookie]],BetTable[[B1]:[B1]],$A141,BetTable[[Date]:[Date]], "&gt;="&amp;J$8,BetTable[[Date]:[Date]],"&lt;="&amp;EOMONTH(J$8,0))+SUMIFS(BetTable[[AR_per_bookie]:[AR_per_bookie]],BetTable[[B2]:[B2]],$A141,BetTable[[Date]:[Date]], "&gt;="&amp;J$8,BetTable[[Date]:[Date]],"&lt;="&amp;EOMONTH(J$8,0))+SUMIFS(BetTable[[AR_per_bookie]:[AR_per_bookie]],BetTable[[B3]:[B3]],$A141,BetTable[[Date]:[Date]], "&gt;="&amp;J$8,BetTable[[Date]:[Date]],"&lt;="&amp;EOMONTH(J$8,0))</f>
        <v>0</v>
      </c>
      <c r="K141" s="126">
        <f>SUMIFS(DWbonus[[Sum]:[Sum]],DWbonus[[Dato]:[Dato]], "&gt;="&amp;K$8,DWbonus[[Dato]:[Dato]],"&lt;="&amp;EOMONTH(K$8,0),DWbonus[[Bookie]:[Bookie]],$A141)+SUMIFS(LayTable[[Faktisk res]:[Faktisk res]],LayTable[[Dato]:[Dato]],"&gt;="&amp;K$8,LayTable[[Dato]:[Dato]],"&lt;="&amp;EOMONTH(K$8,0),LayTable[[Bookmaker]:[Bookmaker]],$A141)+SUMIFS(BetTable[[AR_per_bookie]:[AR_per_bookie]],BetTable[[B1]:[B1]],$A141,BetTable[[Date]:[Date]], "&gt;="&amp;K$8,BetTable[[Date]:[Date]],"&lt;="&amp;EOMONTH(K$8,0))+SUMIFS(BetTable[[AR_per_bookie]:[AR_per_bookie]],BetTable[[B2]:[B2]],$A141,BetTable[[Date]:[Date]], "&gt;="&amp;K$8,BetTable[[Date]:[Date]],"&lt;="&amp;EOMONTH(K$8,0))+SUMIFS(BetTable[[AR_per_bookie]:[AR_per_bookie]],BetTable[[B3]:[B3]],$A141,BetTable[[Date]:[Date]], "&gt;="&amp;K$8,BetTable[[Date]:[Date]],"&lt;="&amp;EOMONTH(K$8,0))</f>
        <v>0</v>
      </c>
      <c r="L141" s="126">
        <f>SUMIFS(DWbonus[[Sum]:[Sum]],DWbonus[[Dato]:[Dato]], "&gt;="&amp;L$8,DWbonus[[Dato]:[Dato]],"&lt;="&amp;EOMONTH(L$8,0),DWbonus[[Bookie]:[Bookie]],$A141)+SUMIFS(LayTable[[Faktisk res]:[Faktisk res]],LayTable[[Dato]:[Dato]],"&gt;="&amp;L$8,LayTable[[Dato]:[Dato]],"&lt;="&amp;EOMONTH(L$8,0),LayTable[[Bookmaker]:[Bookmaker]],$A141)+SUMIFS(BetTable[[AR_per_bookie]:[AR_per_bookie]],BetTable[[B1]:[B1]],$A141,BetTable[[Date]:[Date]], "&gt;="&amp;L$8,BetTable[[Date]:[Date]],"&lt;="&amp;EOMONTH(L$8,0))+SUMIFS(BetTable[[AR_per_bookie]:[AR_per_bookie]],BetTable[[B2]:[B2]],$A141,BetTable[[Date]:[Date]], "&gt;="&amp;L$8,BetTable[[Date]:[Date]],"&lt;="&amp;EOMONTH(L$8,0))+SUMIFS(BetTable[[AR_per_bookie]:[AR_per_bookie]],BetTable[[B3]:[B3]],$A141,BetTable[[Date]:[Date]], "&gt;="&amp;L$8,BetTable[[Date]:[Date]],"&lt;="&amp;EOMONTH(L$8,0))</f>
        <v>0</v>
      </c>
      <c r="M141" s="126">
        <f>SUMIFS(DWbonus[[Sum]:[Sum]],DWbonus[[Dato]:[Dato]], "&gt;="&amp;M$8,DWbonus[[Dato]:[Dato]],"&lt;="&amp;EOMONTH(M$8,0),DWbonus[[Bookie]:[Bookie]],$A141)+SUMIFS(LayTable[[Faktisk res]:[Faktisk res]],LayTable[[Dato]:[Dato]],"&gt;="&amp;M$8,LayTable[[Dato]:[Dato]],"&lt;="&amp;EOMONTH(M$8,0),LayTable[[Bookmaker]:[Bookmaker]],$A141)+SUMIFS(BetTable[[AR_per_bookie]:[AR_per_bookie]],BetTable[[B1]:[B1]],$A141,BetTable[[Date]:[Date]], "&gt;="&amp;M$8,BetTable[[Date]:[Date]],"&lt;="&amp;EOMONTH(M$8,0))+SUMIFS(BetTable[[AR_per_bookie]:[AR_per_bookie]],BetTable[[B2]:[B2]],$A141,BetTable[[Date]:[Date]], "&gt;="&amp;M$8,BetTable[[Date]:[Date]],"&lt;="&amp;EOMONTH(M$8,0))+SUMIFS(BetTable[[AR_per_bookie]:[AR_per_bookie]],BetTable[[B3]:[B3]],$A141,BetTable[[Date]:[Date]], "&gt;="&amp;M$8,BetTable[[Date]:[Date]],"&lt;="&amp;EOMONTH(M$8,0))</f>
        <v>0</v>
      </c>
      <c r="N141" s="126">
        <f>SUMIFS(DWbonus[[Sum]:[Sum]],DWbonus[[Dato]:[Dato]], "&gt;="&amp;N$8,DWbonus[[Dato]:[Dato]],"&lt;="&amp;EOMONTH(N$8,0),DWbonus[[Bookie]:[Bookie]],$A141)+SUMIFS(LayTable[[Faktisk res]:[Faktisk res]],LayTable[[Dato]:[Dato]],"&gt;="&amp;N$8,LayTable[[Dato]:[Dato]],"&lt;="&amp;EOMONTH(N$8,0),LayTable[[Bookmaker]:[Bookmaker]],$A141)+SUMIFS(BetTable[[AR_per_bookie]:[AR_per_bookie]],BetTable[[B1]:[B1]],$A141,BetTable[[Date]:[Date]], "&gt;="&amp;N$8,BetTable[[Date]:[Date]],"&lt;="&amp;EOMONTH(N$8,0))+SUMIFS(BetTable[[AR_per_bookie]:[AR_per_bookie]],BetTable[[B2]:[B2]],$A141,BetTable[[Date]:[Date]], "&gt;="&amp;N$8,BetTable[[Date]:[Date]],"&lt;="&amp;EOMONTH(N$8,0))+SUMIFS(BetTable[[AR_per_bookie]:[AR_per_bookie]],BetTable[[B3]:[B3]],$A141,BetTable[[Date]:[Date]], "&gt;="&amp;N$8,BetTable[[Date]:[Date]],"&lt;="&amp;EOMONTH(N$8,0))</f>
        <v>0</v>
      </c>
      <c r="O141" s="126">
        <f>SUMIFS(DWbonus[[Sum]:[Sum]],DWbonus[[Dato]:[Dato]], "&gt;="&amp;O$8,DWbonus[[Dato]:[Dato]],"&lt;="&amp;EOMONTH(O$8,0),DWbonus[[Bookie]:[Bookie]],$A141)+SUMIFS(LayTable[[Faktisk res]:[Faktisk res]],LayTable[[Dato]:[Dato]],"&gt;="&amp;O$8,LayTable[[Dato]:[Dato]],"&lt;="&amp;EOMONTH(O$8,0),LayTable[[Bookmaker]:[Bookmaker]],$A141)+SUMIFS(BetTable[[AR_per_bookie]:[AR_per_bookie]],BetTable[[B1]:[B1]],$A141,BetTable[[Date]:[Date]], "&gt;="&amp;O$8,BetTable[[Date]:[Date]],"&lt;="&amp;EOMONTH(O$8,0))+SUMIFS(BetTable[[AR_per_bookie]:[AR_per_bookie]],BetTable[[B2]:[B2]],$A141,BetTable[[Date]:[Date]], "&gt;="&amp;O$8,BetTable[[Date]:[Date]],"&lt;="&amp;EOMONTH(O$8,0))+SUMIFS(BetTable[[AR_per_bookie]:[AR_per_bookie]],BetTable[[B3]:[B3]],$A141,BetTable[[Date]:[Date]], "&gt;="&amp;O$8,BetTable[[Date]:[Date]],"&lt;="&amp;EOMONTH(O$8,0))</f>
        <v>0</v>
      </c>
      <c r="P141" s="126">
        <f>SUMIFS(DWbonus[[Sum]:[Sum]],DWbonus[[Dato]:[Dato]], "&gt;="&amp;P$8,DWbonus[[Dato]:[Dato]],"&lt;="&amp;EOMONTH(P$8,0),DWbonus[[Bookie]:[Bookie]],$A141)+SUMIFS(LayTable[[Faktisk res]:[Faktisk res]],LayTable[[Dato]:[Dato]],"&gt;="&amp;P$8,LayTable[[Dato]:[Dato]],"&lt;="&amp;EOMONTH(P$8,0),LayTable[[Bookmaker]:[Bookmaker]],$A141)+SUMIFS(BetTable[[AR_per_bookie]:[AR_per_bookie]],BetTable[[B1]:[B1]],$A141,BetTable[[Date]:[Date]], "&gt;="&amp;P$8,BetTable[[Date]:[Date]],"&lt;="&amp;EOMONTH(P$8,0))+SUMIFS(BetTable[[AR_per_bookie]:[AR_per_bookie]],BetTable[[B2]:[B2]],$A141,BetTable[[Date]:[Date]], "&gt;="&amp;P$8,BetTable[[Date]:[Date]],"&lt;="&amp;EOMONTH(P$8,0))+SUMIFS(BetTable[[AR_per_bookie]:[AR_per_bookie]],BetTable[[B3]:[B3]],$A141,BetTable[[Date]:[Date]], "&gt;="&amp;P$8,BetTable[[Date]:[Date]],"&lt;="&amp;EOMONTH(P$8,0))</f>
        <v>0</v>
      </c>
      <c r="Q141" s="126">
        <f>SUMIFS(DWbonus[[Sum]:[Sum]],DWbonus[[Dato]:[Dato]], "&gt;="&amp;Q$8,DWbonus[[Dato]:[Dato]],"&lt;="&amp;EOMONTH(Q$8,0),DWbonus[[Bookie]:[Bookie]],$A141)+SUMIFS(LayTable[[Faktisk res]:[Faktisk res]],LayTable[[Dato]:[Dato]],"&gt;="&amp;Q$8,LayTable[[Dato]:[Dato]],"&lt;="&amp;EOMONTH(Q$8,0),LayTable[[Bookmaker]:[Bookmaker]],$A141)+SUMIFS(BetTable[[AR_per_bookie]:[AR_per_bookie]],BetTable[[B1]:[B1]],$A141,BetTable[[Date]:[Date]], "&gt;="&amp;Q$8,BetTable[[Date]:[Date]],"&lt;="&amp;EOMONTH(Q$8,0))+SUMIFS(BetTable[[AR_per_bookie]:[AR_per_bookie]],BetTable[[B2]:[B2]],$A141,BetTable[[Date]:[Date]], "&gt;="&amp;Q$8,BetTable[[Date]:[Date]],"&lt;="&amp;EOMONTH(Q$8,0))+SUMIFS(BetTable[[AR_per_bookie]:[AR_per_bookie]],BetTable[[B3]:[B3]],$A141,BetTable[[Date]:[Date]], "&gt;="&amp;Q$8,BetTable[[Date]:[Date]],"&lt;="&amp;EOMONTH(Q$8,0))</f>
        <v>0</v>
      </c>
      <c r="R141" s="126">
        <f>SUMIFS(DWbonus[[Sum]:[Sum]],DWbonus[[Dato]:[Dato]], "&gt;="&amp;R$8,DWbonus[[Dato]:[Dato]],"&lt;="&amp;EOMONTH(R$8,0),DWbonus[[Bookie]:[Bookie]],$A141)+SUMIFS(LayTable[[Faktisk res]:[Faktisk res]],LayTable[[Dato]:[Dato]],"&gt;="&amp;R$8,LayTable[[Dato]:[Dato]],"&lt;="&amp;EOMONTH(R$8,0),LayTable[[Bookmaker]:[Bookmaker]],$A141)+SUMIFS(BetTable[[AR_per_bookie]:[AR_per_bookie]],BetTable[[B1]:[B1]],$A141,BetTable[[Date]:[Date]], "&gt;="&amp;R$8,BetTable[[Date]:[Date]],"&lt;="&amp;EOMONTH(R$8,0))+SUMIFS(BetTable[[AR_per_bookie]:[AR_per_bookie]],BetTable[[B2]:[B2]],$A141,BetTable[[Date]:[Date]], "&gt;="&amp;R$8,BetTable[[Date]:[Date]],"&lt;="&amp;EOMONTH(R$8,0))+SUMIFS(BetTable[[AR_per_bookie]:[AR_per_bookie]],BetTable[[B3]:[B3]],$A141,BetTable[[Date]:[Date]], "&gt;="&amp;R$8,BetTable[[Date]:[Date]],"&lt;="&amp;EOMONTH(R$8,0))</f>
        <v>0</v>
      </c>
      <c r="S141" s="126">
        <f>SUMIFS(DWbonus[[Sum]:[Sum]],DWbonus[[Dato]:[Dato]], "&gt;="&amp;S$8,DWbonus[[Dato]:[Dato]],"&lt;="&amp;EOMONTH(S$8,0),DWbonus[[Bookie]:[Bookie]],$A141)+SUMIFS(LayTable[[Faktisk res]:[Faktisk res]],LayTable[[Dato]:[Dato]],"&gt;="&amp;S$8,LayTable[[Dato]:[Dato]],"&lt;="&amp;EOMONTH(S$8,0),LayTable[[Bookmaker]:[Bookmaker]],$A141)+SUMIFS(BetTable[[AR_per_bookie]:[AR_per_bookie]],BetTable[[B1]:[B1]],$A141,BetTable[[Date]:[Date]], "&gt;="&amp;S$8,BetTable[[Date]:[Date]],"&lt;="&amp;EOMONTH(S$8,0))+SUMIFS(BetTable[[AR_per_bookie]:[AR_per_bookie]],BetTable[[B2]:[B2]],$A141,BetTable[[Date]:[Date]], "&gt;="&amp;S$8,BetTable[[Date]:[Date]],"&lt;="&amp;EOMONTH(S$8,0))+SUMIFS(BetTable[[AR_per_bookie]:[AR_per_bookie]],BetTable[[B3]:[B3]],$A141,BetTable[[Date]:[Date]], "&gt;="&amp;S$8,BetTable[[Date]:[Date]],"&lt;="&amp;EOMONTH(S$8,0))</f>
        <v>0</v>
      </c>
    </row>
    <row r="142" spans="1:19">
      <c r="A142" s="115">
        <f>BookieNavn!I136</f>
        <v>0</v>
      </c>
      <c r="B142" s="126">
        <f>SUMIF(Penger!D$1:D$50072,A142,Penger!F$1:F$50072)</f>
        <v>0</v>
      </c>
      <c r="C142" s="126">
        <f>SUMIF(Penger!T$1:T$50072,A142,Penger!U$1:U$50072)</f>
        <v>0</v>
      </c>
      <c r="D142" s="126">
        <f ca="1">SUMIF(Spill!C$1:C$499895,A142,Spill!T$1:T$49895)+C142</f>
        <v>0</v>
      </c>
      <c r="E142" s="126">
        <f>SUMIF(Spill!C$1:C$49895,A142,Spill!T$1:T$49895)</f>
        <v>0</v>
      </c>
      <c r="F142" s="121" t="e">
        <f t="shared" ca="1" si="3"/>
        <v>#DIV/0!</v>
      </c>
      <c r="H142" s="126">
        <f>SUMIFS(DWbonus[[Sum]:[Sum]],DWbonus[[Dato]:[Dato]], "&gt;="&amp;H$8,DWbonus[[Dato]:[Dato]],"&lt;="&amp;EOMONTH(H$8,0),DWbonus[[Bookie]:[Bookie]],$A142)+SUMIFS(LayTable[[Faktisk res]:[Faktisk res]],LayTable[[Dato]:[Dato]],"&gt;="&amp;H$8,LayTable[[Dato]:[Dato]],"&lt;="&amp;EOMONTH(H$8,0),LayTable[[Bookmaker]:[Bookmaker]],$A142)+SUMIFS(BetTable[[AR_per_bookie]:[AR_per_bookie]],BetTable[[B1]:[B1]],$A142,BetTable[[Date]:[Date]], "&gt;="&amp;H$8,BetTable[[Date]:[Date]],"&lt;="&amp;EOMONTH(H$8,0))+SUMIFS(BetTable[[AR_per_bookie]:[AR_per_bookie]],BetTable[[B2]:[B2]],$A142,BetTable[[Date]:[Date]], "&gt;="&amp;H$8,BetTable[[Date]:[Date]],"&lt;="&amp;EOMONTH(H$8,0))+SUMIFS(BetTable[[AR_per_bookie]:[AR_per_bookie]],BetTable[[B3]:[B3]],$A142,BetTable[[Date]:[Date]], "&gt;="&amp;H$8,BetTable[[Date]:[Date]],"&lt;="&amp;EOMONTH(H$8,0))</f>
        <v>0</v>
      </c>
      <c r="I142" s="126">
        <f>SUMIFS(DWbonus[[Sum]:[Sum]],DWbonus[[Dato]:[Dato]], "&gt;="&amp;I$8,DWbonus[[Dato]:[Dato]],"&lt;="&amp;EOMONTH(I$8,0),DWbonus[[Bookie]:[Bookie]],$A142)+SUMIFS(LayTable[[Faktisk res]:[Faktisk res]],LayTable[[Dato]:[Dato]],"&gt;="&amp;I$8,LayTable[[Dato]:[Dato]],"&lt;="&amp;EOMONTH(I$8,0),LayTable[[Bookmaker]:[Bookmaker]],$A142)+SUMIFS(BetTable[[AR_per_bookie]:[AR_per_bookie]],BetTable[[B1]:[B1]],$A142,BetTable[[Date]:[Date]], "&gt;="&amp;I$8,BetTable[[Date]:[Date]],"&lt;="&amp;EOMONTH(I$8,0))+SUMIFS(BetTable[[AR_per_bookie]:[AR_per_bookie]],BetTable[[B2]:[B2]],$A142,BetTable[[Date]:[Date]], "&gt;="&amp;I$8,BetTable[[Date]:[Date]],"&lt;="&amp;EOMONTH(I$8,0))+SUMIFS(BetTable[[AR_per_bookie]:[AR_per_bookie]],BetTable[[B3]:[B3]],$A142,BetTable[[Date]:[Date]], "&gt;="&amp;I$8,BetTable[[Date]:[Date]],"&lt;="&amp;EOMONTH(I$8,0))</f>
        <v>0</v>
      </c>
      <c r="J142" s="126">
        <f>SUMIFS(DWbonus[[Sum]:[Sum]],DWbonus[[Dato]:[Dato]], "&gt;="&amp;J$8,DWbonus[[Dato]:[Dato]],"&lt;="&amp;EOMONTH(J$8,0),DWbonus[[Bookie]:[Bookie]],$A142)+SUMIFS(LayTable[[Faktisk res]:[Faktisk res]],LayTable[[Dato]:[Dato]],"&gt;="&amp;J$8,LayTable[[Dato]:[Dato]],"&lt;="&amp;EOMONTH(J$8,0),LayTable[[Bookmaker]:[Bookmaker]],$A142)+SUMIFS(BetTable[[AR_per_bookie]:[AR_per_bookie]],BetTable[[B1]:[B1]],$A142,BetTable[[Date]:[Date]], "&gt;="&amp;J$8,BetTable[[Date]:[Date]],"&lt;="&amp;EOMONTH(J$8,0))+SUMIFS(BetTable[[AR_per_bookie]:[AR_per_bookie]],BetTable[[B2]:[B2]],$A142,BetTable[[Date]:[Date]], "&gt;="&amp;J$8,BetTable[[Date]:[Date]],"&lt;="&amp;EOMONTH(J$8,0))+SUMIFS(BetTable[[AR_per_bookie]:[AR_per_bookie]],BetTable[[B3]:[B3]],$A142,BetTable[[Date]:[Date]], "&gt;="&amp;J$8,BetTable[[Date]:[Date]],"&lt;="&amp;EOMONTH(J$8,0))</f>
        <v>0</v>
      </c>
      <c r="K142" s="126">
        <f>SUMIFS(DWbonus[[Sum]:[Sum]],DWbonus[[Dato]:[Dato]], "&gt;="&amp;K$8,DWbonus[[Dato]:[Dato]],"&lt;="&amp;EOMONTH(K$8,0),DWbonus[[Bookie]:[Bookie]],$A142)+SUMIFS(LayTable[[Faktisk res]:[Faktisk res]],LayTable[[Dato]:[Dato]],"&gt;="&amp;K$8,LayTable[[Dato]:[Dato]],"&lt;="&amp;EOMONTH(K$8,0),LayTable[[Bookmaker]:[Bookmaker]],$A142)+SUMIFS(BetTable[[AR_per_bookie]:[AR_per_bookie]],BetTable[[B1]:[B1]],$A142,BetTable[[Date]:[Date]], "&gt;="&amp;K$8,BetTable[[Date]:[Date]],"&lt;="&amp;EOMONTH(K$8,0))+SUMIFS(BetTable[[AR_per_bookie]:[AR_per_bookie]],BetTable[[B2]:[B2]],$A142,BetTable[[Date]:[Date]], "&gt;="&amp;K$8,BetTable[[Date]:[Date]],"&lt;="&amp;EOMONTH(K$8,0))+SUMIFS(BetTable[[AR_per_bookie]:[AR_per_bookie]],BetTable[[B3]:[B3]],$A142,BetTable[[Date]:[Date]], "&gt;="&amp;K$8,BetTable[[Date]:[Date]],"&lt;="&amp;EOMONTH(K$8,0))</f>
        <v>0</v>
      </c>
      <c r="L142" s="126">
        <f>SUMIFS(DWbonus[[Sum]:[Sum]],DWbonus[[Dato]:[Dato]], "&gt;="&amp;L$8,DWbonus[[Dato]:[Dato]],"&lt;="&amp;EOMONTH(L$8,0),DWbonus[[Bookie]:[Bookie]],$A142)+SUMIFS(LayTable[[Faktisk res]:[Faktisk res]],LayTable[[Dato]:[Dato]],"&gt;="&amp;L$8,LayTable[[Dato]:[Dato]],"&lt;="&amp;EOMONTH(L$8,0),LayTable[[Bookmaker]:[Bookmaker]],$A142)+SUMIFS(BetTable[[AR_per_bookie]:[AR_per_bookie]],BetTable[[B1]:[B1]],$A142,BetTable[[Date]:[Date]], "&gt;="&amp;L$8,BetTable[[Date]:[Date]],"&lt;="&amp;EOMONTH(L$8,0))+SUMIFS(BetTable[[AR_per_bookie]:[AR_per_bookie]],BetTable[[B2]:[B2]],$A142,BetTable[[Date]:[Date]], "&gt;="&amp;L$8,BetTable[[Date]:[Date]],"&lt;="&amp;EOMONTH(L$8,0))+SUMIFS(BetTable[[AR_per_bookie]:[AR_per_bookie]],BetTable[[B3]:[B3]],$A142,BetTable[[Date]:[Date]], "&gt;="&amp;L$8,BetTable[[Date]:[Date]],"&lt;="&amp;EOMONTH(L$8,0))</f>
        <v>0</v>
      </c>
      <c r="M142" s="126">
        <f>SUMIFS(DWbonus[[Sum]:[Sum]],DWbonus[[Dato]:[Dato]], "&gt;="&amp;M$8,DWbonus[[Dato]:[Dato]],"&lt;="&amp;EOMONTH(M$8,0),DWbonus[[Bookie]:[Bookie]],$A142)+SUMIFS(LayTable[[Faktisk res]:[Faktisk res]],LayTable[[Dato]:[Dato]],"&gt;="&amp;M$8,LayTable[[Dato]:[Dato]],"&lt;="&amp;EOMONTH(M$8,0),LayTable[[Bookmaker]:[Bookmaker]],$A142)+SUMIFS(BetTable[[AR_per_bookie]:[AR_per_bookie]],BetTable[[B1]:[B1]],$A142,BetTable[[Date]:[Date]], "&gt;="&amp;M$8,BetTable[[Date]:[Date]],"&lt;="&amp;EOMONTH(M$8,0))+SUMIFS(BetTable[[AR_per_bookie]:[AR_per_bookie]],BetTable[[B2]:[B2]],$A142,BetTable[[Date]:[Date]], "&gt;="&amp;M$8,BetTable[[Date]:[Date]],"&lt;="&amp;EOMONTH(M$8,0))+SUMIFS(BetTable[[AR_per_bookie]:[AR_per_bookie]],BetTable[[B3]:[B3]],$A142,BetTable[[Date]:[Date]], "&gt;="&amp;M$8,BetTable[[Date]:[Date]],"&lt;="&amp;EOMONTH(M$8,0))</f>
        <v>0</v>
      </c>
      <c r="N142" s="126">
        <f>SUMIFS(DWbonus[[Sum]:[Sum]],DWbonus[[Dato]:[Dato]], "&gt;="&amp;N$8,DWbonus[[Dato]:[Dato]],"&lt;="&amp;EOMONTH(N$8,0),DWbonus[[Bookie]:[Bookie]],$A142)+SUMIFS(LayTable[[Faktisk res]:[Faktisk res]],LayTable[[Dato]:[Dato]],"&gt;="&amp;N$8,LayTable[[Dato]:[Dato]],"&lt;="&amp;EOMONTH(N$8,0),LayTable[[Bookmaker]:[Bookmaker]],$A142)+SUMIFS(BetTable[[AR_per_bookie]:[AR_per_bookie]],BetTable[[B1]:[B1]],$A142,BetTable[[Date]:[Date]], "&gt;="&amp;N$8,BetTable[[Date]:[Date]],"&lt;="&amp;EOMONTH(N$8,0))+SUMIFS(BetTable[[AR_per_bookie]:[AR_per_bookie]],BetTable[[B2]:[B2]],$A142,BetTable[[Date]:[Date]], "&gt;="&amp;N$8,BetTable[[Date]:[Date]],"&lt;="&amp;EOMONTH(N$8,0))+SUMIFS(BetTable[[AR_per_bookie]:[AR_per_bookie]],BetTable[[B3]:[B3]],$A142,BetTable[[Date]:[Date]], "&gt;="&amp;N$8,BetTable[[Date]:[Date]],"&lt;="&amp;EOMONTH(N$8,0))</f>
        <v>0</v>
      </c>
      <c r="O142" s="126">
        <f>SUMIFS(DWbonus[[Sum]:[Sum]],DWbonus[[Dato]:[Dato]], "&gt;="&amp;O$8,DWbonus[[Dato]:[Dato]],"&lt;="&amp;EOMONTH(O$8,0),DWbonus[[Bookie]:[Bookie]],$A142)+SUMIFS(LayTable[[Faktisk res]:[Faktisk res]],LayTable[[Dato]:[Dato]],"&gt;="&amp;O$8,LayTable[[Dato]:[Dato]],"&lt;="&amp;EOMONTH(O$8,0),LayTable[[Bookmaker]:[Bookmaker]],$A142)+SUMIFS(BetTable[[AR_per_bookie]:[AR_per_bookie]],BetTable[[B1]:[B1]],$A142,BetTable[[Date]:[Date]], "&gt;="&amp;O$8,BetTable[[Date]:[Date]],"&lt;="&amp;EOMONTH(O$8,0))+SUMIFS(BetTable[[AR_per_bookie]:[AR_per_bookie]],BetTable[[B2]:[B2]],$A142,BetTable[[Date]:[Date]], "&gt;="&amp;O$8,BetTable[[Date]:[Date]],"&lt;="&amp;EOMONTH(O$8,0))+SUMIFS(BetTable[[AR_per_bookie]:[AR_per_bookie]],BetTable[[B3]:[B3]],$A142,BetTable[[Date]:[Date]], "&gt;="&amp;O$8,BetTable[[Date]:[Date]],"&lt;="&amp;EOMONTH(O$8,0))</f>
        <v>0</v>
      </c>
      <c r="P142" s="126">
        <f>SUMIFS(DWbonus[[Sum]:[Sum]],DWbonus[[Dato]:[Dato]], "&gt;="&amp;P$8,DWbonus[[Dato]:[Dato]],"&lt;="&amp;EOMONTH(P$8,0),DWbonus[[Bookie]:[Bookie]],$A142)+SUMIFS(LayTable[[Faktisk res]:[Faktisk res]],LayTable[[Dato]:[Dato]],"&gt;="&amp;P$8,LayTable[[Dato]:[Dato]],"&lt;="&amp;EOMONTH(P$8,0),LayTable[[Bookmaker]:[Bookmaker]],$A142)+SUMIFS(BetTable[[AR_per_bookie]:[AR_per_bookie]],BetTable[[B1]:[B1]],$A142,BetTable[[Date]:[Date]], "&gt;="&amp;P$8,BetTable[[Date]:[Date]],"&lt;="&amp;EOMONTH(P$8,0))+SUMIFS(BetTable[[AR_per_bookie]:[AR_per_bookie]],BetTable[[B2]:[B2]],$A142,BetTable[[Date]:[Date]], "&gt;="&amp;P$8,BetTable[[Date]:[Date]],"&lt;="&amp;EOMONTH(P$8,0))+SUMIFS(BetTable[[AR_per_bookie]:[AR_per_bookie]],BetTable[[B3]:[B3]],$A142,BetTable[[Date]:[Date]], "&gt;="&amp;P$8,BetTable[[Date]:[Date]],"&lt;="&amp;EOMONTH(P$8,0))</f>
        <v>0</v>
      </c>
      <c r="Q142" s="126">
        <f>SUMIFS(DWbonus[[Sum]:[Sum]],DWbonus[[Dato]:[Dato]], "&gt;="&amp;Q$8,DWbonus[[Dato]:[Dato]],"&lt;="&amp;EOMONTH(Q$8,0),DWbonus[[Bookie]:[Bookie]],$A142)+SUMIFS(LayTable[[Faktisk res]:[Faktisk res]],LayTable[[Dato]:[Dato]],"&gt;="&amp;Q$8,LayTable[[Dato]:[Dato]],"&lt;="&amp;EOMONTH(Q$8,0),LayTable[[Bookmaker]:[Bookmaker]],$A142)+SUMIFS(BetTable[[AR_per_bookie]:[AR_per_bookie]],BetTable[[B1]:[B1]],$A142,BetTable[[Date]:[Date]], "&gt;="&amp;Q$8,BetTable[[Date]:[Date]],"&lt;="&amp;EOMONTH(Q$8,0))+SUMIFS(BetTable[[AR_per_bookie]:[AR_per_bookie]],BetTable[[B2]:[B2]],$A142,BetTable[[Date]:[Date]], "&gt;="&amp;Q$8,BetTable[[Date]:[Date]],"&lt;="&amp;EOMONTH(Q$8,0))+SUMIFS(BetTable[[AR_per_bookie]:[AR_per_bookie]],BetTable[[B3]:[B3]],$A142,BetTable[[Date]:[Date]], "&gt;="&amp;Q$8,BetTable[[Date]:[Date]],"&lt;="&amp;EOMONTH(Q$8,0))</f>
        <v>0</v>
      </c>
      <c r="R142" s="126">
        <f>SUMIFS(DWbonus[[Sum]:[Sum]],DWbonus[[Dato]:[Dato]], "&gt;="&amp;R$8,DWbonus[[Dato]:[Dato]],"&lt;="&amp;EOMONTH(R$8,0),DWbonus[[Bookie]:[Bookie]],$A142)+SUMIFS(LayTable[[Faktisk res]:[Faktisk res]],LayTable[[Dato]:[Dato]],"&gt;="&amp;R$8,LayTable[[Dato]:[Dato]],"&lt;="&amp;EOMONTH(R$8,0),LayTable[[Bookmaker]:[Bookmaker]],$A142)+SUMIFS(BetTable[[AR_per_bookie]:[AR_per_bookie]],BetTable[[B1]:[B1]],$A142,BetTable[[Date]:[Date]], "&gt;="&amp;R$8,BetTable[[Date]:[Date]],"&lt;="&amp;EOMONTH(R$8,0))+SUMIFS(BetTable[[AR_per_bookie]:[AR_per_bookie]],BetTable[[B2]:[B2]],$A142,BetTable[[Date]:[Date]], "&gt;="&amp;R$8,BetTable[[Date]:[Date]],"&lt;="&amp;EOMONTH(R$8,0))+SUMIFS(BetTable[[AR_per_bookie]:[AR_per_bookie]],BetTable[[B3]:[B3]],$A142,BetTable[[Date]:[Date]], "&gt;="&amp;R$8,BetTable[[Date]:[Date]],"&lt;="&amp;EOMONTH(R$8,0))</f>
        <v>0</v>
      </c>
      <c r="S142" s="126">
        <f>SUMIFS(DWbonus[[Sum]:[Sum]],DWbonus[[Dato]:[Dato]], "&gt;="&amp;S$8,DWbonus[[Dato]:[Dato]],"&lt;="&amp;EOMONTH(S$8,0),DWbonus[[Bookie]:[Bookie]],$A142)+SUMIFS(LayTable[[Faktisk res]:[Faktisk res]],LayTable[[Dato]:[Dato]],"&gt;="&amp;S$8,LayTable[[Dato]:[Dato]],"&lt;="&amp;EOMONTH(S$8,0),LayTable[[Bookmaker]:[Bookmaker]],$A142)+SUMIFS(BetTable[[AR_per_bookie]:[AR_per_bookie]],BetTable[[B1]:[B1]],$A142,BetTable[[Date]:[Date]], "&gt;="&amp;S$8,BetTable[[Date]:[Date]],"&lt;="&amp;EOMONTH(S$8,0))+SUMIFS(BetTable[[AR_per_bookie]:[AR_per_bookie]],BetTable[[B2]:[B2]],$A142,BetTable[[Date]:[Date]], "&gt;="&amp;S$8,BetTable[[Date]:[Date]],"&lt;="&amp;EOMONTH(S$8,0))+SUMIFS(BetTable[[AR_per_bookie]:[AR_per_bookie]],BetTable[[B3]:[B3]],$A142,BetTable[[Date]:[Date]], "&gt;="&amp;S$8,BetTable[[Date]:[Date]],"&lt;="&amp;EOMONTH(S$8,0))</f>
        <v>0</v>
      </c>
    </row>
    <row r="143" spans="1:19">
      <c r="A143" s="115">
        <f>BookieNavn!I137</f>
        <v>0</v>
      </c>
      <c r="B143" s="126">
        <f>SUMIF(Penger!D$1:D$50072,A143,Penger!F$1:F$50072)</f>
        <v>0</v>
      </c>
      <c r="C143" s="126">
        <f>SUMIF(Penger!T$1:T$50072,A143,Penger!U$1:U$50072)</f>
        <v>0</v>
      </c>
      <c r="D143" s="126">
        <f ca="1">SUMIF(Spill!C$1:C$499895,A143,Spill!T$1:T$49895)+C143</f>
        <v>0</v>
      </c>
      <c r="E143" s="126">
        <f>SUMIF(Spill!C$1:C$49895,A143,Spill!T$1:T$49895)</f>
        <v>0</v>
      </c>
      <c r="F143" s="121" t="e">
        <f t="shared" ca="1" si="3"/>
        <v>#DIV/0!</v>
      </c>
      <c r="H143" s="126">
        <f>SUMIFS(DWbonus[[Sum]:[Sum]],DWbonus[[Dato]:[Dato]], "&gt;="&amp;H$8,DWbonus[[Dato]:[Dato]],"&lt;="&amp;EOMONTH(H$8,0),DWbonus[[Bookie]:[Bookie]],$A143)+SUMIFS(LayTable[[Faktisk res]:[Faktisk res]],LayTable[[Dato]:[Dato]],"&gt;="&amp;H$8,LayTable[[Dato]:[Dato]],"&lt;="&amp;EOMONTH(H$8,0),LayTable[[Bookmaker]:[Bookmaker]],$A143)+SUMIFS(BetTable[[AR_per_bookie]:[AR_per_bookie]],BetTable[[B1]:[B1]],$A143,BetTable[[Date]:[Date]], "&gt;="&amp;H$8,BetTable[[Date]:[Date]],"&lt;="&amp;EOMONTH(H$8,0))+SUMIFS(BetTable[[AR_per_bookie]:[AR_per_bookie]],BetTable[[B2]:[B2]],$A143,BetTable[[Date]:[Date]], "&gt;="&amp;H$8,BetTable[[Date]:[Date]],"&lt;="&amp;EOMONTH(H$8,0))+SUMIFS(BetTable[[AR_per_bookie]:[AR_per_bookie]],BetTable[[B3]:[B3]],$A143,BetTable[[Date]:[Date]], "&gt;="&amp;H$8,BetTable[[Date]:[Date]],"&lt;="&amp;EOMONTH(H$8,0))</f>
        <v>0</v>
      </c>
      <c r="I143" s="126">
        <f>SUMIFS(DWbonus[[Sum]:[Sum]],DWbonus[[Dato]:[Dato]], "&gt;="&amp;I$8,DWbonus[[Dato]:[Dato]],"&lt;="&amp;EOMONTH(I$8,0),DWbonus[[Bookie]:[Bookie]],$A143)+SUMIFS(LayTable[[Faktisk res]:[Faktisk res]],LayTable[[Dato]:[Dato]],"&gt;="&amp;I$8,LayTable[[Dato]:[Dato]],"&lt;="&amp;EOMONTH(I$8,0),LayTable[[Bookmaker]:[Bookmaker]],$A143)+SUMIFS(BetTable[[AR_per_bookie]:[AR_per_bookie]],BetTable[[B1]:[B1]],$A143,BetTable[[Date]:[Date]], "&gt;="&amp;I$8,BetTable[[Date]:[Date]],"&lt;="&amp;EOMONTH(I$8,0))+SUMIFS(BetTable[[AR_per_bookie]:[AR_per_bookie]],BetTable[[B2]:[B2]],$A143,BetTable[[Date]:[Date]], "&gt;="&amp;I$8,BetTable[[Date]:[Date]],"&lt;="&amp;EOMONTH(I$8,0))+SUMIFS(BetTable[[AR_per_bookie]:[AR_per_bookie]],BetTable[[B3]:[B3]],$A143,BetTable[[Date]:[Date]], "&gt;="&amp;I$8,BetTable[[Date]:[Date]],"&lt;="&amp;EOMONTH(I$8,0))</f>
        <v>0</v>
      </c>
      <c r="J143" s="126">
        <f>SUMIFS(DWbonus[[Sum]:[Sum]],DWbonus[[Dato]:[Dato]], "&gt;="&amp;J$8,DWbonus[[Dato]:[Dato]],"&lt;="&amp;EOMONTH(J$8,0),DWbonus[[Bookie]:[Bookie]],$A143)+SUMIFS(LayTable[[Faktisk res]:[Faktisk res]],LayTable[[Dato]:[Dato]],"&gt;="&amp;J$8,LayTable[[Dato]:[Dato]],"&lt;="&amp;EOMONTH(J$8,0),LayTable[[Bookmaker]:[Bookmaker]],$A143)+SUMIFS(BetTable[[AR_per_bookie]:[AR_per_bookie]],BetTable[[B1]:[B1]],$A143,BetTable[[Date]:[Date]], "&gt;="&amp;J$8,BetTable[[Date]:[Date]],"&lt;="&amp;EOMONTH(J$8,0))+SUMIFS(BetTable[[AR_per_bookie]:[AR_per_bookie]],BetTable[[B2]:[B2]],$A143,BetTable[[Date]:[Date]], "&gt;="&amp;J$8,BetTable[[Date]:[Date]],"&lt;="&amp;EOMONTH(J$8,0))+SUMIFS(BetTable[[AR_per_bookie]:[AR_per_bookie]],BetTable[[B3]:[B3]],$A143,BetTable[[Date]:[Date]], "&gt;="&amp;J$8,BetTable[[Date]:[Date]],"&lt;="&amp;EOMONTH(J$8,0))</f>
        <v>0</v>
      </c>
      <c r="K143" s="126">
        <f>SUMIFS(DWbonus[[Sum]:[Sum]],DWbonus[[Dato]:[Dato]], "&gt;="&amp;K$8,DWbonus[[Dato]:[Dato]],"&lt;="&amp;EOMONTH(K$8,0),DWbonus[[Bookie]:[Bookie]],$A143)+SUMIFS(LayTable[[Faktisk res]:[Faktisk res]],LayTable[[Dato]:[Dato]],"&gt;="&amp;K$8,LayTable[[Dato]:[Dato]],"&lt;="&amp;EOMONTH(K$8,0),LayTable[[Bookmaker]:[Bookmaker]],$A143)+SUMIFS(BetTable[[AR_per_bookie]:[AR_per_bookie]],BetTable[[B1]:[B1]],$A143,BetTable[[Date]:[Date]], "&gt;="&amp;K$8,BetTable[[Date]:[Date]],"&lt;="&amp;EOMONTH(K$8,0))+SUMIFS(BetTable[[AR_per_bookie]:[AR_per_bookie]],BetTable[[B2]:[B2]],$A143,BetTable[[Date]:[Date]], "&gt;="&amp;K$8,BetTable[[Date]:[Date]],"&lt;="&amp;EOMONTH(K$8,0))+SUMIFS(BetTable[[AR_per_bookie]:[AR_per_bookie]],BetTable[[B3]:[B3]],$A143,BetTable[[Date]:[Date]], "&gt;="&amp;K$8,BetTable[[Date]:[Date]],"&lt;="&amp;EOMONTH(K$8,0))</f>
        <v>0</v>
      </c>
      <c r="L143" s="126">
        <f>SUMIFS(DWbonus[[Sum]:[Sum]],DWbonus[[Dato]:[Dato]], "&gt;="&amp;L$8,DWbonus[[Dato]:[Dato]],"&lt;="&amp;EOMONTH(L$8,0),DWbonus[[Bookie]:[Bookie]],$A143)+SUMIFS(LayTable[[Faktisk res]:[Faktisk res]],LayTable[[Dato]:[Dato]],"&gt;="&amp;L$8,LayTable[[Dato]:[Dato]],"&lt;="&amp;EOMONTH(L$8,0),LayTable[[Bookmaker]:[Bookmaker]],$A143)+SUMIFS(BetTable[[AR_per_bookie]:[AR_per_bookie]],BetTable[[B1]:[B1]],$A143,BetTable[[Date]:[Date]], "&gt;="&amp;L$8,BetTable[[Date]:[Date]],"&lt;="&amp;EOMONTH(L$8,0))+SUMIFS(BetTable[[AR_per_bookie]:[AR_per_bookie]],BetTable[[B2]:[B2]],$A143,BetTable[[Date]:[Date]], "&gt;="&amp;L$8,BetTable[[Date]:[Date]],"&lt;="&amp;EOMONTH(L$8,0))+SUMIFS(BetTable[[AR_per_bookie]:[AR_per_bookie]],BetTable[[B3]:[B3]],$A143,BetTable[[Date]:[Date]], "&gt;="&amp;L$8,BetTable[[Date]:[Date]],"&lt;="&amp;EOMONTH(L$8,0))</f>
        <v>0</v>
      </c>
      <c r="M143" s="126">
        <f>SUMIFS(DWbonus[[Sum]:[Sum]],DWbonus[[Dato]:[Dato]], "&gt;="&amp;M$8,DWbonus[[Dato]:[Dato]],"&lt;="&amp;EOMONTH(M$8,0),DWbonus[[Bookie]:[Bookie]],$A143)+SUMIFS(LayTable[[Faktisk res]:[Faktisk res]],LayTable[[Dato]:[Dato]],"&gt;="&amp;M$8,LayTable[[Dato]:[Dato]],"&lt;="&amp;EOMONTH(M$8,0),LayTable[[Bookmaker]:[Bookmaker]],$A143)+SUMIFS(BetTable[[AR_per_bookie]:[AR_per_bookie]],BetTable[[B1]:[B1]],$A143,BetTable[[Date]:[Date]], "&gt;="&amp;M$8,BetTable[[Date]:[Date]],"&lt;="&amp;EOMONTH(M$8,0))+SUMIFS(BetTable[[AR_per_bookie]:[AR_per_bookie]],BetTable[[B2]:[B2]],$A143,BetTable[[Date]:[Date]], "&gt;="&amp;M$8,BetTable[[Date]:[Date]],"&lt;="&amp;EOMONTH(M$8,0))+SUMIFS(BetTable[[AR_per_bookie]:[AR_per_bookie]],BetTable[[B3]:[B3]],$A143,BetTable[[Date]:[Date]], "&gt;="&amp;M$8,BetTable[[Date]:[Date]],"&lt;="&amp;EOMONTH(M$8,0))</f>
        <v>0</v>
      </c>
      <c r="N143" s="126">
        <f>SUMIFS(DWbonus[[Sum]:[Sum]],DWbonus[[Dato]:[Dato]], "&gt;="&amp;N$8,DWbonus[[Dato]:[Dato]],"&lt;="&amp;EOMONTH(N$8,0),DWbonus[[Bookie]:[Bookie]],$A143)+SUMIFS(LayTable[[Faktisk res]:[Faktisk res]],LayTable[[Dato]:[Dato]],"&gt;="&amp;N$8,LayTable[[Dato]:[Dato]],"&lt;="&amp;EOMONTH(N$8,0),LayTable[[Bookmaker]:[Bookmaker]],$A143)+SUMIFS(BetTable[[AR_per_bookie]:[AR_per_bookie]],BetTable[[B1]:[B1]],$A143,BetTable[[Date]:[Date]], "&gt;="&amp;N$8,BetTable[[Date]:[Date]],"&lt;="&amp;EOMONTH(N$8,0))+SUMIFS(BetTable[[AR_per_bookie]:[AR_per_bookie]],BetTable[[B2]:[B2]],$A143,BetTable[[Date]:[Date]], "&gt;="&amp;N$8,BetTable[[Date]:[Date]],"&lt;="&amp;EOMONTH(N$8,0))+SUMIFS(BetTable[[AR_per_bookie]:[AR_per_bookie]],BetTable[[B3]:[B3]],$A143,BetTable[[Date]:[Date]], "&gt;="&amp;N$8,BetTable[[Date]:[Date]],"&lt;="&amp;EOMONTH(N$8,0))</f>
        <v>0</v>
      </c>
      <c r="O143" s="126">
        <f>SUMIFS(DWbonus[[Sum]:[Sum]],DWbonus[[Dato]:[Dato]], "&gt;="&amp;O$8,DWbonus[[Dato]:[Dato]],"&lt;="&amp;EOMONTH(O$8,0),DWbonus[[Bookie]:[Bookie]],$A143)+SUMIFS(LayTable[[Faktisk res]:[Faktisk res]],LayTable[[Dato]:[Dato]],"&gt;="&amp;O$8,LayTable[[Dato]:[Dato]],"&lt;="&amp;EOMONTH(O$8,0),LayTable[[Bookmaker]:[Bookmaker]],$A143)+SUMIFS(BetTable[[AR_per_bookie]:[AR_per_bookie]],BetTable[[B1]:[B1]],$A143,BetTable[[Date]:[Date]], "&gt;="&amp;O$8,BetTable[[Date]:[Date]],"&lt;="&amp;EOMONTH(O$8,0))+SUMIFS(BetTable[[AR_per_bookie]:[AR_per_bookie]],BetTable[[B2]:[B2]],$A143,BetTable[[Date]:[Date]], "&gt;="&amp;O$8,BetTable[[Date]:[Date]],"&lt;="&amp;EOMONTH(O$8,0))+SUMIFS(BetTable[[AR_per_bookie]:[AR_per_bookie]],BetTable[[B3]:[B3]],$A143,BetTable[[Date]:[Date]], "&gt;="&amp;O$8,BetTable[[Date]:[Date]],"&lt;="&amp;EOMONTH(O$8,0))</f>
        <v>0</v>
      </c>
      <c r="P143" s="126">
        <f>SUMIFS(DWbonus[[Sum]:[Sum]],DWbonus[[Dato]:[Dato]], "&gt;="&amp;P$8,DWbonus[[Dato]:[Dato]],"&lt;="&amp;EOMONTH(P$8,0),DWbonus[[Bookie]:[Bookie]],$A143)+SUMIFS(LayTable[[Faktisk res]:[Faktisk res]],LayTable[[Dato]:[Dato]],"&gt;="&amp;P$8,LayTable[[Dato]:[Dato]],"&lt;="&amp;EOMONTH(P$8,0),LayTable[[Bookmaker]:[Bookmaker]],$A143)+SUMIFS(BetTable[[AR_per_bookie]:[AR_per_bookie]],BetTable[[B1]:[B1]],$A143,BetTable[[Date]:[Date]], "&gt;="&amp;P$8,BetTable[[Date]:[Date]],"&lt;="&amp;EOMONTH(P$8,0))+SUMIFS(BetTable[[AR_per_bookie]:[AR_per_bookie]],BetTable[[B2]:[B2]],$A143,BetTable[[Date]:[Date]], "&gt;="&amp;P$8,BetTable[[Date]:[Date]],"&lt;="&amp;EOMONTH(P$8,0))+SUMIFS(BetTable[[AR_per_bookie]:[AR_per_bookie]],BetTable[[B3]:[B3]],$A143,BetTable[[Date]:[Date]], "&gt;="&amp;P$8,BetTable[[Date]:[Date]],"&lt;="&amp;EOMONTH(P$8,0))</f>
        <v>0</v>
      </c>
      <c r="Q143" s="126">
        <f>SUMIFS(DWbonus[[Sum]:[Sum]],DWbonus[[Dato]:[Dato]], "&gt;="&amp;Q$8,DWbonus[[Dato]:[Dato]],"&lt;="&amp;EOMONTH(Q$8,0),DWbonus[[Bookie]:[Bookie]],$A143)+SUMIFS(LayTable[[Faktisk res]:[Faktisk res]],LayTable[[Dato]:[Dato]],"&gt;="&amp;Q$8,LayTable[[Dato]:[Dato]],"&lt;="&amp;EOMONTH(Q$8,0),LayTable[[Bookmaker]:[Bookmaker]],$A143)+SUMIFS(BetTable[[AR_per_bookie]:[AR_per_bookie]],BetTable[[B1]:[B1]],$A143,BetTable[[Date]:[Date]], "&gt;="&amp;Q$8,BetTable[[Date]:[Date]],"&lt;="&amp;EOMONTH(Q$8,0))+SUMIFS(BetTable[[AR_per_bookie]:[AR_per_bookie]],BetTable[[B2]:[B2]],$A143,BetTable[[Date]:[Date]], "&gt;="&amp;Q$8,BetTable[[Date]:[Date]],"&lt;="&amp;EOMONTH(Q$8,0))+SUMIFS(BetTable[[AR_per_bookie]:[AR_per_bookie]],BetTable[[B3]:[B3]],$A143,BetTable[[Date]:[Date]], "&gt;="&amp;Q$8,BetTable[[Date]:[Date]],"&lt;="&amp;EOMONTH(Q$8,0))</f>
        <v>0</v>
      </c>
      <c r="R143" s="126">
        <f>SUMIFS(DWbonus[[Sum]:[Sum]],DWbonus[[Dato]:[Dato]], "&gt;="&amp;R$8,DWbonus[[Dato]:[Dato]],"&lt;="&amp;EOMONTH(R$8,0),DWbonus[[Bookie]:[Bookie]],$A143)+SUMIFS(LayTable[[Faktisk res]:[Faktisk res]],LayTable[[Dato]:[Dato]],"&gt;="&amp;R$8,LayTable[[Dato]:[Dato]],"&lt;="&amp;EOMONTH(R$8,0),LayTable[[Bookmaker]:[Bookmaker]],$A143)+SUMIFS(BetTable[[AR_per_bookie]:[AR_per_bookie]],BetTable[[B1]:[B1]],$A143,BetTable[[Date]:[Date]], "&gt;="&amp;R$8,BetTable[[Date]:[Date]],"&lt;="&amp;EOMONTH(R$8,0))+SUMIFS(BetTable[[AR_per_bookie]:[AR_per_bookie]],BetTable[[B2]:[B2]],$A143,BetTable[[Date]:[Date]], "&gt;="&amp;R$8,BetTable[[Date]:[Date]],"&lt;="&amp;EOMONTH(R$8,0))+SUMIFS(BetTable[[AR_per_bookie]:[AR_per_bookie]],BetTable[[B3]:[B3]],$A143,BetTable[[Date]:[Date]], "&gt;="&amp;R$8,BetTable[[Date]:[Date]],"&lt;="&amp;EOMONTH(R$8,0))</f>
        <v>0</v>
      </c>
      <c r="S143" s="126">
        <f>SUMIFS(DWbonus[[Sum]:[Sum]],DWbonus[[Dato]:[Dato]], "&gt;="&amp;S$8,DWbonus[[Dato]:[Dato]],"&lt;="&amp;EOMONTH(S$8,0),DWbonus[[Bookie]:[Bookie]],$A143)+SUMIFS(LayTable[[Faktisk res]:[Faktisk res]],LayTable[[Dato]:[Dato]],"&gt;="&amp;S$8,LayTable[[Dato]:[Dato]],"&lt;="&amp;EOMONTH(S$8,0),LayTable[[Bookmaker]:[Bookmaker]],$A143)+SUMIFS(BetTable[[AR_per_bookie]:[AR_per_bookie]],BetTable[[B1]:[B1]],$A143,BetTable[[Date]:[Date]], "&gt;="&amp;S$8,BetTable[[Date]:[Date]],"&lt;="&amp;EOMONTH(S$8,0))+SUMIFS(BetTable[[AR_per_bookie]:[AR_per_bookie]],BetTable[[B2]:[B2]],$A143,BetTable[[Date]:[Date]], "&gt;="&amp;S$8,BetTable[[Date]:[Date]],"&lt;="&amp;EOMONTH(S$8,0))+SUMIFS(BetTable[[AR_per_bookie]:[AR_per_bookie]],BetTable[[B3]:[B3]],$A143,BetTable[[Date]:[Date]], "&gt;="&amp;S$8,BetTable[[Date]:[Date]],"&lt;="&amp;EOMONTH(S$8,0))</f>
        <v>0</v>
      </c>
    </row>
    <row r="144" spans="1:19">
      <c r="A144" s="115">
        <f>BookieNavn!I138</f>
        <v>0</v>
      </c>
      <c r="B144" s="126">
        <f>SUMIF(Penger!D$1:D$50072,A144,Penger!F$1:F$50072)</f>
        <v>0</v>
      </c>
      <c r="C144" s="126">
        <f>SUMIF(Penger!T$1:T$50072,A144,Penger!U$1:U$50072)</f>
        <v>0</v>
      </c>
      <c r="D144" s="126">
        <f ca="1">SUMIF(Spill!C$1:C$499895,A144,Spill!T$1:T$49895)+C144</f>
        <v>0</v>
      </c>
      <c r="E144" s="126">
        <f>SUMIF(Spill!C$1:C$49895,A144,Spill!T$1:T$49895)</f>
        <v>0</v>
      </c>
      <c r="F144" s="121" t="e">
        <f t="shared" ca="1" si="3"/>
        <v>#DIV/0!</v>
      </c>
      <c r="H144" s="126">
        <f>SUMIFS(DWbonus[[Sum]:[Sum]],DWbonus[[Dato]:[Dato]], "&gt;="&amp;H$8,DWbonus[[Dato]:[Dato]],"&lt;="&amp;EOMONTH(H$8,0),DWbonus[[Bookie]:[Bookie]],$A144)+SUMIFS(LayTable[[Faktisk res]:[Faktisk res]],LayTable[[Dato]:[Dato]],"&gt;="&amp;H$8,LayTable[[Dato]:[Dato]],"&lt;="&amp;EOMONTH(H$8,0),LayTable[[Bookmaker]:[Bookmaker]],$A144)+SUMIFS(BetTable[[AR_per_bookie]:[AR_per_bookie]],BetTable[[B1]:[B1]],$A144,BetTable[[Date]:[Date]], "&gt;="&amp;H$8,BetTable[[Date]:[Date]],"&lt;="&amp;EOMONTH(H$8,0))+SUMIFS(BetTable[[AR_per_bookie]:[AR_per_bookie]],BetTable[[B2]:[B2]],$A144,BetTable[[Date]:[Date]], "&gt;="&amp;H$8,BetTable[[Date]:[Date]],"&lt;="&amp;EOMONTH(H$8,0))+SUMIFS(BetTable[[AR_per_bookie]:[AR_per_bookie]],BetTable[[B3]:[B3]],$A144,BetTable[[Date]:[Date]], "&gt;="&amp;H$8,BetTable[[Date]:[Date]],"&lt;="&amp;EOMONTH(H$8,0))</f>
        <v>0</v>
      </c>
      <c r="I144" s="126">
        <f>SUMIFS(DWbonus[[Sum]:[Sum]],DWbonus[[Dato]:[Dato]], "&gt;="&amp;I$8,DWbonus[[Dato]:[Dato]],"&lt;="&amp;EOMONTH(I$8,0),DWbonus[[Bookie]:[Bookie]],$A144)+SUMIFS(LayTable[[Faktisk res]:[Faktisk res]],LayTable[[Dato]:[Dato]],"&gt;="&amp;I$8,LayTable[[Dato]:[Dato]],"&lt;="&amp;EOMONTH(I$8,0),LayTable[[Bookmaker]:[Bookmaker]],$A144)+SUMIFS(BetTable[[AR_per_bookie]:[AR_per_bookie]],BetTable[[B1]:[B1]],$A144,BetTable[[Date]:[Date]], "&gt;="&amp;I$8,BetTable[[Date]:[Date]],"&lt;="&amp;EOMONTH(I$8,0))+SUMIFS(BetTable[[AR_per_bookie]:[AR_per_bookie]],BetTable[[B2]:[B2]],$A144,BetTable[[Date]:[Date]], "&gt;="&amp;I$8,BetTable[[Date]:[Date]],"&lt;="&amp;EOMONTH(I$8,0))+SUMIFS(BetTable[[AR_per_bookie]:[AR_per_bookie]],BetTable[[B3]:[B3]],$A144,BetTable[[Date]:[Date]], "&gt;="&amp;I$8,BetTable[[Date]:[Date]],"&lt;="&amp;EOMONTH(I$8,0))</f>
        <v>0</v>
      </c>
      <c r="J144" s="126">
        <f>SUMIFS(DWbonus[[Sum]:[Sum]],DWbonus[[Dato]:[Dato]], "&gt;="&amp;J$8,DWbonus[[Dato]:[Dato]],"&lt;="&amp;EOMONTH(J$8,0),DWbonus[[Bookie]:[Bookie]],$A144)+SUMIFS(LayTable[[Faktisk res]:[Faktisk res]],LayTable[[Dato]:[Dato]],"&gt;="&amp;J$8,LayTable[[Dato]:[Dato]],"&lt;="&amp;EOMONTH(J$8,0),LayTable[[Bookmaker]:[Bookmaker]],$A144)+SUMIFS(BetTable[[AR_per_bookie]:[AR_per_bookie]],BetTable[[B1]:[B1]],$A144,BetTable[[Date]:[Date]], "&gt;="&amp;J$8,BetTable[[Date]:[Date]],"&lt;="&amp;EOMONTH(J$8,0))+SUMIFS(BetTable[[AR_per_bookie]:[AR_per_bookie]],BetTable[[B2]:[B2]],$A144,BetTable[[Date]:[Date]], "&gt;="&amp;J$8,BetTable[[Date]:[Date]],"&lt;="&amp;EOMONTH(J$8,0))+SUMIFS(BetTable[[AR_per_bookie]:[AR_per_bookie]],BetTable[[B3]:[B3]],$A144,BetTable[[Date]:[Date]], "&gt;="&amp;J$8,BetTable[[Date]:[Date]],"&lt;="&amp;EOMONTH(J$8,0))</f>
        <v>0</v>
      </c>
      <c r="K144" s="126">
        <f>SUMIFS(DWbonus[[Sum]:[Sum]],DWbonus[[Dato]:[Dato]], "&gt;="&amp;K$8,DWbonus[[Dato]:[Dato]],"&lt;="&amp;EOMONTH(K$8,0),DWbonus[[Bookie]:[Bookie]],$A144)+SUMIFS(LayTable[[Faktisk res]:[Faktisk res]],LayTable[[Dato]:[Dato]],"&gt;="&amp;K$8,LayTable[[Dato]:[Dato]],"&lt;="&amp;EOMONTH(K$8,0),LayTable[[Bookmaker]:[Bookmaker]],$A144)+SUMIFS(BetTable[[AR_per_bookie]:[AR_per_bookie]],BetTable[[B1]:[B1]],$A144,BetTable[[Date]:[Date]], "&gt;="&amp;K$8,BetTable[[Date]:[Date]],"&lt;="&amp;EOMONTH(K$8,0))+SUMIFS(BetTable[[AR_per_bookie]:[AR_per_bookie]],BetTable[[B2]:[B2]],$A144,BetTable[[Date]:[Date]], "&gt;="&amp;K$8,BetTable[[Date]:[Date]],"&lt;="&amp;EOMONTH(K$8,0))+SUMIFS(BetTable[[AR_per_bookie]:[AR_per_bookie]],BetTable[[B3]:[B3]],$A144,BetTable[[Date]:[Date]], "&gt;="&amp;K$8,BetTable[[Date]:[Date]],"&lt;="&amp;EOMONTH(K$8,0))</f>
        <v>0</v>
      </c>
      <c r="L144" s="126">
        <f>SUMIFS(DWbonus[[Sum]:[Sum]],DWbonus[[Dato]:[Dato]], "&gt;="&amp;L$8,DWbonus[[Dato]:[Dato]],"&lt;="&amp;EOMONTH(L$8,0),DWbonus[[Bookie]:[Bookie]],$A144)+SUMIFS(LayTable[[Faktisk res]:[Faktisk res]],LayTable[[Dato]:[Dato]],"&gt;="&amp;L$8,LayTable[[Dato]:[Dato]],"&lt;="&amp;EOMONTH(L$8,0),LayTable[[Bookmaker]:[Bookmaker]],$A144)+SUMIFS(BetTable[[AR_per_bookie]:[AR_per_bookie]],BetTable[[B1]:[B1]],$A144,BetTable[[Date]:[Date]], "&gt;="&amp;L$8,BetTable[[Date]:[Date]],"&lt;="&amp;EOMONTH(L$8,0))+SUMIFS(BetTable[[AR_per_bookie]:[AR_per_bookie]],BetTable[[B2]:[B2]],$A144,BetTable[[Date]:[Date]], "&gt;="&amp;L$8,BetTable[[Date]:[Date]],"&lt;="&amp;EOMONTH(L$8,0))+SUMIFS(BetTable[[AR_per_bookie]:[AR_per_bookie]],BetTable[[B3]:[B3]],$A144,BetTable[[Date]:[Date]], "&gt;="&amp;L$8,BetTable[[Date]:[Date]],"&lt;="&amp;EOMONTH(L$8,0))</f>
        <v>0</v>
      </c>
      <c r="M144" s="126">
        <f>SUMIFS(DWbonus[[Sum]:[Sum]],DWbonus[[Dato]:[Dato]], "&gt;="&amp;M$8,DWbonus[[Dato]:[Dato]],"&lt;="&amp;EOMONTH(M$8,0),DWbonus[[Bookie]:[Bookie]],$A144)+SUMIFS(LayTable[[Faktisk res]:[Faktisk res]],LayTable[[Dato]:[Dato]],"&gt;="&amp;M$8,LayTable[[Dato]:[Dato]],"&lt;="&amp;EOMONTH(M$8,0),LayTable[[Bookmaker]:[Bookmaker]],$A144)+SUMIFS(BetTable[[AR_per_bookie]:[AR_per_bookie]],BetTable[[B1]:[B1]],$A144,BetTable[[Date]:[Date]], "&gt;="&amp;M$8,BetTable[[Date]:[Date]],"&lt;="&amp;EOMONTH(M$8,0))+SUMIFS(BetTable[[AR_per_bookie]:[AR_per_bookie]],BetTable[[B2]:[B2]],$A144,BetTable[[Date]:[Date]], "&gt;="&amp;M$8,BetTable[[Date]:[Date]],"&lt;="&amp;EOMONTH(M$8,0))+SUMIFS(BetTable[[AR_per_bookie]:[AR_per_bookie]],BetTable[[B3]:[B3]],$A144,BetTable[[Date]:[Date]], "&gt;="&amp;M$8,BetTable[[Date]:[Date]],"&lt;="&amp;EOMONTH(M$8,0))</f>
        <v>0</v>
      </c>
      <c r="N144" s="126">
        <f>SUMIFS(DWbonus[[Sum]:[Sum]],DWbonus[[Dato]:[Dato]], "&gt;="&amp;N$8,DWbonus[[Dato]:[Dato]],"&lt;="&amp;EOMONTH(N$8,0),DWbonus[[Bookie]:[Bookie]],$A144)+SUMIFS(LayTable[[Faktisk res]:[Faktisk res]],LayTable[[Dato]:[Dato]],"&gt;="&amp;N$8,LayTable[[Dato]:[Dato]],"&lt;="&amp;EOMONTH(N$8,0),LayTable[[Bookmaker]:[Bookmaker]],$A144)+SUMIFS(BetTable[[AR_per_bookie]:[AR_per_bookie]],BetTable[[B1]:[B1]],$A144,BetTable[[Date]:[Date]], "&gt;="&amp;N$8,BetTable[[Date]:[Date]],"&lt;="&amp;EOMONTH(N$8,0))+SUMIFS(BetTable[[AR_per_bookie]:[AR_per_bookie]],BetTable[[B2]:[B2]],$A144,BetTable[[Date]:[Date]], "&gt;="&amp;N$8,BetTable[[Date]:[Date]],"&lt;="&amp;EOMONTH(N$8,0))+SUMIFS(BetTable[[AR_per_bookie]:[AR_per_bookie]],BetTable[[B3]:[B3]],$A144,BetTable[[Date]:[Date]], "&gt;="&amp;N$8,BetTable[[Date]:[Date]],"&lt;="&amp;EOMONTH(N$8,0))</f>
        <v>0</v>
      </c>
      <c r="O144" s="126">
        <f>SUMIFS(DWbonus[[Sum]:[Sum]],DWbonus[[Dato]:[Dato]], "&gt;="&amp;O$8,DWbonus[[Dato]:[Dato]],"&lt;="&amp;EOMONTH(O$8,0),DWbonus[[Bookie]:[Bookie]],$A144)+SUMIFS(LayTable[[Faktisk res]:[Faktisk res]],LayTable[[Dato]:[Dato]],"&gt;="&amp;O$8,LayTable[[Dato]:[Dato]],"&lt;="&amp;EOMONTH(O$8,0),LayTable[[Bookmaker]:[Bookmaker]],$A144)+SUMIFS(BetTable[[AR_per_bookie]:[AR_per_bookie]],BetTable[[B1]:[B1]],$A144,BetTable[[Date]:[Date]], "&gt;="&amp;O$8,BetTable[[Date]:[Date]],"&lt;="&amp;EOMONTH(O$8,0))+SUMIFS(BetTable[[AR_per_bookie]:[AR_per_bookie]],BetTable[[B2]:[B2]],$A144,BetTable[[Date]:[Date]], "&gt;="&amp;O$8,BetTable[[Date]:[Date]],"&lt;="&amp;EOMONTH(O$8,0))+SUMIFS(BetTable[[AR_per_bookie]:[AR_per_bookie]],BetTable[[B3]:[B3]],$A144,BetTable[[Date]:[Date]], "&gt;="&amp;O$8,BetTable[[Date]:[Date]],"&lt;="&amp;EOMONTH(O$8,0))</f>
        <v>0</v>
      </c>
      <c r="P144" s="126">
        <f>SUMIFS(DWbonus[[Sum]:[Sum]],DWbonus[[Dato]:[Dato]], "&gt;="&amp;P$8,DWbonus[[Dato]:[Dato]],"&lt;="&amp;EOMONTH(P$8,0),DWbonus[[Bookie]:[Bookie]],$A144)+SUMIFS(LayTable[[Faktisk res]:[Faktisk res]],LayTable[[Dato]:[Dato]],"&gt;="&amp;P$8,LayTable[[Dato]:[Dato]],"&lt;="&amp;EOMONTH(P$8,0),LayTable[[Bookmaker]:[Bookmaker]],$A144)+SUMIFS(BetTable[[AR_per_bookie]:[AR_per_bookie]],BetTable[[B1]:[B1]],$A144,BetTable[[Date]:[Date]], "&gt;="&amp;P$8,BetTable[[Date]:[Date]],"&lt;="&amp;EOMONTH(P$8,0))+SUMIFS(BetTable[[AR_per_bookie]:[AR_per_bookie]],BetTable[[B2]:[B2]],$A144,BetTable[[Date]:[Date]], "&gt;="&amp;P$8,BetTable[[Date]:[Date]],"&lt;="&amp;EOMONTH(P$8,0))+SUMIFS(BetTable[[AR_per_bookie]:[AR_per_bookie]],BetTable[[B3]:[B3]],$A144,BetTable[[Date]:[Date]], "&gt;="&amp;P$8,BetTable[[Date]:[Date]],"&lt;="&amp;EOMONTH(P$8,0))</f>
        <v>0</v>
      </c>
      <c r="Q144" s="126">
        <f>SUMIFS(DWbonus[[Sum]:[Sum]],DWbonus[[Dato]:[Dato]], "&gt;="&amp;Q$8,DWbonus[[Dato]:[Dato]],"&lt;="&amp;EOMONTH(Q$8,0),DWbonus[[Bookie]:[Bookie]],$A144)+SUMIFS(LayTable[[Faktisk res]:[Faktisk res]],LayTable[[Dato]:[Dato]],"&gt;="&amp;Q$8,LayTable[[Dato]:[Dato]],"&lt;="&amp;EOMONTH(Q$8,0),LayTable[[Bookmaker]:[Bookmaker]],$A144)+SUMIFS(BetTable[[AR_per_bookie]:[AR_per_bookie]],BetTable[[B1]:[B1]],$A144,BetTable[[Date]:[Date]], "&gt;="&amp;Q$8,BetTable[[Date]:[Date]],"&lt;="&amp;EOMONTH(Q$8,0))+SUMIFS(BetTable[[AR_per_bookie]:[AR_per_bookie]],BetTable[[B2]:[B2]],$A144,BetTable[[Date]:[Date]], "&gt;="&amp;Q$8,BetTable[[Date]:[Date]],"&lt;="&amp;EOMONTH(Q$8,0))+SUMIFS(BetTable[[AR_per_bookie]:[AR_per_bookie]],BetTable[[B3]:[B3]],$A144,BetTable[[Date]:[Date]], "&gt;="&amp;Q$8,BetTable[[Date]:[Date]],"&lt;="&amp;EOMONTH(Q$8,0))</f>
        <v>0</v>
      </c>
      <c r="R144" s="126">
        <f>SUMIFS(DWbonus[[Sum]:[Sum]],DWbonus[[Dato]:[Dato]], "&gt;="&amp;R$8,DWbonus[[Dato]:[Dato]],"&lt;="&amp;EOMONTH(R$8,0),DWbonus[[Bookie]:[Bookie]],$A144)+SUMIFS(LayTable[[Faktisk res]:[Faktisk res]],LayTable[[Dato]:[Dato]],"&gt;="&amp;R$8,LayTable[[Dato]:[Dato]],"&lt;="&amp;EOMONTH(R$8,0),LayTable[[Bookmaker]:[Bookmaker]],$A144)+SUMIFS(BetTable[[AR_per_bookie]:[AR_per_bookie]],BetTable[[B1]:[B1]],$A144,BetTable[[Date]:[Date]], "&gt;="&amp;R$8,BetTable[[Date]:[Date]],"&lt;="&amp;EOMONTH(R$8,0))+SUMIFS(BetTable[[AR_per_bookie]:[AR_per_bookie]],BetTable[[B2]:[B2]],$A144,BetTable[[Date]:[Date]], "&gt;="&amp;R$8,BetTable[[Date]:[Date]],"&lt;="&amp;EOMONTH(R$8,0))+SUMIFS(BetTable[[AR_per_bookie]:[AR_per_bookie]],BetTable[[B3]:[B3]],$A144,BetTable[[Date]:[Date]], "&gt;="&amp;R$8,BetTable[[Date]:[Date]],"&lt;="&amp;EOMONTH(R$8,0))</f>
        <v>0</v>
      </c>
      <c r="S144" s="126">
        <f>SUMIFS(DWbonus[[Sum]:[Sum]],DWbonus[[Dato]:[Dato]], "&gt;="&amp;S$8,DWbonus[[Dato]:[Dato]],"&lt;="&amp;EOMONTH(S$8,0),DWbonus[[Bookie]:[Bookie]],$A144)+SUMIFS(LayTable[[Faktisk res]:[Faktisk res]],LayTable[[Dato]:[Dato]],"&gt;="&amp;S$8,LayTable[[Dato]:[Dato]],"&lt;="&amp;EOMONTH(S$8,0),LayTable[[Bookmaker]:[Bookmaker]],$A144)+SUMIFS(BetTable[[AR_per_bookie]:[AR_per_bookie]],BetTable[[B1]:[B1]],$A144,BetTable[[Date]:[Date]], "&gt;="&amp;S$8,BetTable[[Date]:[Date]],"&lt;="&amp;EOMONTH(S$8,0))+SUMIFS(BetTable[[AR_per_bookie]:[AR_per_bookie]],BetTable[[B2]:[B2]],$A144,BetTable[[Date]:[Date]], "&gt;="&amp;S$8,BetTable[[Date]:[Date]],"&lt;="&amp;EOMONTH(S$8,0))+SUMIFS(BetTable[[AR_per_bookie]:[AR_per_bookie]],BetTable[[B3]:[B3]],$A144,BetTable[[Date]:[Date]], "&gt;="&amp;S$8,BetTable[[Date]:[Date]],"&lt;="&amp;EOMONTH(S$8,0))</f>
        <v>0</v>
      </c>
    </row>
    <row r="145" spans="1:19">
      <c r="A145" s="115">
        <f>BookieNavn!I139</f>
        <v>0</v>
      </c>
      <c r="B145" s="126">
        <f>SUMIF(Penger!D$1:D$50072,A145,Penger!F$1:F$50072)</f>
        <v>0</v>
      </c>
      <c r="C145" s="126">
        <f>SUMIF(Penger!T$1:T$50072,A145,Penger!U$1:U$50072)</f>
        <v>0</v>
      </c>
      <c r="D145" s="126">
        <f ca="1">SUMIF(Spill!C$1:C$499895,A145,Spill!T$1:T$49895)+C145</f>
        <v>0</v>
      </c>
      <c r="E145" s="126">
        <f>SUMIF(Spill!C$1:C$49895,A145,Spill!T$1:T$49895)</f>
        <v>0</v>
      </c>
      <c r="F145" s="121" t="e">
        <f t="shared" ca="1" si="3"/>
        <v>#DIV/0!</v>
      </c>
      <c r="H145" s="126">
        <f>SUMIFS(DWbonus[[Sum]:[Sum]],DWbonus[[Dato]:[Dato]], "&gt;="&amp;H$8,DWbonus[[Dato]:[Dato]],"&lt;="&amp;EOMONTH(H$8,0),DWbonus[[Bookie]:[Bookie]],$A145)+SUMIFS(LayTable[[Faktisk res]:[Faktisk res]],LayTable[[Dato]:[Dato]],"&gt;="&amp;H$8,LayTable[[Dato]:[Dato]],"&lt;="&amp;EOMONTH(H$8,0),LayTable[[Bookmaker]:[Bookmaker]],$A145)+SUMIFS(BetTable[[AR_per_bookie]:[AR_per_bookie]],BetTable[[B1]:[B1]],$A145,BetTable[[Date]:[Date]], "&gt;="&amp;H$8,BetTable[[Date]:[Date]],"&lt;="&amp;EOMONTH(H$8,0))+SUMIFS(BetTable[[AR_per_bookie]:[AR_per_bookie]],BetTable[[B2]:[B2]],$A145,BetTable[[Date]:[Date]], "&gt;="&amp;H$8,BetTable[[Date]:[Date]],"&lt;="&amp;EOMONTH(H$8,0))+SUMIFS(BetTable[[AR_per_bookie]:[AR_per_bookie]],BetTable[[B3]:[B3]],$A145,BetTable[[Date]:[Date]], "&gt;="&amp;H$8,BetTable[[Date]:[Date]],"&lt;="&amp;EOMONTH(H$8,0))</f>
        <v>0</v>
      </c>
      <c r="I145" s="126">
        <f>SUMIFS(DWbonus[[Sum]:[Sum]],DWbonus[[Dato]:[Dato]], "&gt;="&amp;I$8,DWbonus[[Dato]:[Dato]],"&lt;="&amp;EOMONTH(I$8,0),DWbonus[[Bookie]:[Bookie]],$A145)+SUMIFS(LayTable[[Faktisk res]:[Faktisk res]],LayTable[[Dato]:[Dato]],"&gt;="&amp;I$8,LayTable[[Dato]:[Dato]],"&lt;="&amp;EOMONTH(I$8,0),LayTable[[Bookmaker]:[Bookmaker]],$A145)+SUMIFS(BetTable[[AR_per_bookie]:[AR_per_bookie]],BetTable[[B1]:[B1]],$A145,BetTable[[Date]:[Date]], "&gt;="&amp;I$8,BetTable[[Date]:[Date]],"&lt;="&amp;EOMONTH(I$8,0))+SUMIFS(BetTable[[AR_per_bookie]:[AR_per_bookie]],BetTable[[B2]:[B2]],$A145,BetTable[[Date]:[Date]], "&gt;="&amp;I$8,BetTable[[Date]:[Date]],"&lt;="&amp;EOMONTH(I$8,0))+SUMIFS(BetTable[[AR_per_bookie]:[AR_per_bookie]],BetTable[[B3]:[B3]],$A145,BetTable[[Date]:[Date]], "&gt;="&amp;I$8,BetTable[[Date]:[Date]],"&lt;="&amp;EOMONTH(I$8,0))</f>
        <v>0</v>
      </c>
      <c r="J145" s="126">
        <f>SUMIFS(DWbonus[[Sum]:[Sum]],DWbonus[[Dato]:[Dato]], "&gt;="&amp;J$8,DWbonus[[Dato]:[Dato]],"&lt;="&amp;EOMONTH(J$8,0),DWbonus[[Bookie]:[Bookie]],$A145)+SUMIFS(LayTable[[Faktisk res]:[Faktisk res]],LayTable[[Dato]:[Dato]],"&gt;="&amp;J$8,LayTable[[Dato]:[Dato]],"&lt;="&amp;EOMONTH(J$8,0),LayTable[[Bookmaker]:[Bookmaker]],$A145)+SUMIFS(BetTable[[AR_per_bookie]:[AR_per_bookie]],BetTable[[B1]:[B1]],$A145,BetTable[[Date]:[Date]], "&gt;="&amp;J$8,BetTable[[Date]:[Date]],"&lt;="&amp;EOMONTH(J$8,0))+SUMIFS(BetTable[[AR_per_bookie]:[AR_per_bookie]],BetTable[[B2]:[B2]],$A145,BetTable[[Date]:[Date]], "&gt;="&amp;J$8,BetTable[[Date]:[Date]],"&lt;="&amp;EOMONTH(J$8,0))+SUMIFS(BetTable[[AR_per_bookie]:[AR_per_bookie]],BetTable[[B3]:[B3]],$A145,BetTable[[Date]:[Date]], "&gt;="&amp;J$8,BetTable[[Date]:[Date]],"&lt;="&amp;EOMONTH(J$8,0))</f>
        <v>0</v>
      </c>
      <c r="K145" s="126">
        <f>SUMIFS(DWbonus[[Sum]:[Sum]],DWbonus[[Dato]:[Dato]], "&gt;="&amp;K$8,DWbonus[[Dato]:[Dato]],"&lt;="&amp;EOMONTH(K$8,0),DWbonus[[Bookie]:[Bookie]],$A145)+SUMIFS(LayTable[[Faktisk res]:[Faktisk res]],LayTable[[Dato]:[Dato]],"&gt;="&amp;K$8,LayTable[[Dato]:[Dato]],"&lt;="&amp;EOMONTH(K$8,0),LayTable[[Bookmaker]:[Bookmaker]],$A145)+SUMIFS(BetTable[[AR_per_bookie]:[AR_per_bookie]],BetTable[[B1]:[B1]],$A145,BetTable[[Date]:[Date]], "&gt;="&amp;K$8,BetTable[[Date]:[Date]],"&lt;="&amp;EOMONTH(K$8,0))+SUMIFS(BetTable[[AR_per_bookie]:[AR_per_bookie]],BetTable[[B2]:[B2]],$A145,BetTable[[Date]:[Date]], "&gt;="&amp;K$8,BetTable[[Date]:[Date]],"&lt;="&amp;EOMONTH(K$8,0))+SUMIFS(BetTable[[AR_per_bookie]:[AR_per_bookie]],BetTable[[B3]:[B3]],$A145,BetTable[[Date]:[Date]], "&gt;="&amp;K$8,BetTable[[Date]:[Date]],"&lt;="&amp;EOMONTH(K$8,0))</f>
        <v>0</v>
      </c>
      <c r="L145" s="126">
        <f>SUMIFS(DWbonus[[Sum]:[Sum]],DWbonus[[Dato]:[Dato]], "&gt;="&amp;L$8,DWbonus[[Dato]:[Dato]],"&lt;="&amp;EOMONTH(L$8,0),DWbonus[[Bookie]:[Bookie]],$A145)+SUMIFS(LayTable[[Faktisk res]:[Faktisk res]],LayTable[[Dato]:[Dato]],"&gt;="&amp;L$8,LayTable[[Dato]:[Dato]],"&lt;="&amp;EOMONTH(L$8,0),LayTable[[Bookmaker]:[Bookmaker]],$A145)+SUMIFS(BetTable[[AR_per_bookie]:[AR_per_bookie]],BetTable[[B1]:[B1]],$A145,BetTable[[Date]:[Date]], "&gt;="&amp;L$8,BetTable[[Date]:[Date]],"&lt;="&amp;EOMONTH(L$8,0))+SUMIFS(BetTable[[AR_per_bookie]:[AR_per_bookie]],BetTable[[B2]:[B2]],$A145,BetTable[[Date]:[Date]], "&gt;="&amp;L$8,BetTable[[Date]:[Date]],"&lt;="&amp;EOMONTH(L$8,0))+SUMIFS(BetTable[[AR_per_bookie]:[AR_per_bookie]],BetTable[[B3]:[B3]],$A145,BetTable[[Date]:[Date]], "&gt;="&amp;L$8,BetTable[[Date]:[Date]],"&lt;="&amp;EOMONTH(L$8,0))</f>
        <v>0</v>
      </c>
      <c r="M145" s="126">
        <f>SUMIFS(DWbonus[[Sum]:[Sum]],DWbonus[[Dato]:[Dato]], "&gt;="&amp;M$8,DWbonus[[Dato]:[Dato]],"&lt;="&amp;EOMONTH(M$8,0),DWbonus[[Bookie]:[Bookie]],$A145)+SUMIFS(LayTable[[Faktisk res]:[Faktisk res]],LayTable[[Dato]:[Dato]],"&gt;="&amp;M$8,LayTable[[Dato]:[Dato]],"&lt;="&amp;EOMONTH(M$8,0),LayTable[[Bookmaker]:[Bookmaker]],$A145)+SUMIFS(BetTable[[AR_per_bookie]:[AR_per_bookie]],BetTable[[B1]:[B1]],$A145,BetTable[[Date]:[Date]], "&gt;="&amp;M$8,BetTable[[Date]:[Date]],"&lt;="&amp;EOMONTH(M$8,0))+SUMIFS(BetTable[[AR_per_bookie]:[AR_per_bookie]],BetTable[[B2]:[B2]],$A145,BetTable[[Date]:[Date]], "&gt;="&amp;M$8,BetTable[[Date]:[Date]],"&lt;="&amp;EOMONTH(M$8,0))+SUMIFS(BetTable[[AR_per_bookie]:[AR_per_bookie]],BetTable[[B3]:[B3]],$A145,BetTable[[Date]:[Date]], "&gt;="&amp;M$8,BetTable[[Date]:[Date]],"&lt;="&amp;EOMONTH(M$8,0))</f>
        <v>0</v>
      </c>
      <c r="N145" s="126">
        <f>SUMIFS(DWbonus[[Sum]:[Sum]],DWbonus[[Dato]:[Dato]], "&gt;="&amp;N$8,DWbonus[[Dato]:[Dato]],"&lt;="&amp;EOMONTH(N$8,0),DWbonus[[Bookie]:[Bookie]],$A145)+SUMIFS(LayTable[[Faktisk res]:[Faktisk res]],LayTable[[Dato]:[Dato]],"&gt;="&amp;N$8,LayTable[[Dato]:[Dato]],"&lt;="&amp;EOMONTH(N$8,0),LayTable[[Bookmaker]:[Bookmaker]],$A145)+SUMIFS(BetTable[[AR_per_bookie]:[AR_per_bookie]],BetTable[[B1]:[B1]],$A145,BetTable[[Date]:[Date]], "&gt;="&amp;N$8,BetTable[[Date]:[Date]],"&lt;="&amp;EOMONTH(N$8,0))+SUMIFS(BetTable[[AR_per_bookie]:[AR_per_bookie]],BetTable[[B2]:[B2]],$A145,BetTable[[Date]:[Date]], "&gt;="&amp;N$8,BetTable[[Date]:[Date]],"&lt;="&amp;EOMONTH(N$8,0))+SUMIFS(BetTable[[AR_per_bookie]:[AR_per_bookie]],BetTable[[B3]:[B3]],$A145,BetTable[[Date]:[Date]], "&gt;="&amp;N$8,BetTable[[Date]:[Date]],"&lt;="&amp;EOMONTH(N$8,0))</f>
        <v>0</v>
      </c>
      <c r="O145" s="126">
        <f>SUMIFS(DWbonus[[Sum]:[Sum]],DWbonus[[Dato]:[Dato]], "&gt;="&amp;O$8,DWbonus[[Dato]:[Dato]],"&lt;="&amp;EOMONTH(O$8,0),DWbonus[[Bookie]:[Bookie]],$A145)+SUMIFS(LayTable[[Faktisk res]:[Faktisk res]],LayTable[[Dato]:[Dato]],"&gt;="&amp;O$8,LayTable[[Dato]:[Dato]],"&lt;="&amp;EOMONTH(O$8,0),LayTable[[Bookmaker]:[Bookmaker]],$A145)+SUMIFS(BetTable[[AR_per_bookie]:[AR_per_bookie]],BetTable[[B1]:[B1]],$A145,BetTable[[Date]:[Date]], "&gt;="&amp;O$8,BetTable[[Date]:[Date]],"&lt;="&amp;EOMONTH(O$8,0))+SUMIFS(BetTable[[AR_per_bookie]:[AR_per_bookie]],BetTable[[B2]:[B2]],$A145,BetTable[[Date]:[Date]], "&gt;="&amp;O$8,BetTable[[Date]:[Date]],"&lt;="&amp;EOMONTH(O$8,0))+SUMIFS(BetTable[[AR_per_bookie]:[AR_per_bookie]],BetTable[[B3]:[B3]],$A145,BetTable[[Date]:[Date]], "&gt;="&amp;O$8,BetTable[[Date]:[Date]],"&lt;="&amp;EOMONTH(O$8,0))</f>
        <v>0</v>
      </c>
      <c r="P145" s="126">
        <f>SUMIFS(DWbonus[[Sum]:[Sum]],DWbonus[[Dato]:[Dato]], "&gt;="&amp;P$8,DWbonus[[Dato]:[Dato]],"&lt;="&amp;EOMONTH(P$8,0),DWbonus[[Bookie]:[Bookie]],$A145)+SUMIFS(LayTable[[Faktisk res]:[Faktisk res]],LayTable[[Dato]:[Dato]],"&gt;="&amp;P$8,LayTable[[Dato]:[Dato]],"&lt;="&amp;EOMONTH(P$8,0),LayTable[[Bookmaker]:[Bookmaker]],$A145)+SUMIFS(BetTable[[AR_per_bookie]:[AR_per_bookie]],BetTable[[B1]:[B1]],$A145,BetTable[[Date]:[Date]], "&gt;="&amp;P$8,BetTable[[Date]:[Date]],"&lt;="&amp;EOMONTH(P$8,0))+SUMIFS(BetTable[[AR_per_bookie]:[AR_per_bookie]],BetTable[[B2]:[B2]],$A145,BetTable[[Date]:[Date]], "&gt;="&amp;P$8,BetTable[[Date]:[Date]],"&lt;="&amp;EOMONTH(P$8,0))+SUMIFS(BetTable[[AR_per_bookie]:[AR_per_bookie]],BetTable[[B3]:[B3]],$A145,BetTable[[Date]:[Date]], "&gt;="&amp;P$8,BetTable[[Date]:[Date]],"&lt;="&amp;EOMONTH(P$8,0))</f>
        <v>0</v>
      </c>
      <c r="Q145" s="126">
        <f>SUMIFS(DWbonus[[Sum]:[Sum]],DWbonus[[Dato]:[Dato]], "&gt;="&amp;Q$8,DWbonus[[Dato]:[Dato]],"&lt;="&amp;EOMONTH(Q$8,0),DWbonus[[Bookie]:[Bookie]],$A145)+SUMIFS(LayTable[[Faktisk res]:[Faktisk res]],LayTable[[Dato]:[Dato]],"&gt;="&amp;Q$8,LayTable[[Dato]:[Dato]],"&lt;="&amp;EOMONTH(Q$8,0),LayTable[[Bookmaker]:[Bookmaker]],$A145)+SUMIFS(BetTable[[AR_per_bookie]:[AR_per_bookie]],BetTable[[B1]:[B1]],$A145,BetTable[[Date]:[Date]], "&gt;="&amp;Q$8,BetTable[[Date]:[Date]],"&lt;="&amp;EOMONTH(Q$8,0))+SUMIFS(BetTable[[AR_per_bookie]:[AR_per_bookie]],BetTable[[B2]:[B2]],$A145,BetTable[[Date]:[Date]], "&gt;="&amp;Q$8,BetTable[[Date]:[Date]],"&lt;="&amp;EOMONTH(Q$8,0))+SUMIFS(BetTable[[AR_per_bookie]:[AR_per_bookie]],BetTable[[B3]:[B3]],$A145,BetTable[[Date]:[Date]], "&gt;="&amp;Q$8,BetTable[[Date]:[Date]],"&lt;="&amp;EOMONTH(Q$8,0))</f>
        <v>0</v>
      </c>
      <c r="R145" s="126">
        <f>SUMIFS(DWbonus[[Sum]:[Sum]],DWbonus[[Dato]:[Dato]], "&gt;="&amp;R$8,DWbonus[[Dato]:[Dato]],"&lt;="&amp;EOMONTH(R$8,0),DWbonus[[Bookie]:[Bookie]],$A145)+SUMIFS(LayTable[[Faktisk res]:[Faktisk res]],LayTable[[Dato]:[Dato]],"&gt;="&amp;R$8,LayTable[[Dato]:[Dato]],"&lt;="&amp;EOMONTH(R$8,0),LayTable[[Bookmaker]:[Bookmaker]],$A145)+SUMIFS(BetTable[[AR_per_bookie]:[AR_per_bookie]],BetTable[[B1]:[B1]],$A145,BetTable[[Date]:[Date]], "&gt;="&amp;R$8,BetTable[[Date]:[Date]],"&lt;="&amp;EOMONTH(R$8,0))+SUMIFS(BetTable[[AR_per_bookie]:[AR_per_bookie]],BetTable[[B2]:[B2]],$A145,BetTable[[Date]:[Date]], "&gt;="&amp;R$8,BetTable[[Date]:[Date]],"&lt;="&amp;EOMONTH(R$8,0))+SUMIFS(BetTable[[AR_per_bookie]:[AR_per_bookie]],BetTable[[B3]:[B3]],$A145,BetTable[[Date]:[Date]], "&gt;="&amp;R$8,BetTable[[Date]:[Date]],"&lt;="&amp;EOMONTH(R$8,0))</f>
        <v>0</v>
      </c>
      <c r="S145" s="126">
        <f>SUMIFS(DWbonus[[Sum]:[Sum]],DWbonus[[Dato]:[Dato]], "&gt;="&amp;S$8,DWbonus[[Dato]:[Dato]],"&lt;="&amp;EOMONTH(S$8,0),DWbonus[[Bookie]:[Bookie]],$A145)+SUMIFS(LayTable[[Faktisk res]:[Faktisk res]],LayTable[[Dato]:[Dato]],"&gt;="&amp;S$8,LayTable[[Dato]:[Dato]],"&lt;="&amp;EOMONTH(S$8,0),LayTable[[Bookmaker]:[Bookmaker]],$A145)+SUMIFS(BetTable[[AR_per_bookie]:[AR_per_bookie]],BetTable[[B1]:[B1]],$A145,BetTable[[Date]:[Date]], "&gt;="&amp;S$8,BetTable[[Date]:[Date]],"&lt;="&amp;EOMONTH(S$8,0))+SUMIFS(BetTable[[AR_per_bookie]:[AR_per_bookie]],BetTable[[B2]:[B2]],$A145,BetTable[[Date]:[Date]], "&gt;="&amp;S$8,BetTable[[Date]:[Date]],"&lt;="&amp;EOMONTH(S$8,0))+SUMIFS(BetTable[[AR_per_bookie]:[AR_per_bookie]],BetTable[[B3]:[B3]],$A145,BetTable[[Date]:[Date]], "&gt;="&amp;S$8,BetTable[[Date]:[Date]],"&lt;="&amp;EOMONTH(S$8,0))</f>
        <v>0</v>
      </c>
    </row>
    <row r="146" spans="1:19">
      <c r="A146" s="115">
        <f>BookieNavn!I140</f>
        <v>0</v>
      </c>
      <c r="B146" s="126">
        <f>SUMIF(Penger!D$1:D$50072,A146,Penger!F$1:F$50072)</f>
        <v>0</v>
      </c>
      <c r="C146" s="126">
        <f>SUMIF(Penger!T$1:T$50072,A146,Penger!U$1:U$50072)</f>
        <v>0</v>
      </c>
      <c r="D146" s="126">
        <f ca="1">SUMIF(Spill!C$1:C$499895,A146,Spill!T$1:T$49895)+C146</f>
        <v>0</v>
      </c>
      <c r="E146" s="126">
        <f>SUMIF(Spill!C$1:C$49895,A146,Spill!T$1:T$49895)</f>
        <v>0</v>
      </c>
      <c r="F146" s="121" t="e">
        <f t="shared" ca="1" si="3"/>
        <v>#DIV/0!</v>
      </c>
      <c r="H146" s="126">
        <f>SUMIFS(DWbonus[[Sum]:[Sum]],DWbonus[[Dato]:[Dato]], "&gt;="&amp;H$8,DWbonus[[Dato]:[Dato]],"&lt;="&amp;EOMONTH(H$8,0),DWbonus[[Bookie]:[Bookie]],$A146)+SUMIFS(LayTable[[Faktisk res]:[Faktisk res]],LayTable[[Dato]:[Dato]],"&gt;="&amp;H$8,LayTable[[Dato]:[Dato]],"&lt;="&amp;EOMONTH(H$8,0),LayTable[[Bookmaker]:[Bookmaker]],$A146)+SUMIFS(BetTable[[AR_per_bookie]:[AR_per_bookie]],BetTable[[B1]:[B1]],$A146,BetTable[[Date]:[Date]], "&gt;="&amp;H$8,BetTable[[Date]:[Date]],"&lt;="&amp;EOMONTH(H$8,0))+SUMIFS(BetTable[[AR_per_bookie]:[AR_per_bookie]],BetTable[[B2]:[B2]],$A146,BetTable[[Date]:[Date]], "&gt;="&amp;H$8,BetTable[[Date]:[Date]],"&lt;="&amp;EOMONTH(H$8,0))+SUMIFS(BetTable[[AR_per_bookie]:[AR_per_bookie]],BetTable[[B3]:[B3]],$A146,BetTable[[Date]:[Date]], "&gt;="&amp;H$8,BetTable[[Date]:[Date]],"&lt;="&amp;EOMONTH(H$8,0))</f>
        <v>0</v>
      </c>
      <c r="I146" s="126">
        <f>SUMIFS(DWbonus[[Sum]:[Sum]],DWbonus[[Dato]:[Dato]], "&gt;="&amp;I$8,DWbonus[[Dato]:[Dato]],"&lt;="&amp;EOMONTH(I$8,0),DWbonus[[Bookie]:[Bookie]],$A146)+SUMIFS(LayTable[[Faktisk res]:[Faktisk res]],LayTable[[Dato]:[Dato]],"&gt;="&amp;I$8,LayTable[[Dato]:[Dato]],"&lt;="&amp;EOMONTH(I$8,0),LayTable[[Bookmaker]:[Bookmaker]],$A146)+SUMIFS(BetTable[[AR_per_bookie]:[AR_per_bookie]],BetTable[[B1]:[B1]],$A146,BetTable[[Date]:[Date]], "&gt;="&amp;I$8,BetTable[[Date]:[Date]],"&lt;="&amp;EOMONTH(I$8,0))+SUMIFS(BetTable[[AR_per_bookie]:[AR_per_bookie]],BetTable[[B2]:[B2]],$A146,BetTable[[Date]:[Date]], "&gt;="&amp;I$8,BetTable[[Date]:[Date]],"&lt;="&amp;EOMONTH(I$8,0))+SUMIFS(BetTable[[AR_per_bookie]:[AR_per_bookie]],BetTable[[B3]:[B3]],$A146,BetTable[[Date]:[Date]], "&gt;="&amp;I$8,BetTable[[Date]:[Date]],"&lt;="&amp;EOMONTH(I$8,0))</f>
        <v>0</v>
      </c>
      <c r="J146" s="126">
        <f>SUMIFS(DWbonus[[Sum]:[Sum]],DWbonus[[Dato]:[Dato]], "&gt;="&amp;J$8,DWbonus[[Dato]:[Dato]],"&lt;="&amp;EOMONTH(J$8,0),DWbonus[[Bookie]:[Bookie]],$A146)+SUMIFS(LayTable[[Faktisk res]:[Faktisk res]],LayTable[[Dato]:[Dato]],"&gt;="&amp;J$8,LayTable[[Dato]:[Dato]],"&lt;="&amp;EOMONTH(J$8,0),LayTable[[Bookmaker]:[Bookmaker]],$A146)+SUMIFS(BetTable[[AR_per_bookie]:[AR_per_bookie]],BetTable[[B1]:[B1]],$A146,BetTable[[Date]:[Date]], "&gt;="&amp;J$8,BetTable[[Date]:[Date]],"&lt;="&amp;EOMONTH(J$8,0))+SUMIFS(BetTable[[AR_per_bookie]:[AR_per_bookie]],BetTable[[B2]:[B2]],$A146,BetTable[[Date]:[Date]], "&gt;="&amp;J$8,BetTable[[Date]:[Date]],"&lt;="&amp;EOMONTH(J$8,0))+SUMIFS(BetTable[[AR_per_bookie]:[AR_per_bookie]],BetTable[[B3]:[B3]],$A146,BetTable[[Date]:[Date]], "&gt;="&amp;J$8,BetTable[[Date]:[Date]],"&lt;="&amp;EOMONTH(J$8,0))</f>
        <v>0</v>
      </c>
      <c r="K146" s="126">
        <f>SUMIFS(DWbonus[[Sum]:[Sum]],DWbonus[[Dato]:[Dato]], "&gt;="&amp;K$8,DWbonus[[Dato]:[Dato]],"&lt;="&amp;EOMONTH(K$8,0),DWbonus[[Bookie]:[Bookie]],$A146)+SUMIFS(LayTable[[Faktisk res]:[Faktisk res]],LayTable[[Dato]:[Dato]],"&gt;="&amp;K$8,LayTable[[Dato]:[Dato]],"&lt;="&amp;EOMONTH(K$8,0),LayTable[[Bookmaker]:[Bookmaker]],$A146)+SUMIFS(BetTable[[AR_per_bookie]:[AR_per_bookie]],BetTable[[B1]:[B1]],$A146,BetTable[[Date]:[Date]], "&gt;="&amp;K$8,BetTable[[Date]:[Date]],"&lt;="&amp;EOMONTH(K$8,0))+SUMIFS(BetTable[[AR_per_bookie]:[AR_per_bookie]],BetTable[[B2]:[B2]],$A146,BetTable[[Date]:[Date]], "&gt;="&amp;K$8,BetTable[[Date]:[Date]],"&lt;="&amp;EOMONTH(K$8,0))+SUMIFS(BetTable[[AR_per_bookie]:[AR_per_bookie]],BetTable[[B3]:[B3]],$A146,BetTable[[Date]:[Date]], "&gt;="&amp;K$8,BetTable[[Date]:[Date]],"&lt;="&amp;EOMONTH(K$8,0))</f>
        <v>0</v>
      </c>
      <c r="L146" s="126">
        <f>SUMIFS(DWbonus[[Sum]:[Sum]],DWbonus[[Dato]:[Dato]], "&gt;="&amp;L$8,DWbonus[[Dato]:[Dato]],"&lt;="&amp;EOMONTH(L$8,0),DWbonus[[Bookie]:[Bookie]],$A146)+SUMIFS(LayTable[[Faktisk res]:[Faktisk res]],LayTable[[Dato]:[Dato]],"&gt;="&amp;L$8,LayTable[[Dato]:[Dato]],"&lt;="&amp;EOMONTH(L$8,0),LayTable[[Bookmaker]:[Bookmaker]],$A146)+SUMIFS(BetTable[[AR_per_bookie]:[AR_per_bookie]],BetTable[[B1]:[B1]],$A146,BetTable[[Date]:[Date]], "&gt;="&amp;L$8,BetTable[[Date]:[Date]],"&lt;="&amp;EOMONTH(L$8,0))+SUMIFS(BetTable[[AR_per_bookie]:[AR_per_bookie]],BetTable[[B2]:[B2]],$A146,BetTable[[Date]:[Date]], "&gt;="&amp;L$8,BetTable[[Date]:[Date]],"&lt;="&amp;EOMONTH(L$8,0))+SUMIFS(BetTable[[AR_per_bookie]:[AR_per_bookie]],BetTable[[B3]:[B3]],$A146,BetTable[[Date]:[Date]], "&gt;="&amp;L$8,BetTable[[Date]:[Date]],"&lt;="&amp;EOMONTH(L$8,0))</f>
        <v>0</v>
      </c>
      <c r="M146" s="126">
        <f>SUMIFS(DWbonus[[Sum]:[Sum]],DWbonus[[Dato]:[Dato]], "&gt;="&amp;M$8,DWbonus[[Dato]:[Dato]],"&lt;="&amp;EOMONTH(M$8,0),DWbonus[[Bookie]:[Bookie]],$A146)+SUMIFS(LayTable[[Faktisk res]:[Faktisk res]],LayTable[[Dato]:[Dato]],"&gt;="&amp;M$8,LayTable[[Dato]:[Dato]],"&lt;="&amp;EOMONTH(M$8,0),LayTable[[Bookmaker]:[Bookmaker]],$A146)+SUMIFS(BetTable[[AR_per_bookie]:[AR_per_bookie]],BetTable[[B1]:[B1]],$A146,BetTable[[Date]:[Date]], "&gt;="&amp;M$8,BetTable[[Date]:[Date]],"&lt;="&amp;EOMONTH(M$8,0))+SUMIFS(BetTable[[AR_per_bookie]:[AR_per_bookie]],BetTable[[B2]:[B2]],$A146,BetTable[[Date]:[Date]], "&gt;="&amp;M$8,BetTable[[Date]:[Date]],"&lt;="&amp;EOMONTH(M$8,0))+SUMIFS(BetTable[[AR_per_bookie]:[AR_per_bookie]],BetTable[[B3]:[B3]],$A146,BetTable[[Date]:[Date]], "&gt;="&amp;M$8,BetTable[[Date]:[Date]],"&lt;="&amp;EOMONTH(M$8,0))</f>
        <v>0</v>
      </c>
      <c r="N146" s="126">
        <f>SUMIFS(DWbonus[[Sum]:[Sum]],DWbonus[[Dato]:[Dato]], "&gt;="&amp;N$8,DWbonus[[Dato]:[Dato]],"&lt;="&amp;EOMONTH(N$8,0),DWbonus[[Bookie]:[Bookie]],$A146)+SUMIFS(LayTable[[Faktisk res]:[Faktisk res]],LayTable[[Dato]:[Dato]],"&gt;="&amp;N$8,LayTable[[Dato]:[Dato]],"&lt;="&amp;EOMONTH(N$8,0),LayTable[[Bookmaker]:[Bookmaker]],$A146)+SUMIFS(BetTable[[AR_per_bookie]:[AR_per_bookie]],BetTable[[B1]:[B1]],$A146,BetTable[[Date]:[Date]], "&gt;="&amp;N$8,BetTable[[Date]:[Date]],"&lt;="&amp;EOMONTH(N$8,0))+SUMIFS(BetTable[[AR_per_bookie]:[AR_per_bookie]],BetTable[[B2]:[B2]],$A146,BetTable[[Date]:[Date]], "&gt;="&amp;N$8,BetTable[[Date]:[Date]],"&lt;="&amp;EOMONTH(N$8,0))+SUMIFS(BetTable[[AR_per_bookie]:[AR_per_bookie]],BetTable[[B3]:[B3]],$A146,BetTable[[Date]:[Date]], "&gt;="&amp;N$8,BetTable[[Date]:[Date]],"&lt;="&amp;EOMONTH(N$8,0))</f>
        <v>0</v>
      </c>
      <c r="O146" s="126">
        <f>SUMIFS(DWbonus[[Sum]:[Sum]],DWbonus[[Dato]:[Dato]], "&gt;="&amp;O$8,DWbonus[[Dato]:[Dato]],"&lt;="&amp;EOMONTH(O$8,0),DWbonus[[Bookie]:[Bookie]],$A146)+SUMIFS(LayTable[[Faktisk res]:[Faktisk res]],LayTable[[Dato]:[Dato]],"&gt;="&amp;O$8,LayTable[[Dato]:[Dato]],"&lt;="&amp;EOMONTH(O$8,0),LayTable[[Bookmaker]:[Bookmaker]],$A146)+SUMIFS(BetTable[[AR_per_bookie]:[AR_per_bookie]],BetTable[[B1]:[B1]],$A146,BetTable[[Date]:[Date]], "&gt;="&amp;O$8,BetTable[[Date]:[Date]],"&lt;="&amp;EOMONTH(O$8,0))+SUMIFS(BetTable[[AR_per_bookie]:[AR_per_bookie]],BetTable[[B2]:[B2]],$A146,BetTable[[Date]:[Date]], "&gt;="&amp;O$8,BetTable[[Date]:[Date]],"&lt;="&amp;EOMONTH(O$8,0))+SUMIFS(BetTable[[AR_per_bookie]:[AR_per_bookie]],BetTable[[B3]:[B3]],$A146,BetTable[[Date]:[Date]], "&gt;="&amp;O$8,BetTable[[Date]:[Date]],"&lt;="&amp;EOMONTH(O$8,0))</f>
        <v>0</v>
      </c>
      <c r="P146" s="126">
        <f>SUMIFS(DWbonus[[Sum]:[Sum]],DWbonus[[Dato]:[Dato]], "&gt;="&amp;P$8,DWbonus[[Dato]:[Dato]],"&lt;="&amp;EOMONTH(P$8,0),DWbonus[[Bookie]:[Bookie]],$A146)+SUMIFS(LayTable[[Faktisk res]:[Faktisk res]],LayTable[[Dato]:[Dato]],"&gt;="&amp;P$8,LayTable[[Dato]:[Dato]],"&lt;="&amp;EOMONTH(P$8,0),LayTable[[Bookmaker]:[Bookmaker]],$A146)+SUMIFS(BetTable[[AR_per_bookie]:[AR_per_bookie]],BetTable[[B1]:[B1]],$A146,BetTable[[Date]:[Date]], "&gt;="&amp;P$8,BetTable[[Date]:[Date]],"&lt;="&amp;EOMONTH(P$8,0))+SUMIFS(BetTable[[AR_per_bookie]:[AR_per_bookie]],BetTable[[B2]:[B2]],$A146,BetTable[[Date]:[Date]], "&gt;="&amp;P$8,BetTable[[Date]:[Date]],"&lt;="&amp;EOMONTH(P$8,0))+SUMIFS(BetTable[[AR_per_bookie]:[AR_per_bookie]],BetTable[[B3]:[B3]],$A146,BetTable[[Date]:[Date]], "&gt;="&amp;P$8,BetTable[[Date]:[Date]],"&lt;="&amp;EOMONTH(P$8,0))</f>
        <v>0</v>
      </c>
      <c r="Q146" s="126">
        <f>SUMIFS(DWbonus[[Sum]:[Sum]],DWbonus[[Dato]:[Dato]], "&gt;="&amp;Q$8,DWbonus[[Dato]:[Dato]],"&lt;="&amp;EOMONTH(Q$8,0),DWbonus[[Bookie]:[Bookie]],$A146)+SUMIFS(LayTable[[Faktisk res]:[Faktisk res]],LayTable[[Dato]:[Dato]],"&gt;="&amp;Q$8,LayTable[[Dato]:[Dato]],"&lt;="&amp;EOMONTH(Q$8,0),LayTable[[Bookmaker]:[Bookmaker]],$A146)+SUMIFS(BetTable[[AR_per_bookie]:[AR_per_bookie]],BetTable[[B1]:[B1]],$A146,BetTable[[Date]:[Date]], "&gt;="&amp;Q$8,BetTable[[Date]:[Date]],"&lt;="&amp;EOMONTH(Q$8,0))+SUMIFS(BetTable[[AR_per_bookie]:[AR_per_bookie]],BetTable[[B2]:[B2]],$A146,BetTable[[Date]:[Date]], "&gt;="&amp;Q$8,BetTable[[Date]:[Date]],"&lt;="&amp;EOMONTH(Q$8,0))+SUMIFS(BetTable[[AR_per_bookie]:[AR_per_bookie]],BetTable[[B3]:[B3]],$A146,BetTable[[Date]:[Date]], "&gt;="&amp;Q$8,BetTable[[Date]:[Date]],"&lt;="&amp;EOMONTH(Q$8,0))</f>
        <v>0</v>
      </c>
      <c r="R146" s="126">
        <f>SUMIFS(DWbonus[[Sum]:[Sum]],DWbonus[[Dato]:[Dato]], "&gt;="&amp;R$8,DWbonus[[Dato]:[Dato]],"&lt;="&amp;EOMONTH(R$8,0),DWbonus[[Bookie]:[Bookie]],$A146)+SUMIFS(LayTable[[Faktisk res]:[Faktisk res]],LayTable[[Dato]:[Dato]],"&gt;="&amp;R$8,LayTable[[Dato]:[Dato]],"&lt;="&amp;EOMONTH(R$8,0),LayTable[[Bookmaker]:[Bookmaker]],$A146)+SUMIFS(BetTable[[AR_per_bookie]:[AR_per_bookie]],BetTable[[B1]:[B1]],$A146,BetTable[[Date]:[Date]], "&gt;="&amp;R$8,BetTable[[Date]:[Date]],"&lt;="&amp;EOMONTH(R$8,0))+SUMIFS(BetTable[[AR_per_bookie]:[AR_per_bookie]],BetTable[[B2]:[B2]],$A146,BetTable[[Date]:[Date]], "&gt;="&amp;R$8,BetTable[[Date]:[Date]],"&lt;="&amp;EOMONTH(R$8,0))+SUMIFS(BetTable[[AR_per_bookie]:[AR_per_bookie]],BetTable[[B3]:[B3]],$A146,BetTable[[Date]:[Date]], "&gt;="&amp;R$8,BetTable[[Date]:[Date]],"&lt;="&amp;EOMONTH(R$8,0))</f>
        <v>0</v>
      </c>
      <c r="S146" s="126">
        <f>SUMIFS(DWbonus[[Sum]:[Sum]],DWbonus[[Dato]:[Dato]], "&gt;="&amp;S$8,DWbonus[[Dato]:[Dato]],"&lt;="&amp;EOMONTH(S$8,0),DWbonus[[Bookie]:[Bookie]],$A146)+SUMIFS(LayTable[[Faktisk res]:[Faktisk res]],LayTable[[Dato]:[Dato]],"&gt;="&amp;S$8,LayTable[[Dato]:[Dato]],"&lt;="&amp;EOMONTH(S$8,0),LayTable[[Bookmaker]:[Bookmaker]],$A146)+SUMIFS(BetTable[[AR_per_bookie]:[AR_per_bookie]],BetTable[[B1]:[B1]],$A146,BetTable[[Date]:[Date]], "&gt;="&amp;S$8,BetTable[[Date]:[Date]],"&lt;="&amp;EOMONTH(S$8,0))+SUMIFS(BetTable[[AR_per_bookie]:[AR_per_bookie]],BetTable[[B2]:[B2]],$A146,BetTable[[Date]:[Date]], "&gt;="&amp;S$8,BetTable[[Date]:[Date]],"&lt;="&amp;EOMONTH(S$8,0))+SUMIFS(BetTable[[AR_per_bookie]:[AR_per_bookie]],BetTable[[B3]:[B3]],$A146,BetTable[[Date]:[Date]], "&gt;="&amp;S$8,BetTable[[Date]:[Date]],"&lt;="&amp;EOMONTH(S$8,0))</f>
        <v>0</v>
      </c>
    </row>
    <row r="147" spans="1:19">
      <c r="A147" s="115">
        <f>BookieNavn!I141</f>
        <v>0</v>
      </c>
      <c r="B147" s="126">
        <f>SUMIF(Penger!D$1:D$50072,A147,Penger!F$1:F$50072)</f>
        <v>0</v>
      </c>
      <c r="C147" s="126">
        <f>SUMIF(Penger!T$1:T$50072,A147,Penger!U$1:U$50072)</f>
        <v>0</v>
      </c>
      <c r="D147" s="126">
        <f ca="1">SUMIF(Spill!C$1:C$499895,A147,Spill!T$1:T$49895)+C147</f>
        <v>0</v>
      </c>
      <c r="E147" s="126">
        <f>SUMIF(Spill!C$1:C$49895,A147,Spill!T$1:T$49895)</f>
        <v>0</v>
      </c>
      <c r="F147" s="121" t="e">
        <f t="shared" ca="1" si="3"/>
        <v>#DIV/0!</v>
      </c>
      <c r="H147" s="126">
        <f>SUMIFS(DWbonus[[Sum]:[Sum]],DWbonus[[Dato]:[Dato]], "&gt;="&amp;H$8,DWbonus[[Dato]:[Dato]],"&lt;="&amp;EOMONTH(H$8,0),DWbonus[[Bookie]:[Bookie]],$A147)+SUMIFS(LayTable[[Faktisk res]:[Faktisk res]],LayTable[[Dato]:[Dato]],"&gt;="&amp;H$8,LayTable[[Dato]:[Dato]],"&lt;="&amp;EOMONTH(H$8,0),LayTable[[Bookmaker]:[Bookmaker]],$A147)+SUMIFS(BetTable[[AR_per_bookie]:[AR_per_bookie]],BetTable[[B1]:[B1]],$A147,BetTable[[Date]:[Date]], "&gt;="&amp;H$8,BetTable[[Date]:[Date]],"&lt;="&amp;EOMONTH(H$8,0))+SUMIFS(BetTable[[AR_per_bookie]:[AR_per_bookie]],BetTable[[B2]:[B2]],$A147,BetTable[[Date]:[Date]], "&gt;="&amp;H$8,BetTable[[Date]:[Date]],"&lt;="&amp;EOMONTH(H$8,0))+SUMIFS(BetTable[[AR_per_bookie]:[AR_per_bookie]],BetTable[[B3]:[B3]],$A147,BetTable[[Date]:[Date]], "&gt;="&amp;H$8,BetTable[[Date]:[Date]],"&lt;="&amp;EOMONTH(H$8,0))</f>
        <v>0</v>
      </c>
      <c r="I147" s="126">
        <f>SUMIFS(DWbonus[[Sum]:[Sum]],DWbonus[[Dato]:[Dato]], "&gt;="&amp;I$8,DWbonus[[Dato]:[Dato]],"&lt;="&amp;EOMONTH(I$8,0),DWbonus[[Bookie]:[Bookie]],$A147)+SUMIFS(LayTable[[Faktisk res]:[Faktisk res]],LayTable[[Dato]:[Dato]],"&gt;="&amp;I$8,LayTable[[Dato]:[Dato]],"&lt;="&amp;EOMONTH(I$8,0),LayTable[[Bookmaker]:[Bookmaker]],$A147)+SUMIFS(BetTable[[AR_per_bookie]:[AR_per_bookie]],BetTable[[B1]:[B1]],$A147,BetTable[[Date]:[Date]], "&gt;="&amp;I$8,BetTable[[Date]:[Date]],"&lt;="&amp;EOMONTH(I$8,0))+SUMIFS(BetTable[[AR_per_bookie]:[AR_per_bookie]],BetTable[[B2]:[B2]],$A147,BetTable[[Date]:[Date]], "&gt;="&amp;I$8,BetTable[[Date]:[Date]],"&lt;="&amp;EOMONTH(I$8,0))+SUMIFS(BetTable[[AR_per_bookie]:[AR_per_bookie]],BetTable[[B3]:[B3]],$A147,BetTable[[Date]:[Date]], "&gt;="&amp;I$8,BetTable[[Date]:[Date]],"&lt;="&amp;EOMONTH(I$8,0))</f>
        <v>0</v>
      </c>
      <c r="J147" s="126">
        <f>SUMIFS(DWbonus[[Sum]:[Sum]],DWbonus[[Dato]:[Dato]], "&gt;="&amp;J$8,DWbonus[[Dato]:[Dato]],"&lt;="&amp;EOMONTH(J$8,0),DWbonus[[Bookie]:[Bookie]],$A147)+SUMIFS(LayTable[[Faktisk res]:[Faktisk res]],LayTable[[Dato]:[Dato]],"&gt;="&amp;J$8,LayTable[[Dato]:[Dato]],"&lt;="&amp;EOMONTH(J$8,0),LayTable[[Bookmaker]:[Bookmaker]],$A147)+SUMIFS(BetTable[[AR_per_bookie]:[AR_per_bookie]],BetTable[[B1]:[B1]],$A147,BetTable[[Date]:[Date]], "&gt;="&amp;J$8,BetTable[[Date]:[Date]],"&lt;="&amp;EOMONTH(J$8,0))+SUMIFS(BetTable[[AR_per_bookie]:[AR_per_bookie]],BetTable[[B2]:[B2]],$A147,BetTable[[Date]:[Date]], "&gt;="&amp;J$8,BetTable[[Date]:[Date]],"&lt;="&amp;EOMONTH(J$8,0))+SUMIFS(BetTable[[AR_per_bookie]:[AR_per_bookie]],BetTable[[B3]:[B3]],$A147,BetTable[[Date]:[Date]], "&gt;="&amp;J$8,BetTable[[Date]:[Date]],"&lt;="&amp;EOMONTH(J$8,0))</f>
        <v>0</v>
      </c>
      <c r="K147" s="126">
        <f>SUMIFS(DWbonus[[Sum]:[Sum]],DWbonus[[Dato]:[Dato]], "&gt;="&amp;K$8,DWbonus[[Dato]:[Dato]],"&lt;="&amp;EOMONTH(K$8,0),DWbonus[[Bookie]:[Bookie]],$A147)+SUMIFS(LayTable[[Faktisk res]:[Faktisk res]],LayTable[[Dato]:[Dato]],"&gt;="&amp;K$8,LayTable[[Dato]:[Dato]],"&lt;="&amp;EOMONTH(K$8,0),LayTable[[Bookmaker]:[Bookmaker]],$A147)+SUMIFS(BetTable[[AR_per_bookie]:[AR_per_bookie]],BetTable[[B1]:[B1]],$A147,BetTable[[Date]:[Date]], "&gt;="&amp;K$8,BetTable[[Date]:[Date]],"&lt;="&amp;EOMONTH(K$8,0))+SUMIFS(BetTable[[AR_per_bookie]:[AR_per_bookie]],BetTable[[B2]:[B2]],$A147,BetTable[[Date]:[Date]], "&gt;="&amp;K$8,BetTable[[Date]:[Date]],"&lt;="&amp;EOMONTH(K$8,0))+SUMIFS(BetTable[[AR_per_bookie]:[AR_per_bookie]],BetTable[[B3]:[B3]],$A147,BetTable[[Date]:[Date]], "&gt;="&amp;K$8,BetTable[[Date]:[Date]],"&lt;="&amp;EOMONTH(K$8,0))</f>
        <v>0</v>
      </c>
      <c r="L147" s="126">
        <f>SUMIFS(DWbonus[[Sum]:[Sum]],DWbonus[[Dato]:[Dato]], "&gt;="&amp;L$8,DWbonus[[Dato]:[Dato]],"&lt;="&amp;EOMONTH(L$8,0),DWbonus[[Bookie]:[Bookie]],$A147)+SUMIFS(LayTable[[Faktisk res]:[Faktisk res]],LayTable[[Dato]:[Dato]],"&gt;="&amp;L$8,LayTable[[Dato]:[Dato]],"&lt;="&amp;EOMONTH(L$8,0),LayTable[[Bookmaker]:[Bookmaker]],$A147)+SUMIFS(BetTable[[AR_per_bookie]:[AR_per_bookie]],BetTable[[B1]:[B1]],$A147,BetTable[[Date]:[Date]], "&gt;="&amp;L$8,BetTable[[Date]:[Date]],"&lt;="&amp;EOMONTH(L$8,0))+SUMIFS(BetTable[[AR_per_bookie]:[AR_per_bookie]],BetTable[[B2]:[B2]],$A147,BetTable[[Date]:[Date]], "&gt;="&amp;L$8,BetTable[[Date]:[Date]],"&lt;="&amp;EOMONTH(L$8,0))+SUMIFS(BetTable[[AR_per_bookie]:[AR_per_bookie]],BetTable[[B3]:[B3]],$A147,BetTable[[Date]:[Date]], "&gt;="&amp;L$8,BetTable[[Date]:[Date]],"&lt;="&amp;EOMONTH(L$8,0))</f>
        <v>0</v>
      </c>
      <c r="M147" s="126">
        <f>SUMIFS(DWbonus[[Sum]:[Sum]],DWbonus[[Dato]:[Dato]], "&gt;="&amp;M$8,DWbonus[[Dato]:[Dato]],"&lt;="&amp;EOMONTH(M$8,0),DWbonus[[Bookie]:[Bookie]],$A147)+SUMIFS(LayTable[[Faktisk res]:[Faktisk res]],LayTable[[Dato]:[Dato]],"&gt;="&amp;M$8,LayTable[[Dato]:[Dato]],"&lt;="&amp;EOMONTH(M$8,0),LayTable[[Bookmaker]:[Bookmaker]],$A147)+SUMIFS(BetTable[[AR_per_bookie]:[AR_per_bookie]],BetTable[[B1]:[B1]],$A147,BetTable[[Date]:[Date]], "&gt;="&amp;M$8,BetTable[[Date]:[Date]],"&lt;="&amp;EOMONTH(M$8,0))+SUMIFS(BetTable[[AR_per_bookie]:[AR_per_bookie]],BetTable[[B2]:[B2]],$A147,BetTable[[Date]:[Date]], "&gt;="&amp;M$8,BetTable[[Date]:[Date]],"&lt;="&amp;EOMONTH(M$8,0))+SUMIFS(BetTable[[AR_per_bookie]:[AR_per_bookie]],BetTable[[B3]:[B3]],$A147,BetTable[[Date]:[Date]], "&gt;="&amp;M$8,BetTable[[Date]:[Date]],"&lt;="&amp;EOMONTH(M$8,0))</f>
        <v>0</v>
      </c>
      <c r="N147" s="126">
        <f>SUMIFS(DWbonus[[Sum]:[Sum]],DWbonus[[Dato]:[Dato]], "&gt;="&amp;N$8,DWbonus[[Dato]:[Dato]],"&lt;="&amp;EOMONTH(N$8,0),DWbonus[[Bookie]:[Bookie]],$A147)+SUMIFS(LayTable[[Faktisk res]:[Faktisk res]],LayTable[[Dato]:[Dato]],"&gt;="&amp;N$8,LayTable[[Dato]:[Dato]],"&lt;="&amp;EOMONTH(N$8,0),LayTable[[Bookmaker]:[Bookmaker]],$A147)+SUMIFS(BetTable[[AR_per_bookie]:[AR_per_bookie]],BetTable[[B1]:[B1]],$A147,BetTable[[Date]:[Date]], "&gt;="&amp;N$8,BetTable[[Date]:[Date]],"&lt;="&amp;EOMONTH(N$8,0))+SUMIFS(BetTable[[AR_per_bookie]:[AR_per_bookie]],BetTable[[B2]:[B2]],$A147,BetTable[[Date]:[Date]], "&gt;="&amp;N$8,BetTable[[Date]:[Date]],"&lt;="&amp;EOMONTH(N$8,0))+SUMIFS(BetTable[[AR_per_bookie]:[AR_per_bookie]],BetTable[[B3]:[B3]],$A147,BetTable[[Date]:[Date]], "&gt;="&amp;N$8,BetTable[[Date]:[Date]],"&lt;="&amp;EOMONTH(N$8,0))</f>
        <v>0</v>
      </c>
      <c r="O147" s="126">
        <f>SUMIFS(DWbonus[[Sum]:[Sum]],DWbonus[[Dato]:[Dato]], "&gt;="&amp;O$8,DWbonus[[Dato]:[Dato]],"&lt;="&amp;EOMONTH(O$8,0),DWbonus[[Bookie]:[Bookie]],$A147)+SUMIFS(LayTable[[Faktisk res]:[Faktisk res]],LayTable[[Dato]:[Dato]],"&gt;="&amp;O$8,LayTable[[Dato]:[Dato]],"&lt;="&amp;EOMONTH(O$8,0),LayTable[[Bookmaker]:[Bookmaker]],$A147)+SUMIFS(BetTable[[AR_per_bookie]:[AR_per_bookie]],BetTable[[B1]:[B1]],$A147,BetTable[[Date]:[Date]], "&gt;="&amp;O$8,BetTable[[Date]:[Date]],"&lt;="&amp;EOMONTH(O$8,0))+SUMIFS(BetTable[[AR_per_bookie]:[AR_per_bookie]],BetTable[[B2]:[B2]],$A147,BetTable[[Date]:[Date]], "&gt;="&amp;O$8,BetTable[[Date]:[Date]],"&lt;="&amp;EOMONTH(O$8,0))+SUMIFS(BetTable[[AR_per_bookie]:[AR_per_bookie]],BetTable[[B3]:[B3]],$A147,BetTable[[Date]:[Date]], "&gt;="&amp;O$8,BetTable[[Date]:[Date]],"&lt;="&amp;EOMONTH(O$8,0))</f>
        <v>0</v>
      </c>
      <c r="P147" s="126">
        <f>SUMIFS(DWbonus[[Sum]:[Sum]],DWbonus[[Dato]:[Dato]], "&gt;="&amp;P$8,DWbonus[[Dato]:[Dato]],"&lt;="&amp;EOMONTH(P$8,0),DWbonus[[Bookie]:[Bookie]],$A147)+SUMIFS(LayTable[[Faktisk res]:[Faktisk res]],LayTable[[Dato]:[Dato]],"&gt;="&amp;P$8,LayTable[[Dato]:[Dato]],"&lt;="&amp;EOMONTH(P$8,0),LayTable[[Bookmaker]:[Bookmaker]],$A147)+SUMIFS(BetTable[[AR_per_bookie]:[AR_per_bookie]],BetTable[[B1]:[B1]],$A147,BetTable[[Date]:[Date]], "&gt;="&amp;P$8,BetTable[[Date]:[Date]],"&lt;="&amp;EOMONTH(P$8,0))+SUMIFS(BetTable[[AR_per_bookie]:[AR_per_bookie]],BetTable[[B2]:[B2]],$A147,BetTable[[Date]:[Date]], "&gt;="&amp;P$8,BetTable[[Date]:[Date]],"&lt;="&amp;EOMONTH(P$8,0))+SUMIFS(BetTable[[AR_per_bookie]:[AR_per_bookie]],BetTable[[B3]:[B3]],$A147,BetTable[[Date]:[Date]], "&gt;="&amp;P$8,BetTable[[Date]:[Date]],"&lt;="&amp;EOMONTH(P$8,0))</f>
        <v>0</v>
      </c>
      <c r="Q147" s="126">
        <f>SUMIFS(DWbonus[[Sum]:[Sum]],DWbonus[[Dato]:[Dato]], "&gt;="&amp;Q$8,DWbonus[[Dato]:[Dato]],"&lt;="&amp;EOMONTH(Q$8,0),DWbonus[[Bookie]:[Bookie]],$A147)+SUMIFS(LayTable[[Faktisk res]:[Faktisk res]],LayTable[[Dato]:[Dato]],"&gt;="&amp;Q$8,LayTable[[Dato]:[Dato]],"&lt;="&amp;EOMONTH(Q$8,0),LayTable[[Bookmaker]:[Bookmaker]],$A147)+SUMIFS(BetTable[[AR_per_bookie]:[AR_per_bookie]],BetTable[[B1]:[B1]],$A147,BetTable[[Date]:[Date]], "&gt;="&amp;Q$8,BetTable[[Date]:[Date]],"&lt;="&amp;EOMONTH(Q$8,0))+SUMIFS(BetTable[[AR_per_bookie]:[AR_per_bookie]],BetTable[[B2]:[B2]],$A147,BetTable[[Date]:[Date]], "&gt;="&amp;Q$8,BetTable[[Date]:[Date]],"&lt;="&amp;EOMONTH(Q$8,0))+SUMIFS(BetTable[[AR_per_bookie]:[AR_per_bookie]],BetTable[[B3]:[B3]],$A147,BetTable[[Date]:[Date]], "&gt;="&amp;Q$8,BetTable[[Date]:[Date]],"&lt;="&amp;EOMONTH(Q$8,0))</f>
        <v>0</v>
      </c>
      <c r="R147" s="126">
        <f>SUMIFS(DWbonus[[Sum]:[Sum]],DWbonus[[Dato]:[Dato]], "&gt;="&amp;R$8,DWbonus[[Dato]:[Dato]],"&lt;="&amp;EOMONTH(R$8,0),DWbonus[[Bookie]:[Bookie]],$A147)+SUMIFS(LayTable[[Faktisk res]:[Faktisk res]],LayTable[[Dato]:[Dato]],"&gt;="&amp;R$8,LayTable[[Dato]:[Dato]],"&lt;="&amp;EOMONTH(R$8,0),LayTable[[Bookmaker]:[Bookmaker]],$A147)+SUMIFS(BetTable[[AR_per_bookie]:[AR_per_bookie]],BetTable[[B1]:[B1]],$A147,BetTable[[Date]:[Date]], "&gt;="&amp;R$8,BetTable[[Date]:[Date]],"&lt;="&amp;EOMONTH(R$8,0))+SUMIFS(BetTable[[AR_per_bookie]:[AR_per_bookie]],BetTable[[B2]:[B2]],$A147,BetTable[[Date]:[Date]], "&gt;="&amp;R$8,BetTable[[Date]:[Date]],"&lt;="&amp;EOMONTH(R$8,0))+SUMIFS(BetTable[[AR_per_bookie]:[AR_per_bookie]],BetTable[[B3]:[B3]],$A147,BetTable[[Date]:[Date]], "&gt;="&amp;R$8,BetTable[[Date]:[Date]],"&lt;="&amp;EOMONTH(R$8,0))</f>
        <v>0</v>
      </c>
      <c r="S147" s="126">
        <f>SUMIFS(DWbonus[[Sum]:[Sum]],DWbonus[[Dato]:[Dato]], "&gt;="&amp;S$8,DWbonus[[Dato]:[Dato]],"&lt;="&amp;EOMONTH(S$8,0),DWbonus[[Bookie]:[Bookie]],$A147)+SUMIFS(LayTable[[Faktisk res]:[Faktisk res]],LayTable[[Dato]:[Dato]],"&gt;="&amp;S$8,LayTable[[Dato]:[Dato]],"&lt;="&amp;EOMONTH(S$8,0),LayTable[[Bookmaker]:[Bookmaker]],$A147)+SUMIFS(BetTable[[AR_per_bookie]:[AR_per_bookie]],BetTable[[B1]:[B1]],$A147,BetTable[[Date]:[Date]], "&gt;="&amp;S$8,BetTable[[Date]:[Date]],"&lt;="&amp;EOMONTH(S$8,0))+SUMIFS(BetTable[[AR_per_bookie]:[AR_per_bookie]],BetTable[[B2]:[B2]],$A147,BetTable[[Date]:[Date]], "&gt;="&amp;S$8,BetTable[[Date]:[Date]],"&lt;="&amp;EOMONTH(S$8,0))+SUMIFS(BetTable[[AR_per_bookie]:[AR_per_bookie]],BetTable[[B3]:[B3]],$A147,BetTable[[Date]:[Date]], "&gt;="&amp;S$8,BetTable[[Date]:[Date]],"&lt;="&amp;EOMONTH(S$8,0))</f>
        <v>0</v>
      </c>
    </row>
    <row r="148" spans="1:19">
      <c r="A148" s="115">
        <f>BookieNavn!I142</f>
        <v>0</v>
      </c>
      <c r="B148" s="126">
        <f>SUMIF(Penger!D$1:D$50072,A148,Penger!F$1:F$50072)</f>
        <v>0</v>
      </c>
      <c r="C148" s="126">
        <f>SUMIF(Penger!T$1:T$50072,A148,Penger!U$1:U$50072)</f>
        <v>0</v>
      </c>
      <c r="D148" s="126">
        <f ca="1">SUMIF(Spill!C$1:C$499895,A148,Spill!T$1:T$49895)+C148</f>
        <v>0</v>
      </c>
      <c r="E148" s="126">
        <f>SUMIF(Spill!C$1:C$49895,A148,Spill!T$1:T$49895)</f>
        <v>0</v>
      </c>
      <c r="F148" s="121" t="e">
        <f t="shared" ca="1" si="3"/>
        <v>#DIV/0!</v>
      </c>
      <c r="H148" s="126">
        <f>SUMIFS(DWbonus[[Sum]:[Sum]],DWbonus[[Dato]:[Dato]], "&gt;="&amp;H$8,DWbonus[[Dato]:[Dato]],"&lt;="&amp;EOMONTH(H$8,0),DWbonus[[Bookie]:[Bookie]],$A148)+SUMIFS(LayTable[[Faktisk res]:[Faktisk res]],LayTable[[Dato]:[Dato]],"&gt;="&amp;H$8,LayTable[[Dato]:[Dato]],"&lt;="&amp;EOMONTH(H$8,0),LayTable[[Bookmaker]:[Bookmaker]],$A148)+SUMIFS(BetTable[[AR_per_bookie]:[AR_per_bookie]],BetTable[[B1]:[B1]],$A148,BetTable[[Date]:[Date]], "&gt;="&amp;H$8,BetTable[[Date]:[Date]],"&lt;="&amp;EOMONTH(H$8,0))+SUMIFS(BetTable[[AR_per_bookie]:[AR_per_bookie]],BetTable[[B2]:[B2]],$A148,BetTable[[Date]:[Date]], "&gt;="&amp;H$8,BetTable[[Date]:[Date]],"&lt;="&amp;EOMONTH(H$8,0))+SUMIFS(BetTable[[AR_per_bookie]:[AR_per_bookie]],BetTable[[B3]:[B3]],$A148,BetTable[[Date]:[Date]], "&gt;="&amp;H$8,BetTable[[Date]:[Date]],"&lt;="&amp;EOMONTH(H$8,0))</f>
        <v>0</v>
      </c>
      <c r="I148" s="126">
        <f>SUMIFS(DWbonus[[Sum]:[Sum]],DWbonus[[Dato]:[Dato]], "&gt;="&amp;I$8,DWbonus[[Dato]:[Dato]],"&lt;="&amp;EOMONTH(I$8,0),DWbonus[[Bookie]:[Bookie]],$A148)+SUMIFS(LayTable[[Faktisk res]:[Faktisk res]],LayTable[[Dato]:[Dato]],"&gt;="&amp;I$8,LayTable[[Dato]:[Dato]],"&lt;="&amp;EOMONTH(I$8,0),LayTable[[Bookmaker]:[Bookmaker]],$A148)+SUMIFS(BetTable[[AR_per_bookie]:[AR_per_bookie]],BetTable[[B1]:[B1]],$A148,BetTable[[Date]:[Date]], "&gt;="&amp;I$8,BetTable[[Date]:[Date]],"&lt;="&amp;EOMONTH(I$8,0))+SUMIFS(BetTable[[AR_per_bookie]:[AR_per_bookie]],BetTable[[B2]:[B2]],$A148,BetTable[[Date]:[Date]], "&gt;="&amp;I$8,BetTable[[Date]:[Date]],"&lt;="&amp;EOMONTH(I$8,0))+SUMIFS(BetTable[[AR_per_bookie]:[AR_per_bookie]],BetTable[[B3]:[B3]],$A148,BetTable[[Date]:[Date]], "&gt;="&amp;I$8,BetTable[[Date]:[Date]],"&lt;="&amp;EOMONTH(I$8,0))</f>
        <v>0</v>
      </c>
      <c r="J148" s="126">
        <f>SUMIFS(DWbonus[[Sum]:[Sum]],DWbonus[[Dato]:[Dato]], "&gt;="&amp;J$8,DWbonus[[Dato]:[Dato]],"&lt;="&amp;EOMONTH(J$8,0),DWbonus[[Bookie]:[Bookie]],$A148)+SUMIFS(LayTable[[Faktisk res]:[Faktisk res]],LayTable[[Dato]:[Dato]],"&gt;="&amp;J$8,LayTable[[Dato]:[Dato]],"&lt;="&amp;EOMONTH(J$8,0),LayTable[[Bookmaker]:[Bookmaker]],$A148)+SUMIFS(BetTable[[AR_per_bookie]:[AR_per_bookie]],BetTable[[B1]:[B1]],$A148,BetTable[[Date]:[Date]], "&gt;="&amp;J$8,BetTable[[Date]:[Date]],"&lt;="&amp;EOMONTH(J$8,0))+SUMIFS(BetTable[[AR_per_bookie]:[AR_per_bookie]],BetTable[[B2]:[B2]],$A148,BetTable[[Date]:[Date]], "&gt;="&amp;J$8,BetTable[[Date]:[Date]],"&lt;="&amp;EOMONTH(J$8,0))+SUMIFS(BetTable[[AR_per_bookie]:[AR_per_bookie]],BetTable[[B3]:[B3]],$A148,BetTable[[Date]:[Date]], "&gt;="&amp;J$8,BetTable[[Date]:[Date]],"&lt;="&amp;EOMONTH(J$8,0))</f>
        <v>0</v>
      </c>
      <c r="K148" s="126">
        <f>SUMIFS(DWbonus[[Sum]:[Sum]],DWbonus[[Dato]:[Dato]], "&gt;="&amp;K$8,DWbonus[[Dato]:[Dato]],"&lt;="&amp;EOMONTH(K$8,0),DWbonus[[Bookie]:[Bookie]],$A148)+SUMIFS(LayTable[[Faktisk res]:[Faktisk res]],LayTable[[Dato]:[Dato]],"&gt;="&amp;K$8,LayTable[[Dato]:[Dato]],"&lt;="&amp;EOMONTH(K$8,0),LayTable[[Bookmaker]:[Bookmaker]],$A148)+SUMIFS(BetTable[[AR_per_bookie]:[AR_per_bookie]],BetTable[[B1]:[B1]],$A148,BetTable[[Date]:[Date]], "&gt;="&amp;K$8,BetTable[[Date]:[Date]],"&lt;="&amp;EOMONTH(K$8,0))+SUMIFS(BetTable[[AR_per_bookie]:[AR_per_bookie]],BetTable[[B2]:[B2]],$A148,BetTable[[Date]:[Date]], "&gt;="&amp;K$8,BetTable[[Date]:[Date]],"&lt;="&amp;EOMONTH(K$8,0))+SUMIFS(BetTable[[AR_per_bookie]:[AR_per_bookie]],BetTable[[B3]:[B3]],$A148,BetTable[[Date]:[Date]], "&gt;="&amp;K$8,BetTable[[Date]:[Date]],"&lt;="&amp;EOMONTH(K$8,0))</f>
        <v>0</v>
      </c>
      <c r="L148" s="126">
        <f>SUMIFS(DWbonus[[Sum]:[Sum]],DWbonus[[Dato]:[Dato]], "&gt;="&amp;L$8,DWbonus[[Dato]:[Dato]],"&lt;="&amp;EOMONTH(L$8,0),DWbonus[[Bookie]:[Bookie]],$A148)+SUMIFS(LayTable[[Faktisk res]:[Faktisk res]],LayTable[[Dato]:[Dato]],"&gt;="&amp;L$8,LayTable[[Dato]:[Dato]],"&lt;="&amp;EOMONTH(L$8,0),LayTable[[Bookmaker]:[Bookmaker]],$A148)+SUMIFS(BetTable[[AR_per_bookie]:[AR_per_bookie]],BetTable[[B1]:[B1]],$A148,BetTable[[Date]:[Date]], "&gt;="&amp;L$8,BetTable[[Date]:[Date]],"&lt;="&amp;EOMONTH(L$8,0))+SUMIFS(BetTable[[AR_per_bookie]:[AR_per_bookie]],BetTable[[B2]:[B2]],$A148,BetTable[[Date]:[Date]], "&gt;="&amp;L$8,BetTable[[Date]:[Date]],"&lt;="&amp;EOMONTH(L$8,0))+SUMIFS(BetTable[[AR_per_bookie]:[AR_per_bookie]],BetTable[[B3]:[B3]],$A148,BetTable[[Date]:[Date]], "&gt;="&amp;L$8,BetTable[[Date]:[Date]],"&lt;="&amp;EOMONTH(L$8,0))</f>
        <v>0</v>
      </c>
      <c r="M148" s="126">
        <f>SUMIFS(DWbonus[[Sum]:[Sum]],DWbonus[[Dato]:[Dato]], "&gt;="&amp;M$8,DWbonus[[Dato]:[Dato]],"&lt;="&amp;EOMONTH(M$8,0),DWbonus[[Bookie]:[Bookie]],$A148)+SUMIFS(LayTable[[Faktisk res]:[Faktisk res]],LayTable[[Dato]:[Dato]],"&gt;="&amp;M$8,LayTable[[Dato]:[Dato]],"&lt;="&amp;EOMONTH(M$8,0),LayTable[[Bookmaker]:[Bookmaker]],$A148)+SUMIFS(BetTable[[AR_per_bookie]:[AR_per_bookie]],BetTable[[B1]:[B1]],$A148,BetTable[[Date]:[Date]], "&gt;="&amp;M$8,BetTable[[Date]:[Date]],"&lt;="&amp;EOMONTH(M$8,0))+SUMIFS(BetTable[[AR_per_bookie]:[AR_per_bookie]],BetTable[[B2]:[B2]],$A148,BetTable[[Date]:[Date]], "&gt;="&amp;M$8,BetTable[[Date]:[Date]],"&lt;="&amp;EOMONTH(M$8,0))+SUMIFS(BetTable[[AR_per_bookie]:[AR_per_bookie]],BetTable[[B3]:[B3]],$A148,BetTable[[Date]:[Date]], "&gt;="&amp;M$8,BetTable[[Date]:[Date]],"&lt;="&amp;EOMONTH(M$8,0))</f>
        <v>0</v>
      </c>
      <c r="N148" s="126">
        <f>SUMIFS(DWbonus[[Sum]:[Sum]],DWbonus[[Dato]:[Dato]], "&gt;="&amp;N$8,DWbonus[[Dato]:[Dato]],"&lt;="&amp;EOMONTH(N$8,0),DWbonus[[Bookie]:[Bookie]],$A148)+SUMIFS(LayTable[[Faktisk res]:[Faktisk res]],LayTable[[Dato]:[Dato]],"&gt;="&amp;N$8,LayTable[[Dato]:[Dato]],"&lt;="&amp;EOMONTH(N$8,0),LayTable[[Bookmaker]:[Bookmaker]],$A148)+SUMIFS(BetTable[[AR_per_bookie]:[AR_per_bookie]],BetTable[[B1]:[B1]],$A148,BetTable[[Date]:[Date]], "&gt;="&amp;N$8,BetTable[[Date]:[Date]],"&lt;="&amp;EOMONTH(N$8,0))+SUMIFS(BetTable[[AR_per_bookie]:[AR_per_bookie]],BetTable[[B2]:[B2]],$A148,BetTable[[Date]:[Date]], "&gt;="&amp;N$8,BetTable[[Date]:[Date]],"&lt;="&amp;EOMONTH(N$8,0))+SUMIFS(BetTable[[AR_per_bookie]:[AR_per_bookie]],BetTable[[B3]:[B3]],$A148,BetTable[[Date]:[Date]], "&gt;="&amp;N$8,BetTable[[Date]:[Date]],"&lt;="&amp;EOMONTH(N$8,0))</f>
        <v>0</v>
      </c>
      <c r="O148" s="126">
        <f>SUMIFS(DWbonus[[Sum]:[Sum]],DWbonus[[Dato]:[Dato]], "&gt;="&amp;O$8,DWbonus[[Dato]:[Dato]],"&lt;="&amp;EOMONTH(O$8,0),DWbonus[[Bookie]:[Bookie]],$A148)+SUMIFS(LayTable[[Faktisk res]:[Faktisk res]],LayTable[[Dato]:[Dato]],"&gt;="&amp;O$8,LayTable[[Dato]:[Dato]],"&lt;="&amp;EOMONTH(O$8,0),LayTable[[Bookmaker]:[Bookmaker]],$A148)+SUMIFS(BetTable[[AR_per_bookie]:[AR_per_bookie]],BetTable[[B1]:[B1]],$A148,BetTable[[Date]:[Date]], "&gt;="&amp;O$8,BetTable[[Date]:[Date]],"&lt;="&amp;EOMONTH(O$8,0))+SUMIFS(BetTable[[AR_per_bookie]:[AR_per_bookie]],BetTable[[B2]:[B2]],$A148,BetTable[[Date]:[Date]], "&gt;="&amp;O$8,BetTable[[Date]:[Date]],"&lt;="&amp;EOMONTH(O$8,0))+SUMIFS(BetTable[[AR_per_bookie]:[AR_per_bookie]],BetTable[[B3]:[B3]],$A148,BetTable[[Date]:[Date]], "&gt;="&amp;O$8,BetTable[[Date]:[Date]],"&lt;="&amp;EOMONTH(O$8,0))</f>
        <v>0</v>
      </c>
      <c r="P148" s="126">
        <f>SUMIFS(DWbonus[[Sum]:[Sum]],DWbonus[[Dato]:[Dato]], "&gt;="&amp;P$8,DWbonus[[Dato]:[Dato]],"&lt;="&amp;EOMONTH(P$8,0),DWbonus[[Bookie]:[Bookie]],$A148)+SUMIFS(LayTable[[Faktisk res]:[Faktisk res]],LayTable[[Dato]:[Dato]],"&gt;="&amp;P$8,LayTable[[Dato]:[Dato]],"&lt;="&amp;EOMONTH(P$8,0),LayTable[[Bookmaker]:[Bookmaker]],$A148)+SUMIFS(BetTable[[AR_per_bookie]:[AR_per_bookie]],BetTable[[B1]:[B1]],$A148,BetTable[[Date]:[Date]], "&gt;="&amp;P$8,BetTable[[Date]:[Date]],"&lt;="&amp;EOMONTH(P$8,0))+SUMIFS(BetTable[[AR_per_bookie]:[AR_per_bookie]],BetTable[[B2]:[B2]],$A148,BetTable[[Date]:[Date]], "&gt;="&amp;P$8,BetTable[[Date]:[Date]],"&lt;="&amp;EOMONTH(P$8,0))+SUMIFS(BetTable[[AR_per_bookie]:[AR_per_bookie]],BetTable[[B3]:[B3]],$A148,BetTable[[Date]:[Date]], "&gt;="&amp;P$8,BetTable[[Date]:[Date]],"&lt;="&amp;EOMONTH(P$8,0))</f>
        <v>0</v>
      </c>
      <c r="Q148" s="126">
        <f>SUMIFS(DWbonus[[Sum]:[Sum]],DWbonus[[Dato]:[Dato]], "&gt;="&amp;Q$8,DWbonus[[Dato]:[Dato]],"&lt;="&amp;EOMONTH(Q$8,0),DWbonus[[Bookie]:[Bookie]],$A148)+SUMIFS(LayTable[[Faktisk res]:[Faktisk res]],LayTable[[Dato]:[Dato]],"&gt;="&amp;Q$8,LayTable[[Dato]:[Dato]],"&lt;="&amp;EOMONTH(Q$8,0),LayTable[[Bookmaker]:[Bookmaker]],$A148)+SUMIFS(BetTable[[AR_per_bookie]:[AR_per_bookie]],BetTable[[B1]:[B1]],$A148,BetTable[[Date]:[Date]], "&gt;="&amp;Q$8,BetTable[[Date]:[Date]],"&lt;="&amp;EOMONTH(Q$8,0))+SUMIFS(BetTable[[AR_per_bookie]:[AR_per_bookie]],BetTable[[B2]:[B2]],$A148,BetTable[[Date]:[Date]], "&gt;="&amp;Q$8,BetTable[[Date]:[Date]],"&lt;="&amp;EOMONTH(Q$8,0))+SUMIFS(BetTable[[AR_per_bookie]:[AR_per_bookie]],BetTable[[B3]:[B3]],$A148,BetTable[[Date]:[Date]], "&gt;="&amp;Q$8,BetTable[[Date]:[Date]],"&lt;="&amp;EOMONTH(Q$8,0))</f>
        <v>0</v>
      </c>
      <c r="R148" s="126">
        <f>SUMIFS(DWbonus[[Sum]:[Sum]],DWbonus[[Dato]:[Dato]], "&gt;="&amp;R$8,DWbonus[[Dato]:[Dato]],"&lt;="&amp;EOMONTH(R$8,0),DWbonus[[Bookie]:[Bookie]],$A148)+SUMIFS(LayTable[[Faktisk res]:[Faktisk res]],LayTable[[Dato]:[Dato]],"&gt;="&amp;R$8,LayTable[[Dato]:[Dato]],"&lt;="&amp;EOMONTH(R$8,0),LayTable[[Bookmaker]:[Bookmaker]],$A148)+SUMIFS(BetTable[[AR_per_bookie]:[AR_per_bookie]],BetTable[[B1]:[B1]],$A148,BetTable[[Date]:[Date]], "&gt;="&amp;R$8,BetTable[[Date]:[Date]],"&lt;="&amp;EOMONTH(R$8,0))+SUMIFS(BetTable[[AR_per_bookie]:[AR_per_bookie]],BetTable[[B2]:[B2]],$A148,BetTable[[Date]:[Date]], "&gt;="&amp;R$8,BetTable[[Date]:[Date]],"&lt;="&amp;EOMONTH(R$8,0))+SUMIFS(BetTable[[AR_per_bookie]:[AR_per_bookie]],BetTable[[B3]:[B3]],$A148,BetTable[[Date]:[Date]], "&gt;="&amp;R$8,BetTable[[Date]:[Date]],"&lt;="&amp;EOMONTH(R$8,0))</f>
        <v>0</v>
      </c>
      <c r="S148" s="126">
        <f>SUMIFS(DWbonus[[Sum]:[Sum]],DWbonus[[Dato]:[Dato]], "&gt;="&amp;S$8,DWbonus[[Dato]:[Dato]],"&lt;="&amp;EOMONTH(S$8,0),DWbonus[[Bookie]:[Bookie]],$A148)+SUMIFS(LayTable[[Faktisk res]:[Faktisk res]],LayTable[[Dato]:[Dato]],"&gt;="&amp;S$8,LayTable[[Dato]:[Dato]],"&lt;="&amp;EOMONTH(S$8,0),LayTable[[Bookmaker]:[Bookmaker]],$A148)+SUMIFS(BetTable[[AR_per_bookie]:[AR_per_bookie]],BetTable[[B1]:[B1]],$A148,BetTable[[Date]:[Date]], "&gt;="&amp;S$8,BetTable[[Date]:[Date]],"&lt;="&amp;EOMONTH(S$8,0))+SUMIFS(BetTable[[AR_per_bookie]:[AR_per_bookie]],BetTable[[B2]:[B2]],$A148,BetTable[[Date]:[Date]], "&gt;="&amp;S$8,BetTable[[Date]:[Date]],"&lt;="&amp;EOMONTH(S$8,0))+SUMIFS(BetTable[[AR_per_bookie]:[AR_per_bookie]],BetTable[[B3]:[B3]],$A148,BetTable[[Date]:[Date]], "&gt;="&amp;S$8,BetTable[[Date]:[Date]],"&lt;="&amp;EOMONTH(S$8,0))</f>
        <v>0</v>
      </c>
    </row>
    <row r="149" spans="1:19">
      <c r="A149" s="115">
        <f>BookieNavn!I143</f>
        <v>0</v>
      </c>
      <c r="B149" s="126">
        <f>SUMIF(Penger!D$1:D$50072,A149,Penger!F$1:F$50072)</f>
        <v>0</v>
      </c>
      <c r="C149" s="126">
        <f>SUMIF(Penger!T$1:T$50072,A149,Penger!U$1:U$50072)</f>
        <v>0</v>
      </c>
      <c r="D149" s="126">
        <f ca="1">SUMIF(Spill!C$1:C$499895,A149,Spill!T$1:T$49895)+C149</f>
        <v>0</v>
      </c>
      <c r="E149" s="126">
        <f>SUMIF(Spill!C$1:C$49895,A149,Spill!T$1:T$49895)</f>
        <v>0</v>
      </c>
      <c r="F149" s="121" t="e">
        <f t="shared" ca="1" si="3"/>
        <v>#DIV/0!</v>
      </c>
      <c r="H149" s="126">
        <f>SUMIFS(DWbonus[[Sum]:[Sum]],DWbonus[[Dato]:[Dato]], "&gt;="&amp;H$8,DWbonus[[Dato]:[Dato]],"&lt;="&amp;EOMONTH(H$8,0),DWbonus[[Bookie]:[Bookie]],$A149)+SUMIFS(LayTable[[Faktisk res]:[Faktisk res]],LayTable[[Dato]:[Dato]],"&gt;="&amp;H$8,LayTable[[Dato]:[Dato]],"&lt;="&amp;EOMONTH(H$8,0),LayTable[[Bookmaker]:[Bookmaker]],$A149)+SUMIFS(BetTable[[AR_per_bookie]:[AR_per_bookie]],BetTable[[B1]:[B1]],$A149,BetTable[[Date]:[Date]], "&gt;="&amp;H$8,BetTable[[Date]:[Date]],"&lt;="&amp;EOMONTH(H$8,0))+SUMIFS(BetTable[[AR_per_bookie]:[AR_per_bookie]],BetTable[[B2]:[B2]],$A149,BetTable[[Date]:[Date]], "&gt;="&amp;H$8,BetTable[[Date]:[Date]],"&lt;="&amp;EOMONTH(H$8,0))+SUMIFS(BetTable[[AR_per_bookie]:[AR_per_bookie]],BetTable[[B3]:[B3]],$A149,BetTable[[Date]:[Date]], "&gt;="&amp;H$8,BetTable[[Date]:[Date]],"&lt;="&amp;EOMONTH(H$8,0))</f>
        <v>0</v>
      </c>
      <c r="I149" s="126">
        <f>SUMIFS(DWbonus[[Sum]:[Sum]],DWbonus[[Dato]:[Dato]], "&gt;="&amp;I$8,DWbonus[[Dato]:[Dato]],"&lt;="&amp;EOMONTH(I$8,0),DWbonus[[Bookie]:[Bookie]],$A149)+SUMIFS(LayTable[[Faktisk res]:[Faktisk res]],LayTable[[Dato]:[Dato]],"&gt;="&amp;I$8,LayTable[[Dato]:[Dato]],"&lt;="&amp;EOMONTH(I$8,0),LayTable[[Bookmaker]:[Bookmaker]],$A149)+SUMIFS(BetTable[[AR_per_bookie]:[AR_per_bookie]],BetTable[[B1]:[B1]],$A149,BetTable[[Date]:[Date]], "&gt;="&amp;I$8,BetTable[[Date]:[Date]],"&lt;="&amp;EOMONTH(I$8,0))+SUMIFS(BetTable[[AR_per_bookie]:[AR_per_bookie]],BetTable[[B2]:[B2]],$A149,BetTable[[Date]:[Date]], "&gt;="&amp;I$8,BetTable[[Date]:[Date]],"&lt;="&amp;EOMONTH(I$8,0))+SUMIFS(BetTable[[AR_per_bookie]:[AR_per_bookie]],BetTable[[B3]:[B3]],$A149,BetTable[[Date]:[Date]], "&gt;="&amp;I$8,BetTable[[Date]:[Date]],"&lt;="&amp;EOMONTH(I$8,0))</f>
        <v>0</v>
      </c>
      <c r="J149" s="126">
        <f>SUMIFS(DWbonus[[Sum]:[Sum]],DWbonus[[Dato]:[Dato]], "&gt;="&amp;J$8,DWbonus[[Dato]:[Dato]],"&lt;="&amp;EOMONTH(J$8,0),DWbonus[[Bookie]:[Bookie]],$A149)+SUMIFS(LayTable[[Faktisk res]:[Faktisk res]],LayTable[[Dato]:[Dato]],"&gt;="&amp;J$8,LayTable[[Dato]:[Dato]],"&lt;="&amp;EOMONTH(J$8,0),LayTable[[Bookmaker]:[Bookmaker]],$A149)+SUMIFS(BetTable[[AR_per_bookie]:[AR_per_bookie]],BetTable[[B1]:[B1]],$A149,BetTable[[Date]:[Date]], "&gt;="&amp;J$8,BetTable[[Date]:[Date]],"&lt;="&amp;EOMONTH(J$8,0))+SUMIFS(BetTable[[AR_per_bookie]:[AR_per_bookie]],BetTable[[B2]:[B2]],$A149,BetTable[[Date]:[Date]], "&gt;="&amp;J$8,BetTable[[Date]:[Date]],"&lt;="&amp;EOMONTH(J$8,0))+SUMIFS(BetTable[[AR_per_bookie]:[AR_per_bookie]],BetTable[[B3]:[B3]],$A149,BetTable[[Date]:[Date]], "&gt;="&amp;J$8,BetTable[[Date]:[Date]],"&lt;="&amp;EOMONTH(J$8,0))</f>
        <v>0</v>
      </c>
      <c r="K149" s="126">
        <f>SUMIFS(DWbonus[[Sum]:[Sum]],DWbonus[[Dato]:[Dato]], "&gt;="&amp;K$8,DWbonus[[Dato]:[Dato]],"&lt;="&amp;EOMONTH(K$8,0),DWbonus[[Bookie]:[Bookie]],$A149)+SUMIFS(LayTable[[Faktisk res]:[Faktisk res]],LayTable[[Dato]:[Dato]],"&gt;="&amp;K$8,LayTable[[Dato]:[Dato]],"&lt;="&amp;EOMONTH(K$8,0),LayTable[[Bookmaker]:[Bookmaker]],$A149)+SUMIFS(BetTable[[AR_per_bookie]:[AR_per_bookie]],BetTable[[B1]:[B1]],$A149,BetTable[[Date]:[Date]], "&gt;="&amp;K$8,BetTable[[Date]:[Date]],"&lt;="&amp;EOMONTH(K$8,0))+SUMIFS(BetTable[[AR_per_bookie]:[AR_per_bookie]],BetTable[[B2]:[B2]],$A149,BetTable[[Date]:[Date]], "&gt;="&amp;K$8,BetTable[[Date]:[Date]],"&lt;="&amp;EOMONTH(K$8,0))+SUMIFS(BetTable[[AR_per_bookie]:[AR_per_bookie]],BetTable[[B3]:[B3]],$A149,BetTable[[Date]:[Date]], "&gt;="&amp;K$8,BetTable[[Date]:[Date]],"&lt;="&amp;EOMONTH(K$8,0))</f>
        <v>0</v>
      </c>
      <c r="L149" s="126">
        <f>SUMIFS(DWbonus[[Sum]:[Sum]],DWbonus[[Dato]:[Dato]], "&gt;="&amp;L$8,DWbonus[[Dato]:[Dato]],"&lt;="&amp;EOMONTH(L$8,0),DWbonus[[Bookie]:[Bookie]],$A149)+SUMIFS(LayTable[[Faktisk res]:[Faktisk res]],LayTable[[Dato]:[Dato]],"&gt;="&amp;L$8,LayTable[[Dato]:[Dato]],"&lt;="&amp;EOMONTH(L$8,0),LayTable[[Bookmaker]:[Bookmaker]],$A149)+SUMIFS(BetTable[[AR_per_bookie]:[AR_per_bookie]],BetTable[[B1]:[B1]],$A149,BetTable[[Date]:[Date]], "&gt;="&amp;L$8,BetTable[[Date]:[Date]],"&lt;="&amp;EOMONTH(L$8,0))+SUMIFS(BetTable[[AR_per_bookie]:[AR_per_bookie]],BetTable[[B2]:[B2]],$A149,BetTable[[Date]:[Date]], "&gt;="&amp;L$8,BetTable[[Date]:[Date]],"&lt;="&amp;EOMONTH(L$8,0))+SUMIFS(BetTable[[AR_per_bookie]:[AR_per_bookie]],BetTable[[B3]:[B3]],$A149,BetTable[[Date]:[Date]], "&gt;="&amp;L$8,BetTable[[Date]:[Date]],"&lt;="&amp;EOMONTH(L$8,0))</f>
        <v>0</v>
      </c>
      <c r="M149" s="126">
        <f>SUMIFS(DWbonus[[Sum]:[Sum]],DWbonus[[Dato]:[Dato]], "&gt;="&amp;M$8,DWbonus[[Dato]:[Dato]],"&lt;="&amp;EOMONTH(M$8,0),DWbonus[[Bookie]:[Bookie]],$A149)+SUMIFS(LayTable[[Faktisk res]:[Faktisk res]],LayTable[[Dato]:[Dato]],"&gt;="&amp;M$8,LayTable[[Dato]:[Dato]],"&lt;="&amp;EOMONTH(M$8,0),LayTable[[Bookmaker]:[Bookmaker]],$A149)+SUMIFS(BetTable[[AR_per_bookie]:[AR_per_bookie]],BetTable[[B1]:[B1]],$A149,BetTable[[Date]:[Date]], "&gt;="&amp;M$8,BetTable[[Date]:[Date]],"&lt;="&amp;EOMONTH(M$8,0))+SUMIFS(BetTable[[AR_per_bookie]:[AR_per_bookie]],BetTable[[B2]:[B2]],$A149,BetTable[[Date]:[Date]], "&gt;="&amp;M$8,BetTable[[Date]:[Date]],"&lt;="&amp;EOMONTH(M$8,0))+SUMIFS(BetTable[[AR_per_bookie]:[AR_per_bookie]],BetTable[[B3]:[B3]],$A149,BetTable[[Date]:[Date]], "&gt;="&amp;M$8,BetTable[[Date]:[Date]],"&lt;="&amp;EOMONTH(M$8,0))</f>
        <v>0</v>
      </c>
      <c r="N149" s="126">
        <f>SUMIFS(DWbonus[[Sum]:[Sum]],DWbonus[[Dato]:[Dato]], "&gt;="&amp;N$8,DWbonus[[Dato]:[Dato]],"&lt;="&amp;EOMONTH(N$8,0),DWbonus[[Bookie]:[Bookie]],$A149)+SUMIFS(LayTable[[Faktisk res]:[Faktisk res]],LayTable[[Dato]:[Dato]],"&gt;="&amp;N$8,LayTable[[Dato]:[Dato]],"&lt;="&amp;EOMONTH(N$8,0),LayTable[[Bookmaker]:[Bookmaker]],$A149)+SUMIFS(BetTable[[AR_per_bookie]:[AR_per_bookie]],BetTable[[B1]:[B1]],$A149,BetTable[[Date]:[Date]], "&gt;="&amp;N$8,BetTable[[Date]:[Date]],"&lt;="&amp;EOMONTH(N$8,0))+SUMIFS(BetTable[[AR_per_bookie]:[AR_per_bookie]],BetTable[[B2]:[B2]],$A149,BetTable[[Date]:[Date]], "&gt;="&amp;N$8,BetTable[[Date]:[Date]],"&lt;="&amp;EOMONTH(N$8,0))+SUMIFS(BetTable[[AR_per_bookie]:[AR_per_bookie]],BetTable[[B3]:[B3]],$A149,BetTable[[Date]:[Date]], "&gt;="&amp;N$8,BetTable[[Date]:[Date]],"&lt;="&amp;EOMONTH(N$8,0))</f>
        <v>0</v>
      </c>
      <c r="O149" s="126">
        <f>SUMIFS(DWbonus[[Sum]:[Sum]],DWbonus[[Dato]:[Dato]], "&gt;="&amp;O$8,DWbonus[[Dato]:[Dato]],"&lt;="&amp;EOMONTH(O$8,0),DWbonus[[Bookie]:[Bookie]],$A149)+SUMIFS(LayTable[[Faktisk res]:[Faktisk res]],LayTable[[Dato]:[Dato]],"&gt;="&amp;O$8,LayTable[[Dato]:[Dato]],"&lt;="&amp;EOMONTH(O$8,0),LayTable[[Bookmaker]:[Bookmaker]],$A149)+SUMIFS(BetTable[[AR_per_bookie]:[AR_per_bookie]],BetTable[[B1]:[B1]],$A149,BetTable[[Date]:[Date]], "&gt;="&amp;O$8,BetTable[[Date]:[Date]],"&lt;="&amp;EOMONTH(O$8,0))+SUMIFS(BetTable[[AR_per_bookie]:[AR_per_bookie]],BetTable[[B2]:[B2]],$A149,BetTable[[Date]:[Date]], "&gt;="&amp;O$8,BetTable[[Date]:[Date]],"&lt;="&amp;EOMONTH(O$8,0))+SUMIFS(BetTable[[AR_per_bookie]:[AR_per_bookie]],BetTable[[B3]:[B3]],$A149,BetTable[[Date]:[Date]], "&gt;="&amp;O$8,BetTable[[Date]:[Date]],"&lt;="&amp;EOMONTH(O$8,0))</f>
        <v>0</v>
      </c>
      <c r="P149" s="126">
        <f>SUMIFS(DWbonus[[Sum]:[Sum]],DWbonus[[Dato]:[Dato]], "&gt;="&amp;P$8,DWbonus[[Dato]:[Dato]],"&lt;="&amp;EOMONTH(P$8,0),DWbonus[[Bookie]:[Bookie]],$A149)+SUMIFS(LayTable[[Faktisk res]:[Faktisk res]],LayTable[[Dato]:[Dato]],"&gt;="&amp;P$8,LayTable[[Dato]:[Dato]],"&lt;="&amp;EOMONTH(P$8,0),LayTable[[Bookmaker]:[Bookmaker]],$A149)+SUMIFS(BetTable[[AR_per_bookie]:[AR_per_bookie]],BetTable[[B1]:[B1]],$A149,BetTable[[Date]:[Date]], "&gt;="&amp;P$8,BetTable[[Date]:[Date]],"&lt;="&amp;EOMONTH(P$8,0))+SUMIFS(BetTable[[AR_per_bookie]:[AR_per_bookie]],BetTable[[B2]:[B2]],$A149,BetTable[[Date]:[Date]], "&gt;="&amp;P$8,BetTable[[Date]:[Date]],"&lt;="&amp;EOMONTH(P$8,0))+SUMIFS(BetTable[[AR_per_bookie]:[AR_per_bookie]],BetTable[[B3]:[B3]],$A149,BetTable[[Date]:[Date]], "&gt;="&amp;P$8,BetTable[[Date]:[Date]],"&lt;="&amp;EOMONTH(P$8,0))</f>
        <v>0</v>
      </c>
      <c r="Q149" s="126">
        <f>SUMIFS(DWbonus[[Sum]:[Sum]],DWbonus[[Dato]:[Dato]], "&gt;="&amp;Q$8,DWbonus[[Dato]:[Dato]],"&lt;="&amp;EOMONTH(Q$8,0),DWbonus[[Bookie]:[Bookie]],$A149)+SUMIFS(LayTable[[Faktisk res]:[Faktisk res]],LayTable[[Dato]:[Dato]],"&gt;="&amp;Q$8,LayTable[[Dato]:[Dato]],"&lt;="&amp;EOMONTH(Q$8,0),LayTable[[Bookmaker]:[Bookmaker]],$A149)+SUMIFS(BetTable[[AR_per_bookie]:[AR_per_bookie]],BetTable[[B1]:[B1]],$A149,BetTable[[Date]:[Date]], "&gt;="&amp;Q$8,BetTable[[Date]:[Date]],"&lt;="&amp;EOMONTH(Q$8,0))+SUMIFS(BetTable[[AR_per_bookie]:[AR_per_bookie]],BetTable[[B2]:[B2]],$A149,BetTable[[Date]:[Date]], "&gt;="&amp;Q$8,BetTable[[Date]:[Date]],"&lt;="&amp;EOMONTH(Q$8,0))+SUMIFS(BetTable[[AR_per_bookie]:[AR_per_bookie]],BetTable[[B3]:[B3]],$A149,BetTable[[Date]:[Date]], "&gt;="&amp;Q$8,BetTable[[Date]:[Date]],"&lt;="&amp;EOMONTH(Q$8,0))</f>
        <v>0</v>
      </c>
      <c r="R149" s="126">
        <f>SUMIFS(DWbonus[[Sum]:[Sum]],DWbonus[[Dato]:[Dato]], "&gt;="&amp;R$8,DWbonus[[Dato]:[Dato]],"&lt;="&amp;EOMONTH(R$8,0),DWbonus[[Bookie]:[Bookie]],$A149)+SUMIFS(LayTable[[Faktisk res]:[Faktisk res]],LayTable[[Dato]:[Dato]],"&gt;="&amp;R$8,LayTable[[Dato]:[Dato]],"&lt;="&amp;EOMONTH(R$8,0),LayTable[[Bookmaker]:[Bookmaker]],$A149)+SUMIFS(BetTable[[AR_per_bookie]:[AR_per_bookie]],BetTable[[B1]:[B1]],$A149,BetTable[[Date]:[Date]], "&gt;="&amp;R$8,BetTable[[Date]:[Date]],"&lt;="&amp;EOMONTH(R$8,0))+SUMIFS(BetTable[[AR_per_bookie]:[AR_per_bookie]],BetTable[[B2]:[B2]],$A149,BetTable[[Date]:[Date]], "&gt;="&amp;R$8,BetTable[[Date]:[Date]],"&lt;="&amp;EOMONTH(R$8,0))+SUMIFS(BetTable[[AR_per_bookie]:[AR_per_bookie]],BetTable[[B3]:[B3]],$A149,BetTable[[Date]:[Date]], "&gt;="&amp;R$8,BetTable[[Date]:[Date]],"&lt;="&amp;EOMONTH(R$8,0))</f>
        <v>0</v>
      </c>
      <c r="S149" s="126">
        <f>SUMIFS(DWbonus[[Sum]:[Sum]],DWbonus[[Dato]:[Dato]], "&gt;="&amp;S$8,DWbonus[[Dato]:[Dato]],"&lt;="&amp;EOMONTH(S$8,0),DWbonus[[Bookie]:[Bookie]],$A149)+SUMIFS(LayTable[[Faktisk res]:[Faktisk res]],LayTable[[Dato]:[Dato]],"&gt;="&amp;S$8,LayTable[[Dato]:[Dato]],"&lt;="&amp;EOMONTH(S$8,0),LayTable[[Bookmaker]:[Bookmaker]],$A149)+SUMIFS(BetTable[[AR_per_bookie]:[AR_per_bookie]],BetTable[[B1]:[B1]],$A149,BetTable[[Date]:[Date]], "&gt;="&amp;S$8,BetTable[[Date]:[Date]],"&lt;="&amp;EOMONTH(S$8,0))+SUMIFS(BetTable[[AR_per_bookie]:[AR_per_bookie]],BetTable[[B2]:[B2]],$A149,BetTable[[Date]:[Date]], "&gt;="&amp;S$8,BetTable[[Date]:[Date]],"&lt;="&amp;EOMONTH(S$8,0))+SUMIFS(BetTable[[AR_per_bookie]:[AR_per_bookie]],BetTable[[B3]:[B3]],$A149,BetTable[[Date]:[Date]], "&gt;="&amp;S$8,BetTable[[Date]:[Date]],"&lt;="&amp;EOMONTH(S$8,0))</f>
        <v>0</v>
      </c>
    </row>
    <row r="150" spans="1:19">
      <c r="A150" s="115">
        <f>BookieNavn!I144</f>
        <v>0</v>
      </c>
      <c r="B150" s="126">
        <f>SUMIF(Penger!D$1:D$50072,A150,Penger!F$1:F$50072)</f>
        <v>0</v>
      </c>
      <c r="C150" s="126">
        <f>SUMIF(Penger!T$1:T$50072,A150,Penger!U$1:U$50072)</f>
        <v>0</v>
      </c>
      <c r="D150" s="126">
        <f ca="1">SUMIF(Spill!C$1:C$499895,A150,Spill!T$1:T$49895)+C150</f>
        <v>0</v>
      </c>
      <c r="E150" s="126">
        <f>SUMIF(Spill!C$1:C$49895,A150,Spill!T$1:T$49895)</f>
        <v>0</v>
      </c>
      <c r="F150" s="121" t="e">
        <f t="shared" ca="1" si="3"/>
        <v>#DIV/0!</v>
      </c>
      <c r="H150" s="126">
        <f>SUMIFS(DWbonus[[Sum]:[Sum]],DWbonus[[Dato]:[Dato]], "&gt;="&amp;H$8,DWbonus[[Dato]:[Dato]],"&lt;="&amp;EOMONTH(H$8,0),DWbonus[[Bookie]:[Bookie]],$A150)+SUMIFS(LayTable[[Faktisk res]:[Faktisk res]],LayTable[[Dato]:[Dato]],"&gt;="&amp;H$8,LayTable[[Dato]:[Dato]],"&lt;="&amp;EOMONTH(H$8,0),LayTable[[Bookmaker]:[Bookmaker]],$A150)+SUMIFS(BetTable[[AR_per_bookie]:[AR_per_bookie]],BetTable[[B1]:[B1]],$A150,BetTable[[Date]:[Date]], "&gt;="&amp;H$8,BetTable[[Date]:[Date]],"&lt;="&amp;EOMONTH(H$8,0))+SUMIFS(BetTable[[AR_per_bookie]:[AR_per_bookie]],BetTable[[B2]:[B2]],$A150,BetTable[[Date]:[Date]], "&gt;="&amp;H$8,BetTable[[Date]:[Date]],"&lt;="&amp;EOMONTH(H$8,0))+SUMIFS(BetTable[[AR_per_bookie]:[AR_per_bookie]],BetTable[[B3]:[B3]],$A150,BetTable[[Date]:[Date]], "&gt;="&amp;H$8,BetTable[[Date]:[Date]],"&lt;="&amp;EOMONTH(H$8,0))</f>
        <v>0</v>
      </c>
      <c r="I150" s="126">
        <f>SUMIFS(DWbonus[[Sum]:[Sum]],DWbonus[[Dato]:[Dato]], "&gt;="&amp;I$8,DWbonus[[Dato]:[Dato]],"&lt;="&amp;EOMONTH(I$8,0),DWbonus[[Bookie]:[Bookie]],$A150)+SUMIFS(LayTable[[Faktisk res]:[Faktisk res]],LayTable[[Dato]:[Dato]],"&gt;="&amp;I$8,LayTable[[Dato]:[Dato]],"&lt;="&amp;EOMONTH(I$8,0),LayTable[[Bookmaker]:[Bookmaker]],$A150)+SUMIFS(BetTable[[AR_per_bookie]:[AR_per_bookie]],BetTable[[B1]:[B1]],$A150,BetTable[[Date]:[Date]], "&gt;="&amp;I$8,BetTable[[Date]:[Date]],"&lt;="&amp;EOMONTH(I$8,0))+SUMIFS(BetTable[[AR_per_bookie]:[AR_per_bookie]],BetTable[[B2]:[B2]],$A150,BetTable[[Date]:[Date]], "&gt;="&amp;I$8,BetTable[[Date]:[Date]],"&lt;="&amp;EOMONTH(I$8,0))+SUMIFS(BetTable[[AR_per_bookie]:[AR_per_bookie]],BetTable[[B3]:[B3]],$A150,BetTable[[Date]:[Date]], "&gt;="&amp;I$8,BetTable[[Date]:[Date]],"&lt;="&amp;EOMONTH(I$8,0))</f>
        <v>0</v>
      </c>
      <c r="J150" s="126">
        <f>SUMIFS(DWbonus[[Sum]:[Sum]],DWbonus[[Dato]:[Dato]], "&gt;="&amp;J$8,DWbonus[[Dato]:[Dato]],"&lt;="&amp;EOMONTH(J$8,0),DWbonus[[Bookie]:[Bookie]],$A150)+SUMIFS(LayTable[[Faktisk res]:[Faktisk res]],LayTable[[Dato]:[Dato]],"&gt;="&amp;J$8,LayTable[[Dato]:[Dato]],"&lt;="&amp;EOMONTH(J$8,0),LayTable[[Bookmaker]:[Bookmaker]],$A150)+SUMIFS(BetTable[[AR_per_bookie]:[AR_per_bookie]],BetTable[[B1]:[B1]],$A150,BetTable[[Date]:[Date]], "&gt;="&amp;J$8,BetTable[[Date]:[Date]],"&lt;="&amp;EOMONTH(J$8,0))+SUMIFS(BetTable[[AR_per_bookie]:[AR_per_bookie]],BetTable[[B2]:[B2]],$A150,BetTable[[Date]:[Date]], "&gt;="&amp;J$8,BetTable[[Date]:[Date]],"&lt;="&amp;EOMONTH(J$8,0))+SUMIFS(BetTable[[AR_per_bookie]:[AR_per_bookie]],BetTable[[B3]:[B3]],$A150,BetTable[[Date]:[Date]], "&gt;="&amp;J$8,BetTable[[Date]:[Date]],"&lt;="&amp;EOMONTH(J$8,0))</f>
        <v>0</v>
      </c>
      <c r="K150" s="126">
        <f>SUMIFS(DWbonus[[Sum]:[Sum]],DWbonus[[Dato]:[Dato]], "&gt;="&amp;K$8,DWbonus[[Dato]:[Dato]],"&lt;="&amp;EOMONTH(K$8,0),DWbonus[[Bookie]:[Bookie]],$A150)+SUMIFS(LayTable[[Faktisk res]:[Faktisk res]],LayTable[[Dato]:[Dato]],"&gt;="&amp;K$8,LayTable[[Dato]:[Dato]],"&lt;="&amp;EOMONTH(K$8,0),LayTable[[Bookmaker]:[Bookmaker]],$A150)+SUMIFS(BetTable[[AR_per_bookie]:[AR_per_bookie]],BetTable[[B1]:[B1]],$A150,BetTable[[Date]:[Date]], "&gt;="&amp;K$8,BetTable[[Date]:[Date]],"&lt;="&amp;EOMONTH(K$8,0))+SUMIFS(BetTable[[AR_per_bookie]:[AR_per_bookie]],BetTable[[B2]:[B2]],$A150,BetTable[[Date]:[Date]], "&gt;="&amp;K$8,BetTable[[Date]:[Date]],"&lt;="&amp;EOMONTH(K$8,0))+SUMIFS(BetTable[[AR_per_bookie]:[AR_per_bookie]],BetTable[[B3]:[B3]],$A150,BetTable[[Date]:[Date]], "&gt;="&amp;K$8,BetTable[[Date]:[Date]],"&lt;="&amp;EOMONTH(K$8,0))</f>
        <v>0</v>
      </c>
      <c r="L150" s="126">
        <f>SUMIFS(DWbonus[[Sum]:[Sum]],DWbonus[[Dato]:[Dato]], "&gt;="&amp;L$8,DWbonus[[Dato]:[Dato]],"&lt;="&amp;EOMONTH(L$8,0),DWbonus[[Bookie]:[Bookie]],$A150)+SUMIFS(LayTable[[Faktisk res]:[Faktisk res]],LayTable[[Dato]:[Dato]],"&gt;="&amp;L$8,LayTable[[Dato]:[Dato]],"&lt;="&amp;EOMONTH(L$8,0),LayTable[[Bookmaker]:[Bookmaker]],$A150)+SUMIFS(BetTable[[AR_per_bookie]:[AR_per_bookie]],BetTable[[B1]:[B1]],$A150,BetTable[[Date]:[Date]], "&gt;="&amp;L$8,BetTable[[Date]:[Date]],"&lt;="&amp;EOMONTH(L$8,0))+SUMIFS(BetTable[[AR_per_bookie]:[AR_per_bookie]],BetTable[[B2]:[B2]],$A150,BetTable[[Date]:[Date]], "&gt;="&amp;L$8,BetTable[[Date]:[Date]],"&lt;="&amp;EOMONTH(L$8,0))+SUMIFS(BetTable[[AR_per_bookie]:[AR_per_bookie]],BetTable[[B3]:[B3]],$A150,BetTable[[Date]:[Date]], "&gt;="&amp;L$8,BetTable[[Date]:[Date]],"&lt;="&amp;EOMONTH(L$8,0))</f>
        <v>0</v>
      </c>
      <c r="M150" s="126">
        <f>SUMIFS(DWbonus[[Sum]:[Sum]],DWbonus[[Dato]:[Dato]], "&gt;="&amp;M$8,DWbonus[[Dato]:[Dato]],"&lt;="&amp;EOMONTH(M$8,0),DWbonus[[Bookie]:[Bookie]],$A150)+SUMIFS(LayTable[[Faktisk res]:[Faktisk res]],LayTable[[Dato]:[Dato]],"&gt;="&amp;M$8,LayTable[[Dato]:[Dato]],"&lt;="&amp;EOMONTH(M$8,0),LayTable[[Bookmaker]:[Bookmaker]],$A150)+SUMIFS(BetTable[[AR_per_bookie]:[AR_per_bookie]],BetTable[[B1]:[B1]],$A150,BetTable[[Date]:[Date]], "&gt;="&amp;M$8,BetTable[[Date]:[Date]],"&lt;="&amp;EOMONTH(M$8,0))+SUMIFS(BetTable[[AR_per_bookie]:[AR_per_bookie]],BetTable[[B2]:[B2]],$A150,BetTable[[Date]:[Date]], "&gt;="&amp;M$8,BetTable[[Date]:[Date]],"&lt;="&amp;EOMONTH(M$8,0))+SUMIFS(BetTable[[AR_per_bookie]:[AR_per_bookie]],BetTable[[B3]:[B3]],$A150,BetTable[[Date]:[Date]], "&gt;="&amp;M$8,BetTable[[Date]:[Date]],"&lt;="&amp;EOMONTH(M$8,0))</f>
        <v>0</v>
      </c>
      <c r="N150" s="126">
        <f>SUMIFS(DWbonus[[Sum]:[Sum]],DWbonus[[Dato]:[Dato]], "&gt;="&amp;N$8,DWbonus[[Dato]:[Dato]],"&lt;="&amp;EOMONTH(N$8,0),DWbonus[[Bookie]:[Bookie]],$A150)+SUMIFS(LayTable[[Faktisk res]:[Faktisk res]],LayTable[[Dato]:[Dato]],"&gt;="&amp;N$8,LayTable[[Dato]:[Dato]],"&lt;="&amp;EOMONTH(N$8,0),LayTable[[Bookmaker]:[Bookmaker]],$A150)+SUMIFS(BetTable[[AR_per_bookie]:[AR_per_bookie]],BetTable[[B1]:[B1]],$A150,BetTable[[Date]:[Date]], "&gt;="&amp;N$8,BetTable[[Date]:[Date]],"&lt;="&amp;EOMONTH(N$8,0))+SUMIFS(BetTable[[AR_per_bookie]:[AR_per_bookie]],BetTable[[B2]:[B2]],$A150,BetTable[[Date]:[Date]], "&gt;="&amp;N$8,BetTable[[Date]:[Date]],"&lt;="&amp;EOMONTH(N$8,0))+SUMIFS(BetTable[[AR_per_bookie]:[AR_per_bookie]],BetTable[[B3]:[B3]],$A150,BetTable[[Date]:[Date]], "&gt;="&amp;N$8,BetTable[[Date]:[Date]],"&lt;="&amp;EOMONTH(N$8,0))</f>
        <v>0</v>
      </c>
      <c r="O150" s="126">
        <f>SUMIFS(DWbonus[[Sum]:[Sum]],DWbonus[[Dato]:[Dato]], "&gt;="&amp;O$8,DWbonus[[Dato]:[Dato]],"&lt;="&amp;EOMONTH(O$8,0),DWbonus[[Bookie]:[Bookie]],$A150)+SUMIFS(LayTable[[Faktisk res]:[Faktisk res]],LayTable[[Dato]:[Dato]],"&gt;="&amp;O$8,LayTable[[Dato]:[Dato]],"&lt;="&amp;EOMONTH(O$8,0),LayTable[[Bookmaker]:[Bookmaker]],$A150)+SUMIFS(BetTable[[AR_per_bookie]:[AR_per_bookie]],BetTable[[B1]:[B1]],$A150,BetTable[[Date]:[Date]], "&gt;="&amp;O$8,BetTable[[Date]:[Date]],"&lt;="&amp;EOMONTH(O$8,0))+SUMIFS(BetTable[[AR_per_bookie]:[AR_per_bookie]],BetTable[[B2]:[B2]],$A150,BetTable[[Date]:[Date]], "&gt;="&amp;O$8,BetTable[[Date]:[Date]],"&lt;="&amp;EOMONTH(O$8,0))+SUMIFS(BetTable[[AR_per_bookie]:[AR_per_bookie]],BetTable[[B3]:[B3]],$A150,BetTable[[Date]:[Date]], "&gt;="&amp;O$8,BetTable[[Date]:[Date]],"&lt;="&amp;EOMONTH(O$8,0))</f>
        <v>0</v>
      </c>
      <c r="P150" s="126">
        <f>SUMIFS(DWbonus[[Sum]:[Sum]],DWbonus[[Dato]:[Dato]], "&gt;="&amp;P$8,DWbonus[[Dato]:[Dato]],"&lt;="&amp;EOMONTH(P$8,0),DWbonus[[Bookie]:[Bookie]],$A150)+SUMIFS(LayTable[[Faktisk res]:[Faktisk res]],LayTable[[Dato]:[Dato]],"&gt;="&amp;P$8,LayTable[[Dato]:[Dato]],"&lt;="&amp;EOMONTH(P$8,0),LayTable[[Bookmaker]:[Bookmaker]],$A150)+SUMIFS(BetTable[[AR_per_bookie]:[AR_per_bookie]],BetTable[[B1]:[B1]],$A150,BetTable[[Date]:[Date]], "&gt;="&amp;P$8,BetTable[[Date]:[Date]],"&lt;="&amp;EOMONTH(P$8,0))+SUMIFS(BetTable[[AR_per_bookie]:[AR_per_bookie]],BetTable[[B2]:[B2]],$A150,BetTable[[Date]:[Date]], "&gt;="&amp;P$8,BetTable[[Date]:[Date]],"&lt;="&amp;EOMONTH(P$8,0))+SUMIFS(BetTable[[AR_per_bookie]:[AR_per_bookie]],BetTable[[B3]:[B3]],$A150,BetTable[[Date]:[Date]], "&gt;="&amp;P$8,BetTable[[Date]:[Date]],"&lt;="&amp;EOMONTH(P$8,0))</f>
        <v>0</v>
      </c>
      <c r="Q150" s="126">
        <f>SUMIFS(DWbonus[[Sum]:[Sum]],DWbonus[[Dato]:[Dato]], "&gt;="&amp;Q$8,DWbonus[[Dato]:[Dato]],"&lt;="&amp;EOMONTH(Q$8,0),DWbonus[[Bookie]:[Bookie]],$A150)+SUMIFS(LayTable[[Faktisk res]:[Faktisk res]],LayTable[[Dato]:[Dato]],"&gt;="&amp;Q$8,LayTable[[Dato]:[Dato]],"&lt;="&amp;EOMONTH(Q$8,0),LayTable[[Bookmaker]:[Bookmaker]],$A150)+SUMIFS(BetTable[[AR_per_bookie]:[AR_per_bookie]],BetTable[[B1]:[B1]],$A150,BetTable[[Date]:[Date]], "&gt;="&amp;Q$8,BetTable[[Date]:[Date]],"&lt;="&amp;EOMONTH(Q$8,0))+SUMIFS(BetTable[[AR_per_bookie]:[AR_per_bookie]],BetTable[[B2]:[B2]],$A150,BetTable[[Date]:[Date]], "&gt;="&amp;Q$8,BetTable[[Date]:[Date]],"&lt;="&amp;EOMONTH(Q$8,0))+SUMIFS(BetTable[[AR_per_bookie]:[AR_per_bookie]],BetTable[[B3]:[B3]],$A150,BetTable[[Date]:[Date]], "&gt;="&amp;Q$8,BetTable[[Date]:[Date]],"&lt;="&amp;EOMONTH(Q$8,0))</f>
        <v>0</v>
      </c>
      <c r="R150" s="126">
        <f>SUMIFS(DWbonus[[Sum]:[Sum]],DWbonus[[Dato]:[Dato]], "&gt;="&amp;R$8,DWbonus[[Dato]:[Dato]],"&lt;="&amp;EOMONTH(R$8,0),DWbonus[[Bookie]:[Bookie]],$A150)+SUMIFS(LayTable[[Faktisk res]:[Faktisk res]],LayTable[[Dato]:[Dato]],"&gt;="&amp;R$8,LayTable[[Dato]:[Dato]],"&lt;="&amp;EOMONTH(R$8,0),LayTable[[Bookmaker]:[Bookmaker]],$A150)+SUMIFS(BetTable[[AR_per_bookie]:[AR_per_bookie]],BetTable[[B1]:[B1]],$A150,BetTable[[Date]:[Date]], "&gt;="&amp;R$8,BetTable[[Date]:[Date]],"&lt;="&amp;EOMONTH(R$8,0))+SUMIFS(BetTable[[AR_per_bookie]:[AR_per_bookie]],BetTable[[B2]:[B2]],$A150,BetTable[[Date]:[Date]], "&gt;="&amp;R$8,BetTable[[Date]:[Date]],"&lt;="&amp;EOMONTH(R$8,0))+SUMIFS(BetTable[[AR_per_bookie]:[AR_per_bookie]],BetTable[[B3]:[B3]],$A150,BetTable[[Date]:[Date]], "&gt;="&amp;R$8,BetTable[[Date]:[Date]],"&lt;="&amp;EOMONTH(R$8,0))</f>
        <v>0</v>
      </c>
      <c r="S150" s="126">
        <f>SUMIFS(DWbonus[[Sum]:[Sum]],DWbonus[[Dato]:[Dato]], "&gt;="&amp;S$8,DWbonus[[Dato]:[Dato]],"&lt;="&amp;EOMONTH(S$8,0),DWbonus[[Bookie]:[Bookie]],$A150)+SUMIFS(LayTable[[Faktisk res]:[Faktisk res]],LayTable[[Dato]:[Dato]],"&gt;="&amp;S$8,LayTable[[Dato]:[Dato]],"&lt;="&amp;EOMONTH(S$8,0),LayTable[[Bookmaker]:[Bookmaker]],$A150)+SUMIFS(BetTable[[AR_per_bookie]:[AR_per_bookie]],BetTable[[B1]:[B1]],$A150,BetTable[[Date]:[Date]], "&gt;="&amp;S$8,BetTable[[Date]:[Date]],"&lt;="&amp;EOMONTH(S$8,0))+SUMIFS(BetTable[[AR_per_bookie]:[AR_per_bookie]],BetTable[[B2]:[B2]],$A150,BetTable[[Date]:[Date]], "&gt;="&amp;S$8,BetTable[[Date]:[Date]],"&lt;="&amp;EOMONTH(S$8,0))+SUMIFS(BetTable[[AR_per_bookie]:[AR_per_bookie]],BetTable[[B3]:[B3]],$A150,BetTable[[Date]:[Date]], "&gt;="&amp;S$8,BetTable[[Date]:[Date]],"&lt;="&amp;EOMONTH(S$8,0))</f>
        <v>0</v>
      </c>
    </row>
    <row r="151" spans="1:19">
      <c r="A151" s="115">
        <f>BookieNavn!I145</f>
        <v>0</v>
      </c>
      <c r="B151" s="126">
        <f>SUMIF(Penger!D$1:D$50072,A151,Penger!F$1:F$50072)</f>
        <v>0</v>
      </c>
      <c r="C151" s="126">
        <f>SUMIF(Penger!T$1:T$50072,A151,Penger!U$1:U$50072)</f>
        <v>0</v>
      </c>
      <c r="D151" s="126">
        <f ca="1">SUMIF(Spill!C$1:C$499895,A151,Spill!T$1:T$49895)+C151</f>
        <v>0</v>
      </c>
      <c r="E151" s="126">
        <f>SUMIF(Spill!C$1:C$49895,A151,Spill!T$1:T$49895)</f>
        <v>0</v>
      </c>
      <c r="F151" s="121" t="e">
        <f t="shared" ca="1" si="3"/>
        <v>#DIV/0!</v>
      </c>
      <c r="H151" s="126">
        <f>SUMIFS(DWbonus[[Sum]:[Sum]],DWbonus[[Dato]:[Dato]], "&gt;="&amp;H$8,DWbonus[[Dato]:[Dato]],"&lt;="&amp;EOMONTH(H$8,0),DWbonus[[Bookie]:[Bookie]],$A151)+SUMIFS(LayTable[[Faktisk res]:[Faktisk res]],LayTable[[Dato]:[Dato]],"&gt;="&amp;H$8,LayTable[[Dato]:[Dato]],"&lt;="&amp;EOMONTH(H$8,0),LayTable[[Bookmaker]:[Bookmaker]],$A151)+SUMIFS(BetTable[[AR_per_bookie]:[AR_per_bookie]],BetTable[[B1]:[B1]],$A151,BetTable[[Date]:[Date]], "&gt;="&amp;H$8,BetTable[[Date]:[Date]],"&lt;="&amp;EOMONTH(H$8,0))+SUMIFS(BetTable[[AR_per_bookie]:[AR_per_bookie]],BetTable[[B2]:[B2]],$A151,BetTable[[Date]:[Date]], "&gt;="&amp;H$8,BetTable[[Date]:[Date]],"&lt;="&amp;EOMONTH(H$8,0))+SUMIFS(BetTable[[AR_per_bookie]:[AR_per_bookie]],BetTable[[B3]:[B3]],$A151,BetTable[[Date]:[Date]], "&gt;="&amp;H$8,BetTable[[Date]:[Date]],"&lt;="&amp;EOMONTH(H$8,0))</f>
        <v>0</v>
      </c>
      <c r="I151" s="126">
        <f>SUMIFS(DWbonus[[Sum]:[Sum]],DWbonus[[Dato]:[Dato]], "&gt;="&amp;I$8,DWbonus[[Dato]:[Dato]],"&lt;="&amp;EOMONTH(I$8,0),DWbonus[[Bookie]:[Bookie]],$A151)+SUMIFS(LayTable[[Faktisk res]:[Faktisk res]],LayTable[[Dato]:[Dato]],"&gt;="&amp;I$8,LayTable[[Dato]:[Dato]],"&lt;="&amp;EOMONTH(I$8,0),LayTable[[Bookmaker]:[Bookmaker]],$A151)+SUMIFS(BetTable[[AR_per_bookie]:[AR_per_bookie]],BetTable[[B1]:[B1]],$A151,BetTable[[Date]:[Date]], "&gt;="&amp;I$8,BetTable[[Date]:[Date]],"&lt;="&amp;EOMONTH(I$8,0))+SUMIFS(BetTable[[AR_per_bookie]:[AR_per_bookie]],BetTable[[B2]:[B2]],$A151,BetTable[[Date]:[Date]], "&gt;="&amp;I$8,BetTable[[Date]:[Date]],"&lt;="&amp;EOMONTH(I$8,0))+SUMIFS(BetTable[[AR_per_bookie]:[AR_per_bookie]],BetTable[[B3]:[B3]],$A151,BetTable[[Date]:[Date]], "&gt;="&amp;I$8,BetTable[[Date]:[Date]],"&lt;="&amp;EOMONTH(I$8,0))</f>
        <v>0</v>
      </c>
      <c r="J151" s="126">
        <f>SUMIFS(DWbonus[[Sum]:[Sum]],DWbonus[[Dato]:[Dato]], "&gt;="&amp;J$8,DWbonus[[Dato]:[Dato]],"&lt;="&amp;EOMONTH(J$8,0),DWbonus[[Bookie]:[Bookie]],$A151)+SUMIFS(LayTable[[Faktisk res]:[Faktisk res]],LayTable[[Dato]:[Dato]],"&gt;="&amp;J$8,LayTable[[Dato]:[Dato]],"&lt;="&amp;EOMONTH(J$8,0),LayTable[[Bookmaker]:[Bookmaker]],$A151)+SUMIFS(BetTable[[AR_per_bookie]:[AR_per_bookie]],BetTable[[B1]:[B1]],$A151,BetTable[[Date]:[Date]], "&gt;="&amp;J$8,BetTable[[Date]:[Date]],"&lt;="&amp;EOMONTH(J$8,0))+SUMIFS(BetTable[[AR_per_bookie]:[AR_per_bookie]],BetTable[[B2]:[B2]],$A151,BetTable[[Date]:[Date]], "&gt;="&amp;J$8,BetTable[[Date]:[Date]],"&lt;="&amp;EOMONTH(J$8,0))+SUMIFS(BetTable[[AR_per_bookie]:[AR_per_bookie]],BetTable[[B3]:[B3]],$A151,BetTable[[Date]:[Date]], "&gt;="&amp;J$8,BetTable[[Date]:[Date]],"&lt;="&amp;EOMONTH(J$8,0))</f>
        <v>0</v>
      </c>
      <c r="K151" s="126">
        <f>SUMIFS(DWbonus[[Sum]:[Sum]],DWbonus[[Dato]:[Dato]], "&gt;="&amp;K$8,DWbonus[[Dato]:[Dato]],"&lt;="&amp;EOMONTH(K$8,0),DWbonus[[Bookie]:[Bookie]],$A151)+SUMIFS(LayTable[[Faktisk res]:[Faktisk res]],LayTable[[Dato]:[Dato]],"&gt;="&amp;K$8,LayTable[[Dato]:[Dato]],"&lt;="&amp;EOMONTH(K$8,0),LayTable[[Bookmaker]:[Bookmaker]],$A151)+SUMIFS(BetTable[[AR_per_bookie]:[AR_per_bookie]],BetTable[[B1]:[B1]],$A151,BetTable[[Date]:[Date]], "&gt;="&amp;K$8,BetTable[[Date]:[Date]],"&lt;="&amp;EOMONTH(K$8,0))+SUMIFS(BetTable[[AR_per_bookie]:[AR_per_bookie]],BetTable[[B2]:[B2]],$A151,BetTable[[Date]:[Date]], "&gt;="&amp;K$8,BetTable[[Date]:[Date]],"&lt;="&amp;EOMONTH(K$8,0))+SUMIFS(BetTable[[AR_per_bookie]:[AR_per_bookie]],BetTable[[B3]:[B3]],$A151,BetTable[[Date]:[Date]], "&gt;="&amp;K$8,BetTable[[Date]:[Date]],"&lt;="&amp;EOMONTH(K$8,0))</f>
        <v>0</v>
      </c>
      <c r="L151" s="126">
        <f>SUMIFS(DWbonus[[Sum]:[Sum]],DWbonus[[Dato]:[Dato]], "&gt;="&amp;L$8,DWbonus[[Dato]:[Dato]],"&lt;="&amp;EOMONTH(L$8,0),DWbonus[[Bookie]:[Bookie]],$A151)+SUMIFS(LayTable[[Faktisk res]:[Faktisk res]],LayTable[[Dato]:[Dato]],"&gt;="&amp;L$8,LayTable[[Dato]:[Dato]],"&lt;="&amp;EOMONTH(L$8,0),LayTable[[Bookmaker]:[Bookmaker]],$A151)+SUMIFS(BetTable[[AR_per_bookie]:[AR_per_bookie]],BetTable[[B1]:[B1]],$A151,BetTable[[Date]:[Date]], "&gt;="&amp;L$8,BetTable[[Date]:[Date]],"&lt;="&amp;EOMONTH(L$8,0))+SUMIFS(BetTable[[AR_per_bookie]:[AR_per_bookie]],BetTable[[B2]:[B2]],$A151,BetTable[[Date]:[Date]], "&gt;="&amp;L$8,BetTable[[Date]:[Date]],"&lt;="&amp;EOMONTH(L$8,0))+SUMIFS(BetTable[[AR_per_bookie]:[AR_per_bookie]],BetTable[[B3]:[B3]],$A151,BetTable[[Date]:[Date]], "&gt;="&amp;L$8,BetTable[[Date]:[Date]],"&lt;="&amp;EOMONTH(L$8,0))</f>
        <v>0</v>
      </c>
      <c r="M151" s="126">
        <f>SUMIFS(DWbonus[[Sum]:[Sum]],DWbonus[[Dato]:[Dato]], "&gt;="&amp;M$8,DWbonus[[Dato]:[Dato]],"&lt;="&amp;EOMONTH(M$8,0),DWbonus[[Bookie]:[Bookie]],$A151)+SUMIFS(LayTable[[Faktisk res]:[Faktisk res]],LayTable[[Dato]:[Dato]],"&gt;="&amp;M$8,LayTable[[Dato]:[Dato]],"&lt;="&amp;EOMONTH(M$8,0),LayTable[[Bookmaker]:[Bookmaker]],$A151)+SUMIFS(BetTable[[AR_per_bookie]:[AR_per_bookie]],BetTable[[B1]:[B1]],$A151,BetTable[[Date]:[Date]], "&gt;="&amp;M$8,BetTable[[Date]:[Date]],"&lt;="&amp;EOMONTH(M$8,0))+SUMIFS(BetTable[[AR_per_bookie]:[AR_per_bookie]],BetTable[[B2]:[B2]],$A151,BetTable[[Date]:[Date]], "&gt;="&amp;M$8,BetTable[[Date]:[Date]],"&lt;="&amp;EOMONTH(M$8,0))+SUMIFS(BetTable[[AR_per_bookie]:[AR_per_bookie]],BetTable[[B3]:[B3]],$A151,BetTable[[Date]:[Date]], "&gt;="&amp;M$8,BetTable[[Date]:[Date]],"&lt;="&amp;EOMONTH(M$8,0))</f>
        <v>0</v>
      </c>
      <c r="N151" s="126">
        <f>SUMIFS(DWbonus[[Sum]:[Sum]],DWbonus[[Dato]:[Dato]], "&gt;="&amp;N$8,DWbonus[[Dato]:[Dato]],"&lt;="&amp;EOMONTH(N$8,0),DWbonus[[Bookie]:[Bookie]],$A151)+SUMIFS(LayTable[[Faktisk res]:[Faktisk res]],LayTable[[Dato]:[Dato]],"&gt;="&amp;N$8,LayTable[[Dato]:[Dato]],"&lt;="&amp;EOMONTH(N$8,0),LayTable[[Bookmaker]:[Bookmaker]],$A151)+SUMIFS(BetTable[[AR_per_bookie]:[AR_per_bookie]],BetTable[[B1]:[B1]],$A151,BetTable[[Date]:[Date]], "&gt;="&amp;N$8,BetTable[[Date]:[Date]],"&lt;="&amp;EOMONTH(N$8,0))+SUMIFS(BetTable[[AR_per_bookie]:[AR_per_bookie]],BetTable[[B2]:[B2]],$A151,BetTable[[Date]:[Date]], "&gt;="&amp;N$8,BetTable[[Date]:[Date]],"&lt;="&amp;EOMONTH(N$8,0))+SUMIFS(BetTable[[AR_per_bookie]:[AR_per_bookie]],BetTable[[B3]:[B3]],$A151,BetTable[[Date]:[Date]], "&gt;="&amp;N$8,BetTable[[Date]:[Date]],"&lt;="&amp;EOMONTH(N$8,0))</f>
        <v>0</v>
      </c>
      <c r="O151" s="126">
        <f>SUMIFS(DWbonus[[Sum]:[Sum]],DWbonus[[Dato]:[Dato]], "&gt;="&amp;O$8,DWbonus[[Dato]:[Dato]],"&lt;="&amp;EOMONTH(O$8,0),DWbonus[[Bookie]:[Bookie]],$A151)+SUMIFS(LayTable[[Faktisk res]:[Faktisk res]],LayTable[[Dato]:[Dato]],"&gt;="&amp;O$8,LayTable[[Dato]:[Dato]],"&lt;="&amp;EOMONTH(O$8,0),LayTable[[Bookmaker]:[Bookmaker]],$A151)+SUMIFS(BetTable[[AR_per_bookie]:[AR_per_bookie]],BetTable[[B1]:[B1]],$A151,BetTable[[Date]:[Date]], "&gt;="&amp;O$8,BetTable[[Date]:[Date]],"&lt;="&amp;EOMONTH(O$8,0))+SUMIFS(BetTable[[AR_per_bookie]:[AR_per_bookie]],BetTable[[B2]:[B2]],$A151,BetTable[[Date]:[Date]], "&gt;="&amp;O$8,BetTable[[Date]:[Date]],"&lt;="&amp;EOMONTH(O$8,0))+SUMIFS(BetTable[[AR_per_bookie]:[AR_per_bookie]],BetTable[[B3]:[B3]],$A151,BetTable[[Date]:[Date]], "&gt;="&amp;O$8,BetTable[[Date]:[Date]],"&lt;="&amp;EOMONTH(O$8,0))</f>
        <v>0</v>
      </c>
      <c r="P151" s="126">
        <f>SUMIFS(DWbonus[[Sum]:[Sum]],DWbonus[[Dato]:[Dato]], "&gt;="&amp;P$8,DWbonus[[Dato]:[Dato]],"&lt;="&amp;EOMONTH(P$8,0),DWbonus[[Bookie]:[Bookie]],$A151)+SUMIFS(LayTable[[Faktisk res]:[Faktisk res]],LayTable[[Dato]:[Dato]],"&gt;="&amp;P$8,LayTable[[Dato]:[Dato]],"&lt;="&amp;EOMONTH(P$8,0),LayTable[[Bookmaker]:[Bookmaker]],$A151)+SUMIFS(BetTable[[AR_per_bookie]:[AR_per_bookie]],BetTable[[B1]:[B1]],$A151,BetTable[[Date]:[Date]], "&gt;="&amp;P$8,BetTable[[Date]:[Date]],"&lt;="&amp;EOMONTH(P$8,0))+SUMIFS(BetTable[[AR_per_bookie]:[AR_per_bookie]],BetTable[[B2]:[B2]],$A151,BetTable[[Date]:[Date]], "&gt;="&amp;P$8,BetTable[[Date]:[Date]],"&lt;="&amp;EOMONTH(P$8,0))+SUMIFS(BetTable[[AR_per_bookie]:[AR_per_bookie]],BetTable[[B3]:[B3]],$A151,BetTable[[Date]:[Date]], "&gt;="&amp;P$8,BetTable[[Date]:[Date]],"&lt;="&amp;EOMONTH(P$8,0))</f>
        <v>0</v>
      </c>
      <c r="Q151" s="126">
        <f>SUMIFS(DWbonus[[Sum]:[Sum]],DWbonus[[Dato]:[Dato]], "&gt;="&amp;Q$8,DWbonus[[Dato]:[Dato]],"&lt;="&amp;EOMONTH(Q$8,0),DWbonus[[Bookie]:[Bookie]],$A151)+SUMIFS(LayTable[[Faktisk res]:[Faktisk res]],LayTable[[Dato]:[Dato]],"&gt;="&amp;Q$8,LayTable[[Dato]:[Dato]],"&lt;="&amp;EOMONTH(Q$8,0),LayTable[[Bookmaker]:[Bookmaker]],$A151)+SUMIFS(BetTable[[AR_per_bookie]:[AR_per_bookie]],BetTable[[B1]:[B1]],$A151,BetTable[[Date]:[Date]], "&gt;="&amp;Q$8,BetTable[[Date]:[Date]],"&lt;="&amp;EOMONTH(Q$8,0))+SUMIFS(BetTable[[AR_per_bookie]:[AR_per_bookie]],BetTable[[B2]:[B2]],$A151,BetTable[[Date]:[Date]], "&gt;="&amp;Q$8,BetTable[[Date]:[Date]],"&lt;="&amp;EOMONTH(Q$8,0))+SUMIFS(BetTable[[AR_per_bookie]:[AR_per_bookie]],BetTable[[B3]:[B3]],$A151,BetTable[[Date]:[Date]], "&gt;="&amp;Q$8,BetTable[[Date]:[Date]],"&lt;="&amp;EOMONTH(Q$8,0))</f>
        <v>0</v>
      </c>
      <c r="R151" s="126">
        <f>SUMIFS(DWbonus[[Sum]:[Sum]],DWbonus[[Dato]:[Dato]], "&gt;="&amp;R$8,DWbonus[[Dato]:[Dato]],"&lt;="&amp;EOMONTH(R$8,0),DWbonus[[Bookie]:[Bookie]],$A151)+SUMIFS(LayTable[[Faktisk res]:[Faktisk res]],LayTable[[Dato]:[Dato]],"&gt;="&amp;R$8,LayTable[[Dato]:[Dato]],"&lt;="&amp;EOMONTH(R$8,0),LayTable[[Bookmaker]:[Bookmaker]],$A151)+SUMIFS(BetTable[[AR_per_bookie]:[AR_per_bookie]],BetTable[[B1]:[B1]],$A151,BetTable[[Date]:[Date]], "&gt;="&amp;R$8,BetTable[[Date]:[Date]],"&lt;="&amp;EOMONTH(R$8,0))+SUMIFS(BetTable[[AR_per_bookie]:[AR_per_bookie]],BetTable[[B2]:[B2]],$A151,BetTable[[Date]:[Date]], "&gt;="&amp;R$8,BetTable[[Date]:[Date]],"&lt;="&amp;EOMONTH(R$8,0))+SUMIFS(BetTable[[AR_per_bookie]:[AR_per_bookie]],BetTable[[B3]:[B3]],$A151,BetTable[[Date]:[Date]], "&gt;="&amp;R$8,BetTable[[Date]:[Date]],"&lt;="&amp;EOMONTH(R$8,0))</f>
        <v>0</v>
      </c>
      <c r="S151" s="126">
        <f>SUMIFS(DWbonus[[Sum]:[Sum]],DWbonus[[Dato]:[Dato]], "&gt;="&amp;S$8,DWbonus[[Dato]:[Dato]],"&lt;="&amp;EOMONTH(S$8,0),DWbonus[[Bookie]:[Bookie]],$A151)+SUMIFS(LayTable[[Faktisk res]:[Faktisk res]],LayTable[[Dato]:[Dato]],"&gt;="&amp;S$8,LayTable[[Dato]:[Dato]],"&lt;="&amp;EOMONTH(S$8,0),LayTable[[Bookmaker]:[Bookmaker]],$A151)+SUMIFS(BetTable[[AR_per_bookie]:[AR_per_bookie]],BetTable[[B1]:[B1]],$A151,BetTable[[Date]:[Date]], "&gt;="&amp;S$8,BetTable[[Date]:[Date]],"&lt;="&amp;EOMONTH(S$8,0))+SUMIFS(BetTable[[AR_per_bookie]:[AR_per_bookie]],BetTable[[B2]:[B2]],$A151,BetTable[[Date]:[Date]], "&gt;="&amp;S$8,BetTable[[Date]:[Date]],"&lt;="&amp;EOMONTH(S$8,0))+SUMIFS(BetTable[[AR_per_bookie]:[AR_per_bookie]],BetTable[[B3]:[B3]],$A151,BetTable[[Date]:[Date]], "&gt;="&amp;S$8,BetTable[[Date]:[Date]],"&lt;="&amp;EOMONTH(S$8,0))</f>
        <v>0</v>
      </c>
    </row>
    <row r="152" spans="1:19">
      <c r="A152" s="115">
        <f>BookieNavn!I146</f>
        <v>0</v>
      </c>
      <c r="B152" s="126">
        <f>SUMIF(Penger!D$1:D$50072,A152,Penger!F$1:F$50072)</f>
        <v>0</v>
      </c>
      <c r="C152" s="126">
        <f>SUMIF(Penger!T$1:T$50072,A152,Penger!U$1:U$50072)</f>
        <v>0</v>
      </c>
      <c r="D152" s="126">
        <f ca="1">SUMIF(Spill!C$1:C$499895,A152,Spill!T$1:T$49895)+C152</f>
        <v>0</v>
      </c>
      <c r="E152" s="126">
        <f>SUMIF(Spill!C$1:C$49895,A152,Spill!T$1:T$49895)</f>
        <v>0</v>
      </c>
      <c r="F152" s="121" t="e">
        <f t="shared" ca="1" si="3"/>
        <v>#DIV/0!</v>
      </c>
      <c r="H152" s="126">
        <f>SUMIFS(DWbonus[[Sum]:[Sum]],DWbonus[[Dato]:[Dato]], "&gt;="&amp;H$8,DWbonus[[Dato]:[Dato]],"&lt;="&amp;EOMONTH(H$8,0),DWbonus[[Bookie]:[Bookie]],$A152)+SUMIFS(LayTable[[Faktisk res]:[Faktisk res]],LayTable[[Dato]:[Dato]],"&gt;="&amp;H$8,LayTable[[Dato]:[Dato]],"&lt;="&amp;EOMONTH(H$8,0),LayTable[[Bookmaker]:[Bookmaker]],$A152)+SUMIFS(BetTable[[AR_per_bookie]:[AR_per_bookie]],BetTable[[B1]:[B1]],$A152,BetTable[[Date]:[Date]], "&gt;="&amp;H$8,BetTable[[Date]:[Date]],"&lt;="&amp;EOMONTH(H$8,0))+SUMIFS(BetTable[[AR_per_bookie]:[AR_per_bookie]],BetTable[[B2]:[B2]],$A152,BetTable[[Date]:[Date]], "&gt;="&amp;H$8,BetTable[[Date]:[Date]],"&lt;="&amp;EOMONTH(H$8,0))+SUMIFS(BetTable[[AR_per_bookie]:[AR_per_bookie]],BetTable[[B3]:[B3]],$A152,BetTable[[Date]:[Date]], "&gt;="&amp;H$8,BetTable[[Date]:[Date]],"&lt;="&amp;EOMONTH(H$8,0))</f>
        <v>0</v>
      </c>
      <c r="I152" s="126">
        <f>SUMIFS(DWbonus[[Sum]:[Sum]],DWbonus[[Dato]:[Dato]], "&gt;="&amp;I$8,DWbonus[[Dato]:[Dato]],"&lt;="&amp;EOMONTH(I$8,0),DWbonus[[Bookie]:[Bookie]],$A152)+SUMIFS(LayTable[[Faktisk res]:[Faktisk res]],LayTable[[Dato]:[Dato]],"&gt;="&amp;I$8,LayTable[[Dato]:[Dato]],"&lt;="&amp;EOMONTH(I$8,0),LayTable[[Bookmaker]:[Bookmaker]],$A152)+SUMIFS(BetTable[[AR_per_bookie]:[AR_per_bookie]],BetTable[[B1]:[B1]],$A152,BetTable[[Date]:[Date]], "&gt;="&amp;I$8,BetTable[[Date]:[Date]],"&lt;="&amp;EOMONTH(I$8,0))+SUMIFS(BetTable[[AR_per_bookie]:[AR_per_bookie]],BetTable[[B2]:[B2]],$A152,BetTable[[Date]:[Date]], "&gt;="&amp;I$8,BetTable[[Date]:[Date]],"&lt;="&amp;EOMONTH(I$8,0))+SUMIFS(BetTable[[AR_per_bookie]:[AR_per_bookie]],BetTable[[B3]:[B3]],$A152,BetTable[[Date]:[Date]], "&gt;="&amp;I$8,BetTable[[Date]:[Date]],"&lt;="&amp;EOMONTH(I$8,0))</f>
        <v>0</v>
      </c>
      <c r="J152" s="126">
        <f>SUMIFS(DWbonus[[Sum]:[Sum]],DWbonus[[Dato]:[Dato]], "&gt;="&amp;J$8,DWbonus[[Dato]:[Dato]],"&lt;="&amp;EOMONTH(J$8,0),DWbonus[[Bookie]:[Bookie]],$A152)+SUMIFS(LayTable[[Faktisk res]:[Faktisk res]],LayTable[[Dato]:[Dato]],"&gt;="&amp;J$8,LayTable[[Dato]:[Dato]],"&lt;="&amp;EOMONTH(J$8,0),LayTable[[Bookmaker]:[Bookmaker]],$A152)+SUMIFS(BetTable[[AR_per_bookie]:[AR_per_bookie]],BetTable[[B1]:[B1]],$A152,BetTable[[Date]:[Date]], "&gt;="&amp;J$8,BetTable[[Date]:[Date]],"&lt;="&amp;EOMONTH(J$8,0))+SUMIFS(BetTable[[AR_per_bookie]:[AR_per_bookie]],BetTable[[B2]:[B2]],$A152,BetTable[[Date]:[Date]], "&gt;="&amp;J$8,BetTable[[Date]:[Date]],"&lt;="&amp;EOMONTH(J$8,0))+SUMIFS(BetTable[[AR_per_bookie]:[AR_per_bookie]],BetTable[[B3]:[B3]],$A152,BetTable[[Date]:[Date]], "&gt;="&amp;J$8,BetTable[[Date]:[Date]],"&lt;="&amp;EOMONTH(J$8,0))</f>
        <v>0</v>
      </c>
      <c r="K152" s="126">
        <f>SUMIFS(DWbonus[[Sum]:[Sum]],DWbonus[[Dato]:[Dato]], "&gt;="&amp;K$8,DWbonus[[Dato]:[Dato]],"&lt;="&amp;EOMONTH(K$8,0),DWbonus[[Bookie]:[Bookie]],$A152)+SUMIFS(LayTable[[Faktisk res]:[Faktisk res]],LayTable[[Dato]:[Dato]],"&gt;="&amp;K$8,LayTable[[Dato]:[Dato]],"&lt;="&amp;EOMONTH(K$8,0),LayTable[[Bookmaker]:[Bookmaker]],$A152)+SUMIFS(BetTable[[AR_per_bookie]:[AR_per_bookie]],BetTable[[B1]:[B1]],$A152,BetTable[[Date]:[Date]], "&gt;="&amp;K$8,BetTable[[Date]:[Date]],"&lt;="&amp;EOMONTH(K$8,0))+SUMIFS(BetTable[[AR_per_bookie]:[AR_per_bookie]],BetTable[[B2]:[B2]],$A152,BetTable[[Date]:[Date]], "&gt;="&amp;K$8,BetTable[[Date]:[Date]],"&lt;="&amp;EOMONTH(K$8,0))+SUMIFS(BetTable[[AR_per_bookie]:[AR_per_bookie]],BetTable[[B3]:[B3]],$A152,BetTable[[Date]:[Date]], "&gt;="&amp;K$8,BetTable[[Date]:[Date]],"&lt;="&amp;EOMONTH(K$8,0))</f>
        <v>0</v>
      </c>
      <c r="L152" s="126">
        <f>SUMIFS(DWbonus[[Sum]:[Sum]],DWbonus[[Dato]:[Dato]], "&gt;="&amp;L$8,DWbonus[[Dato]:[Dato]],"&lt;="&amp;EOMONTH(L$8,0),DWbonus[[Bookie]:[Bookie]],$A152)+SUMIFS(LayTable[[Faktisk res]:[Faktisk res]],LayTable[[Dato]:[Dato]],"&gt;="&amp;L$8,LayTable[[Dato]:[Dato]],"&lt;="&amp;EOMONTH(L$8,0),LayTable[[Bookmaker]:[Bookmaker]],$A152)+SUMIFS(BetTable[[AR_per_bookie]:[AR_per_bookie]],BetTable[[B1]:[B1]],$A152,BetTable[[Date]:[Date]], "&gt;="&amp;L$8,BetTable[[Date]:[Date]],"&lt;="&amp;EOMONTH(L$8,0))+SUMIFS(BetTable[[AR_per_bookie]:[AR_per_bookie]],BetTable[[B2]:[B2]],$A152,BetTable[[Date]:[Date]], "&gt;="&amp;L$8,BetTable[[Date]:[Date]],"&lt;="&amp;EOMONTH(L$8,0))+SUMIFS(BetTable[[AR_per_bookie]:[AR_per_bookie]],BetTable[[B3]:[B3]],$A152,BetTable[[Date]:[Date]], "&gt;="&amp;L$8,BetTable[[Date]:[Date]],"&lt;="&amp;EOMONTH(L$8,0))</f>
        <v>0</v>
      </c>
      <c r="M152" s="126">
        <f>SUMIFS(DWbonus[[Sum]:[Sum]],DWbonus[[Dato]:[Dato]], "&gt;="&amp;M$8,DWbonus[[Dato]:[Dato]],"&lt;="&amp;EOMONTH(M$8,0),DWbonus[[Bookie]:[Bookie]],$A152)+SUMIFS(LayTable[[Faktisk res]:[Faktisk res]],LayTable[[Dato]:[Dato]],"&gt;="&amp;M$8,LayTable[[Dato]:[Dato]],"&lt;="&amp;EOMONTH(M$8,0),LayTable[[Bookmaker]:[Bookmaker]],$A152)+SUMIFS(BetTable[[AR_per_bookie]:[AR_per_bookie]],BetTable[[B1]:[B1]],$A152,BetTable[[Date]:[Date]], "&gt;="&amp;M$8,BetTable[[Date]:[Date]],"&lt;="&amp;EOMONTH(M$8,0))+SUMIFS(BetTable[[AR_per_bookie]:[AR_per_bookie]],BetTable[[B2]:[B2]],$A152,BetTable[[Date]:[Date]], "&gt;="&amp;M$8,BetTable[[Date]:[Date]],"&lt;="&amp;EOMONTH(M$8,0))+SUMIFS(BetTable[[AR_per_bookie]:[AR_per_bookie]],BetTable[[B3]:[B3]],$A152,BetTable[[Date]:[Date]], "&gt;="&amp;M$8,BetTable[[Date]:[Date]],"&lt;="&amp;EOMONTH(M$8,0))</f>
        <v>0</v>
      </c>
      <c r="N152" s="126">
        <f>SUMIFS(DWbonus[[Sum]:[Sum]],DWbonus[[Dato]:[Dato]], "&gt;="&amp;N$8,DWbonus[[Dato]:[Dato]],"&lt;="&amp;EOMONTH(N$8,0),DWbonus[[Bookie]:[Bookie]],$A152)+SUMIFS(LayTable[[Faktisk res]:[Faktisk res]],LayTable[[Dato]:[Dato]],"&gt;="&amp;N$8,LayTable[[Dato]:[Dato]],"&lt;="&amp;EOMONTH(N$8,0),LayTable[[Bookmaker]:[Bookmaker]],$A152)+SUMIFS(BetTable[[AR_per_bookie]:[AR_per_bookie]],BetTable[[B1]:[B1]],$A152,BetTable[[Date]:[Date]], "&gt;="&amp;N$8,BetTable[[Date]:[Date]],"&lt;="&amp;EOMONTH(N$8,0))+SUMIFS(BetTable[[AR_per_bookie]:[AR_per_bookie]],BetTable[[B2]:[B2]],$A152,BetTable[[Date]:[Date]], "&gt;="&amp;N$8,BetTable[[Date]:[Date]],"&lt;="&amp;EOMONTH(N$8,0))+SUMIFS(BetTable[[AR_per_bookie]:[AR_per_bookie]],BetTable[[B3]:[B3]],$A152,BetTable[[Date]:[Date]], "&gt;="&amp;N$8,BetTable[[Date]:[Date]],"&lt;="&amp;EOMONTH(N$8,0))</f>
        <v>0</v>
      </c>
      <c r="O152" s="126">
        <f>SUMIFS(DWbonus[[Sum]:[Sum]],DWbonus[[Dato]:[Dato]], "&gt;="&amp;O$8,DWbonus[[Dato]:[Dato]],"&lt;="&amp;EOMONTH(O$8,0),DWbonus[[Bookie]:[Bookie]],$A152)+SUMIFS(LayTable[[Faktisk res]:[Faktisk res]],LayTable[[Dato]:[Dato]],"&gt;="&amp;O$8,LayTable[[Dato]:[Dato]],"&lt;="&amp;EOMONTH(O$8,0),LayTable[[Bookmaker]:[Bookmaker]],$A152)+SUMIFS(BetTable[[AR_per_bookie]:[AR_per_bookie]],BetTable[[B1]:[B1]],$A152,BetTable[[Date]:[Date]], "&gt;="&amp;O$8,BetTable[[Date]:[Date]],"&lt;="&amp;EOMONTH(O$8,0))+SUMIFS(BetTable[[AR_per_bookie]:[AR_per_bookie]],BetTable[[B2]:[B2]],$A152,BetTable[[Date]:[Date]], "&gt;="&amp;O$8,BetTable[[Date]:[Date]],"&lt;="&amp;EOMONTH(O$8,0))+SUMIFS(BetTable[[AR_per_bookie]:[AR_per_bookie]],BetTable[[B3]:[B3]],$A152,BetTable[[Date]:[Date]], "&gt;="&amp;O$8,BetTable[[Date]:[Date]],"&lt;="&amp;EOMONTH(O$8,0))</f>
        <v>0</v>
      </c>
      <c r="P152" s="126">
        <f>SUMIFS(DWbonus[[Sum]:[Sum]],DWbonus[[Dato]:[Dato]], "&gt;="&amp;P$8,DWbonus[[Dato]:[Dato]],"&lt;="&amp;EOMONTH(P$8,0),DWbonus[[Bookie]:[Bookie]],$A152)+SUMIFS(LayTable[[Faktisk res]:[Faktisk res]],LayTable[[Dato]:[Dato]],"&gt;="&amp;P$8,LayTable[[Dato]:[Dato]],"&lt;="&amp;EOMONTH(P$8,0),LayTable[[Bookmaker]:[Bookmaker]],$A152)+SUMIFS(BetTable[[AR_per_bookie]:[AR_per_bookie]],BetTable[[B1]:[B1]],$A152,BetTable[[Date]:[Date]], "&gt;="&amp;P$8,BetTable[[Date]:[Date]],"&lt;="&amp;EOMONTH(P$8,0))+SUMIFS(BetTable[[AR_per_bookie]:[AR_per_bookie]],BetTable[[B2]:[B2]],$A152,BetTable[[Date]:[Date]], "&gt;="&amp;P$8,BetTable[[Date]:[Date]],"&lt;="&amp;EOMONTH(P$8,0))+SUMIFS(BetTable[[AR_per_bookie]:[AR_per_bookie]],BetTable[[B3]:[B3]],$A152,BetTable[[Date]:[Date]], "&gt;="&amp;P$8,BetTable[[Date]:[Date]],"&lt;="&amp;EOMONTH(P$8,0))</f>
        <v>0</v>
      </c>
      <c r="Q152" s="126">
        <f>SUMIFS(DWbonus[[Sum]:[Sum]],DWbonus[[Dato]:[Dato]], "&gt;="&amp;Q$8,DWbonus[[Dato]:[Dato]],"&lt;="&amp;EOMONTH(Q$8,0),DWbonus[[Bookie]:[Bookie]],$A152)+SUMIFS(LayTable[[Faktisk res]:[Faktisk res]],LayTable[[Dato]:[Dato]],"&gt;="&amp;Q$8,LayTable[[Dato]:[Dato]],"&lt;="&amp;EOMONTH(Q$8,0),LayTable[[Bookmaker]:[Bookmaker]],$A152)+SUMIFS(BetTable[[AR_per_bookie]:[AR_per_bookie]],BetTable[[B1]:[B1]],$A152,BetTable[[Date]:[Date]], "&gt;="&amp;Q$8,BetTable[[Date]:[Date]],"&lt;="&amp;EOMONTH(Q$8,0))+SUMIFS(BetTable[[AR_per_bookie]:[AR_per_bookie]],BetTable[[B2]:[B2]],$A152,BetTable[[Date]:[Date]], "&gt;="&amp;Q$8,BetTable[[Date]:[Date]],"&lt;="&amp;EOMONTH(Q$8,0))+SUMIFS(BetTable[[AR_per_bookie]:[AR_per_bookie]],BetTable[[B3]:[B3]],$A152,BetTable[[Date]:[Date]], "&gt;="&amp;Q$8,BetTable[[Date]:[Date]],"&lt;="&amp;EOMONTH(Q$8,0))</f>
        <v>0</v>
      </c>
      <c r="R152" s="126">
        <f>SUMIFS(DWbonus[[Sum]:[Sum]],DWbonus[[Dato]:[Dato]], "&gt;="&amp;R$8,DWbonus[[Dato]:[Dato]],"&lt;="&amp;EOMONTH(R$8,0),DWbonus[[Bookie]:[Bookie]],$A152)+SUMIFS(LayTable[[Faktisk res]:[Faktisk res]],LayTable[[Dato]:[Dato]],"&gt;="&amp;R$8,LayTable[[Dato]:[Dato]],"&lt;="&amp;EOMONTH(R$8,0),LayTable[[Bookmaker]:[Bookmaker]],$A152)+SUMIFS(BetTable[[AR_per_bookie]:[AR_per_bookie]],BetTable[[B1]:[B1]],$A152,BetTable[[Date]:[Date]], "&gt;="&amp;R$8,BetTable[[Date]:[Date]],"&lt;="&amp;EOMONTH(R$8,0))+SUMIFS(BetTable[[AR_per_bookie]:[AR_per_bookie]],BetTable[[B2]:[B2]],$A152,BetTable[[Date]:[Date]], "&gt;="&amp;R$8,BetTable[[Date]:[Date]],"&lt;="&amp;EOMONTH(R$8,0))+SUMIFS(BetTable[[AR_per_bookie]:[AR_per_bookie]],BetTable[[B3]:[B3]],$A152,BetTable[[Date]:[Date]], "&gt;="&amp;R$8,BetTable[[Date]:[Date]],"&lt;="&amp;EOMONTH(R$8,0))</f>
        <v>0</v>
      </c>
      <c r="S152" s="126">
        <f>SUMIFS(DWbonus[[Sum]:[Sum]],DWbonus[[Dato]:[Dato]], "&gt;="&amp;S$8,DWbonus[[Dato]:[Dato]],"&lt;="&amp;EOMONTH(S$8,0),DWbonus[[Bookie]:[Bookie]],$A152)+SUMIFS(LayTable[[Faktisk res]:[Faktisk res]],LayTable[[Dato]:[Dato]],"&gt;="&amp;S$8,LayTable[[Dato]:[Dato]],"&lt;="&amp;EOMONTH(S$8,0),LayTable[[Bookmaker]:[Bookmaker]],$A152)+SUMIFS(BetTable[[AR_per_bookie]:[AR_per_bookie]],BetTable[[B1]:[B1]],$A152,BetTable[[Date]:[Date]], "&gt;="&amp;S$8,BetTable[[Date]:[Date]],"&lt;="&amp;EOMONTH(S$8,0))+SUMIFS(BetTable[[AR_per_bookie]:[AR_per_bookie]],BetTable[[B2]:[B2]],$A152,BetTable[[Date]:[Date]], "&gt;="&amp;S$8,BetTable[[Date]:[Date]],"&lt;="&amp;EOMONTH(S$8,0))+SUMIFS(BetTable[[AR_per_bookie]:[AR_per_bookie]],BetTable[[B3]:[B3]],$A152,BetTable[[Date]:[Date]], "&gt;="&amp;S$8,BetTable[[Date]:[Date]],"&lt;="&amp;EOMONTH(S$8,0))</f>
        <v>0</v>
      </c>
    </row>
    <row r="153" spans="1:19">
      <c r="A153" s="115">
        <f>BookieNavn!I147</f>
        <v>0</v>
      </c>
      <c r="B153" s="126">
        <f>SUMIF(Penger!D$1:D$50072,A153,Penger!F$1:F$50072)</f>
        <v>0</v>
      </c>
      <c r="C153" s="126">
        <f>SUMIF(Penger!T$1:T$50072,A153,Penger!U$1:U$50072)</f>
        <v>0</v>
      </c>
      <c r="D153" s="126">
        <f ca="1">SUMIF(Spill!C$1:C$499895,A153,Spill!T$1:T$49895)+C153</f>
        <v>0</v>
      </c>
      <c r="E153" s="126">
        <f>SUMIF(Spill!C$1:C$49895,A153,Spill!T$1:T$49895)</f>
        <v>0</v>
      </c>
      <c r="F153" s="121" t="e">
        <f t="shared" ca="1" si="3"/>
        <v>#DIV/0!</v>
      </c>
      <c r="H153" s="126">
        <f>SUMIFS(DWbonus[[Sum]:[Sum]],DWbonus[[Dato]:[Dato]], "&gt;="&amp;H$8,DWbonus[[Dato]:[Dato]],"&lt;="&amp;EOMONTH(H$8,0),DWbonus[[Bookie]:[Bookie]],$A153)+SUMIFS(LayTable[[Faktisk res]:[Faktisk res]],LayTable[[Dato]:[Dato]],"&gt;="&amp;H$8,LayTable[[Dato]:[Dato]],"&lt;="&amp;EOMONTH(H$8,0),LayTable[[Bookmaker]:[Bookmaker]],$A153)+SUMIFS(BetTable[[AR_per_bookie]:[AR_per_bookie]],BetTable[[B1]:[B1]],$A153,BetTable[[Date]:[Date]], "&gt;="&amp;H$8,BetTable[[Date]:[Date]],"&lt;="&amp;EOMONTH(H$8,0))+SUMIFS(BetTable[[AR_per_bookie]:[AR_per_bookie]],BetTable[[B2]:[B2]],$A153,BetTable[[Date]:[Date]], "&gt;="&amp;H$8,BetTable[[Date]:[Date]],"&lt;="&amp;EOMONTH(H$8,0))+SUMIFS(BetTable[[AR_per_bookie]:[AR_per_bookie]],BetTable[[B3]:[B3]],$A153,BetTable[[Date]:[Date]], "&gt;="&amp;H$8,BetTable[[Date]:[Date]],"&lt;="&amp;EOMONTH(H$8,0))</f>
        <v>0</v>
      </c>
      <c r="I153" s="126">
        <f>SUMIFS(DWbonus[[Sum]:[Sum]],DWbonus[[Dato]:[Dato]], "&gt;="&amp;I$8,DWbonus[[Dato]:[Dato]],"&lt;="&amp;EOMONTH(I$8,0),DWbonus[[Bookie]:[Bookie]],$A153)+SUMIFS(LayTable[[Faktisk res]:[Faktisk res]],LayTable[[Dato]:[Dato]],"&gt;="&amp;I$8,LayTable[[Dato]:[Dato]],"&lt;="&amp;EOMONTH(I$8,0),LayTable[[Bookmaker]:[Bookmaker]],$A153)+SUMIFS(BetTable[[AR_per_bookie]:[AR_per_bookie]],BetTable[[B1]:[B1]],$A153,BetTable[[Date]:[Date]], "&gt;="&amp;I$8,BetTable[[Date]:[Date]],"&lt;="&amp;EOMONTH(I$8,0))+SUMIFS(BetTable[[AR_per_bookie]:[AR_per_bookie]],BetTable[[B2]:[B2]],$A153,BetTable[[Date]:[Date]], "&gt;="&amp;I$8,BetTable[[Date]:[Date]],"&lt;="&amp;EOMONTH(I$8,0))+SUMIFS(BetTable[[AR_per_bookie]:[AR_per_bookie]],BetTable[[B3]:[B3]],$A153,BetTable[[Date]:[Date]], "&gt;="&amp;I$8,BetTable[[Date]:[Date]],"&lt;="&amp;EOMONTH(I$8,0))</f>
        <v>0</v>
      </c>
      <c r="J153" s="126">
        <f>SUMIFS(DWbonus[[Sum]:[Sum]],DWbonus[[Dato]:[Dato]], "&gt;="&amp;J$8,DWbonus[[Dato]:[Dato]],"&lt;="&amp;EOMONTH(J$8,0),DWbonus[[Bookie]:[Bookie]],$A153)+SUMIFS(LayTable[[Faktisk res]:[Faktisk res]],LayTable[[Dato]:[Dato]],"&gt;="&amp;J$8,LayTable[[Dato]:[Dato]],"&lt;="&amp;EOMONTH(J$8,0),LayTable[[Bookmaker]:[Bookmaker]],$A153)+SUMIFS(BetTable[[AR_per_bookie]:[AR_per_bookie]],BetTable[[B1]:[B1]],$A153,BetTable[[Date]:[Date]], "&gt;="&amp;J$8,BetTable[[Date]:[Date]],"&lt;="&amp;EOMONTH(J$8,0))+SUMIFS(BetTable[[AR_per_bookie]:[AR_per_bookie]],BetTable[[B2]:[B2]],$A153,BetTable[[Date]:[Date]], "&gt;="&amp;J$8,BetTable[[Date]:[Date]],"&lt;="&amp;EOMONTH(J$8,0))+SUMIFS(BetTable[[AR_per_bookie]:[AR_per_bookie]],BetTable[[B3]:[B3]],$A153,BetTable[[Date]:[Date]], "&gt;="&amp;J$8,BetTable[[Date]:[Date]],"&lt;="&amp;EOMONTH(J$8,0))</f>
        <v>0</v>
      </c>
      <c r="K153" s="126">
        <f>SUMIFS(DWbonus[[Sum]:[Sum]],DWbonus[[Dato]:[Dato]], "&gt;="&amp;K$8,DWbonus[[Dato]:[Dato]],"&lt;="&amp;EOMONTH(K$8,0),DWbonus[[Bookie]:[Bookie]],$A153)+SUMIFS(LayTable[[Faktisk res]:[Faktisk res]],LayTable[[Dato]:[Dato]],"&gt;="&amp;K$8,LayTable[[Dato]:[Dato]],"&lt;="&amp;EOMONTH(K$8,0),LayTable[[Bookmaker]:[Bookmaker]],$A153)+SUMIFS(BetTable[[AR_per_bookie]:[AR_per_bookie]],BetTable[[B1]:[B1]],$A153,BetTable[[Date]:[Date]], "&gt;="&amp;K$8,BetTable[[Date]:[Date]],"&lt;="&amp;EOMONTH(K$8,0))+SUMIFS(BetTable[[AR_per_bookie]:[AR_per_bookie]],BetTable[[B2]:[B2]],$A153,BetTable[[Date]:[Date]], "&gt;="&amp;K$8,BetTable[[Date]:[Date]],"&lt;="&amp;EOMONTH(K$8,0))+SUMIFS(BetTable[[AR_per_bookie]:[AR_per_bookie]],BetTable[[B3]:[B3]],$A153,BetTable[[Date]:[Date]], "&gt;="&amp;K$8,BetTable[[Date]:[Date]],"&lt;="&amp;EOMONTH(K$8,0))</f>
        <v>0</v>
      </c>
      <c r="L153" s="126">
        <f>SUMIFS(DWbonus[[Sum]:[Sum]],DWbonus[[Dato]:[Dato]], "&gt;="&amp;L$8,DWbonus[[Dato]:[Dato]],"&lt;="&amp;EOMONTH(L$8,0),DWbonus[[Bookie]:[Bookie]],$A153)+SUMIFS(LayTable[[Faktisk res]:[Faktisk res]],LayTable[[Dato]:[Dato]],"&gt;="&amp;L$8,LayTable[[Dato]:[Dato]],"&lt;="&amp;EOMONTH(L$8,0),LayTable[[Bookmaker]:[Bookmaker]],$A153)+SUMIFS(BetTable[[AR_per_bookie]:[AR_per_bookie]],BetTable[[B1]:[B1]],$A153,BetTable[[Date]:[Date]], "&gt;="&amp;L$8,BetTable[[Date]:[Date]],"&lt;="&amp;EOMONTH(L$8,0))+SUMIFS(BetTable[[AR_per_bookie]:[AR_per_bookie]],BetTable[[B2]:[B2]],$A153,BetTable[[Date]:[Date]], "&gt;="&amp;L$8,BetTable[[Date]:[Date]],"&lt;="&amp;EOMONTH(L$8,0))+SUMIFS(BetTable[[AR_per_bookie]:[AR_per_bookie]],BetTable[[B3]:[B3]],$A153,BetTable[[Date]:[Date]], "&gt;="&amp;L$8,BetTable[[Date]:[Date]],"&lt;="&amp;EOMONTH(L$8,0))</f>
        <v>0</v>
      </c>
      <c r="M153" s="126">
        <f>SUMIFS(DWbonus[[Sum]:[Sum]],DWbonus[[Dato]:[Dato]], "&gt;="&amp;M$8,DWbonus[[Dato]:[Dato]],"&lt;="&amp;EOMONTH(M$8,0),DWbonus[[Bookie]:[Bookie]],$A153)+SUMIFS(LayTable[[Faktisk res]:[Faktisk res]],LayTable[[Dato]:[Dato]],"&gt;="&amp;M$8,LayTable[[Dato]:[Dato]],"&lt;="&amp;EOMONTH(M$8,0),LayTable[[Bookmaker]:[Bookmaker]],$A153)+SUMIFS(BetTable[[AR_per_bookie]:[AR_per_bookie]],BetTable[[B1]:[B1]],$A153,BetTable[[Date]:[Date]], "&gt;="&amp;M$8,BetTable[[Date]:[Date]],"&lt;="&amp;EOMONTH(M$8,0))+SUMIFS(BetTable[[AR_per_bookie]:[AR_per_bookie]],BetTable[[B2]:[B2]],$A153,BetTable[[Date]:[Date]], "&gt;="&amp;M$8,BetTable[[Date]:[Date]],"&lt;="&amp;EOMONTH(M$8,0))+SUMIFS(BetTable[[AR_per_bookie]:[AR_per_bookie]],BetTable[[B3]:[B3]],$A153,BetTable[[Date]:[Date]], "&gt;="&amp;M$8,BetTable[[Date]:[Date]],"&lt;="&amp;EOMONTH(M$8,0))</f>
        <v>0</v>
      </c>
      <c r="N153" s="126">
        <f>SUMIFS(DWbonus[[Sum]:[Sum]],DWbonus[[Dato]:[Dato]], "&gt;="&amp;N$8,DWbonus[[Dato]:[Dato]],"&lt;="&amp;EOMONTH(N$8,0),DWbonus[[Bookie]:[Bookie]],$A153)+SUMIFS(LayTable[[Faktisk res]:[Faktisk res]],LayTable[[Dato]:[Dato]],"&gt;="&amp;N$8,LayTable[[Dato]:[Dato]],"&lt;="&amp;EOMONTH(N$8,0),LayTable[[Bookmaker]:[Bookmaker]],$A153)+SUMIFS(BetTable[[AR_per_bookie]:[AR_per_bookie]],BetTable[[B1]:[B1]],$A153,BetTable[[Date]:[Date]], "&gt;="&amp;N$8,BetTable[[Date]:[Date]],"&lt;="&amp;EOMONTH(N$8,0))+SUMIFS(BetTable[[AR_per_bookie]:[AR_per_bookie]],BetTable[[B2]:[B2]],$A153,BetTable[[Date]:[Date]], "&gt;="&amp;N$8,BetTable[[Date]:[Date]],"&lt;="&amp;EOMONTH(N$8,0))+SUMIFS(BetTable[[AR_per_bookie]:[AR_per_bookie]],BetTable[[B3]:[B3]],$A153,BetTable[[Date]:[Date]], "&gt;="&amp;N$8,BetTable[[Date]:[Date]],"&lt;="&amp;EOMONTH(N$8,0))</f>
        <v>0</v>
      </c>
      <c r="O153" s="126">
        <f>SUMIFS(DWbonus[[Sum]:[Sum]],DWbonus[[Dato]:[Dato]], "&gt;="&amp;O$8,DWbonus[[Dato]:[Dato]],"&lt;="&amp;EOMONTH(O$8,0),DWbonus[[Bookie]:[Bookie]],$A153)+SUMIFS(LayTable[[Faktisk res]:[Faktisk res]],LayTable[[Dato]:[Dato]],"&gt;="&amp;O$8,LayTable[[Dato]:[Dato]],"&lt;="&amp;EOMONTH(O$8,0),LayTable[[Bookmaker]:[Bookmaker]],$A153)+SUMIFS(BetTable[[AR_per_bookie]:[AR_per_bookie]],BetTable[[B1]:[B1]],$A153,BetTable[[Date]:[Date]], "&gt;="&amp;O$8,BetTable[[Date]:[Date]],"&lt;="&amp;EOMONTH(O$8,0))+SUMIFS(BetTable[[AR_per_bookie]:[AR_per_bookie]],BetTable[[B2]:[B2]],$A153,BetTable[[Date]:[Date]], "&gt;="&amp;O$8,BetTable[[Date]:[Date]],"&lt;="&amp;EOMONTH(O$8,0))+SUMIFS(BetTable[[AR_per_bookie]:[AR_per_bookie]],BetTable[[B3]:[B3]],$A153,BetTable[[Date]:[Date]], "&gt;="&amp;O$8,BetTable[[Date]:[Date]],"&lt;="&amp;EOMONTH(O$8,0))</f>
        <v>0</v>
      </c>
      <c r="P153" s="126">
        <f>SUMIFS(DWbonus[[Sum]:[Sum]],DWbonus[[Dato]:[Dato]], "&gt;="&amp;P$8,DWbonus[[Dato]:[Dato]],"&lt;="&amp;EOMONTH(P$8,0),DWbonus[[Bookie]:[Bookie]],$A153)+SUMIFS(LayTable[[Faktisk res]:[Faktisk res]],LayTable[[Dato]:[Dato]],"&gt;="&amp;P$8,LayTable[[Dato]:[Dato]],"&lt;="&amp;EOMONTH(P$8,0),LayTable[[Bookmaker]:[Bookmaker]],$A153)+SUMIFS(BetTable[[AR_per_bookie]:[AR_per_bookie]],BetTable[[B1]:[B1]],$A153,BetTable[[Date]:[Date]], "&gt;="&amp;P$8,BetTable[[Date]:[Date]],"&lt;="&amp;EOMONTH(P$8,0))+SUMIFS(BetTable[[AR_per_bookie]:[AR_per_bookie]],BetTable[[B2]:[B2]],$A153,BetTable[[Date]:[Date]], "&gt;="&amp;P$8,BetTable[[Date]:[Date]],"&lt;="&amp;EOMONTH(P$8,0))+SUMIFS(BetTable[[AR_per_bookie]:[AR_per_bookie]],BetTable[[B3]:[B3]],$A153,BetTable[[Date]:[Date]], "&gt;="&amp;P$8,BetTable[[Date]:[Date]],"&lt;="&amp;EOMONTH(P$8,0))</f>
        <v>0</v>
      </c>
      <c r="Q153" s="126">
        <f>SUMIFS(DWbonus[[Sum]:[Sum]],DWbonus[[Dato]:[Dato]], "&gt;="&amp;Q$8,DWbonus[[Dato]:[Dato]],"&lt;="&amp;EOMONTH(Q$8,0),DWbonus[[Bookie]:[Bookie]],$A153)+SUMIFS(LayTable[[Faktisk res]:[Faktisk res]],LayTable[[Dato]:[Dato]],"&gt;="&amp;Q$8,LayTable[[Dato]:[Dato]],"&lt;="&amp;EOMONTH(Q$8,0),LayTable[[Bookmaker]:[Bookmaker]],$A153)+SUMIFS(BetTable[[AR_per_bookie]:[AR_per_bookie]],BetTable[[B1]:[B1]],$A153,BetTable[[Date]:[Date]], "&gt;="&amp;Q$8,BetTable[[Date]:[Date]],"&lt;="&amp;EOMONTH(Q$8,0))+SUMIFS(BetTable[[AR_per_bookie]:[AR_per_bookie]],BetTable[[B2]:[B2]],$A153,BetTable[[Date]:[Date]], "&gt;="&amp;Q$8,BetTable[[Date]:[Date]],"&lt;="&amp;EOMONTH(Q$8,0))+SUMIFS(BetTable[[AR_per_bookie]:[AR_per_bookie]],BetTable[[B3]:[B3]],$A153,BetTable[[Date]:[Date]], "&gt;="&amp;Q$8,BetTable[[Date]:[Date]],"&lt;="&amp;EOMONTH(Q$8,0))</f>
        <v>0</v>
      </c>
      <c r="R153" s="126">
        <f>SUMIFS(DWbonus[[Sum]:[Sum]],DWbonus[[Dato]:[Dato]], "&gt;="&amp;R$8,DWbonus[[Dato]:[Dato]],"&lt;="&amp;EOMONTH(R$8,0),DWbonus[[Bookie]:[Bookie]],$A153)+SUMIFS(LayTable[[Faktisk res]:[Faktisk res]],LayTable[[Dato]:[Dato]],"&gt;="&amp;R$8,LayTable[[Dato]:[Dato]],"&lt;="&amp;EOMONTH(R$8,0),LayTable[[Bookmaker]:[Bookmaker]],$A153)+SUMIFS(BetTable[[AR_per_bookie]:[AR_per_bookie]],BetTable[[B1]:[B1]],$A153,BetTable[[Date]:[Date]], "&gt;="&amp;R$8,BetTable[[Date]:[Date]],"&lt;="&amp;EOMONTH(R$8,0))+SUMIFS(BetTable[[AR_per_bookie]:[AR_per_bookie]],BetTable[[B2]:[B2]],$A153,BetTable[[Date]:[Date]], "&gt;="&amp;R$8,BetTable[[Date]:[Date]],"&lt;="&amp;EOMONTH(R$8,0))+SUMIFS(BetTable[[AR_per_bookie]:[AR_per_bookie]],BetTable[[B3]:[B3]],$A153,BetTable[[Date]:[Date]], "&gt;="&amp;R$8,BetTable[[Date]:[Date]],"&lt;="&amp;EOMONTH(R$8,0))</f>
        <v>0</v>
      </c>
      <c r="S153" s="126">
        <f>SUMIFS(DWbonus[[Sum]:[Sum]],DWbonus[[Dato]:[Dato]], "&gt;="&amp;S$8,DWbonus[[Dato]:[Dato]],"&lt;="&amp;EOMONTH(S$8,0),DWbonus[[Bookie]:[Bookie]],$A153)+SUMIFS(LayTable[[Faktisk res]:[Faktisk res]],LayTable[[Dato]:[Dato]],"&gt;="&amp;S$8,LayTable[[Dato]:[Dato]],"&lt;="&amp;EOMONTH(S$8,0),LayTable[[Bookmaker]:[Bookmaker]],$A153)+SUMIFS(BetTable[[AR_per_bookie]:[AR_per_bookie]],BetTable[[B1]:[B1]],$A153,BetTable[[Date]:[Date]], "&gt;="&amp;S$8,BetTable[[Date]:[Date]],"&lt;="&amp;EOMONTH(S$8,0))+SUMIFS(BetTable[[AR_per_bookie]:[AR_per_bookie]],BetTable[[B2]:[B2]],$A153,BetTable[[Date]:[Date]], "&gt;="&amp;S$8,BetTable[[Date]:[Date]],"&lt;="&amp;EOMONTH(S$8,0))+SUMIFS(BetTable[[AR_per_bookie]:[AR_per_bookie]],BetTable[[B3]:[B3]],$A153,BetTable[[Date]:[Date]], "&gt;="&amp;S$8,BetTable[[Date]:[Date]],"&lt;="&amp;EOMONTH(S$8,0))</f>
        <v>0</v>
      </c>
    </row>
    <row r="154" spans="1:19">
      <c r="A154" s="115">
        <f>BookieNavn!I148</f>
        <v>0</v>
      </c>
      <c r="B154" s="126">
        <f>SUMIF(Penger!D$1:D$50072,A154,Penger!F$1:F$50072)</f>
        <v>0</v>
      </c>
      <c r="C154" s="126">
        <f>SUMIF(Penger!T$1:T$50072,A154,Penger!U$1:U$50072)</f>
        <v>0</v>
      </c>
      <c r="D154" s="126">
        <f ca="1">SUMIF(Spill!C$1:C$499895,A154,Spill!T$1:T$49895)+C154</f>
        <v>0</v>
      </c>
      <c r="E154" s="126">
        <f>SUMIF(Spill!C$1:C$49895,A154,Spill!T$1:T$49895)</f>
        <v>0</v>
      </c>
      <c r="F154" s="121" t="e">
        <f t="shared" ca="1" si="3"/>
        <v>#DIV/0!</v>
      </c>
      <c r="H154" s="126">
        <f>SUMIFS(DWbonus[[Sum]:[Sum]],DWbonus[[Dato]:[Dato]], "&gt;="&amp;H$8,DWbonus[[Dato]:[Dato]],"&lt;="&amp;EOMONTH(H$8,0),DWbonus[[Bookie]:[Bookie]],$A154)+SUMIFS(LayTable[[Faktisk res]:[Faktisk res]],LayTable[[Dato]:[Dato]],"&gt;="&amp;H$8,LayTable[[Dato]:[Dato]],"&lt;="&amp;EOMONTH(H$8,0),LayTable[[Bookmaker]:[Bookmaker]],$A154)+SUMIFS(BetTable[[AR_per_bookie]:[AR_per_bookie]],BetTable[[B1]:[B1]],$A154,BetTable[[Date]:[Date]], "&gt;="&amp;H$8,BetTable[[Date]:[Date]],"&lt;="&amp;EOMONTH(H$8,0))+SUMIFS(BetTable[[AR_per_bookie]:[AR_per_bookie]],BetTable[[B2]:[B2]],$A154,BetTable[[Date]:[Date]], "&gt;="&amp;H$8,BetTable[[Date]:[Date]],"&lt;="&amp;EOMONTH(H$8,0))+SUMIFS(BetTable[[AR_per_bookie]:[AR_per_bookie]],BetTable[[B3]:[B3]],$A154,BetTable[[Date]:[Date]], "&gt;="&amp;H$8,BetTable[[Date]:[Date]],"&lt;="&amp;EOMONTH(H$8,0))</f>
        <v>0</v>
      </c>
      <c r="I154" s="126">
        <f>SUMIFS(DWbonus[[Sum]:[Sum]],DWbonus[[Dato]:[Dato]], "&gt;="&amp;I$8,DWbonus[[Dato]:[Dato]],"&lt;="&amp;EOMONTH(I$8,0),DWbonus[[Bookie]:[Bookie]],$A154)+SUMIFS(LayTable[[Faktisk res]:[Faktisk res]],LayTable[[Dato]:[Dato]],"&gt;="&amp;I$8,LayTable[[Dato]:[Dato]],"&lt;="&amp;EOMONTH(I$8,0),LayTable[[Bookmaker]:[Bookmaker]],$A154)+SUMIFS(BetTable[[AR_per_bookie]:[AR_per_bookie]],BetTable[[B1]:[B1]],$A154,BetTable[[Date]:[Date]], "&gt;="&amp;I$8,BetTable[[Date]:[Date]],"&lt;="&amp;EOMONTH(I$8,0))+SUMIFS(BetTable[[AR_per_bookie]:[AR_per_bookie]],BetTable[[B2]:[B2]],$A154,BetTable[[Date]:[Date]], "&gt;="&amp;I$8,BetTable[[Date]:[Date]],"&lt;="&amp;EOMONTH(I$8,0))+SUMIFS(BetTable[[AR_per_bookie]:[AR_per_bookie]],BetTable[[B3]:[B3]],$A154,BetTable[[Date]:[Date]], "&gt;="&amp;I$8,BetTable[[Date]:[Date]],"&lt;="&amp;EOMONTH(I$8,0))</f>
        <v>0</v>
      </c>
      <c r="J154" s="126">
        <f>SUMIFS(DWbonus[[Sum]:[Sum]],DWbonus[[Dato]:[Dato]], "&gt;="&amp;J$8,DWbonus[[Dato]:[Dato]],"&lt;="&amp;EOMONTH(J$8,0),DWbonus[[Bookie]:[Bookie]],$A154)+SUMIFS(LayTable[[Faktisk res]:[Faktisk res]],LayTable[[Dato]:[Dato]],"&gt;="&amp;J$8,LayTable[[Dato]:[Dato]],"&lt;="&amp;EOMONTH(J$8,0),LayTable[[Bookmaker]:[Bookmaker]],$A154)+SUMIFS(BetTable[[AR_per_bookie]:[AR_per_bookie]],BetTable[[B1]:[B1]],$A154,BetTable[[Date]:[Date]], "&gt;="&amp;J$8,BetTable[[Date]:[Date]],"&lt;="&amp;EOMONTH(J$8,0))+SUMIFS(BetTable[[AR_per_bookie]:[AR_per_bookie]],BetTable[[B2]:[B2]],$A154,BetTable[[Date]:[Date]], "&gt;="&amp;J$8,BetTable[[Date]:[Date]],"&lt;="&amp;EOMONTH(J$8,0))+SUMIFS(BetTable[[AR_per_bookie]:[AR_per_bookie]],BetTable[[B3]:[B3]],$A154,BetTable[[Date]:[Date]], "&gt;="&amp;J$8,BetTable[[Date]:[Date]],"&lt;="&amp;EOMONTH(J$8,0))</f>
        <v>0</v>
      </c>
      <c r="K154" s="126">
        <f>SUMIFS(DWbonus[[Sum]:[Sum]],DWbonus[[Dato]:[Dato]], "&gt;="&amp;K$8,DWbonus[[Dato]:[Dato]],"&lt;="&amp;EOMONTH(K$8,0),DWbonus[[Bookie]:[Bookie]],$A154)+SUMIFS(LayTable[[Faktisk res]:[Faktisk res]],LayTable[[Dato]:[Dato]],"&gt;="&amp;K$8,LayTable[[Dato]:[Dato]],"&lt;="&amp;EOMONTH(K$8,0),LayTable[[Bookmaker]:[Bookmaker]],$A154)+SUMIFS(BetTable[[AR_per_bookie]:[AR_per_bookie]],BetTable[[B1]:[B1]],$A154,BetTable[[Date]:[Date]], "&gt;="&amp;K$8,BetTable[[Date]:[Date]],"&lt;="&amp;EOMONTH(K$8,0))+SUMIFS(BetTable[[AR_per_bookie]:[AR_per_bookie]],BetTable[[B2]:[B2]],$A154,BetTable[[Date]:[Date]], "&gt;="&amp;K$8,BetTable[[Date]:[Date]],"&lt;="&amp;EOMONTH(K$8,0))+SUMIFS(BetTable[[AR_per_bookie]:[AR_per_bookie]],BetTable[[B3]:[B3]],$A154,BetTable[[Date]:[Date]], "&gt;="&amp;K$8,BetTable[[Date]:[Date]],"&lt;="&amp;EOMONTH(K$8,0))</f>
        <v>0</v>
      </c>
      <c r="L154" s="126">
        <f>SUMIFS(DWbonus[[Sum]:[Sum]],DWbonus[[Dato]:[Dato]], "&gt;="&amp;L$8,DWbonus[[Dato]:[Dato]],"&lt;="&amp;EOMONTH(L$8,0),DWbonus[[Bookie]:[Bookie]],$A154)+SUMIFS(LayTable[[Faktisk res]:[Faktisk res]],LayTable[[Dato]:[Dato]],"&gt;="&amp;L$8,LayTable[[Dato]:[Dato]],"&lt;="&amp;EOMONTH(L$8,0),LayTable[[Bookmaker]:[Bookmaker]],$A154)+SUMIFS(BetTable[[AR_per_bookie]:[AR_per_bookie]],BetTable[[B1]:[B1]],$A154,BetTable[[Date]:[Date]], "&gt;="&amp;L$8,BetTable[[Date]:[Date]],"&lt;="&amp;EOMONTH(L$8,0))+SUMIFS(BetTable[[AR_per_bookie]:[AR_per_bookie]],BetTable[[B2]:[B2]],$A154,BetTable[[Date]:[Date]], "&gt;="&amp;L$8,BetTable[[Date]:[Date]],"&lt;="&amp;EOMONTH(L$8,0))+SUMIFS(BetTable[[AR_per_bookie]:[AR_per_bookie]],BetTable[[B3]:[B3]],$A154,BetTable[[Date]:[Date]], "&gt;="&amp;L$8,BetTable[[Date]:[Date]],"&lt;="&amp;EOMONTH(L$8,0))</f>
        <v>0</v>
      </c>
      <c r="M154" s="126">
        <f>SUMIFS(DWbonus[[Sum]:[Sum]],DWbonus[[Dato]:[Dato]], "&gt;="&amp;M$8,DWbonus[[Dato]:[Dato]],"&lt;="&amp;EOMONTH(M$8,0),DWbonus[[Bookie]:[Bookie]],$A154)+SUMIFS(LayTable[[Faktisk res]:[Faktisk res]],LayTable[[Dato]:[Dato]],"&gt;="&amp;M$8,LayTable[[Dato]:[Dato]],"&lt;="&amp;EOMONTH(M$8,0),LayTable[[Bookmaker]:[Bookmaker]],$A154)+SUMIFS(BetTable[[AR_per_bookie]:[AR_per_bookie]],BetTable[[B1]:[B1]],$A154,BetTable[[Date]:[Date]], "&gt;="&amp;M$8,BetTable[[Date]:[Date]],"&lt;="&amp;EOMONTH(M$8,0))+SUMIFS(BetTable[[AR_per_bookie]:[AR_per_bookie]],BetTable[[B2]:[B2]],$A154,BetTable[[Date]:[Date]], "&gt;="&amp;M$8,BetTable[[Date]:[Date]],"&lt;="&amp;EOMONTH(M$8,0))+SUMIFS(BetTable[[AR_per_bookie]:[AR_per_bookie]],BetTable[[B3]:[B3]],$A154,BetTable[[Date]:[Date]], "&gt;="&amp;M$8,BetTable[[Date]:[Date]],"&lt;="&amp;EOMONTH(M$8,0))</f>
        <v>0</v>
      </c>
      <c r="N154" s="126">
        <f>SUMIFS(DWbonus[[Sum]:[Sum]],DWbonus[[Dato]:[Dato]], "&gt;="&amp;N$8,DWbonus[[Dato]:[Dato]],"&lt;="&amp;EOMONTH(N$8,0),DWbonus[[Bookie]:[Bookie]],$A154)+SUMIFS(LayTable[[Faktisk res]:[Faktisk res]],LayTable[[Dato]:[Dato]],"&gt;="&amp;N$8,LayTable[[Dato]:[Dato]],"&lt;="&amp;EOMONTH(N$8,0),LayTable[[Bookmaker]:[Bookmaker]],$A154)+SUMIFS(BetTable[[AR_per_bookie]:[AR_per_bookie]],BetTable[[B1]:[B1]],$A154,BetTable[[Date]:[Date]], "&gt;="&amp;N$8,BetTable[[Date]:[Date]],"&lt;="&amp;EOMONTH(N$8,0))+SUMIFS(BetTable[[AR_per_bookie]:[AR_per_bookie]],BetTable[[B2]:[B2]],$A154,BetTable[[Date]:[Date]], "&gt;="&amp;N$8,BetTable[[Date]:[Date]],"&lt;="&amp;EOMONTH(N$8,0))+SUMIFS(BetTable[[AR_per_bookie]:[AR_per_bookie]],BetTable[[B3]:[B3]],$A154,BetTable[[Date]:[Date]], "&gt;="&amp;N$8,BetTable[[Date]:[Date]],"&lt;="&amp;EOMONTH(N$8,0))</f>
        <v>0</v>
      </c>
      <c r="O154" s="126">
        <f>SUMIFS(DWbonus[[Sum]:[Sum]],DWbonus[[Dato]:[Dato]], "&gt;="&amp;O$8,DWbonus[[Dato]:[Dato]],"&lt;="&amp;EOMONTH(O$8,0),DWbonus[[Bookie]:[Bookie]],$A154)+SUMIFS(LayTable[[Faktisk res]:[Faktisk res]],LayTable[[Dato]:[Dato]],"&gt;="&amp;O$8,LayTable[[Dato]:[Dato]],"&lt;="&amp;EOMONTH(O$8,0),LayTable[[Bookmaker]:[Bookmaker]],$A154)+SUMIFS(BetTable[[AR_per_bookie]:[AR_per_bookie]],BetTable[[B1]:[B1]],$A154,BetTable[[Date]:[Date]], "&gt;="&amp;O$8,BetTable[[Date]:[Date]],"&lt;="&amp;EOMONTH(O$8,0))+SUMIFS(BetTable[[AR_per_bookie]:[AR_per_bookie]],BetTable[[B2]:[B2]],$A154,BetTable[[Date]:[Date]], "&gt;="&amp;O$8,BetTable[[Date]:[Date]],"&lt;="&amp;EOMONTH(O$8,0))+SUMIFS(BetTable[[AR_per_bookie]:[AR_per_bookie]],BetTable[[B3]:[B3]],$A154,BetTable[[Date]:[Date]], "&gt;="&amp;O$8,BetTable[[Date]:[Date]],"&lt;="&amp;EOMONTH(O$8,0))</f>
        <v>0</v>
      </c>
      <c r="P154" s="126">
        <f>SUMIFS(DWbonus[[Sum]:[Sum]],DWbonus[[Dato]:[Dato]], "&gt;="&amp;P$8,DWbonus[[Dato]:[Dato]],"&lt;="&amp;EOMONTH(P$8,0),DWbonus[[Bookie]:[Bookie]],$A154)+SUMIFS(LayTable[[Faktisk res]:[Faktisk res]],LayTable[[Dato]:[Dato]],"&gt;="&amp;P$8,LayTable[[Dato]:[Dato]],"&lt;="&amp;EOMONTH(P$8,0),LayTable[[Bookmaker]:[Bookmaker]],$A154)+SUMIFS(BetTable[[AR_per_bookie]:[AR_per_bookie]],BetTable[[B1]:[B1]],$A154,BetTable[[Date]:[Date]], "&gt;="&amp;P$8,BetTable[[Date]:[Date]],"&lt;="&amp;EOMONTH(P$8,0))+SUMIFS(BetTable[[AR_per_bookie]:[AR_per_bookie]],BetTable[[B2]:[B2]],$A154,BetTable[[Date]:[Date]], "&gt;="&amp;P$8,BetTable[[Date]:[Date]],"&lt;="&amp;EOMONTH(P$8,0))+SUMIFS(BetTable[[AR_per_bookie]:[AR_per_bookie]],BetTable[[B3]:[B3]],$A154,BetTable[[Date]:[Date]], "&gt;="&amp;P$8,BetTable[[Date]:[Date]],"&lt;="&amp;EOMONTH(P$8,0))</f>
        <v>0</v>
      </c>
      <c r="Q154" s="126">
        <f>SUMIFS(DWbonus[[Sum]:[Sum]],DWbonus[[Dato]:[Dato]], "&gt;="&amp;Q$8,DWbonus[[Dato]:[Dato]],"&lt;="&amp;EOMONTH(Q$8,0),DWbonus[[Bookie]:[Bookie]],$A154)+SUMIFS(LayTable[[Faktisk res]:[Faktisk res]],LayTable[[Dato]:[Dato]],"&gt;="&amp;Q$8,LayTable[[Dato]:[Dato]],"&lt;="&amp;EOMONTH(Q$8,0),LayTable[[Bookmaker]:[Bookmaker]],$A154)+SUMIFS(BetTable[[AR_per_bookie]:[AR_per_bookie]],BetTable[[B1]:[B1]],$A154,BetTable[[Date]:[Date]], "&gt;="&amp;Q$8,BetTable[[Date]:[Date]],"&lt;="&amp;EOMONTH(Q$8,0))+SUMIFS(BetTable[[AR_per_bookie]:[AR_per_bookie]],BetTable[[B2]:[B2]],$A154,BetTable[[Date]:[Date]], "&gt;="&amp;Q$8,BetTable[[Date]:[Date]],"&lt;="&amp;EOMONTH(Q$8,0))+SUMIFS(BetTable[[AR_per_bookie]:[AR_per_bookie]],BetTable[[B3]:[B3]],$A154,BetTable[[Date]:[Date]], "&gt;="&amp;Q$8,BetTable[[Date]:[Date]],"&lt;="&amp;EOMONTH(Q$8,0))</f>
        <v>0</v>
      </c>
      <c r="R154" s="126">
        <f>SUMIFS(DWbonus[[Sum]:[Sum]],DWbonus[[Dato]:[Dato]], "&gt;="&amp;R$8,DWbonus[[Dato]:[Dato]],"&lt;="&amp;EOMONTH(R$8,0),DWbonus[[Bookie]:[Bookie]],$A154)+SUMIFS(LayTable[[Faktisk res]:[Faktisk res]],LayTable[[Dato]:[Dato]],"&gt;="&amp;R$8,LayTable[[Dato]:[Dato]],"&lt;="&amp;EOMONTH(R$8,0),LayTable[[Bookmaker]:[Bookmaker]],$A154)+SUMIFS(BetTable[[AR_per_bookie]:[AR_per_bookie]],BetTable[[B1]:[B1]],$A154,BetTable[[Date]:[Date]], "&gt;="&amp;R$8,BetTable[[Date]:[Date]],"&lt;="&amp;EOMONTH(R$8,0))+SUMIFS(BetTable[[AR_per_bookie]:[AR_per_bookie]],BetTable[[B2]:[B2]],$A154,BetTable[[Date]:[Date]], "&gt;="&amp;R$8,BetTable[[Date]:[Date]],"&lt;="&amp;EOMONTH(R$8,0))+SUMIFS(BetTable[[AR_per_bookie]:[AR_per_bookie]],BetTable[[B3]:[B3]],$A154,BetTable[[Date]:[Date]], "&gt;="&amp;R$8,BetTable[[Date]:[Date]],"&lt;="&amp;EOMONTH(R$8,0))</f>
        <v>0</v>
      </c>
      <c r="S154" s="126">
        <f>SUMIFS(DWbonus[[Sum]:[Sum]],DWbonus[[Dato]:[Dato]], "&gt;="&amp;S$8,DWbonus[[Dato]:[Dato]],"&lt;="&amp;EOMONTH(S$8,0),DWbonus[[Bookie]:[Bookie]],$A154)+SUMIFS(LayTable[[Faktisk res]:[Faktisk res]],LayTable[[Dato]:[Dato]],"&gt;="&amp;S$8,LayTable[[Dato]:[Dato]],"&lt;="&amp;EOMONTH(S$8,0),LayTable[[Bookmaker]:[Bookmaker]],$A154)+SUMIFS(BetTable[[AR_per_bookie]:[AR_per_bookie]],BetTable[[B1]:[B1]],$A154,BetTable[[Date]:[Date]], "&gt;="&amp;S$8,BetTable[[Date]:[Date]],"&lt;="&amp;EOMONTH(S$8,0))+SUMIFS(BetTable[[AR_per_bookie]:[AR_per_bookie]],BetTable[[B2]:[B2]],$A154,BetTable[[Date]:[Date]], "&gt;="&amp;S$8,BetTable[[Date]:[Date]],"&lt;="&amp;EOMONTH(S$8,0))+SUMIFS(BetTable[[AR_per_bookie]:[AR_per_bookie]],BetTable[[B3]:[B3]],$A154,BetTable[[Date]:[Date]], "&gt;="&amp;S$8,BetTable[[Date]:[Date]],"&lt;="&amp;EOMONTH(S$8,0))</f>
        <v>0</v>
      </c>
    </row>
    <row r="155" spans="1:19">
      <c r="A155" s="115">
        <f>BookieNavn!I149</f>
        <v>0</v>
      </c>
      <c r="B155" s="126">
        <f>SUMIF(Penger!D$1:D$50072,A155,Penger!F$1:F$50072)</f>
        <v>0</v>
      </c>
      <c r="C155" s="126">
        <f>SUMIF(Penger!T$1:T$50072,A155,Penger!U$1:U$50072)</f>
        <v>0</v>
      </c>
      <c r="D155" s="126">
        <f ca="1">SUMIF(Spill!C$1:C$499895,A155,Spill!T$1:T$49895)+C155</f>
        <v>0</v>
      </c>
      <c r="E155" s="126">
        <f>SUMIF(Spill!C$1:C$49895,A155,Spill!T$1:T$49895)</f>
        <v>0</v>
      </c>
      <c r="F155" s="121" t="e">
        <f t="shared" ca="1" si="3"/>
        <v>#DIV/0!</v>
      </c>
      <c r="H155" s="126">
        <f>SUMIFS(DWbonus[[Sum]:[Sum]],DWbonus[[Dato]:[Dato]], "&gt;="&amp;H$8,DWbonus[[Dato]:[Dato]],"&lt;="&amp;EOMONTH(H$8,0),DWbonus[[Bookie]:[Bookie]],$A155)+SUMIFS(LayTable[[Faktisk res]:[Faktisk res]],LayTable[[Dato]:[Dato]],"&gt;="&amp;H$8,LayTable[[Dato]:[Dato]],"&lt;="&amp;EOMONTH(H$8,0),LayTable[[Bookmaker]:[Bookmaker]],$A155)+SUMIFS(BetTable[[AR_per_bookie]:[AR_per_bookie]],BetTable[[B1]:[B1]],$A155,BetTable[[Date]:[Date]], "&gt;="&amp;H$8,BetTable[[Date]:[Date]],"&lt;="&amp;EOMONTH(H$8,0))+SUMIFS(BetTable[[AR_per_bookie]:[AR_per_bookie]],BetTable[[B2]:[B2]],$A155,BetTable[[Date]:[Date]], "&gt;="&amp;H$8,BetTable[[Date]:[Date]],"&lt;="&amp;EOMONTH(H$8,0))+SUMIFS(BetTable[[AR_per_bookie]:[AR_per_bookie]],BetTable[[B3]:[B3]],$A155,BetTable[[Date]:[Date]], "&gt;="&amp;H$8,BetTable[[Date]:[Date]],"&lt;="&amp;EOMONTH(H$8,0))</f>
        <v>0</v>
      </c>
      <c r="I155" s="126">
        <f>SUMIFS(DWbonus[[Sum]:[Sum]],DWbonus[[Dato]:[Dato]], "&gt;="&amp;I$8,DWbonus[[Dato]:[Dato]],"&lt;="&amp;EOMONTH(I$8,0),DWbonus[[Bookie]:[Bookie]],$A155)+SUMIFS(LayTable[[Faktisk res]:[Faktisk res]],LayTable[[Dato]:[Dato]],"&gt;="&amp;I$8,LayTable[[Dato]:[Dato]],"&lt;="&amp;EOMONTH(I$8,0),LayTable[[Bookmaker]:[Bookmaker]],$A155)+SUMIFS(BetTable[[AR_per_bookie]:[AR_per_bookie]],BetTable[[B1]:[B1]],$A155,BetTable[[Date]:[Date]], "&gt;="&amp;I$8,BetTable[[Date]:[Date]],"&lt;="&amp;EOMONTH(I$8,0))+SUMIFS(BetTable[[AR_per_bookie]:[AR_per_bookie]],BetTable[[B2]:[B2]],$A155,BetTable[[Date]:[Date]], "&gt;="&amp;I$8,BetTable[[Date]:[Date]],"&lt;="&amp;EOMONTH(I$8,0))+SUMIFS(BetTable[[AR_per_bookie]:[AR_per_bookie]],BetTable[[B3]:[B3]],$A155,BetTable[[Date]:[Date]], "&gt;="&amp;I$8,BetTable[[Date]:[Date]],"&lt;="&amp;EOMONTH(I$8,0))</f>
        <v>0</v>
      </c>
      <c r="J155" s="126">
        <f>SUMIFS(DWbonus[[Sum]:[Sum]],DWbonus[[Dato]:[Dato]], "&gt;="&amp;J$8,DWbonus[[Dato]:[Dato]],"&lt;="&amp;EOMONTH(J$8,0),DWbonus[[Bookie]:[Bookie]],$A155)+SUMIFS(LayTable[[Faktisk res]:[Faktisk res]],LayTable[[Dato]:[Dato]],"&gt;="&amp;J$8,LayTable[[Dato]:[Dato]],"&lt;="&amp;EOMONTH(J$8,0),LayTable[[Bookmaker]:[Bookmaker]],$A155)+SUMIFS(BetTable[[AR_per_bookie]:[AR_per_bookie]],BetTable[[B1]:[B1]],$A155,BetTable[[Date]:[Date]], "&gt;="&amp;J$8,BetTable[[Date]:[Date]],"&lt;="&amp;EOMONTH(J$8,0))+SUMIFS(BetTable[[AR_per_bookie]:[AR_per_bookie]],BetTable[[B2]:[B2]],$A155,BetTable[[Date]:[Date]], "&gt;="&amp;J$8,BetTable[[Date]:[Date]],"&lt;="&amp;EOMONTH(J$8,0))+SUMIFS(BetTable[[AR_per_bookie]:[AR_per_bookie]],BetTable[[B3]:[B3]],$A155,BetTable[[Date]:[Date]], "&gt;="&amp;J$8,BetTable[[Date]:[Date]],"&lt;="&amp;EOMONTH(J$8,0))</f>
        <v>0</v>
      </c>
      <c r="K155" s="126">
        <f>SUMIFS(DWbonus[[Sum]:[Sum]],DWbonus[[Dato]:[Dato]], "&gt;="&amp;K$8,DWbonus[[Dato]:[Dato]],"&lt;="&amp;EOMONTH(K$8,0),DWbonus[[Bookie]:[Bookie]],$A155)+SUMIFS(LayTable[[Faktisk res]:[Faktisk res]],LayTable[[Dato]:[Dato]],"&gt;="&amp;K$8,LayTable[[Dato]:[Dato]],"&lt;="&amp;EOMONTH(K$8,0),LayTable[[Bookmaker]:[Bookmaker]],$A155)+SUMIFS(BetTable[[AR_per_bookie]:[AR_per_bookie]],BetTable[[B1]:[B1]],$A155,BetTable[[Date]:[Date]], "&gt;="&amp;K$8,BetTable[[Date]:[Date]],"&lt;="&amp;EOMONTH(K$8,0))+SUMIFS(BetTable[[AR_per_bookie]:[AR_per_bookie]],BetTable[[B2]:[B2]],$A155,BetTable[[Date]:[Date]], "&gt;="&amp;K$8,BetTable[[Date]:[Date]],"&lt;="&amp;EOMONTH(K$8,0))+SUMIFS(BetTable[[AR_per_bookie]:[AR_per_bookie]],BetTable[[B3]:[B3]],$A155,BetTable[[Date]:[Date]], "&gt;="&amp;K$8,BetTable[[Date]:[Date]],"&lt;="&amp;EOMONTH(K$8,0))</f>
        <v>0</v>
      </c>
      <c r="L155" s="126">
        <f>SUMIFS(DWbonus[[Sum]:[Sum]],DWbonus[[Dato]:[Dato]], "&gt;="&amp;L$8,DWbonus[[Dato]:[Dato]],"&lt;="&amp;EOMONTH(L$8,0),DWbonus[[Bookie]:[Bookie]],$A155)+SUMIFS(LayTable[[Faktisk res]:[Faktisk res]],LayTable[[Dato]:[Dato]],"&gt;="&amp;L$8,LayTable[[Dato]:[Dato]],"&lt;="&amp;EOMONTH(L$8,0),LayTable[[Bookmaker]:[Bookmaker]],$A155)+SUMIFS(BetTable[[AR_per_bookie]:[AR_per_bookie]],BetTable[[B1]:[B1]],$A155,BetTable[[Date]:[Date]], "&gt;="&amp;L$8,BetTable[[Date]:[Date]],"&lt;="&amp;EOMONTH(L$8,0))+SUMIFS(BetTable[[AR_per_bookie]:[AR_per_bookie]],BetTable[[B2]:[B2]],$A155,BetTable[[Date]:[Date]], "&gt;="&amp;L$8,BetTable[[Date]:[Date]],"&lt;="&amp;EOMONTH(L$8,0))+SUMIFS(BetTable[[AR_per_bookie]:[AR_per_bookie]],BetTable[[B3]:[B3]],$A155,BetTable[[Date]:[Date]], "&gt;="&amp;L$8,BetTable[[Date]:[Date]],"&lt;="&amp;EOMONTH(L$8,0))</f>
        <v>0</v>
      </c>
      <c r="M155" s="126">
        <f>SUMIFS(DWbonus[[Sum]:[Sum]],DWbonus[[Dato]:[Dato]], "&gt;="&amp;M$8,DWbonus[[Dato]:[Dato]],"&lt;="&amp;EOMONTH(M$8,0),DWbonus[[Bookie]:[Bookie]],$A155)+SUMIFS(LayTable[[Faktisk res]:[Faktisk res]],LayTable[[Dato]:[Dato]],"&gt;="&amp;M$8,LayTable[[Dato]:[Dato]],"&lt;="&amp;EOMONTH(M$8,0),LayTable[[Bookmaker]:[Bookmaker]],$A155)+SUMIFS(BetTable[[AR_per_bookie]:[AR_per_bookie]],BetTable[[B1]:[B1]],$A155,BetTable[[Date]:[Date]], "&gt;="&amp;M$8,BetTable[[Date]:[Date]],"&lt;="&amp;EOMONTH(M$8,0))+SUMIFS(BetTable[[AR_per_bookie]:[AR_per_bookie]],BetTable[[B2]:[B2]],$A155,BetTable[[Date]:[Date]], "&gt;="&amp;M$8,BetTable[[Date]:[Date]],"&lt;="&amp;EOMONTH(M$8,0))+SUMIFS(BetTable[[AR_per_bookie]:[AR_per_bookie]],BetTable[[B3]:[B3]],$A155,BetTable[[Date]:[Date]], "&gt;="&amp;M$8,BetTable[[Date]:[Date]],"&lt;="&amp;EOMONTH(M$8,0))</f>
        <v>0</v>
      </c>
      <c r="N155" s="126">
        <f>SUMIFS(DWbonus[[Sum]:[Sum]],DWbonus[[Dato]:[Dato]], "&gt;="&amp;N$8,DWbonus[[Dato]:[Dato]],"&lt;="&amp;EOMONTH(N$8,0),DWbonus[[Bookie]:[Bookie]],$A155)+SUMIFS(LayTable[[Faktisk res]:[Faktisk res]],LayTable[[Dato]:[Dato]],"&gt;="&amp;N$8,LayTable[[Dato]:[Dato]],"&lt;="&amp;EOMONTH(N$8,0),LayTable[[Bookmaker]:[Bookmaker]],$A155)+SUMIFS(BetTable[[AR_per_bookie]:[AR_per_bookie]],BetTable[[B1]:[B1]],$A155,BetTable[[Date]:[Date]], "&gt;="&amp;N$8,BetTable[[Date]:[Date]],"&lt;="&amp;EOMONTH(N$8,0))+SUMIFS(BetTable[[AR_per_bookie]:[AR_per_bookie]],BetTable[[B2]:[B2]],$A155,BetTable[[Date]:[Date]], "&gt;="&amp;N$8,BetTable[[Date]:[Date]],"&lt;="&amp;EOMONTH(N$8,0))+SUMIFS(BetTable[[AR_per_bookie]:[AR_per_bookie]],BetTable[[B3]:[B3]],$A155,BetTable[[Date]:[Date]], "&gt;="&amp;N$8,BetTable[[Date]:[Date]],"&lt;="&amp;EOMONTH(N$8,0))</f>
        <v>0</v>
      </c>
      <c r="O155" s="126">
        <f>SUMIFS(DWbonus[[Sum]:[Sum]],DWbonus[[Dato]:[Dato]], "&gt;="&amp;O$8,DWbonus[[Dato]:[Dato]],"&lt;="&amp;EOMONTH(O$8,0),DWbonus[[Bookie]:[Bookie]],$A155)+SUMIFS(LayTable[[Faktisk res]:[Faktisk res]],LayTable[[Dato]:[Dato]],"&gt;="&amp;O$8,LayTable[[Dato]:[Dato]],"&lt;="&amp;EOMONTH(O$8,0),LayTable[[Bookmaker]:[Bookmaker]],$A155)+SUMIFS(BetTable[[AR_per_bookie]:[AR_per_bookie]],BetTable[[B1]:[B1]],$A155,BetTable[[Date]:[Date]], "&gt;="&amp;O$8,BetTable[[Date]:[Date]],"&lt;="&amp;EOMONTH(O$8,0))+SUMIFS(BetTable[[AR_per_bookie]:[AR_per_bookie]],BetTable[[B2]:[B2]],$A155,BetTable[[Date]:[Date]], "&gt;="&amp;O$8,BetTable[[Date]:[Date]],"&lt;="&amp;EOMONTH(O$8,0))+SUMIFS(BetTable[[AR_per_bookie]:[AR_per_bookie]],BetTable[[B3]:[B3]],$A155,BetTable[[Date]:[Date]], "&gt;="&amp;O$8,BetTable[[Date]:[Date]],"&lt;="&amp;EOMONTH(O$8,0))</f>
        <v>0</v>
      </c>
      <c r="P155" s="126">
        <f>SUMIFS(DWbonus[[Sum]:[Sum]],DWbonus[[Dato]:[Dato]], "&gt;="&amp;P$8,DWbonus[[Dato]:[Dato]],"&lt;="&amp;EOMONTH(P$8,0),DWbonus[[Bookie]:[Bookie]],$A155)+SUMIFS(LayTable[[Faktisk res]:[Faktisk res]],LayTable[[Dato]:[Dato]],"&gt;="&amp;P$8,LayTable[[Dato]:[Dato]],"&lt;="&amp;EOMONTH(P$8,0),LayTable[[Bookmaker]:[Bookmaker]],$A155)+SUMIFS(BetTable[[AR_per_bookie]:[AR_per_bookie]],BetTable[[B1]:[B1]],$A155,BetTable[[Date]:[Date]], "&gt;="&amp;P$8,BetTable[[Date]:[Date]],"&lt;="&amp;EOMONTH(P$8,0))+SUMIFS(BetTable[[AR_per_bookie]:[AR_per_bookie]],BetTable[[B2]:[B2]],$A155,BetTable[[Date]:[Date]], "&gt;="&amp;P$8,BetTable[[Date]:[Date]],"&lt;="&amp;EOMONTH(P$8,0))+SUMIFS(BetTable[[AR_per_bookie]:[AR_per_bookie]],BetTable[[B3]:[B3]],$A155,BetTable[[Date]:[Date]], "&gt;="&amp;P$8,BetTable[[Date]:[Date]],"&lt;="&amp;EOMONTH(P$8,0))</f>
        <v>0</v>
      </c>
      <c r="Q155" s="126">
        <f>SUMIFS(DWbonus[[Sum]:[Sum]],DWbonus[[Dato]:[Dato]], "&gt;="&amp;Q$8,DWbonus[[Dato]:[Dato]],"&lt;="&amp;EOMONTH(Q$8,0),DWbonus[[Bookie]:[Bookie]],$A155)+SUMIFS(LayTable[[Faktisk res]:[Faktisk res]],LayTable[[Dato]:[Dato]],"&gt;="&amp;Q$8,LayTable[[Dato]:[Dato]],"&lt;="&amp;EOMONTH(Q$8,0),LayTable[[Bookmaker]:[Bookmaker]],$A155)+SUMIFS(BetTable[[AR_per_bookie]:[AR_per_bookie]],BetTable[[B1]:[B1]],$A155,BetTable[[Date]:[Date]], "&gt;="&amp;Q$8,BetTable[[Date]:[Date]],"&lt;="&amp;EOMONTH(Q$8,0))+SUMIFS(BetTable[[AR_per_bookie]:[AR_per_bookie]],BetTable[[B2]:[B2]],$A155,BetTable[[Date]:[Date]], "&gt;="&amp;Q$8,BetTable[[Date]:[Date]],"&lt;="&amp;EOMONTH(Q$8,0))+SUMIFS(BetTable[[AR_per_bookie]:[AR_per_bookie]],BetTable[[B3]:[B3]],$A155,BetTable[[Date]:[Date]], "&gt;="&amp;Q$8,BetTable[[Date]:[Date]],"&lt;="&amp;EOMONTH(Q$8,0))</f>
        <v>0</v>
      </c>
      <c r="R155" s="126">
        <f>SUMIFS(DWbonus[[Sum]:[Sum]],DWbonus[[Dato]:[Dato]], "&gt;="&amp;R$8,DWbonus[[Dato]:[Dato]],"&lt;="&amp;EOMONTH(R$8,0),DWbonus[[Bookie]:[Bookie]],$A155)+SUMIFS(LayTable[[Faktisk res]:[Faktisk res]],LayTable[[Dato]:[Dato]],"&gt;="&amp;R$8,LayTable[[Dato]:[Dato]],"&lt;="&amp;EOMONTH(R$8,0),LayTable[[Bookmaker]:[Bookmaker]],$A155)+SUMIFS(BetTable[[AR_per_bookie]:[AR_per_bookie]],BetTable[[B1]:[B1]],$A155,BetTable[[Date]:[Date]], "&gt;="&amp;R$8,BetTable[[Date]:[Date]],"&lt;="&amp;EOMONTH(R$8,0))+SUMIFS(BetTable[[AR_per_bookie]:[AR_per_bookie]],BetTable[[B2]:[B2]],$A155,BetTable[[Date]:[Date]], "&gt;="&amp;R$8,BetTable[[Date]:[Date]],"&lt;="&amp;EOMONTH(R$8,0))+SUMIFS(BetTable[[AR_per_bookie]:[AR_per_bookie]],BetTable[[B3]:[B3]],$A155,BetTable[[Date]:[Date]], "&gt;="&amp;R$8,BetTable[[Date]:[Date]],"&lt;="&amp;EOMONTH(R$8,0))</f>
        <v>0</v>
      </c>
      <c r="S155" s="126">
        <f>SUMIFS(DWbonus[[Sum]:[Sum]],DWbonus[[Dato]:[Dato]], "&gt;="&amp;S$8,DWbonus[[Dato]:[Dato]],"&lt;="&amp;EOMONTH(S$8,0),DWbonus[[Bookie]:[Bookie]],$A155)+SUMIFS(LayTable[[Faktisk res]:[Faktisk res]],LayTable[[Dato]:[Dato]],"&gt;="&amp;S$8,LayTable[[Dato]:[Dato]],"&lt;="&amp;EOMONTH(S$8,0),LayTable[[Bookmaker]:[Bookmaker]],$A155)+SUMIFS(BetTable[[AR_per_bookie]:[AR_per_bookie]],BetTable[[B1]:[B1]],$A155,BetTable[[Date]:[Date]], "&gt;="&amp;S$8,BetTable[[Date]:[Date]],"&lt;="&amp;EOMONTH(S$8,0))+SUMIFS(BetTable[[AR_per_bookie]:[AR_per_bookie]],BetTable[[B2]:[B2]],$A155,BetTable[[Date]:[Date]], "&gt;="&amp;S$8,BetTable[[Date]:[Date]],"&lt;="&amp;EOMONTH(S$8,0))+SUMIFS(BetTable[[AR_per_bookie]:[AR_per_bookie]],BetTable[[B3]:[B3]],$A155,BetTable[[Date]:[Date]], "&gt;="&amp;S$8,BetTable[[Date]:[Date]],"&lt;="&amp;EOMONTH(S$8,0))</f>
        <v>0</v>
      </c>
    </row>
    <row r="156" spans="1:19">
      <c r="A156" s="115">
        <f>BookieNavn!I150</f>
        <v>0</v>
      </c>
      <c r="B156" s="126">
        <f>SUMIF(Penger!D$1:D$50072,A156,Penger!F$1:F$50072)</f>
        <v>0</v>
      </c>
      <c r="C156" s="126">
        <f>SUMIF(Penger!T$1:T$50072,A156,Penger!U$1:U$50072)</f>
        <v>0</v>
      </c>
      <c r="D156" s="126">
        <f ca="1">SUMIF(Spill!C$1:C$499895,A156,Spill!T$1:T$49895)+C156</f>
        <v>0</v>
      </c>
      <c r="E156" s="126">
        <f>SUMIF(Spill!C$1:C$49895,A156,Spill!T$1:T$49895)</f>
        <v>0</v>
      </c>
      <c r="F156" s="121" t="e">
        <f t="shared" ca="1" si="3"/>
        <v>#DIV/0!</v>
      </c>
      <c r="H156" s="126">
        <f>SUMIFS(DWbonus[[Sum]:[Sum]],DWbonus[[Dato]:[Dato]], "&gt;="&amp;H$8,DWbonus[[Dato]:[Dato]],"&lt;="&amp;EOMONTH(H$8,0),DWbonus[[Bookie]:[Bookie]],$A156)+SUMIFS(LayTable[[Faktisk res]:[Faktisk res]],LayTable[[Dato]:[Dato]],"&gt;="&amp;H$8,LayTable[[Dato]:[Dato]],"&lt;="&amp;EOMONTH(H$8,0),LayTable[[Bookmaker]:[Bookmaker]],$A156)+SUMIFS(BetTable[[AR_per_bookie]:[AR_per_bookie]],BetTable[[B1]:[B1]],$A156,BetTable[[Date]:[Date]], "&gt;="&amp;H$8,BetTable[[Date]:[Date]],"&lt;="&amp;EOMONTH(H$8,0))+SUMIFS(BetTable[[AR_per_bookie]:[AR_per_bookie]],BetTable[[B2]:[B2]],$A156,BetTable[[Date]:[Date]], "&gt;="&amp;H$8,BetTable[[Date]:[Date]],"&lt;="&amp;EOMONTH(H$8,0))+SUMIFS(BetTable[[AR_per_bookie]:[AR_per_bookie]],BetTable[[B3]:[B3]],$A156,BetTable[[Date]:[Date]], "&gt;="&amp;H$8,BetTable[[Date]:[Date]],"&lt;="&amp;EOMONTH(H$8,0))</f>
        <v>0</v>
      </c>
      <c r="I156" s="126">
        <f>SUMIFS(DWbonus[[Sum]:[Sum]],DWbonus[[Dato]:[Dato]], "&gt;="&amp;I$8,DWbonus[[Dato]:[Dato]],"&lt;="&amp;EOMONTH(I$8,0),DWbonus[[Bookie]:[Bookie]],$A156)+SUMIFS(LayTable[[Faktisk res]:[Faktisk res]],LayTable[[Dato]:[Dato]],"&gt;="&amp;I$8,LayTable[[Dato]:[Dato]],"&lt;="&amp;EOMONTH(I$8,0),LayTable[[Bookmaker]:[Bookmaker]],$A156)+SUMIFS(BetTable[[AR_per_bookie]:[AR_per_bookie]],BetTable[[B1]:[B1]],$A156,BetTable[[Date]:[Date]], "&gt;="&amp;I$8,BetTable[[Date]:[Date]],"&lt;="&amp;EOMONTH(I$8,0))+SUMIFS(BetTable[[AR_per_bookie]:[AR_per_bookie]],BetTable[[B2]:[B2]],$A156,BetTable[[Date]:[Date]], "&gt;="&amp;I$8,BetTable[[Date]:[Date]],"&lt;="&amp;EOMONTH(I$8,0))+SUMIFS(BetTable[[AR_per_bookie]:[AR_per_bookie]],BetTable[[B3]:[B3]],$A156,BetTable[[Date]:[Date]], "&gt;="&amp;I$8,BetTable[[Date]:[Date]],"&lt;="&amp;EOMONTH(I$8,0))</f>
        <v>0</v>
      </c>
      <c r="J156" s="126">
        <f>SUMIFS(DWbonus[[Sum]:[Sum]],DWbonus[[Dato]:[Dato]], "&gt;="&amp;J$8,DWbonus[[Dato]:[Dato]],"&lt;="&amp;EOMONTH(J$8,0),DWbonus[[Bookie]:[Bookie]],$A156)+SUMIFS(LayTable[[Faktisk res]:[Faktisk res]],LayTable[[Dato]:[Dato]],"&gt;="&amp;J$8,LayTable[[Dato]:[Dato]],"&lt;="&amp;EOMONTH(J$8,0),LayTable[[Bookmaker]:[Bookmaker]],$A156)+SUMIFS(BetTable[[AR_per_bookie]:[AR_per_bookie]],BetTable[[B1]:[B1]],$A156,BetTable[[Date]:[Date]], "&gt;="&amp;J$8,BetTable[[Date]:[Date]],"&lt;="&amp;EOMONTH(J$8,0))+SUMIFS(BetTable[[AR_per_bookie]:[AR_per_bookie]],BetTable[[B2]:[B2]],$A156,BetTable[[Date]:[Date]], "&gt;="&amp;J$8,BetTable[[Date]:[Date]],"&lt;="&amp;EOMONTH(J$8,0))+SUMIFS(BetTable[[AR_per_bookie]:[AR_per_bookie]],BetTable[[B3]:[B3]],$A156,BetTable[[Date]:[Date]], "&gt;="&amp;J$8,BetTable[[Date]:[Date]],"&lt;="&amp;EOMONTH(J$8,0))</f>
        <v>0</v>
      </c>
      <c r="K156" s="126">
        <f>SUMIFS(DWbonus[[Sum]:[Sum]],DWbonus[[Dato]:[Dato]], "&gt;="&amp;K$8,DWbonus[[Dato]:[Dato]],"&lt;="&amp;EOMONTH(K$8,0),DWbonus[[Bookie]:[Bookie]],$A156)+SUMIFS(LayTable[[Faktisk res]:[Faktisk res]],LayTable[[Dato]:[Dato]],"&gt;="&amp;K$8,LayTable[[Dato]:[Dato]],"&lt;="&amp;EOMONTH(K$8,0),LayTable[[Bookmaker]:[Bookmaker]],$A156)+SUMIFS(BetTable[[AR_per_bookie]:[AR_per_bookie]],BetTable[[B1]:[B1]],$A156,BetTable[[Date]:[Date]], "&gt;="&amp;K$8,BetTable[[Date]:[Date]],"&lt;="&amp;EOMONTH(K$8,0))+SUMIFS(BetTable[[AR_per_bookie]:[AR_per_bookie]],BetTable[[B2]:[B2]],$A156,BetTable[[Date]:[Date]], "&gt;="&amp;K$8,BetTable[[Date]:[Date]],"&lt;="&amp;EOMONTH(K$8,0))+SUMIFS(BetTable[[AR_per_bookie]:[AR_per_bookie]],BetTable[[B3]:[B3]],$A156,BetTable[[Date]:[Date]], "&gt;="&amp;K$8,BetTable[[Date]:[Date]],"&lt;="&amp;EOMONTH(K$8,0))</f>
        <v>0</v>
      </c>
      <c r="L156" s="126">
        <f>SUMIFS(DWbonus[[Sum]:[Sum]],DWbonus[[Dato]:[Dato]], "&gt;="&amp;L$8,DWbonus[[Dato]:[Dato]],"&lt;="&amp;EOMONTH(L$8,0),DWbonus[[Bookie]:[Bookie]],$A156)+SUMIFS(LayTable[[Faktisk res]:[Faktisk res]],LayTable[[Dato]:[Dato]],"&gt;="&amp;L$8,LayTable[[Dato]:[Dato]],"&lt;="&amp;EOMONTH(L$8,0),LayTable[[Bookmaker]:[Bookmaker]],$A156)+SUMIFS(BetTable[[AR_per_bookie]:[AR_per_bookie]],BetTable[[B1]:[B1]],$A156,BetTable[[Date]:[Date]], "&gt;="&amp;L$8,BetTable[[Date]:[Date]],"&lt;="&amp;EOMONTH(L$8,0))+SUMIFS(BetTable[[AR_per_bookie]:[AR_per_bookie]],BetTable[[B2]:[B2]],$A156,BetTable[[Date]:[Date]], "&gt;="&amp;L$8,BetTable[[Date]:[Date]],"&lt;="&amp;EOMONTH(L$8,0))+SUMIFS(BetTable[[AR_per_bookie]:[AR_per_bookie]],BetTable[[B3]:[B3]],$A156,BetTable[[Date]:[Date]], "&gt;="&amp;L$8,BetTable[[Date]:[Date]],"&lt;="&amp;EOMONTH(L$8,0))</f>
        <v>0</v>
      </c>
      <c r="M156" s="126">
        <f>SUMIFS(DWbonus[[Sum]:[Sum]],DWbonus[[Dato]:[Dato]], "&gt;="&amp;M$8,DWbonus[[Dato]:[Dato]],"&lt;="&amp;EOMONTH(M$8,0),DWbonus[[Bookie]:[Bookie]],$A156)+SUMIFS(LayTable[[Faktisk res]:[Faktisk res]],LayTable[[Dato]:[Dato]],"&gt;="&amp;M$8,LayTable[[Dato]:[Dato]],"&lt;="&amp;EOMONTH(M$8,0),LayTable[[Bookmaker]:[Bookmaker]],$A156)+SUMIFS(BetTable[[AR_per_bookie]:[AR_per_bookie]],BetTable[[B1]:[B1]],$A156,BetTable[[Date]:[Date]], "&gt;="&amp;M$8,BetTable[[Date]:[Date]],"&lt;="&amp;EOMONTH(M$8,0))+SUMIFS(BetTable[[AR_per_bookie]:[AR_per_bookie]],BetTable[[B2]:[B2]],$A156,BetTable[[Date]:[Date]], "&gt;="&amp;M$8,BetTable[[Date]:[Date]],"&lt;="&amp;EOMONTH(M$8,0))+SUMIFS(BetTable[[AR_per_bookie]:[AR_per_bookie]],BetTable[[B3]:[B3]],$A156,BetTable[[Date]:[Date]], "&gt;="&amp;M$8,BetTable[[Date]:[Date]],"&lt;="&amp;EOMONTH(M$8,0))</f>
        <v>0</v>
      </c>
      <c r="N156" s="126">
        <f>SUMIFS(DWbonus[[Sum]:[Sum]],DWbonus[[Dato]:[Dato]], "&gt;="&amp;N$8,DWbonus[[Dato]:[Dato]],"&lt;="&amp;EOMONTH(N$8,0),DWbonus[[Bookie]:[Bookie]],$A156)+SUMIFS(LayTable[[Faktisk res]:[Faktisk res]],LayTable[[Dato]:[Dato]],"&gt;="&amp;N$8,LayTable[[Dato]:[Dato]],"&lt;="&amp;EOMONTH(N$8,0),LayTable[[Bookmaker]:[Bookmaker]],$A156)+SUMIFS(BetTable[[AR_per_bookie]:[AR_per_bookie]],BetTable[[B1]:[B1]],$A156,BetTable[[Date]:[Date]], "&gt;="&amp;N$8,BetTable[[Date]:[Date]],"&lt;="&amp;EOMONTH(N$8,0))+SUMIFS(BetTable[[AR_per_bookie]:[AR_per_bookie]],BetTable[[B2]:[B2]],$A156,BetTable[[Date]:[Date]], "&gt;="&amp;N$8,BetTable[[Date]:[Date]],"&lt;="&amp;EOMONTH(N$8,0))+SUMIFS(BetTable[[AR_per_bookie]:[AR_per_bookie]],BetTable[[B3]:[B3]],$A156,BetTable[[Date]:[Date]], "&gt;="&amp;N$8,BetTable[[Date]:[Date]],"&lt;="&amp;EOMONTH(N$8,0))</f>
        <v>0</v>
      </c>
      <c r="O156" s="126">
        <f>SUMIFS(DWbonus[[Sum]:[Sum]],DWbonus[[Dato]:[Dato]], "&gt;="&amp;O$8,DWbonus[[Dato]:[Dato]],"&lt;="&amp;EOMONTH(O$8,0),DWbonus[[Bookie]:[Bookie]],$A156)+SUMIFS(LayTable[[Faktisk res]:[Faktisk res]],LayTable[[Dato]:[Dato]],"&gt;="&amp;O$8,LayTable[[Dato]:[Dato]],"&lt;="&amp;EOMONTH(O$8,0),LayTable[[Bookmaker]:[Bookmaker]],$A156)+SUMIFS(BetTable[[AR_per_bookie]:[AR_per_bookie]],BetTable[[B1]:[B1]],$A156,BetTable[[Date]:[Date]], "&gt;="&amp;O$8,BetTable[[Date]:[Date]],"&lt;="&amp;EOMONTH(O$8,0))+SUMIFS(BetTable[[AR_per_bookie]:[AR_per_bookie]],BetTable[[B2]:[B2]],$A156,BetTable[[Date]:[Date]], "&gt;="&amp;O$8,BetTable[[Date]:[Date]],"&lt;="&amp;EOMONTH(O$8,0))+SUMIFS(BetTable[[AR_per_bookie]:[AR_per_bookie]],BetTable[[B3]:[B3]],$A156,BetTable[[Date]:[Date]], "&gt;="&amp;O$8,BetTable[[Date]:[Date]],"&lt;="&amp;EOMONTH(O$8,0))</f>
        <v>0</v>
      </c>
      <c r="P156" s="126">
        <f>SUMIFS(DWbonus[[Sum]:[Sum]],DWbonus[[Dato]:[Dato]], "&gt;="&amp;P$8,DWbonus[[Dato]:[Dato]],"&lt;="&amp;EOMONTH(P$8,0),DWbonus[[Bookie]:[Bookie]],$A156)+SUMIFS(LayTable[[Faktisk res]:[Faktisk res]],LayTable[[Dato]:[Dato]],"&gt;="&amp;P$8,LayTable[[Dato]:[Dato]],"&lt;="&amp;EOMONTH(P$8,0),LayTable[[Bookmaker]:[Bookmaker]],$A156)+SUMIFS(BetTable[[AR_per_bookie]:[AR_per_bookie]],BetTable[[B1]:[B1]],$A156,BetTable[[Date]:[Date]], "&gt;="&amp;P$8,BetTable[[Date]:[Date]],"&lt;="&amp;EOMONTH(P$8,0))+SUMIFS(BetTable[[AR_per_bookie]:[AR_per_bookie]],BetTable[[B2]:[B2]],$A156,BetTable[[Date]:[Date]], "&gt;="&amp;P$8,BetTable[[Date]:[Date]],"&lt;="&amp;EOMONTH(P$8,0))+SUMIFS(BetTable[[AR_per_bookie]:[AR_per_bookie]],BetTable[[B3]:[B3]],$A156,BetTable[[Date]:[Date]], "&gt;="&amp;P$8,BetTable[[Date]:[Date]],"&lt;="&amp;EOMONTH(P$8,0))</f>
        <v>0</v>
      </c>
      <c r="Q156" s="126">
        <f>SUMIFS(DWbonus[[Sum]:[Sum]],DWbonus[[Dato]:[Dato]], "&gt;="&amp;Q$8,DWbonus[[Dato]:[Dato]],"&lt;="&amp;EOMONTH(Q$8,0),DWbonus[[Bookie]:[Bookie]],$A156)+SUMIFS(LayTable[[Faktisk res]:[Faktisk res]],LayTable[[Dato]:[Dato]],"&gt;="&amp;Q$8,LayTable[[Dato]:[Dato]],"&lt;="&amp;EOMONTH(Q$8,0),LayTable[[Bookmaker]:[Bookmaker]],$A156)+SUMIFS(BetTable[[AR_per_bookie]:[AR_per_bookie]],BetTable[[B1]:[B1]],$A156,BetTable[[Date]:[Date]], "&gt;="&amp;Q$8,BetTable[[Date]:[Date]],"&lt;="&amp;EOMONTH(Q$8,0))+SUMIFS(BetTable[[AR_per_bookie]:[AR_per_bookie]],BetTable[[B2]:[B2]],$A156,BetTable[[Date]:[Date]], "&gt;="&amp;Q$8,BetTable[[Date]:[Date]],"&lt;="&amp;EOMONTH(Q$8,0))+SUMIFS(BetTable[[AR_per_bookie]:[AR_per_bookie]],BetTable[[B3]:[B3]],$A156,BetTable[[Date]:[Date]], "&gt;="&amp;Q$8,BetTable[[Date]:[Date]],"&lt;="&amp;EOMONTH(Q$8,0))</f>
        <v>0</v>
      </c>
      <c r="R156" s="126">
        <f>SUMIFS(DWbonus[[Sum]:[Sum]],DWbonus[[Dato]:[Dato]], "&gt;="&amp;R$8,DWbonus[[Dato]:[Dato]],"&lt;="&amp;EOMONTH(R$8,0),DWbonus[[Bookie]:[Bookie]],$A156)+SUMIFS(LayTable[[Faktisk res]:[Faktisk res]],LayTable[[Dato]:[Dato]],"&gt;="&amp;R$8,LayTable[[Dato]:[Dato]],"&lt;="&amp;EOMONTH(R$8,0),LayTable[[Bookmaker]:[Bookmaker]],$A156)+SUMIFS(BetTable[[AR_per_bookie]:[AR_per_bookie]],BetTable[[B1]:[B1]],$A156,BetTable[[Date]:[Date]], "&gt;="&amp;R$8,BetTable[[Date]:[Date]],"&lt;="&amp;EOMONTH(R$8,0))+SUMIFS(BetTable[[AR_per_bookie]:[AR_per_bookie]],BetTable[[B2]:[B2]],$A156,BetTable[[Date]:[Date]], "&gt;="&amp;R$8,BetTable[[Date]:[Date]],"&lt;="&amp;EOMONTH(R$8,0))+SUMIFS(BetTable[[AR_per_bookie]:[AR_per_bookie]],BetTable[[B3]:[B3]],$A156,BetTable[[Date]:[Date]], "&gt;="&amp;R$8,BetTable[[Date]:[Date]],"&lt;="&amp;EOMONTH(R$8,0))</f>
        <v>0</v>
      </c>
      <c r="S156" s="126">
        <f>SUMIFS(DWbonus[[Sum]:[Sum]],DWbonus[[Dato]:[Dato]], "&gt;="&amp;S$8,DWbonus[[Dato]:[Dato]],"&lt;="&amp;EOMONTH(S$8,0),DWbonus[[Bookie]:[Bookie]],$A156)+SUMIFS(LayTable[[Faktisk res]:[Faktisk res]],LayTable[[Dato]:[Dato]],"&gt;="&amp;S$8,LayTable[[Dato]:[Dato]],"&lt;="&amp;EOMONTH(S$8,0),LayTable[[Bookmaker]:[Bookmaker]],$A156)+SUMIFS(BetTable[[AR_per_bookie]:[AR_per_bookie]],BetTable[[B1]:[B1]],$A156,BetTable[[Date]:[Date]], "&gt;="&amp;S$8,BetTable[[Date]:[Date]],"&lt;="&amp;EOMONTH(S$8,0))+SUMIFS(BetTable[[AR_per_bookie]:[AR_per_bookie]],BetTable[[B2]:[B2]],$A156,BetTable[[Date]:[Date]], "&gt;="&amp;S$8,BetTable[[Date]:[Date]],"&lt;="&amp;EOMONTH(S$8,0))+SUMIFS(BetTable[[AR_per_bookie]:[AR_per_bookie]],BetTable[[B3]:[B3]],$A156,BetTable[[Date]:[Date]], "&gt;="&amp;S$8,BetTable[[Date]:[Date]],"&lt;="&amp;EOMONTH(S$8,0))</f>
        <v>0</v>
      </c>
    </row>
    <row r="157" spans="1:19">
      <c r="A157" s="115">
        <f>BookieNavn!I151</f>
        <v>0</v>
      </c>
      <c r="B157" s="126">
        <f>SUMIF(Penger!D$1:D$50072,A157,Penger!F$1:F$50072)</f>
        <v>0</v>
      </c>
      <c r="C157" s="126">
        <f>SUMIF(Penger!T$1:T$50072,A157,Penger!U$1:U$50072)</f>
        <v>0</v>
      </c>
      <c r="D157" s="126">
        <f ca="1">SUMIF(Spill!C$1:C$499895,A157,Spill!T$1:T$49895)+C157</f>
        <v>0</v>
      </c>
      <c r="E157" s="126">
        <f>SUMIF(Spill!C$1:C$49895,A157,Spill!T$1:T$49895)</f>
        <v>0</v>
      </c>
      <c r="F157" s="121" t="e">
        <f t="shared" ca="1" si="3"/>
        <v>#DIV/0!</v>
      </c>
      <c r="H157" s="126">
        <f>SUMIFS(DWbonus[[Sum]:[Sum]],DWbonus[[Dato]:[Dato]], "&gt;="&amp;H$8,DWbonus[[Dato]:[Dato]],"&lt;="&amp;EOMONTH(H$8,0),DWbonus[[Bookie]:[Bookie]],$A157)+SUMIFS(LayTable[[Faktisk res]:[Faktisk res]],LayTable[[Dato]:[Dato]],"&gt;="&amp;H$8,LayTable[[Dato]:[Dato]],"&lt;="&amp;EOMONTH(H$8,0),LayTable[[Bookmaker]:[Bookmaker]],$A157)+SUMIFS(BetTable[[AR_per_bookie]:[AR_per_bookie]],BetTable[[B1]:[B1]],$A157,BetTable[[Date]:[Date]], "&gt;="&amp;H$8,BetTable[[Date]:[Date]],"&lt;="&amp;EOMONTH(H$8,0))+SUMIFS(BetTable[[AR_per_bookie]:[AR_per_bookie]],BetTable[[B2]:[B2]],$A157,BetTable[[Date]:[Date]], "&gt;="&amp;H$8,BetTable[[Date]:[Date]],"&lt;="&amp;EOMONTH(H$8,0))+SUMIFS(BetTable[[AR_per_bookie]:[AR_per_bookie]],BetTable[[B3]:[B3]],$A157,BetTable[[Date]:[Date]], "&gt;="&amp;H$8,BetTable[[Date]:[Date]],"&lt;="&amp;EOMONTH(H$8,0))</f>
        <v>0</v>
      </c>
      <c r="I157" s="126">
        <f>SUMIFS(DWbonus[[Sum]:[Sum]],DWbonus[[Dato]:[Dato]], "&gt;="&amp;I$8,DWbonus[[Dato]:[Dato]],"&lt;="&amp;EOMONTH(I$8,0),DWbonus[[Bookie]:[Bookie]],$A157)+SUMIFS(LayTable[[Faktisk res]:[Faktisk res]],LayTable[[Dato]:[Dato]],"&gt;="&amp;I$8,LayTable[[Dato]:[Dato]],"&lt;="&amp;EOMONTH(I$8,0),LayTable[[Bookmaker]:[Bookmaker]],$A157)+SUMIFS(BetTable[[AR_per_bookie]:[AR_per_bookie]],BetTable[[B1]:[B1]],$A157,BetTable[[Date]:[Date]], "&gt;="&amp;I$8,BetTable[[Date]:[Date]],"&lt;="&amp;EOMONTH(I$8,0))+SUMIFS(BetTable[[AR_per_bookie]:[AR_per_bookie]],BetTable[[B2]:[B2]],$A157,BetTable[[Date]:[Date]], "&gt;="&amp;I$8,BetTable[[Date]:[Date]],"&lt;="&amp;EOMONTH(I$8,0))+SUMIFS(BetTable[[AR_per_bookie]:[AR_per_bookie]],BetTable[[B3]:[B3]],$A157,BetTable[[Date]:[Date]], "&gt;="&amp;I$8,BetTable[[Date]:[Date]],"&lt;="&amp;EOMONTH(I$8,0))</f>
        <v>0</v>
      </c>
      <c r="J157" s="126">
        <f>SUMIFS(DWbonus[[Sum]:[Sum]],DWbonus[[Dato]:[Dato]], "&gt;="&amp;J$8,DWbonus[[Dato]:[Dato]],"&lt;="&amp;EOMONTH(J$8,0),DWbonus[[Bookie]:[Bookie]],$A157)+SUMIFS(LayTable[[Faktisk res]:[Faktisk res]],LayTable[[Dato]:[Dato]],"&gt;="&amp;J$8,LayTable[[Dato]:[Dato]],"&lt;="&amp;EOMONTH(J$8,0),LayTable[[Bookmaker]:[Bookmaker]],$A157)+SUMIFS(BetTable[[AR_per_bookie]:[AR_per_bookie]],BetTable[[B1]:[B1]],$A157,BetTable[[Date]:[Date]], "&gt;="&amp;J$8,BetTable[[Date]:[Date]],"&lt;="&amp;EOMONTH(J$8,0))+SUMIFS(BetTable[[AR_per_bookie]:[AR_per_bookie]],BetTable[[B2]:[B2]],$A157,BetTable[[Date]:[Date]], "&gt;="&amp;J$8,BetTable[[Date]:[Date]],"&lt;="&amp;EOMONTH(J$8,0))+SUMIFS(BetTable[[AR_per_bookie]:[AR_per_bookie]],BetTable[[B3]:[B3]],$A157,BetTable[[Date]:[Date]], "&gt;="&amp;J$8,BetTable[[Date]:[Date]],"&lt;="&amp;EOMONTH(J$8,0))</f>
        <v>0</v>
      </c>
      <c r="K157" s="126">
        <f>SUMIFS(DWbonus[[Sum]:[Sum]],DWbonus[[Dato]:[Dato]], "&gt;="&amp;K$8,DWbonus[[Dato]:[Dato]],"&lt;="&amp;EOMONTH(K$8,0),DWbonus[[Bookie]:[Bookie]],$A157)+SUMIFS(LayTable[[Faktisk res]:[Faktisk res]],LayTable[[Dato]:[Dato]],"&gt;="&amp;K$8,LayTable[[Dato]:[Dato]],"&lt;="&amp;EOMONTH(K$8,0),LayTable[[Bookmaker]:[Bookmaker]],$A157)+SUMIFS(BetTable[[AR_per_bookie]:[AR_per_bookie]],BetTable[[B1]:[B1]],$A157,BetTable[[Date]:[Date]], "&gt;="&amp;K$8,BetTable[[Date]:[Date]],"&lt;="&amp;EOMONTH(K$8,0))+SUMIFS(BetTable[[AR_per_bookie]:[AR_per_bookie]],BetTable[[B2]:[B2]],$A157,BetTable[[Date]:[Date]], "&gt;="&amp;K$8,BetTable[[Date]:[Date]],"&lt;="&amp;EOMONTH(K$8,0))+SUMIFS(BetTable[[AR_per_bookie]:[AR_per_bookie]],BetTable[[B3]:[B3]],$A157,BetTable[[Date]:[Date]], "&gt;="&amp;K$8,BetTable[[Date]:[Date]],"&lt;="&amp;EOMONTH(K$8,0))</f>
        <v>0</v>
      </c>
      <c r="L157" s="126">
        <f>SUMIFS(DWbonus[[Sum]:[Sum]],DWbonus[[Dato]:[Dato]], "&gt;="&amp;L$8,DWbonus[[Dato]:[Dato]],"&lt;="&amp;EOMONTH(L$8,0),DWbonus[[Bookie]:[Bookie]],$A157)+SUMIFS(LayTable[[Faktisk res]:[Faktisk res]],LayTable[[Dato]:[Dato]],"&gt;="&amp;L$8,LayTable[[Dato]:[Dato]],"&lt;="&amp;EOMONTH(L$8,0),LayTable[[Bookmaker]:[Bookmaker]],$A157)+SUMIFS(BetTable[[AR_per_bookie]:[AR_per_bookie]],BetTable[[B1]:[B1]],$A157,BetTable[[Date]:[Date]], "&gt;="&amp;L$8,BetTable[[Date]:[Date]],"&lt;="&amp;EOMONTH(L$8,0))+SUMIFS(BetTable[[AR_per_bookie]:[AR_per_bookie]],BetTable[[B2]:[B2]],$A157,BetTable[[Date]:[Date]], "&gt;="&amp;L$8,BetTable[[Date]:[Date]],"&lt;="&amp;EOMONTH(L$8,0))+SUMIFS(BetTable[[AR_per_bookie]:[AR_per_bookie]],BetTable[[B3]:[B3]],$A157,BetTable[[Date]:[Date]], "&gt;="&amp;L$8,BetTable[[Date]:[Date]],"&lt;="&amp;EOMONTH(L$8,0))</f>
        <v>0</v>
      </c>
      <c r="M157" s="126">
        <f>SUMIFS(DWbonus[[Sum]:[Sum]],DWbonus[[Dato]:[Dato]], "&gt;="&amp;M$8,DWbonus[[Dato]:[Dato]],"&lt;="&amp;EOMONTH(M$8,0),DWbonus[[Bookie]:[Bookie]],$A157)+SUMIFS(LayTable[[Faktisk res]:[Faktisk res]],LayTable[[Dato]:[Dato]],"&gt;="&amp;M$8,LayTable[[Dato]:[Dato]],"&lt;="&amp;EOMONTH(M$8,0),LayTable[[Bookmaker]:[Bookmaker]],$A157)+SUMIFS(BetTable[[AR_per_bookie]:[AR_per_bookie]],BetTable[[B1]:[B1]],$A157,BetTable[[Date]:[Date]], "&gt;="&amp;M$8,BetTable[[Date]:[Date]],"&lt;="&amp;EOMONTH(M$8,0))+SUMIFS(BetTable[[AR_per_bookie]:[AR_per_bookie]],BetTable[[B2]:[B2]],$A157,BetTable[[Date]:[Date]], "&gt;="&amp;M$8,BetTable[[Date]:[Date]],"&lt;="&amp;EOMONTH(M$8,0))+SUMIFS(BetTable[[AR_per_bookie]:[AR_per_bookie]],BetTable[[B3]:[B3]],$A157,BetTable[[Date]:[Date]], "&gt;="&amp;M$8,BetTable[[Date]:[Date]],"&lt;="&amp;EOMONTH(M$8,0))</f>
        <v>0</v>
      </c>
      <c r="N157" s="126">
        <f>SUMIFS(DWbonus[[Sum]:[Sum]],DWbonus[[Dato]:[Dato]], "&gt;="&amp;N$8,DWbonus[[Dato]:[Dato]],"&lt;="&amp;EOMONTH(N$8,0),DWbonus[[Bookie]:[Bookie]],$A157)+SUMIFS(LayTable[[Faktisk res]:[Faktisk res]],LayTable[[Dato]:[Dato]],"&gt;="&amp;N$8,LayTable[[Dato]:[Dato]],"&lt;="&amp;EOMONTH(N$8,0),LayTable[[Bookmaker]:[Bookmaker]],$A157)+SUMIFS(BetTable[[AR_per_bookie]:[AR_per_bookie]],BetTable[[B1]:[B1]],$A157,BetTable[[Date]:[Date]], "&gt;="&amp;N$8,BetTable[[Date]:[Date]],"&lt;="&amp;EOMONTH(N$8,0))+SUMIFS(BetTable[[AR_per_bookie]:[AR_per_bookie]],BetTable[[B2]:[B2]],$A157,BetTable[[Date]:[Date]], "&gt;="&amp;N$8,BetTable[[Date]:[Date]],"&lt;="&amp;EOMONTH(N$8,0))+SUMIFS(BetTable[[AR_per_bookie]:[AR_per_bookie]],BetTable[[B3]:[B3]],$A157,BetTable[[Date]:[Date]], "&gt;="&amp;N$8,BetTable[[Date]:[Date]],"&lt;="&amp;EOMONTH(N$8,0))</f>
        <v>0</v>
      </c>
      <c r="O157" s="126">
        <f>SUMIFS(DWbonus[[Sum]:[Sum]],DWbonus[[Dato]:[Dato]], "&gt;="&amp;O$8,DWbonus[[Dato]:[Dato]],"&lt;="&amp;EOMONTH(O$8,0),DWbonus[[Bookie]:[Bookie]],$A157)+SUMIFS(LayTable[[Faktisk res]:[Faktisk res]],LayTable[[Dato]:[Dato]],"&gt;="&amp;O$8,LayTable[[Dato]:[Dato]],"&lt;="&amp;EOMONTH(O$8,0),LayTable[[Bookmaker]:[Bookmaker]],$A157)+SUMIFS(BetTable[[AR_per_bookie]:[AR_per_bookie]],BetTable[[B1]:[B1]],$A157,BetTable[[Date]:[Date]], "&gt;="&amp;O$8,BetTable[[Date]:[Date]],"&lt;="&amp;EOMONTH(O$8,0))+SUMIFS(BetTable[[AR_per_bookie]:[AR_per_bookie]],BetTable[[B2]:[B2]],$A157,BetTable[[Date]:[Date]], "&gt;="&amp;O$8,BetTable[[Date]:[Date]],"&lt;="&amp;EOMONTH(O$8,0))+SUMIFS(BetTable[[AR_per_bookie]:[AR_per_bookie]],BetTable[[B3]:[B3]],$A157,BetTable[[Date]:[Date]], "&gt;="&amp;O$8,BetTable[[Date]:[Date]],"&lt;="&amp;EOMONTH(O$8,0))</f>
        <v>0</v>
      </c>
      <c r="P157" s="126">
        <f>SUMIFS(DWbonus[[Sum]:[Sum]],DWbonus[[Dato]:[Dato]], "&gt;="&amp;P$8,DWbonus[[Dato]:[Dato]],"&lt;="&amp;EOMONTH(P$8,0),DWbonus[[Bookie]:[Bookie]],$A157)+SUMIFS(LayTable[[Faktisk res]:[Faktisk res]],LayTable[[Dato]:[Dato]],"&gt;="&amp;P$8,LayTable[[Dato]:[Dato]],"&lt;="&amp;EOMONTH(P$8,0),LayTable[[Bookmaker]:[Bookmaker]],$A157)+SUMIFS(BetTable[[AR_per_bookie]:[AR_per_bookie]],BetTable[[B1]:[B1]],$A157,BetTable[[Date]:[Date]], "&gt;="&amp;P$8,BetTable[[Date]:[Date]],"&lt;="&amp;EOMONTH(P$8,0))+SUMIFS(BetTable[[AR_per_bookie]:[AR_per_bookie]],BetTable[[B2]:[B2]],$A157,BetTable[[Date]:[Date]], "&gt;="&amp;P$8,BetTable[[Date]:[Date]],"&lt;="&amp;EOMONTH(P$8,0))+SUMIFS(BetTable[[AR_per_bookie]:[AR_per_bookie]],BetTable[[B3]:[B3]],$A157,BetTable[[Date]:[Date]], "&gt;="&amp;P$8,BetTable[[Date]:[Date]],"&lt;="&amp;EOMONTH(P$8,0))</f>
        <v>0</v>
      </c>
      <c r="Q157" s="126">
        <f>SUMIFS(DWbonus[[Sum]:[Sum]],DWbonus[[Dato]:[Dato]], "&gt;="&amp;Q$8,DWbonus[[Dato]:[Dato]],"&lt;="&amp;EOMONTH(Q$8,0),DWbonus[[Bookie]:[Bookie]],$A157)+SUMIFS(LayTable[[Faktisk res]:[Faktisk res]],LayTable[[Dato]:[Dato]],"&gt;="&amp;Q$8,LayTable[[Dato]:[Dato]],"&lt;="&amp;EOMONTH(Q$8,0),LayTable[[Bookmaker]:[Bookmaker]],$A157)+SUMIFS(BetTable[[AR_per_bookie]:[AR_per_bookie]],BetTable[[B1]:[B1]],$A157,BetTable[[Date]:[Date]], "&gt;="&amp;Q$8,BetTable[[Date]:[Date]],"&lt;="&amp;EOMONTH(Q$8,0))+SUMIFS(BetTable[[AR_per_bookie]:[AR_per_bookie]],BetTable[[B2]:[B2]],$A157,BetTable[[Date]:[Date]], "&gt;="&amp;Q$8,BetTable[[Date]:[Date]],"&lt;="&amp;EOMONTH(Q$8,0))+SUMIFS(BetTable[[AR_per_bookie]:[AR_per_bookie]],BetTable[[B3]:[B3]],$A157,BetTable[[Date]:[Date]], "&gt;="&amp;Q$8,BetTable[[Date]:[Date]],"&lt;="&amp;EOMONTH(Q$8,0))</f>
        <v>0</v>
      </c>
      <c r="R157" s="126">
        <f>SUMIFS(DWbonus[[Sum]:[Sum]],DWbonus[[Dato]:[Dato]], "&gt;="&amp;R$8,DWbonus[[Dato]:[Dato]],"&lt;="&amp;EOMONTH(R$8,0),DWbonus[[Bookie]:[Bookie]],$A157)+SUMIFS(LayTable[[Faktisk res]:[Faktisk res]],LayTable[[Dato]:[Dato]],"&gt;="&amp;R$8,LayTable[[Dato]:[Dato]],"&lt;="&amp;EOMONTH(R$8,0),LayTable[[Bookmaker]:[Bookmaker]],$A157)+SUMIFS(BetTable[[AR_per_bookie]:[AR_per_bookie]],BetTable[[B1]:[B1]],$A157,BetTable[[Date]:[Date]], "&gt;="&amp;R$8,BetTable[[Date]:[Date]],"&lt;="&amp;EOMONTH(R$8,0))+SUMIFS(BetTable[[AR_per_bookie]:[AR_per_bookie]],BetTable[[B2]:[B2]],$A157,BetTable[[Date]:[Date]], "&gt;="&amp;R$8,BetTable[[Date]:[Date]],"&lt;="&amp;EOMONTH(R$8,0))+SUMIFS(BetTable[[AR_per_bookie]:[AR_per_bookie]],BetTable[[B3]:[B3]],$A157,BetTable[[Date]:[Date]], "&gt;="&amp;R$8,BetTable[[Date]:[Date]],"&lt;="&amp;EOMONTH(R$8,0))</f>
        <v>0</v>
      </c>
      <c r="S157" s="126">
        <f>SUMIFS(DWbonus[[Sum]:[Sum]],DWbonus[[Dato]:[Dato]], "&gt;="&amp;S$8,DWbonus[[Dato]:[Dato]],"&lt;="&amp;EOMONTH(S$8,0),DWbonus[[Bookie]:[Bookie]],$A157)+SUMIFS(LayTable[[Faktisk res]:[Faktisk res]],LayTable[[Dato]:[Dato]],"&gt;="&amp;S$8,LayTable[[Dato]:[Dato]],"&lt;="&amp;EOMONTH(S$8,0),LayTable[[Bookmaker]:[Bookmaker]],$A157)+SUMIFS(BetTable[[AR_per_bookie]:[AR_per_bookie]],BetTable[[B1]:[B1]],$A157,BetTable[[Date]:[Date]], "&gt;="&amp;S$8,BetTable[[Date]:[Date]],"&lt;="&amp;EOMONTH(S$8,0))+SUMIFS(BetTable[[AR_per_bookie]:[AR_per_bookie]],BetTable[[B2]:[B2]],$A157,BetTable[[Date]:[Date]], "&gt;="&amp;S$8,BetTable[[Date]:[Date]],"&lt;="&amp;EOMONTH(S$8,0))+SUMIFS(BetTable[[AR_per_bookie]:[AR_per_bookie]],BetTable[[B3]:[B3]],$A157,BetTable[[Date]:[Date]], "&gt;="&amp;S$8,BetTable[[Date]:[Date]],"&lt;="&amp;EOMONTH(S$8,0))</f>
        <v>0</v>
      </c>
    </row>
    <row r="158" spans="1:19">
      <c r="A158" s="115">
        <f>BookieNavn!I152</f>
        <v>0</v>
      </c>
      <c r="B158" s="126">
        <f>SUMIF(Penger!D$1:D$50072,A158,Penger!F$1:F$50072)</f>
        <v>0</v>
      </c>
      <c r="C158" s="126">
        <f>SUMIF(Penger!T$1:T$50072,A158,Penger!U$1:U$50072)</f>
        <v>0</v>
      </c>
      <c r="D158" s="126">
        <f ca="1">SUMIF(Spill!C$1:C$499895,A158,Spill!T$1:T$49895)+C158</f>
        <v>0</v>
      </c>
      <c r="E158" s="126">
        <f>SUMIF(Spill!C$1:C$49895,A158,Spill!T$1:T$49895)</f>
        <v>0</v>
      </c>
      <c r="F158" s="121" t="e">
        <f t="shared" ca="1" si="3"/>
        <v>#DIV/0!</v>
      </c>
      <c r="H158" s="126">
        <f>SUMIFS(DWbonus[[Sum]:[Sum]],DWbonus[[Dato]:[Dato]], "&gt;="&amp;H$8,DWbonus[[Dato]:[Dato]],"&lt;="&amp;EOMONTH(H$8,0),DWbonus[[Bookie]:[Bookie]],$A158)+SUMIFS(LayTable[[Faktisk res]:[Faktisk res]],LayTable[[Dato]:[Dato]],"&gt;="&amp;H$8,LayTable[[Dato]:[Dato]],"&lt;="&amp;EOMONTH(H$8,0),LayTable[[Bookmaker]:[Bookmaker]],$A158)+SUMIFS(BetTable[[AR_per_bookie]:[AR_per_bookie]],BetTable[[B1]:[B1]],$A158,BetTable[[Date]:[Date]], "&gt;="&amp;H$8,BetTable[[Date]:[Date]],"&lt;="&amp;EOMONTH(H$8,0))+SUMIFS(BetTable[[AR_per_bookie]:[AR_per_bookie]],BetTable[[B2]:[B2]],$A158,BetTable[[Date]:[Date]], "&gt;="&amp;H$8,BetTable[[Date]:[Date]],"&lt;="&amp;EOMONTH(H$8,0))+SUMIFS(BetTable[[AR_per_bookie]:[AR_per_bookie]],BetTable[[B3]:[B3]],$A158,BetTable[[Date]:[Date]], "&gt;="&amp;H$8,BetTable[[Date]:[Date]],"&lt;="&amp;EOMONTH(H$8,0))</f>
        <v>0</v>
      </c>
      <c r="I158" s="126">
        <f>SUMIFS(DWbonus[[Sum]:[Sum]],DWbonus[[Dato]:[Dato]], "&gt;="&amp;I$8,DWbonus[[Dato]:[Dato]],"&lt;="&amp;EOMONTH(I$8,0),DWbonus[[Bookie]:[Bookie]],$A158)+SUMIFS(LayTable[[Faktisk res]:[Faktisk res]],LayTable[[Dato]:[Dato]],"&gt;="&amp;I$8,LayTable[[Dato]:[Dato]],"&lt;="&amp;EOMONTH(I$8,0),LayTable[[Bookmaker]:[Bookmaker]],$A158)+SUMIFS(BetTable[[AR_per_bookie]:[AR_per_bookie]],BetTable[[B1]:[B1]],$A158,BetTable[[Date]:[Date]], "&gt;="&amp;I$8,BetTable[[Date]:[Date]],"&lt;="&amp;EOMONTH(I$8,0))+SUMIFS(BetTable[[AR_per_bookie]:[AR_per_bookie]],BetTable[[B2]:[B2]],$A158,BetTable[[Date]:[Date]], "&gt;="&amp;I$8,BetTable[[Date]:[Date]],"&lt;="&amp;EOMONTH(I$8,0))+SUMIFS(BetTable[[AR_per_bookie]:[AR_per_bookie]],BetTable[[B3]:[B3]],$A158,BetTable[[Date]:[Date]], "&gt;="&amp;I$8,BetTable[[Date]:[Date]],"&lt;="&amp;EOMONTH(I$8,0))</f>
        <v>0</v>
      </c>
      <c r="J158" s="126">
        <f>SUMIFS(DWbonus[[Sum]:[Sum]],DWbonus[[Dato]:[Dato]], "&gt;="&amp;J$8,DWbonus[[Dato]:[Dato]],"&lt;="&amp;EOMONTH(J$8,0),DWbonus[[Bookie]:[Bookie]],$A158)+SUMIFS(LayTable[[Faktisk res]:[Faktisk res]],LayTable[[Dato]:[Dato]],"&gt;="&amp;J$8,LayTable[[Dato]:[Dato]],"&lt;="&amp;EOMONTH(J$8,0),LayTable[[Bookmaker]:[Bookmaker]],$A158)+SUMIFS(BetTable[[AR_per_bookie]:[AR_per_bookie]],BetTable[[B1]:[B1]],$A158,BetTable[[Date]:[Date]], "&gt;="&amp;J$8,BetTable[[Date]:[Date]],"&lt;="&amp;EOMONTH(J$8,0))+SUMIFS(BetTable[[AR_per_bookie]:[AR_per_bookie]],BetTable[[B2]:[B2]],$A158,BetTable[[Date]:[Date]], "&gt;="&amp;J$8,BetTable[[Date]:[Date]],"&lt;="&amp;EOMONTH(J$8,0))+SUMIFS(BetTable[[AR_per_bookie]:[AR_per_bookie]],BetTable[[B3]:[B3]],$A158,BetTable[[Date]:[Date]], "&gt;="&amp;J$8,BetTable[[Date]:[Date]],"&lt;="&amp;EOMONTH(J$8,0))</f>
        <v>0</v>
      </c>
      <c r="K158" s="126">
        <f>SUMIFS(DWbonus[[Sum]:[Sum]],DWbonus[[Dato]:[Dato]], "&gt;="&amp;K$8,DWbonus[[Dato]:[Dato]],"&lt;="&amp;EOMONTH(K$8,0),DWbonus[[Bookie]:[Bookie]],$A158)+SUMIFS(LayTable[[Faktisk res]:[Faktisk res]],LayTable[[Dato]:[Dato]],"&gt;="&amp;K$8,LayTable[[Dato]:[Dato]],"&lt;="&amp;EOMONTH(K$8,0),LayTable[[Bookmaker]:[Bookmaker]],$A158)+SUMIFS(BetTable[[AR_per_bookie]:[AR_per_bookie]],BetTable[[B1]:[B1]],$A158,BetTable[[Date]:[Date]], "&gt;="&amp;K$8,BetTable[[Date]:[Date]],"&lt;="&amp;EOMONTH(K$8,0))+SUMIFS(BetTable[[AR_per_bookie]:[AR_per_bookie]],BetTable[[B2]:[B2]],$A158,BetTable[[Date]:[Date]], "&gt;="&amp;K$8,BetTable[[Date]:[Date]],"&lt;="&amp;EOMONTH(K$8,0))+SUMIFS(BetTable[[AR_per_bookie]:[AR_per_bookie]],BetTable[[B3]:[B3]],$A158,BetTable[[Date]:[Date]], "&gt;="&amp;K$8,BetTable[[Date]:[Date]],"&lt;="&amp;EOMONTH(K$8,0))</f>
        <v>0</v>
      </c>
      <c r="L158" s="126">
        <f>SUMIFS(DWbonus[[Sum]:[Sum]],DWbonus[[Dato]:[Dato]], "&gt;="&amp;L$8,DWbonus[[Dato]:[Dato]],"&lt;="&amp;EOMONTH(L$8,0),DWbonus[[Bookie]:[Bookie]],$A158)+SUMIFS(LayTable[[Faktisk res]:[Faktisk res]],LayTable[[Dato]:[Dato]],"&gt;="&amp;L$8,LayTable[[Dato]:[Dato]],"&lt;="&amp;EOMONTH(L$8,0),LayTable[[Bookmaker]:[Bookmaker]],$A158)+SUMIFS(BetTable[[AR_per_bookie]:[AR_per_bookie]],BetTable[[B1]:[B1]],$A158,BetTable[[Date]:[Date]], "&gt;="&amp;L$8,BetTable[[Date]:[Date]],"&lt;="&amp;EOMONTH(L$8,0))+SUMIFS(BetTable[[AR_per_bookie]:[AR_per_bookie]],BetTable[[B2]:[B2]],$A158,BetTable[[Date]:[Date]], "&gt;="&amp;L$8,BetTable[[Date]:[Date]],"&lt;="&amp;EOMONTH(L$8,0))+SUMIFS(BetTable[[AR_per_bookie]:[AR_per_bookie]],BetTable[[B3]:[B3]],$A158,BetTable[[Date]:[Date]], "&gt;="&amp;L$8,BetTable[[Date]:[Date]],"&lt;="&amp;EOMONTH(L$8,0))</f>
        <v>0</v>
      </c>
      <c r="M158" s="126">
        <f>SUMIFS(DWbonus[[Sum]:[Sum]],DWbonus[[Dato]:[Dato]], "&gt;="&amp;M$8,DWbonus[[Dato]:[Dato]],"&lt;="&amp;EOMONTH(M$8,0),DWbonus[[Bookie]:[Bookie]],$A158)+SUMIFS(LayTable[[Faktisk res]:[Faktisk res]],LayTable[[Dato]:[Dato]],"&gt;="&amp;M$8,LayTable[[Dato]:[Dato]],"&lt;="&amp;EOMONTH(M$8,0),LayTable[[Bookmaker]:[Bookmaker]],$A158)+SUMIFS(BetTable[[AR_per_bookie]:[AR_per_bookie]],BetTable[[B1]:[B1]],$A158,BetTable[[Date]:[Date]], "&gt;="&amp;M$8,BetTable[[Date]:[Date]],"&lt;="&amp;EOMONTH(M$8,0))+SUMIFS(BetTable[[AR_per_bookie]:[AR_per_bookie]],BetTable[[B2]:[B2]],$A158,BetTable[[Date]:[Date]], "&gt;="&amp;M$8,BetTable[[Date]:[Date]],"&lt;="&amp;EOMONTH(M$8,0))+SUMIFS(BetTable[[AR_per_bookie]:[AR_per_bookie]],BetTable[[B3]:[B3]],$A158,BetTable[[Date]:[Date]], "&gt;="&amp;M$8,BetTable[[Date]:[Date]],"&lt;="&amp;EOMONTH(M$8,0))</f>
        <v>0</v>
      </c>
      <c r="N158" s="126">
        <f>SUMIFS(DWbonus[[Sum]:[Sum]],DWbonus[[Dato]:[Dato]], "&gt;="&amp;N$8,DWbonus[[Dato]:[Dato]],"&lt;="&amp;EOMONTH(N$8,0),DWbonus[[Bookie]:[Bookie]],$A158)+SUMIFS(LayTable[[Faktisk res]:[Faktisk res]],LayTable[[Dato]:[Dato]],"&gt;="&amp;N$8,LayTable[[Dato]:[Dato]],"&lt;="&amp;EOMONTH(N$8,0),LayTable[[Bookmaker]:[Bookmaker]],$A158)+SUMIFS(BetTable[[AR_per_bookie]:[AR_per_bookie]],BetTable[[B1]:[B1]],$A158,BetTable[[Date]:[Date]], "&gt;="&amp;N$8,BetTable[[Date]:[Date]],"&lt;="&amp;EOMONTH(N$8,0))+SUMIFS(BetTable[[AR_per_bookie]:[AR_per_bookie]],BetTable[[B2]:[B2]],$A158,BetTable[[Date]:[Date]], "&gt;="&amp;N$8,BetTable[[Date]:[Date]],"&lt;="&amp;EOMONTH(N$8,0))+SUMIFS(BetTable[[AR_per_bookie]:[AR_per_bookie]],BetTable[[B3]:[B3]],$A158,BetTable[[Date]:[Date]], "&gt;="&amp;N$8,BetTable[[Date]:[Date]],"&lt;="&amp;EOMONTH(N$8,0))</f>
        <v>0</v>
      </c>
      <c r="O158" s="126">
        <f>SUMIFS(DWbonus[[Sum]:[Sum]],DWbonus[[Dato]:[Dato]], "&gt;="&amp;O$8,DWbonus[[Dato]:[Dato]],"&lt;="&amp;EOMONTH(O$8,0),DWbonus[[Bookie]:[Bookie]],$A158)+SUMIFS(LayTable[[Faktisk res]:[Faktisk res]],LayTable[[Dato]:[Dato]],"&gt;="&amp;O$8,LayTable[[Dato]:[Dato]],"&lt;="&amp;EOMONTH(O$8,0),LayTable[[Bookmaker]:[Bookmaker]],$A158)+SUMIFS(BetTable[[AR_per_bookie]:[AR_per_bookie]],BetTable[[B1]:[B1]],$A158,BetTable[[Date]:[Date]], "&gt;="&amp;O$8,BetTable[[Date]:[Date]],"&lt;="&amp;EOMONTH(O$8,0))+SUMIFS(BetTable[[AR_per_bookie]:[AR_per_bookie]],BetTable[[B2]:[B2]],$A158,BetTable[[Date]:[Date]], "&gt;="&amp;O$8,BetTable[[Date]:[Date]],"&lt;="&amp;EOMONTH(O$8,0))+SUMIFS(BetTable[[AR_per_bookie]:[AR_per_bookie]],BetTable[[B3]:[B3]],$A158,BetTable[[Date]:[Date]], "&gt;="&amp;O$8,BetTable[[Date]:[Date]],"&lt;="&amp;EOMONTH(O$8,0))</f>
        <v>0</v>
      </c>
      <c r="P158" s="126">
        <f>SUMIFS(DWbonus[[Sum]:[Sum]],DWbonus[[Dato]:[Dato]], "&gt;="&amp;P$8,DWbonus[[Dato]:[Dato]],"&lt;="&amp;EOMONTH(P$8,0),DWbonus[[Bookie]:[Bookie]],$A158)+SUMIFS(LayTable[[Faktisk res]:[Faktisk res]],LayTable[[Dato]:[Dato]],"&gt;="&amp;P$8,LayTable[[Dato]:[Dato]],"&lt;="&amp;EOMONTH(P$8,0),LayTable[[Bookmaker]:[Bookmaker]],$A158)+SUMIFS(BetTable[[AR_per_bookie]:[AR_per_bookie]],BetTable[[B1]:[B1]],$A158,BetTable[[Date]:[Date]], "&gt;="&amp;P$8,BetTable[[Date]:[Date]],"&lt;="&amp;EOMONTH(P$8,0))+SUMIFS(BetTable[[AR_per_bookie]:[AR_per_bookie]],BetTable[[B2]:[B2]],$A158,BetTable[[Date]:[Date]], "&gt;="&amp;P$8,BetTable[[Date]:[Date]],"&lt;="&amp;EOMONTH(P$8,0))+SUMIFS(BetTable[[AR_per_bookie]:[AR_per_bookie]],BetTable[[B3]:[B3]],$A158,BetTable[[Date]:[Date]], "&gt;="&amp;P$8,BetTable[[Date]:[Date]],"&lt;="&amp;EOMONTH(P$8,0))</f>
        <v>0</v>
      </c>
      <c r="Q158" s="126">
        <f>SUMIFS(DWbonus[[Sum]:[Sum]],DWbonus[[Dato]:[Dato]], "&gt;="&amp;Q$8,DWbonus[[Dato]:[Dato]],"&lt;="&amp;EOMONTH(Q$8,0),DWbonus[[Bookie]:[Bookie]],$A158)+SUMIFS(LayTable[[Faktisk res]:[Faktisk res]],LayTable[[Dato]:[Dato]],"&gt;="&amp;Q$8,LayTable[[Dato]:[Dato]],"&lt;="&amp;EOMONTH(Q$8,0),LayTable[[Bookmaker]:[Bookmaker]],$A158)+SUMIFS(BetTable[[AR_per_bookie]:[AR_per_bookie]],BetTable[[B1]:[B1]],$A158,BetTable[[Date]:[Date]], "&gt;="&amp;Q$8,BetTable[[Date]:[Date]],"&lt;="&amp;EOMONTH(Q$8,0))+SUMIFS(BetTable[[AR_per_bookie]:[AR_per_bookie]],BetTable[[B2]:[B2]],$A158,BetTable[[Date]:[Date]], "&gt;="&amp;Q$8,BetTable[[Date]:[Date]],"&lt;="&amp;EOMONTH(Q$8,0))+SUMIFS(BetTable[[AR_per_bookie]:[AR_per_bookie]],BetTable[[B3]:[B3]],$A158,BetTable[[Date]:[Date]], "&gt;="&amp;Q$8,BetTable[[Date]:[Date]],"&lt;="&amp;EOMONTH(Q$8,0))</f>
        <v>0</v>
      </c>
      <c r="R158" s="126">
        <f>SUMIFS(DWbonus[[Sum]:[Sum]],DWbonus[[Dato]:[Dato]], "&gt;="&amp;R$8,DWbonus[[Dato]:[Dato]],"&lt;="&amp;EOMONTH(R$8,0),DWbonus[[Bookie]:[Bookie]],$A158)+SUMIFS(LayTable[[Faktisk res]:[Faktisk res]],LayTable[[Dato]:[Dato]],"&gt;="&amp;R$8,LayTable[[Dato]:[Dato]],"&lt;="&amp;EOMONTH(R$8,0),LayTable[[Bookmaker]:[Bookmaker]],$A158)+SUMIFS(BetTable[[AR_per_bookie]:[AR_per_bookie]],BetTable[[B1]:[B1]],$A158,BetTable[[Date]:[Date]], "&gt;="&amp;R$8,BetTable[[Date]:[Date]],"&lt;="&amp;EOMONTH(R$8,0))+SUMIFS(BetTable[[AR_per_bookie]:[AR_per_bookie]],BetTable[[B2]:[B2]],$A158,BetTable[[Date]:[Date]], "&gt;="&amp;R$8,BetTable[[Date]:[Date]],"&lt;="&amp;EOMONTH(R$8,0))+SUMIFS(BetTable[[AR_per_bookie]:[AR_per_bookie]],BetTable[[B3]:[B3]],$A158,BetTable[[Date]:[Date]], "&gt;="&amp;R$8,BetTable[[Date]:[Date]],"&lt;="&amp;EOMONTH(R$8,0))</f>
        <v>0</v>
      </c>
      <c r="S158" s="126">
        <f>SUMIFS(DWbonus[[Sum]:[Sum]],DWbonus[[Dato]:[Dato]], "&gt;="&amp;S$8,DWbonus[[Dato]:[Dato]],"&lt;="&amp;EOMONTH(S$8,0),DWbonus[[Bookie]:[Bookie]],$A158)+SUMIFS(LayTable[[Faktisk res]:[Faktisk res]],LayTable[[Dato]:[Dato]],"&gt;="&amp;S$8,LayTable[[Dato]:[Dato]],"&lt;="&amp;EOMONTH(S$8,0),LayTable[[Bookmaker]:[Bookmaker]],$A158)+SUMIFS(BetTable[[AR_per_bookie]:[AR_per_bookie]],BetTable[[B1]:[B1]],$A158,BetTable[[Date]:[Date]], "&gt;="&amp;S$8,BetTable[[Date]:[Date]],"&lt;="&amp;EOMONTH(S$8,0))+SUMIFS(BetTable[[AR_per_bookie]:[AR_per_bookie]],BetTable[[B2]:[B2]],$A158,BetTable[[Date]:[Date]], "&gt;="&amp;S$8,BetTable[[Date]:[Date]],"&lt;="&amp;EOMONTH(S$8,0))+SUMIFS(BetTable[[AR_per_bookie]:[AR_per_bookie]],BetTable[[B3]:[B3]],$A158,BetTable[[Date]:[Date]], "&gt;="&amp;S$8,BetTable[[Date]:[Date]],"&lt;="&amp;EOMONTH(S$8,0))</f>
        <v>0</v>
      </c>
    </row>
    <row r="159" spans="1:19">
      <c r="A159" s="115">
        <f>BookieNavn!I153</f>
        <v>0</v>
      </c>
      <c r="B159" s="126">
        <f>SUMIF(Penger!D$1:D$50072,A159,Penger!F$1:F$50072)</f>
        <v>0</v>
      </c>
      <c r="C159" s="126">
        <f>SUMIF(Penger!T$1:T$50072,A159,Penger!U$1:U$50072)</f>
        <v>0</v>
      </c>
      <c r="D159" s="126">
        <f ca="1">SUMIF(Spill!C$1:C$499895,A159,Spill!T$1:T$49895)+C159</f>
        <v>0</v>
      </c>
      <c r="E159" s="126">
        <f>SUMIF(Spill!C$1:C$49895,A159,Spill!T$1:T$49895)</f>
        <v>0</v>
      </c>
      <c r="F159" s="121" t="e">
        <f t="shared" ca="1" si="3"/>
        <v>#DIV/0!</v>
      </c>
      <c r="H159" s="126">
        <f>SUMIFS(DWbonus[[Sum]:[Sum]],DWbonus[[Dato]:[Dato]], "&gt;="&amp;H$8,DWbonus[[Dato]:[Dato]],"&lt;="&amp;EOMONTH(H$8,0),DWbonus[[Bookie]:[Bookie]],$A159)+SUMIFS(LayTable[[Faktisk res]:[Faktisk res]],LayTable[[Dato]:[Dato]],"&gt;="&amp;H$8,LayTable[[Dato]:[Dato]],"&lt;="&amp;EOMONTH(H$8,0),LayTable[[Bookmaker]:[Bookmaker]],$A159)+SUMIFS(BetTable[[AR_per_bookie]:[AR_per_bookie]],BetTable[[B1]:[B1]],$A159,BetTable[[Date]:[Date]], "&gt;="&amp;H$8,BetTable[[Date]:[Date]],"&lt;="&amp;EOMONTH(H$8,0))+SUMIFS(BetTable[[AR_per_bookie]:[AR_per_bookie]],BetTable[[B2]:[B2]],$A159,BetTable[[Date]:[Date]], "&gt;="&amp;H$8,BetTable[[Date]:[Date]],"&lt;="&amp;EOMONTH(H$8,0))+SUMIFS(BetTable[[AR_per_bookie]:[AR_per_bookie]],BetTable[[B3]:[B3]],$A159,BetTable[[Date]:[Date]], "&gt;="&amp;H$8,BetTable[[Date]:[Date]],"&lt;="&amp;EOMONTH(H$8,0))</f>
        <v>0</v>
      </c>
      <c r="I159" s="126">
        <f>SUMIFS(DWbonus[[Sum]:[Sum]],DWbonus[[Dato]:[Dato]], "&gt;="&amp;I$8,DWbonus[[Dato]:[Dato]],"&lt;="&amp;EOMONTH(I$8,0),DWbonus[[Bookie]:[Bookie]],$A159)+SUMIFS(LayTable[[Faktisk res]:[Faktisk res]],LayTable[[Dato]:[Dato]],"&gt;="&amp;I$8,LayTable[[Dato]:[Dato]],"&lt;="&amp;EOMONTH(I$8,0),LayTable[[Bookmaker]:[Bookmaker]],$A159)+SUMIFS(BetTable[[AR_per_bookie]:[AR_per_bookie]],BetTable[[B1]:[B1]],$A159,BetTable[[Date]:[Date]], "&gt;="&amp;I$8,BetTable[[Date]:[Date]],"&lt;="&amp;EOMONTH(I$8,0))+SUMIFS(BetTable[[AR_per_bookie]:[AR_per_bookie]],BetTable[[B2]:[B2]],$A159,BetTable[[Date]:[Date]], "&gt;="&amp;I$8,BetTable[[Date]:[Date]],"&lt;="&amp;EOMONTH(I$8,0))+SUMIFS(BetTable[[AR_per_bookie]:[AR_per_bookie]],BetTable[[B3]:[B3]],$A159,BetTable[[Date]:[Date]], "&gt;="&amp;I$8,BetTable[[Date]:[Date]],"&lt;="&amp;EOMONTH(I$8,0))</f>
        <v>0</v>
      </c>
      <c r="J159" s="126">
        <f>SUMIFS(DWbonus[[Sum]:[Sum]],DWbonus[[Dato]:[Dato]], "&gt;="&amp;J$8,DWbonus[[Dato]:[Dato]],"&lt;="&amp;EOMONTH(J$8,0),DWbonus[[Bookie]:[Bookie]],$A159)+SUMIFS(LayTable[[Faktisk res]:[Faktisk res]],LayTable[[Dato]:[Dato]],"&gt;="&amp;J$8,LayTable[[Dato]:[Dato]],"&lt;="&amp;EOMONTH(J$8,0),LayTable[[Bookmaker]:[Bookmaker]],$A159)+SUMIFS(BetTable[[AR_per_bookie]:[AR_per_bookie]],BetTable[[B1]:[B1]],$A159,BetTable[[Date]:[Date]], "&gt;="&amp;J$8,BetTable[[Date]:[Date]],"&lt;="&amp;EOMONTH(J$8,0))+SUMIFS(BetTable[[AR_per_bookie]:[AR_per_bookie]],BetTable[[B2]:[B2]],$A159,BetTable[[Date]:[Date]], "&gt;="&amp;J$8,BetTable[[Date]:[Date]],"&lt;="&amp;EOMONTH(J$8,0))+SUMIFS(BetTable[[AR_per_bookie]:[AR_per_bookie]],BetTable[[B3]:[B3]],$A159,BetTable[[Date]:[Date]], "&gt;="&amp;J$8,BetTable[[Date]:[Date]],"&lt;="&amp;EOMONTH(J$8,0))</f>
        <v>0</v>
      </c>
      <c r="K159" s="126">
        <f>SUMIFS(DWbonus[[Sum]:[Sum]],DWbonus[[Dato]:[Dato]], "&gt;="&amp;K$8,DWbonus[[Dato]:[Dato]],"&lt;="&amp;EOMONTH(K$8,0),DWbonus[[Bookie]:[Bookie]],$A159)+SUMIFS(LayTable[[Faktisk res]:[Faktisk res]],LayTable[[Dato]:[Dato]],"&gt;="&amp;K$8,LayTable[[Dato]:[Dato]],"&lt;="&amp;EOMONTH(K$8,0),LayTable[[Bookmaker]:[Bookmaker]],$A159)+SUMIFS(BetTable[[AR_per_bookie]:[AR_per_bookie]],BetTable[[B1]:[B1]],$A159,BetTable[[Date]:[Date]], "&gt;="&amp;K$8,BetTable[[Date]:[Date]],"&lt;="&amp;EOMONTH(K$8,0))+SUMIFS(BetTable[[AR_per_bookie]:[AR_per_bookie]],BetTable[[B2]:[B2]],$A159,BetTable[[Date]:[Date]], "&gt;="&amp;K$8,BetTable[[Date]:[Date]],"&lt;="&amp;EOMONTH(K$8,0))+SUMIFS(BetTable[[AR_per_bookie]:[AR_per_bookie]],BetTable[[B3]:[B3]],$A159,BetTable[[Date]:[Date]], "&gt;="&amp;K$8,BetTable[[Date]:[Date]],"&lt;="&amp;EOMONTH(K$8,0))</f>
        <v>0</v>
      </c>
      <c r="L159" s="126">
        <f>SUMIFS(DWbonus[[Sum]:[Sum]],DWbonus[[Dato]:[Dato]], "&gt;="&amp;L$8,DWbonus[[Dato]:[Dato]],"&lt;="&amp;EOMONTH(L$8,0),DWbonus[[Bookie]:[Bookie]],$A159)+SUMIFS(LayTable[[Faktisk res]:[Faktisk res]],LayTable[[Dato]:[Dato]],"&gt;="&amp;L$8,LayTable[[Dato]:[Dato]],"&lt;="&amp;EOMONTH(L$8,0),LayTable[[Bookmaker]:[Bookmaker]],$A159)+SUMIFS(BetTable[[AR_per_bookie]:[AR_per_bookie]],BetTable[[B1]:[B1]],$A159,BetTable[[Date]:[Date]], "&gt;="&amp;L$8,BetTable[[Date]:[Date]],"&lt;="&amp;EOMONTH(L$8,0))+SUMIFS(BetTable[[AR_per_bookie]:[AR_per_bookie]],BetTable[[B2]:[B2]],$A159,BetTable[[Date]:[Date]], "&gt;="&amp;L$8,BetTable[[Date]:[Date]],"&lt;="&amp;EOMONTH(L$8,0))+SUMIFS(BetTable[[AR_per_bookie]:[AR_per_bookie]],BetTable[[B3]:[B3]],$A159,BetTable[[Date]:[Date]], "&gt;="&amp;L$8,BetTable[[Date]:[Date]],"&lt;="&amp;EOMONTH(L$8,0))</f>
        <v>0</v>
      </c>
      <c r="M159" s="126">
        <f>SUMIFS(DWbonus[[Sum]:[Sum]],DWbonus[[Dato]:[Dato]], "&gt;="&amp;M$8,DWbonus[[Dato]:[Dato]],"&lt;="&amp;EOMONTH(M$8,0),DWbonus[[Bookie]:[Bookie]],$A159)+SUMIFS(LayTable[[Faktisk res]:[Faktisk res]],LayTable[[Dato]:[Dato]],"&gt;="&amp;M$8,LayTable[[Dato]:[Dato]],"&lt;="&amp;EOMONTH(M$8,0),LayTable[[Bookmaker]:[Bookmaker]],$A159)+SUMIFS(BetTable[[AR_per_bookie]:[AR_per_bookie]],BetTable[[B1]:[B1]],$A159,BetTable[[Date]:[Date]], "&gt;="&amp;M$8,BetTable[[Date]:[Date]],"&lt;="&amp;EOMONTH(M$8,0))+SUMIFS(BetTable[[AR_per_bookie]:[AR_per_bookie]],BetTable[[B2]:[B2]],$A159,BetTable[[Date]:[Date]], "&gt;="&amp;M$8,BetTable[[Date]:[Date]],"&lt;="&amp;EOMONTH(M$8,0))+SUMIFS(BetTable[[AR_per_bookie]:[AR_per_bookie]],BetTable[[B3]:[B3]],$A159,BetTable[[Date]:[Date]], "&gt;="&amp;M$8,BetTable[[Date]:[Date]],"&lt;="&amp;EOMONTH(M$8,0))</f>
        <v>0</v>
      </c>
      <c r="N159" s="126">
        <f>SUMIFS(DWbonus[[Sum]:[Sum]],DWbonus[[Dato]:[Dato]], "&gt;="&amp;N$8,DWbonus[[Dato]:[Dato]],"&lt;="&amp;EOMONTH(N$8,0),DWbonus[[Bookie]:[Bookie]],$A159)+SUMIFS(LayTable[[Faktisk res]:[Faktisk res]],LayTable[[Dato]:[Dato]],"&gt;="&amp;N$8,LayTable[[Dato]:[Dato]],"&lt;="&amp;EOMONTH(N$8,0),LayTable[[Bookmaker]:[Bookmaker]],$A159)+SUMIFS(BetTable[[AR_per_bookie]:[AR_per_bookie]],BetTable[[B1]:[B1]],$A159,BetTable[[Date]:[Date]], "&gt;="&amp;N$8,BetTable[[Date]:[Date]],"&lt;="&amp;EOMONTH(N$8,0))+SUMIFS(BetTable[[AR_per_bookie]:[AR_per_bookie]],BetTable[[B2]:[B2]],$A159,BetTable[[Date]:[Date]], "&gt;="&amp;N$8,BetTable[[Date]:[Date]],"&lt;="&amp;EOMONTH(N$8,0))+SUMIFS(BetTable[[AR_per_bookie]:[AR_per_bookie]],BetTable[[B3]:[B3]],$A159,BetTable[[Date]:[Date]], "&gt;="&amp;N$8,BetTable[[Date]:[Date]],"&lt;="&amp;EOMONTH(N$8,0))</f>
        <v>0</v>
      </c>
      <c r="O159" s="126">
        <f>SUMIFS(DWbonus[[Sum]:[Sum]],DWbonus[[Dato]:[Dato]], "&gt;="&amp;O$8,DWbonus[[Dato]:[Dato]],"&lt;="&amp;EOMONTH(O$8,0),DWbonus[[Bookie]:[Bookie]],$A159)+SUMIFS(LayTable[[Faktisk res]:[Faktisk res]],LayTable[[Dato]:[Dato]],"&gt;="&amp;O$8,LayTable[[Dato]:[Dato]],"&lt;="&amp;EOMONTH(O$8,0),LayTable[[Bookmaker]:[Bookmaker]],$A159)+SUMIFS(BetTable[[AR_per_bookie]:[AR_per_bookie]],BetTable[[B1]:[B1]],$A159,BetTable[[Date]:[Date]], "&gt;="&amp;O$8,BetTable[[Date]:[Date]],"&lt;="&amp;EOMONTH(O$8,0))+SUMIFS(BetTable[[AR_per_bookie]:[AR_per_bookie]],BetTable[[B2]:[B2]],$A159,BetTable[[Date]:[Date]], "&gt;="&amp;O$8,BetTable[[Date]:[Date]],"&lt;="&amp;EOMONTH(O$8,0))+SUMIFS(BetTable[[AR_per_bookie]:[AR_per_bookie]],BetTable[[B3]:[B3]],$A159,BetTable[[Date]:[Date]], "&gt;="&amp;O$8,BetTable[[Date]:[Date]],"&lt;="&amp;EOMONTH(O$8,0))</f>
        <v>0</v>
      </c>
      <c r="P159" s="126">
        <f>SUMIFS(DWbonus[[Sum]:[Sum]],DWbonus[[Dato]:[Dato]], "&gt;="&amp;P$8,DWbonus[[Dato]:[Dato]],"&lt;="&amp;EOMONTH(P$8,0),DWbonus[[Bookie]:[Bookie]],$A159)+SUMIFS(LayTable[[Faktisk res]:[Faktisk res]],LayTable[[Dato]:[Dato]],"&gt;="&amp;P$8,LayTable[[Dato]:[Dato]],"&lt;="&amp;EOMONTH(P$8,0),LayTable[[Bookmaker]:[Bookmaker]],$A159)+SUMIFS(BetTable[[AR_per_bookie]:[AR_per_bookie]],BetTable[[B1]:[B1]],$A159,BetTable[[Date]:[Date]], "&gt;="&amp;P$8,BetTable[[Date]:[Date]],"&lt;="&amp;EOMONTH(P$8,0))+SUMIFS(BetTable[[AR_per_bookie]:[AR_per_bookie]],BetTable[[B2]:[B2]],$A159,BetTable[[Date]:[Date]], "&gt;="&amp;P$8,BetTable[[Date]:[Date]],"&lt;="&amp;EOMONTH(P$8,0))+SUMIFS(BetTable[[AR_per_bookie]:[AR_per_bookie]],BetTable[[B3]:[B3]],$A159,BetTable[[Date]:[Date]], "&gt;="&amp;P$8,BetTable[[Date]:[Date]],"&lt;="&amp;EOMONTH(P$8,0))</f>
        <v>0</v>
      </c>
      <c r="Q159" s="126">
        <f>SUMIFS(DWbonus[[Sum]:[Sum]],DWbonus[[Dato]:[Dato]], "&gt;="&amp;Q$8,DWbonus[[Dato]:[Dato]],"&lt;="&amp;EOMONTH(Q$8,0),DWbonus[[Bookie]:[Bookie]],$A159)+SUMIFS(LayTable[[Faktisk res]:[Faktisk res]],LayTable[[Dato]:[Dato]],"&gt;="&amp;Q$8,LayTable[[Dato]:[Dato]],"&lt;="&amp;EOMONTH(Q$8,0),LayTable[[Bookmaker]:[Bookmaker]],$A159)+SUMIFS(BetTable[[AR_per_bookie]:[AR_per_bookie]],BetTable[[B1]:[B1]],$A159,BetTable[[Date]:[Date]], "&gt;="&amp;Q$8,BetTable[[Date]:[Date]],"&lt;="&amp;EOMONTH(Q$8,0))+SUMIFS(BetTable[[AR_per_bookie]:[AR_per_bookie]],BetTable[[B2]:[B2]],$A159,BetTable[[Date]:[Date]], "&gt;="&amp;Q$8,BetTable[[Date]:[Date]],"&lt;="&amp;EOMONTH(Q$8,0))+SUMIFS(BetTable[[AR_per_bookie]:[AR_per_bookie]],BetTable[[B3]:[B3]],$A159,BetTable[[Date]:[Date]], "&gt;="&amp;Q$8,BetTable[[Date]:[Date]],"&lt;="&amp;EOMONTH(Q$8,0))</f>
        <v>0</v>
      </c>
      <c r="R159" s="126">
        <f>SUMIFS(DWbonus[[Sum]:[Sum]],DWbonus[[Dato]:[Dato]], "&gt;="&amp;R$8,DWbonus[[Dato]:[Dato]],"&lt;="&amp;EOMONTH(R$8,0),DWbonus[[Bookie]:[Bookie]],$A159)+SUMIFS(LayTable[[Faktisk res]:[Faktisk res]],LayTable[[Dato]:[Dato]],"&gt;="&amp;R$8,LayTable[[Dato]:[Dato]],"&lt;="&amp;EOMONTH(R$8,0),LayTable[[Bookmaker]:[Bookmaker]],$A159)+SUMIFS(BetTable[[AR_per_bookie]:[AR_per_bookie]],BetTable[[B1]:[B1]],$A159,BetTable[[Date]:[Date]], "&gt;="&amp;R$8,BetTable[[Date]:[Date]],"&lt;="&amp;EOMONTH(R$8,0))+SUMIFS(BetTable[[AR_per_bookie]:[AR_per_bookie]],BetTable[[B2]:[B2]],$A159,BetTable[[Date]:[Date]], "&gt;="&amp;R$8,BetTable[[Date]:[Date]],"&lt;="&amp;EOMONTH(R$8,0))+SUMIFS(BetTable[[AR_per_bookie]:[AR_per_bookie]],BetTable[[B3]:[B3]],$A159,BetTable[[Date]:[Date]], "&gt;="&amp;R$8,BetTable[[Date]:[Date]],"&lt;="&amp;EOMONTH(R$8,0))</f>
        <v>0</v>
      </c>
      <c r="S159" s="126">
        <f>SUMIFS(DWbonus[[Sum]:[Sum]],DWbonus[[Dato]:[Dato]], "&gt;="&amp;S$8,DWbonus[[Dato]:[Dato]],"&lt;="&amp;EOMONTH(S$8,0),DWbonus[[Bookie]:[Bookie]],$A159)+SUMIFS(LayTable[[Faktisk res]:[Faktisk res]],LayTable[[Dato]:[Dato]],"&gt;="&amp;S$8,LayTable[[Dato]:[Dato]],"&lt;="&amp;EOMONTH(S$8,0),LayTable[[Bookmaker]:[Bookmaker]],$A159)+SUMIFS(BetTable[[AR_per_bookie]:[AR_per_bookie]],BetTable[[B1]:[B1]],$A159,BetTable[[Date]:[Date]], "&gt;="&amp;S$8,BetTable[[Date]:[Date]],"&lt;="&amp;EOMONTH(S$8,0))+SUMIFS(BetTable[[AR_per_bookie]:[AR_per_bookie]],BetTable[[B2]:[B2]],$A159,BetTable[[Date]:[Date]], "&gt;="&amp;S$8,BetTable[[Date]:[Date]],"&lt;="&amp;EOMONTH(S$8,0))+SUMIFS(BetTable[[AR_per_bookie]:[AR_per_bookie]],BetTable[[B3]:[B3]],$A159,BetTable[[Date]:[Date]], "&gt;="&amp;S$8,BetTable[[Date]:[Date]],"&lt;="&amp;EOMONTH(S$8,0))</f>
        <v>0</v>
      </c>
    </row>
    <row r="160" spans="1:19">
      <c r="B160" s="126"/>
      <c r="C160" s="126"/>
      <c r="D160" s="126"/>
      <c r="E160" s="126"/>
    </row>
    <row r="161" spans="2:5">
      <c r="B161" s="126"/>
      <c r="C161" s="126"/>
      <c r="D161" s="126"/>
      <c r="E161" s="126"/>
    </row>
    <row r="162" spans="2:5">
      <c r="B162" s="126"/>
      <c r="C162" s="126"/>
      <c r="D162" s="126"/>
      <c r="E162" s="126"/>
    </row>
    <row r="163" spans="2:5">
      <c r="B163" s="126"/>
      <c r="C163" s="126"/>
      <c r="D163" s="126"/>
      <c r="E163" s="126"/>
    </row>
    <row r="164" spans="2:5">
      <c r="B164" s="126"/>
      <c r="C164" s="126"/>
      <c r="D164" s="126"/>
      <c r="E164" s="126"/>
    </row>
    <row r="165" spans="2:5">
      <c r="B165" s="126"/>
      <c r="C165" s="126"/>
      <c r="D165" s="126"/>
      <c r="E165" s="126"/>
    </row>
    <row r="166" spans="2:5">
      <c r="B166" s="126"/>
      <c r="C166" s="126"/>
      <c r="D166" s="126"/>
      <c r="E166" s="126"/>
    </row>
    <row r="167" spans="2:5">
      <c r="B167" s="126"/>
      <c r="C167" s="126"/>
      <c r="D167" s="126"/>
      <c r="E167" s="126"/>
    </row>
    <row r="168" spans="2:5">
      <c r="B168" s="126"/>
      <c r="C168" s="126"/>
      <c r="D168" s="126"/>
      <c r="E168" s="126"/>
    </row>
    <row r="169" spans="2:5">
      <c r="B169" s="126"/>
      <c r="C169" s="126"/>
      <c r="D169" s="126"/>
      <c r="E169" s="126"/>
    </row>
    <row r="170" spans="2:5">
      <c r="B170" s="126"/>
      <c r="C170" s="126"/>
      <c r="D170" s="126"/>
      <c r="E170" s="126"/>
    </row>
    <row r="171" spans="2:5">
      <c r="B171" s="126"/>
      <c r="C171" s="126"/>
      <c r="D171" s="126"/>
      <c r="E171" s="126"/>
    </row>
    <row r="172" spans="2:5">
      <c r="B172" s="126"/>
      <c r="C172" s="126"/>
      <c r="D172" s="126"/>
      <c r="E172" s="126"/>
    </row>
    <row r="173" spans="2:5">
      <c r="B173" s="126"/>
      <c r="C173" s="126"/>
      <c r="D173" s="126"/>
      <c r="E173" s="126"/>
    </row>
    <row r="174" spans="2:5">
      <c r="B174" s="126"/>
      <c r="C174" s="126"/>
      <c r="D174" s="126"/>
      <c r="E174" s="126"/>
    </row>
    <row r="175" spans="2:5">
      <c r="B175" s="126"/>
      <c r="C175" s="126"/>
      <c r="D175" s="126"/>
      <c r="E175" s="126"/>
    </row>
    <row r="176" spans="2:5">
      <c r="B176" s="126"/>
      <c r="C176" s="126"/>
      <c r="D176" s="126"/>
      <c r="E176" s="126"/>
    </row>
    <row r="177" spans="2:5">
      <c r="B177" s="126"/>
      <c r="C177" s="126"/>
      <c r="D177" s="126"/>
      <c r="E177" s="126"/>
    </row>
    <row r="178" spans="2:5">
      <c r="B178" s="126"/>
      <c r="C178" s="126"/>
      <c r="D178" s="126"/>
      <c r="E178" s="126"/>
    </row>
    <row r="179" spans="2:5">
      <c r="B179" s="126"/>
      <c r="C179" s="126"/>
      <c r="D179" s="126"/>
      <c r="E179" s="126"/>
    </row>
    <row r="180" spans="2:5">
      <c r="B180" s="126"/>
      <c r="C180" s="126"/>
      <c r="D180" s="126"/>
      <c r="E180" s="126"/>
    </row>
    <row r="181" spans="2:5">
      <c r="B181" s="126"/>
      <c r="C181" s="126"/>
      <c r="D181" s="126"/>
      <c r="E181" s="126"/>
    </row>
    <row r="182" spans="2:5">
      <c r="B182" s="126"/>
      <c r="C182" s="126"/>
      <c r="D182" s="126"/>
      <c r="E182" s="126"/>
    </row>
    <row r="183" spans="2:5">
      <c r="B183" s="126"/>
      <c r="C183" s="126"/>
      <c r="D183" s="126"/>
      <c r="E183" s="126"/>
    </row>
    <row r="184" spans="2:5">
      <c r="B184" s="126"/>
      <c r="C184" s="126"/>
      <c r="D184" s="126"/>
      <c r="E184" s="126"/>
    </row>
    <row r="185" spans="2:5">
      <c r="B185" s="126"/>
      <c r="C185" s="126"/>
      <c r="D185" s="126"/>
      <c r="E185" s="126"/>
    </row>
    <row r="186" spans="2:5">
      <c r="B186" s="126"/>
      <c r="C186" s="126"/>
      <c r="D186" s="126"/>
      <c r="E186" s="126"/>
    </row>
    <row r="187" spans="2:5">
      <c r="B187" s="126"/>
      <c r="C187" s="126"/>
      <c r="D187" s="126"/>
      <c r="E187" s="126"/>
    </row>
    <row r="188" spans="2:5">
      <c r="B188" s="126"/>
      <c r="C188" s="126"/>
      <c r="D188" s="126"/>
      <c r="E188" s="126"/>
    </row>
    <row r="189" spans="2:5">
      <c r="B189" s="126"/>
      <c r="C189" s="126"/>
      <c r="D189" s="126"/>
      <c r="E189" s="126"/>
    </row>
    <row r="190" spans="2:5">
      <c r="B190" s="126"/>
      <c r="C190" s="126"/>
      <c r="D190" s="126"/>
      <c r="E190" s="126"/>
    </row>
    <row r="191" spans="2:5">
      <c r="B191" s="126"/>
      <c r="C191" s="126"/>
      <c r="D191" s="126"/>
      <c r="E191" s="126"/>
    </row>
    <row r="192" spans="2:5">
      <c r="B192" s="126"/>
      <c r="C192" s="126"/>
      <c r="D192" s="126"/>
      <c r="E192" s="126"/>
    </row>
    <row r="193" spans="2:5">
      <c r="B193" s="126"/>
      <c r="C193" s="126"/>
      <c r="D193" s="126"/>
      <c r="E193" s="126"/>
    </row>
    <row r="194" spans="2:5">
      <c r="B194" s="126"/>
      <c r="C194" s="126"/>
      <c r="D194" s="126"/>
      <c r="E194" s="126"/>
    </row>
    <row r="195" spans="2:5">
      <c r="B195" s="126"/>
      <c r="C195" s="126"/>
      <c r="D195" s="126"/>
      <c r="E195" s="126"/>
    </row>
    <row r="196" spans="2:5">
      <c r="B196" s="126"/>
      <c r="C196" s="126"/>
      <c r="D196" s="126"/>
      <c r="E196" s="126"/>
    </row>
    <row r="197" spans="2:5">
      <c r="B197" s="126"/>
      <c r="C197" s="126"/>
      <c r="D197" s="126"/>
      <c r="E197" s="126"/>
    </row>
    <row r="198" spans="2:5">
      <c r="B198" s="126"/>
      <c r="C198" s="126"/>
      <c r="D198" s="126"/>
      <c r="E198" s="126"/>
    </row>
    <row r="199" spans="2:5">
      <c r="B199" s="126"/>
      <c r="C199" s="126"/>
      <c r="D199" s="126"/>
      <c r="E199" s="126"/>
    </row>
    <row r="200" spans="2:5">
      <c r="B200" s="126"/>
      <c r="C200" s="126"/>
      <c r="D200" s="126"/>
      <c r="E200" s="126"/>
    </row>
    <row r="201" spans="2:5">
      <c r="B201" s="126"/>
      <c r="C201" s="126"/>
      <c r="D201" s="126"/>
      <c r="E201" s="126"/>
    </row>
    <row r="202" spans="2:5">
      <c r="B202" s="126"/>
      <c r="C202" s="126"/>
      <c r="D202" s="126"/>
      <c r="E202" s="126"/>
    </row>
    <row r="203" spans="2:5">
      <c r="B203" s="126"/>
      <c r="C203" s="126"/>
      <c r="D203" s="126"/>
      <c r="E203" s="126"/>
    </row>
    <row r="204" spans="2:5">
      <c r="B204" s="126"/>
      <c r="C204" s="126"/>
      <c r="D204" s="126"/>
      <c r="E204" s="126"/>
    </row>
    <row r="205" spans="2:5">
      <c r="B205" s="126"/>
      <c r="C205" s="126"/>
      <c r="D205" s="126"/>
      <c r="E205" s="126"/>
    </row>
    <row r="206" spans="2:5">
      <c r="B206" s="126"/>
      <c r="C206" s="126"/>
      <c r="D206" s="126"/>
      <c r="E206" s="126"/>
    </row>
    <row r="207" spans="2:5">
      <c r="B207" s="126"/>
      <c r="C207" s="126"/>
      <c r="D207" s="126"/>
      <c r="E207" s="126"/>
    </row>
    <row r="208" spans="2:5">
      <c r="B208" s="126"/>
      <c r="C208" s="126"/>
      <c r="D208" s="126"/>
      <c r="E208" s="126"/>
    </row>
    <row r="209" spans="2:5">
      <c r="B209" s="126"/>
      <c r="C209" s="126"/>
      <c r="D209" s="126"/>
      <c r="E209" s="126"/>
    </row>
    <row r="210" spans="2:5">
      <c r="B210" s="126"/>
      <c r="C210" s="126"/>
      <c r="D210" s="126"/>
      <c r="E210" s="126"/>
    </row>
    <row r="211" spans="2:5">
      <c r="B211" s="126"/>
      <c r="C211" s="126"/>
      <c r="D211" s="126"/>
      <c r="E211" s="126"/>
    </row>
    <row r="212" spans="2:5">
      <c r="B212" s="126"/>
      <c r="C212" s="126"/>
      <c r="D212" s="126"/>
      <c r="E212" s="126"/>
    </row>
    <row r="213" spans="2:5">
      <c r="B213" s="126"/>
      <c r="C213" s="126"/>
      <c r="D213" s="126"/>
      <c r="E213" s="126"/>
    </row>
    <row r="214" spans="2:5">
      <c r="B214" s="126"/>
      <c r="C214" s="126"/>
      <c r="D214" s="126"/>
      <c r="E214" s="126"/>
    </row>
    <row r="215" spans="2:5">
      <c r="B215" s="126"/>
      <c r="C215" s="126"/>
      <c r="D215" s="126"/>
      <c r="E215" s="126"/>
    </row>
    <row r="216" spans="2:5">
      <c r="B216" s="126"/>
      <c r="C216" s="126"/>
      <c r="D216" s="126"/>
      <c r="E216" s="126"/>
    </row>
    <row r="217" spans="2:5">
      <c r="B217" s="126"/>
      <c r="C217" s="126"/>
      <c r="D217" s="126"/>
      <c r="E217" s="126"/>
    </row>
    <row r="218" spans="2:5">
      <c r="B218" s="126"/>
      <c r="C218" s="126"/>
      <c r="D218" s="126"/>
      <c r="E218" s="126"/>
    </row>
    <row r="219" spans="2:5">
      <c r="B219" s="126"/>
      <c r="C219" s="126"/>
      <c r="D219" s="126"/>
      <c r="E219" s="126"/>
    </row>
    <row r="220" spans="2:5">
      <c r="B220" s="126"/>
      <c r="C220" s="126"/>
      <c r="D220" s="126"/>
      <c r="E220" s="126"/>
    </row>
    <row r="221" spans="2:5">
      <c r="B221" s="126"/>
      <c r="C221" s="126"/>
      <c r="D221" s="126"/>
      <c r="E221" s="126"/>
    </row>
    <row r="222" spans="2:5">
      <c r="B222" s="126"/>
      <c r="C222" s="126"/>
      <c r="D222" s="126"/>
      <c r="E222" s="126"/>
    </row>
    <row r="223" spans="2:5">
      <c r="B223" s="126"/>
      <c r="C223" s="126"/>
      <c r="D223" s="126"/>
      <c r="E223" s="126"/>
    </row>
    <row r="224" spans="2:5">
      <c r="B224" s="126"/>
      <c r="C224" s="126"/>
      <c r="D224" s="126"/>
      <c r="E224" s="126"/>
    </row>
    <row r="225" spans="2:5">
      <c r="B225" s="126"/>
      <c r="C225" s="126"/>
      <c r="D225" s="126"/>
      <c r="E225" s="126"/>
    </row>
    <row r="226" spans="2:5">
      <c r="B226" s="126"/>
      <c r="C226" s="126"/>
      <c r="D226" s="126"/>
      <c r="E226" s="126"/>
    </row>
    <row r="227" spans="2:5">
      <c r="B227" s="126"/>
      <c r="C227" s="126"/>
      <c r="D227" s="126"/>
      <c r="E227" s="126"/>
    </row>
    <row r="228" spans="2:5">
      <c r="B228" s="126"/>
      <c r="C228" s="126"/>
      <c r="D228" s="126"/>
      <c r="E228" s="126"/>
    </row>
    <row r="229" spans="2:5">
      <c r="B229" s="126"/>
      <c r="C229" s="126"/>
      <c r="D229" s="126"/>
      <c r="E229" s="126"/>
    </row>
    <row r="230" spans="2:5">
      <c r="B230" s="126"/>
      <c r="C230" s="126"/>
      <c r="D230" s="126"/>
      <c r="E230" s="126"/>
    </row>
    <row r="231" spans="2:5">
      <c r="B231" s="126"/>
      <c r="C231" s="126"/>
      <c r="D231" s="126"/>
      <c r="E231" s="126"/>
    </row>
    <row r="232" spans="2:5">
      <c r="B232" s="126"/>
      <c r="C232" s="126"/>
      <c r="D232" s="126"/>
      <c r="E232" s="126"/>
    </row>
    <row r="233" spans="2:5">
      <c r="B233" s="126"/>
      <c r="C233" s="126"/>
      <c r="D233" s="126"/>
      <c r="E233" s="126"/>
    </row>
    <row r="234" spans="2:5">
      <c r="B234" s="126"/>
      <c r="C234" s="126"/>
      <c r="D234" s="126"/>
      <c r="E234" s="126"/>
    </row>
    <row r="235" spans="2:5">
      <c r="B235" s="126"/>
      <c r="C235" s="126"/>
      <c r="D235" s="126"/>
      <c r="E235" s="126"/>
    </row>
    <row r="236" spans="2:5">
      <c r="B236" s="126"/>
      <c r="C236" s="126"/>
      <c r="D236" s="126"/>
      <c r="E236" s="126"/>
    </row>
    <row r="237" spans="2:5">
      <c r="B237" s="126"/>
      <c r="C237" s="126"/>
      <c r="D237" s="126"/>
      <c r="E237" s="126"/>
    </row>
    <row r="238" spans="2:5">
      <c r="B238" s="126"/>
      <c r="C238" s="126"/>
      <c r="D238" s="126"/>
      <c r="E238" s="126"/>
    </row>
    <row r="239" spans="2:5">
      <c r="B239" s="126"/>
      <c r="C239" s="126"/>
      <c r="D239" s="126"/>
      <c r="E239" s="126"/>
    </row>
    <row r="240" spans="2:5">
      <c r="B240" s="126"/>
      <c r="C240" s="126"/>
      <c r="D240" s="126"/>
      <c r="E240" s="126"/>
    </row>
    <row r="241" spans="2:5">
      <c r="B241" s="126"/>
      <c r="C241" s="126"/>
      <c r="D241" s="126"/>
      <c r="E241" s="126"/>
    </row>
    <row r="242" spans="2:5">
      <c r="B242" s="126"/>
      <c r="C242" s="126"/>
      <c r="D242" s="126"/>
      <c r="E242" s="126"/>
    </row>
    <row r="243" spans="2:5">
      <c r="B243" s="126"/>
      <c r="C243" s="126"/>
      <c r="D243" s="126"/>
      <c r="E243" s="126"/>
    </row>
    <row r="244" spans="2:5">
      <c r="B244" s="126"/>
      <c r="C244" s="126"/>
      <c r="D244" s="126"/>
      <c r="E244" s="126"/>
    </row>
    <row r="245" spans="2:5">
      <c r="B245" s="126"/>
      <c r="C245" s="126"/>
      <c r="D245" s="126"/>
      <c r="E245" s="126"/>
    </row>
    <row r="246" spans="2:5">
      <c r="B246" s="126"/>
      <c r="C246" s="126"/>
      <c r="D246" s="126"/>
      <c r="E246" s="126"/>
    </row>
    <row r="247" spans="2:5">
      <c r="B247" s="126"/>
      <c r="C247" s="126"/>
      <c r="D247" s="126"/>
      <c r="E247" s="126"/>
    </row>
    <row r="248" spans="2:5">
      <c r="B248" s="126"/>
      <c r="C248" s="126"/>
      <c r="D248" s="126"/>
      <c r="E248" s="126"/>
    </row>
    <row r="249" spans="2:5">
      <c r="B249" s="126"/>
      <c r="C249" s="126"/>
      <c r="D249" s="126"/>
      <c r="E249" s="126"/>
    </row>
    <row r="250" spans="2:5">
      <c r="B250" s="126"/>
      <c r="C250" s="126"/>
      <c r="D250" s="126"/>
      <c r="E250" s="126"/>
    </row>
    <row r="251" spans="2:5">
      <c r="B251" s="126"/>
      <c r="C251" s="126"/>
      <c r="D251" s="126"/>
      <c r="E251" s="126"/>
    </row>
    <row r="252" spans="2:5">
      <c r="B252" s="126"/>
      <c r="C252" s="126"/>
      <c r="D252" s="126"/>
      <c r="E252" s="126"/>
    </row>
    <row r="253" spans="2:5">
      <c r="B253" s="126"/>
      <c r="C253" s="126"/>
      <c r="D253" s="126"/>
      <c r="E253" s="126"/>
    </row>
    <row r="254" spans="2:5">
      <c r="B254" s="126"/>
      <c r="C254" s="126"/>
      <c r="D254" s="126"/>
      <c r="E254" s="126"/>
    </row>
    <row r="255" spans="2:5">
      <c r="B255" s="126"/>
      <c r="C255" s="126"/>
      <c r="D255" s="126"/>
      <c r="E255" s="126"/>
    </row>
    <row r="256" spans="2:5">
      <c r="B256" s="126"/>
      <c r="C256" s="126"/>
      <c r="D256" s="126"/>
      <c r="E256" s="126"/>
    </row>
    <row r="257" spans="2:5">
      <c r="B257" s="126"/>
      <c r="C257" s="126"/>
      <c r="D257" s="126"/>
      <c r="E257" s="126"/>
    </row>
    <row r="258" spans="2:5">
      <c r="B258" s="126"/>
      <c r="C258" s="126"/>
      <c r="D258" s="126"/>
      <c r="E258" s="126"/>
    </row>
    <row r="259" spans="2:5">
      <c r="B259" s="126"/>
      <c r="C259" s="126"/>
      <c r="D259" s="126"/>
      <c r="E259" s="126"/>
    </row>
    <row r="260" spans="2:5">
      <c r="B260" s="126"/>
      <c r="C260" s="126"/>
      <c r="D260" s="126"/>
      <c r="E260" s="126"/>
    </row>
    <row r="261" spans="2:5">
      <c r="B261" s="126"/>
      <c r="C261" s="126"/>
      <c r="D261" s="126"/>
      <c r="E261" s="126"/>
    </row>
    <row r="262" spans="2:5">
      <c r="B262" s="126"/>
      <c r="C262" s="126"/>
      <c r="D262" s="126"/>
      <c r="E262" s="126"/>
    </row>
    <row r="263" spans="2:5">
      <c r="B263" s="126"/>
      <c r="C263" s="126"/>
      <c r="D263" s="126"/>
      <c r="E263" s="126"/>
    </row>
    <row r="264" spans="2:5">
      <c r="B264" s="126"/>
      <c r="C264" s="126"/>
      <c r="D264" s="126"/>
      <c r="E264" s="126"/>
    </row>
    <row r="265" spans="2:5">
      <c r="B265" s="126"/>
      <c r="C265" s="126"/>
      <c r="D265" s="126"/>
      <c r="E265" s="126"/>
    </row>
    <row r="266" spans="2:5">
      <c r="B266" s="126"/>
      <c r="C266" s="126"/>
      <c r="D266" s="126"/>
      <c r="E266" s="126"/>
    </row>
    <row r="267" spans="2:5">
      <c r="B267" s="126"/>
      <c r="C267" s="126"/>
      <c r="D267" s="126"/>
      <c r="E267" s="126"/>
    </row>
    <row r="268" spans="2:5">
      <c r="B268" s="126"/>
      <c r="C268" s="126"/>
      <c r="D268" s="126"/>
      <c r="E268" s="126"/>
    </row>
    <row r="269" spans="2:5">
      <c r="B269" s="126"/>
      <c r="C269" s="126"/>
      <c r="D269" s="126"/>
      <c r="E269" s="126"/>
    </row>
    <row r="270" spans="2:5">
      <c r="B270" s="126"/>
      <c r="C270" s="126"/>
      <c r="D270" s="126"/>
      <c r="E270" s="126"/>
    </row>
    <row r="271" spans="2:5">
      <c r="B271" s="126"/>
      <c r="C271" s="126"/>
      <c r="D271" s="126"/>
      <c r="E271" s="126"/>
    </row>
    <row r="272" spans="2:5">
      <c r="B272" s="126"/>
      <c r="C272" s="126"/>
      <c r="D272" s="126"/>
      <c r="E272" s="126"/>
    </row>
    <row r="273" spans="2:5">
      <c r="B273" s="126"/>
      <c r="C273" s="126"/>
      <c r="D273" s="126"/>
      <c r="E273" s="126"/>
    </row>
    <row r="274" spans="2:5">
      <c r="B274" s="126"/>
      <c r="C274" s="126"/>
      <c r="D274" s="126"/>
      <c r="E274" s="126"/>
    </row>
    <row r="275" spans="2:5">
      <c r="B275" s="126"/>
      <c r="C275" s="126"/>
      <c r="D275" s="126"/>
      <c r="E275" s="126"/>
    </row>
    <row r="276" spans="2:5">
      <c r="B276" s="126"/>
      <c r="C276" s="126"/>
      <c r="D276" s="126"/>
      <c r="E276" s="126"/>
    </row>
    <row r="277" spans="2:5">
      <c r="B277" s="126"/>
      <c r="C277" s="126"/>
      <c r="D277" s="126"/>
      <c r="E277" s="126"/>
    </row>
    <row r="278" spans="2:5">
      <c r="B278" s="126"/>
      <c r="C278" s="126"/>
      <c r="D278" s="126"/>
      <c r="E278" s="126"/>
    </row>
    <row r="279" spans="2:5">
      <c r="B279" s="126"/>
      <c r="C279" s="126"/>
      <c r="D279" s="126"/>
      <c r="E279" s="126"/>
    </row>
    <row r="280" spans="2:5">
      <c r="B280" s="126"/>
      <c r="C280" s="126"/>
      <c r="D280" s="126"/>
      <c r="E280" s="126"/>
    </row>
    <row r="281" spans="2:5">
      <c r="B281" s="126"/>
      <c r="C281" s="126"/>
      <c r="D281" s="126"/>
      <c r="E281" s="126"/>
    </row>
    <row r="282" spans="2:5">
      <c r="B282" s="126"/>
      <c r="C282" s="126"/>
      <c r="D282" s="126"/>
      <c r="E282" s="126"/>
    </row>
    <row r="283" spans="2:5">
      <c r="B283" s="126"/>
      <c r="C283" s="126"/>
      <c r="D283" s="126"/>
      <c r="E283" s="126"/>
    </row>
    <row r="284" spans="2:5">
      <c r="B284" s="126"/>
      <c r="C284" s="126"/>
      <c r="D284" s="126"/>
      <c r="E284" s="126"/>
    </row>
    <row r="285" spans="2:5">
      <c r="B285" s="126"/>
      <c r="C285" s="126"/>
      <c r="D285" s="126"/>
      <c r="E285" s="126"/>
    </row>
    <row r="286" spans="2:5">
      <c r="B286" s="126"/>
      <c r="C286" s="126"/>
      <c r="D286" s="126"/>
      <c r="E286" s="126"/>
    </row>
    <row r="287" spans="2:5">
      <c r="B287" s="126"/>
      <c r="C287" s="126"/>
      <c r="D287" s="126"/>
      <c r="E287" s="126"/>
    </row>
    <row r="288" spans="2:5">
      <c r="B288" s="126"/>
      <c r="C288" s="126"/>
      <c r="D288" s="126"/>
      <c r="E288" s="126"/>
    </row>
    <row r="289" spans="2:5">
      <c r="B289" s="126"/>
      <c r="C289" s="126"/>
      <c r="D289" s="126"/>
      <c r="E289" s="126"/>
    </row>
    <row r="290" spans="2:5">
      <c r="B290" s="126"/>
      <c r="C290" s="126"/>
      <c r="D290" s="126"/>
      <c r="E290" s="126"/>
    </row>
    <row r="291" spans="2:5">
      <c r="B291" s="126"/>
      <c r="C291" s="126"/>
      <c r="D291" s="126"/>
      <c r="E291" s="126"/>
    </row>
    <row r="292" spans="2:5">
      <c r="B292" s="126"/>
      <c r="C292" s="126"/>
      <c r="D292" s="126"/>
      <c r="E292" s="126"/>
    </row>
    <row r="293" spans="2:5">
      <c r="B293" s="126"/>
      <c r="C293" s="126"/>
      <c r="D293" s="126"/>
      <c r="E293" s="126"/>
    </row>
    <row r="294" spans="2:5">
      <c r="B294" s="126"/>
      <c r="C294" s="126"/>
      <c r="D294" s="126"/>
      <c r="E294" s="126"/>
    </row>
    <row r="295" spans="2:5">
      <c r="B295" s="126"/>
      <c r="C295" s="126"/>
      <c r="D295" s="126"/>
      <c r="E295" s="126"/>
    </row>
    <row r="296" spans="2:5">
      <c r="B296" s="126"/>
      <c r="C296" s="126"/>
      <c r="D296" s="126"/>
      <c r="E296" s="126"/>
    </row>
    <row r="297" spans="2:5">
      <c r="B297" s="126"/>
      <c r="C297" s="126"/>
      <c r="D297" s="126"/>
      <c r="E297" s="126"/>
    </row>
    <row r="298" spans="2:5">
      <c r="B298" s="126"/>
      <c r="C298" s="126"/>
      <c r="D298" s="126"/>
      <c r="E298" s="126"/>
    </row>
    <row r="299" spans="2:5">
      <c r="B299" s="126"/>
      <c r="C299" s="126"/>
      <c r="D299" s="126"/>
      <c r="E299" s="126"/>
    </row>
    <row r="300" spans="2:5">
      <c r="B300" s="126"/>
      <c r="C300" s="126"/>
      <c r="D300" s="126"/>
      <c r="E300" s="126"/>
    </row>
    <row r="301" spans="2:5">
      <c r="B301" s="126"/>
      <c r="C301" s="126"/>
      <c r="D301" s="126"/>
      <c r="E301" s="126"/>
    </row>
    <row r="302" spans="2:5">
      <c r="B302" s="126"/>
      <c r="C302" s="126"/>
      <c r="D302" s="126"/>
      <c r="E302" s="126"/>
    </row>
    <row r="303" spans="2:5">
      <c r="B303" s="126"/>
      <c r="C303" s="126"/>
      <c r="D303" s="126"/>
      <c r="E303" s="126"/>
    </row>
    <row r="304" spans="2:5">
      <c r="B304" s="126"/>
      <c r="C304" s="126"/>
      <c r="D304" s="126"/>
      <c r="E304" s="126"/>
    </row>
    <row r="305" spans="2:5">
      <c r="B305" s="126"/>
      <c r="C305" s="126"/>
      <c r="D305" s="126"/>
      <c r="E305" s="126"/>
    </row>
    <row r="306" spans="2:5">
      <c r="B306" s="126"/>
      <c r="C306" s="126"/>
      <c r="D306" s="126"/>
      <c r="E306" s="126"/>
    </row>
    <row r="307" spans="2:5">
      <c r="B307" s="126"/>
      <c r="C307" s="126"/>
      <c r="D307" s="126"/>
      <c r="E307" s="126"/>
    </row>
    <row r="308" spans="2:5">
      <c r="B308" s="126"/>
      <c r="C308" s="126"/>
      <c r="D308" s="126"/>
      <c r="E308" s="126"/>
    </row>
    <row r="309" spans="2:5">
      <c r="B309" s="126"/>
      <c r="C309" s="126"/>
      <c r="D309" s="126"/>
      <c r="E309" s="126"/>
    </row>
    <row r="310" spans="2:5">
      <c r="B310" s="126"/>
      <c r="C310" s="126"/>
      <c r="D310" s="126"/>
      <c r="E310" s="126"/>
    </row>
    <row r="311" spans="2:5">
      <c r="B311" s="126"/>
      <c r="C311" s="126"/>
      <c r="D311" s="126"/>
      <c r="E311" s="126"/>
    </row>
  </sheetData>
  <conditionalFormatting sqref="F10">
    <cfRule type="cellIs" dxfId="97" priority="11" operator="lessThan">
      <formula>0.8</formula>
    </cfRule>
    <cfRule type="cellIs" dxfId="96" priority="12" operator="greaterThan">
      <formula>0.8</formula>
    </cfRule>
  </conditionalFormatting>
  <conditionalFormatting sqref="B10:B159">
    <cfRule type="cellIs" dxfId="95" priority="16" operator="lessThan">
      <formula>0</formula>
    </cfRule>
    <cfRule type="cellIs" dxfId="94" priority="17" operator="greaterThan">
      <formula>0</formula>
    </cfRule>
  </conditionalFormatting>
  <conditionalFormatting sqref="D10:D159">
    <cfRule type="cellIs" dxfId="93" priority="13" operator="greaterThan">
      <formula>100</formula>
    </cfRule>
    <cfRule type="cellIs" dxfId="92" priority="14" operator="between">
      <formula>0</formula>
      <formula>99</formula>
    </cfRule>
    <cfRule type="cellIs" dxfId="91" priority="15" operator="lessThan">
      <formula>0</formula>
    </cfRule>
  </conditionalFormatting>
  <conditionalFormatting sqref="F11:F159">
    <cfRule type="cellIs" dxfId="90" priority="4" operator="lessThan">
      <formula>0.8</formula>
    </cfRule>
    <cfRule type="cellIs" dxfId="89" priority="5" operator="greaterThan">
      <formula>0.8</formula>
    </cfRule>
  </conditionalFormatting>
  <conditionalFormatting sqref="H10:S159">
    <cfRule type="cellIs" dxfId="88" priority="1" operator="greaterThan">
      <formula>100</formula>
    </cfRule>
    <cfRule type="cellIs" dxfId="87" priority="2" operator="between">
      <formula>0</formula>
      <formula>99</formula>
    </cfRule>
    <cfRule type="cellIs" dxfId="86" priority="3" operator="less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96859-4115-4F7B-B3A8-A7D2A5BD66DD}">
  <dimension ref="A1:S824"/>
  <sheetViews>
    <sheetView topLeftCell="I1" workbookViewId="0">
      <selection activeCell="H33" sqref="H33"/>
    </sheetView>
  </sheetViews>
  <sheetFormatPr baseColWidth="10" defaultColWidth="8.83203125" defaultRowHeight="15"/>
  <cols>
    <col min="1" max="1" width="11.33203125" customWidth="1"/>
    <col min="8" max="9" width="10.83203125" bestFit="1" customWidth="1"/>
    <col min="10" max="11" width="10.83203125" customWidth="1"/>
    <col min="19" max="19" width="13.5" bestFit="1" customWidth="1"/>
  </cols>
  <sheetData>
    <row r="1" spans="1:12">
      <c r="A1" t="s">
        <v>102</v>
      </c>
      <c r="B1" t="s">
        <v>27</v>
      </c>
      <c r="C1" t="s">
        <v>283</v>
      </c>
      <c r="D1" t="s">
        <v>116</v>
      </c>
      <c r="E1" t="s">
        <v>284</v>
      </c>
      <c r="L1" s="134"/>
    </row>
    <row r="2" spans="1:12">
      <c r="A2" s="134">
        <v>43831</v>
      </c>
      <c r="B2">
        <f>SUMIFS(DWbonus[Sum],DWbonus[Dato],A2)</f>
        <v>0</v>
      </c>
      <c r="C2">
        <f>SUMIFS(LayTable[Faktisk res],LayTable[Dato],A2)+SUMIFS(BetTable[AR],BetTable[Date],A2)</f>
        <v>168.91219999999998</v>
      </c>
      <c r="D2">
        <f>B2+C2</f>
        <v>168.91219999999998</v>
      </c>
      <c r="E2">
        <f>D2</f>
        <v>168.91219999999998</v>
      </c>
      <c r="H2" t="s">
        <v>288</v>
      </c>
      <c r="I2" t="s">
        <v>285</v>
      </c>
      <c r="J2" t="s">
        <v>286</v>
      </c>
      <c r="K2" s="70" t="s">
        <v>287</v>
      </c>
      <c r="L2" s="134"/>
    </row>
    <row r="3" spans="1:12">
      <c r="A3" s="134">
        <v>43832</v>
      </c>
      <c r="B3">
        <f>SUMIFS(DWbonus[Sum],DWbonus[Dato],A3)</f>
        <v>0</v>
      </c>
      <c r="C3">
        <f>SUMIFS(LayTable[Faktisk res],LayTable[Dato],A3)+SUMIFS(BetTable[AR],BetTable[Date],A3)</f>
        <v>0</v>
      </c>
      <c r="D3">
        <f t="shared" ref="D3:D66" si="0">B3+C3</f>
        <v>0</v>
      </c>
      <c r="E3">
        <f>E2+D3</f>
        <v>168.91219999999998</v>
      </c>
      <c r="G3">
        <v>2020</v>
      </c>
      <c r="H3" s="135">
        <v>43831</v>
      </c>
      <c r="I3">
        <f>SUMIFS(DWbonus[Sum],DWbonus[Dato],"&gt;="&amp;H3,DWbonus[Dato],"&lt;="&amp;EOMONTH(H3,0))</f>
        <v>693.5</v>
      </c>
      <c r="J3">
        <f>SUMIFS(LayTable[Faktisk res],LayTable[Dato],"&gt;="&amp;H3,LayTable[Dato],"&lt;="&amp;EOMONTH(H3,0))+SUMIFS(BetTable[AR],BetTable[Date],"&gt;="&amp;H3,BetTable[Date],"&lt;="&amp;EOMONTH(H3,0))</f>
        <v>168.91219999999998</v>
      </c>
      <c r="K3" s="70">
        <f>I3+J3</f>
        <v>862.41219999999998</v>
      </c>
      <c r="L3" s="136"/>
    </row>
    <row r="4" spans="1:12">
      <c r="A4" s="134">
        <v>43833</v>
      </c>
      <c r="B4">
        <f>SUMIFS(DWbonus[Sum],DWbonus[Dato],A4)</f>
        <v>0</v>
      </c>
      <c r="C4">
        <f>SUMIFS(LayTable[Faktisk res],LayTable[Dato],A4)+SUMIFS(BetTable[AR],BetTable[Date],A4)</f>
        <v>0</v>
      </c>
      <c r="D4">
        <f t="shared" si="0"/>
        <v>0</v>
      </c>
      <c r="E4">
        <f t="shared" ref="E4:E67" si="1">E3+D4</f>
        <v>168.91219999999998</v>
      </c>
      <c r="H4" s="135">
        <v>43862</v>
      </c>
      <c r="I4">
        <f>SUMIFS(DWbonus[Sum],DWbonus[Dato],"&gt;="&amp;H4,DWbonus[Dato],"&lt;="&amp;EOMONTH(H4,0))</f>
        <v>0</v>
      </c>
      <c r="J4">
        <f>SUMIFS(LayTable[Faktisk res],LayTable[Dato],"&gt;="&amp;H4,LayTable[Dato],"&lt;="&amp;EOMONTH(H4,0))</f>
        <v>0</v>
      </c>
      <c r="K4" s="70">
        <f t="shared" ref="K4:K14" si="2">I4+J4</f>
        <v>0</v>
      </c>
      <c r="L4" s="136"/>
    </row>
    <row r="5" spans="1:12">
      <c r="A5" s="134">
        <v>43834</v>
      </c>
      <c r="B5">
        <f>SUMIFS(DWbonus[Sum],DWbonus[Dato],A5)</f>
        <v>0</v>
      </c>
      <c r="C5">
        <f>SUMIFS(LayTable[Faktisk res],LayTable[Dato],A5)+SUMIFS(BetTable[AR],BetTable[Date],A5)</f>
        <v>0</v>
      </c>
      <c r="D5">
        <f t="shared" si="0"/>
        <v>0</v>
      </c>
      <c r="E5">
        <f t="shared" si="1"/>
        <v>168.91219999999998</v>
      </c>
      <c r="H5" s="135">
        <v>43891</v>
      </c>
      <c r="I5">
        <f>SUMIFS(DWbonus[Sum],DWbonus[Dato],"&gt;="&amp;H5,DWbonus[Dato],"&lt;="&amp;EOMONTH(H5,0))</f>
        <v>0</v>
      </c>
      <c r="J5">
        <f>SUMIFS(LayTable[Faktisk res],LayTable[Dato],"&gt;="&amp;H5,LayTable[Dato],"&lt;="&amp;EOMONTH(H5,0))</f>
        <v>0</v>
      </c>
      <c r="K5" s="70">
        <f t="shared" si="2"/>
        <v>0</v>
      </c>
      <c r="L5" s="136"/>
    </row>
    <row r="6" spans="1:12">
      <c r="A6" s="134">
        <v>43835</v>
      </c>
      <c r="B6">
        <f>SUMIFS(DWbonus[Sum],DWbonus[Dato],A6)</f>
        <v>540</v>
      </c>
      <c r="C6">
        <f>SUMIFS(LayTable[Faktisk res],LayTable[Dato],A6)+SUMIFS(BetTable[AR],BetTable[Date],A6)</f>
        <v>0</v>
      </c>
      <c r="D6">
        <f t="shared" si="0"/>
        <v>540</v>
      </c>
      <c r="E6">
        <f t="shared" si="1"/>
        <v>708.91219999999998</v>
      </c>
      <c r="H6" s="135">
        <v>43922</v>
      </c>
      <c r="I6">
        <f>SUMIFS(DWbonus[Sum],DWbonus[Dato],"&gt;="&amp;H6,DWbonus[Dato],"&lt;="&amp;EOMONTH(H6,0))</f>
        <v>0</v>
      </c>
      <c r="J6">
        <f>SUMIFS(LayTable[Faktisk res],LayTable[Dato],"&gt;="&amp;H6,LayTable[Dato],"&lt;="&amp;EOMONTH(H6,0))</f>
        <v>0</v>
      </c>
      <c r="K6" s="70">
        <f t="shared" si="2"/>
        <v>0</v>
      </c>
      <c r="L6" s="136"/>
    </row>
    <row r="7" spans="1:12">
      <c r="A7" s="134">
        <v>43836</v>
      </c>
      <c r="B7">
        <f>SUMIFS(DWbonus[Sum],DWbonus[Dato],A7)</f>
        <v>153.5</v>
      </c>
      <c r="C7">
        <f>SUMIFS(LayTable[Faktisk res],LayTable[Dato],A7)+SUMIFS(BetTable[AR],BetTable[Date],A7)</f>
        <v>0</v>
      </c>
      <c r="D7">
        <f t="shared" si="0"/>
        <v>153.5</v>
      </c>
      <c r="E7">
        <f t="shared" si="1"/>
        <v>862.41219999999998</v>
      </c>
      <c r="H7" s="135">
        <v>43952</v>
      </c>
      <c r="I7">
        <f>SUMIFS(DWbonus[Sum],DWbonus[Dato],"&gt;="&amp;H7,DWbonus[Dato],"&lt;="&amp;EOMONTH(H7,0))</f>
        <v>0</v>
      </c>
      <c r="J7">
        <f>SUMIFS(LayTable[Faktisk res],LayTable[Dato],"&gt;="&amp;H7,LayTable[Dato],"&lt;="&amp;EOMONTH(H7,0))</f>
        <v>0</v>
      </c>
      <c r="K7" s="70">
        <f t="shared" si="2"/>
        <v>0</v>
      </c>
      <c r="L7" s="136"/>
    </row>
    <row r="8" spans="1:12">
      <c r="A8" s="134">
        <v>43837</v>
      </c>
      <c r="B8">
        <f>SUMIFS(DWbonus[Sum],DWbonus[Dato],A8)</f>
        <v>0</v>
      </c>
      <c r="C8">
        <f>SUMIFS(LayTable[Faktisk res],LayTable[Dato],A8)+SUMIFS(BetTable[AR],BetTable[Date],A8)</f>
        <v>0</v>
      </c>
      <c r="D8">
        <f t="shared" si="0"/>
        <v>0</v>
      </c>
      <c r="E8">
        <f t="shared" si="1"/>
        <v>862.41219999999998</v>
      </c>
      <c r="H8" s="135">
        <v>43983</v>
      </c>
      <c r="I8">
        <f>SUMIFS(DWbonus[Sum],DWbonus[Dato],"&gt;="&amp;H8,DWbonus[Dato],"&lt;="&amp;EOMONTH(H8,0))</f>
        <v>0</v>
      </c>
      <c r="J8">
        <f>SUMIFS(LayTable[Faktisk res],LayTable[Dato],"&gt;="&amp;H8,LayTable[Dato],"&lt;="&amp;EOMONTH(H8,0))</f>
        <v>0</v>
      </c>
      <c r="K8" s="70">
        <f t="shared" si="2"/>
        <v>0</v>
      </c>
      <c r="L8" s="136"/>
    </row>
    <row r="9" spans="1:12">
      <c r="A9" s="134">
        <v>43838</v>
      </c>
      <c r="B9">
        <f>SUMIFS(DWbonus[Sum],DWbonus[Dato],A9)</f>
        <v>0</v>
      </c>
      <c r="C9">
        <f>SUMIFS(LayTable[Faktisk res],LayTable[Dato],A9)+SUMIFS(BetTable[AR],BetTable[Date],A9)</f>
        <v>0</v>
      </c>
      <c r="D9">
        <f t="shared" si="0"/>
        <v>0</v>
      </c>
      <c r="E9">
        <f t="shared" si="1"/>
        <v>862.41219999999998</v>
      </c>
      <c r="H9" s="135">
        <v>44013</v>
      </c>
      <c r="I9">
        <f>SUMIFS(DWbonus[Sum],DWbonus[Dato],"&gt;="&amp;H9,DWbonus[Dato],"&lt;="&amp;EOMONTH(H9,0))</f>
        <v>0</v>
      </c>
      <c r="J9">
        <f>SUMIFS(LayTable[Faktisk res],LayTable[Dato],"&gt;="&amp;H9,LayTable[Dato],"&lt;="&amp;EOMONTH(H9,0))</f>
        <v>0</v>
      </c>
      <c r="K9" s="70">
        <f t="shared" si="2"/>
        <v>0</v>
      </c>
      <c r="L9" s="136"/>
    </row>
    <row r="10" spans="1:12">
      <c r="A10" s="134">
        <v>43839</v>
      </c>
      <c r="B10">
        <f>SUMIFS(DWbonus[Sum],DWbonus[Dato],A10)</f>
        <v>0</v>
      </c>
      <c r="C10">
        <f>SUMIFS(LayTable[Faktisk res],LayTable[Dato],A10)+SUMIFS(BetTable[AR],BetTable[Date],A10)</f>
        <v>0</v>
      </c>
      <c r="D10">
        <f t="shared" si="0"/>
        <v>0</v>
      </c>
      <c r="E10">
        <f t="shared" si="1"/>
        <v>862.41219999999998</v>
      </c>
      <c r="H10" s="135">
        <v>44044</v>
      </c>
      <c r="I10">
        <f>SUMIFS(DWbonus[Sum],DWbonus[Dato],"&gt;="&amp;H10,DWbonus[Dato],"&lt;="&amp;EOMONTH(H10,0))</f>
        <v>0</v>
      </c>
      <c r="J10">
        <f>SUMIFS(LayTable[Faktisk res],LayTable[Dato],"&gt;="&amp;H10,LayTable[Dato],"&lt;="&amp;EOMONTH(H10,0))</f>
        <v>0</v>
      </c>
      <c r="K10" s="70">
        <f>I10+J10</f>
        <v>0</v>
      </c>
      <c r="L10" s="136"/>
    </row>
    <row r="11" spans="1:12">
      <c r="A11" s="134">
        <v>43840</v>
      </c>
      <c r="B11">
        <f>SUMIFS(DWbonus[Sum],DWbonus[Dato],A11)</f>
        <v>0</v>
      </c>
      <c r="C11">
        <f>SUMIFS(LayTable[Faktisk res],LayTable[Dato],A11)+SUMIFS(BetTable[AR],BetTable[Date],A11)</f>
        <v>0</v>
      </c>
      <c r="D11">
        <f t="shared" si="0"/>
        <v>0</v>
      </c>
      <c r="E11">
        <f t="shared" si="1"/>
        <v>862.41219999999998</v>
      </c>
      <c r="H11" s="135">
        <v>44075</v>
      </c>
      <c r="I11">
        <f>SUMIFS(DWbonus[Sum],DWbonus[Dato],"&gt;="&amp;H11,DWbonus[Dato],"&lt;="&amp;EOMONTH(H11,0))</f>
        <v>0</v>
      </c>
      <c r="J11">
        <f>SUMIFS(LayTable[Faktisk res],LayTable[Dato],"&gt;="&amp;H11,LayTable[Dato],"&lt;="&amp;EOMONTH(H11,0))</f>
        <v>0</v>
      </c>
      <c r="K11" s="70">
        <f t="shared" si="2"/>
        <v>0</v>
      </c>
      <c r="L11" s="136"/>
    </row>
    <row r="12" spans="1:12">
      <c r="A12" s="134">
        <v>43841</v>
      </c>
      <c r="B12">
        <f>SUMIFS(DWbonus[Sum],DWbonus[Dato],A12)</f>
        <v>0</v>
      </c>
      <c r="C12">
        <f>SUMIFS(LayTable[Faktisk res],LayTable[Dato],A12)+SUMIFS(BetTable[AR],BetTable[Date],A12)</f>
        <v>0</v>
      </c>
      <c r="D12">
        <f t="shared" si="0"/>
        <v>0</v>
      </c>
      <c r="E12">
        <f t="shared" si="1"/>
        <v>862.41219999999998</v>
      </c>
      <c r="H12" s="135">
        <v>44105</v>
      </c>
      <c r="I12">
        <f>SUMIFS(DWbonus[Sum],DWbonus[Dato],"&gt;="&amp;H12,DWbonus[Dato],"&lt;="&amp;EOMONTH(H12,0))</f>
        <v>0</v>
      </c>
      <c r="J12">
        <f>SUMIFS(LayTable[Faktisk res],LayTable[Dato],"&gt;="&amp;H12,LayTable[Dato],"&lt;="&amp;EOMONTH(H12,0))</f>
        <v>0</v>
      </c>
      <c r="K12" s="70">
        <f t="shared" si="2"/>
        <v>0</v>
      </c>
      <c r="L12" s="136"/>
    </row>
    <row r="13" spans="1:12">
      <c r="A13" s="134">
        <v>43842</v>
      </c>
      <c r="B13">
        <f>SUMIFS(DWbonus[Sum],DWbonus[Dato],A13)</f>
        <v>0</v>
      </c>
      <c r="C13">
        <f>SUMIFS(LayTable[Faktisk res],LayTable[Dato],A13)+SUMIFS(BetTable[AR],BetTable[Date],A13)</f>
        <v>0</v>
      </c>
      <c r="D13">
        <f t="shared" si="0"/>
        <v>0</v>
      </c>
      <c r="E13">
        <f t="shared" si="1"/>
        <v>862.41219999999998</v>
      </c>
      <c r="H13" s="135">
        <v>44136</v>
      </c>
      <c r="I13">
        <f>SUMIFS(DWbonus[Sum],DWbonus[Dato],"&gt;="&amp;H13,DWbonus[Dato],"&lt;="&amp;EOMONTH(H13,0))</f>
        <v>0</v>
      </c>
      <c r="J13">
        <f>SUMIFS(LayTable[Faktisk res],LayTable[Dato],"&gt;="&amp;H13,LayTable[Dato],"&lt;="&amp;EOMONTH(H13,0))</f>
        <v>0</v>
      </c>
      <c r="K13" s="70">
        <f t="shared" si="2"/>
        <v>0</v>
      </c>
      <c r="L13" s="136"/>
    </row>
    <row r="14" spans="1:12">
      <c r="A14" s="134">
        <v>43843</v>
      </c>
      <c r="B14">
        <f>SUMIFS(DWbonus[Sum],DWbonus[Dato],A14)</f>
        <v>0</v>
      </c>
      <c r="C14">
        <f>SUMIFS(LayTable[Faktisk res],LayTable[Dato],A14)+SUMIFS(BetTable[AR],BetTable[Date],A14)</f>
        <v>0</v>
      </c>
      <c r="D14">
        <f t="shared" si="0"/>
        <v>0</v>
      </c>
      <c r="E14">
        <f t="shared" si="1"/>
        <v>862.41219999999998</v>
      </c>
      <c r="H14" s="135">
        <v>44166</v>
      </c>
      <c r="I14">
        <f>SUMIFS(DWbonus[Sum],DWbonus[Dato],"&gt;="&amp;H14,DWbonus[Dato],"&lt;="&amp;EOMONTH(H14,0))</f>
        <v>0</v>
      </c>
      <c r="J14">
        <f>SUMIFS(LayTable[Faktisk res],LayTable[Dato],"&gt;="&amp;H14,LayTable[Dato],"&lt;="&amp;EOMONTH(H14,0))</f>
        <v>0</v>
      </c>
      <c r="K14" s="70">
        <f t="shared" si="2"/>
        <v>0</v>
      </c>
      <c r="L14" s="136"/>
    </row>
    <row r="15" spans="1:12">
      <c r="A15" s="134">
        <v>43844</v>
      </c>
      <c r="B15">
        <f>SUMIFS(DWbonus[Sum],DWbonus[Dato],A15)</f>
        <v>0</v>
      </c>
      <c r="C15">
        <f>SUMIFS(LayTable[Faktisk res],LayTable[Dato],A15)+SUMIFS(BetTable[AR],BetTable[Date],A15)</f>
        <v>0</v>
      </c>
      <c r="D15">
        <f t="shared" si="0"/>
        <v>0</v>
      </c>
      <c r="E15">
        <f t="shared" si="1"/>
        <v>862.41219999999998</v>
      </c>
      <c r="L15" s="134"/>
    </row>
    <row r="16" spans="1:12">
      <c r="A16" s="134">
        <v>43845</v>
      </c>
      <c r="B16">
        <f>SUMIFS(DWbonus[Sum],DWbonus[Dato],A16)</f>
        <v>0</v>
      </c>
      <c r="C16">
        <f>SUMIFS(LayTable[Faktisk res],LayTable[Dato],A16)+SUMIFS(BetTable[AR],BetTable[Date],A16)</f>
        <v>0</v>
      </c>
      <c r="D16">
        <f t="shared" si="0"/>
        <v>0</v>
      </c>
      <c r="E16">
        <f t="shared" si="1"/>
        <v>862.41219999999998</v>
      </c>
      <c r="L16" s="134"/>
    </row>
    <row r="17" spans="1:19">
      <c r="A17" s="134">
        <v>43846</v>
      </c>
      <c r="B17">
        <f>SUMIFS(DWbonus[Sum],DWbonus[Dato],A17)</f>
        <v>0</v>
      </c>
      <c r="C17">
        <f>SUMIFS(LayTable[Faktisk res],LayTable[Dato],A17)+SUMIFS(BetTable[AR],BetTable[Date],A17)</f>
        <v>0</v>
      </c>
      <c r="D17">
        <f t="shared" si="0"/>
        <v>0</v>
      </c>
      <c r="E17">
        <f t="shared" si="1"/>
        <v>862.41219999999998</v>
      </c>
      <c r="L17" s="134"/>
    </row>
    <row r="18" spans="1:19">
      <c r="A18" s="134">
        <v>43847</v>
      </c>
      <c r="B18">
        <f>SUMIFS(DWbonus[Sum],DWbonus[Dato],A18)</f>
        <v>0</v>
      </c>
      <c r="C18">
        <f>SUMIFS(LayTable[Faktisk res],LayTable[Dato],A18)+SUMIFS(BetTable[AR],BetTable[Date],A18)</f>
        <v>0</v>
      </c>
      <c r="D18">
        <f t="shared" si="0"/>
        <v>0</v>
      </c>
      <c r="E18">
        <f t="shared" si="1"/>
        <v>862.41219999999998</v>
      </c>
      <c r="L18" s="134"/>
    </row>
    <row r="19" spans="1:19">
      <c r="A19" s="134">
        <v>43848</v>
      </c>
      <c r="B19">
        <f>SUMIFS(DWbonus[Sum],DWbonus[Dato],A19)</f>
        <v>0</v>
      </c>
      <c r="C19">
        <f>SUMIFS(LayTable[Faktisk res],LayTable[Dato],A19)+SUMIFS(BetTable[AR],BetTable[Date],A19)</f>
        <v>0</v>
      </c>
      <c r="D19">
        <f t="shared" si="0"/>
        <v>0</v>
      </c>
      <c r="E19">
        <f t="shared" si="1"/>
        <v>862.41219999999998</v>
      </c>
      <c r="L19" s="134"/>
    </row>
    <row r="20" spans="1:19">
      <c r="A20" s="134">
        <v>43849</v>
      </c>
      <c r="B20">
        <f>SUMIFS(DWbonus[Sum],DWbonus[Dato],A20)</f>
        <v>0</v>
      </c>
      <c r="C20">
        <f>SUMIFS(LayTable[Faktisk res],LayTable[Dato],A20)+SUMIFS(BetTable[AR],BetTable[Date],A20)</f>
        <v>0</v>
      </c>
      <c r="D20">
        <f t="shared" si="0"/>
        <v>0</v>
      </c>
      <c r="E20">
        <f t="shared" si="1"/>
        <v>862.41219999999998</v>
      </c>
      <c r="L20" s="134"/>
    </row>
    <row r="21" spans="1:19">
      <c r="A21" s="134">
        <v>43850</v>
      </c>
      <c r="B21">
        <f>SUMIFS(DWbonus[Sum],DWbonus[Dato],A21)</f>
        <v>0</v>
      </c>
      <c r="C21">
        <f>SUMIFS(LayTable[Faktisk res],LayTable[Dato],A21)+SUMIFS(BetTable[AR],BetTable[Date],A21)</f>
        <v>0</v>
      </c>
      <c r="D21">
        <f t="shared" si="0"/>
        <v>0</v>
      </c>
      <c r="E21">
        <f t="shared" si="1"/>
        <v>862.41219999999998</v>
      </c>
      <c r="L21" s="134"/>
    </row>
    <row r="22" spans="1:19">
      <c r="A22" s="134">
        <v>43851</v>
      </c>
      <c r="B22">
        <f>SUMIFS(DWbonus[Sum],DWbonus[Dato],A22)</f>
        <v>0</v>
      </c>
      <c r="C22">
        <f>SUMIFS(LayTable[Faktisk res],LayTable[Dato],A22)+SUMIFS(BetTable[AR],BetTable[Date],A22)</f>
        <v>0</v>
      </c>
      <c r="D22">
        <f t="shared" si="0"/>
        <v>0</v>
      </c>
      <c r="E22">
        <f t="shared" si="1"/>
        <v>862.41219999999998</v>
      </c>
      <c r="L22" s="134"/>
    </row>
    <row r="23" spans="1:19">
      <c r="A23" s="134">
        <v>43852</v>
      </c>
      <c r="B23">
        <f>SUMIFS(DWbonus[Sum],DWbonus[Dato],A23)</f>
        <v>0</v>
      </c>
      <c r="C23">
        <f>SUMIFS(LayTable[Faktisk res],LayTable[Dato],A23)+SUMIFS(BetTable[AR],BetTable[Date],A23)</f>
        <v>0</v>
      </c>
      <c r="D23">
        <f t="shared" si="0"/>
        <v>0</v>
      </c>
      <c r="E23">
        <f t="shared" si="1"/>
        <v>862.41219999999998</v>
      </c>
      <c r="L23" s="134"/>
    </row>
    <row r="24" spans="1:19">
      <c r="A24" s="134">
        <v>43853</v>
      </c>
      <c r="B24">
        <f>SUMIFS(DWbonus[Sum],DWbonus[Dato],A24)</f>
        <v>0</v>
      </c>
      <c r="C24">
        <f>SUMIFS(LayTable[Faktisk res],LayTable[Dato],A24)+SUMIFS(BetTable[AR],BetTable[Date],A24)</f>
        <v>0</v>
      </c>
      <c r="D24">
        <f t="shared" si="0"/>
        <v>0</v>
      </c>
      <c r="E24">
        <f t="shared" si="1"/>
        <v>862.41219999999998</v>
      </c>
      <c r="L24" s="134"/>
    </row>
    <row r="25" spans="1:19">
      <c r="A25" s="134">
        <v>43854</v>
      </c>
      <c r="B25">
        <f>SUMIFS(DWbonus[Sum],DWbonus[Dato],A25)</f>
        <v>0</v>
      </c>
      <c r="C25">
        <f>SUMIFS(LayTable[Faktisk res],LayTable[Dato],A25)+SUMIFS(BetTable[AR],BetTable[Date],A25)</f>
        <v>0</v>
      </c>
      <c r="D25">
        <f t="shared" si="0"/>
        <v>0</v>
      </c>
      <c r="E25">
        <f t="shared" si="1"/>
        <v>862.41219999999998</v>
      </c>
      <c r="L25" s="134"/>
    </row>
    <row r="26" spans="1:19">
      <c r="A26" s="134">
        <v>43855</v>
      </c>
      <c r="B26">
        <f>SUMIFS(DWbonus[Sum],DWbonus[Dato],A26)</f>
        <v>0</v>
      </c>
      <c r="C26">
        <f>SUMIFS(LayTable[Faktisk res],LayTable[Dato],A26)+SUMIFS(BetTable[AR],BetTable[Date],A26)</f>
        <v>0</v>
      </c>
      <c r="D26">
        <f t="shared" si="0"/>
        <v>0</v>
      </c>
      <c r="E26">
        <f t="shared" si="1"/>
        <v>862.41219999999998</v>
      </c>
      <c r="L26" s="134"/>
    </row>
    <row r="27" spans="1:19">
      <c r="A27" s="134">
        <v>43856</v>
      </c>
      <c r="B27">
        <f>SUMIFS(DWbonus[Sum],DWbonus[Dato],A27)</f>
        <v>0</v>
      </c>
      <c r="C27">
        <f>SUMIFS(LayTable[Faktisk res],LayTable[Dato],A27)+SUMIFS(BetTable[AR],BetTable[Date],A27)</f>
        <v>0</v>
      </c>
      <c r="D27">
        <f t="shared" si="0"/>
        <v>0</v>
      </c>
      <c r="E27">
        <f t="shared" si="1"/>
        <v>862.41219999999998</v>
      </c>
      <c r="L27" s="134"/>
    </row>
    <row r="28" spans="1:19">
      <c r="A28" s="134">
        <v>43857</v>
      </c>
      <c r="B28">
        <f>SUMIFS(DWbonus[Sum],DWbonus[Dato],A28)</f>
        <v>0</v>
      </c>
      <c r="C28">
        <f>SUMIFS(LayTable[Faktisk res],LayTable[Dato],A28)+SUMIFS(BetTable[AR],BetTable[Date],A28)</f>
        <v>0</v>
      </c>
      <c r="D28">
        <f t="shared" si="0"/>
        <v>0</v>
      </c>
      <c r="E28">
        <f t="shared" si="1"/>
        <v>862.41219999999998</v>
      </c>
      <c r="L28" s="134"/>
    </row>
    <row r="29" spans="1:19">
      <c r="A29" s="134">
        <v>43858</v>
      </c>
      <c r="B29">
        <f>SUMIFS(DWbonus[Sum],DWbonus[Dato],A29)</f>
        <v>0</v>
      </c>
      <c r="C29">
        <f>SUMIFS(LayTable[Faktisk res],LayTable[Dato],A29)+SUMIFS(BetTable[AR],BetTable[Date],A29)</f>
        <v>0</v>
      </c>
      <c r="D29">
        <f t="shared" si="0"/>
        <v>0</v>
      </c>
      <c r="E29">
        <f t="shared" si="1"/>
        <v>862.41219999999998</v>
      </c>
      <c r="L29" s="134"/>
    </row>
    <row r="30" spans="1:19">
      <c r="A30" s="134">
        <v>43859</v>
      </c>
      <c r="B30">
        <f>SUMIFS(DWbonus[Sum],DWbonus[Dato],A30)</f>
        <v>0</v>
      </c>
      <c r="C30">
        <f>SUMIFS(LayTable[Faktisk res],LayTable[Dato],A30)+SUMIFS(BetTable[AR],BetTable[Date],A30)</f>
        <v>0</v>
      </c>
      <c r="D30">
        <f t="shared" si="0"/>
        <v>0</v>
      </c>
      <c r="E30">
        <f t="shared" si="1"/>
        <v>862.41219999999998</v>
      </c>
      <c r="L30" s="134"/>
      <c r="S30" s="172"/>
    </row>
    <row r="31" spans="1:19">
      <c r="A31" s="134">
        <v>43860</v>
      </c>
      <c r="B31">
        <f>SUMIFS(DWbonus[Sum],DWbonus[Dato],A31)</f>
        <v>0</v>
      </c>
      <c r="C31">
        <f>SUMIFS(LayTable[Faktisk res],LayTable[Dato],A31)+SUMIFS(BetTable[AR],BetTable[Date],A31)</f>
        <v>0</v>
      </c>
      <c r="D31">
        <f t="shared" si="0"/>
        <v>0</v>
      </c>
      <c r="E31">
        <f t="shared" si="1"/>
        <v>862.41219999999998</v>
      </c>
      <c r="L31" s="134"/>
    </row>
    <row r="32" spans="1:19">
      <c r="A32" s="134">
        <v>43861</v>
      </c>
      <c r="B32">
        <f>SUMIFS(DWbonus[Sum],DWbonus[Dato],A32)</f>
        <v>0</v>
      </c>
      <c r="C32">
        <f>SUMIFS(LayTable[Faktisk res],LayTable[Dato],A32)+SUMIFS(BetTable[AR],BetTable[Date],A32)</f>
        <v>0</v>
      </c>
      <c r="D32">
        <f t="shared" si="0"/>
        <v>0</v>
      </c>
      <c r="E32">
        <f t="shared" si="1"/>
        <v>862.41219999999998</v>
      </c>
      <c r="L32" s="134"/>
    </row>
    <row r="33" spans="1:12">
      <c r="A33" s="134">
        <v>43862</v>
      </c>
      <c r="B33">
        <f>SUMIFS(DWbonus[Sum],DWbonus[Dato],A33)</f>
        <v>0</v>
      </c>
      <c r="C33">
        <f>SUMIFS(LayTable[Faktisk res],LayTable[Dato],A33)+SUMIFS(BetTable[AR],BetTable[Date],A33)</f>
        <v>0</v>
      </c>
      <c r="D33">
        <f t="shared" si="0"/>
        <v>0</v>
      </c>
      <c r="E33">
        <f t="shared" si="1"/>
        <v>862.41219999999998</v>
      </c>
      <c r="L33" s="134"/>
    </row>
    <row r="34" spans="1:12">
      <c r="A34" s="134">
        <v>43863</v>
      </c>
      <c r="B34">
        <f>SUMIFS(DWbonus[Sum],DWbonus[Dato],A34)</f>
        <v>0</v>
      </c>
      <c r="C34">
        <f>SUMIFS(LayTable[Faktisk res],LayTable[Dato],A34)+SUMIFS(BetTable[AR],BetTable[Date],A34)</f>
        <v>0</v>
      </c>
      <c r="D34">
        <f t="shared" si="0"/>
        <v>0</v>
      </c>
      <c r="E34">
        <f t="shared" si="1"/>
        <v>862.41219999999998</v>
      </c>
      <c r="L34" s="134"/>
    </row>
    <row r="35" spans="1:12">
      <c r="A35" s="134">
        <v>43864</v>
      </c>
      <c r="B35">
        <f>SUMIFS(DWbonus[Sum],DWbonus[Dato],A35)</f>
        <v>0</v>
      </c>
      <c r="C35">
        <f>SUMIFS(LayTable[Faktisk res],LayTable[Dato],A35)+SUMIFS(BetTable[AR],BetTable[Date],A35)</f>
        <v>0</v>
      </c>
      <c r="D35">
        <f t="shared" si="0"/>
        <v>0</v>
      </c>
      <c r="E35">
        <f t="shared" si="1"/>
        <v>862.41219999999998</v>
      </c>
      <c r="L35" s="134"/>
    </row>
    <row r="36" spans="1:12">
      <c r="A36" s="134">
        <v>43865</v>
      </c>
      <c r="B36">
        <f>SUMIFS(DWbonus[Sum],DWbonus[Dato],A36)</f>
        <v>0</v>
      </c>
      <c r="C36">
        <f>SUMIFS(LayTable[Faktisk res],LayTable[Dato],A36)+SUMIFS(BetTable[AR],BetTable[Date],A36)</f>
        <v>0</v>
      </c>
      <c r="D36">
        <f t="shared" si="0"/>
        <v>0</v>
      </c>
      <c r="E36">
        <f t="shared" si="1"/>
        <v>862.41219999999998</v>
      </c>
      <c r="L36" s="134"/>
    </row>
    <row r="37" spans="1:12">
      <c r="A37" s="134">
        <v>43866</v>
      </c>
      <c r="B37">
        <f>SUMIFS(DWbonus[Sum],DWbonus[Dato],A37)</f>
        <v>0</v>
      </c>
      <c r="C37">
        <f>SUMIFS(LayTable[Faktisk res],LayTable[Dato],A37)+SUMIFS(BetTable[AR],BetTable[Date],A37)</f>
        <v>0</v>
      </c>
      <c r="D37">
        <f t="shared" si="0"/>
        <v>0</v>
      </c>
      <c r="E37">
        <f t="shared" si="1"/>
        <v>862.41219999999998</v>
      </c>
      <c r="L37" s="134"/>
    </row>
    <row r="38" spans="1:12">
      <c r="A38" s="134">
        <v>43867</v>
      </c>
      <c r="B38">
        <f>SUMIFS(DWbonus[Sum],DWbonus[Dato],A38)</f>
        <v>0</v>
      </c>
      <c r="C38">
        <f>SUMIFS(LayTable[Faktisk res],LayTable[Dato],A38)+SUMIFS(BetTable[AR],BetTable[Date],A38)</f>
        <v>0</v>
      </c>
      <c r="D38">
        <f t="shared" si="0"/>
        <v>0</v>
      </c>
      <c r="E38">
        <f t="shared" si="1"/>
        <v>862.41219999999998</v>
      </c>
      <c r="L38" s="134"/>
    </row>
    <row r="39" spans="1:12">
      <c r="A39" s="134">
        <v>43868</v>
      </c>
      <c r="B39">
        <f>SUMIFS(DWbonus[Sum],DWbonus[Dato],A39)</f>
        <v>0</v>
      </c>
      <c r="C39">
        <f>SUMIFS(LayTable[Faktisk res],LayTable[Dato],A39)+SUMIFS(BetTable[AR],BetTable[Date],A39)</f>
        <v>0</v>
      </c>
      <c r="D39">
        <f t="shared" si="0"/>
        <v>0</v>
      </c>
      <c r="E39">
        <f t="shared" si="1"/>
        <v>862.41219999999998</v>
      </c>
      <c r="L39" s="134"/>
    </row>
    <row r="40" spans="1:12">
      <c r="A40" s="134">
        <v>43869</v>
      </c>
      <c r="B40">
        <f>SUMIFS(DWbonus[Sum],DWbonus[Dato],A40)</f>
        <v>0</v>
      </c>
      <c r="C40">
        <f>SUMIFS(LayTable[Faktisk res],LayTable[Dato],A40)+SUMIFS(BetTable[AR],BetTable[Date],A40)</f>
        <v>0</v>
      </c>
      <c r="D40">
        <f t="shared" si="0"/>
        <v>0</v>
      </c>
      <c r="E40">
        <f t="shared" si="1"/>
        <v>862.41219999999998</v>
      </c>
      <c r="L40" s="134"/>
    </row>
    <row r="41" spans="1:12">
      <c r="A41" s="134">
        <v>43870</v>
      </c>
      <c r="B41">
        <f>SUMIFS(DWbonus[Sum],DWbonus[Dato],A41)</f>
        <v>0</v>
      </c>
      <c r="C41">
        <f>SUMIFS(LayTable[Faktisk res],LayTable[Dato],A41)+SUMIFS(BetTable[AR],BetTable[Date],A41)</f>
        <v>0</v>
      </c>
      <c r="D41">
        <f t="shared" si="0"/>
        <v>0</v>
      </c>
      <c r="E41">
        <f t="shared" si="1"/>
        <v>862.41219999999998</v>
      </c>
      <c r="L41" s="134"/>
    </row>
    <row r="42" spans="1:12">
      <c r="A42" s="134">
        <v>43871</v>
      </c>
      <c r="B42">
        <f>SUMIFS(DWbonus[Sum],DWbonus[Dato],A42)</f>
        <v>0</v>
      </c>
      <c r="C42">
        <f>SUMIFS(LayTable[Faktisk res],LayTable[Dato],A42)+SUMIFS(BetTable[AR],BetTable[Date],A42)</f>
        <v>0</v>
      </c>
      <c r="D42">
        <f t="shared" si="0"/>
        <v>0</v>
      </c>
      <c r="E42">
        <f t="shared" si="1"/>
        <v>862.41219999999998</v>
      </c>
      <c r="L42" s="134"/>
    </row>
    <row r="43" spans="1:12">
      <c r="A43" s="134">
        <v>43872</v>
      </c>
      <c r="B43">
        <f>SUMIFS(DWbonus[Sum],DWbonus[Dato],A43)</f>
        <v>0</v>
      </c>
      <c r="C43">
        <f>SUMIFS(LayTable[Faktisk res],LayTable[Dato],A43)+SUMIFS(BetTable[AR],BetTable[Date],A43)</f>
        <v>0</v>
      </c>
      <c r="D43">
        <f t="shared" si="0"/>
        <v>0</v>
      </c>
      <c r="E43">
        <f t="shared" si="1"/>
        <v>862.41219999999998</v>
      </c>
      <c r="L43" s="134"/>
    </row>
    <row r="44" spans="1:12">
      <c r="A44" s="134">
        <v>43873</v>
      </c>
      <c r="B44">
        <f>SUMIFS(DWbonus[Sum],DWbonus[Dato],A44)</f>
        <v>0</v>
      </c>
      <c r="C44">
        <f>SUMIFS(LayTable[Faktisk res],LayTable[Dato],A44)+SUMIFS(BetTable[AR],BetTable[Date],A44)</f>
        <v>0</v>
      </c>
      <c r="D44">
        <f t="shared" si="0"/>
        <v>0</v>
      </c>
      <c r="E44">
        <f t="shared" si="1"/>
        <v>862.41219999999998</v>
      </c>
      <c r="L44" s="134"/>
    </row>
    <row r="45" spans="1:12">
      <c r="A45" s="134">
        <v>43874</v>
      </c>
      <c r="B45">
        <f>SUMIFS(DWbonus[Sum],DWbonus[Dato],A45)</f>
        <v>0</v>
      </c>
      <c r="C45">
        <f>SUMIFS(LayTable[Faktisk res],LayTable[Dato],A45)+SUMIFS(BetTable[AR],BetTable[Date],A45)</f>
        <v>0</v>
      </c>
      <c r="D45">
        <f t="shared" si="0"/>
        <v>0</v>
      </c>
      <c r="E45">
        <f t="shared" si="1"/>
        <v>862.41219999999998</v>
      </c>
      <c r="L45" s="134"/>
    </row>
    <row r="46" spans="1:12">
      <c r="A46" s="134">
        <v>43875</v>
      </c>
      <c r="B46">
        <f>SUMIFS(DWbonus[Sum],DWbonus[Dato],A46)</f>
        <v>0</v>
      </c>
      <c r="C46">
        <f>SUMIFS(LayTable[Faktisk res],LayTable[Dato],A46)+SUMIFS(BetTable[AR],BetTable[Date],A46)</f>
        <v>0</v>
      </c>
      <c r="D46">
        <f t="shared" si="0"/>
        <v>0</v>
      </c>
      <c r="E46">
        <f t="shared" si="1"/>
        <v>862.41219999999998</v>
      </c>
      <c r="L46" s="134"/>
    </row>
    <row r="47" spans="1:12">
      <c r="A47" s="134">
        <v>43876</v>
      </c>
      <c r="B47">
        <f>SUMIFS(DWbonus[Sum],DWbonus[Dato],A47)</f>
        <v>0</v>
      </c>
      <c r="C47">
        <f>SUMIFS(LayTable[Faktisk res],LayTable[Dato],A47)+SUMIFS(BetTable[AR],BetTable[Date],A47)</f>
        <v>0</v>
      </c>
      <c r="D47">
        <f t="shared" si="0"/>
        <v>0</v>
      </c>
      <c r="E47">
        <f t="shared" si="1"/>
        <v>862.41219999999998</v>
      </c>
      <c r="L47" s="134"/>
    </row>
    <row r="48" spans="1:12">
      <c r="A48" s="134">
        <v>43877</v>
      </c>
      <c r="B48">
        <f>SUMIFS(DWbonus[Sum],DWbonus[Dato],A48)</f>
        <v>0</v>
      </c>
      <c r="C48">
        <f>SUMIFS(LayTable[Faktisk res],LayTable[Dato],A48)+SUMIFS(BetTable[AR],BetTable[Date],A48)</f>
        <v>0</v>
      </c>
      <c r="D48">
        <f t="shared" si="0"/>
        <v>0</v>
      </c>
      <c r="E48">
        <f t="shared" si="1"/>
        <v>862.41219999999998</v>
      </c>
      <c r="L48" s="134"/>
    </row>
    <row r="49" spans="1:12">
      <c r="A49" s="134">
        <v>43878</v>
      </c>
      <c r="B49">
        <f>SUMIFS(DWbonus[Sum],DWbonus[Dato],A49)</f>
        <v>0</v>
      </c>
      <c r="C49">
        <f>SUMIFS(LayTable[Faktisk res],LayTable[Dato],A49)+SUMIFS(BetTable[AR],BetTable[Date],A49)</f>
        <v>0</v>
      </c>
      <c r="D49">
        <f t="shared" si="0"/>
        <v>0</v>
      </c>
      <c r="E49">
        <f t="shared" si="1"/>
        <v>862.41219999999998</v>
      </c>
      <c r="L49" s="134"/>
    </row>
    <row r="50" spans="1:12">
      <c r="A50" s="134">
        <v>43879</v>
      </c>
      <c r="B50">
        <f>SUMIFS(DWbonus[Sum],DWbonus[Dato],A50)</f>
        <v>0</v>
      </c>
      <c r="C50">
        <f>SUMIFS(LayTable[Faktisk res],LayTable[Dato],A50)+SUMIFS(BetTable[AR],BetTable[Date],A50)</f>
        <v>0</v>
      </c>
      <c r="D50">
        <f t="shared" si="0"/>
        <v>0</v>
      </c>
      <c r="E50">
        <f t="shared" si="1"/>
        <v>862.41219999999998</v>
      </c>
      <c r="L50" s="134"/>
    </row>
    <row r="51" spans="1:12">
      <c r="A51" s="134">
        <v>43880</v>
      </c>
      <c r="B51">
        <f>SUMIFS(DWbonus[Sum],DWbonus[Dato],A51)</f>
        <v>0</v>
      </c>
      <c r="C51">
        <f>SUMIFS(LayTable[Faktisk res],LayTable[Dato],A51)+SUMIFS(BetTable[AR],BetTable[Date],A51)</f>
        <v>0</v>
      </c>
      <c r="D51">
        <f t="shared" si="0"/>
        <v>0</v>
      </c>
      <c r="E51">
        <f t="shared" si="1"/>
        <v>862.41219999999998</v>
      </c>
      <c r="L51" s="134"/>
    </row>
    <row r="52" spans="1:12">
      <c r="A52" s="134">
        <v>43881</v>
      </c>
      <c r="B52">
        <f>SUMIFS(DWbonus[Sum],DWbonus[Dato],A52)</f>
        <v>0</v>
      </c>
      <c r="C52">
        <f>SUMIFS(LayTable[Faktisk res],LayTable[Dato],A52)+SUMIFS(BetTable[AR],BetTable[Date],A52)</f>
        <v>0</v>
      </c>
      <c r="D52">
        <f t="shared" si="0"/>
        <v>0</v>
      </c>
      <c r="E52">
        <f t="shared" si="1"/>
        <v>862.41219999999998</v>
      </c>
      <c r="L52" s="134"/>
    </row>
    <row r="53" spans="1:12">
      <c r="A53" s="134">
        <v>43882</v>
      </c>
      <c r="B53">
        <f>SUMIFS(DWbonus[Sum],DWbonus[Dato],A53)</f>
        <v>0</v>
      </c>
      <c r="C53">
        <f>SUMIFS(LayTable[Faktisk res],LayTable[Dato],A53)+SUMIFS(BetTable[AR],BetTable[Date],A53)</f>
        <v>0</v>
      </c>
      <c r="D53">
        <f t="shared" si="0"/>
        <v>0</v>
      </c>
      <c r="E53">
        <f t="shared" si="1"/>
        <v>862.41219999999998</v>
      </c>
      <c r="L53" s="134"/>
    </row>
    <row r="54" spans="1:12">
      <c r="A54" s="134">
        <v>43883</v>
      </c>
      <c r="B54">
        <f>SUMIFS(DWbonus[Sum],DWbonus[Dato],A54)</f>
        <v>0</v>
      </c>
      <c r="C54">
        <f>SUMIFS(LayTable[Faktisk res],LayTable[Dato],A54)+SUMIFS(BetTable[AR],BetTable[Date],A54)</f>
        <v>0</v>
      </c>
      <c r="D54">
        <f t="shared" si="0"/>
        <v>0</v>
      </c>
      <c r="E54">
        <f t="shared" si="1"/>
        <v>862.41219999999998</v>
      </c>
      <c r="L54" s="134"/>
    </row>
    <row r="55" spans="1:12">
      <c r="A55" s="134">
        <v>43884</v>
      </c>
      <c r="B55">
        <f>SUMIFS(DWbonus[Sum],DWbonus[Dato],A55)</f>
        <v>0</v>
      </c>
      <c r="C55">
        <f>SUMIFS(LayTable[Faktisk res],LayTable[Dato],A55)+SUMIFS(BetTable[AR],BetTable[Date],A55)</f>
        <v>0</v>
      </c>
      <c r="D55">
        <f t="shared" si="0"/>
        <v>0</v>
      </c>
      <c r="E55">
        <f t="shared" si="1"/>
        <v>862.41219999999998</v>
      </c>
      <c r="L55" s="134"/>
    </row>
    <row r="56" spans="1:12">
      <c r="A56" s="134">
        <v>43885</v>
      </c>
      <c r="B56">
        <f>SUMIFS(DWbonus[Sum],DWbonus[Dato],A56)</f>
        <v>0</v>
      </c>
      <c r="C56">
        <f>SUMIFS(LayTable[Faktisk res],LayTable[Dato],A56)+SUMIFS(BetTable[AR],BetTable[Date],A56)</f>
        <v>0</v>
      </c>
      <c r="D56">
        <f t="shared" si="0"/>
        <v>0</v>
      </c>
      <c r="E56">
        <f t="shared" si="1"/>
        <v>862.41219999999998</v>
      </c>
      <c r="L56" s="134"/>
    </row>
    <row r="57" spans="1:12">
      <c r="A57" s="134">
        <v>43886</v>
      </c>
      <c r="B57">
        <f>SUMIFS(DWbonus[Sum],DWbonus[Dato],A57)</f>
        <v>0</v>
      </c>
      <c r="C57">
        <f>SUMIFS(LayTable[Faktisk res],LayTable[Dato],A57)+SUMIFS(BetTable[AR],BetTable[Date],A57)</f>
        <v>0</v>
      </c>
      <c r="D57">
        <f t="shared" si="0"/>
        <v>0</v>
      </c>
      <c r="E57">
        <f t="shared" si="1"/>
        <v>862.41219999999998</v>
      </c>
      <c r="L57" s="134"/>
    </row>
    <row r="58" spans="1:12">
      <c r="A58" s="134">
        <v>43887</v>
      </c>
      <c r="B58">
        <f>SUMIFS(DWbonus[Sum],DWbonus[Dato],A58)</f>
        <v>0</v>
      </c>
      <c r="C58">
        <f>SUMIFS(LayTable[Faktisk res],LayTable[Dato],A58)+SUMIFS(BetTable[AR],BetTable[Date],A58)</f>
        <v>0</v>
      </c>
      <c r="D58">
        <f t="shared" si="0"/>
        <v>0</v>
      </c>
      <c r="E58">
        <f t="shared" si="1"/>
        <v>862.41219999999998</v>
      </c>
      <c r="L58" s="134"/>
    </row>
    <row r="59" spans="1:12">
      <c r="A59" s="134">
        <v>43888</v>
      </c>
      <c r="B59">
        <f>SUMIFS(DWbonus[Sum],DWbonus[Dato],A59)</f>
        <v>0</v>
      </c>
      <c r="C59">
        <f>SUMIFS(LayTable[Faktisk res],LayTable[Dato],A59)+SUMIFS(BetTable[AR],BetTable[Date],A59)</f>
        <v>0</v>
      </c>
      <c r="D59">
        <f t="shared" si="0"/>
        <v>0</v>
      </c>
      <c r="E59">
        <f t="shared" si="1"/>
        <v>862.41219999999998</v>
      </c>
      <c r="L59" s="134"/>
    </row>
    <row r="60" spans="1:12">
      <c r="A60" s="134">
        <v>43889</v>
      </c>
      <c r="B60">
        <f>SUMIFS(DWbonus[Sum],DWbonus[Dato],A60)</f>
        <v>0</v>
      </c>
      <c r="C60">
        <f>SUMIFS(LayTable[Faktisk res],LayTable[Dato],A60)+SUMIFS(BetTable[AR],BetTable[Date],A60)</f>
        <v>0</v>
      </c>
      <c r="D60">
        <f t="shared" si="0"/>
        <v>0</v>
      </c>
      <c r="E60">
        <f t="shared" si="1"/>
        <v>862.41219999999998</v>
      </c>
      <c r="L60" s="134"/>
    </row>
    <row r="61" spans="1:12">
      <c r="A61" s="134">
        <v>43890</v>
      </c>
      <c r="B61">
        <f>SUMIFS(DWbonus[Sum],DWbonus[Dato],A61)</f>
        <v>0</v>
      </c>
      <c r="C61">
        <f>SUMIFS(LayTable[Faktisk res],LayTable[Dato],A61)+SUMIFS(BetTable[AR],BetTable[Date],A61)</f>
        <v>0</v>
      </c>
      <c r="D61">
        <f t="shared" si="0"/>
        <v>0</v>
      </c>
      <c r="E61">
        <f t="shared" si="1"/>
        <v>862.41219999999998</v>
      </c>
      <c r="L61" s="134"/>
    </row>
    <row r="62" spans="1:12">
      <c r="A62" s="134">
        <v>43891</v>
      </c>
      <c r="B62">
        <f>SUMIFS(DWbonus[Sum],DWbonus[Dato],A62)</f>
        <v>0</v>
      </c>
      <c r="C62">
        <f>SUMIFS(LayTable[Faktisk res],LayTable[Dato],A62)+SUMIFS(BetTable[AR],BetTable[Date],A62)</f>
        <v>0</v>
      </c>
      <c r="D62">
        <f t="shared" si="0"/>
        <v>0</v>
      </c>
      <c r="E62">
        <f t="shared" si="1"/>
        <v>862.41219999999998</v>
      </c>
      <c r="L62" s="134"/>
    </row>
    <row r="63" spans="1:12">
      <c r="A63" s="134">
        <v>43892</v>
      </c>
      <c r="B63">
        <f>SUMIFS(DWbonus[Sum],DWbonus[Dato],A63)</f>
        <v>0</v>
      </c>
      <c r="C63">
        <f>SUMIFS(LayTable[Faktisk res],LayTable[Dato],A63)+SUMIFS(BetTable[AR],BetTable[Date],A63)</f>
        <v>0</v>
      </c>
      <c r="D63">
        <f t="shared" si="0"/>
        <v>0</v>
      </c>
      <c r="E63">
        <f t="shared" si="1"/>
        <v>862.41219999999998</v>
      </c>
      <c r="L63" s="134"/>
    </row>
    <row r="64" spans="1:12">
      <c r="A64" s="134">
        <v>43893</v>
      </c>
      <c r="B64">
        <f>SUMIFS(DWbonus[Sum],DWbonus[Dato],A64)</f>
        <v>0</v>
      </c>
      <c r="C64">
        <f>SUMIFS(LayTable[Faktisk res],LayTable[Dato],A64)+SUMIFS(BetTable[AR],BetTable[Date],A64)</f>
        <v>0</v>
      </c>
      <c r="D64">
        <f t="shared" si="0"/>
        <v>0</v>
      </c>
      <c r="E64">
        <f t="shared" si="1"/>
        <v>862.41219999999998</v>
      </c>
      <c r="L64" s="134"/>
    </row>
    <row r="65" spans="1:12">
      <c r="A65" s="134">
        <v>43894</v>
      </c>
      <c r="B65">
        <f>SUMIFS(DWbonus[Sum],DWbonus[Dato],A65)</f>
        <v>0</v>
      </c>
      <c r="C65">
        <f>SUMIFS(LayTable[Faktisk res],LayTable[Dato],A65)+SUMIFS(BetTable[AR],BetTable[Date],A65)</f>
        <v>0</v>
      </c>
      <c r="D65">
        <f t="shared" si="0"/>
        <v>0</v>
      </c>
      <c r="E65">
        <f t="shared" si="1"/>
        <v>862.41219999999998</v>
      </c>
      <c r="L65" s="134"/>
    </row>
    <row r="66" spans="1:12">
      <c r="A66" s="134">
        <v>43895</v>
      </c>
      <c r="B66">
        <f>SUMIFS(DWbonus[Sum],DWbonus[Dato],A66)</f>
        <v>0</v>
      </c>
      <c r="C66">
        <f>SUMIFS(LayTable[Faktisk res],LayTable[Dato],A66)+SUMIFS(BetTable[AR],BetTable[Date],A66)</f>
        <v>0</v>
      </c>
      <c r="D66">
        <f t="shared" si="0"/>
        <v>0</v>
      </c>
      <c r="E66">
        <f t="shared" si="1"/>
        <v>862.41219999999998</v>
      </c>
      <c r="L66" s="134"/>
    </row>
    <row r="67" spans="1:12">
      <c r="A67" s="134">
        <v>43896</v>
      </c>
      <c r="B67">
        <f>SUMIFS(DWbonus[Sum],DWbonus[Dato],A67)</f>
        <v>0</v>
      </c>
      <c r="C67">
        <f>SUMIFS(LayTable[Faktisk res],LayTable[Dato],A67)+SUMIFS(BetTable[AR],BetTable[Date],A67)</f>
        <v>0</v>
      </c>
      <c r="D67">
        <f t="shared" ref="D67:D130" si="3">B67+C67</f>
        <v>0</v>
      </c>
      <c r="E67">
        <f t="shared" si="1"/>
        <v>862.41219999999998</v>
      </c>
      <c r="L67" s="134"/>
    </row>
    <row r="68" spans="1:12">
      <c r="A68" s="134">
        <v>43897</v>
      </c>
      <c r="B68">
        <f>SUMIFS(DWbonus[Sum],DWbonus[Dato],A68)</f>
        <v>0</v>
      </c>
      <c r="C68">
        <f>SUMIFS(LayTable[Faktisk res],LayTable[Dato],A68)+SUMIFS(BetTable[AR],BetTable[Date],A68)</f>
        <v>0</v>
      </c>
      <c r="D68">
        <f t="shared" si="3"/>
        <v>0</v>
      </c>
      <c r="E68">
        <f t="shared" ref="E68:E131" si="4">E67+D68</f>
        <v>862.41219999999998</v>
      </c>
      <c r="L68" s="134"/>
    </row>
    <row r="69" spans="1:12">
      <c r="A69" s="134">
        <v>43898</v>
      </c>
      <c r="B69">
        <f>SUMIFS(DWbonus[Sum],DWbonus[Dato],A69)</f>
        <v>0</v>
      </c>
      <c r="C69">
        <f>SUMIFS(LayTable[Faktisk res],LayTable[Dato],A69)+SUMIFS(BetTable[AR],BetTable[Date],A69)</f>
        <v>0</v>
      </c>
      <c r="D69">
        <f t="shared" si="3"/>
        <v>0</v>
      </c>
      <c r="E69">
        <f t="shared" si="4"/>
        <v>862.41219999999998</v>
      </c>
      <c r="L69" s="134"/>
    </row>
    <row r="70" spans="1:12">
      <c r="A70" s="134">
        <v>43899</v>
      </c>
      <c r="B70">
        <f>SUMIFS(DWbonus[Sum],DWbonus[Dato],A70)</f>
        <v>0</v>
      </c>
      <c r="C70">
        <f>SUMIFS(LayTable[Faktisk res],LayTable[Dato],A70)+SUMIFS(BetTable[AR],BetTable[Date],A70)</f>
        <v>0</v>
      </c>
      <c r="D70">
        <f t="shared" si="3"/>
        <v>0</v>
      </c>
      <c r="E70">
        <f t="shared" si="4"/>
        <v>862.41219999999998</v>
      </c>
      <c r="L70" s="134"/>
    </row>
    <row r="71" spans="1:12">
      <c r="A71" s="134">
        <v>43900</v>
      </c>
      <c r="B71">
        <f>SUMIFS(DWbonus[Sum],DWbonus[Dato],A71)</f>
        <v>0</v>
      </c>
      <c r="C71">
        <f>SUMIFS(LayTable[Faktisk res],LayTable[Dato],A71)+SUMIFS(BetTable[AR],BetTable[Date],A71)</f>
        <v>0</v>
      </c>
      <c r="D71">
        <f t="shared" si="3"/>
        <v>0</v>
      </c>
      <c r="E71">
        <f t="shared" si="4"/>
        <v>862.41219999999998</v>
      </c>
      <c r="L71" s="134"/>
    </row>
    <row r="72" spans="1:12">
      <c r="A72" s="134">
        <v>43901</v>
      </c>
      <c r="B72">
        <f>SUMIFS(DWbonus[Sum],DWbonus[Dato],A72)</f>
        <v>0</v>
      </c>
      <c r="C72">
        <f>SUMIFS(LayTable[Faktisk res],LayTable[Dato],A72)+SUMIFS(BetTable[AR],BetTable[Date],A72)</f>
        <v>0</v>
      </c>
      <c r="D72">
        <f t="shared" si="3"/>
        <v>0</v>
      </c>
      <c r="E72">
        <f t="shared" si="4"/>
        <v>862.41219999999998</v>
      </c>
      <c r="L72" s="134"/>
    </row>
    <row r="73" spans="1:12">
      <c r="A73" s="134">
        <v>43902</v>
      </c>
      <c r="B73">
        <f>SUMIFS(DWbonus[Sum],DWbonus[Dato],A73)</f>
        <v>0</v>
      </c>
      <c r="C73">
        <f>SUMIFS(LayTable[Faktisk res],LayTable[Dato],A73)+SUMIFS(BetTable[AR],BetTable[Date],A73)</f>
        <v>0</v>
      </c>
      <c r="D73">
        <f t="shared" si="3"/>
        <v>0</v>
      </c>
      <c r="E73">
        <f t="shared" si="4"/>
        <v>862.41219999999998</v>
      </c>
      <c r="L73" s="134"/>
    </row>
    <row r="74" spans="1:12">
      <c r="A74" s="134">
        <v>43903</v>
      </c>
      <c r="B74">
        <f>SUMIFS(DWbonus[Sum],DWbonus[Dato],A74)</f>
        <v>0</v>
      </c>
      <c r="C74">
        <f>SUMIFS(LayTable[Faktisk res],LayTable[Dato],A74)+SUMIFS(BetTable[AR],BetTable[Date],A74)</f>
        <v>0</v>
      </c>
      <c r="D74">
        <f t="shared" si="3"/>
        <v>0</v>
      </c>
      <c r="E74">
        <f t="shared" si="4"/>
        <v>862.41219999999998</v>
      </c>
      <c r="L74" s="134"/>
    </row>
    <row r="75" spans="1:12">
      <c r="A75" s="134">
        <v>43904</v>
      </c>
      <c r="B75">
        <f>SUMIFS(DWbonus[Sum],DWbonus[Dato],A75)</f>
        <v>0</v>
      </c>
      <c r="C75">
        <f>SUMIFS(LayTable[Faktisk res],LayTable[Dato],A75)+SUMIFS(BetTable[AR],BetTable[Date],A75)</f>
        <v>0</v>
      </c>
      <c r="D75">
        <f t="shared" si="3"/>
        <v>0</v>
      </c>
      <c r="E75">
        <f t="shared" si="4"/>
        <v>862.41219999999998</v>
      </c>
      <c r="L75" s="134"/>
    </row>
    <row r="76" spans="1:12">
      <c r="A76" s="134">
        <v>43905</v>
      </c>
      <c r="B76">
        <f>SUMIFS(DWbonus[Sum],DWbonus[Dato],A76)</f>
        <v>0</v>
      </c>
      <c r="C76">
        <f>SUMIFS(LayTable[Faktisk res],LayTable[Dato],A76)+SUMIFS(BetTable[AR],BetTable[Date],A76)</f>
        <v>0</v>
      </c>
      <c r="D76">
        <f t="shared" si="3"/>
        <v>0</v>
      </c>
      <c r="E76">
        <f t="shared" si="4"/>
        <v>862.41219999999998</v>
      </c>
      <c r="L76" s="134"/>
    </row>
    <row r="77" spans="1:12">
      <c r="A77" s="134">
        <v>43906</v>
      </c>
      <c r="B77">
        <f>SUMIFS(DWbonus[Sum],DWbonus[Dato],A77)</f>
        <v>0</v>
      </c>
      <c r="C77">
        <f>SUMIFS(LayTable[Faktisk res],LayTable[Dato],A77)+SUMIFS(BetTable[AR],BetTable[Date],A77)</f>
        <v>0</v>
      </c>
      <c r="D77">
        <f t="shared" si="3"/>
        <v>0</v>
      </c>
      <c r="E77">
        <f t="shared" si="4"/>
        <v>862.41219999999998</v>
      </c>
      <c r="L77" s="134"/>
    </row>
    <row r="78" spans="1:12">
      <c r="A78" s="134">
        <v>43907</v>
      </c>
      <c r="B78">
        <f>SUMIFS(DWbonus[Sum],DWbonus[Dato],A78)</f>
        <v>0</v>
      </c>
      <c r="C78">
        <f>SUMIFS(LayTable[Faktisk res],LayTable[Dato],A78)+SUMIFS(BetTable[AR],BetTable[Date],A78)</f>
        <v>0</v>
      </c>
      <c r="D78">
        <f t="shared" si="3"/>
        <v>0</v>
      </c>
      <c r="E78">
        <f t="shared" si="4"/>
        <v>862.41219999999998</v>
      </c>
      <c r="L78" s="134"/>
    </row>
    <row r="79" spans="1:12">
      <c r="A79" s="134">
        <v>43908</v>
      </c>
      <c r="B79">
        <f>SUMIFS(DWbonus[Sum],DWbonus[Dato],A79)</f>
        <v>0</v>
      </c>
      <c r="C79">
        <f>SUMIFS(LayTable[Faktisk res],LayTable[Dato],A79)+SUMIFS(BetTable[AR],BetTable[Date],A79)</f>
        <v>0</v>
      </c>
      <c r="D79">
        <f t="shared" si="3"/>
        <v>0</v>
      </c>
      <c r="E79">
        <f t="shared" si="4"/>
        <v>862.41219999999998</v>
      </c>
      <c r="L79" s="134"/>
    </row>
    <row r="80" spans="1:12">
      <c r="A80" s="134">
        <v>43909</v>
      </c>
      <c r="B80">
        <f>SUMIFS(DWbonus[Sum],DWbonus[Dato],A80)</f>
        <v>0</v>
      </c>
      <c r="C80">
        <f>SUMIFS(LayTable[Faktisk res],LayTable[Dato],A80)+SUMIFS(BetTable[AR],BetTable[Date],A80)</f>
        <v>0</v>
      </c>
      <c r="D80">
        <f t="shared" si="3"/>
        <v>0</v>
      </c>
      <c r="E80">
        <f t="shared" si="4"/>
        <v>862.41219999999998</v>
      </c>
      <c r="L80" s="134"/>
    </row>
    <row r="81" spans="1:12">
      <c r="A81" s="134">
        <v>43910</v>
      </c>
      <c r="B81">
        <f>SUMIFS(DWbonus[Sum],DWbonus[Dato],A81)</f>
        <v>0</v>
      </c>
      <c r="C81">
        <f>SUMIFS(LayTable[Faktisk res],LayTable[Dato],A81)+SUMIFS(BetTable[AR],BetTable[Date],A81)</f>
        <v>0</v>
      </c>
      <c r="D81">
        <f t="shared" si="3"/>
        <v>0</v>
      </c>
      <c r="E81">
        <f t="shared" si="4"/>
        <v>862.41219999999998</v>
      </c>
      <c r="L81" s="134"/>
    </row>
    <row r="82" spans="1:12">
      <c r="A82" s="134">
        <v>43911</v>
      </c>
      <c r="B82">
        <f>SUMIFS(DWbonus[Sum],DWbonus[Dato],A82)</f>
        <v>0</v>
      </c>
      <c r="C82">
        <f>SUMIFS(LayTable[Faktisk res],LayTable[Dato],A82)+SUMIFS(BetTable[AR],BetTable[Date],A82)</f>
        <v>0</v>
      </c>
      <c r="D82">
        <f t="shared" si="3"/>
        <v>0</v>
      </c>
      <c r="E82">
        <f t="shared" si="4"/>
        <v>862.41219999999998</v>
      </c>
      <c r="L82" s="134"/>
    </row>
    <row r="83" spans="1:12">
      <c r="A83" s="134">
        <v>43912</v>
      </c>
      <c r="B83">
        <f>SUMIFS(DWbonus[Sum],DWbonus[Dato],A83)</f>
        <v>0</v>
      </c>
      <c r="C83">
        <f>SUMIFS(LayTable[Faktisk res],LayTable[Dato],A83)+SUMIFS(BetTable[AR],BetTable[Date],A83)</f>
        <v>0</v>
      </c>
      <c r="D83">
        <f t="shared" si="3"/>
        <v>0</v>
      </c>
      <c r="E83">
        <f t="shared" si="4"/>
        <v>862.41219999999998</v>
      </c>
      <c r="L83" s="134"/>
    </row>
    <row r="84" spans="1:12">
      <c r="A84" s="134">
        <v>43913</v>
      </c>
      <c r="B84">
        <f>SUMIFS(DWbonus[Sum],DWbonus[Dato],A84)</f>
        <v>0</v>
      </c>
      <c r="C84">
        <f>SUMIFS(LayTable[Faktisk res],LayTable[Dato],A84)+SUMIFS(BetTable[AR],BetTable[Date],A84)</f>
        <v>0</v>
      </c>
      <c r="D84">
        <f t="shared" si="3"/>
        <v>0</v>
      </c>
      <c r="E84">
        <f t="shared" si="4"/>
        <v>862.41219999999998</v>
      </c>
      <c r="L84" s="134"/>
    </row>
    <row r="85" spans="1:12">
      <c r="A85" s="134">
        <v>43914</v>
      </c>
      <c r="B85">
        <f>SUMIFS(DWbonus[Sum],DWbonus[Dato],A85)</f>
        <v>0</v>
      </c>
      <c r="C85">
        <f>SUMIFS(LayTable[Faktisk res],LayTable[Dato],A85)+SUMIFS(BetTable[AR],BetTable[Date],A85)</f>
        <v>0</v>
      </c>
      <c r="D85">
        <f t="shared" si="3"/>
        <v>0</v>
      </c>
      <c r="E85">
        <f t="shared" si="4"/>
        <v>862.41219999999998</v>
      </c>
      <c r="L85" s="134"/>
    </row>
    <row r="86" spans="1:12">
      <c r="A86" s="134">
        <v>43915</v>
      </c>
      <c r="B86">
        <f>SUMIFS(DWbonus[Sum],DWbonus[Dato],A86)</f>
        <v>0</v>
      </c>
      <c r="C86">
        <f>SUMIFS(LayTable[Faktisk res],LayTable[Dato],A86)+SUMIFS(BetTable[AR],BetTable[Date],A86)</f>
        <v>0</v>
      </c>
      <c r="D86">
        <f t="shared" si="3"/>
        <v>0</v>
      </c>
      <c r="E86">
        <f t="shared" si="4"/>
        <v>862.41219999999998</v>
      </c>
      <c r="L86" s="134"/>
    </row>
    <row r="87" spans="1:12">
      <c r="A87" s="134">
        <v>43916</v>
      </c>
      <c r="B87">
        <f>SUMIFS(DWbonus[Sum],DWbonus[Dato],A87)</f>
        <v>0</v>
      </c>
      <c r="C87">
        <f>SUMIFS(LayTable[Faktisk res],LayTable[Dato],A87)+SUMIFS(BetTable[AR],BetTable[Date],A87)</f>
        <v>0</v>
      </c>
      <c r="D87">
        <f t="shared" si="3"/>
        <v>0</v>
      </c>
      <c r="E87">
        <f t="shared" si="4"/>
        <v>862.41219999999998</v>
      </c>
      <c r="L87" s="134"/>
    </row>
    <row r="88" spans="1:12">
      <c r="A88" s="134">
        <v>43917</v>
      </c>
      <c r="B88">
        <f>SUMIFS(DWbonus[Sum],DWbonus[Dato],A88)</f>
        <v>0</v>
      </c>
      <c r="C88">
        <f>SUMIFS(LayTable[Faktisk res],LayTable[Dato],A88)+SUMIFS(BetTable[AR],BetTable[Date],A88)</f>
        <v>0</v>
      </c>
      <c r="D88">
        <f t="shared" si="3"/>
        <v>0</v>
      </c>
      <c r="E88">
        <f t="shared" si="4"/>
        <v>862.41219999999998</v>
      </c>
      <c r="L88" s="134"/>
    </row>
    <row r="89" spans="1:12">
      <c r="A89" s="134">
        <v>43918</v>
      </c>
      <c r="B89">
        <f>SUMIFS(DWbonus[Sum],DWbonus[Dato],A89)</f>
        <v>0</v>
      </c>
      <c r="C89">
        <f>SUMIFS(LayTable[Faktisk res],LayTable[Dato],A89)+SUMIFS(BetTable[AR],BetTable[Date],A89)</f>
        <v>0</v>
      </c>
      <c r="D89">
        <f t="shared" si="3"/>
        <v>0</v>
      </c>
      <c r="E89">
        <f t="shared" si="4"/>
        <v>862.41219999999998</v>
      </c>
      <c r="L89" s="134"/>
    </row>
    <row r="90" spans="1:12">
      <c r="A90" s="134">
        <v>43919</v>
      </c>
      <c r="B90">
        <f>SUMIFS(DWbonus[Sum],DWbonus[Dato],A90)</f>
        <v>0</v>
      </c>
      <c r="C90">
        <f>SUMIFS(LayTable[Faktisk res],LayTable[Dato],A90)+SUMIFS(BetTable[AR],BetTable[Date],A90)</f>
        <v>0</v>
      </c>
      <c r="D90">
        <f t="shared" si="3"/>
        <v>0</v>
      </c>
      <c r="E90">
        <f t="shared" si="4"/>
        <v>862.41219999999998</v>
      </c>
      <c r="L90" s="134"/>
    </row>
    <row r="91" spans="1:12">
      <c r="A91" s="134">
        <v>43920</v>
      </c>
      <c r="B91">
        <f>SUMIFS(DWbonus[Sum],DWbonus[Dato],A91)</f>
        <v>0</v>
      </c>
      <c r="C91">
        <f>SUMIFS(LayTable[Faktisk res],LayTable[Dato],A91)+SUMIFS(BetTable[AR],BetTable[Date],A91)</f>
        <v>0</v>
      </c>
      <c r="D91">
        <f t="shared" si="3"/>
        <v>0</v>
      </c>
      <c r="E91">
        <f t="shared" si="4"/>
        <v>862.41219999999998</v>
      </c>
      <c r="L91" s="134"/>
    </row>
    <row r="92" spans="1:12">
      <c r="A92" s="134">
        <v>43921</v>
      </c>
      <c r="B92">
        <f>SUMIFS(DWbonus[Sum],DWbonus[Dato],A92)</f>
        <v>0</v>
      </c>
      <c r="C92">
        <f>SUMIFS(LayTable[Faktisk res],LayTable[Dato],A92)+SUMIFS(BetTable[AR],BetTable[Date],A92)</f>
        <v>0</v>
      </c>
      <c r="D92">
        <f t="shared" si="3"/>
        <v>0</v>
      </c>
      <c r="E92">
        <f t="shared" si="4"/>
        <v>862.41219999999998</v>
      </c>
      <c r="L92" s="134"/>
    </row>
    <row r="93" spans="1:12">
      <c r="A93" s="134">
        <v>43922</v>
      </c>
      <c r="B93">
        <f>SUMIFS(DWbonus[Sum],DWbonus[Dato],A93)</f>
        <v>0</v>
      </c>
      <c r="C93">
        <f>SUMIFS(LayTable[Faktisk res],LayTable[Dato],A93)+SUMIFS(BetTable[AR],BetTable[Date],A93)</f>
        <v>0</v>
      </c>
      <c r="D93">
        <f t="shared" si="3"/>
        <v>0</v>
      </c>
      <c r="E93">
        <f t="shared" si="4"/>
        <v>862.41219999999998</v>
      </c>
      <c r="L93" s="134"/>
    </row>
    <row r="94" spans="1:12">
      <c r="A94" s="134">
        <v>43923</v>
      </c>
      <c r="B94">
        <f>SUMIFS(DWbonus[Sum],DWbonus[Dato],A94)</f>
        <v>0</v>
      </c>
      <c r="C94">
        <f>SUMIFS(LayTable[Faktisk res],LayTable[Dato],A94)+SUMIFS(BetTable[AR],BetTable[Date],A94)</f>
        <v>0</v>
      </c>
      <c r="D94">
        <f t="shared" si="3"/>
        <v>0</v>
      </c>
      <c r="E94">
        <f t="shared" si="4"/>
        <v>862.41219999999998</v>
      </c>
      <c r="L94" s="134"/>
    </row>
    <row r="95" spans="1:12">
      <c r="A95" s="134">
        <v>43924</v>
      </c>
      <c r="B95">
        <f>SUMIFS(DWbonus[Sum],DWbonus[Dato],A95)</f>
        <v>0</v>
      </c>
      <c r="C95">
        <f>SUMIFS(LayTable[Faktisk res],LayTable[Dato],A95)+SUMIFS(BetTable[AR],BetTable[Date],A95)</f>
        <v>0</v>
      </c>
      <c r="D95">
        <f t="shared" si="3"/>
        <v>0</v>
      </c>
      <c r="E95">
        <f t="shared" si="4"/>
        <v>862.41219999999998</v>
      </c>
      <c r="L95" s="134"/>
    </row>
    <row r="96" spans="1:12">
      <c r="A96" s="134">
        <v>43925</v>
      </c>
      <c r="B96">
        <f>SUMIFS(DWbonus[Sum],DWbonus[Dato],A96)</f>
        <v>0</v>
      </c>
      <c r="C96">
        <f>SUMIFS(LayTable[Faktisk res],LayTable[Dato],A96)+SUMIFS(BetTable[AR],BetTable[Date],A96)</f>
        <v>0</v>
      </c>
      <c r="D96">
        <f t="shared" si="3"/>
        <v>0</v>
      </c>
      <c r="E96">
        <f t="shared" si="4"/>
        <v>862.41219999999998</v>
      </c>
      <c r="L96" s="134"/>
    </row>
    <row r="97" spans="1:12">
      <c r="A97" s="134">
        <v>43926</v>
      </c>
      <c r="B97">
        <f>SUMIFS(DWbonus[Sum],DWbonus[Dato],A97)</f>
        <v>0</v>
      </c>
      <c r="C97">
        <f>SUMIFS(LayTable[Faktisk res],LayTable[Dato],A97)+SUMIFS(BetTable[AR],BetTable[Date],A97)</f>
        <v>0</v>
      </c>
      <c r="D97">
        <f t="shared" si="3"/>
        <v>0</v>
      </c>
      <c r="E97">
        <f t="shared" si="4"/>
        <v>862.41219999999998</v>
      </c>
      <c r="L97" s="134"/>
    </row>
    <row r="98" spans="1:12">
      <c r="A98" s="134">
        <v>43927</v>
      </c>
      <c r="B98">
        <f>SUMIFS(DWbonus[Sum],DWbonus[Dato],A98)</f>
        <v>0</v>
      </c>
      <c r="C98">
        <f>SUMIFS(LayTable[Faktisk res],LayTable[Dato],A98)+SUMIFS(BetTable[AR],BetTable[Date],A98)</f>
        <v>0</v>
      </c>
      <c r="D98">
        <f t="shared" si="3"/>
        <v>0</v>
      </c>
      <c r="E98">
        <f t="shared" si="4"/>
        <v>862.41219999999998</v>
      </c>
      <c r="L98" s="134"/>
    </row>
    <row r="99" spans="1:12">
      <c r="A99" s="134">
        <v>43928</v>
      </c>
      <c r="B99">
        <f>SUMIFS(DWbonus[Sum],DWbonus[Dato],A99)</f>
        <v>0</v>
      </c>
      <c r="C99">
        <f>SUMIFS(LayTable[Faktisk res],LayTable[Dato],A99)+SUMIFS(BetTable[AR],BetTable[Date],A99)</f>
        <v>0</v>
      </c>
      <c r="D99">
        <f t="shared" si="3"/>
        <v>0</v>
      </c>
      <c r="E99">
        <f t="shared" si="4"/>
        <v>862.41219999999998</v>
      </c>
      <c r="L99" s="134"/>
    </row>
    <row r="100" spans="1:12">
      <c r="A100" s="134">
        <v>43929</v>
      </c>
      <c r="B100">
        <f>SUMIFS(DWbonus[Sum],DWbonus[Dato],A100)</f>
        <v>0</v>
      </c>
      <c r="C100">
        <f>SUMIFS(LayTable[Faktisk res],LayTable[Dato],A100)+SUMIFS(BetTable[AR],BetTable[Date],A100)</f>
        <v>0</v>
      </c>
      <c r="D100">
        <f t="shared" si="3"/>
        <v>0</v>
      </c>
      <c r="E100">
        <f t="shared" si="4"/>
        <v>862.41219999999998</v>
      </c>
      <c r="L100" s="134"/>
    </row>
    <row r="101" spans="1:12">
      <c r="A101" s="134">
        <v>43930</v>
      </c>
      <c r="B101">
        <f>SUMIFS(DWbonus[Sum],DWbonus[Dato],A101)</f>
        <v>0</v>
      </c>
      <c r="C101">
        <f>SUMIFS(LayTable[Faktisk res],LayTable[Dato],A101)+SUMIFS(BetTable[AR],BetTable[Date],A101)</f>
        <v>0</v>
      </c>
      <c r="D101">
        <f t="shared" si="3"/>
        <v>0</v>
      </c>
      <c r="E101">
        <f t="shared" si="4"/>
        <v>862.41219999999998</v>
      </c>
      <c r="L101" s="134"/>
    </row>
    <row r="102" spans="1:12">
      <c r="A102" s="134">
        <v>43931</v>
      </c>
      <c r="B102">
        <f>SUMIFS(DWbonus[Sum],DWbonus[Dato],A102)</f>
        <v>0</v>
      </c>
      <c r="C102">
        <f>SUMIFS(LayTable[Faktisk res],LayTable[Dato],A102)+SUMIFS(BetTable[AR],BetTable[Date],A102)</f>
        <v>0</v>
      </c>
      <c r="D102">
        <f t="shared" si="3"/>
        <v>0</v>
      </c>
      <c r="E102">
        <f t="shared" si="4"/>
        <v>862.41219999999998</v>
      </c>
      <c r="L102" s="134"/>
    </row>
    <row r="103" spans="1:12">
      <c r="A103" s="134">
        <v>43932</v>
      </c>
      <c r="B103">
        <f>SUMIFS(DWbonus[Sum],DWbonus[Dato],A103)</f>
        <v>0</v>
      </c>
      <c r="C103">
        <f>SUMIFS(LayTable[Faktisk res],LayTable[Dato],A103)+SUMIFS(BetTable[AR],BetTable[Date],A103)</f>
        <v>0</v>
      </c>
      <c r="D103">
        <f t="shared" si="3"/>
        <v>0</v>
      </c>
      <c r="E103">
        <f t="shared" si="4"/>
        <v>862.41219999999998</v>
      </c>
      <c r="L103" s="134"/>
    </row>
    <row r="104" spans="1:12">
      <c r="A104" s="134">
        <v>43933</v>
      </c>
      <c r="B104">
        <f>SUMIFS(DWbonus[Sum],DWbonus[Dato],A104)</f>
        <v>0</v>
      </c>
      <c r="C104">
        <f>SUMIFS(LayTable[Faktisk res],LayTable[Dato],A104)+SUMIFS(BetTable[AR],BetTable[Date],A104)</f>
        <v>0</v>
      </c>
      <c r="D104">
        <f t="shared" si="3"/>
        <v>0</v>
      </c>
      <c r="E104">
        <f t="shared" si="4"/>
        <v>862.41219999999998</v>
      </c>
      <c r="L104" s="134"/>
    </row>
    <row r="105" spans="1:12">
      <c r="A105" s="134">
        <v>43934</v>
      </c>
      <c r="B105">
        <f>SUMIFS(DWbonus[Sum],DWbonus[Dato],A105)</f>
        <v>0</v>
      </c>
      <c r="C105">
        <f>SUMIFS(LayTable[Faktisk res],LayTable[Dato],A105)+SUMIFS(BetTable[AR],BetTable[Date],A105)</f>
        <v>0</v>
      </c>
      <c r="D105">
        <f t="shared" si="3"/>
        <v>0</v>
      </c>
      <c r="E105">
        <f t="shared" si="4"/>
        <v>862.41219999999998</v>
      </c>
      <c r="L105" s="134"/>
    </row>
    <row r="106" spans="1:12">
      <c r="A106" s="134">
        <v>43935</v>
      </c>
      <c r="B106">
        <f>SUMIFS(DWbonus[Sum],DWbonus[Dato],A106)</f>
        <v>0</v>
      </c>
      <c r="C106">
        <f>SUMIFS(LayTable[Faktisk res],LayTable[Dato],A106)+SUMIFS(BetTable[AR],BetTable[Date],A106)</f>
        <v>0</v>
      </c>
      <c r="D106">
        <f t="shared" si="3"/>
        <v>0</v>
      </c>
      <c r="E106">
        <f t="shared" si="4"/>
        <v>862.41219999999998</v>
      </c>
      <c r="L106" s="134"/>
    </row>
    <row r="107" spans="1:12">
      <c r="A107" s="134">
        <v>43936</v>
      </c>
      <c r="B107">
        <f>SUMIFS(DWbonus[Sum],DWbonus[Dato],A107)</f>
        <v>0</v>
      </c>
      <c r="C107">
        <f>SUMIFS(LayTable[Faktisk res],LayTable[Dato],A107)+SUMIFS(BetTable[AR],BetTable[Date],A107)</f>
        <v>0</v>
      </c>
      <c r="D107">
        <f t="shared" si="3"/>
        <v>0</v>
      </c>
      <c r="E107">
        <f t="shared" si="4"/>
        <v>862.41219999999998</v>
      </c>
      <c r="L107" s="134"/>
    </row>
    <row r="108" spans="1:12">
      <c r="A108" s="134">
        <v>43937</v>
      </c>
      <c r="B108">
        <f>SUMIFS(DWbonus[Sum],DWbonus[Dato],A108)</f>
        <v>0</v>
      </c>
      <c r="C108">
        <f>SUMIFS(LayTable[Faktisk res],LayTable[Dato],A108)+SUMIFS(BetTable[AR],BetTable[Date],A108)</f>
        <v>0</v>
      </c>
      <c r="D108">
        <f t="shared" si="3"/>
        <v>0</v>
      </c>
      <c r="E108">
        <f t="shared" si="4"/>
        <v>862.41219999999998</v>
      </c>
      <c r="L108" s="134"/>
    </row>
    <row r="109" spans="1:12">
      <c r="A109" s="134">
        <v>43938</v>
      </c>
      <c r="B109">
        <f>SUMIFS(DWbonus[Sum],DWbonus[Dato],A109)</f>
        <v>0</v>
      </c>
      <c r="C109">
        <f>SUMIFS(LayTable[Faktisk res],LayTable[Dato],A109)+SUMIFS(BetTable[AR],BetTable[Date],A109)</f>
        <v>0</v>
      </c>
      <c r="D109">
        <f t="shared" si="3"/>
        <v>0</v>
      </c>
      <c r="E109">
        <f t="shared" si="4"/>
        <v>862.41219999999998</v>
      </c>
      <c r="L109" s="134"/>
    </row>
    <row r="110" spans="1:12">
      <c r="A110" s="134">
        <v>43939</v>
      </c>
      <c r="B110">
        <f>SUMIFS(DWbonus[Sum],DWbonus[Dato],A110)</f>
        <v>0</v>
      </c>
      <c r="C110">
        <f>SUMIFS(LayTable[Faktisk res],LayTable[Dato],A110)+SUMIFS(BetTable[AR],BetTable[Date],A110)</f>
        <v>0</v>
      </c>
      <c r="D110">
        <f t="shared" si="3"/>
        <v>0</v>
      </c>
      <c r="E110">
        <f t="shared" si="4"/>
        <v>862.41219999999998</v>
      </c>
      <c r="L110" s="134"/>
    </row>
    <row r="111" spans="1:12">
      <c r="A111" s="134">
        <v>43940</v>
      </c>
      <c r="B111">
        <f>SUMIFS(DWbonus[Sum],DWbonus[Dato],A111)</f>
        <v>0</v>
      </c>
      <c r="C111">
        <f>SUMIFS(LayTable[Faktisk res],LayTable[Dato],A111)+SUMIFS(BetTable[AR],BetTable[Date],A111)</f>
        <v>0</v>
      </c>
      <c r="D111">
        <f t="shared" si="3"/>
        <v>0</v>
      </c>
      <c r="E111">
        <f t="shared" si="4"/>
        <v>862.41219999999998</v>
      </c>
      <c r="L111" s="134"/>
    </row>
    <row r="112" spans="1:12">
      <c r="A112" s="134">
        <v>43941</v>
      </c>
      <c r="B112">
        <f>SUMIFS(DWbonus[Sum],DWbonus[Dato],A112)</f>
        <v>0</v>
      </c>
      <c r="C112">
        <f>SUMIFS(LayTable[Faktisk res],LayTable[Dato],A112)+SUMIFS(BetTable[AR],BetTable[Date],A112)</f>
        <v>0</v>
      </c>
      <c r="D112">
        <f t="shared" si="3"/>
        <v>0</v>
      </c>
      <c r="E112">
        <f t="shared" si="4"/>
        <v>862.41219999999998</v>
      </c>
      <c r="L112" s="134"/>
    </row>
    <row r="113" spans="1:12">
      <c r="A113" s="134">
        <v>43942</v>
      </c>
      <c r="B113">
        <f>SUMIFS(DWbonus[Sum],DWbonus[Dato],A113)</f>
        <v>0</v>
      </c>
      <c r="C113">
        <f>SUMIFS(LayTable[Faktisk res],LayTable[Dato],A113)+SUMIFS(BetTable[AR],BetTable[Date],A113)</f>
        <v>0</v>
      </c>
      <c r="D113">
        <f t="shared" si="3"/>
        <v>0</v>
      </c>
      <c r="E113">
        <f t="shared" si="4"/>
        <v>862.41219999999998</v>
      </c>
      <c r="L113" s="134"/>
    </row>
    <row r="114" spans="1:12">
      <c r="A114" s="134">
        <v>43943</v>
      </c>
      <c r="B114">
        <f>SUMIFS(DWbonus[Sum],DWbonus[Dato],A114)</f>
        <v>0</v>
      </c>
      <c r="C114">
        <f>SUMIFS(LayTable[Faktisk res],LayTable[Dato],A114)+SUMIFS(BetTable[AR],BetTable[Date],A114)</f>
        <v>0</v>
      </c>
      <c r="D114">
        <f t="shared" si="3"/>
        <v>0</v>
      </c>
      <c r="E114">
        <f t="shared" si="4"/>
        <v>862.41219999999998</v>
      </c>
      <c r="L114" s="134"/>
    </row>
    <row r="115" spans="1:12">
      <c r="A115" s="134">
        <v>43944</v>
      </c>
      <c r="B115">
        <f>SUMIFS(DWbonus[Sum],DWbonus[Dato],A115)</f>
        <v>0</v>
      </c>
      <c r="C115">
        <f>SUMIFS(LayTable[Faktisk res],LayTable[Dato],A115)+SUMIFS(BetTable[AR],BetTable[Date],A115)</f>
        <v>0</v>
      </c>
      <c r="D115">
        <f t="shared" si="3"/>
        <v>0</v>
      </c>
      <c r="E115">
        <f t="shared" si="4"/>
        <v>862.41219999999998</v>
      </c>
      <c r="L115" s="134"/>
    </row>
    <row r="116" spans="1:12">
      <c r="A116" s="134">
        <v>43945</v>
      </c>
      <c r="B116">
        <f>SUMIFS(DWbonus[Sum],DWbonus[Dato],A116)</f>
        <v>0</v>
      </c>
      <c r="C116">
        <f>SUMIFS(LayTable[Faktisk res],LayTable[Dato],A116)+SUMIFS(BetTable[AR],BetTable[Date],A116)</f>
        <v>0</v>
      </c>
      <c r="D116">
        <f t="shared" si="3"/>
        <v>0</v>
      </c>
      <c r="E116">
        <f t="shared" si="4"/>
        <v>862.41219999999998</v>
      </c>
      <c r="L116" s="134"/>
    </row>
    <row r="117" spans="1:12">
      <c r="A117" s="134">
        <v>43946</v>
      </c>
      <c r="B117">
        <f>SUMIFS(DWbonus[Sum],DWbonus[Dato],A117)</f>
        <v>0</v>
      </c>
      <c r="C117">
        <f>SUMIFS(LayTable[Faktisk res],LayTable[Dato],A117)+SUMIFS(BetTable[AR],BetTable[Date],A117)</f>
        <v>0</v>
      </c>
      <c r="D117">
        <f t="shared" si="3"/>
        <v>0</v>
      </c>
      <c r="E117">
        <f t="shared" si="4"/>
        <v>862.41219999999998</v>
      </c>
      <c r="L117" s="134"/>
    </row>
    <row r="118" spans="1:12">
      <c r="A118" s="134">
        <v>43947</v>
      </c>
      <c r="B118">
        <f>SUMIFS(DWbonus[Sum],DWbonus[Dato],A118)</f>
        <v>0</v>
      </c>
      <c r="C118">
        <f>SUMIFS(LayTable[Faktisk res],LayTable[Dato],A118)+SUMIFS(BetTable[AR],BetTable[Date],A118)</f>
        <v>0</v>
      </c>
      <c r="D118">
        <f t="shared" si="3"/>
        <v>0</v>
      </c>
      <c r="E118">
        <f t="shared" si="4"/>
        <v>862.41219999999998</v>
      </c>
      <c r="L118" s="134"/>
    </row>
    <row r="119" spans="1:12">
      <c r="A119" s="134">
        <v>43948</v>
      </c>
      <c r="B119">
        <f>SUMIFS(DWbonus[Sum],DWbonus[Dato],A119)</f>
        <v>0</v>
      </c>
      <c r="C119">
        <f>SUMIFS(LayTable[Faktisk res],LayTable[Dato],A119)+SUMIFS(BetTable[AR],BetTable[Date],A119)</f>
        <v>0</v>
      </c>
      <c r="D119">
        <f t="shared" si="3"/>
        <v>0</v>
      </c>
      <c r="E119">
        <f t="shared" si="4"/>
        <v>862.41219999999998</v>
      </c>
      <c r="L119" s="134"/>
    </row>
    <row r="120" spans="1:12">
      <c r="A120" s="134">
        <v>43949</v>
      </c>
      <c r="B120">
        <f>SUMIFS(DWbonus[Sum],DWbonus[Dato],A120)</f>
        <v>0</v>
      </c>
      <c r="C120">
        <f>SUMIFS(LayTable[Faktisk res],LayTable[Dato],A120)+SUMIFS(BetTable[AR],BetTable[Date],A120)</f>
        <v>0</v>
      </c>
      <c r="D120">
        <f t="shared" si="3"/>
        <v>0</v>
      </c>
      <c r="E120">
        <f t="shared" si="4"/>
        <v>862.41219999999998</v>
      </c>
      <c r="L120" s="134"/>
    </row>
    <row r="121" spans="1:12">
      <c r="A121" s="134">
        <v>43950</v>
      </c>
      <c r="B121">
        <f>SUMIFS(DWbonus[Sum],DWbonus[Dato],A121)</f>
        <v>0</v>
      </c>
      <c r="C121">
        <f>SUMIFS(LayTable[Faktisk res],LayTable[Dato],A121)+SUMIFS(BetTable[AR],BetTable[Date],A121)</f>
        <v>0</v>
      </c>
      <c r="D121">
        <f t="shared" si="3"/>
        <v>0</v>
      </c>
      <c r="E121">
        <f t="shared" si="4"/>
        <v>862.41219999999998</v>
      </c>
      <c r="L121" s="134"/>
    </row>
    <row r="122" spans="1:12">
      <c r="A122" s="134">
        <v>43951</v>
      </c>
      <c r="B122">
        <f>SUMIFS(DWbonus[Sum],DWbonus[Dato],A122)</f>
        <v>0</v>
      </c>
      <c r="C122">
        <f>SUMIFS(LayTable[Faktisk res],LayTable[Dato],A122)+SUMIFS(BetTable[AR],BetTable[Date],A122)</f>
        <v>0</v>
      </c>
      <c r="D122">
        <f t="shared" si="3"/>
        <v>0</v>
      </c>
      <c r="E122">
        <f t="shared" si="4"/>
        <v>862.41219999999998</v>
      </c>
      <c r="L122" s="134"/>
    </row>
    <row r="123" spans="1:12">
      <c r="A123" s="134">
        <v>43952</v>
      </c>
      <c r="B123">
        <f>SUMIFS(DWbonus[Sum],DWbonus[Dato],A123)</f>
        <v>0</v>
      </c>
      <c r="C123">
        <f>SUMIFS(LayTable[Faktisk res],LayTable[Dato],A123)+SUMIFS(BetTable[AR],BetTable[Date],A123)</f>
        <v>0</v>
      </c>
      <c r="D123">
        <f t="shared" si="3"/>
        <v>0</v>
      </c>
      <c r="E123">
        <f t="shared" si="4"/>
        <v>862.41219999999998</v>
      </c>
      <c r="L123" s="134"/>
    </row>
    <row r="124" spans="1:12">
      <c r="A124" s="134">
        <v>43953</v>
      </c>
      <c r="B124">
        <f>SUMIFS(DWbonus[Sum],DWbonus[Dato],A124)</f>
        <v>0</v>
      </c>
      <c r="C124">
        <f>SUMIFS(LayTable[Faktisk res],LayTable[Dato],A124)+SUMIFS(BetTable[AR],BetTable[Date],A124)</f>
        <v>0</v>
      </c>
      <c r="D124">
        <f t="shared" si="3"/>
        <v>0</v>
      </c>
      <c r="E124">
        <f t="shared" si="4"/>
        <v>862.41219999999998</v>
      </c>
      <c r="L124" s="134"/>
    </row>
    <row r="125" spans="1:12">
      <c r="A125" s="134">
        <v>43954</v>
      </c>
      <c r="B125">
        <f>SUMIFS(DWbonus[Sum],DWbonus[Dato],A125)</f>
        <v>0</v>
      </c>
      <c r="C125">
        <f>SUMIFS(LayTable[Faktisk res],LayTable[Dato],A125)+SUMIFS(BetTable[AR],BetTable[Date],A125)</f>
        <v>0</v>
      </c>
      <c r="D125">
        <f t="shared" si="3"/>
        <v>0</v>
      </c>
      <c r="E125">
        <f t="shared" si="4"/>
        <v>862.41219999999998</v>
      </c>
      <c r="L125" s="134"/>
    </row>
    <row r="126" spans="1:12">
      <c r="A126" s="134">
        <v>43955</v>
      </c>
      <c r="B126">
        <f>SUMIFS(DWbonus[Sum],DWbonus[Dato],A126)</f>
        <v>0</v>
      </c>
      <c r="C126">
        <f>SUMIFS(LayTable[Faktisk res],LayTable[Dato],A126)+SUMIFS(BetTable[AR],BetTable[Date],A126)</f>
        <v>0</v>
      </c>
      <c r="D126">
        <f t="shared" si="3"/>
        <v>0</v>
      </c>
      <c r="E126">
        <f t="shared" si="4"/>
        <v>862.41219999999998</v>
      </c>
      <c r="L126" s="134"/>
    </row>
    <row r="127" spans="1:12">
      <c r="A127" s="134">
        <v>43956</v>
      </c>
      <c r="B127">
        <f>SUMIFS(DWbonus[Sum],DWbonus[Dato],A127)</f>
        <v>0</v>
      </c>
      <c r="C127">
        <f>SUMIFS(LayTable[Faktisk res],LayTable[Dato],A127)+SUMIFS(BetTable[AR],BetTable[Date],A127)</f>
        <v>0</v>
      </c>
      <c r="D127">
        <f t="shared" si="3"/>
        <v>0</v>
      </c>
      <c r="E127">
        <f t="shared" si="4"/>
        <v>862.41219999999998</v>
      </c>
      <c r="L127" s="134"/>
    </row>
    <row r="128" spans="1:12">
      <c r="A128" s="134">
        <v>43957</v>
      </c>
      <c r="B128">
        <f>SUMIFS(DWbonus[Sum],DWbonus[Dato],A128)</f>
        <v>0</v>
      </c>
      <c r="C128">
        <f>SUMIFS(LayTable[Faktisk res],LayTable[Dato],A128)+SUMIFS(BetTable[AR],BetTable[Date],A128)</f>
        <v>0</v>
      </c>
      <c r="D128">
        <f t="shared" si="3"/>
        <v>0</v>
      </c>
      <c r="E128">
        <f t="shared" si="4"/>
        <v>862.41219999999998</v>
      </c>
      <c r="L128" s="134"/>
    </row>
    <row r="129" spans="1:12">
      <c r="A129" s="134">
        <v>43958</v>
      </c>
      <c r="B129">
        <f>SUMIFS(DWbonus[Sum],DWbonus[Dato],A129)</f>
        <v>0</v>
      </c>
      <c r="C129">
        <f>SUMIFS(LayTable[Faktisk res],LayTable[Dato],A129)+SUMIFS(BetTable[AR],BetTable[Date],A129)</f>
        <v>0</v>
      </c>
      <c r="D129">
        <f t="shared" si="3"/>
        <v>0</v>
      </c>
      <c r="E129">
        <f t="shared" si="4"/>
        <v>862.41219999999998</v>
      </c>
      <c r="L129" s="134"/>
    </row>
    <row r="130" spans="1:12">
      <c r="A130" s="134">
        <v>43959</v>
      </c>
      <c r="B130">
        <f>SUMIFS(DWbonus[Sum],DWbonus[Dato],A130)</f>
        <v>0</v>
      </c>
      <c r="C130">
        <f>SUMIFS(LayTable[Faktisk res],LayTable[Dato],A130)+SUMIFS(BetTable[AR],BetTable[Date],A130)</f>
        <v>0</v>
      </c>
      <c r="D130">
        <f t="shared" si="3"/>
        <v>0</v>
      </c>
      <c r="E130">
        <f t="shared" si="4"/>
        <v>862.41219999999998</v>
      </c>
      <c r="L130" s="134"/>
    </row>
    <row r="131" spans="1:12">
      <c r="A131" s="134">
        <v>43960</v>
      </c>
      <c r="B131">
        <f>SUMIFS(DWbonus[Sum],DWbonus[Dato],A131)</f>
        <v>0</v>
      </c>
      <c r="C131">
        <f>SUMIFS(LayTable[Faktisk res],LayTable[Dato],A131)+SUMIFS(BetTable[AR],BetTable[Date],A131)</f>
        <v>0</v>
      </c>
      <c r="D131">
        <f t="shared" ref="D131:D171" si="5">B131+C131</f>
        <v>0</v>
      </c>
      <c r="E131">
        <f t="shared" si="4"/>
        <v>862.41219999999998</v>
      </c>
      <c r="L131" s="134"/>
    </row>
    <row r="132" spans="1:12">
      <c r="A132" s="134">
        <v>43961</v>
      </c>
      <c r="B132">
        <f>SUMIFS(DWbonus[Sum],DWbonus[Dato],A132)</f>
        <v>0</v>
      </c>
      <c r="C132">
        <f>SUMIFS(LayTable[Faktisk res],LayTable[Dato],A132)+SUMIFS(BetTable[AR],BetTable[Date],A132)</f>
        <v>0</v>
      </c>
      <c r="D132">
        <f t="shared" si="5"/>
        <v>0</v>
      </c>
      <c r="E132">
        <f t="shared" ref="E132:E171" si="6">E131+D132</f>
        <v>862.41219999999998</v>
      </c>
      <c r="L132" s="134"/>
    </row>
    <row r="133" spans="1:12">
      <c r="A133" s="134">
        <v>43962</v>
      </c>
      <c r="B133">
        <f>SUMIFS(DWbonus[Sum],DWbonus[Dato],A133)</f>
        <v>0</v>
      </c>
      <c r="C133">
        <f>SUMIFS(LayTable[Faktisk res],LayTable[Dato],A133)+SUMIFS(BetTable[AR],BetTable[Date],A133)</f>
        <v>0</v>
      </c>
      <c r="D133">
        <f t="shared" si="5"/>
        <v>0</v>
      </c>
      <c r="E133">
        <f t="shared" si="6"/>
        <v>862.41219999999998</v>
      </c>
      <c r="L133" s="134"/>
    </row>
    <row r="134" spans="1:12">
      <c r="A134" s="134">
        <v>43963</v>
      </c>
      <c r="B134">
        <f>SUMIFS(DWbonus[Sum],DWbonus[Dato],A134)</f>
        <v>0</v>
      </c>
      <c r="C134">
        <f>SUMIFS(LayTable[Faktisk res],LayTable[Dato],A134)+SUMIFS(BetTable[AR],BetTable[Date],A134)</f>
        <v>0</v>
      </c>
      <c r="D134">
        <f t="shared" si="5"/>
        <v>0</v>
      </c>
      <c r="E134">
        <f t="shared" si="6"/>
        <v>862.41219999999998</v>
      </c>
      <c r="L134" s="134"/>
    </row>
    <row r="135" spans="1:12">
      <c r="A135" s="134">
        <v>43964</v>
      </c>
      <c r="B135">
        <f>SUMIFS(DWbonus[Sum],DWbonus[Dato],A135)</f>
        <v>0</v>
      </c>
      <c r="C135">
        <f>SUMIFS(LayTable[Faktisk res],LayTable[Dato],A135)+SUMIFS(BetTable[AR],BetTable[Date],A135)</f>
        <v>0</v>
      </c>
      <c r="D135">
        <f t="shared" si="5"/>
        <v>0</v>
      </c>
      <c r="E135">
        <f t="shared" si="6"/>
        <v>862.41219999999998</v>
      </c>
      <c r="L135" s="134"/>
    </row>
    <row r="136" spans="1:12">
      <c r="A136" s="134">
        <v>43965</v>
      </c>
      <c r="B136">
        <f>SUMIFS(DWbonus[Sum],DWbonus[Dato],A136)</f>
        <v>0</v>
      </c>
      <c r="C136">
        <f>SUMIFS(LayTable[Faktisk res],LayTable[Dato],A136)+SUMIFS(BetTable[AR],BetTable[Date],A136)</f>
        <v>0</v>
      </c>
      <c r="D136">
        <f t="shared" si="5"/>
        <v>0</v>
      </c>
      <c r="E136">
        <f t="shared" si="6"/>
        <v>862.41219999999998</v>
      </c>
      <c r="L136" s="134"/>
    </row>
    <row r="137" spans="1:12">
      <c r="A137" s="134">
        <v>43966</v>
      </c>
      <c r="B137">
        <f>SUMIFS(DWbonus[Sum],DWbonus[Dato],A137)</f>
        <v>0</v>
      </c>
      <c r="C137">
        <f>SUMIFS(LayTable[Faktisk res],LayTable[Dato],A137)+SUMIFS(BetTable[AR],BetTable[Date],A137)</f>
        <v>0</v>
      </c>
      <c r="D137">
        <f t="shared" si="5"/>
        <v>0</v>
      </c>
      <c r="E137">
        <f t="shared" si="6"/>
        <v>862.41219999999998</v>
      </c>
      <c r="L137" s="134"/>
    </row>
    <row r="138" spans="1:12">
      <c r="A138" s="134">
        <v>43967</v>
      </c>
      <c r="B138">
        <f>SUMIFS(DWbonus[Sum],DWbonus[Dato],A138)</f>
        <v>0</v>
      </c>
      <c r="C138">
        <f>SUMIFS(LayTable[Faktisk res],LayTable[Dato],A138)+SUMIFS(BetTable[AR],BetTable[Date],A138)</f>
        <v>0</v>
      </c>
      <c r="D138">
        <f t="shared" si="5"/>
        <v>0</v>
      </c>
      <c r="E138">
        <f t="shared" si="6"/>
        <v>862.41219999999998</v>
      </c>
      <c r="L138" s="134"/>
    </row>
    <row r="139" spans="1:12">
      <c r="A139" s="134">
        <v>43968</v>
      </c>
      <c r="B139">
        <f>SUMIFS(DWbonus[Sum],DWbonus[Dato],A139)</f>
        <v>0</v>
      </c>
      <c r="C139">
        <f>SUMIFS(LayTable[Faktisk res],LayTable[Dato],A139)+SUMIFS(BetTable[AR],BetTable[Date],A139)</f>
        <v>0</v>
      </c>
      <c r="D139">
        <f t="shared" si="5"/>
        <v>0</v>
      </c>
      <c r="E139">
        <f t="shared" si="6"/>
        <v>862.41219999999998</v>
      </c>
      <c r="L139" s="134"/>
    </row>
    <row r="140" spans="1:12">
      <c r="A140" s="134">
        <v>43969</v>
      </c>
      <c r="B140">
        <f>SUMIFS(DWbonus[Sum],DWbonus[Dato],A140)</f>
        <v>0</v>
      </c>
      <c r="C140">
        <f>SUMIFS(LayTable[Faktisk res],LayTable[Dato],A140)+SUMIFS(BetTable[AR],BetTable[Date],A140)</f>
        <v>0</v>
      </c>
      <c r="D140">
        <f t="shared" si="5"/>
        <v>0</v>
      </c>
      <c r="E140">
        <f t="shared" si="6"/>
        <v>862.41219999999998</v>
      </c>
      <c r="L140" s="134"/>
    </row>
    <row r="141" spans="1:12">
      <c r="A141" s="134">
        <v>43970</v>
      </c>
      <c r="B141">
        <f>SUMIFS(DWbonus[Sum],DWbonus[Dato],A141)</f>
        <v>0</v>
      </c>
      <c r="C141">
        <f>SUMIFS(LayTable[Faktisk res],LayTable[Dato],A141)+SUMIFS(BetTable[AR],BetTable[Date],A141)</f>
        <v>0</v>
      </c>
      <c r="D141">
        <f t="shared" si="5"/>
        <v>0</v>
      </c>
      <c r="E141">
        <f t="shared" si="6"/>
        <v>862.41219999999998</v>
      </c>
      <c r="L141" s="134"/>
    </row>
    <row r="142" spans="1:12">
      <c r="A142" s="134">
        <v>43971</v>
      </c>
      <c r="B142">
        <f>SUMIFS(DWbonus[Sum],DWbonus[Dato],A142)</f>
        <v>0</v>
      </c>
      <c r="C142">
        <f>SUMIFS(LayTable[Faktisk res],LayTable[Dato],A142)+SUMIFS(BetTable[AR],BetTable[Date],A142)</f>
        <v>0</v>
      </c>
      <c r="D142">
        <f t="shared" si="5"/>
        <v>0</v>
      </c>
      <c r="E142">
        <f t="shared" si="6"/>
        <v>862.41219999999998</v>
      </c>
      <c r="L142" s="134"/>
    </row>
    <row r="143" spans="1:12">
      <c r="A143" s="134">
        <v>43972</v>
      </c>
      <c r="B143">
        <f>SUMIFS(DWbonus[Sum],DWbonus[Dato],A143)</f>
        <v>0</v>
      </c>
      <c r="C143">
        <f>SUMIFS(LayTable[Faktisk res],LayTable[Dato],A143)+SUMIFS(BetTable[AR],BetTable[Date],A143)</f>
        <v>0</v>
      </c>
      <c r="D143">
        <f t="shared" si="5"/>
        <v>0</v>
      </c>
      <c r="E143">
        <f t="shared" si="6"/>
        <v>862.41219999999998</v>
      </c>
      <c r="L143" s="134"/>
    </row>
    <row r="144" spans="1:12">
      <c r="A144" s="134">
        <v>43973</v>
      </c>
      <c r="B144">
        <f>SUMIFS(DWbonus[Sum],DWbonus[Dato],A144)</f>
        <v>0</v>
      </c>
      <c r="C144">
        <f>SUMIFS(LayTable[Faktisk res],LayTable[Dato],A144)+SUMIFS(BetTable[AR],BetTable[Date],A144)</f>
        <v>0</v>
      </c>
      <c r="D144">
        <f t="shared" si="5"/>
        <v>0</v>
      </c>
      <c r="E144">
        <f t="shared" si="6"/>
        <v>862.41219999999998</v>
      </c>
      <c r="L144" s="134"/>
    </row>
    <row r="145" spans="1:12">
      <c r="A145" s="134">
        <v>43974</v>
      </c>
      <c r="B145">
        <f>SUMIFS(DWbonus[Sum],DWbonus[Dato],A145)</f>
        <v>0</v>
      </c>
      <c r="C145">
        <f>SUMIFS(LayTable[Faktisk res],LayTable[Dato],A145)+SUMIFS(BetTable[AR],BetTable[Date],A145)</f>
        <v>0</v>
      </c>
      <c r="D145">
        <f t="shared" si="5"/>
        <v>0</v>
      </c>
      <c r="E145">
        <f t="shared" si="6"/>
        <v>862.41219999999998</v>
      </c>
      <c r="L145" s="134"/>
    </row>
    <row r="146" spans="1:12">
      <c r="A146" s="134">
        <v>43975</v>
      </c>
      <c r="B146">
        <f>SUMIFS(DWbonus[Sum],DWbonus[Dato],A146)</f>
        <v>0</v>
      </c>
      <c r="C146">
        <f>SUMIFS(LayTable[Faktisk res],LayTable[Dato],A146)+SUMIFS(BetTable[AR],BetTable[Date],A146)</f>
        <v>0</v>
      </c>
      <c r="D146">
        <f t="shared" si="5"/>
        <v>0</v>
      </c>
      <c r="E146">
        <f t="shared" si="6"/>
        <v>862.41219999999998</v>
      </c>
      <c r="L146" s="134"/>
    </row>
    <row r="147" spans="1:12">
      <c r="A147" s="134">
        <v>43976</v>
      </c>
      <c r="B147">
        <f>SUMIFS(DWbonus[Sum],DWbonus[Dato],A147)</f>
        <v>0</v>
      </c>
      <c r="C147">
        <f>SUMIFS(LayTable[Faktisk res],LayTable[Dato],A147)+SUMIFS(BetTable[AR],BetTable[Date],A147)</f>
        <v>0</v>
      </c>
      <c r="D147">
        <f t="shared" si="5"/>
        <v>0</v>
      </c>
      <c r="E147">
        <f t="shared" si="6"/>
        <v>862.41219999999998</v>
      </c>
      <c r="L147" s="134"/>
    </row>
    <row r="148" spans="1:12">
      <c r="A148" s="134">
        <v>43977</v>
      </c>
      <c r="B148">
        <f>SUMIFS(DWbonus[Sum],DWbonus[Dato],A148)</f>
        <v>0</v>
      </c>
      <c r="C148">
        <f>SUMIFS(LayTable[Faktisk res],LayTable[Dato],A148)+SUMIFS(BetTable[AR],BetTable[Date],A148)</f>
        <v>0</v>
      </c>
      <c r="D148">
        <f t="shared" si="5"/>
        <v>0</v>
      </c>
      <c r="E148">
        <f t="shared" si="6"/>
        <v>862.41219999999998</v>
      </c>
      <c r="L148" s="134"/>
    </row>
    <row r="149" spans="1:12">
      <c r="A149" s="134">
        <v>43978</v>
      </c>
      <c r="B149">
        <f>SUMIFS(DWbonus[Sum],DWbonus[Dato],A149)</f>
        <v>0</v>
      </c>
      <c r="C149">
        <f>SUMIFS(LayTable[Faktisk res],LayTable[Dato],A149)+SUMIFS(BetTable[AR],BetTable[Date],A149)</f>
        <v>0</v>
      </c>
      <c r="D149">
        <f t="shared" si="5"/>
        <v>0</v>
      </c>
      <c r="E149">
        <f t="shared" si="6"/>
        <v>862.41219999999998</v>
      </c>
      <c r="L149" s="134"/>
    </row>
    <row r="150" spans="1:12">
      <c r="A150" s="134">
        <v>43979</v>
      </c>
      <c r="B150">
        <f>SUMIFS(DWbonus[Sum],DWbonus[Dato],A150)</f>
        <v>0</v>
      </c>
      <c r="C150">
        <f>SUMIFS(LayTable[Faktisk res],LayTable[Dato],A150)+SUMIFS(BetTable[AR],BetTable[Date],A150)</f>
        <v>0</v>
      </c>
      <c r="D150">
        <f t="shared" si="5"/>
        <v>0</v>
      </c>
      <c r="E150">
        <f t="shared" si="6"/>
        <v>862.41219999999998</v>
      </c>
      <c r="L150" s="134"/>
    </row>
    <row r="151" spans="1:12">
      <c r="A151" s="134">
        <v>43980</v>
      </c>
      <c r="B151">
        <f>SUMIFS(DWbonus[Sum],DWbonus[Dato],A151)</f>
        <v>0</v>
      </c>
      <c r="C151">
        <f>SUMIFS(LayTable[Faktisk res],LayTable[Dato],A151)+SUMIFS(BetTable[AR],BetTable[Date],A151)</f>
        <v>0</v>
      </c>
      <c r="D151">
        <f t="shared" si="5"/>
        <v>0</v>
      </c>
      <c r="E151">
        <f t="shared" si="6"/>
        <v>862.41219999999998</v>
      </c>
      <c r="L151" s="134"/>
    </row>
    <row r="152" spans="1:12">
      <c r="A152" s="134">
        <v>43981</v>
      </c>
      <c r="B152">
        <f>SUMIFS(DWbonus[Sum],DWbonus[Dato],A152)</f>
        <v>0</v>
      </c>
      <c r="C152">
        <f>SUMIFS(LayTable[Faktisk res],LayTable[Dato],A152)+SUMIFS(BetTable[AR],BetTable[Date],A152)</f>
        <v>0</v>
      </c>
      <c r="D152">
        <f t="shared" si="5"/>
        <v>0</v>
      </c>
      <c r="E152">
        <f t="shared" si="6"/>
        <v>862.41219999999998</v>
      </c>
      <c r="L152" s="134"/>
    </row>
    <row r="153" spans="1:12">
      <c r="A153" s="134">
        <v>43982</v>
      </c>
      <c r="B153">
        <f>SUMIFS(DWbonus[Sum],DWbonus[Dato],A153)</f>
        <v>0</v>
      </c>
      <c r="C153">
        <f>SUMIFS(LayTable[Faktisk res],LayTable[Dato],A153)+SUMIFS(BetTable[AR],BetTable[Date],A153)</f>
        <v>0</v>
      </c>
      <c r="D153">
        <f t="shared" si="5"/>
        <v>0</v>
      </c>
      <c r="E153">
        <f t="shared" si="6"/>
        <v>862.41219999999998</v>
      </c>
      <c r="L153" s="134"/>
    </row>
    <row r="154" spans="1:12">
      <c r="A154" s="134">
        <v>43983</v>
      </c>
      <c r="B154">
        <f>SUMIFS(DWbonus[Sum],DWbonus[Dato],A154)</f>
        <v>0</v>
      </c>
      <c r="C154">
        <f>SUMIFS(LayTable[Faktisk res],LayTable[Dato],A154)+SUMIFS(BetTable[AR],BetTable[Date],A154)</f>
        <v>0</v>
      </c>
      <c r="D154">
        <f t="shared" si="5"/>
        <v>0</v>
      </c>
      <c r="E154">
        <f t="shared" si="6"/>
        <v>862.41219999999998</v>
      </c>
      <c r="L154" s="134"/>
    </row>
    <row r="155" spans="1:12">
      <c r="A155" s="134">
        <v>43984</v>
      </c>
      <c r="B155">
        <f>SUMIFS(DWbonus[Sum],DWbonus[Dato],A155)</f>
        <v>0</v>
      </c>
      <c r="C155">
        <f>SUMIFS(LayTable[Faktisk res],LayTable[Dato],A155)+SUMIFS(BetTable[AR],BetTable[Date],A155)</f>
        <v>0</v>
      </c>
      <c r="D155">
        <f t="shared" si="5"/>
        <v>0</v>
      </c>
      <c r="E155">
        <f t="shared" si="6"/>
        <v>862.41219999999998</v>
      </c>
      <c r="L155" s="134"/>
    </row>
    <row r="156" spans="1:12">
      <c r="A156" s="134">
        <v>43985</v>
      </c>
      <c r="B156">
        <f>SUMIFS(DWbonus[Sum],DWbonus[Dato],A156)</f>
        <v>0</v>
      </c>
      <c r="C156">
        <f>SUMIFS(LayTable[Faktisk res],LayTable[Dato],A156)+SUMIFS(BetTable[AR],BetTable[Date],A156)</f>
        <v>0</v>
      </c>
      <c r="D156">
        <f t="shared" si="5"/>
        <v>0</v>
      </c>
      <c r="E156">
        <f t="shared" si="6"/>
        <v>862.41219999999998</v>
      </c>
      <c r="L156" s="134"/>
    </row>
    <row r="157" spans="1:12">
      <c r="A157" s="134">
        <v>43986</v>
      </c>
      <c r="B157">
        <f>SUMIFS(DWbonus[Sum],DWbonus[Dato],A157)</f>
        <v>0</v>
      </c>
      <c r="C157">
        <f>SUMIFS(LayTable[Faktisk res],LayTable[Dato],A157)+SUMIFS(BetTable[AR],BetTable[Date],A157)</f>
        <v>0</v>
      </c>
      <c r="D157">
        <f t="shared" si="5"/>
        <v>0</v>
      </c>
      <c r="E157">
        <f t="shared" si="6"/>
        <v>862.41219999999998</v>
      </c>
      <c r="L157" s="134"/>
    </row>
    <row r="158" spans="1:12">
      <c r="A158" s="134">
        <v>43987</v>
      </c>
      <c r="B158">
        <f>SUMIFS(DWbonus[Sum],DWbonus[Dato],A158)</f>
        <v>0</v>
      </c>
      <c r="C158">
        <f>SUMIFS(LayTable[Faktisk res],LayTable[Dato],A158)+SUMIFS(BetTable[AR],BetTable[Date],A158)</f>
        <v>0</v>
      </c>
      <c r="D158">
        <f t="shared" si="5"/>
        <v>0</v>
      </c>
      <c r="E158">
        <f t="shared" si="6"/>
        <v>862.41219999999998</v>
      </c>
      <c r="L158" s="134"/>
    </row>
    <row r="159" spans="1:12">
      <c r="A159" s="134">
        <v>43988</v>
      </c>
      <c r="B159">
        <f>SUMIFS(DWbonus[Sum],DWbonus[Dato],A159)</f>
        <v>0</v>
      </c>
      <c r="C159">
        <f>SUMIFS(LayTable[Faktisk res],LayTable[Dato],A159)+SUMIFS(BetTable[AR],BetTable[Date],A159)</f>
        <v>0</v>
      </c>
      <c r="D159">
        <f t="shared" si="5"/>
        <v>0</v>
      </c>
      <c r="E159">
        <f t="shared" si="6"/>
        <v>862.41219999999998</v>
      </c>
      <c r="L159" s="134"/>
    </row>
    <row r="160" spans="1:12">
      <c r="A160" s="134">
        <v>43989</v>
      </c>
      <c r="B160">
        <f>SUMIFS(DWbonus[Sum],DWbonus[Dato],A160)</f>
        <v>0</v>
      </c>
      <c r="C160">
        <f>SUMIFS(LayTable[Faktisk res],LayTable[Dato],A160)+SUMIFS(BetTable[AR],BetTable[Date],A160)</f>
        <v>0</v>
      </c>
      <c r="D160">
        <f t="shared" si="5"/>
        <v>0</v>
      </c>
      <c r="E160">
        <f t="shared" si="6"/>
        <v>862.41219999999998</v>
      </c>
      <c r="L160" s="134"/>
    </row>
    <row r="161" spans="1:12">
      <c r="A161" s="134">
        <v>43990</v>
      </c>
      <c r="B161">
        <f>SUMIFS(DWbonus[Sum],DWbonus[Dato],A161)</f>
        <v>0</v>
      </c>
      <c r="C161">
        <f>SUMIFS(LayTable[Faktisk res],LayTable[Dato],A161)+SUMIFS(BetTable[AR],BetTable[Date],A161)</f>
        <v>0</v>
      </c>
      <c r="D161">
        <f t="shared" si="5"/>
        <v>0</v>
      </c>
      <c r="E161">
        <f t="shared" si="6"/>
        <v>862.41219999999998</v>
      </c>
      <c r="L161" s="134"/>
    </row>
    <row r="162" spans="1:12">
      <c r="A162" s="134">
        <v>43991</v>
      </c>
      <c r="B162">
        <f>SUMIFS(DWbonus[Sum],DWbonus[Dato],A162)</f>
        <v>0</v>
      </c>
      <c r="C162">
        <f>SUMIFS(LayTable[Faktisk res],LayTable[Dato],A162)+SUMIFS(BetTable[AR],BetTable[Date],A162)</f>
        <v>0</v>
      </c>
      <c r="D162">
        <f t="shared" si="5"/>
        <v>0</v>
      </c>
      <c r="E162">
        <f t="shared" si="6"/>
        <v>862.41219999999998</v>
      </c>
      <c r="L162" s="134"/>
    </row>
    <row r="163" spans="1:12">
      <c r="A163" s="134">
        <v>43992</v>
      </c>
      <c r="B163">
        <f>SUMIFS(DWbonus[Sum],DWbonus[Dato],A163)</f>
        <v>0</v>
      </c>
      <c r="C163">
        <f>SUMIFS(LayTable[Faktisk res],LayTable[Dato],A163)+SUMIFS(BetTable[AR],BetTable[Date],A163)</f>
        <v>0</v>
      </c>
      <c r="D163">
        <f t="shared" si="5"/>
        <v>0</v>
      </c>
      <c r="E163">
        <f t="shared" si="6"/>
        <v>862.41219999999998</v>
      </c>
      <c r="L163" s="134"/>
    </row>
    <row r="164" spans="1:12">
      <c r="A164" s="134">
        <v>43993</v>
      </c>
      <c r="B164">
        <f>SUMIFS(DWbonus[Sum],DWbonus[Dato],A164)</f>
        <v>0</v>
      </c>
      <c r="C164">
        <f>SUMIFS(LayTable[Faktisk res],LayTable[Dato],A164)+SUMIFS(BetTable[AR],BetTable[Date],A164)</f>
        <v>0</v>
      </c>
      <c r="D164">
        <f t="shared" si="5"/>
        <v>0</v>
      </c>
      <c r="E164">
        <f t="shared" si="6"/>
        <v>862.41219999999998</v>
      </c>
      <c r="L164" s="134"/>
    </row>
    <row r="165" spans="1:12">
      <c r="A165" s="134">
        <v>43994</v>
      </c>
      <c r="B165">
        <f>SUMIFS(DWbonus[Sum],DWbonus[Dato],A165)</f>
        <v>0</v>
      </c>
      <c r="C165">
        <f>SUMIFS(LayTable[Faktisk res],LayTable[Dato],A165)+SUMIFS(BetTable[AR],BetTable[Date],A165)</f>
        <v>0</v>
      </c>
      <c r="D165">
        <f t="shared" si="5"/>
        <v>0</v>
      </c>
      <c r="E165">
        <f t="shared" si="6"/>
        <v>862.41219999999998</v>
      </c>
      <c r="L165" s="134"/>
    </row>
    <row r="166" spans="1:12">
      <c r="A166" s="134">
        <v>43995</v>
      </c>
      <c r="B166">
        <f>SUMIFS(DWbonus[Sum],DWbonus[Dato],A166)</f>
        <v>0</v>
      </c>
      <c r="C166">
        <f>SUMIFS(LayTable[Faktisk res],LayTable[Dato],A166)+SUMIFS(BetTable[AR],BetTable[Date],A166)</f>
        <v>0</v>
      </c>
      <c r="D166">
        <f t="shared" si="5"/>
        <v>0</v>
      </c>
      <c r="E166">
        <f t="shared" si="6"/>
        <v>862.41219999999998</v>
      </c>
      <c r="L166" s="134"/>
    </row>
    <row r="167" spans="1:12">
      <c r="A167" s="134">
        <v>43996</v>
      </c>
      <c r="B167">
        <f>SUMIFS(DWbonus[Sum],DWbonus[Dato],A167)</f>
        <v>0</v>
      </c>
      <c r="C167">
        <f>SUMIFS(LayTable[Faktisk res],LayTable[Dato],A167)+SUMIFS(BetTable[AR],BetTable[Date],A167)</f>
        <v>0</v>
      </c>
      <c r="D167">
        <f t="shared" si="5"/>
        <v>0</v>
      </c>
      <c r="E167">
        <f t="shared" si="6"/>
        <v>862.41219999999998</v>
      </c>
      <c r="L167" s="134"/>
    </row>
    <row r="168" spans="1:12">
      <c r="A168" s="134">
        <v>43997</v>
      </c>
      <c r="B168">
        <f>SUMIFS(DWbonus[Sum],DWbonus[Dato],A168)</f>
        <v>0</v>
      </c>
      <c r="C168">
        <f>SUMIFS(LayTable[Faktisk res],LayTable[Dato],A168)+SUMIFS(BetTable[AR],BetTable[Date],A168)</f>
        <v>0</v>
      </c>
      <c r="D168">
        <f t="shared" si="5"/>
        <v>0</v>
      </c>
      <c r="E168">
        <f t="shared" si="6"/>
        <v>862.41219999999998</v>
      </c>
      <c r="L168" s="134"/>
    </row>
    <row r="169" spans="1:12">
      <c r="A169" s="134">
        <v>43998</v>
      </c>
      <c r="B169">
        <f>SUMIFS(DWbonus[Sum],DWbonus[Dato],A169)</f>
        <v>0</v>
      </c>
      <c r="C169">
        <f>SUMIFS(LayTable[Faktisk res],LayTable[Dato],A169)+SUMIFS(BetTable[AR],BetTable[Date],A169)</f>
        <v>0</v>
      </c>
      <c r="D169">
        <f t="shared" si="5"/>
        <v>0</v>
      </c>
      <c r="E169">
        <f t="shared" si="6"/>
        <v>862.41219999999998</v>
      </c>
      <c r="L169" s="134"/>
    </row>
    <row r="170" spans="1:12">
      <c r="A170" s="134">
        <v>43999</v>
      </c>
      <c r="B170">
        <f>SUMIFS(DWbonus[Sum],DWbonus[Dato],A170)</f>
        <v>0</v>
      </c>
      <c r="C170">
        <f>SUMIFS(LayTable[Faktisk res],LayTable[Dato],A170)+SUMIFS(BetTable[AR],BetTable[Date],A170)</f>
        <v>0</v>
      </c>
      <c r="D170">
        <f t="shared" si="5"/>
        <v>0</v>
      </c>
      <c r="E170">
        <f t="shared" si="6"/>
        <v>862.41219999999998</v>
      </c>
      <c r="L170" s="134"/>
    </row>
    <row r="171" spans="1:12">
      <c r="A171" s="134">
        <v>44000</v>
      </c>
      <c r="B171">
        <f>SUMIFS(DWbonus[Sum],DWbonus[Dato],A171)</f>
        <v>0</v>
      </c>
      <c r="C171">
        <f>SUMIFS(LayTable[Faktisk res],LayTable[Dato],A171)+SUMIFS(BetTable[AR],BetTable[Date],A171)</f>
        <v>0</v>
      </c>
      <c r="D171">
        <f t="shared" si="5"/>
        <v>0</v>
      </c>
      <c r="E171">
        <f t="shared" si="6"/>
        <v>862.41219999999998</v>
      </c>
      <c r="L171" s="134"/>
    </row>
    <row r="172" spans="1:12">
      <c r="A172" s="134">
        <v>44001</v>
      </c>
      <c r="B172">
        <f>SUMIFS(DWbonus[Sum],DWbonus[Dato],A172)</f>
        <v>0</v>
      </c>
      <c r="C172">
        <f>SUMIFS(LayTable[Faktisk res],LayTable[Dato],A172)+SUMIFS(BetTable[AR],BetTable[Date],A172)</f>
        <v>0</v>
      </c>
      <c r="D172">
        <f t="shared" ref="D172:D203" si="7">B172+C172</f>
        <v>0</v>
      </c>
      <c r="E172">
        <f t="shared" ref="E172:E203" si="8">E171+D172</f>
        <v>862.41219999999998</v>
      </c>
      <c r="L172" s="134"/>
    </row>
    <row r="173" spans="1:12">
      <c r="A173" s="134">
        <v>44002</v>
      </c>
      <c r="B173">
        <f>SUMIFS(DWbonus[Sum],DWbonus[Dato],A173)</f>
        <v>0</v>
      </c>
      <c r="C173">
        <f>SUMIFS(LayTable[Faktisk res],LayTable[Dato],A173)+SUMIFS(BetTable[AR],BetTable[Date],A173)</f>
        <v>0</v>
      </c>
      <c r="D173">
        <f t="shared" si="7"/>
        <v>0</v>
      </c>
      <c r="E173">
        <f t="shared" si="8"/>
        <v>862.41219999999998</v>
      </c>
      <c r="L173" s="134"/>
    </row>
    <row r="174" spans="1:12">
      <c r="A174" s="134">
        <v>44003</v>
      </c>
      <c r="B174">
        <f>SUMIFS(DWbonus[Sum],DWbonus[Dato],A174)</f>
        <v>0</v>
      </c>
      <c r="C174">
        <f>SUMIFS(LayTable[Faktisk res],LayTable[Dato],A174)+SUMIFS(BetTable[AR],BetTable[Date],A174)</f>
        <v>0</v>
      </c>
      <c r="D174">
        <f t="shared" si="7"/>
        <v>0</v>
      </c>
      <c r="E174">
        <f t="shared" si="8"/>
        <v>862.41219999999998</v>
      </c>
      <c r="L174" s="134"/>
    </row>
    <row r="175" spans="1:12">
      <c r="A175" s="134">
        <v>44004</v>
      </c>
      <c r="B175">
        <f>SUMIFS(DWbonus[Sum],DWbonus[Dato],A175)</f>
        <v>0</v>
      </c>
      <c r="C175">
        <f>SUMIFS(LayTable[Faktisk res],LayTable[Dato],A175)+SUMIFS(BetTable[AR],BetTable[Date],A175)</f>
        <v>0</v>
      </c>
      <c r="D175">
        <f t="shared" si="7"/>
        <v>0</v>
      </c>
      <c r="E175">
        <f t="shared" si="8"/>
        <v>862.41219999999998</v>
      </c>
      <c r="L175" s="134"/>
    </row>
    <row r="176" spans="1:12">
      <c r="A176" s="134">
        <v>44005</v>
      </c>
      <c r="B176">
        <f>SUMIFS(DWbonus[Sum],DWbonus[Dato],A176)</f>
        <v>0</v>
      </c>
      <c r="C176">
        <f>SUMIFS(LayTable[Faktisk res],LayTable[Dato],A176)+SUMIFS(BetTable[AR],BetTable[Date],A176)</f>
        <v>0</v>
      </c>
      <c r="D176">
        <f t="shared" si="7"/>
        <v>0</v>
      </c>
      <c r="E176">
        <f t="shared" si="8"/>
        <v>862.41219999999998</v>
      </c>
      <c r="L176" s="134"/>
    </row>
    <row r="177" spans="1:15">
      <c r="A177" s="134">
        <v>44006</v>
      </c>
      <c r="B177">
        <f>SUMIFS(DWbonus[Sum],DWbonus[Dato],A177)</f>
        <v>0</v>
      </c>
      <c r="C177">
        <f>SUMIFS(LayTable[Faktisk res],LayTable[Dato],A177)+SUMIFS(BetTable[AR],BetTable[Date],A177)</f>
        <v>0</v>
      </c>
      <c r="D177">
        <f t="shared" si="7"/>
        <v>0</v>
      </c>
      <c r="E177">
        <f t="shared" si="8"/>
        <v>862.41219999999998</v>
      </c>
      <c r="L177" s="134"/>
    </row>
    <row r="178" spans="1:15">
      <c r="A178" s="134">
        <v>44007</v>
      </c>
      <c r="B178">
        <f>SUMIFS(DWbonus[Sum],DWbonus[Dato],A178)</f>
        <v>0</v>
      </c>
      <c r="C178">
        <f>SUMIFS(LayTable[Faktisk res],LayTable[Dato],A178)+SUMIFS(BetTable[AR],BetTable[Date],A178)</f>
        <v>0</v>
      </c>
      <c r="D178">
        <f t="shared" si="7"/>
        <v>0</v>
      </c>
      <c r="E178">
        <f t="shared" si="8"/>
        <v>862.41219999999998</v>
      </c>
      <c r="L178" s="134"/>
    </row>
    <row r="179" spans="1:15">
      <c r="A179" s="134">
        <v>44008</v>
      </c>
      <c r="B179">
        <f>SUMIFS(DWbonus[Sum],DWbonus[Dato],A179)</f>
        <v>0</v>
      </c>
      <c r="C179">
        <f>SUMIFS(LayTable[Faktisk res],LayTable[Dato],A179)+SUMIFS(BetTable[AR],BetTable[Date],A179)</f>
        <v>0</v>
      </c>
      <c r="D179">
        <f t="shared" si="7"/>
        <v>0</v>
      </c>
      <c r="E179">
        <f t="shared" si="8"/>
        <v>862.41219999999998</v>
      </c>
      <c r="L179" s="134"/>
    </row>
    <row r="180" spans="1:15">
      <c r="A180" s="134">
        <v>44009</v>
      </c>
      <c r="B180">
        <f>SUMIFS(DWbonus[Sum],DWbonus[Dato],A180)</f>
        <v>0</v>
      </c>
      <c r="C180">
        <f>SUMIFS(LayTable[Faktisk res],LayTable[Dato],A180)+SUMIFS(BetTable[AR],BetTable[Date],A180)</f>
        <v>0</v>
      </c>
      <c r="D180">
        <f t="shared" si="7"/>
        <v>0</v>
      </c>
      <c r="E180">
        <f t="shared" si="8"/>
        <v>862.41219999999998</v>
      </c>
      <c r="L180" s="134"/>
    </row>
    <row r="181" spans="1:15">
      <c r="A181" s="134">
        <v>44010</v>
      </c>
      <c r="B181">
        <f>SUMIFS(DWbonus[Sum],DWbonus[Dato],A181)</f>
        <v>0</v>
      </c>
      <c r="C181">
        <f>SUMIFS(LayTable[Faktisk res],LayTable[Dato],A181)+SUMIFS(BetTable[AR],BetTable[Date],A181)</f>
        <v>0</v>
      </c>
      <c r="D181">
        <f t="shared" si="7"/>
        <v>0</v>
      </c>
      <c r="E181">
        <f t="shared" si="8"/>
        <v>862.41219999999998</v>
      </c>
      <c r="L181" s="134"/>
    </row>
    <row r="182" spans="1:15">
      <c r="A182" s="134">
        <v>44011</v>
      </c>
      <c r="B182">
        <f>SUMIFS(DWbonus[Sum],DWbonus[Dato],A182)</f>
        <v>0</v>
      </c>
      <c r="C182">
        <f>SUMIFS(LayTable[Faktisk res],LayTable[Dato],A182)+SUMIFS(BetTable[AR],BetTable[Date],A182)</f>
        <v>0</v>
      </c>
      <c r="D182">
        <f t="shared" si="7"/>
        <v>0</v>
      </c>
      <c r="E182">
        <f t="shared" si="8"/>
        <v>862.41219999999998</v>
      </c>
      <c r="L182" s="134"/>
    </row>
    <row r="183" spans="1:15">
      <c r="A183" s="134">
        <v>44012</v>
      </c>
      <c r="B183">
        <f>SUMIFS(DWbonus[Sum],DWbonus[Dato],A183)</f>
        <v>0</v>
      </c>
      <c r="C183">
        <f>SUMIFS(LayTable[Faktisk res],LayTable[Dato],A183)+SUMIFS(BetTable[AR],BetTable[Date],A183)</f>
        <v>0</v>
      </c>
      <c r="D183">
        <f t="shared" si="7"/>
        <v>0</v>
      </c>
      <c r="E183">
        <f t="shared" si="8"/>
        <v>862.41219999999998</v>
      </c>
      <c r="L183" s="134"/>
      <c r="O183" s="3"/>
    </row>
    <row r="184" spans="1:15">
      <c r="A184" s="134">
        <v>44013</v>
      </c>
      <c r="B184">
        <f>SUMIFS(DWbonus[Sum],DWbonus[Dato],A184)</f>
        <v>0</v>
      </c>
      <c r="C184">
        <f>SUMIFS(LayTable[Faktisk res],LayTable[Dato],A184)+SUMIFS(BetTable[AR],BetTable[Date],A184)</f>
        <v>0</v>
      </c>
      <c r="D184">
        <f t="shared" si="7"/>
        <v>0</v>
      </c>
      <c r="E184">
        <f t="shared" si="8"/>
        <v>862.41219999999998</v>
      </c>
      <c r="L184" s="134"/>
    </row>
    <row r="185" spans="1:15">
      <c r="A185" s="134">
        <v>44014</v>
      </c>
      <c r="B185">
        <f>SUMIFS(DWbonus[Sum],DWbonus[Dato],A185)</f>
        <v>0</v>
      </c>
      <c r="C185">
        <f>SUMIFS(LayTable[Faktisk res],LayTable[Dato],A185)+SUMIFS(BetTable[AR],BetTable[Date],A185)</f>
        <v>0</v>
      </c>
      <c r="D185">
        <f t="shared" si="7"/>
        <v>0</v>
      </c>
      <c r="E185">
        <f t="shared" si="8"/>
        <v>862.41219999999998</v>
      </c>
      <c r="L185" s="134"/>
    </row>
    <row r="186" spans="1:15">
      <c r="A186" s="134">
        <v>44015</v>
      </c>
      <c r="B186">
        <f>SUMIFS(DWbonus[Sum],DWbonus[Dato],A186)</f>
        <v>0</v>
      </c>
      <c r="C186">
        <f>SUMIFS(LayTable[Faktisk res],LayTable[Dato],A186)+SUMIFS(BetTable[AR],BetTable[Date],A186)</f>
        <v>0</v>
      </c>
      <c r="D186">
        <f t="shared" si="7"/>
        <v>0</v>
      </c>
      <c r="E186">
        <f t="shared" si="8"/>
        <v>862.41219999999998</v>
      </c>
      <c r="L186" s="134"/>
    </row>
    <row r="187" spans="1:15">
      <c r="A187" s="134">
        <v>44016</v>
      </c>
      <c r="B187">
        <f>SUMIFS(DWbonus[Sum],DWbonus[Dato],A187)</f>
        <v>0</v>
      </c>
      <c r="C187">
        <f>SUMIFS(LayTable[Faktisk res],LayTable[Dato],A187)+SUMIFS(BetTable[AR],BetTable[Date],A187)</f>
        <v>0</v>
      </c>
      <c r="D187">
        <f t="shared" si="7"/>
        <v>0</v>
      </c>
      <c r="E187">
        <f t="shared" si="8"/>
        <v>862.41219999999998</v>
      </c>
      <c r="L187" s="134"/>
    </row>
    <row r="188" spans="1:15">
      <c r="A188" s="134">
        <v>44017</v>
      </c>
      <c r="B188">
        <f>SUMIFS(DWbonus[Sum],DWbonus[Dato],A188)</f>
        <v>0</v>
      </c>
      <c r="C188">
        <f>SUMIFS(LayTable[Faktisk res],LayTable[Dato],A188)+SUMIFS(BetTable[AR],BetTable[Date],A188)</f>
        <v>0</v>
      </c>
      <c r="D188">
        <f t="shared" si="7"/>
        <v>0</v>
      </c>
      <c r="E188">
        <f t="shared" si="8"/>
        <v>862.41219999999998</v>
      </c>
      <c r="L188" s="134"/>
    </row>
    <row r="189" spans="1:15">
      <c r="A189" s="134">
        <v>44018</v>
      </c>
      <c r="B189">
        <f>SUMIFS(DWbonus[Sum],DWbonus[Dato],A189)</f>
        <v>0</v>
      </c>
      <c r="C189">
        <f>SUMIFS(LayTable[Faktisk res],LayTable[Dato],A189)+SUMIFS(BetTable[AR],BetTable[Date],A189)</f>
        <v>0</v>
      </c>
      <c r="D189">
        <f t="shared" si="7"/>
        <v>0</v>
      </c>
      <c r="E189">
        <f t="shared" si="8"/>
        <v>862.41219999999998</v>
      </c>
      <c r="L189" s="134"/>
    </row>
    <row r="190" spans="1:15">
      <c r="A190" s="134">
        <v>44019</v>
      </c>
      <c r="B190">
        <f>SUMIFS(DWbonus[Sum],DWbonus[Dato],A190)</f>
        <v>0</v>
      </c>
      <c r="C190">
        <f>SUMIFS(LayTable[Faktisk res],LayTable[Dato],A190)+SUMIFS(BetTable[AR],BetTable[Date],A190)</f>
        <v>0</v>
      </c>
      <c r="D190">
        <f t="shared" si="7"/>
        <v>0</v>
      </c>
      <c r="E190">
        <f t="shared" si="8"/>
        <v>862.41219999999998</v>
      </c>
      <c r="L190" s="134"/>
    </row>
    <row r="191" spans="1:15">
      <c r="A191" s="134">
        <v>44020</v>
      </c>
      <c r="B191">
        <f>SUMIFS(DWbonus[Sum],DWbonus[Dato],A191)</f>
        <v>0</v>
      </c>
      <c r="C191">
        <f>SUMIFS(LayTable[Faktisk res],LayTable[Dato],A191)+SUMIFS(BetTable[AR],BetTable[Date],A191)</f>
        <v>0</v>
      </c>
      <c r="D191">
        <f t="shared" si="7"/>
        <v>0</v>
      </c>
      <c r="E191">
        <f t="shared" si="8"/>
        <v>862.41219999999998</v>
      </c>
      <c r="L191" s="134"/>
    </row>
    <row r="192" spans="1:15">
      <c r="A192" s="134">
        <v>44021</v>
      </c>
      <c r="B192">
        <f>SUMIFS(DWbonus[Sum],DWbonus[Dato],A192)</f>
        <v>0</v>
      </c>
      <c r="C192">
        <f>SUMIFS(LayTable[Faktisk res],LayTable[Dato],A192)+SUMIFS(BetTable[AR],BetTable[Date],A192)</f>
        <v>0</v>
      </c>
      <c r="D192">
        <f t="shared" si="7"/>
        <v>0</v>
      </c>
      <c r="E192">
        <f t="shared" si="8"/>
        <v>862.41219999999998</v>
      </c>
      <c r="L192" s="134"/>
    </row>
    <row r="193" spans="1:12">
      <c r="A193" s="134">
        <v>44022</v>
      </c>
      <c r="B193">
        <f>SUMIFS(DWbonus[Sum],DWbonus[Dato],A193)</f>
        <v>0</v>
      </c>
      <c r="C193">
        <f>SUMIFS(LayTable[Faktisk res],LayTable[Dato],A193)+SUMIFS(BetTable[AR],BetTable[Date],A193)</f>
        <v>0</v>
      </c>
      <c r="D193">
        <f t="shared" si="7"/>
        <v>0</v>
      </c>
      <c r="E193">
        <f t="shared" si="8"/>
        <v>862.41219999999998</v>
      </c>
      <c r="L193" s="134"/>
    </row>
    <row r="194" spans="1:12">
      <c r="A194" s="134">
        <v>44023</v>
      </c>
      <c r="B194">
        <f>SUMIFS(DWbonus[Sum],DWbonus[Dato],A194)</f>
        <v>0</v>
      </c>
      <c r="C194">
        <f>SUMIFS(LayTable[Faktisk res],LayTable[Dato],A194)+SUMIFS(BetTable[AR],BetTable[Date],A194)</f>
        <v>0</v>
      </c>
      <c r="D194">
        <f t="shared" si="7"/>
        <v>0</v>
      </c>
      <c r="E194">
        <f t="shared" si="8"/>
        <v>862.41219999999998</v>
      </c>
      <c r="L194" s="134"/>
    </row>
    <row r="195" spans="1:12">
      <c r="A195" s="134">
        <v>44024</v>
      </c>
      <c r="B195">
        <f>SUMIFS(DWbonus[Sum],DWbonus[Dato],A195)</f>
        <v>0</v>
      </c>
      <c r="C195">
        <f>SUMIFS(LayTable[Faktisk res],LayTable[Dato],A195)+SUMIFS(BetTable[AR],BetTable[Date],A195)</f>
        <v>0</v>
      </c>
      <c r="D195">
        <f t="shared" si="7"/>
        <v>0</v>
      </c>
      <c r="E195">
        <f t="shared" si="8"/>
        <v>862.41219999999998</v>
      </c>
      <c r="L195" s="134"/>
    </row>
    <row r="196" spans="1:12">
      <c r="A196" s="134">
        <v>44025</v>
      </c>
      <c r="B196">
        <f>SUMIFS(DWbonus[Sum],DWbonus[Dato],A196)</f>
        <v>0</v>
      </c>
      <c r="C196">
        <f>SUMIFS(LayTable[Faktisk res],LayTable[Dato],A196)+SUMIFS(BetTable[AR],BetTable[Date],A196)</f>
        <v>0</v>
      </c>
      <c r="D196">
        <f t="shared" si="7"/>
        <v>0</v>
      </c>
      <c r="E196">
        <f t="shared" si="8"/>
        <v>862.41219999999998</v>
      </c>
      <c r="L196" s="134"/>
    </row>
    <row r="197" spans="1:12">
      <c r="A197" s="134">
        <v>44026</v>
      </c>
      <c r="B197">
        <f>SUMIFS(DWbonus[Sum],DWbonus[Dato],A197)</f>
        <v>0</v>
      </c>
      <c r="C197">
        <f>SUMIFS(LayTable[Faktisk res],LayTable[Dato],A197)+SUMIFS(BetTable[AR],BetTable[Date],A197)</f>
        <v>0</v>
      </c>
      <c r="D197">
        <f t="shared" si="7"/>
        <v>0</v>
      </c>
      <c r="E197">
        <f t="shared" si="8"/>
        <v>862.41219999999998</v>
      </c>
      <c r="L197" s="134"/>
    </row>
    <row r="198" spans="1:12">
      <c r="A198" s="134">
        <v>44027</v>
      </c>
      <c r="B198">
        <f>SUMIFS(DWbonus[Sum],DWbonus[Dato],A198)</f>
        <v>0</v>
      </c>
      <c r="C198">
        <f>SUMIFS(LayTable[Faktisk res],LayTable[Dato],A198)+SUMIFS(BetTable[AR],BetTable[Date],A198)</f>
        <v>0</v>
      </c>
      <c r="D198">
        <f t="shared" si="7"/>
        <v>0</v>
      </c>
      <c r="E198">
        <f t="shared" si="8"/>
        <v>862.41219999999998</v>
      </c>
      <c r="L198" s="134"/>
    </row>
    <row r="199" spans="1:12">
      <c r="A199" s="134">
        <v>44028</v>
      </c>
      <c r="B199">
        <f>SUMIFS(DWbonus[Sum],DWbonus[Dato],A199)</f>
        <v>0</v>
      </c>
      <c r="C199">
        <f>SUMIFS(LayTable[Faktisk res],LayTable[Dato],A199)+SUMIFS(BetTable[AR],BetTable[Date],A199)</f>
        <v>0</v>
      </c>
      <c r="D199">
        <f t="shared" si="7"/>
        <v>0</v>
      </c>
      <c r="E199">
        <f t="shared" si="8"/>
        <v>862.41219999999998</v>
      </c>
      <c r="L199" s="134"/>
    </row>
    <row r="200" spans="1:12">
      <c r="A200" s="134">
        <v>44029</v>
      </c>
      <c r="B200">
        <f>SUMIFS(DWbonus[Sum],DWbonus[Dato],A200)</f>
        <v>0</v>
      </c>
      <c r="C200">
        <f>SUMIFS(LayTable[Faktisk res],LayTable[Dato],A200)+SUMIFS(BetTable[AR],BetTable[Date],A200)</f>
        <v>0</v>
      </c>
      <c r="D200">
        <f t="shared" si="7"/>
        <v>0</v>
      </c>
      <c r="E200">
        <f t="shared" si="8"/>
        <v>862.41219999999998</v>
      </c>
      <c r="L200" s="134"/>
    </row>
    <row r="201" spans="1:12">
      <c r="A201" s="134">
        <v>44030</v>
      </c>
      <c r="B201">
        <f>SUMIFS(DWbonus[Sum],DWbonus[Dato],A201)</f>
        <v>0</v>
      </c>
      <c r="C201">
        <f>SUMIFS(LayTable[Faktisk res],LayTable[Dato],A201)+SUMIFS(BetTable[AR],BetTable[Date],A201)</f>
        <v>0</v>
      </c>
      <c r="D201">
        <f t="shared" si="7"/>
        <v>0</v>
      </c>
      <c r="E201">
        <f t="shared" si="8"/>
        <v>862.41219999999998</v>
      </c>
      <c r="L201" s="134"/>
    </row>
    <row r="202" spans="1:12">
      <c r="A202" s="134">
        <v>44031</v>
      </c>
      <c r="B202">
        <f>SUMIFS(DWbonus[Sum],DWbonus[Dato],A202)</f>
        <v>0</v>
      </c>
      <c r="C202">
        <f>SUMIFS(LayTable[Faktisk res],LayTable[Dato],A202)+SUMIFS(BetTable[AR],BetTable[Date],A202)</f>
        <v>0</v>
      </c>
      <c r="D202">
        <f t="shared" si="7"/>
        <v>0</v>
      </c>
      <c r="E202">
        <f t="shared" si="8"/>
        <v>862.41219999999998</v>
      </c>
      <c r="L202" s="134"/>
    </row>
    <row r="203" spans="1:12">
      <c r="A203" s="134">
        <v>44032</v>
      </c>
      <c r="B203">
        <f>SUMIFS(DWbonus[Sum],DWbonus[Dato],A203)</f>
        <v>0</v>
      </c>
      <c r="C203">
        <f>SUMIFS(LayTable[Faktisk res],LayTable[Dato],A203)+SUMIFS(BetTable[AR],BetTable[Date],A203)</f>
        <v>0</v>
      </c>
      <c r="D203">
        <f t="shared" si="7"/>
        <v>0</v>
      </c>
      <c r="E203">
        <f t="shared" si="8"/>
        <v>862.41219999999998</v>
      </c>
      <c r="L203" s="134"/>
    </row>
    <row r="204" spans="1:12">
      <c r="A204" s="134">
        <v>44033</v>
      </c>
      <c r="B204">
        <f>SUMIFS(DWbonus[Sum],DWbonus[Dato],A204)</f>
        <v>0</v>
      </c>
      <c r="C204">
        <f>SUMIFS(LayTable[Faktisk res],LayTable[Dato],A204)+SUMIFS(BetTable[AR],BetTable[Date],A204)</f>
        <v>0</v>
      </c>
      <c r="D204">
        <f t="shared" ref="D204:D205" si="9">B204+C204</f>
        <v>0</v>
      </c>
      <c r="E204">
        <f t="shared" ref="E204:E205" si="10">E203+D204</f>
        <v>862.41219999999998</v>
      </c>
      <c r="L204" s="134"/>
    </row>
    <row r="205" spans="1:12">
      <c r="A205" s="134">
        <v>44034</v>
      </c>
      <c r="B205">
        <f>SUMIFS(DWbonus[Sum],DWbonus[Dato],A205)</f>
        <v>0</v>
      </c>
      <c r="C205">
        <f>SUMIFS(LayTable[Faktisk res],LayTable[Dato],A205)+SUMIFS(BetTable[AR],BetTable[Date],A205)</f>
        <v>0</v>
      </c>
      <c r="D205">
        <f t="shared" si="9"/>
        <v>0</v>
      </c>
      <c r="E205">
        <f t="shared" si="10"/>
        <v>862.41219999999998</v>
      </c>
      <c r="L205" s="134"/>
    </row>
    <row r="206" spans="1:12">
      <c r="A206" s="134">
        <v>44035</v>
      </c>
      <c r="B206">
        <f>SUMIFS(DWbonus[Sum],DWbonus[Dato],A206)</f>
        <v>0</v>
      </c>
      <c r="C206">
        <f>SUMIFS(LayTable[Faktisk res],LayTable[Dato],A206)+SUMIFS(BetTable[AR],BetTable[Date],A206)</f>
        <v>0</v>
      </c>
      <c r="D206">
        <f t="shared" ref="D206:D238" si="11">B206+C206</f>
        <v>0</v>
      </c>
      <c r="E206">
        <f t="shared" ref="E206:E238" si="12">E205+D206</f>
        <v>862.41219999999998</v>
      </c>
      <c r="L206" s="134"/>
    </row>
    <row r="207" spans="1:12">
      <c r="A207" s="134">
        <v>44036</v>
      </c>
      <c r="B207">
        <f>SUMIFS(DWbonus[Sum],DWbonus[Dato],A207)</f>
        <v>0</v>
      </c>
      <c r="C207">
        <f>SUMIFS(LayTable[Faktisk res],LayTable[Dato],A207)+SUMIFS(BetTable[AR],BetTable[Date],A207)</f>
        <v>0</v>
      </c>
      <c r="D207">
        <f t="shared" si="11"/>
        <v>0</v>
      </c>
      <c r="E207">
        <f t="shared" si="12"/>
        <v>862.41219999999998</v>
      </c>
      <c r="L207" s="134"/>
    </row>
    <row r="208" spans="1:12">
      <c r="A208" s="134">
        <v>44037</v>
      </c>
      <c r="B208">
        <f>SUMIFS(DWbonus[Sum],DWbonus[Dato],A208)</f>
        <v>0</v>
      </c>
      <c r="C208">
        <f>SUMIFS(LayTable[Faktisk res],LayTable[Dato],A208)+SUMIFS(BetTable[AR],BetTable[Date],A208)</f>
        <v>0</v>
      </c>
      <c r="D208">
        <f t="shared" si="11"/>
        <v>0</v>
      </c>
      <c r="E208">
        <f t="shared" si="12"/>
        <v>862.41219999999998</v>
      </c>
      <c r="L208" s="134"/>
    </row>
    <row r="209" spans="1:12">
      <c r="A209" s="134">
        <v>44038</v>
      </c>
      <c r="B209">
        <f>SUMIFS(DWbonus[Sum],DWbonus[Dato],A209)</f>
        <v>0</v>
      </c>
      <c r="C209">
        <f>SUMIFS(LayTable[Faktisk res],LayTable[Dato],A209)+SUMIFS(BetTable[AR],BetTable[Date],A209)</f>
        <v>0</v>
      </c>
      <c r="D209">
        <f t="shared" si="11"/>
        <v>0</v>
      </c>
      <c r="E209">
        <f t="shared" si="12"/>
        <v>862.41219999999998</v>
      </c>
      <c r="L209" s="134"/>
    </row>
    <row r="210" spans="1:12">
      <c r="A210" s="134">
        <v>44039</v>
      </c>
      <c r="B210">
        <f>SUMIFS(DWbonus[Sum],DWbonus[Dato],A210)</f>
        <v>0</v>
      </c>
      <c r="C210">
        <f>SUMIFS(LayTable[Faktisk res],LayTable[Dato],A210)+SUMIFS(BetTable[AR],BetTable[Date],A210)</f>
        <v>0</v>
      </c>
      <c r="D210">
        <f t="shared" si="11"/>
        <v>0</v>
      </c>
      <c r="E210">
        <f t="shared" si="12"/>
        <v>862.41219999999998</v>
      </c>
      <c r="L210" s="134"/>
    </row>
    <row r="211" spans="1:12">
      <c r="A211" s="134">
        <v>44040</v>
      </c>
      <c r="B211">
        <f>SUMIFS(DWbonus[Sum],DWbonus[Dato],A211)</f>
        <v>0</v>
      </c>
      <c r="C211">
        <f>SUMIFS(LayTable[Faktisk res],LayTable[Dato],A211)+SUMIFS(BetTable[AR],BetTable[Date],A211)</f>
        <v>0</v>
      </c>
      <c r="D211">
        <f t="shared" si="11"/>
        <v>0</v>
      </c>
      <c r="E211">
        <f t="shared" si="12"/>
        <v>862.41219999999998</v>
      </c>
      <c r="L211" s="134"/>
    </row>
    <row r="212" spans="1:12">
      <c r="A212" s="134">
        <v>44041</v>
      </c>
      <c r="B212">
        <f>SUMIFS(DWbonus[Sum],DWbonus[Dato],A212)</f>
        <v>0</v>
      </c>
      <c r="C212">
        <f>SUMIFS(LayTable[Faktisk res],LayTable[Dato],A212)+SUMIFS(BetTable[AR],BetTable[Date],A212)</f>
        <v>0</v>
      </c>
      <c r="D212">
        <f t="shared" si="11"/>
        <v>0</v>
      </c>
      <c r="E212">
        <f t="shared" si="12"/>
        <v>862.41219999999998</v>
      </c>
      <c r="L212" s="134"/>
    </row>
    <row r="213" spans="1:12">
      <c r="A213" s="134">
        <v>44042</v>
      </c>
      <c r="B213">
        <f>SUMIFS(DWbonus[Sum],DWbonus[Dato],A213)</f>
        <v>0</v>
      </c>
      <c r="C213">
        <f>SUMIFS(LayTable[Faktisk res],LayTable[Dato],A213)+SUMIFS(BetTable[AR],BetTable[Date],A213)</f>
        <v>0</v>
      </c>
      <c r="D213">
        <f t="shared" si="11"/>
        <v>0</v>
      </c>
      <c r="E213">
        <f t="shared" si="12"/>
        <v>862.41219999999998</v>
      </c>
      <c r="L213" s="134"/>
    </row>
    <row r="214" spans="1:12">
      <c r="A214" s="134">
        <v>44043</v>
      </c>
      <c r="B214">
        <f>SUMIFS(DWbonus[Sum],DWbonus[Dato],A214)</f>
        <v>0</v>
      </c>
      <c r="C214">
        <f>SUMIFS(LayTable[Faktisk res],LayTable[Dato],A214)+SUMIFS(BetTable[AR],BetTable[Date],A214)</f>
        <v>0</v>
      </c>
      <c r="D214">
        <f t="shared" si="11"/>
        <v>0</v>
      </c>
      <c r="E214">
        <f t="shared" si="12"/>
        <v>862.41219999999998</v>
      </c>
      <c r="L214" s="134"/>
    </row>
    <row r="215" spans="1:12">
      <c r="A215" s="134">
        <v>44044</v>
      </c>
      <c r="B215">
        <f>SUMIFS(DWbonus[Sum],DWbonus[Dato],A215)</f>
        <v>0</v>
      </c>
      <c r="C215">
        <f>SUMIFS(LayTable[Faktisk res],LayTable[Dato],A215)+SUMIFS(BetTable[AR],BetTable[Date],A215)</f>
        <v>0</v>
      </c>
      <c r="D215">
        <f t="shared" si="11"/>
        <v>0</v>
      </c>
      <c r="E215">
        <f t="shared" si="12"/>
        <v>862.41219999999998</v>
      </c>
      <c r="L215" s="134"/>
    </row>
    <row r="216" spans="1:12">
      <c r="A216" s="134">
        <v>44045</v>
      </c>
      <c r="B216">
        <f>SUMIFS(DWbonus[Sum],DWbonus[Dato],A216)</f>
        <v>0</v>
      </c>
      <c r="C216">
        <f>SUMIFS(LayTable[Faktisk res],LayTable[Dato],A216)+SUMIFS(BetTable[AR],BetTable[Date],A216)</f>
        <v>0</v>
      </c>
      <c r="D216">
        <f t="shared" si="11"/>
        <v>0</v>
      </c>
      <c r="E216">
        <f t="shared" si="12"/>
        <v>862.41219999999998</v>
      </c>
      <c r="L216" s="134"/>
    </row>
    <row r="217" spans="1:12">
      <c r="A217" s="134">
        <v>44046</v>
      </c>
      <c r="B217">
        <f>SUMIFS(DWbonus[Sum],DWbonus[Dato],A217)</f>
        <v>0</v>
      </c>
      <c r="C217">
        <f>SUMIFS(LayTable[Faktisk res],LayTable[Dato],A217)+SUMIFS(BetTable[AR],BetTable[Date],A217)</f>
        <v>0</v>
      </c>
      <c r="D217">
        <f t="shared" si="11"/>
        <v>0</v>
      </c>
      <c r="E217">
        <f t="shared" si="12"/>
        <v>862.41219999999998</v>
      </c>
      <c r="L217" s="134"/>
    </row>
    <row r="218" spans="1:12">
      <c r="A218" s="134">
        <v>44047</v>
      </c>
      <c r="B218">
        <f>SUMIFS(DWbonus[Sum],DWbonus[Dato],A218)</f>
        <v>0</v>
      </c>
      <c r="C218">
        <f>SUMIFS(LayTable[Faktisk res],LayTable[Dato],A218)+SUMIFS(BetTable[AR],BetTable[Date],A218)</f>
        <v>0</v>
      </c>
      <c r="D218">
        <f t="shared" si="11"/>
        <v>0</v>
      </c>
      <c r="E218">
        <f t="shared" si="12"/>
        <v>862.41219999999998</v>
      </c>
      <c r="L218" s="134"/>
    </row>
    <row r="219" spans="1:12">
      <c r="A219" s="134">
        <v>44048</v>
      </c>
      <c r="B219">
        <f>SUMIFS(DWbonus[Sum],DWbonus[Dato],A219)</f>
        <v>0</v>
      </c>
      <c r="C219">
        <f>SUMIFS(LayTable[Faktisk res],LayTable[Dato],A219)+SUMIFS(BetTable[AR],BetTable[Date],A219)</f>
        <v>0</v>
      </c>
      <c r="D219">
        <f t="shared" si="11"/>
        <v>0</v>
      </c>
      <c r="E219">
        <f t="shared" si="12"/>
        <v>862.41219999999998</v>
      </c>
      <c r="L219" s="134"/>
    </row>
    <row r="220" spans="1:12">
      <c r="A220" s="134">
        <v>44049</v>
      </c>
      <c r="B220">
        <f>SUMIFS(DWbonus[Sum],DWbonus[Dato],A220)</f>
        <v>0</v>
      </c>
      <c r="C220">
        <f>SUMIFS(LayTable[Faktisk res],LayTable[Dato],A220)+SUMIFS(BetTable[AR],BetTable[Date],A220)</f>
        <v>0</v>
      </c>
      <c r="D220">
        <f t="shared" si="11"/>
        <v>0</v>
      </c>
      <c r="E220">
        <f t="shared" si="12"/>
        <v>862.41219999999998</v>
      </c>
      <c r="L220" s="134"/>
    </row>
    <row r="221" spans="1:12">
      <c r="A221" s="134">
        <v>44050</v>
      </c>
      <c r="B221">
        <f>SUMIFS(DWbonus[Sum],DWbonus[Dato],A221)</f>
        <v>0</v>
      </c>
      <c r="C221">
        <f>SUMIFS(LayTable[Faktisk res],LayTable[Dato],A221)+SUMIFS(BetTable[AR],BetTable[Date],A221)</f>
        <v>0</v>
      </c>
      <c r="D221">
        <f t="shared" si="11"/>
        <v>0</v>
      </c>
      <c r="E221">
        <f t="shared" si="12"/>
        <v>862.41219999999998</v>
      </c>
      <c r="L221" s="134"/>
    </row>
    <row r="222" spans="1:12">
      <c r="A222" s="134">
        <v>44051</v>
      </c>
      <c r="B222">
        <f>SUMIFS(DWbonus[Sum],DWbonus[Dato],A222)</f>
        <v>0</v>
      </c>
      <c r="C222">
        <f>SUMIFS(LayTable[Faktisk res],LayTable[Dato],A222)+SUMIFS(BetTable[AR],BetTable[Date],A222)</f>
        <v>0</v>
      </c>
      <c r="D222">
        <f t="shared" si="11"/>
        <v>0</v>
      </c>
      <c r="E222">
        <f t="shared" si="12"/>
        <v>862.41219999999998</v>
      </c>
      <c r="L222" s="134"/>
    </row>
    <row r="223" spans="1:12">
      <c r="A223" s="134">
        <v>44052</v>
      </c>
      <c r="B223">
        <f>SUMIFS(DWbonus[Sum],DWbonus[Dato],A223)</f>
        <v>0</v>
      </c>
      <c r="C223">
        <f>SUMIFS(LayTable[Faktisk res],LayTable[Dato],A223)+SUMIFS(BetTable[AR],BetTable[Date],A223)</f>
        <v>0</v>
      </c>
      <c r="D223">
        <f t="shared" si="11"/>
        <v>0</v>
      </c>
      <c r="E223">
        <f t="shared" si="12"/>
        <v>862.41219999999998</v>
      </c>
      <c r="L223" s="134"/>
    </row>
    <row r="224" spans="1:12">
      <c r="A224" s="134">
        <v>44053</v>
      </c>
      <c r="B224">
        <f>SUMIFS(DWbonus[Sum],DWbonus[Dato],A224)</f>
        <v>0</v>
      </c>
      <c r="C224">
        <f>SUMIFS(LayTable[Faktisk res],LayTable[Dato],A224)+SUMIFS(BetTable[AR],BetTable[Date],A224)</f>
        <v>0</v>
      </c>
      <c r="D224">
        <f t="shared" si="11"/>
        <v>0</v>
      </c>
      <c r="E224">
        <f t="shared" si="12"/>
        <v>862.41219999999998</v>
      </c>
      <c r="L224" s="134"/>
    </row>
    <row r="225" spans="1:12">
      <c r="A225" s="134">
        <v>44054</v>
      </c>
      <c r="B225">
        <f>SUMIFS(DWbonus[Sum],DWbonus[Dato],A225)</f>
        <v>0</v>
      </c>
      <c r="C225">
        <f>SUMIFS(LayTable[Faktisk res],LayTable[Dato],A225)+SUMIFS(BetTable[AR],BetTable[Date],A225)</f>
        <v>0</v>
      </c>
      <c r="D225">
        <f t="shared" si="11"/>
        <v>0</v>
      </c>
      <c r="E225">
        <f t="shared" si="12"/>
        <v>862.41219999999998</v>
      </c>
      <c r="L225" s="134"/>
    </row>
    <row r="226" spans="1:12">
      <c r="A226" s="134">
        <v>44055</v>
      </c>
      <c r="B226">
        <f>SUMIFS(DWbonus[Sum],DWbonus[Dato],A226)</f>
        <v>0</v>
      </c>
      <c r="C226">
        <f>SUMIFS(LayTable[Faktisk res],LayTable[Dato],A226)+SUMIFS(BetTable[AR],BetTable[Date],A226)</f>
        <v>0</v>
      </c>
      <c r="D226">
        <f t="shared" si="11"/>
        <v>0</v>
      </c>
      <c r="E226">
        <f t="shared" si="12"/>
        <v>862.41219999999998</v>
      </c>
      <c r="L226" s="134"/>
    </row>
    <row r="227" spans="1:12">
      <c r="A227" s="134">
        <v>44056</v>
      </c>
      <c r="B227">
        <f>SUMIFS(DWbonus[Sum],DWbonus[Dato],A227)</f>
        <v>0</v>
      </c>
      <c r="C227">
        <f>SUMIFS(LayTable[Faktisk res],LayTable[Dato],A227)+SUMIFS(BetTable[AR],BetTable[Date],A227)</f>
        <v>0</v>
      </c>
      <c r="D227">
        <f t="shared" si="11"/>
        <v>0</v>
      </c>
      <c r="E227">
        <f t="shared" si="12"/>
        <v>862.41219999999998</v>
      </c>
      <c r="L227" s="134"/>
    </row>
    <row r="228" spans="1:12">
      <c r="A228" s="134">
        <v>44057</v>
      </c>
      <c r="B228">
        <f>SUMIFS(DWbonus[Sum],DWbonus[Dato],A228)</f>
        <v>0</v>
      </c>
      <c r="C228">
        <f>SUMIFS(LayTable[Faktisk res],LayTable[Dato],A228)+SUMIFS(BetTable[AR],BetTable[Date],A228)</f>
        <v>0</v>
      </c>
      <c r="D228">
        <f t="shared" si="11"/>
        <v>0</v>
      </c>
      <c r="E228">
        <f t="shared" si="12"/>
        <v>862.41219999999998</v>
      </c>
      <c r="L228" s="134"/>
    </row>
    <row r="229" spans="1:12">
      <c r="A229" s="134">
        <v>44058</v>
      </c>
      <c r="B229">
        <f>SUMIFS(DWbonus[Sum],DWbonus[Dato],A229)</f>
        <v>0</v>
      </c>
      <c r="C229">
        <f>SUMIFS(LayTable[Faktisk res],LayTable[Dato],A229)+SUMIFS(BetTable[AR],BetTable[Date],A229)</f>
        <v>0</v>
      </c>
      <c r="D229">
        <f t="shared" si="11"/>
        <v>0</v>
      </c>
      <c r="E229">
        <f t="shared" si="12"/>
        <v>862.41219999999998</v>
      </c>
      <c r="L229" s="134"/>
    </row>
    <row r="230" spans="1:12">
      <c r="A230" s="134">
        <v>44059</v>
      </c>
      <c r="B230">
        <f>SUMIFS(DWbonus[Sum],DWbonus[Dato],A230)</f>
        <v>0</v>
      </c>
      <c r="C230">
        <f>SUMIFS(LayTable[Faktisk res],LayTable[Dato],A230)+SUMIFS(BetTable[AR],BetTable[Date],A230)</f>
        <v>0</v>
      </c>
      <c r="D230">
        <f t="shared" si="11"/>
        <v>0</v>
      </c>
      <c r="E230">
        <f t="shared" si="12"/>
        <v>862.41219999999998</v>
      </c>
      <c r="L230" s="134"/>
    </row>
    <row r="231" spans="1:12">
      <c r="A231" s="134">
        <v>44060</v>
      </c>
      <c r="B231">
        <f>SUMIFS(DWbonus[Sum],DWbonus[Dato],A231)</f>
        <v>0</v>
      </c>
      <c r="C231">
        <f>SUMIFS(LayTable[Faktisk res],LayTable[Dato],A231)+SUMIFS(BetTable[AR],BetTable[Date],A231)</f>
        <v>0</v>
      </c>
      <c r="D231">
        <f t="shared" si="11"/>
        <v>0</v>
      </c>
      <c r="E231">
        <f t="shared" si="12"/>
        <v>862.41219999999998</v>
      </c>
      <c r="L231" s="134"/>
    </row>
    <row r="232" spans="1:12">
      <c r="A232" s="134">
        <v>44061</v>
      </c>
      <c r="B232">
        <f>SUMIFS(DWbonus[Sum],DWbonus[Dato],A232)</f>
        <v>0</v>
      </c>
      <c r="C232">
        <f>SUMIFS(LayTable[Faktisk res],LayTable[Dato],A232)+SUMIFS(BetTable[AR],BetTable[Date],A232)</f>
        <v>0</v>
      </c>
      <c r="D232">
        <f t="shared" si="11"/>
        <v>0</v>
      </c>
      <c r="E232">
        <f t="shared" si="12"/>
        <v>862.41219999999998</v>
      </c>
      <c r="L232" s="134"/>
    </row>
    <row r="233" spans="1:12">
      <c r="A233" s="134">
        <v>44062</v>
      </c>
      <c r="B233">
        <f>SUMIFS(DWbonus[Sum],DWbonus[Dato],A233)</f>
        <v>0</v>
      </c>
      <c r="C233">
        <f>SUMIFS(LayTable[Faktisk res],LayTable[Dato],A233)+SUMIFS(BetTable[AR],BetTable[Date],A233)</f>
        <v>0</v>
      </c>
      <c r="D233">
        <f t="shared" si="11"/>
        <v>0</v>
      </c>
      <c r="E233">
        <f t="shared" si="12"/>
        <v>862.41219999999998</v>
      </c>
      <c r="L233" s="134"/>
    </row>
    <row r="234" spans="1:12">
      <c r="A234" s="134">
        <v>44063</v>
      </c>
      <c r="B234">
        <f>SUMIFS(DWbonus[Sum],DWbonus[Dato],A234)</f>
        <v>0</v>
      </c>
      <c r="C234">
        <f>SUMIFS(LayTable[Faktisk res],LayTable[Dato],A234)+SUMIFS(BetTable[AR],BetTable[Date],A234)</f>
        <v>0</v>
      </c>
      <c r="D234">
        <f t="shared" si="11"/>
        <v>0</v>
      </c>
      <c r="E234">
        <f t="shared" si="12"/>
        <v>862.41219999999998</v>
      </c>
      <c r="L234" s="134"/>
    </row>
    <row r="235" spans="1:12">
      <c r="A235" s="134">
        <v>44064</v>
      </c>
      <c r="B235">
        <f>SUMIFS(DWbonus[Sum],DWbonus[Dato],A235)</f>
        <v>0</v>
      </c>
      <c r="C235">
        <f>SUMIFS(LayTable[Faktisk res],LayTable[Dato],A235)+SUMIFS(BetTable[AR],BetTable[Date],A235)</f>
        <v>0</v>
      </c>
      <c r="D235">
        <f t="shared" si="11"/>
        <v>0</v>
      </c>
      <c r="E235">
        <f t="shared" si="12"/>
        <v>862.41219999999998</v>
      </c>
      <c r="L235" s="134"/>
    </row>
    <row r="236" spans="1:12">
      <c r="A236" s="134">
        <v>44065</v>
      </c>
      <c r="B236">
        <f>SUMIFS(DWbonus[Sum],DWbonus[Dato],A236)</f>
        <v>0</v>
      </c>
      <c r="C236">
        <f>SUMIFS(LayTable[Faktisk res],LayTable[Dato],A236)+SUMIFS(BetTable[AR],BetTable[Date],A236)</f>
        <v>0</v>
      </c>
      <c r="D236">
        <f t="shared" si="11"/>
        <v>0</v>
      </c>
      <c r="E236">
        <f t="shared" si="12"/>
        <v>862.41219999999998</v>
      </c>
      <c r="L236" s="134"/>
    </row>
    <row r="237" spans="1:12">
      <c r="A237" s="134">
        <v>44066</v>
      </c>
      <c r="B237">
        <f>SUMIFS(DWbonus[Sum],DWbonus[Dato],A237)</f>
        <v>0</v>
      </c>
      <c r="C237">
        <f>SUMIFS(LayTable[Faktisk res],LayTable[Dato],A237)+SUMIFS(BetTable[AR],BetTable[Date],A237)</f>
        <v>0</v>
      </c>
      <c r="D237">
        <f t="shared" si="11"/>
        <v>0</v>
      </c>
      <c r="E237">
        <f t="shared" si="12"/>
        <v>862.41219999999998</v>
      </c>
      <c r="L237" s="134"/>
    </row>
    <row r="238" spans="1:12">
      <c r="A238" s="134">
        <v>44067</v>
      </c>
      <c r="B238">
        <f>SUMIFS(DWbonus[Sum],DWbonus[Dato],A238)</f>
        <v>0</v>
      </c>
      <c r="C238">
        <f>SUMIFS(LayTable[Faktisk res],LayTable[Dato],A238)+SUMIFS(BetTable[AR],BetTable[Date],A238)</f>
        <v>0</v>
      </c>
      <c r="D238">
        <f t="shared" si="11"/>
        <v>0</v>
      </c>
      <c r="E238">
        <f t="shared" si="12"/>
        <v>862.41219999999998</v>
      </c>
      <c r="L238" s="134"/>
    </row>
    <row r="239" spans="1:12">
      <c r="A239" s="134">
        <v>44068</v>
      </c>
      <c r="B239">
        <f>SUMIFS(DWbonus[Sum],DWbonus[Dato],A239)</f>
        <v>0</v>
      </c>
      <c r="C239">
        <f>SUMIFS(LayTable[Faktisk res],LayTable[Dato],A239)+SUMIFS(BetTable[AR],BetTable[Date],A239)</f>
        <v>0</v>
      </c>
      <c r="D239">
        <f t="shared" ref="D239:D246" si="13">B239+C239</f>
        <v>0</v>
      </c>
      <c r="E239">
        <f t="shared" ref="E239:E246" si="14">E238+D239</f>
        <v>862.41219999999998</v>
      </c>
      <c r="L239" s="134"/>
    </row>
    <row r="240" spans="1:12">
      <c r="A240" s="134">
        <v>44069</v>
      </c>
      <c r="B240">
        <f>SUMIFS(DWbonus[Sum],DWbonus[Dato],A240)</f>
        <v>0</v>
      </c>
      <c r="C240">
        <f>SUMIFS(LayTable[Faktisk res],LayTable[Dato],A240)+SUMIFS(BetTable[AR],BetTable[Date],A240)</f>
        <v>0</v>
      </c>
      <c r="D240">
        <f t="shared" si="13"/>
        <v>0</v>
      </c>
      <c r="E240">
        <f t="shared" si="14"/>
        <v>862.41219999999998</v>
      </c>
      <c r="L240" s="134"/>
    </row>
    <row r="241" spans="1:12">
      <c r="A241" s="134">
        <v>44070</v>
      </c>
      <c r="B241">
        <f>SUMIFS(DWbonus[Sum],DWbonus[Dato],A241)</f>
        <v>0</v>
      </c>
      <c r="C241">
        <f>SUMIFS(LayTable[Faktisk res],LayTable[Dato],A241)+SUMIFS(BetTable[AR],BetTable[Date],A241)</f>
        <v>0</v>
      </c>
      <c r="D241">
        <f t="shared" si="13"/>
        <v>0</v>
      </c>
      <c r="E241">
        <f t="shared" si="14"/>
        <v>862.41219999999998</v>
      </c>
      <c r="L241" s="134"/>
    </row>
    <row r="242" spans="1:12">
      <c r="A242" s="134">
        <v>44071</v>
      </c>
      <c r="B242">
        <f>SUMIFS(DWbonus[Sum],DWbonus[Dato],A242)</f>
        <v>0</v>
      </c>
      <c r="C242">
        <f>SUMIFS(LayTable[Faktisk res],LayTable[Dato],A242)+SUMIFS(BetTable[AR],BetTable[Date],A242)</f>
        <v>0</v>
      </c>
      <c r="D242">
        <f t="shared" si="13"/>
        <v>0</v>
      </c>
      <c r="E242">
        <f t="shared" si="14"/>
        <v>862.41219999999998</v>
      </c>
      <c r="L242" s="134"/>
    </row>
    <row r="243" spans="1:12">
      <c r="A243" s="134">
        <v>44072</v>
      </c>
      <c r="B243">
        <f>SUMIFS(DWbonus[Sum],DWbonus[Dato],A243)</f>
        <v>0</v>
      </c>
      <c r="C243">
        <f>SUMIFS(LayTable[Faktisk res],LayTable[Dato],A243)+SUMIFS(BetTable[AR],BetTable[Date],A243)</f>
        <v>0</v>
      </c>
      <c r="D243">
        <f t="shared" si="13"/>
        <v>0</v>
      </c>
      <c r="E243">
        <f t="shared" si="14"/>
        <v>862.41219999999998</v>
      </c>
      <c r="L243" s="134"/>
    </row>
    <row r="244" spans="1:12">
      <c r="A244" s="134">
        <v>44073</v>
      </c>
      <c r="B244">
        <f>SUMIFS(DWbonus[Sum],DWbonus[Dato],A244)</f>
        <v>0</v>
      </c>
      <c r="C244">
        <f>SUMIFS(LayTable[Faktisk res],LayTable[Dato],A244)+SUMIFS(BetTable[AR],BetTable[Date],A244)</f>
        <v>0</v>
      </c>
      <c r="D244">
        <f t="shared" si="13"/>
        <v>0</v>
      </c>
      <c r="E244">
        <f t="shared" si="14"/>
        <v>862.41219999999998</v>
      </c>
      <c r="L244" s="134"/>
    </row>
    <row r="245" spans="1:12">
      <c r="A245" s="134">
        <v>44074</v>
      </c>
      <c r="B245">
        <f>SUMIFS(DWbonus[Sum],DWbonus[Dato],A245)</f>
        <v>0</v>
      </c>
      <c r="C245">
        <f>SUMIFS(LayTable[Faktisk res],LayTable[Dato],A245)+SUMIFS(BetTable[AR],BetTable[Date],A245)</f>
        <v>0</v>
      </c>
      <c r="D245">
        <f t="shared" si="13"/>
        <v>0</v>
      </c>
      <c r="E245">
        <f t="shared" si="14"/>
        <v>862.41219999999998</v>
      </c>
      <c r="L245" s="134"/>
    </row>
    <row r="246" spans="1:12">
      <c r="A246" s="134">
        <v>44075</v>
      </c>
      <c r="B246">
        <f>SUMIFS(DWbonus[Sum],DWbonus[Dato],A246)</f>
        <v>0</v>
      </c>
      <c r="C246">
        <f>SUMIFS(LayTable[Faktisk res],LayTable[Dato],A246)+SUMIFS(BetTable[AR],BetTable[Date],A246)</f>
        <v>0</v>
      </c>
      <c r="D246">
        <f t="shared" si="13"/>
        <v>0</v>
      </c>
      <c r="E246">
        <f t="shared" si="14"/>
        <v>862.41219999999998</v>
      </c>
      <c r="L246" s="134"/>
    </row>
    <row r="247" spans="1:12">
      <c r="A247" s="134">
        <v>44076</v>
      </c>
      <c r="B247">
        <f>SUMIFS(DWbonus[Sum],DWbonus[Dato],A247)</f>
        <v>0</v>
      </c>
      <c r="C247">
        <f>SUMIFS(LayTable[Faktisk res],LayTable[Dato],A247)+SUMIFS(BetTable[AR],BetTable[Date],A247)</f>
        <v>0</v>
      </c>
      <c r="D247">
        <f t="shared" ref="D247:D310" si="15">B247+C247</f>
        <v>0</v>
      </c>
      <c r="E247">
        <f t="shared" ref="E247:E310" si="16">E246+D247</f>
        <v>862.41219999999998</v>
      </c>
      <c r="L247" s="134"/>
    </row>
    <row r="248" spans="1:12">
      <c r="A248" s="134">
        <v>44077</v>
      </c>
      <c r="B248">
        <f>SUMIFS(DWbonus[Sum],DWbonus[Dato],A248)</f>
        <v>0</v>
      </c>
      <c r="C248">
        <f>SUMIFS(LayTable[Faktisk res],LayTable[Dato],A248)+SUMIFS(BetTable[AR],BetTable[Date],A248)</f>
        <v>0</v>
      </c>
      <c r="D248">
        <f t="shared" si="15"/>
        <v>0</v>
      </c>
      <c r="E248">
        <f t="shared" si="16"/>
        <v>862.41219999999998</v>
      </c>
      <c r="L248" s="134"/>
    </row>
    <row r="249" spans="1:12">
      <c r="A249" s="134">
        <v>44078</v>
      </c>
      <c r="B249">
        <f>SUMIFS(DWbonus[Sum],DWbonus[Dato],A249)</f>
        <v>0</v>
      </c>
      <c r="C249">
        <f>SUMIFS(LayTable[Faktisk res],LayTable[Dato],A249)+SUMIFS(BetTable[AR],BetTable[Date],A249)</f>
        <v>0</v>
      </c>
      <c r="D249">
        <f t="shared" si="15"/>
        <v>0</v>
      </c>
      <c r="E249">
        <f t="shared" si="16"/>
        <v>862.41219999999998</v>
      </c>
      <c r="L249" s="134"/>
    </row>
    <row r="250" spans="1:12">
      <c r="A250" s="134">
        <v>44079</v>
      </c>
      <c r="B250">
        <f>SUMIFS(DWbonus[Sum],DWbonus[Dato],A250)</f>
        <v>0</v>
      </c>
      <c r="C250">
        <f>SUMIFS(LayTable[Faktisk res],LayTable[Dato],A250)+SUMIFS(BetTable[AR],BetTable[Date],A250)</f>
        <v>0</v>
      </c>
      <c r="D250">
        <f t="shared" si="15"/>
        <v>0</v>
      </c>
      <c r="E250">
        <f t="shared" si="16"/>
        <v>862.41219999999998</v>
      </c>
      <c r="L250" s="134"/>
    </row>
    <row r="251" spans="1:12">
      <c r="A251" s="134">
        <v>44080</v>
      </c>
      <c r="B251">
        <f>SUMIFS(DWbonus[Sum],DWbonus[Dato],A251)</f>
        <v>0</v>
      </c>
      <c r="C251">
        <f>SUMIFS(LayTable[Faktisk res],LayTable[Dato],A251)+SUMIFS(BetTable[AR],BetTable[Date],A251)</f>
        <v>0</v>
      </c>
      <c r="D251">
        <f t="shared" si="15"/>
        <v>0</v>
      </c>
      <c r="E251">
        <f t="shared" si="16"/>
        <v>862.41219999999998</v>
      </c>
      <c r="L251" s="134"/>
    </row>
    <row r="252" spans="1:12">
      <c r="A252" s="134">
        <v>44081</v>
      </c>
      <c r="B252">
        <f>SUMIFS(DWbonus[Sum],DWbonus[Dato],A252)</f>
        <v>0</v>
      </c>
      <c r="C252">
        <f>SUMIFS(LayTable[Faktisk res],LayTable[Dato],A252)+SUMIFS(BetTable[AR],BetTable[Date],A252)</f>
        <v>0</v>
      </c>
      <c r="D252">
        <f t="shared" si="15"/>
        <v>0</v>
      </c>
      <c r="E252">
        <f t="shared" si="16"/>
        <v>862.41219999999998</v>
      </c>
      <c r="L252" s="134"/>
    </row>
    <row r="253" spans="1:12">
      <c r="A253" s="134">
        <v>44082</v>
      </c>
      <c r="B253">
        <f>SUMIFS(DWbonus[Sum],DWbonus[Dato],A253)</f>
        <v>0</v>
      </c>
      <c r="C253">
        <f>SUMIFS(LayTable[Faktisk res],LayTable[Dato],A253)+SUMIFS(BetTable[AR],BetTable[Date],A253)</f>
        <v>0</v>
      </c>
      <c r="D253">
        <f t="shared" si="15"/>
        <v>0</v>
      </c>
      <c r="E253">
        <f t="shared" si="16"/>
        <v>862.41219999999998</v>
      </c>
      <c r="L253" s="134"/>
    </row>
    <row r="254" spans="1:12">
      <c r="A254" s="134">
        <v>44083</v>
      </c>
      <c r="B254">
        <f>SUMIFS(DWbonus[Sum],DWbonus[Dato],A254)</f>
        <v>0</v>
      </c>
      <c r="C254">
        <f>SUMIFS(LayTable[Faktisk res],LayTable[Dato],A254)+SUMIFS(BetTable[AR],BetTable[Date],A254)</f>
        <v>0</v>
      </c>
      <c r="D254">
        <f t="shared" si="15"/>
        <v>0</v>
      </c>
      <c r="E254">
        <f t="shared" si="16"/>
        <v>862.41219999999998</v>
      </c>
      <c r="L254" s="134"/>
    </row>
    <row r="255" spans="1:12">
      <c r="A255" s="134">
        <v>44084</v>
      </c>
      <c r="B255">
        <f>SUMIFS(DWbonus[Sum],DWbonus[Dato],A255)</f>
        <v>0</v>
      </c>
      <c r="C255">
        <f>SUMIFS(LayTable[Faktisk res],LayTable[Dato],A255)+SUMIFS(BetTable[AR],BetTable[Date],A255)</f>
        <v>0</v>
      </c>
      <c r="D255">
        <f t="shared" si="15"/>
        <v>0</v>
      </c>
      <c r="E255">
        <f t="shared" si="16"/>
        <v>862.41219999999998</v>
      </c>
      <c r="L255" s="134"/>
    </row>
    <row r="256" spans="1:12">
      <c r="A256" s="134">
        <v>44085</v>
      </c>
      <c r="B256">
        <f>SUMIFS(DWbonus[Sum],DWbonus[Dato],A256)</f>
        <v>0</v>
      </c>
      <c r="C256">
        <f>SUMIFS(LayTable[Faktisk res],LayTable[Dato],A256)+SUMIFS(BetTable[AR],BetTable[Date],A256)</f>
        <v>0</v>
      </c>
      <c r="D256">
        <f t="shared" si="15"/>
        <v>0</v>
      </c>
      <c r="E256">
        <f t="shared" si="16"/>
        <v>862.41219999999998</v>
      </c>
      <c r="L256" s="134"/>
    </row>
    <row r="257" spans="1:12">
      <c r="A257" s="134">
        <v>44086</v>
      </c>
      <c r="B257">
        <f>SUMIFS(DWbonus[Sum],DWbonus[Dato],A257)</f>
        <v>0</v>
      </c>
      <c r="C257">
        <f>SUMIFS(LayTable[Faktisk res],LayTable[Dato],A257)+SUMIFS(BetTable[AR],BetTable[Date],A257)</f>
        <v>0</v>
      </c>
      <c r="D257">
        <f t="shared" si="15"/>
        <v>0</v>
      </c>
      <c r="E257">
        <f t="shared" si="16"/>
        <v>862.41219999999998</v>
      </c>
      <c r="L257" s="134"/>
    </row>
    <row r="258" spans="1:12">
      <c r="A258" s="134">
        <v>44087</v>
      </c>
      <c r="B258">
        <f>SUMIFS(DWbonus[Sum],DWbonus[Dato],A258)</f>
        <v>0</v>
      </c>
      <c r="C258">
        <f>SUMIFS(LayTable[Faktisk res],LayTable[Dato],A258)+SUMIFS(BetTable[AR],BetTable[Date],A258)</f>
        <v>0</v>
      </c>
      <c r="D258">
        <f t="shared" si="15"/>
        <v>0</v>
      </c>
      <c r="E258">
        <f t="shared" si="16"/>
        <v>862.41219999999998</v>
      </c>
      <c r="L258" s="134"/>
    </row>
    <row r="259" spans="1:12">
      <c r="A259" s="134">
        <v>44088</v>
      </c>
      <c r="B259">
        <f>SUMIFS(DWbonus[Sum],DWbonus[Dato],A259)</f>
        <v>0</v>
      </c>
      <c r="C259">
        <f>SUMIFS(LayTable[Faktisk res],LayTable[Dato],A259)+SUMIFS(BetTable[AR],BetTable[Date],A259)</f>
        <v>0</v>
      </c>
      <c r="D259">
        <f t="shared" si="15"/>
        <v>0</v>
      </c>
      <c r="E259">
        <f t="shared" si="16"/>
        <v>862.41219999999998</v>
      </c>
      <c r="L259" s="134"/>
    </row>
    <row r="260" spans="1:12">
      <c r="A260" s="134">
        <v>44089</v>
      </c>
      <c r="B260">
        <f>SUMIFS(DWbonus[Sum],DWbonus[Dato],A260)</f>
        <v>0</v>
      </c>
      <c r="C260">
        <f>SUMIFS(LayTable[Faktisk res],LayTable[Dato],A260)+SUMIFS(BetTable[AR],BetTable[Date],A260)</f>
        <v>0</v>
      </c>
      <c r="D260">
        <f t="shared" si="15"/>
        <v>0</v>
      </c>
      <c r="E260">
        <f t="shared" si="16"/>
        <v>862.41219999999998</v>
      </c>
      <c r="L260" s="134"/>
    </row>
    <row r="261" spans="1:12">
      <c r="A261" s="134">
        <v>44090</v>
      </c>
      <c r="B261">
        <f>SUMIFS(DWbonus[Sum],DWbonus[Dato],A261)</f>
        <v>0</v>
      </c>
      <c r="C261">
        <f>SUMIFS(LayTable[Faktisk res],LayTable[Dato],A261)+SUMIFS(BetTable[AR],BetTable[Date],A261)</f>
        <v>0</v>
      </c>
      <c r="D261">
        <f t="shared" si="15"/>
        <v>0</v>
      </c>
      <c r="E261">
        <f t="shared" si="16"/>
        <v>862.41219999999998</v>
      </c>
      <c r="L261" s="134"/>
    </row>
    <row r="262" spans="1:12">
      <c r="A262" s="134">
        <v>44091</v>
      </c>
      <c r="B262">
        <f>SUMIFS(DWbonus[Sum],DWbonus[Dato],A262)</f>
        <v>0</v>
      </c>
      <c r="C262">
        <f>SUMIFS(LayTable[Faktisk res],LayTable[Dato],A262)+SUMIFS(BetTable[AR],BetTable[Date],A262)</f>
        <v>0</v>
      </c>
      <c r="D262">
        <f t="shared" si="15"/>
        <v>0</v>
      </c>
      <c r="E262">
        <f t="shared" si="16"/>
        <v>862.41219999999998</v>
      </c>
      <c r="L262" s="134"/>
    </row>
    <row r="263" spans="1:12">
      <c r="A263" s="134">
        <v>44092</v>
      </c>
      <c r="B263">
        <f>SUMIFS(DWbonus[Sum],DWbonus[Dato],A263)</f>
        <v>0</v>
      </c>
      <c r="C263">
        <f>SUMIFS(LayTable[Faktisk res],LayTable[Dato],A263)+SUMIFS(BetTable[AR],BetTable[Date],A263)</f>
        <v>0</v>
      </c>
      <c r="D263">
        <f t="shared" si="15"/>
        <v>0</v>
      </c>
      <c r="E263">
        <f t="shared" si="16"/>
        <v>862.41219999999998</v>
      </c>
      <c r="L263" s="134"/>
    </row>
    <row r="264" spans="1:12">
      <c r="A264" s="134">
        <v>44093</v>
      </c>
      <c r="B264">
        <f>SUMIFS(DWbonus[Sum],DWbonus[Dato],A264)</f>
        <v>0</v>
      </c>
      <c r="C264">
        <f>SUMIFS(LayTable[Faktisk res],LayTable[Dato],A264)+SUMIFS(BetTable[AR],BetTable[Date],A264)</f>
        <v>0</v>
      </c>
      <c r="D264">
        <f t="shared" si="15"/>
        <v>0</v>
      </c>
      <c r="E264">
        <f t="shared" si="16"/>
        <v>862.41219999999998</v>
      </c>
      <c r="L264" s="134"/>
    </row>
    <row r="265" spans="1:12">
      <c r="A265" s="134">
        <v>44094</v>
      </c>
      <c r="B265">
        <f>SUMIFS(DWbonus[Sum],DWbonus[Dato],A265)</f>
        <v>0</v>
      </c>
      <c r="C265">
        <f>SUMIFS(LayTable[Faktisk res],LayTable[Dato],A265)+SUMIFS(BetTable[AR],BetTable[Date],A265)</f>
        <v>0</v>
      </c>
      <c r="D265">
        <f t="shared" si="15"/>
        <v>0</v>
      </c>
      <c r="E265">
        <f t="shared" si="16"/>
        <v>862.41219999999998</v>
      </c>
      <c r="L265" s="134"/>
    </row>
    <row r="266" spans="1:12">
      <c r="A266" s="134">
        <v>44095</v>
      </c>
      <c r="B266">
        <f>SUMIFS(DWbonus[Sum],DWbonus[Dato],A266)</f>
        <v>0</v>
      </c>
      <c r="C266">
        <f>SUMIFS(LayTable[Faktisk res],LayTable[Dato],A266)+SUMIFS(BetTable[AR],BetTable[Date],A266)</f>
        <v>0</v>
      </c>
      <c r="D266">
        <f t="shared" si="15"/>
        <v>0</v>
      </c>
      <c r="E266">
        <f t="shared" si="16"/>
        <v>862.41219999999998</v>
      </c>
      <c r="L266" s="134"/>
    </row>
    <row r="267" spans="1:12">
      <c r="A267" s="134">
        <v>44096</v>
      </c>
      <c r="B267">
        <f>SUMIFS(DWbonus[Sum],DWbonus[Dato],A267)</f>
        <v>0</v>
      </c>
      <c r="C267">
        <f>SUMIFS(LayTable[Faktisk res],LayTable[Dato],A267)+SUMIFS(BetTable[AR],BetTable[Date],A267)</f>
        <v>0</v>
      </c>
      <c r="D267">
        <f t="shared" si="15"/>
        <v>0</v>
      </c>
      <c r="E267">
        <f t="shared" si="16"/>
        <v>862.41219999999998</v>
      </c>
      <c r="L267" s="134"/>
    </row>
    <row r="268" spans="1:12">
      <c r="A268" s="134">
        <v>44097</v>
      </c>
      <c r="B268">
        <f>SUMIFS(DWbonus[Sum],DWbonus[Dato],A268)</f>
        <v>0</v>
      </c>
      <c r="C268">
        <f>SUMIFS(LayTable[Faktisk res],LayTable[Dato],A268)+SUMIFS(BetTable[AR],BetTable[Date],A268)</f>
        <v>0</v>
      </c>
      <c r="D268">
        <f t="shared" si="15"/>
        <v>0</v>
      </c>
      <c r="E268">
        <f t="shared" si="16"/>
        <v>862.41219999999998</v>
      </c>
      <c r="L268" s="134"/>
    </row>
    <row r="269" spans="1:12">
      <c r="A269" s="134">
        <v>44098</v>
      </c>
      <c r="B269">
        <f>SUMIFS(DWbonus[Sum],DWbonus[Dato],A269)</f>
        <v>0</v>
      </c>
      <c r="C269">
        <f>SUMIFS(LayTable[Faktisk res],LayTable[Dato],A269)+SUMIFS(BetTable[AR],BetTable[Date],A269)</f>
        <v>0</v>
      </c>
      <c r="D269">
        <f t="shared" si="15"/>
        <v>0</v>
      </c>
      <c r="E269">
        <f t="shared" si="16"/>
        <v>862.41219999999998</v>
      </c>
      <c r="L269" s="134"/>
    </row>
    <row r="270" spans="1:12">
      <c r="A270" s="134">
        <v>44099</v>
      </c>
      <c r="B270">
        <f>SUMIFS(DWbonus[Sum],DWbonus[Dato],A270)</f>
        <v>0</v>
      </c>
      <c r="C270">
        <f>SUMIFS(LayTable[Faktisk res],LayTable[Dato],A270)+SUMIFS(BetTable[AR],BetTable[Date],A270)</f>
        <v>0</v>
      </c>
      <c r="D270">
        <f t="shared" si="15"/>
        <v>0</v>
      </c>
      <c r="E270">
        <f t="shared" si="16"/>
        <v>862.41219999999998</v>
      </c>
      <c r="L270" s="134"/>
    </row>
    <row r="271" spans="1:12">
      <c r="A271" s="134">
        <v>44100</v>
      </c>
      <c r="B271">
        <f>SUMIFS(DWbonus[Sum],DWbonus[Dato],A271)</f>
        <v>0</v>
      </c>
      <c r="C271">
        <f>SUMIFS(LayTable[Faktisk res],LayTable[Dato],A271)+SUMIFS(BetTable[AR],BetTable[Date],A271)</f>
        <v>0</v>
      </c>
      <c r="D271">
        <f t="shared" si="15"/>
        <v>0</v>
      </c>
      <c r="E271">
        <f t="shared" si="16"/>
        <v>862.41219999999998</v>
      </c>
      <c r="L271" s="134"/>
    </row>
    <row r="272" spans="1:12">
      <c r="A272" s="134">
        <v>44101</v>
      </c>
      <c r="B272">
        <f>SUMIFS(DWbonus[Sum],DWbonus[Dato],A272)</f>
        <v>0</v>
      </c>
      <c r="C272">
        <f>SUMIFS(LayTable[Faktisk res],LayTable[Dato],A272)+SUMIFS(BetTable[AR],BetTable[Date],A272)</f>
        <v>0</v>
      </c>
      <c r="D272">
        <f t="shared" si="15"/>
        <v>0</v>
      </c>
      <c r="E272">
        <f t="shared" si="16"/>
        <v>862.41219999999998</v>
      </c>
      <c r="L272" s="134"/>
    </row>
    <row r="273" spans="1:12">
      <c r="A273" s="134">
        <v>44102</v>
      </c>
      <c r="B273">
        <f>SUMIFS(DWbonus[Sum],DWbonus[Dato],A273)</f>
        <v>0</v>
      </c>
      <c r="C273">
        <f>SUMIFS(LayTable[Faktisk res],LayTable[Dato],A273)+SUMIFS(BetTable[AR],BetTable[Date],A273)</f>
        <v>0</v>
      </c>
      <c r="D273">
        <f t="shared" si="15"/>
        <v>0</v>
      </c>
      <c r="E273">
        <f t="shared" si="16"/>
        <v>862.41219999999998</v>
      </c>
      <c r="L273" s="134"/>
    </row>
    <row r="274" spans="1:12">
      <c r="A274" s="134">
        <v>44103</v>
      </c>
      <c r="B274">
        <f>SUMIFS(DWbonus[Sum],DWbonus[Dato],A274)</f>
        <v>0</v>
      </c>
      <c r="C274">
        <f>SUMIFS(LayTable[Faktisk res],LayTable[Dato],A274)+SUMIFS(BetTable[AR],BetTable[Date],A274)</f>
        <v>0</v>
      </c>
      <c r="D274">
        <f t="shared" si="15"/>
        <v>0</v>
      </c>
      <c r="E274">
        <f t="shared" si="16"/>
        <v>862.41219999999998</v>
      </c>
      <c r="L274" s="134"/>
    </row>
    <row r="275" spans="1:12">
      <c r="A275" s="134">
        <v>44104</v>
      </c>
      <c r="B275">
        <f>SUMIFS(DWbonus[Sum],DWbonus[Dato],A275)</f>
        <v>0</v>
      </c>
      <c r="C275">
        <f>SUMIFS(LayTable[Faktisk res],LayTable[Dato],A275)+SUMIFS(BetTable[AR],BetTable[Date],A275)</f>
        <v>0</v>
      </c>
      <c r="D275">
        <f t="shared" si="15"/>
        <v>0</v>
      </c>
      <c r="E275">
        <f t="shared" si="16"/>
        <v>862.41219999999998</v>
      </c>
      <c r="L275" s="134"/>
    </row>
    <row r="276" spans="1:12">
      <c r="A276" s="134">
        <v>44105</v>
      </c>
      <c r="B276">
        <f>SUMIFS(DWbonus[Sum],DWbonus[Dato],A276)</f>
        <v>0</v>
      </c>
      <c r="C276">
        <f>SUMIFS(LayTable[Faktisk res],LayTable[Dato],A276)+SUMIFS(BetTable[AR],BetTable[Date],A276)</f>
        <v>0</v>
      </c>
      <c r="D276">
        <f t="shared" si="15"/>
        <v>0</v>
      </c>
      <c r="E276">
        <f t="shared" si="16"/>
        <v>862.41219999999998</v>
      </c>
      <c r="L276" s="134"/>
    </row>
    <row r="277" spans="1:12">
      <c r="A277" s="134">
        <v>44106</v>
      </c>
      <c r="B277">
        <f>SUMIFS(DWbonus[Sum],DWbonus[Dato],A277)</f>
        <v>0</v>
      </c>
      <c r="C277">
        <f>SUMIFS(LayTable[Faktisk res],LayTable[Dato],A277)+SUMIFS(BetTable[AR],BetTable[Date],A277)</f>
        <v>0</v>
      </c>
      <c r="D277">
        <f t="shared" si="15"/>
        <v>0</v>
      </c>
      <c r="E277">
        <f t="shared" si="16"/>
        <v>862.41219999999998</v>
      </c>
      <c r="L277" s="134"/>
    </row>
    <row r="278" spans="1:12">
      <c r="A278" s="134">
        <v>44107</v>
      </c>
      <c r="B278">
        <f>SUMIFS(DWbonus[Sum],DWbonus[Dato],A278)</f>
        <v>0</v>
      </c>
      <c r="C278">
        <f>SUMIFS(LayTable[Faktisk res],LayTable[Dato],A278)+SUMIFS(BetTable[AR],BetTable[Date],A278)</f>
        <v>0</v>
      </c>
      <c r="D278">
        <f t="shared" si="15"/>
        <v>0</v>
      </c>
      <c r="E278">
        <f t="shared" si="16"/>
        <v>862.41219999999998</v>
      </c>
      <c r="L278" s="134"/>
    </row>
    <row r="279" spans="1:12">
      <c r="A279" s="134">
        <v>44108</v>
      </c>
      <c r="B279">
        <f>SUMIFS(DWbonus[Sum],DWbonus[Dato],A279)</f>
        <v>0</v>
      </c>
      <c r="C279">
        <f>SUMIFS(LayTable[Faktisk res],LayTable[Dato],A279)+SUMIFS(BetTable[AR],BetTable[Date],A279)</f>
        <v>0</v>
      </c>
      <c r="D279">
        <f t="shared" si="15"/>
        <v>0</v>
      </c>
      <c r="E279">
        <f t="shared" si="16"/>
        <v>862.41219999999998</v>
      </c>
      <c r="L279" s="134"/>
    </row>
    <row r="280" spans="1:12">
      <c r="A280" s="134">
        <v>44109</v>
      </c>
      <c r="B280">
        <f>SUMIFS(DWbonus[Sum],DWbonus[Dato],A280)</f>
        <v>0</v>
      </c>
      <c r="C280">
        <f>SUMIFS(LayTable[Faktisk res],LayTable[Dato],A280)+SUMIFS(BetTable[AR],BetTable[Date],A280)</f>
        <v>0</v>
      </c>
      <c r="D280">
        <f t="shared" si="15"/>
        <v>0</v>
      </c>
      <c r="E280">
        <f t="shared" si="16"/>
        <v>862.41219999999998</v>
      </c>
      <c r="L280" s="134"/>
    </row>
    <row r="281" spans="1:12">
      <c r="A281" s="134">
        <v>44110</v>
      </c>
      <c r="B281">
        <f>SUMIFS(DWbonus[Sum],DWbonus[Dato],A281)</f>
        <v>0</v>
      </c>
      <c r="C281">
        <f>SUMIFS(LayTable[Faktisk res],LayTable[Dato],A281)+SUMIFS(BetTable[AR],BetTable[Date],A281)</f>
        <v>0</v>
      </c>
      <c r="D281">
        <f t="shared" si="15"/>
        <v>0</v>
      </c>
      <c r="E281">
        <f t="shared" si="16"/>
        <v>862.41219999999998</v>
      </c>
      <c r="L281" s="134"/>
    </row>
    <row r="282" spans="1:12">
      <c r="A282" s="134">
        <v>44111</v>
      </c>
      <c r="B282">
        <f>SUMIFS(DWbonus[Sum],DWbonus[Dato],A282)</f>
        <v>0</v>
      </c>
      <c r="C282">
        <f>SUMIFS(LayTable[Faktisk res],LayTable[Dato],A282)+SUMIFS(BetTable[AR],BetTable[Date],A282)</f>
        <v>0</v>
      </c>
      <c r="D282">
        <f t="shared" si="15"/>
        <v>0</v>
      </c>
      <c r="E282">
        <f t="shared" si="16"/>
        <v>862.41219999999998</v>
      </c>
      <c r="L282" s="134"/>
    </row>
    <row r="283" spans="1:12">
      <c r="A283" s="134">
        <v>44112</v>
      </c>
      <c r="B283">
        <f>SUMIFS(DWbonus[Sum],DWbonus[Dato],A283)</f>
        <v>0</v>
      </c>
      <c r="C283">
        <f>SUMIFS(LayTable[Faktisk res],LayTable[Dato],A283)+SUMIFS(BetTable[AR],BetTable[Date],A283)</f>
        <v>0</v>
      </c>
      <c r="D283">
        <f t="shared" si="15"/>
        <v>0</v>
      </c>
      <c r="E283">
        <f t="shared" si="16"/>
        <v>862.41219999999998</v>
      </c>
      <c r="L283" s="134"/>
    </row>
    <row r="284" spans="1:12">
      <c r="A284" s="134">
        <v>44113</v>
      </c>
      <c r="B284">
        <f>SUMIFS(DWbonus[Sum],DWbonus[Dato],A284)</f>
        <v>0</v>
      </c>
      <c r="C284">
        <f>SUMIFS(LayTable[Faktisk res],LayTable[Dato],A284)+SUMIFS(BetTable[AR],BetTable[Date],A284)</f>
        <v>0</v>
      </c>
      <c r="D284">
        <f t="shared" si="15"/>
        <v>0</v>
      </c>
      <c r="E284">
        <f t="shared" si="16"/>
        <v>862.41219999999998</v>
      </c>
      <c r="L284" s="134"/>
    </row>
    <row r="285" spans="1:12">
      <c r="A285" s="134">
        <v>44114</v>
      </c>
      <c r="B285">
        <f>SUMIFS(DWbonus[Sum],DWbonus[Dato],A285)</f>
        <v>0</v>
      </c>
      <c r="C285">
        <f>SUMIFS(LayTable[Faktisk res],LayTable[Dato],A285)+SUMIFS(BetTable[AR],BetTable[Date],A285)</f>
        <v>0</v>
      </c>
      <c r="D285">
        <f t="shared" si="15"/>
        <v>0</v>
      </c>
      <c r="E285">
        <f t="shared" si="16"/>
        <v>862.41219999999998</v>
      </c>
      <c r="L285" s="134"/>
    </row>
    <row r="286" spans="1:12">
      <c r="A286" s="134">
        <v>44115</v>
      </c>
      <c r="B286">
        <f>SUMIFS(DWbonus[Sum],DWbonus[Dato],A286)</f>
        <v>0</v>
      </c>
      <c r="C286">
        <f>SUMIFS(LayTable[Faktisk res],LayTable[Dato],A286)+SUMIFS(BetTable[AR],BetTable[Date],A286)</f>
        <v>0</v>
      </c>
      <c r="D286">
        <f t="shared" si="15"/>
        <v>0</v>
      </c>
      <c r="E286">
        <f t="shared" si="16"/>
        <v>862.41219999999998</v>
      </c>
      <c r="L286" s="134"/>
    </row>
    <row r="287" spans="1:12">
      <c r="A287" s="134">
        <v>44116</v>
      </c>
      <c r="B287">
        <f>SUMIFS(DWbonus[Sum],DWbonus[Dato],A287)</f>
        <v>0</v>
      </c>
      <c r="C287">
        <f>SUMIFS(LayTable[Faktisk res],LayTable[Dato],A287)+SUMIFS(BetTable[AR],BetTable[Date],A287)</f>
        <v>0</v>
      </c>
      <c r="D287">
        <f t="shared" si="15"/>
        <v>0</v>
      </c>
      <c r="E287">
        <f t="shared" si="16"/>
        <v>862.41219999999998</v>
      </c>
      <c r="L287" s="134"/>
    </row>
    <row r="288" spans="1:12">
      <c r="A288" s="134">
        <v>44117</v>
      </c>
      <c r="B288">
        <f>SUMIFS(DWbonus[Sum],DWbonus[Dato],A288)</f>
        <v>0</v>
      </c>
      <c r="C288">
        <f>SUMIFS(LayTable[Faktisk res],LayTable[Dato],A288)+SUMIFS(BetTable[AR],BetTable[Date],A288)</f>
        <v>0</v>
      </c>
      <c r="D288">
        <f t="shared" si="15"/>
        <v>0</v>
      </c>
      <c r="E288">
        <f t="shared" si="16"/>
        <v>862.41219999999998</v>
      </c>
      <c r="L288" s="134"/>
    </row>
    <row r="289" spans="1:12">
      <c r="A289" s="134">
        <v>44118</v>
      </c>
      <c r="B289">
        <f>SUMIFS(DWbonus[Sum],DWbonus[Dato],A289)</f>
        <v>0</v>
      </c>
      <c r="C289">
        <f>SUMIFS(LayTable[Faktisk res],LayTable[Dato],A289)+SUMIFS(BetTable[AR],BetTable[Date],A289)</f>
        <v>0</v>
      </c>
      <c r="D289">
        <f t="shared" si="15"/>
        <v>0</v>
      </c>
      <c r="E289">
        <f t="shared" si="16"/>
        <v>862.41219999999998</v>
      </c>
      <c r="L289" s="134"/>
    </row>
    <row r="290" spans="1:12">
      <c r="A290" s="134">
        <v>44119</v>
      </c>
      <c r="B290">
        <f>SUMIFS(DWbonus[Sum],DWbonus[Dato],A290)</f>
        <v>0</v>
      </c>
      <c r="C290">
        <f>SUMIFS(LayTable[Faktisk res],LayTable[Dato],A290)+SUMIFS(BetTable[AR],BetTable[Date],A290)</f>
        <v>0</v>
      </c>
      <c r="D290">
        <f t="shared" si="15"/>
        <v>0</v>
      </c>
      <c r="E290">
        <f t="shared" si="16"/>
        <v>862.41219999999998</v>
      </c>
      <c r="L290" s="134"/>
    </row>
    <row r="291" spans="1:12">
      <c r="A291" s="134">
        <v>44120</v>
      </c>
      <c r="B291">
        <f>SUMIFS(DWbonus[Sum],DWbonus[Dato],A291)</f>
        <v>0</v>
      </c>
      <c r="C291">
        <f>SUMIFS(LayTable[Faktisk res],LayTable[Dato],A291)+SUMIFS(BetTable[AR],BetTable[Date],A291)</f>
        <v>0</v>
      </c>
      <c r="D291">
        <f t="shared" si="15"/>
        <v>0</v>
      </c>
      <c r="E291">
        <f t="shared" si="16"/>
        <v>862.41219999999998</v>
      </c>
      <c r="L291" s="134"/>
    </row>
    <row r="292" spans="1:12">
      <c r="A292" s="134">
        <v>44121</v>
      </c>
      <c r="B292">
        <f>SUMIFS(DWbonus[Sum],DWbonus[Dato],A292)</f>
        <v>0</v>
      </c>
      <c r="C292">
        <f>SUMIFS(LayTable[Faktisk res],LayTable[Dato],A292)+SUMIFS(BetTable[AR],BetTable[Date],A292)</f>
        <v>0</v>
      </c>
      <c r="D292">
        <f t="shared" si="15"/>
        <v>0</v>
      </c>
      <c r="E292">
        <f t="shared" si="16"/>
        <v>862.41219999999998</v>
      </c>
      <c r="L292" s="134"/>
    </row>
    <row r="293" spans="1:12">
      <c r="A293" s="134">
        <v>44122</v>
      </c>
      <c r="B293">
        <f>SUMIFS(DWbonus[Sum],DWbonus[Dato],A293)</f>
        <v>0</v>
      </c>
      <c r="C293">
        <f>SUMIFS(LayTable[Faktisk res],LayTable[Dato],A293)+SUMIFS(BetTable[AR],BetTable[Date],A293)</f>
        <v>0</v>
      </c>
      <c r="D293">
        <f t="shared" si="15"/>
        <v>0</v>
      </c>
      <c r="E293">
        <f t="shared" si="16"/>
        <v>862.41219999999998</v>
      </c>
      <c r="L293" s="134"/>
    </row>
    <row r="294" spans="1:12">
      <c r="A294" s="134">
        <v>44123</v>
      </c>
      <c r="B294">
        <f>SUMIFS(DWbonus[Sum],DWbonus[Dato],A294)</f>
        <v>0</v>
      </c>
      <c r="C294">
        <f>SUMIFS(LayTable[Faktisk res],LayTable[Dato],A294)+SUMIFS(BetTable[AR],BetTable[Date],A294)</f>
        <v>0</v>
      </c>
      <c r="D294">
        <f t="shared" si="15"/>
        <v>0</v>
      </c>
      <c r="E294">
        <f t="shared" si="16"/>
        <v>862.41219999999998</v>
      </c>
      <c r="L294" s="134"/>
    </row>
    <row r="295" spans="1:12">
      <c r="A295" s="134">
        <v>44124</v>
      </c>
      <c r="B295">
        <f>SUMIFS(DWbonus[Sum],DWbonus[Dato],A295)</f>
        <v>0</v>
      </c>
      <c r="C295">
        <f>SUMIFS(LayTable[Faktisk res],LayTable[Dato],A295)+SUMIFS(BetTable[AR],BetTable[Date],A295)</f>
        <v>0</v>
      </c>
      <c r="D295">
        <f t="shared" si="15"/>
        <v>0</v>
      </c>
      <c r="E295">
        <f t="shared" si="16"/>
        <v>862.41219999999998</v>
      </c>
      <c r="L295" s="134"/>
    </row>
    <row r="296" spans="1:12">
      <c r="A296" s="134">
        <v>44125</v>
      </c>
      <c r="B296">
        <f>SUMIFS(DWbonus[Sum],DWbonus[Dato],A296)</f>
        <v>0</v>
      </c>
      <c r="C296">
        <f>SUMIFS(LayTable[Faktisk res],LayTable[Dato],A296)+SUMIFS(BetTable[AR],BetTable[Date],A296)</f>
        <v>0</v>
      </c>
      <c r="D296">
        <f t="shared" si="15"/>
        <v>0</v>
      </c>
      <c r="E296">
        <f t="shared" si="16"/>
        <v>862.41219999999998</v>
      </c>
      <c r="L296" s="134"/>
    </row>
    <row r="297" spans="1:12">
      <c r="A297" s="134">
        <v>44126</v>
      </c>
      <c r="B297">
        <f>SUMIFS(DWbonus[Sum],DWbonus[Dato],A297)</f>
        <v>0</v>
      </c>
      <c r="C297">
        <f>SUMIFS(LayTable[Faktisk res],LayTable[Dato],A297)+SUMIFS(BetTable[AR],BetTable[Date],A297)</f>
        <v>0</v>
      </c>
      <c r="D297">
        <f t="shared" si="15"/>
        <v>0</v>
      </c>
      <c r="E297">
        <f t="shared" si="16"/>
        <v>862.41219999999998</v>
      </c>
      <c r="L297" s="134"/>
    </row>
    <row r="298" spans="1:12">
      <c r="A298" s="134">
        <v>44127</v>
      </c>
      <c r="B298">
        <f>SUMIFS(DWbonus[Sum],DWbonus[Dato],A298)</f>
        <v>0</v>
      </c>
      <c r="C298">
        <f>SUMIFS(LayTable[Faktisk res],LayTable[Dato],A298)+SUMIFS(BetTable[AR],BetTable[Date],A298)</f>
        <v>0</v>
      </c>
      <c r="D298">
        <f t="shared" si="15"/>
        <v>0</v>
      </c>
      <c r="E298">
        <f t="shared" si="16"/>
        <v>862.41219999999998</v>
      </c>
      <c r="L298" s="134"/>
    </row>
    <row r="299" spans="1:12">
      <c r="A299" s="134">
        <v>44128</v>
      </c>
      <c r="B299">
        <f>SUMIFS(DWbonus[Sum],DWbonus[Dato],A299)</f>
        <v>0</v>
      </c>
      <c r="C299">
        <f>SUMIFS(LayTable[Faktisk res],LayTable[Dato],A299)+SUMIFS(BetTable[AR],BetTable[Date],A299)</f>
        <v>0</v>
      </c>
      <c r="D299">
        <f t="shared" si="15"/>
        <v>0</v>
      </c>
      <c r="E299">
        <f t="shared" si="16"/>
        <v>862.41219999999998</v>
      </c>
      <c r="L299" s="134"/>
    </row>
    <row r="300" spans="1:12">
      <c r="A300" s="134">
        <v>44129</v>
      </c>
      <c r="B300">
        <f>SUMIFS(DWbonus[Sum],DWbonus[Dato],A300)</f>
        <v>0</v>
      </c>
      <c r="C300">
        <f>SUMIFS(LayTable[Faktisk res],LayTable[Dato],A300)+SUMIFS(BetTable[AR],BetTable[Date],A300)</f>
        <v>0</v>
      </c>
      <c r="D300">
        <f t="shared" si="15"/>
        <v>0</v>
      </c>
      <c r="E300">
        <f t="shared" si="16"/>
        <v>862.41219999999998</v>
      </c>
      <c r="L300" s="134"/>
    </row>
    <row r="301" spans="1:12">
      <c r="A301" s="134">
        <v>44130</v>
      </c>
      <c r="B301">
        <f>SUMIFS(DWbonus[Sum],DWbonus[Dato],A301)</f>
        <v>0</v>
      </c>
      <c r="C301">
        <f>SUMIFS(LayTable[Faktisk res],LayTable[Dato],A301)+SUMIFS(BetTable[AR],BetTable[Date],A301)</f>
        <v>0</v>
      </c>
      <c r="D301">
        <f t="shared" si="15"/>
        <v>0</v>
      </c>
      <c r="E301">
        <f t="shared" si="16"/>
        <v>862.41219999999998</v>
      </c>
      <c r="L301" s="134"/>
    </row>
    <row r="302" spans="1:12">
      <c r="A302" s="134">
        <v>44131</v>
      </c>
      <c r="B302">
        <f>SUMIFS(DWbonus[Sum],DWbonus[Dato],A302)</f>
        <v>0</v>
      </c>
      <c r="C302">
        <f>SUMIFS(LayTable[Faktisk res],LayTable[Dato],A302)+SUMIFS(BetTable[AR],BetTable[Date],A302)</f>
        <v>0</v>
      </c>
      <c r="D302">
        <f t="shared" si="15"/>
        <v>0</v>
      </c>
      <c r="E302">
        <f t="shared" si="16"/>
        <v>862.41219999999998</v>
      </c>
      <c r="L302" s="134"/>
    </row>
    <row r="303" spans="1:12">
      <c r="A303" s="134">
        <v>44132</v>
      </c>
      <c r="B303">
        <f>SUMIFS(DWbonus[Sum],DWbonus[Dato],A303)</f>
        <v>0</v>
      </c>
      <c r="C303">
        <f>SUMIFS(LayTable[Faktisk res],LayTable[Dato],A303)+SUMIFS(BetTable[AR],BetTable[Date],A303)</f>
        <v>0</v>
      </c>
      <c r="D303">
        <f t="shared" si="15"/>
        <v>0</v>
      </c>
      <c r="E303">
        <f t="shared" si="16"/>
        <v>862.41219999999998</v>
      </c>
      <c r="L303" s="134"/>
    </row>
    <row r="304" spans="1:12">
      <c r="A304" s="134">
        <v>44133</v>
      </c>
      <c r="B304">
        <f>SUMIFS(DWbonus[Sum],DWbonus[Dato],A304)</f>
        <v>0</v>
      </c>
      <c r="C304">
        <f>SUMIFS(LayTable[Faktisk res],LayTable[Dato],A304)+SUMIFS(BetTable[AR],BetTable[Date],A304)</f>
        <v>0</v>
      </c>
      <c r="D304">
        <f t="shared" si="15"/>
        <v>0</v>
      </c>
      <c r="E304">
        <f t="shared" si="16"/>
        <v>862.41219999999998</v>
      </c>
      <c r="L304" s="134"/>
    </row>
    <row r="305" spans="1:12">
      <c r="A305" s="134">
        <v>44134</v>
      </c>
      <c r="B305">
        <f>SUMIFS(DWbonus[Sum],DWbonus[Dato],A305)</f>
        <v>0</v>
      </c>
      <c r="C305">
        <f>SUMIFS(LayTable[Faktisk res],LayTable[Dato],A305)+SUMIFS(BetTable[AR],BetTable[Date],A305)</f>
        <v>0</v>
      </c>
      <c r="D305">
        <f t="shared" si="15"/>
        <v>0</v>
      </c>
      <c r="E305">
        <f t="shared" si="16"/>
        <v>862.41219999999998</v>
      </c>
      <c r="L305" s="134"/>
    </row>
    <row r="306" spans="1:12">
      <c r="A306" s="134">
        <v>44135</v>
      </c>
      <c r="B306">
        <f>SUMIFS(DWbonus[Sum],DWbonus[Dato],A306)</f>
        <v>0</v>
      </c>
      <c r="C306">
        <f>SUMIFS(LayTable[Faktisk res],LayTable[Dato],A306)+SUMIFS(BetTable[AR],BetTable[Date],A306)</f>
        <v>0</v>
      </c>
      <c r="D306">
        <f t="shared" si="15"/>
        <v>0</v>
      </c>
      <c r="E306">
        <f t="shared" si="16"/>
        <v>862.41219999999998</v>
      </c>
      <c r="L306" s="134"/>
    </row>
    <row r="307" spans="1:12">
      <c r="A307" s="134">
        <v>44136</v>
      </c>
      <c r="B307">
        <f>SUMIFS(DWbonus[Sum],DWbonus[Dato],A307)</f>
        <v>0</v>
      </c>
      <c r="C307">
        <f>SUMIFS(LayTable[Faktisk res],LayTable[Dato],A307)+SUMIFS(BetTable[AR],BetTable[Date],A307)</f>
        <v>0</v>
      </c>
      <c r="D307">
        <f t="shared" si="15"/>
        <v>0</v>
      </c>
      <c r="E307">
        <f t="shared" si="16"/>
        <v>862.41219999999998</v>
      </c>
      <c r="L307" s="134"/>
    </row>
    <row r="308" spans="1:12">
      <c r="A308" s="134">
        <v>44137</v>
      </c>
      <c r="B308">
        <f>SUMIFS(DWbonus[Sum],DWbonus[Dato],A308)</f>
        <v>0</v>
      </c>
      <c r="C308">
        <f>SUMIFS(LayTable[Faktisk res],LayTable[Dato],A308)+SUMIFS(BetTable[AR],BetTable[Date],A308)</f>
        <v>0</v>
      </c>
      <c r="D308">
        <f t="shared" si="15"/>
        <v>0</v>
      </c>
      <c r="E308">
        <f t="shared" si="16"/>
        <v>862.41219999999998</v>
      </c>
      <c r="L308" s="134"/>
    </row>
    <row r="309" spans="1:12">
      <c r="A309" s="134">
        <v>44138</v>
      </c>
      <c r="B309">
        <f>SUMIFS(DWbonus[Sum],DWbonus[Dato],A309)</f>
        <v>0</v>
      </c>
      <c r="C309">
        <f>SUMIFS(LayTable[Faktisk res],LayTable[Dato],A309)+SUMIFS(BetTable[AR],BetTable[Date],A309)</f>
        <v>0</v>
      </c>
      <c r="D309">
        <f t="shared" si="15"/>
        <v>0</v>
      </c>
      <c r="E309">
        <f t="shared" si="16"/>
        <v>862.41219999999998</v>
      </c>
      <c r="L309" s="134"/>
    </row>
    <row r="310" spans="1:12">
      <c r="A310" s="134">
        <v>44139</v>
      </c>
      <c r="B310">
        <f>SUMIFS(DWbonus[Sum],DWbonus[Dato],A310)</f>
        <v>0</v>
      </c>
      <c r="C310">
        <f>SUMIFS(LayTable[Faktisk res],LayTable[Dato],A310)+SUMIFS(BetTable[AR],BetTable[Date],A310)</f>
        <v>0</v>
      </c>
      <c r="D310">
        <f t="shared" si="15"/>
        <v>0</v>
      </c>
      <c r="E310">
        <f t="shared" si="16"/>
        <v>862.41219999999998</v>
      </c>
      <c r="L310" s="134"/>
    </row>
    <row r="311" spans="1:12">
      <c r="A311" s="134">
        <v>44140</v>
      </c>
      <c r="B311">
        <f>SUMIFS(DWbonus[Sum],DWbonus[Dato],A311)</f>
        <v>0</v>
      </c>
      <c r="C311">
        <f>SUMIFS(LayTable[Faktisk res],LayTable[Dato],A311)+SUMIFS(BetTable[AR],BetTable[Date],A311)</f>
        <v>0</v>
      </c>
      <c r="D311">
        <f t="shared" ref="D311:D322" si="17">B311+C311</f>
        <v>0</v>
      </c>
      <c r="E311">
        <f t="shared" ref="E311:E322" si="18">E310+D311</f>
        <v>862.41219999999998</v>
      </c>
      <c r="L311" s="134"/>
    </row>
    <row r="312" spans="1:12">
      <c r="A312" s="134">
        <v>44141</v>
      </c>
      <c r="B312">
        <f>SUMIFS(DWbonus[Sum],DWbonus[Dato],A312)</f>
        <v>0</v>
      </c>
      <c r="C312">
        <f>SUMIFS(LayTable[Faktisk res],LayTable[Dato],A312)+SUMIFS(BetTable[AR],BetTable[Date],A312)</f>
        <v>0</v>
      </c>
      <c r="D312">
        <f t="shared" si="17"/>
        <v>0</v>
      </c>
      <c r="E312">
        <f t="shared" si="18"/>
        <v>862.41219999999998</v>
      </c>
      <c r="L312" s="134"/>
    </row>
    <row r="313" spans="1:12">
      <c r="A313" s="134">
        <v>44142</v>
      </c>
      <c r="B313">
        <f>SUMIFS(DWbonus[Sum],DWbonus[Dato],A313)</f>
        <v>0</v>
      </c>
      <c r="C313">
        <f>SUMIFS(LayTable[Faktisk res],LayTable[Dato],A313)+SUMIFS(BetTable[AR],BetTable[Date],A313)</f>
        <v>0</v>
      </c>
      <c r="D313">
        <f t="shared" si="17"/>
        <v>0</v>
      </c>
      <c r="E313">
        <f t="shared" si="18"/>
        <v>862.41219999999998</v>
      </c>
      <c r="L313" s="134"/>
    </row>
    <row r="314" spans="1:12">
      <c r="A314" s="134">
        <v>44143</v>
      </c>
      <c r="B314">
        <f>SUMIFS(DWbonus[Sum],DWbonus[Dato],A314)</f>
        <v>0</v>
      </c>
      <c r="C314">
        <f>SUMIFS(LayTable[Faktisk res],LayTable[Dato],A314)+SUMIFS(BetTable[AR],BetTable[Date],A314)</f>
        <v>0</v>
      </c>
      <c r="D314">
        <f t="shared" si="17"/>
        <v>0</v>
      </c>
      <c r="E314">
        <f t="shared" si="18"/>
        <v>862.41219999999998</v>
      </c>
      <c r="L314" s="134"/>
    </row>
    <row r="315" spans="1:12">
      <c r="A315" s="134">
        <v>44144</v>
      </c>
      <c r="B315">
        <f>SUMIFS(DWbonus[Sum],DWbonus[Dato],A315)</f>
        <v>0</v>
      </c>
      <c r="C315">
        <f>SUMIFS(LayTable[Faktisk res],LayTable[Dato],A315)+SUMIFS(BetTable[AR],BetTable[Date],A315)</f>
        <v>0</v>
      </c>
      <c r="D315">
        <f t="shared" si="17"/>
        <v>0</v>
      </c>
      <c r="E315">
        <f t="shared" si="18"/>
        <v>862.41219999999998</v>
      </c>
      <c r="L315" s="134"/>
    </row>
    <row r="316" spans="1:12">
      <c r="A316" s="134">
        <v>44145</v>
      </c>
      <c r="B316">
        <f>SUMIFS(DWbonus[Sum],DWbonus[Dato],A316)</f>
        <v>0</v>
      </c>
      <c r="C316">
        <f>SUMIFS(LayTable[Faktisk res],LayTable[Dato],A316)+SUMIFS(BetTable[AR],BetTable[Date],A316)</f>
        <v>0</v>
      </c>
      <c r="D316">
        <f t="shared" si="17"/>
        <v>0</v>
      </c>
      <c r="E316">
        <f t="shared" si="18"/>
        <v>862.41219999999998</v>
      </c>
      <c r="L316" s="134"/>
    </row>
    <row r="317" spans="1:12">
      <c r="A317" s="134">
        <v>44146</v>
      </c>
      <c r="B317">
        <f>SUMIFS(DWbonus[Sum],DWbonus[Dato],A317)</f>
        <v>0</v>
      </c>
      <c r="C317">
        <f>SUMIFS(LayTable[Faktisk res],LayTable[Dato],A317)+SUMIFS(BetTable[AR],BetTable[Date],A317)</f>
        <v>0</v>
      </c>
      <c r="D317">
        <f t="shared" si="17"/>
        <v>0</v>
      </c>
      <c r="E317">
        <f t="shared" si="18"/>
        <v>862.41219999999998</v>
      </c>
      <c r="L317" s="134"/>
    </row>
    <row r="318" spans="1:12">
      <c r="A318" s="134">
        <v>44147</v>
      </c>
      <c r="B318">
        <f>SUMIFS(DWbonus[Sum],DWbonus[Dato],A318)</f>
        <v>0</v>
      </c>
      <c r="C318">
        <f>SUMIFS(LayTable[Faktisk res],LayTable[Dato],A318)+SUMIFS(BetTable[AR],BetTable[Date],A318)</f>
        <v>0</v>
      </c>
      <c r="D318">
        <f t="shared" si="17"/>
        <v>0</v>
      </c>
      <c r="E318">
        <f t="shared" si="18"/>
        <v>862.41219999999998</v>
      </c>
      <c r="L318" s="134"/>
    </row>
    <row r="319" spans="1:12">
      <c r="A319" s="134">
        <v>44148</v>
      </c>
      <c r="B319">
        <f>SUMIFS(DWbonus[Sum],DWbonus[Dato],A319)</f>
        <v>0</v>
      </c>
      <c r="C319">
        <f>SUMIFS(LayTable[Faktisk res],LayTable[Dato],A319)+SUMIFS(BetTable[AR],BetTable[Date],A319)</f>
        <v>0</v>
      </c>
      <c r="D319">
        <f t="shared" si="17"/>
        <v>0</v>
      </c>
      <c r="E319">
        <f t="shared" si="18"/>
        <v>862.41219999999998</v>
      </c>
      <c r="L319" s="134"/>
    </row>
    <row r="320" spans="1:12">
      <c r="A320" s="134">
        <v>44149</v>
      </c>
      <c r="B320">
        <f>SUMIFS(DWbonus[Sum],DWbonus[Dato],A320)</f>
        <v>0</v>
      </c>
      <c r="C320">
        <f>SUMIFS(LayTable[Faktisk res],LayTable[Dato],A320)+SUMIFS(BetTable[AR],BetTable[Date],A320)</f>
        <v>0</v>
      </c>
      <c r="D320">
        <f t="shared" si="17"/>
        <v>0</v>
      </c>
      <c r="E320">
        <f t="shared" si="18"/>
        <v>862.41219999999998</v>
      </c>
      <c r="L320" s="134"/>
    </row>
    <row r="321" spans="1:12">
      <c r="A321" s="134">
        <v>44150</v>
      </c>
      <c r="B321">
        <f>SUMIFS(DWbonus[Sum],DWbonus[Dato],A321)</f>
        <v>0</v>
      </c>
      <c r="C321">
        <f>SUMIFS(LayTable[Faktisk res],LayTable[Dato],A321)+SUMIFS(BetTable[AR],BetTable[Date],A321)</f>
        <v>0</v>
      </c>
      <c r="D321">
        <f t="shared" si="17"/>
        <v>0</v>
      </c>
      <c r="E321">
        <f t="shared" si="18"/>
        <v>862.41219999999998</v>
      </c>
      <c r="L321" s="134"/>
    </row>
    <row r="322" spans="1:12">
      <c r="A322" s="134">
        <v>44151</v>
      </c>
      <c r="B322">
        <f>SUMIFS(DWbonus[Sum],DWbonus[Dato],A322)</f>
        <v>0</v>
      </c>
      <c r="C322">
        <f>SUMIFS(LayTable[Faktisk res],LayTable[Dato],A322)+SUMIFS(BetTable[AR],BetTable[Date],A322)</f>
        <v>0</v>
      </c>
      <c r="D322">
        <f t="shared" si="17"/>
        <v>0</v>
      </c>
      <c r="E322">
        <f t="shared" si="18"/>
        <v>862.41219999999998</v>
      </c>
      <c r="L322" s="134"/>
    </row>
    <row r="323" spans="1:12">
      <c r="A323" s="134">
        <v>44152</v>
      </c>
      <c r="B323">
        <f>SUMIFS(DWbonus[Sum],DWbonus[Dato],A323)</f>
        <v>0</v>
      </c>
      <c r="C323">
        <f>SUMIFS(LayTable[Faktisk res],LayTable[Dato],A323)+SUMIFS(BetTable[AR],BetTable[Date],A323)</f>
        <v>0</v>
      </c>
      <c r="D323">
        <f t="shared" ref="D323:D327" si="19">B323+C323</f>
        <v>0</v>
      </c>
      <c r="E323">
        <f t="shared" ref="E323:E327" si="20">E322+D323</f>
        <v>862.41219999999998</v>
      </c>
      <c r="L323" s="134"/>
    </row>
    <row r="324" spans="1:12">
      <c r="A324" s="134">
        <v>44153</v>
      </c>
      <c r="B324">
        <f>SUMIFS(DWbonus[Sum],DWbonus[Dato],A324)</f>
        <v>0</v>
      </c>
      <c r="C324">
        <f>SUMIFS(LayTable[Faktisk res],LayTable[Dato],A324)+SUMIFS(BetTable[AR],BetTable[Date],A324)</f>
        <v>0</v>
      </c>
      <c r="D324">
        <f t="shared" si="19"/>
        <v>0</v>
      </c>
      <c r="E324">
        <f t="shared" si="20"/>
        <v>862.41219999999998</v>
      </c>
      <c r="L324" s="134"/>
    </row>
    <row r="325" spans="1:12">
      <c r="A325" s="134">
        <v>44154</v>
      </c>
      <c r="B325">
        <f>SUMIFS(DWbonus[Sum],DWbonus[Dato],A325)</f>
        <v>0</v>
      </c>
      <c r="C325">
        <f>SUMIFS(LayTable[Faktisk res],LayTable[Dato],A325)+SUMIFS(BetTable[AR],BetTable[Date],A325)</f>
        <v>0</v>
      </c>
      <c r="D325">
        <f t="shared" si="19"/>
        <v>0</v>
      </c>
      <c r="E325">
        <f t="shared" si="20"/>
        <v>862.41219999999998</v>
      </c>
      <c r="L325" s="134"/>
    </row>
    <row r="326" spans="1:12">
      <c r="A326" s="134">
        <v>44155</v>
      </c>
      <c r="B326">
        <f>SUMIFS(DWbonus[Sum],DWbonus[Dato],A326)</f>
        <v>0</v>
      </c>
      <c r="C326">
        <f>SUMIFS(LayTable[Faktisk res],LayTable[Dato],A326)+SUMIFS(BetTable[AR],BetTable[Date],A326)</f>
        <v>0</v>
      </c>
      <c r="D326">
        <f t="shared" si="19"/>
        <v>0</v>
      </c>
      <c r="E326">
        <f t="shared" si="20"/>
        <v>862.41219999999998</v>
      </c>
      <c r="L326" s="134"/>
    </row>
    <row r="327" spans="1:12">
      <c r="A327" s="134">
        <v>44156</v>
      </c>
      <c r="B327">
        <f>SUMIFS(DWbonus[Sum],DWbonus[Dato],A327)</f>
        <v>0</v>
      </c>
      <c r="C327">
        <f>SUMIFS(LayTable[Faktisk res],LayTable[Dato],A327)+SUMIFS(BetTable[AR],BetTable[Date],A327)</f>
        <v>0</v>
      </c>
      <c r="D327">
        <f t="shared" si="19"/>
        <v>0</v>
      </c>
      <c r="E327">
        <f t="shared" si="20"/>
        <v>862.41219999999998</v>
      </c>
      <c r="L327" s="134"/>
    </row>
    <row r="328" spans="1:12">
      <c r="A328" s="134">
        <v>44157</v>
      </c>
      <c r="B328">
        <f>SUMIFS(DWbonus[Sum],DWbonus[Dato],A328)</f>
        <v>0</v>
      </c>
      <c r="C328">
        <f>SUMIFS(LayTable[Faktisk res],LayTable[Dato],A328)+SUMIFS(BetTable[AR],BetTable[Date],A328)</f>
        <v>0</v>
      </c>
      <c r="D328">
        <f t="shared" ref="D328:D367" si="21">B328+C328</f>
        <v>0</v>
      </c>
      <c r="E328">
        <f t="shared" ref="E328:E367" si="22">E327+D328</f>
        <v>862.41219999999998</v>
      </c>
      <c r="L328" s="134"/>
    </row>
    <row r="329" spans="1:12">
      <c r="A329" s="134">
        <v>44158</v>
      </c>
      <c r="B329">
        <f>SUMIFS(DWbonus[Sum],DWbonus[Dato],A329)</f>
        <v>0</v>
      </c>
      <c r="C329">
        <f>SUMIFS(LayTable[Faktisk res],LayTable[Dato],A329)+SUMIFS(BetTable[AR],BetTable[Date],A329)</f>
        <v>0</v>
      </c>
      <c r="D329">
        <f t="shared" si="21"/>
        <v>0</v>
      </c>
      <c r="E329">
        <f t="shared" si="22"/>
        <v>862.41219999999998</v>
      </c>
      <c r="L329" s="134"/>
    </row>
    <row r="330" spans="1:12">
      <c r="A330" s="134">
        <v>44159</v>
      </c>
      <c r="B330">
        <f>SUMIFS(DWbonus[Sum],DWbonus[Dato],A330)</f>
        <v>0</v>
      </c>
      <c r="C330">
        <f>SUMIFS(LayTable[Faktisk res],LayTable[Dato],A330)+SUMIFS(BetTable[AR],BetTable[Date],A330)</f>
        <v>0</v>
      </c>
      <c r="D330">
        <f t="shared" si="21"/>
        <v>0</v>
      </c>
      <c r="E330">
        <f t="shared" si="22"/>
        <v>862.41219999999998</v>
      </c>
      <c r="L330" s="134"/>
    </row>
    <row r="331" spans="1:12">
      <c r="A331" s="134">
        <v>44160</v>
      </c>
      <c r="B331">
        <f>SUMIFS(DWbonus[Sum],DWbonus[Dato],A331)</f>
        <v>0</v>
      </c>
      <c r="C331">
        <f>SUMIFS(LayTable[Faktisk res],LayTable[Dato],A331)+SUMIFS(BetTable[AR],BetTable[Date],A331)</f>
        <v>0</v>
      </c>
      <c r="D331">
        <f t="shared" si="21"/>
        <v>0</v>
      </c>
      <c r="E331">
        <f t="shared" si="22"/>
        <v>862.41219999999998</v>
      </c>
      <c r="L331" s="134"/>
    </row>
    <row r="332" spans="1:12">
      <c r="A332" s="134">
        <v>44161</v>
      </c>
      <c r="B332">
        <f>SUMIFS(DWbonus[Sum],DWbonus[Dato],A332)</f>
        <v>0</v>
      </c>
      <c r="C332">
        <f>SUMIFS(LayTable[Faktisk res],LayTable[Dato],A332)+SUMIFS(BetTable[AR],BetTable[Date],A332)</f>
        <v>0</v>
      </c>
      <c r="D332">
        <f t="shared" si="21"/>
        <v>0</v>
      </c>
      <c r="E332">
        <f t="shared" si="22"/>
        <v>862.41219999999998</v>
      </c>
      <c r="L332" s="134"/>
    </row>
    <row r="333" spans="1:12">
      <c r="A333" s="134">
        <v>44162</v>
      </c>
      <c r="B333">
        <f>SUMIFS(DWbonus[Sum],DWbonus[Dato],A333)</f>
        <v>0</v>
      </c>
      <c r="C333">
        <f>SUMIFS(LayTable[Faktisk res],LayTable[Dato],A333)+SUMIFS(BetTable[AR],BetTable[Date],A333)</f>
        <v>0</v>
      </c>
      <c r="D333">
        <f t="shared" si="21"/>
        <v>0</v>
      </c>
      <c r="E333">
        <f t="shared" si="22"/>
        <v>862.41219999999998</v>
      </c>
      <c r="L333" s="134"/>
    </row>
    <row r="334" spans="1:12">
      <c r="A334" s="134">
        <v>44163</v>
      </c>
      <c r="B334">
        <f>SUMIFS(DWbonus[Sum],DWbonus[Dato],A334)</f>
        <v>0</v>
      </c>
      <c r="C334">
        <f>SUMIFS(LayTable[Faktisk res],LayTable[Dato],A334)+SUMIFS(BetTable[AR],BetTable[Date],A334)</f>
        <v>0</v>
      </c>
      <c r="D334">
        <f t="shared" si="21"/>
        <v>0</v>
      </c>
      <c r="E334">
        <f t="shared" si="22"/>
        <v>862.41219999999998</v>
      </c>
      <c r="L334" s="134"/>
    </row>
    <row r="335" spans="1:12">
      <c r="A335" s="134">
        <v>44164</v>
      </c>
      <c r="B335">
        <f>SUMIFS(DWbonus[Sum],DWbonus[Dato],A335)</f>
        <v>0</v>
      </c>
      <c r="C335">
        <f>SUMIFS(LayTable[Faktisk res],LayTable[Dato],A335)+SUMIFS(BetTable[AR],BetTable[Date],A335)</f>
        <v>0</v>
      </c>
      <c r="D335">
        <f t="shared" si="21"/>
        <v>0</v>
      </c>
      <c r="E335">
        <f t="shared" si="22"/>
        <v>862.41219999999998</v>
      </c>
      <c r="L335" s="134"/>
    </row>
    <row r="336" spans="1:12">
      <c r="A336" s="134">
        <v>44165</v>
      </c>
      <c r="B336">
        <f>SUMIFS(DWbonus[Sum],DWbonus[Dato],A336)</f>
        <v>0</v>
      </c>
      <c r="C336">
        <f>SUMIFS(LayTable[Faktisk res],LayTable[Dato],A336)+SUMIFS(BetTable[AR],BetTable[Date],A336)</f>
        <v>0</v>
      </c>
      <c r="D336">
        <f t="shared" si="21"/>
        <v>0</v>
      </c>
      <c r="E336">
        <f t="shared" si="22"/>
        <v>862.41219999999998</v>
      </c>
      <c r="L336" s="134"/>
    </row>
    <row r="337" spans="1:12">
      <c r="A337" s="134">
        <v>44166</v>
      </c>
      <c r="B337">
        <f>SUMIFS(DWbonus[Sum],DWbonus[Dato],A337)</f>
        <v>0</v>
      </c>
      <c r="C337">
        <f>SUMIFS(LayTable[Faktisk res],LayTable[Dato],A337)+SUMIFS(BetTable[AR],BetTable[Date],A337)</f>
        <v>0</v>
      </c>
      <c r="D337">
        <f t="shared" si="21"/>
        <v>0</v>
      </c>
      <c r="E337">
        <f t="shared" si="22"/>
        <v>862.41219999999998</v>
      </c>
      <c r="L337" s="134"/>
    </row>
    <row r="338" spans="1:12">
      <c r="A338" s="134">
        <v>44167</v>
      </c>
      <c r="B338">
        <f>SUMIFS(DWbonus[Sum],DWbonus[Dato],A338)</f>
        <v>0</v>
      </c>
      <c r="C338">
        <f>SUMIFS(LayTable[Faktisk res],LayTable[Dato],A338)+SUMIFS(BetTable[AR],BetTable[Date],A338)</f>
        <v>0</v>
      </c>
      <c r="D338">
        <f t="shared" si="21"/>
        <v>0</v>
      </c>
      <c r="E338">
        <f t="shared" si="22"/>
        <v>862.41219999999998</v>
      </c>
      <c r="L338" s="134"/>
    </row>
    <row r="339" spans="1:12">
      <c r="A339" s="134">
        <v>44168</v>
      </c>
      <c r="B339">
        <f>SUMIFS(DWbonus[Sum],DWbonus[Dato],A339)</f>
        <v>0</v>
      </c>
      <c r="C339">
        <f>SUMIFS(LayTable[Faktisk res],LayTable[Dato],A339)+SUMIFS(BetTable[AR],BetTable[Date],A339)</f>
        <v>0</v>
      </c>
      <c r="D339">
        <f t="shared" si="21"/>
        <v>0</v>
      </c>
      <c r="E339">
        <f t="shared" si="22"/>
        <v>862.41219999999998</v>
      </c>
      <c r="L339" s="134"/>
    </row>
    <row r="340" spans="1:12">
      <c r="A340" s="134">
        <v>44169</v>
      </c>
      <c r="B340">
        <f>SUMIFS(DWbonus[Sum],DWbonus[Dato],A340)</f>
        <v>0</v>
      </c>
      <c r="C340">
        <f>SUMIFS(LayTable[Faktisk res],LayTable[Dato],A340)+SUMIFS(BetTable[AR],BetTable[Date],A340)</f>
        <v>0</v>
      </c>
      <c r="D340">
        <f t="shared" si="21"/>
        <v>0</v>
      </c>
      <c r="E340">
        <f t="shared" si="22"/>
        <v>862.41219999999998</v>
      </c>
      <c r="L340" s="134"/>
    </row>
    <row r="341" spans="1:12">
      <c r="A341" s="134">
        <v>44170</v>
      </c>
      <c r="B341">
        <f>SUMIFS(DWbonus[Sum],DWbonus[Dato],A341)</f>
        <v>0</v>
      </c>
      <c r="C341">
        <f>SUMIFS(LayTable[Faktisk res],LayTable[Dato],A341)+SUMIFS(BetTable[AR],BetTable[Date],A341)</f>
        <v>0</v>
      </c>
      <c r="D341">
        <f t="shared" si="21"/>
        <v>0</v>
      </c>
      <c r="E341">
        <f t="shared" si="22"/>
        <v>862.41219999999998</v>
      </c>
      <c r="L341" s="134"/>
    </row>
    <row r="342" spans="1:12">
      <c r="A342" s="134">
        <v>44171</v>
      </c>
      <c r="B342">
        <f>SUMIFS(DWbonus[Sum],DWbonus[Dato],A342)</f>
        <v>0</v>
      </c>
      <c r="C342">
        <f>SUMIFS(LayTable[Faktisk res],LayTable[Dato],A342)+SUMIFS(BetTable[AR],BetTable[Date],A342)</f>
        <v>0</v>
      </c>
      <c r="D342">
        <f t="shared" si="21"/>
        <v>0</v>
      </c>
      <c r="E342">
        <f t="shared" si="22"/>
        <v>862.41219999999998</v>
      </c>
      <c r="L342" s="134"/>
    </row>
    <row r="343" spans="1:12">
      <c r="A343" s="134">
        <v>44172</v>
      </c>
      <c r="B343">
        <f>SUMIFS(DWbonus[Sum],DWbonus[Dato],A343)</f>
        <v>0</v>
      </c>
      <c r="C343">
        <f>SUMIFS(LayTable[Faktisk res],LayTable[Dato],A343)+SUMIFS(BetTable[AR],BetTable[Date],A343)</f>
        <v>0</v>
      </c>
      <c r="D343">
        <f t="shared" si="21"/>
        <v>0</v>
      </c>
      <c r="E343">
        <f t="shared" si="22"/>
        <v>862.41219999999998</v>
      </c>
      <c r="L343" s="134"/>
    </row>
    <row r="344" spans="1:12">
      <c r="A344" s="134">
        <v>44173</v>
      </c>
      <c r="B344">
        <f>SUMIFS(DWbonus[Sum],DWbonus[Dato],A344)</f>
        <v>0</v>
      </c>
      <c r="C344">
        <f>SUMIFS(LayTable[Faktisk res],LayTable[Dato],A344)+SUMIFS(BetTable[AR],BetTable[Date],A344)</f>
        <v>0</v>
      </c>
      <c r="D344">
        <f t="shared" si="21"/>
        <v>0</v>
      </c>
      <c r="E344">
        <f t="shared" si="22"/>
        <v>862.41219999999998</v>
      </c>
      <c r="L344" s="134"/>
    </row>
    <row r="345" spans="1:12">
      <c r="A345" s="134">
        <v>44174</v>
      </c>
      <c r="B345">
        <f>SUMIFS(DWbonus[Sum],DWbonus[Dato],A345)</f>
        <v>0</v>
      </c>
      <c r="C345">
        <f>SUMIFS(LayTable[Faktisk res],LayTable[Dato],A345)+SUMIFS(BetTable[AR],BetTable[Date],A345)</f>
        <v>0</v>
      </c>
      <c r="D345">
        <f t="shared" si="21"/>
        <v>0</v>
      </c>
      <c r="E345">
        <f t="shared" si="22"/>
        <v>862.41219999999998</v>
      </c>
      <c r="L345" s="134"/>
    </row>
    <row r="346" spans="1:12">
      <c r="A346" s="134">
        <v>44175</v>
      </c>
      <c r="B346">
        <f>SUMIFS(DWbonus[Sum],DWbonus[Dato],A346)</f>
        <v>0</v>
      </c>
      <c r="C346">
        <f>SUMIFS(LayTable[Faktisk res],LayTable[Dato],A346)+SUMIFS(BetTable[AR],BetTable[Date],A346)</f>
        <v>0</v>
      </c>
      <c r="D346">
        <f t="shared" si="21"/>
        <v>0</v>
      </c>
      <c r="E346">
        <f t="shared" si="22"/>
        <v>862.41219999999998</v>
      </c>
      <c r="L346" s="134"/>
    </row>
    <row r="347" spans="1:12">
      <c r="A347" s="134">
        <v>44176</v>
      </c>
      <c r="B347">
        <f>SUMIFS(DWbonus[Sum],DWbonus[Dato],A347)</f>
        <v>0</v>
      </c>
      <c r="C347">
        <f>SUMIFS(LayTable[Faktisk res],LayTable[Dato],A347)+SUMIFS(BetTable[AR],BetTable[Date],A347)</f>
        <v>0</v>
      </c>
      <c r="D347">
        <f t="shared" si="21"/>
        <v>0</v>
      </c>
      <c r="E347">
        <f t="shared" si="22"/>
        <v>862.41219999999998</v>
      </c>
      <c r="L347" s="134"/>
    </row>
    <row r="348" spans="1:12">
      <c r="A348" s="134">
        <v>44177</v>
      </c>
      <c r="B348">
        <f>SUMIFS(DWbonus[Sum],DWbonus[Dato],A348)</f>
        <v>0</v>
      </c>
      <c r="C348">
        <f>SUMIFS(LayTable[Faktisk res],LayTable[Dato],A348)+SUMIFS(BetTable[AR],BetTable[Date],A348)</f>
        <v>0</v>
      </c>
      <c r="D348">
        <f t="shared" si="21"/>
        <v>0</v>
      </c>
      <c r="E348">
        <f t="shared" si="22"/>
        <v>862.41219999999998</v>
      </c>
      <c r="L348" s="134"/>
    </row>
    <row r="349" spans="1:12">
      <c r="A349" s="134">
        <v>44178</v>
      </c>
      <c r="B349">
        <f>SUMIFS(DWbonus[Sum],DWbonus[Dato],A349)</f>
        <v>0</v>
      </c>
      <c r="C349">
        <f>SUMIFS(LayTable[Faktisk res],LayTable[Dato],A349)+SUMIFS(BetTable[AR],BetTable[Date],A349)</f>
        <v>0</v>
      </c>
      <c r="D349">
        <f t="shared" si="21"/>
        <v>0</v>
      </c>
      <c r="E349">
        <f t="shared" si="22"/>
        <v>862.41219999999998</v>
      </c>
      <c r="L349" s="134"/>
    </row>
    <row r="350" spans="1:12">
      <c r="A350" s="134">
        <v>44179</v>
      </c>
      <c r="B350">
        <f>SUMIFS(DWbonus[Sum],DWbonus[Dato],A350)</f>
        <v>0</v>
      </c>
      <c r="C350">
        <f>SUMIFS(LayTable[Faktisk res],LayTable[Dato],A350)+SUMIFS(BetTable[AR],BetTable[Date],A350)</f>
        <v>0</v>
      </c>
      <c r="D350">
        <f t="shared" si="21"/>
        <v>0</v>
      </c>
      <c r="E350">
        <f t="shared" si="22"/>
        <v>862.41219999999998</v>
      </c>
      <c r="L350" s="134"/>
    </row>
    <row r="351" spans="1:12">
      <c r="A351" s="134">
        <v>44180</v>
      </c>
      <c r="B351">
        <f>SUMIFS(DWbonus[Sum],DWbonus[Dato],A351)</f>
        <v>0</v>
      </c>
      <c r="C351">
        <f>SUMIFS(LayTable[Faktisk res],LayTable[Dato],A351)+SUMIFS(BetTable[AR],BetTable[Date],A351)</f>
        <v>0</v>
      </c>
      <c r="D351">
        <f t="shared" si="21"/>
        <v>0</v>
      </c>
      <c r="E351">
        <f t="shared" si="22"/>
        <v>862.41219999999998</v>
      </c>
      <c r="L351" s="134"/>
    </row>
    <row r="352" spans="1:12">
      <c r="A352" s="134">
        <v>44181</v>
      </c>
      <c r="B352">
        <f>SUMIFS(DWbonus[Sum],DWbonus[Dato],A352)</f>
        <v>0</v>
      </c>
      <c r="C352">
        <f>SUMIFS(LayTable[Faktisk res],LayTable[Dato],A352)+SUMIFS(BetTable[AR],BetTable[Date],A352)</f>
        <v>0</v>
      </c>
      <c r="D352">
        <f t="shared" si="21"/>
        <v>0</v>
      </c>
      <c r="E352">
        <f t="shared" si="22"/>
        <v>862.41219999999998</v>
      </c>
      <c r="L352" s="134"/>
    </row>
    <row r="353" spans="1:12">
      <c r="A353" s="134">
        <v>44182</v>
      </c>
      <c r="B353">
        <f>SUMIFS(DWbonus[Sum],DWbonus[Dato],A353)</f>
        <v>0</v>
      </c>
      <c r="C353">
        <f>SUMIFS(LayTable[Faktisk res],LayTable[Dato],A353)+SUMIFS(BetTable[AR],BetTable[Date],A353)</f>
        <v>0</v>
      </c>
      <c r="D353">
        <f t="shared" si="21"/>
        <v>0</v>
      </c>
      <c r="E353">
        <f t="shared" si="22"/>
        <v>862.41219999999998</v>
      </c>
      <c r="L353" s="134"/>
    </row>
    <row r="354" spans="1:12">
      <c r="A354" s="134">
        <v>44183</v>
      </c>
      <c r="B354">
        <f>SUMIFS(DWbonus[Sum],DWbonus[Dato],A354)</f>
        <v>0</v>
      </c>
      <c r="C354">
        <f>SUMIFS(LayTable[Faktisk res],LayTable[Dato],A354)+SUMIFS(BetTable[AR],BetTable[Date],A354)</f>
        <v>0</v>
      </c>
      <c r="D354">
        <f t="shared" si="21"/>
        <v>0</v>
      </c>
      <c r="E354">
        <f t="shared" si="22"/>
        <v>862.41219999999998</v>
      </c>
      <c r="L354" s="134"/>
    </row>
    <row r="355" spans="1:12">
      <c r="A355" s="134">
        <v>44184</v>
      </c>
      <c r="B355">
        <f>SUMIFS(DWbonus[Sum],DWbonus[Dato],A355)</f>
        <v>0</v>
      </c>
      <c r="C355">
        <f>SUMIFS(LayTable[Faktisk res],LayTable[Dato],A355)+SUMIFS(BetTable[AR],BetTable[Date],A355)</f>
        <v>0</v>
      </c>
      <c r="D355">
        <f t="shared" si="21"/>
        <v>0</v>
      </c>
      <c r="E355">
        <f t="shared" si="22"/>
        <v>862.41219999999998</v>
      </c>
      <c r="L355" s="134"/>
    </row>
    <row r="356" spans="1:12">
      <c r="A356" s="134">
        <v>44185</v>
      </c>
      <c r="B356">
        <f>SUMIFS(DWbonus[Sum],DWbonus[Dato],A356)</f>
        <v>0</v>
      </c>
      <c r="C356">
        <f>SUMIFS(LayTable[Faktisk res],LayTable[Dato],A356)+SUMIFS(BetTable[AR],BetTable[Date],A356)</f>
        <v>0</v>
      </c>
      <c r="D356">
        <f t="shared" si="21"/>
        <v>0</v>
      </c>
      <c r="E356">
        <f t="shared" si="22"/>
        <v>862.41219999999998</v>
      </c>
      <c r="L356" s="134"/>
    </row>
    <row r="357" spans="1:12">
      <c r="A357" s="134">
        <v>44186</v>
      </c>
      <c r="B357">
        <f>SUMIFS(DWbonus[Sum],DWbonus[Dato],A357)</f>
        <v>0</v>
      </c>
      <c r="C357">
        <f>SUMIFS(LayTable[Faktisk res],LayTable[Dato],A357)+SUMIFS(BetTable[AR],BetTable[Date],A357)</f>
        <v>0</v>
      </c>
      <c r="D357">
        <f t="shared" si="21"/>
        <v>0</v>
      </c>
      <c r="E357">
        <f t="shared" si="22"/>
        <v>862.41219999999998</v>
      </c>
      <c r="L357" s="134"/>
    </row>
    <row r="358" spans="1:12">
      <c r="A358" s="134">
        <v>44187</v>
      </c>
      <c r="B358">
        <f>SUMIFS(DWbonus[Sum],DWbonus[Dato],A358)</f>
        <v>0</v>
      </c>
      <c r="C358">
        <f>SUMIFS(LayTable[Faktisk res],LayTable[Dato],A358)+SUMIFS(BetTable[AR],BetTable[Date],A358)</f>
        <v>0</v>
      </c>
      <c r="D358">
        <f t="shared" si="21"/>
        <v>0</v>
      </c>
      <c r="E358">
        <f t="shared" si="22"/>
        <v>862.41219999999998</v>
      </c>
      <c r="L358" s="134"/>
    </row>
    <row r="359" spans="1:12">
      <c r="A359" s="134">
        <v>44188</v>
      </c>
      <c r="B359">
        <f>SUMIFS(DWbonus[Sum],DWbonus[Dato],A359)</f>
        <v>0</v>
      </c>
      <c r="C359">
        <f>SUMIFS(LayTable[Faktisk res],LayTable[Dato],A359)+SUMIFS(BetTable[AR],BetTable[Date],A359)</f>
        <v>0</v>
      </c>
      <c r="D359">
        <f t="shared" si="21"/>
        <v>0</v>
      </c>
      <c r="E359">
        <f t="shared" si="22"/>
        <v>862.41219999999998</v>
      </c>
      <c r="L359" s="134"/>
    </row>
    <row r="360" spans="1:12">
      <c r="A360" s="134">
        <v>44189</v>
      </c>
      <c r="B360">
        <f>SUMIFS(DWbonus[Sum],DWbonus[Dato],A360)</f>
        <v>0</v>
      </c>
      <c r="C360">
        <f>SUMIFS(LayTable[Faktisk res],LayTable[Dato],A360)+SUMIFS(BetTable[AR],BetTable[Date],A360)</f>
        <v>0</v>
      </c>
      <c r="D360">
        <f t="shared" si="21"/>
        <v>0</v>
      </c>
      <c r="E360">
        <f t="shared" si="22"/>
        <v>862.41219999999998</v>
      </c>
      <c r="L360" s="134"/>
    </row>
    <row r="361" spans="1:12">
      <c r="A361" s="134">
        <v>44190</v>
      </c>
      <c r="B361">
        <f>SUMIFS(DWbonus[Sum],DWbonus[Dato],A361)</f>
        <v>0</v>
      </c>
      <c r="C361">
        <f>SUMIFS(LayTable[Faktisk res],LayTable[Dato],A361)+SUMIFS(BetTable[AR],BetTable[Date],A361)</f>
        <v>0</v>
      </c>
      <c r="D361">
        <f t="shared" si="21"/>
        <v>0</v>
      </c>
      <c r="E361">
        <f t="shared" si="22"/>
        <v>862.41219999999998</v>
      </c>
      <c r="L361" s="134"/>
    </row>
    <row r="362" spans="1:12">
      <c r="A362" s="134">
        <v>44191</v>
      </c>
      <c r="B362">
        <f>SUMIFS(DWbonus[Sum],DWbonus[Dato],A362)</f>
        <v>0</v>
      </c>
      <c r="C362">
        <f>SUMIFS(LayTable[Faktisk res],LayTable[Dato],A362)+SUMIFS(BetTable[AR],BetTable[Date],A362)</f>
        <v>0</v>
      </c>
      <c r="D362">
        <f t="shared" si="21"/>
        <v>0</v>
      </c>
      <c r="E362">
        <f t="shared" si="22"/>
        <v>862.41219999999998</v>
      </c>
      <c r="L362" s="134"/>
    </row>
    <row r="363" spans="1:12">
      <c r="A363" s="134">
        <v>44192</v>
      </c>
      <c r="B363">
        <f>SUMIFS(DWbonus[Sum],DWbonus[Dato],A363)</f>
        <v>0</v>
      </c>
      <c r="C363">
        <f>SUMIFS(LayTable[Faktisk res],LayTable[Dato],A363)+SUMIFS(BetTable[AR],BetTable[Date],A363)</f>
        <v>0</v>
      </c>
      <c r="D363">
        <f t="shared" si="21"/>
        <v>0</v>
      </c>
      <c r="E363">
        <f t="shared" si="22"/>
        <v>862.41219999999998</v>
      </c>
      <c r="L363" s="134"/>
    </row>
    <row r="364" spans="1:12">
      <c r="A364" s="134">
        <v>44193</v>
      </c>
      <c r="B364">
        <f>SUMIFS(DWbonus[Sum],DWbonus[Dato],A364)</f>
        <v>0</v>
      </c>
      <c r="C364">
        <f>SUMIFS(LayTable[Faktisk res],LayTable[Dato],A364)+SUMIFS(BetTable[AR],BetTable[Date],A364)</f>
        <v>0</v>
      </c>
      <c r="D364">
        <f t="shared" si="21"/>
        <v>0</v>
      </c>
      <c r="E364">
        <f t="shared" si="22"/>
        <v>862.41219999999998</v>
      </c>
      <c r="L364" s="134"/>
    </row>
    <row r="365" spans="1:12">
      <c r="A365" s="134">
        <v>44194</v>
      </c>
      <c r="B365">
        <f>SUMIFS(DWbonus[Sum],DWbonus[Dato],A365)</f>
        <v>0</v>
      </c>
      <c r="C365">
        <f>SUMIFS(LayTable[Faktisk res],LayTable[Dato],A365)+SUMIFS(BetTable[AR],BetTable[Date],A365)</f>
        <v>0</v>
      </c>
      <c r="D365">
        <f t="shared" si="21"/>
        <v>0</v>
      </c>
      <c r="E365">
        <f t="shared" si="22"/>
        <v>862.41219999999998</v>
      </c>
      <c r="L365" s="134"/>
    </row>
    <row r="366" spans="1:12">
      <c r="A366" s="134">
        <v>44195</v>
      </c>
      <c r="B366">
        <f>SUMIFS(DWbonus[Sum],DWbonus[Dato],A366)</f>
        <v>0</v>
      </c>
      <c r="C366">
        <f>SUMIFS(LayTable[Faktisk res],LayTable[Dato],A366)+SUMIFS(BetTable[AR],BetTable[Date],A366)</f>
        <v>0</v>
      </c>
      <c r="D366">
        <f t="shared" si="21"/>
        <v>0</v>
      </c>
      <c r="E366">
        <f t="shared" si="22"/>
        <v>862.41219999999998</v>
      </c>
      <c r="L366" s="134"/>
    </row>
    <row r="367" spans="1:12">
      <c r="A367" s="134">
        <v>44196</v>
      </c>
      <c r="B367">
        <f>SUMIFS(DWbonus[Sum],DWbonus[Dato],A367)</f>
        <v>0</v>
      </c>
      <c r="C367">
        <f>SUMIFS(LayTable[Faktisk res],LayTable[Dato],A367)+SUMIFS(BetTable[AR],BetTable[Date],A367)</f>
        <v>0</v>
      </c>
      <c r="D367">
        <f t="shared" si="21"/>
        <v>0</v>
      </c>
      <c r="E367">
        <f t="shared" si="22"/>
        <v>862.41219999999998</v>
      </c>
      <c r="L367" s="134"/>
    </row>
    <row r="368" spans="1:12">
      <c r="L368" s="134"/>
    </row>
    <row r="369" spans="12:12">
      <c r="L369" s="134"/>
    </row>
    <row r="370" spans="12:12">
      <c r="L370" s="134"/>
    </row>
    <row r="371" spans="12:12">
      <c r="L371" s="134"/>
    </row>
    <row r="372" spans="12:12">
      <c r="L372" s="134"/>
    </row>
    <row r="373" spans="12:12">
      <c r="L373" s="134"/>
    </row>
    <row r="374" spans="12:12">
      <c r="L374" s="134"/>
    </row>
    <row r="375" spans="12:12">
      <c r="L375" s="134"/>
    </row>
    <row r="376" spans="12:12">
      <c r="L376" s="134"/>
    </row>
    <row r="377" spans="12:12">
      <c r="L377" s="134"/>
    </row>
    <row r="378" spans="12:12">
      <c r="L378" s="134"/>
    </row>
    <row r="379" spans="12:12">
      <c r="L379" s="134"/>
    </row>
    <row r="380" spans="12:12">
      <c r="L380" s="134"/>
    </row>
    <row r="381" spans="12:12">
      <c r="L381" s="134"/>
    </row>
    <row r="382" spans="12:12">
      <c r="L382" s="134"/>
    </row>
    <row r="383" spans="12:12">
      <c r="L383" s="134"/>
    </row>
    <row r="384" spans="12:12">
      <c r="L384" s="134"/>
    </row>
    <row r="385" spans="12:12">
      <c r="L385" s="134"/>
    </row>
    <row r="386" spans="12:12">
      <c r="L386" s="134"/>
    </row>
    <row r="387" spans="12:12">
      <c r="L387" s="134"/>
    </row>
    <row r="388" spans="12:12">
      <c r="L388" s="134"/>
    </row>
    <row r="389" spans="12:12">
      <c r="L389" s="134"/>
    </row>
    <row r="390" spans="12:12">
      <c r="L390" s="134"/>
    </row>
    <row r="391" spans="12:12">
      <c r="L391" s="134"/>
    </row>
    <row r="392" spans="12:12">
      <c r="L392" s="134"/>
    </row>
    <row r="393" spans="12:12">
      <c r="L393" s="134"/>
    </row>
    <row r="394" spans="12:12">
      <c r="L394" s="134"/>
    </row>
    <row r="395" spans="12:12">
      <c r="L395" s="134"/>
    </row>
    <row r="396" spans="12:12">
      <c r="L396" s="134"/>
    </row>
    <row r="397" spans="12:12">
      <c r="L397" s="134"/>
    </row>
    <row r="398" spans="12:12">
      <c r="L398" s="134"/>
    </row>
    <row r="399" spans="12:12">
      <c r="L399" s="134"/>
    </row>
    <row r="400" spans="12:12">
      <c r="L400" s="134"/>
    </row>
    <row r="401" spans="12:12">
      <c r="L401" s="134"/>
    </row>
    <row r="402" spans="12:12">
      <c r="L402" s="134"/>
    </row>
    <row r="403" spans="12:12">
      <c r="L403" s="134"/>
    </row>
    <row r="404" spans="12:12">
      <c r="L404" s="134"/>
    </row>
    <row r="405" spans="12:12">
      <c r="L405" s="134"/>
    </row>
    <row r="406" spans="12:12">
      <c r="L406" s="134"/>
    </row>
    <row r="407" spans="12:12">
      <c r="L407" s="134"/>
    </row>
    <row r="408" spans="12:12">
      <c r="L408" s="134"/>
    </row>
    <row r="409" spans="12:12">
      <c r="L409" s="134"/>
    </row>
    <row r="410" spans="12:12">
      <c r="L410" s="134"/>
    </row>
    <row r="411" spans="12:12">
      <c r="L411" s="134"/>
    </row>
    <row r="412" spans="12:12">
      <c r="L412" s="134"/>
    </row>
    <row r="413" spans="12:12">
      <c r="L413" s="134"/>
    </row>
    <row r="414" spans="12:12">
      <c r="L414" s="134"/>
    </row>
    <row r="415" spans="12:12">
      <c r="L415" s="134"/>
    </row>
    <row r="416" spans="12:12">
      <c r="L416" s="134"/>
    </row>
    <row r="417" spans="12:12">
      <c r="L417" s="134"/>
    </row>
    <row r="418" spans="12:12">
      <c r="L418" s="134"/>
    </row>
    <row r="419" spans="12:12">
      <c r="L419" s="134"/>
    </row>
    <row r="420" spans="12:12">
      <c r="L420" s="134"/>
    </row>
    <row r="421" spans="12:12">
      <c r="L421" s="134"/>
    </row>
    <row r="422" spans="12:12">
      <c r="L422" s="134"/>
    </row>
    <row r="423" spans="12:12">
      <c r="L423" s="134"/>
    </row>
    <row r="424" spans="12:12">
      <c r="L424" s="134"/>
    </row>
    <row r="425" spans="12:12">
      <c r="L425" s="134"/>
    </row>
    <row r="426" spans="12:12">
      <c r="L426" s="134"/>
    </row>
    <row r="427" spans="12:12">
      <c r="L427" s="134"/>
    </row>
    <row r="428" spans="12:12">
      <c r="L428" s="134"/>
    </row>
    <row r="429" spans="12:12">
      <c r="L429" s="134"/>
    </row>
    <row r="430" spans="12:12">
      <c r="L430" s="134"/>
    </row>
    <row r="431" spans="12:12">
      <c r="L431" s="134"/>
    </row>
    <row r="432" spans="12:12">
      <c r="L432" s="134"/>
    </row>
    <row r="433" spans="12:12">
      <c r="L433" s="134"/>
    </row>
    <row r="434" spans="12:12">
      <c r="L434" s="134"/>
    </row>
    <row r="435" spans="12:12">
      <c r="L435" s="134"/>
    </row>
    <row r="436" spans="12:12">
      <c r="L436" s="134"/>
    </row>
    <row r="437" spans="12:12">
      <c r="L437" s="134"/>
    </row>
    <row r="438" spans="12:12">
      <c r="L438" s="134"/>
    </row>
    <row r="439" spans="12:12">
      <c r="L439" s="134"/>
    </row>
    <row r="440" spans="12:12">
      <c r="L440" s="134"/>
    </row>
    <row r="441" spans="12:12">
      <c r="L441" s="134"/>
    </row>
    <row r="442" spans="12:12">
      <c r="L442" s="134"/>
    </row>
    <row r="443" spans="12:12">
      <c r="L443" s="134"/>
    </row>
    <row r="444" spans="12:12">
      <c r="L444" s="134"/>
    </row>
    <row r="445" spans="12:12">
      <c r="L445" s="134"/>
    </row>
    <row r="446" spans="12:12">
      <c r="L446" s="134"/>
    </row>
    <row r="447" spans="12:12">
      <c r="L447" s="134"/>
    </row>
    <row r="448" spans="12:12">
      <c r="L448" s="134"/>
    </row>
    <row r="449" spans="12:12">
      <c r="L449" s="134"/>
    </row>
    <row r="450" spans="12:12">
      <c r="L450" s="134"/>
    </row>
    <row r="451" spans="12:12">
      <c r="L451" s="134"/>
    </row>
    <row r="452" spans="12:12">
      <c r="L452" s="134"/>
    </row>
    <row r="453" spans="12:12">
      <c r="L453" s="134"/>
    </row>
    <row r="454" spans="12:12">
      <c r="L454" s="134"/>
    </row>
    <row r="455" spans="12:12">
      <c r="L455" s="134"/>
    </row>
    <row r="456" spans="12:12">
      <c r="L456" s="134"/>
    </row>
    <row r="457" spans="12:12">
      <c r="L457" s="134"/>
    </row>
    <row r="458" spans="12:12">
      <c r="L458" s="134"/>
    </row>
    <row r="459" spans="12:12">
      <c r="L459" s="134"/>
    </row>
    <row r="460" spans="12:12">
      <c r="L460" s="134"/>
    </row>
    <row r="461" spans="12:12">
      <c r="L461" s="134"/>
    </row>
    <row r="462" spans="12:12">
      <c r="L462" s="134"/>
    </row>
    <row r="463" spans="12:12">
      <c r="L463" s="134"/>
    </row>
    <row r="464" spans="12:12">
      <c r="L464" s="134"/>
    </row>
    <row r="465" spans="12:12">
      <c r="L465" s="134"/>
    </row>
    <row r="466" spans="12:12">
      <c r="L466" s="134"/>
    </row>
    <row r="467" spans="12:12">
      <c r="L467" s="134"/>
    </row>
    <row r="468" spans="12:12">
      <c r="L468" s="134"/>
    </row>
    <row r="469" spans="12:12">
      <c r="L469" s="134"/>
    </row>
    <row r="470" spans="12:12">
      <c r="L470" s="134"/>
    </row>
    <row r="471" spans="12:12">
      <c r="L471" s="134"/>
    </row>
    <row r="472" spans="12:12">
      <c r="L472" s="134"/>
    </row>
    <row r="473" spans="12:12">
      <c r="L473" s="134"/>
    </row>
    <row r="474" spans="12:12">
      <c r="L474" s="134"/>
    </row>
    <row r="475" spans="12:12">
      <c r="L475" s="134"/>
    </row>
    <row r="476" spans="12:12">
      <c r="L476" s="134"/>
    </row>
    <row r="477" spans="12:12">
      <c r="L477" s="134"/>
    </row>
    <row r="478" spans="12:12">
      <c r="L478" s="134"/>
    </row>
    <row r="479" spans="12:12">
      <c r="L479" s="134"/>
    </row>
    <row r="480" spans="12:12">
      <c r="L480" s="134"/>
    </row>
    <row r="481" spans="12:12">
      <c r="L481" s="134"/>
    </row>
    <row r="482" spans="12:12">
      <c r="L482" s="134"/>
    </row>
    <row r="483" spans="12:12">
      <c r="L483" s="134"/>
    </row>
    <row r="484" spans="12:12">
      <c r="L484" s="134"/>
    </row>
    <row r="485" spans="12:12">
      <c r="L485" s="134"/>
    </row>
    <row r="486" spans="12:12">
      <c r="L486" s="134"/>
    </row>
    <row r="487" spans="12:12">
      <c r="L487" s="134"/>
    </row>
    <row r="488" spans="12:12">
      <c r="L488" s="134"/>
    </row>
    <row r="489" spans="12:12">
      <c r="L489" s="134"/>
    </row>
    <row r="490" spans="12:12">
      <c r="L490" s="134"/>
    </row>
    <row r="491" spans="12:12">
      <c r="L491" s="134"/>
    </row>
    <row r="492" spans="12:12">
      <c r="L492" s="134"/>
    </row>
    <row r="493" spans="12:12">
      <c r="L493" s="134"/>
    </row>
    <row r="494" spans="12:12">
      <c r="L494" s="134"/>
    </row>
    <row r="495" spans="12:12">
      <c r="L495" s="134"/>
    </row>
    <row r="496" spans="12:12">
      <c r="L496" s="134"/>
    </row>
    <row r="497" spans="12:12">
      <c r="L497" s="134"/>
    </row>
    <row r="498" spans="12:12">
      <c r="L498" s="134"/>
    </row>
    <row r="499" spans="12:12">
      <c r="L499" s="134"/>
    </row>
    <row r="500" spans="12:12">
      <c r="L500" s="134"/>
    </row>
    <row r="501" spans="12:12">
      <c r="L501" s="134"/>
    </row>
    <row r="502" spans="12:12">
      <c r="L502" s="134"/>
    </row>
    <row r="503" spans="12:12">
      <c r="L503" s="134"/>
    </row>
    <row r="504" spans="12:12">
      <c r="L504" s="134"/>
    </row>
    <row r="505" spans="12:12">
      <c r="L505" s="134"/>
    </row>
    <row r="506" spans="12:12">
      <c r="L506" s="134"/>
    </row>
    <row r="507" spans="12:12">
      <c r="L507" s="134"/>
    </row>
    <row r="508" spans="12:12">
      <c r="L508" s="134"/>
    </row>
    <row r="509" spans="12:12">
      <c r="L509" s="134"/>
    </row>
    <row r="510" spans="12:12">
      <c r="L510" s="134"/>
    </row>
    <row r="511" spans="12:12">
      <c r="L511" s="134"/>
    </row>
    <row r="512" spans="12:12">
      <c r="L512" s="134"/>
    </row>
    <row r="513" spans="12:12">
      <c r="L513" s="134"/>
    </row>
    <row r="514" spans="12:12">
      <c r="L514" s="134"/>
    </row>
    <row r="515" spans="12:12">
      <c r="L515" s="134"/>
    </row>
    <row r="516" spans="12:12">
      <c r="L516" s="134"/>
    </row>
    <row r="517" spans="12:12">
      <c r="L517" s="134"/>
    </row>
    <row r="518" spans="12:12">
      <c r="L518" s="134"/>
    </row>
    <row r="519" spans="12:12">
      <c r="L519" s="134"/>
    </row>
    <row r="520" spans="12:12">
      <c r="L520" s="134"/>
    </row>
    <row r="521" spans="12:12">
      <c r="L521" s="134"/>
    </row>
    <row r="522" spans="12:12">
      <c r="L522" s="134"/>
    </row>
    <row r="523" spans="12:12">
      <c r="L523" s="134"/>
    </row>
    <row r="524" spans="12:12">
      <c r="L524" s="134"/>
    </row>
    <row r="525" spans="12:12">
      <c r="L525" s="134"/>
    </row>
    <row r="526" spans="12:12">
      <c r="L526" s="134"/>
    </row>
    <row r="527" spans="12:12">
      <c r="L527" s="134"/>
    </row>
    <row r="528" spans="12:12">
      <c r="L528" s="134"/>
    </row>
    <row r="529" spans="12:12">
      <c r="L529" s="134"/>
    </row>
    <row r="530" spans="12:12">
      <c r="L530" s="134"/>
    </row>
    <row r="531" spans="12:12">
      <c r="L531" s="134"/>
    </row>
    <row r="532" spans="12:12">
      <c r="L532" s="134"/>
    </row>
    <row r="533" spans="12:12">
      <c r="L533" s="134"/>
    </row>
    <row r="534" spans="12:12">
      <c r="L534" s="134"/>
    </row>
    <row r="535" spans="12:12">
      <c r="L535" s="134"/>
    </row>
    <row r="536" spans="12:12">
      <c r="L536" s="134"/>
    </row>
    <row r="537" spans="12:12">
      <c r="L537" s="134"/>
    </row>
    <row r="538" spans="12:12">
      <c r="L538" s="134"/>
    </row>
    <row r="539" spans="12:12">
      <c r="L539" s="134"/>
    </row>
    <row r="540" spans="12:12">
      <c r="L540" s="134"/>
    </row>
    <row r="541" spans="12:12">
      <c r="L541" s="134"/>
    </row>
    <row r="542" spans="12:12">
      <c r="L542" s="134"/>
    </row>
    <row r="543" spans="12:12">
      <c r="L543" s="134"/>
    </row>
    <row r="544" spans="12:12">
      <c r="L544" s="134"/>
    </row>
    <row r="545" spans="12:12">
      <c r="L545" s="134"/>
    </row>
    <row r="546" spans="12:12">
      <c r="L546" s="134"/>
    </row>
    <row r="547" spans="12:12">
      <c r="L547" s="134"/>
    </row>
    <row r="548" spans="12:12">
      <c r="L548" s="134"/>
    </row>
    <row r="549" spans="12:12">
      <c r="L549" s="134"/>
    </row>
    <row r="550" spans="12:12">
      <c r="L550" s="134"/>
    </row>
    <row r="551" spans="12:12">
      <c r="L551" s="134"/>
    </row>
    <row r="552" spans="12:12">
      <c r="L552" s="134"/>
    </row>
    <row r="553" spans="12:12">
      <c r="L553" s="134"/>
    </row>
    <row r="554" spans="12:12">
      <c r="L554" s="134"/>
    </row>
    <row r="555" spans="12:12">
      <c r="L555" s="134"/>
    </row>
    <row r="556" spans="12:12">
      <c r="L556" s="134"/>
    </row>
    <row r="557" spans="12:12">
      <c r="L557" s="134"/>
    </row>
    <row r="558" spans="12:12">
      <c r="L558" s="134"/>
    </row>
    <row r="559" spans="12:12">
      <c r="L559" s="134"/>
    </row>
    <row r="560" spans="12:12">
      <c r="L560" s="134"/>
    </row>
    <row r="561" spans="12:12">
      <c r="L561" s="134"/>
    </row>
    <row r="562" spans="12:12">
      <c r="L562" s="134"/>
    </row>
    <row r="563" spans="12:12">
      <c r="L563" s="134"/>
    </row>
    <row r="564" spans="12:12">
      <c r="L564" s="134"/>
    </row>
    <row r="565" spans="12:12">
      <c r="L565" s="134"/>
    </row>
    <row r="566" spans="12:12">
      <c r="L566" s="134"/>
    </row>
    <row r="567" spans="12:12">
      <c r="L567" s="134"/>
    </row>
    <row r="568" spans="12:12">
      <c r="L568" s="134"/>
    </row>
    <row r="569" spans="12:12">
      <c r="L569" s="134"/>
    </row>
    <row r="570" spans="12:12">
      <c r="L570" s="134"/>
    </row>
    <row r="571" spans="12:12">
      <c r="L571" s="134"/>
    </row>
    <row r="572" spans="12:12">
      <c r="L572" s="134"/>
    </row>
    <row r="573" spans="12:12">
      <c r="L573" s="134"/>
    </row>
    <row r="574" spans="12:12">
      <c r="L574" s="134"/>
    </row>
    <row r="575" spans="12:12">
      <c r="L575" s="134"/>
    </row>
    <row r="576" spans="12:12">
      <c r="L576" s="134"/>
    </row>
    <row r="577" spans="12:12">
      <c r="L577" s="134"/>
    </row>
    <row r="578" spans="12:12">
      <c r="L578" s="134"/>
    </row>
    <row r="579" spans="12:12">
      <c r="L579" s="134"/>
    </row>
    <row r="580" spans="12:12">
      <c r="L580" s="134"/>
    </row>
    <row r="581" spans="12:12">
      <c r="L581" s="134"/>
    </row>
    <row r="582" spans="12:12">
      <c r="L582" s="134"/>
    </row>
    <row r="583" spans="12:12">
      <c r="L583" s="134"/>
    </row>
    <row r="584" spans="12:12">
      <c r="L584" s="134"/>
    </row>
    <row r="585" spans="12:12">
      <c r="L585" s="134"/>
    </row>
    <row r="586" spans="12:12">
      <c r="L586" s="134"/>
    </row>
    <row r="587" spans="12:12">
      <c r="L587" s="134"/>
    </row>
    <row r="588" spans="12:12">
      <c r="L588" s="134"/>
    </row>
    <row r="589" spans="12:12">
      <c r="L589" s="134"/>
    </row>
    <row r="590" spans="12:12">
      <c r="L590" s="134"/>
    </row>
    <row r="591" spans="12:12">
      <c r="L591" s="134"/>
    </row>
    <row r="592" spans="12:12">
      <c r="L592" s="134"/>
    </row>
    <row r="593" spans="12:12">
      <c r="L593" s="134"/>
    </row>
    <row r="594" spans="12:12">
      <c r="L594" s="134"/>
    </row>
    <row r="595" spans="12:12">
      <c r="L595" s="134"/>
    </row>
    <row r="596" spans="12:12">
      <c r="L596" s="134"/>
    </row>
    <row r="597" spans="12:12">
      <c r="L597" s="134"/>
    </row>
    <row r="598" spans="12:12">
      <c r="L598" s="134"/>
    </row>
    <row r="599" spans="12:12">
      <c r="L599" s="134"/>
    </row>
    <row r="600" spans="12:12">
      <c r="L600" s="134"/>
    </row>
    <row r="601" spans="12:12">
      <c r="L601" s="134"/>
    </row>
    <row r="602" spans="12:12">
      <c r="L602" s="134"/>
    </row>
    <row r="603" spans="12:12">
      <c r="L603" s="134"/>
    </row>
    <row r="604" spans="12:12">
      <c r="L604" s="134"/>
    </row>
    <row r="605" spans="12:12">
      <c r="L605" s="134"/>
    </row>
    <row r="606" spans="12:12">
      <c r="L606" s="134"/>
    </row>
    <row r="607" spans="12:12">
      <c r="L607" s="134"/>
    </row>
    <row r="608" spans="12:12">
      <c r="L608" s="134"/>
    </row>
    <row r="609" spans="12:12">
      <c r="L609" s="134"/>
    </row>
    <row r="610" spans="12:12">
      <c r="L610" s="134"/>
    </row>
    <row r="611" spans="12:12">
      <c r="L611" s="134"/>
    </row>
    <row r="612" spans="12:12">
      <c r="L612" s="134"/>
    </row>
    <row r="613" spans="12:12">
      <c r="L613" s="134"/>
    </row>
    <row r="614" spans="12:12">
      <c r="L614" s="134"/>
    </row>
    <row r="615" spans="12:12">
      <c r="L615" s="134"/>
    </row>
    <row r="616" spans="12:12">
      <c r="L616" s="134"/>
    </row>
    <row r="617" spans="12:12">
      <c r="L617" s="134"/>
    </row>
    <row r="618" spans="12:12">
      <c r="L618" s="134"/>
    </row>
    <row r="619" spans="12:12">
      <c r="L619" s="134"/>
    </row>
    <row r="620" spans="12:12">
      <c r="L620" s="134"/>
    </row>
    <row r="621" spans="12:12">
      <c r="L621" s="134"/>
    </row>
    <row r="622" spans="12:12">
      <c r="L622" s="134"/>
    </row>
    <row r="623" spans="12:12">
      <c r="L623" s="134"/>
    </row>
    <row r="624" spans="12:12">
      <c r="L624" s="134"/>
    </row>
    <row r="625" spans="12:12">
      <c r="L625" s="134"/>
    </row>
    <row r="626" spans="12:12">
      <c r="L626" s="134"/>
    </row>
    <row r="627" spans="12:12">
      <c r="L627" s="134"/>
    </row>
    <row r="628" spans="12:12">
      <c r="L628" s="134"/>
    </row>
    <row r="629" spans="12:12">
      <c r="L629" s="134"/>
    </row>
    <row r="630" spans="12:12">
      <c r="L630" s="134"/>
    </row>
    <row r="631" spans="12:12">
      <c r="L631" s="134"/>
    </row>
    <row r="632" spans="12:12">
      <c r="L632" s="134"/>
    </row>
    <row r="633" spans="12:12">
      <c r="L633" s="134"/>
    </row>
    <row r="634" spans="12:12">
      <c r="L634" s="134"/>
    </row>
    <row r="635" spans="12:12">
      <c r="L635" s="134"/>
    </row>
    <row r="636" spans="12:12">
      <c r="L636" s="134"/>
    </row>
    <row r="637" spans="12:12">
      <c r="L637" s="134"/>
    </row>
    <row r="638" spans="12:12">
      <c r="L638" s="134"/>
    </row>
    <row r="639" spans="12:12">
      <c r="L639" s="134"/>
    </row>
    <row r="640" spans="12:12">
      <c r="L640" s="134"/>
    </row>
    <row r="641" spans="12:12">
      <c r="L641" s="134"/>
    </row>
    <row r="642" spans="12:12">
      <c r="L642" s="134"/>
    </row>
    <row r="643" spans="12:12">
      <c r="L643" s="134"/>
    </row>
    <row r="644" spans="12:12">
      <c r="L644" s="134"/>
    </row>
    <row r="645" spans="12:12">
      <c r="L645" s="134"/>
    </row>
    <row r="646" spans="12:12">
      <c r="L646" s="134"/>
    </row>
    <row r="647" spans="12:12">
      <c r="L647" s="134"/>
    </row>
    <row r="648" spans="12:12">
      <c r="L648" s="134"/>
    </row>
    <row r="649" spans="12:12">
      <c r="L649" s="134"/>
    </row>
    <row r="650" spans="12:12">
      <c r="L650" s="134"/>
    </row>
    <row r="651" spans="12:12">
      <c r="L651" s="134"/>
    </row>
    <row r="652" spans="12:12">
      <c r="L652" s="134"/>
    </row>
    <row r="653" spans="12:12">
      <c r="L653" s="134"/>
    </row>
    <row r="654" spans="12:12">
      <c r="L654" s="134"/>
    </row>
    <row r="655" spans="12:12">
      <c r="L655" s="134"/>
    </row>
    <row r="656" spans="12:12">
      <c r="L656" s="134"/>
    </row>
    <row r="657" spans="12:12">
      <c r="L657" s="134"/>
    </row>
    <row r="658" spans="12:12">
      <c r="L658" s="134"/>
    </row>
    <row r="659" spans="12:12">
      <c r="L659" s="134"/>
    </row>
    <row r="660" spans="12:12">
      <c r="L660" s="134"/>
    </row>
    <row r="661" spans="12:12">
      <c r="L661" s="134"/>
    </row>
    <row r="662" spans="12:12">
      <c r="L662" s="134"/>
    </row>
    <row r="663" spans="12:12">
      <c r="L663" s="134"/>
    </row>
    <row r="664" spans="12:12">
      <c r="L664" s="134"/>
    </row>
    <row r="665" spans="12:12">
      <c r="L665" s="134"/>
    </row>
    <row r="666" spans="12:12">
      <c r="L666" s="134"/>
    </row>
    <row r="667" spans="12:12">
      <c r="L667" s="134"/>
    </row>
    <row r="668" spans="12:12">
      <c r="L668" s="134"/>
    </row>
    <row r="669" spans="12:12">
      <c r="L669" s="134"/>
    </row>
    <row r="670" spans="12:12">
      <c r="L670" s="134"/>
    </row>
    <row r="671" spans="12:12">
      <c r="L671" s="134"/>
    </row>
    <row r="672" spans="12:12">
      <c r="L672" s="134"/>
    </row>
    <row r="673" spans="12:12">
      <c r="L673" s="134"/>
    </row>
    <row r="674" spans="12:12">
      <c r="L674" s="134"/>
    </row>
    <row r="675" spans="12:12">
      <c r="L675" s="134"/>
    </row>
    <row r="676" spans="12:12">
      <c r="L676" s="134"/>
    </row>
    <row r="677" spans="12:12">
      <c r="L677" s="134"/>
    </row>
    <row r="678" spans="12:12">
      <c r="L678" s="134"/>
    </row>
    <row r="679" spans="12:12">
      <c r="L679" s="134"/>
    </row>
    <row r="680" spans="12:12">
      <c r="L680" s="134"/>
    </row>
    <row r="681" spans="12:12">
      <c r="L681" s="134"/>
    </row>
    <row r="682" spans="12:12">
      <c r="L682" s="134"/>
    </row>
    <row r="683" spans="12:12">
      <c r="L683" s="134"/>
    </row>
    <row r="684" spans="12:12">
      <c r="L684" s="134"/>
    </row>
    <row r="685" spans="12:12">
      <c r="L685" s="134"/>
    </row>
    <row r="686" spans="12:12">
      <c r="L686" s="134"/>
    </row>
    <row r="687" spans="12:12">
      <c r="L687" s="134"/>
    </row>
    <row r="688" spans="12:12">
      <c r="L688" s="134"/>
    </row>
    <row r="689" spans="12:12">
      <c r="L689" s="134"/>
    </row>
    <row r="690" spans="12:12">
      <c r="L690" s="134"/>
    </row>
    <row r="691" spans="12:12">
      <c r="L691" s="134"/>
    </row>
    <row r="692" spans="12:12">
      <c r="L692" s="134"/>
    </row>
    <row r="693" spans="12:12">
      <c r="L693" s="134"/>
    </row>
    <row r="694" spans="12:12">
      <c r="L694" s="134"/>
    </row>
    <row r="695" spans="12:12">
      <c r="L695" s="134"/>
    </row>
    <row r="696" spans="12:12">
      <c r="L696" s="134"/>
    </row>
    <row r="697" spans="12:12">
      <c r="L697" s="134"/>
    </row>
    <row r="698" spans="12:12">
      <c r="L698" s="134"/>
    </row>
    <row r="699" spans="12:12">
      <c r="L699" s="134"/>
    </row>
    <row r="700" spans="12:12">
      <c r="L700" s="134"/>
    </row>
    <row r="701" spans="12:12">
      <c r="L701" s="134"/>
    </row>
    <row r="702" spans="12:12">
      <c r="L702" s="134"/>
    </row>
    <row r="703" spans="12:12">
      <c r="L703" s="134"/>
    </row>
    <row r="704" spans="12:12">
      <c r="L704" s="134"/>
    </row>
    <row r="705" spans="12:12">
      <c r="L705" s="134"/>
    </row>
    <row r="706" spans="12:12">
      <c r="L706" s="134"/>
    </row>
    <row r="707" spans="12:12">
      <c r="L707" s="134"/>
    </row>
    <row r="708" spans="12:12">
      <c r="L708" s="134"/>
    </row>
    <row r="709" spans="12:12">
      <c r="L709" s="134"/>
    </row>
    <row r="710" spans="12:12">
      <c r="L710" s="134"/>
    </row>
    <row r="711" spans="12:12">
      <c r="L711" s="134"/>
    </row>
    <row r="712" spans="12:12">
      <c r="L712" s="134"/>
    </row>
    <row r="713" spans="12:12">
      <c r="L713" s="134"/>
    </row>
    <row r="714" spans="12:12">
      <c r="L714" s="134"/>
    </row>
    <row r="715" spans="12:12">
      <c r="L715" s="134"/>
    </row>
    <row r="716" spans="12:12">
      <c r="L716" s="134"/>
    </row>
    <row r="717" spans="12:12">
      <c r="L717" s="134"/>
    </row>
    <row r="718" spans="12:12">
      <c r="L718" s="134"/>
    </row>
    <row r="719" spans="12:12">
      <c r="L719" s="134"/>
    </row>
    <row r="720" spans="12:12">
      <c r="L720" s="134"/>
    </row>
    <row r="721" spans="12:12">
      <c r="L721" s="134"/>
    </row>
    <row r="722" spans="12:12">
      <c r="L722" s="134"/>
    </row>
    <row r="723" spans="12:12">
      <c r="L723" s="134"/>
    </row>
    <row r="724" spans="12:12">
      <c r="L724" s="134"/>
    </row>
    <row r="725" spans="12:12">
      <c r="L725" s="134"/>
    </row>
    <row r="726" spans="12:12">
      <c r="L726" s="134"/>
    </row>
    <row r="727" spans="12:12">
      <c r="L727" s="134"/>
    </row>
    <row r="728" spans="12:12">
      <c r="L728" s="134"/>
    </row>
    <row r="729" spans="12:12">
      <c r="L729" s="134"/>
    </row>
    <row r="730" spans="12:12">
      <c r="L730" s="134"/>
    </row>
    <row r="731" spans="12:12">
      <c r="L731" s="134"/>
    </row>
    <row r="732" spans="12:12">
      <c r="L732" s="134"/>
    </row>
    <row r="733" spans="12:12">
      <c r="L733" s="134"/>
    </row>
    <row r="734" spans="12:12">
      <c r="L734" s="134"/>
    </row>
    <row r="735" spans="12:12">
      <c r="L735" s="134"/>
    </row>
    <row r="736" spans="12:12">
      <c r="L736" s="134"/>
    </row>
    <row r="737" spans="12:12">
      <c r="L737" s="134"/>
    </row>
    <row r="738" spans="12:12">
      <c r="L738" s="134"/>
    </row>
    <row r="739" spans="12:12">
      <c r="L739" s="134"/>
    </row>
    <row r="740" spans="12:12">
      <c r="L740" s="134"/>
    </row>
    <row r="741" spans="12:12">
      <c r="L741" s="134"/>
    </row>
    <row r="742" spans="12:12">
      <c r="L742" s="134"/>
    </row>
    <row r="743" spans="12:12">
      <c r="L743" s="134"/>
    </row>
    <row r="744" spans="12:12">
      <c r="L744" s="134"/>
    </row>
    <row r="745" spans="12:12">
      <c r="L745" s="134"/>
    </row>
    <row r="746" spans="12:12">
      <c r="L746" s="134"/>
    </row>
    <row r="747" spans="12:12">
      <c r="L747" s="134"/>
    </row>
    <row r="748" spans="12:12">
      <c r="L748" s="134"/>
    </row>
    <row r="749" spans="12:12">
      <c r="L749" s="134"/>
    </row>
    <row r="750" spans="12:12">
      <c r="L750" s="134"/>
    </row>
    <row r="751" spans="12:12">
      <c r="L751" s="134"/>
    </row>
    <row r="752" spans="12:12">
      <c r="L752" s="134"/>
    </row>
    <row r="753" spans="12:12">
      <c r="L753" s="134"/>
    </row>
    <row r="754" spans="12:12">
      <c r="L754" s="134"/>
    </row>
    <row r="755" spans="12:12">
      <c r="L755" s="134"/>
    </row>
    <row r="756" spans="12:12">
      <c r="L756" s="134"/>
    </row>
    <row r="757" spans="12:12">
      <c r="L757" s="134"/>
    </row>
    <row r="758" spans="12:12">
      <c r="L758" s="134"/>
    </row>
    <row r="759" spans="12:12">
      <c r="L759" s="134"/>
    </row>
    <row r="760" spans="12:12">
      <c r="L760" s="134"/>
    </row>
    <row r="761" spans="12:12">
      <c r="L761" s="134"/>
    </row>
    <row r="762" spans="12:12">
      <c r="L762" s="134"/>
    </row>
    <row r="763" spans="12:12">
      <c r="L763" s="134"/>
    </row>
    <row r="764" spans="12:12">
      <c r="L764" s="134"/>
    </row>
    <row r="765" spans="12:12">
      <c r="L765" s="134"/>
    </row>
    <row r="766" spans="12:12">
      <c r="L766" s="134"/>
    </row>
    <row r="767" spans="12:12">
      <c r="L767" s="134"/>
    </row>
    <row r="768" spans="12:12">
      <c r="L768" s="134"/>
    </row>
    <row r="769" spans="12:12">
      <c r="L769" s="134"/>
    </row>
    <row r="770" spans="12:12">
      <c r="L770" s="134"/>
    </row>
    <row r="771" spans="12:12">
      <c r="L771" s="134"/>
    </row>
    <row r="772" spans="12:12">
      <c r="L772" s="134"/>
    </row>
    <row r="773" spans="12:12">
      <c r="L773" s="134"/>
    </row>
    <row r="774" spans="12:12">
      <c r="L774" s="134"/>
    </row>
    <row r="775" spans="12:12">
      <c r="L775" s="134"/>
    </row>
    <row r="776" spans="12:12">
      <c r="L776" s="134"/>
    </row>
    <row r="777" spans="12:12">
      <c r="L777" s="134"/>
    </row>
    <row r="778" spans="12:12">
      <c r="L778" s="134"/>
    </row>
    <row r="779" spans="12:12">
      <c r="L779" s="134"/>
    </row>
    <row r="780" spans="12:12">
      <c r="L780" s="134"/>
    </row>
    <row r="781" spans="12:12">
      <c r="L781" s="134"/>
    </row>
    <row r="782" spans="12:12">
      <c r="L782" s="134"/>
    </row>
    <row r="783" spans="12:12">
      <c r="L783" s="134"/>
    </row>
    <row r="784" spans="12:12">
      <c r="L784" s="134"/>
    </row>
    <row r="785" spans="12:12">
      <c r="L785" s="134"/>
    </row>
    <row r="786" spans="12:12">
      <c r="L786" s="134"/>
    </row>
    <row r="787" spans="12:12">
      <c r="L787" s="134"/>
    </row>
    <row r="788" spans="12:12">
      <c r="L788" s="134"/>
    </row>
    <row r="789" spans="12:12">
      <c r="L789" s="134"/>
    </row>
    <row r="790" spans="12:12">
      <c r="L790" s="134"/>
    </row>
    <row r="791" spans="12:12">
      <c r="L791" s="134"/>
    </row>
    <row r="792" spans="12:12">
      <c r="L792" s="134"/>
    </row>
    <row r="793" spans="12:12">
      <c r="L793" s="134"/>
    </row>
    <row r="794" spans="12:12">
      <c r="L794" s="134"/>
    </row>
    <row r="795" spans="12:12">
      <c r="L795" s="134"/>
    </row>
    <row r="796" spans="12:12">
      <c r="L796" s="134"/>
    </row>
    <row r="797" spans="12:12">
      <c r="L797" s="134"/>
    </row>
    <row r="798" spans="12:12">
      <c r="L798" s="134"/>
    </row>
    <row r="799" spans="12:12">
      <c r="L799" s="134"/>
    </row>
    <row r="800" spans="12:12">
      <c r="L800" s="134"/>
    </row>
    <row r="801" spans="12:12">
      <c r="L801" s="134"/>
    </row>
    <row r="802" spans="12:12">
      <c r="L802" s="134"/>
    </row>
    <row r="803" spans="12:12">
      <c r="L803" s="134"/>
    </row>
    <row r="804" spans="12:12">
      <c r="L804" s="134"/>
    </row>
    <row r="805" spans="12:12">
      <c r="L805" s="134"/>
    </row>
    <row r="806" spans="12:12">
      <c r="L806" s="134"/>
    </row>
    <row r="807" spans="12:12">
      <c r="L807" s="134"/>
    </row>
    <row r="808" spans="12:12">
      <c r="L808" s="134"/>
    </row>
    <row r="809" spans="12:12">
      <c r="L809" s="134"/>
    </row>
    <row r="810" spans="12:12">
      <c r="L810" s="134"/>
    </row>
    <row r="811" spans="12:12">
      <c r="L811" s="134"/>
    </row>
    <row r="812" spans="12:12">
      <c r="L812" s="134"/>
    </row>
    <row r="813" spans="12:12">
      <c r="L813" s="134"/>
    </row>
    <row r="814" spans="12:12">
      <c r="L814" s="134"/>
    </row>
    <row r="815" spans="12:12">
      <c r="L815" s="134"/>
    </row>
    <row r="816" spans="12:12">
      <c r="L816" s="134"/>
    </row>
    <row r="817" spans="12:12">
      <c r="L817" s="134"/>
    </row>
    <row r="818" spans="12:12">
      <c r="L818" s="134"/>
    </row>
    <row r="819" spans="12:12">
      <c r="L819" s="134"/>
    </row>
    <row r="820" spans="12:12">
      <c r="L820" s="134"/>
    </row>
    <row r="821" spans="12:12">
      <c r="L821" s="134"/>
    </row>
    <row r="822" spans="12:12">
      <c r="L822" s="134"/>
    </row>
    <row r="823" spans="12:12">
      <c r="L823" s="134"/>
    </row>
    <row r="824" spans="12:12">
      <c r="L824" s="134"/>
    </row>
  </sheetData>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B9:Q187"/>
  <sheetViews>
    <sheetView showGridLines="0" showRowColHeaders="0" workbookViewId="0">
      <selection activeCell="C81" sqref="C81"/>
    </sheetView>
  </sheetViews>
  <sheetFormatPr baseColWidth="10" defaultColWidth="8.83203125" defaultRowHeight="15"/>
  <cols>
    <col min="1" max="1" width="3.1640625" customWidth="1"/>
    <col min="2" max="2" width="4" customWidth="1"/>
    <col min="7" max="7" width="94.33203125" customWidth="1"/>
    <col min="11" max="11" width="38.5" customWidth="1"/>
    <col min="16" max="16" width="3.33203125" customWidth="1"/>
  </cols>
  <sheetData>
    <row r="9" spans="3:11" ht="18">
      <c r="C9" s="335" t="s">
        <v>130</v>
      </c>
      <c r="D9" s="335"/>
      <c r="E9" s="335"/>
      <c r="F9" s="335"/>
      <c r="G9" s="335"/>
      <c r="H9" s="335"/>
      <c r="I9" s="335"/>
    </row>
    <row r="11" spans="3:11">
      <c r="C11" s="336" t="s">
        <v>131</v>
      </c>
      <c r="D11" s="336"/>
      <c r="E11" s="336"/>
      <c r="F11" s="336"/>
      <c r="G11" s="336"/>
      <c r="H11" s="336"/>
      <c r="I11" s="336"/>
      <c r="J11" s="336"/>
      <c r="K11" s="336"/>
    </row>
    <row r="12" spans="3:11">
      <c r="C12" s="336" t="s">
        <v>132</v>
      </c>
      <c r="D12" s="336"/>
      <c r="E12" s="336"/>
      <c r="F12" s="336"/>
      <c r="G12" s="336"/>
      <c r="H12" s="336"/>
      <c r="I12" s="336"/>
    </row>
    <row r="14" spans="3:11">
      <c r="C14" s="337" t="s">
        <v>133</v>
      </c>
      <c r="D14" s="337"/>
      <c r="E14" s="337"/>
      <c r="F14" s="337"/>
      <c r="G14" s="337"/>
      <c r="H14" s="337"/>
      <c r="I14" s="337"/>
      <c r="J14" s="337"/>
      <c r="K14" s="337"/>
    </row>
    <row r="15" spans="3:11">
      <c r="C15" s="336" t="s">
        <v>258</v>
      </c>
      <c r="D15" s="336"/>
      <c r="E15" s="336"/>
      <c r="F15" s="336"/>
      <c r="G15" s="336"/>
      <c r="H15" s="336"/>
      <c r="I15" s="336"/>
      <c r="J15" s="336"/>
      <c r="K15" s="336"/>
    </row>
    <row r="17" spans="2:12">
      <c r="C17" s="11" t="s">
        <v>134</v>
      </c>
      <c r="D17" s="11"/>
      <c r="E17" s="11"/>
      <c r="F17" s="11"/>
      <c r="G17" s="11"/>
      <c r="H17" s="11"/>
      <c r="I17" s="11"/>
      <c r="J17" s="11"/>
    </row>
    <row r="18" spans="2:12">
      <c r="C18" s="11" t="s">
        <v>135</v>
      </c>
      <c r="D18" s="11"/>
      <c r="E18" s="11"/>
      <c r="F18" s="11"/>
      <c r="G18" s="11"/>
      <c r="H18" s="11"/>
      <c r="I18" s="11"/>
      <c r="J18" s="11"/>
      <c r="K18" s="11"/>
      <c r="L18" s="11"/>
    </row>
    <row r="19" spans="2:12" ht="16" thickBot="1">
      <c r="C19" s="8" t="s">
        <v>137</v>
      </c>
      <c r="D19" s="11" t="s">
        <v>136</v>
      </c>
      <c r="E19" s="11"/>
      <c r="K19" s="11"/>
      <c r="L19" s="11"/>
    </row>
    <row r="21" spans="2:12">
      <c r="C21" s="91" t="s">
        <v>259</v>
      </c>
      <c r="D21" s="91"/>
      <c r="E21" s="91"/>
      <c r="F21" s="91"/>
      <c r="G21" s="91"/>
      <c r="H21" s="91"/>
      <c r="I21" s="91"/>
      <c r="J21" s="91"/>
    </row>
    <row r="22" spans="2:12">
      <c r="C22" t="s">
        <v>138</v>
      </c>
      <c r="K22" s="91"/>
    </row>
    <row r="23" spans="2:12">
      <c r="C23" s="11" t="s">
        <v>139</v>
      </c>
      <c r="D23" s="11"/>
      <c r="E23" s="11"/>
      <c r="F23" s="11"/>
      <c r="G23" s="11"/>
      <c r="H23" s="11"/>
      <c r="I23" s="11"/>
      <c r="J23" s="11"/>
    </row>
    <row r="24" spans="2:12">
      <c r="C24" s="11" t="s">
        <v>140</v>
      </c>
      <c r="D24" s="11"/>
      <c r="E24" s="11"/>
      <c r="F24" s="11"/>
      <c r="G24" s="11"/>
      <c r="H24" s="11"/>
      <c r="I24" s="11"/>
      <c r="J24" s="11"/>
      <c r="K24" s="11"/>
      <c r="L24" s="11"/>
    </row>
    <row r="25" spans="2:12">
      <c r="C25" s="11"/>
      <c r="D25" s="11"/>
      <c r="E25" s="11"/>
      <c r="F25" s="11"/>
    </row>
    <row r="26" spans="2:12">
      <c r="C26" s="91" t="s">
        <v>141</v>
      </c>
      <c r="D26" s="91"/>
      <c r="E26" s="91"/>
      <c r="F26" s="91"/>
      <c r="G26" s="91"/>
      <c r="H26" s="91"/>
      <c r="I26" s="91"/>
      <c r="J26" s="91"/>
    </row>
    <row r="27" spans="2:12">
      <c r="C27" s="93" t="s">
        <v>142</v>
      </c>
      <c r="D27" s="91"/>
      <c r="E27" s="91"/>
      <c r="F27" s="91"/>
      <c r="G27" s="91"/>
      <c r="H27" s="91"/>
      <c r="I27" s="91"/>
      <c r="J27" s="91"/>
      <c r="K27" s="91"/>
      <c r="L27" s="91"/>
    </row>
    <row r="28" spans="2:12">
      <c r="C28" s="94" t="s">
        <v>143</v>
      </c>
      <c r="D28" s="95"/>
      <c r="E28" s="95"/>
      <c r="F28" s="95"/>
      <c r="G28" s="95"/>
      <c r="H28" s="95"/>
      <c r="I28" s="95"/>
      <c r="J28" s="95"/>
      <c r="K28" s="91"/>
    </row>
    <row r="29" spans="2:12">
      <c r="C29" s="17"/>
      <c r="D29" s="11"/>
      <c r="E29" s="11"/>
      <c r="F29" s="11"/>
      <c r="K29" s="95"/>
    </row>
    <row r="30" spans="2:12" ht="16" thickBot="1">
      <c r="B30" s="12"/>
      <c r="C30" s="12"/>
      <c r="D30" s="12"/>
      <c r="E30" s="12"/>
      <c r="F30" s="12"/>
      <c r="G30" s="12"/>
      <c r="H30" s="11"/>
    </row>
    <row r="32" spans="2:12" ht="18">
      <c r="B32" s="92" t="s">
        <v>144</v>
      </c>
      <c r="C32" s="92"/>
      <c r="D32" s="92"/>
    </row>
    <row r="34" spans="2:10">
      <c r="B34" s="13"/>
      <c r="C34" s="13"/>
      <c r="D34" s="13"/>
      <c r="E34" s="13"/>
      <c r="F34" s="13"/>
      <c r="G34" s="13"/>
      <c r="H34" s="13"/>
    </row>
    <row r="35" spans="2:10">
      <c r="B35" s="98" t="s">
        <v>172</v>
      </c>
      <c r="C35" s="98"/>
      <c r="D35" s="98"/>
      <c r="E35" s="98"/>
      <c r="F35" s="13"/>
      <c r="G35" s="13"/>
      <c r="H35" s="13"/>
      <c r="I35" s="16"/>
    </row>
    <row r="36" spans="2:10">
      <c r="B36" s="16" t="s">
        <v>145</v>
      </c>
      <c r="D36" s="16"/>
      <c r="E36" s="16"/>
      <c r="F36" s="16"/>
      <c r="G36" s="16"/>
      <c r="H36" s="16"/>
      <c r="I36" s="16"/>
    </row>
    <row r="37" spans="2:10">
      <c r="B37" s="16" t="s">
        <v>147</v>
      </c>
      <c r="C37" s="16"/>
      <c r="D37" s="16"/>
      <c r="E37" s="16"/>
      <c r="F37" s="16"/>
      <c r="G37" s="16"/>
      <c r="H37" s="16"/>
    </row>
    <row r="38" spans="2:10">
      <c r="B38" s="99" t="s">
        <v>146</v>
      </c>
      <c r="C38" s="16"/>
      <c r="D38" s="16"/>
      <c r="E38" s="16"/>
      <c r="F38" s="16"/>
      <c r="G38" s="16"/>
      <c r="H38" s="16"/>
    </row>
    <row r="39" spans="2:10">
      <c r="B39" s="16"/>
      <c r="D39" s="16"/>
      <c r="E39" s="16"/>
      <c r="F39" s="16"/>
      <c r="G39" s="16"/>
      <c r="H39" s="16"/>
    </row>
    <row r="40" spans="2:10">
      <c r="B40" s="16"/>
      <c r="C40" s="16"/>
      <c r="D40" s="16"/>
      <c r="E40" s="16"/>
      <c r="F40" s="16"/>
      <c r="G40" s="16"/>
      <c r="H40" s="16"/>
    </row>
    <row r="41" spans="2:10">
      <c r="B41" s="16"/>
      <c r="C41" s="16"/>
      <c r="D41" s="16"/>
      <c r="E41" s="16"/>
      <c r="F41" s="16"/>
      <c r="G41" s="16"/>
      <c r="H41" s="16"/>
    </row>
    <row r="42" spans="2:10">
      <c r="B42" s="16"/>
      <c r="C42" s="16"/>
      <c r="D42" s="16"/>
      <c r="E42" s="16"/>
      <c r="F42" s="16"/>
      <c r="G42" s="16"/>
      <c r="H42" s="16"/>
      <c r="I42" s="10"/>
    </row>
    <row r="43" spans="2:10">
      <c r="B43" s="16"/>
      <c r="C43" s="16"/>
      <c r="D43" s="16"/>
      <c r="E43" s="16"/>
      <c r="F43" s="16"/>
      <c r="G43" s="16"/>
      <c r="H43" s="16"/>
      <c r="I43" s="90"/>
    </row>
    <row r="44" spans="2:10">
      <c r="B44" s="103" t="s">
        <v>152</v>
      </c>
      <c r="C44" s="103"/>
      <c r="D44" s="103"/>
      <c r="E44" s="103"/>
      <c r="F44" s="103"/>
      <c r="G44" s="103"/>
      <c r="H44" s="104"/>
      <c r="I44" s="90"/>
    </row>
    <row r="45" spans="2:10">
      <c r="B45" s="103" t="s">
        <v>153</v>
      </c>
      <c r="C45" s="103"/>
      <c r="D45" s="103"/>
      <c r="E45" s="103"/>
      <c r="F45" s="103"/>
      <c r="G45" s="103"/>
      <c r="H45" s="103"/>
      <c r="I45" s="90"/>
    </row>
    <row r="46" spans="2:10">
      <c r="B46" s="103" t="s">
        <v>154</v>
      </c>
      <c r="C46" s="103"/>
      <c r="D46" s="103"/>
      <c r="E46" s="103"/>
      <c r="F46" s="103"/>
      <c r="G46" s="103"/>
      <c r="H46" s="103"/>
      <c r="I46" s="90"/>
    </row>
    <row r="47" spans="2:10">
      <c r="B47" s="103" t="s">
        <v>155</v>
      </c>
      <c r="C47" s="103"/>
      <c r="D47" s="103"/>
      <c r="E47" s="103"/>
      <c r="F47" s="103"/>
      <c r="G47" s="103"/>
      <c r="H47" s="103"/>
      <c r="I47" s="10"/>
    </row>
    <row r="48" spans="2:10">
      <c r="B48" s="103" t="s">
        <v>156</v>
      </c>
      <c r="C48" s="103"/>
      <c r="D48" s="103"/>
      <c r="E48" s="103"/>
      <c r="F48" s="103"/>
      <c r="G48" s="103"/>
      <c r="H48" s="103"/>
      <c r="I48" s="10"/>
      <c r="J48" s="16"/>
    </row>
    <row r="49" spans="2:11">
      <c r="B49" s="103" t="s">
        <v>157</v>
      </c>
      <c r="C49" s="103"/>
      <c r="D49" s="103"/>
      <c r="E49" s="103"/>
      <c r="F49" s="103"/>
      <c r="G49" s="103"/>
      <c r="H49" s="103"/>
      <c r="I49" s="10"/>
      <c r="J49" s="16"/>
      <c r="K49" s="16"/>
    </row>
    <row r="50" spans="2:11">
      <c r="B50" s="103" t="s">
        <v>158</v>
      </c>
      <c r="C50" s="103"/>
      <c r="D50" s="103"/>
      <c r="E50" s="103"/>
      <c r="F50" s="103"/>
      <c r="G50" s="103"/>
      <c r="H50" s="103"/>
      <c r="I50" s="10"/>
      <c r="K50" s="16"/>
    </row>
    <row r="51" spans="2:11">
      <c r="B51" s="103" t="s">
        <v>159</v>
      </c>
      <c r="C51" s="103"/>
      <c r="D51" s="103"/>
      <c r="E51" s="103"/>
      <c r="F51" s="103"/>
      <c r="G51" s="103"/>
      <c r="H51" s="104"/>
      <c r="I51" s="10"/>
    </row>
    <row r="52" spans="2:11">
      <c r="B52" s="103" t="s">
        <v>160</v>
      </c>
      <c r="C52" s="103"/>
      <c r="D52" s="103"/>
      <c r="E52" s="103"/>
      <c r="F52" s="103"/>
      <c r="G52" s="103"/>
      <c r="H52" s="103"/>
      <c r="I52" s="10"/>
    </row>
    <row r="53" spans="2:11">
      <c r="B53" s="103" t="s">
        <v>161</v>
      </c>
      <c r="C53" s="103"/>
      <c r="D53" s="103"/>
      <c r="E53" s="103"/>
      <c r="F53" s="103"/>
      <c r="G53" s="104"/>
      <c r="H53" s="104"/>
      <c r="I53" s="10"/>
    </row>
    <row r="54" spans="2:11">
      <c r="B54" s="103" t="s">
        <v>162</v>
      </c>
      <c r="C54" s="103"/>
      <c r="D54" s="103"/>
      <c r="E54" s="103"/>
      <c r="F54" s="103"/>
      <c r="G54" s="103"/>
      <c r="H54" s="103"/>
      <c r="I54" s="10"/>
    </row>
    <row r="55" spans="2:11">
      <c r="B55" s="103" t="s">
        <v>163</v>
      </c>
      <c r="C55" s="103"/>
      <c r="D55" s="103"/>
      <c r="E55" s="103"/>
      <c r="F55" s="103"/>
      <c r="G55" s="103"/>
      <c r="H55" s="103"/>
      <c r="I55" s="10"/>
      <c r="J55" s="10"/>
    </row>
    <row r="56" spans="2:11">
      <c r="B56" s="103" t="s">
        <v>164</v>
      </c>
      <c r="C56" s="103"/>
      <c r="D56" s="103"/>
      <c r="E56" s="103"/>
      <c r="F56" s="103"/>
      <c r="G56" s="103"/>
      <c r="H56" s="103"/>
      <c r="I56" s="10"/>
      <c r="J56" s="90"/>
      <c r="K56" s="10"/>
    </row>
    <row r="57" spans="2:11">
      <c r="B57" s="103" t="s">
        <v>166</v>
      </c>
      <c r="C57" s="103"/>
      <c r="D57" s="103"/>
      <c r="E57" s="103"/>
      <c r="F57" s="103"/>
      <c r="G57" s="103"/>
      <c r="H57" s="103"/>
      <c r="I57" s="10"/>
      <c r="J57" s="90"/>
      <c r="K57" s="90"/>
    </row>
    <row r="58" spans="2:11">
      <c r="B58" s="103" t="s">
        <v>165</v>
      </c>
      <c r="C58" s="103"/>
      <c r="D58" s="103"/>
      <c r="E58" s="103"/>
      <c r="F58" s="103"/>
      <c r="G58" s="103"/>
      <c r="H58" s="103"/>
      <c r="I58" s="10"/>
      <c r="J58" s="90"/>
      <c r="K58" s="10"/>
    </row>
    <row r="59" spans="2:11">
      <c r="B59" s="103" t="s">
        <v>167</v>
      </c>
      <c r="C59" s="103"/>
      <c r="D59" s="103"/>
      <c r="E59" s="103"/>
      <c r="F59" s="103"/>
      <c r="G59" s="103"/>
      <c r="H59" s="103"/>
      <c r="I59" s="10"/>
      <c r="J59" s="90"/>
      <c r="K59" s="10"/>
    </row>
    <row r="60" spans="2:11">
      <c r="B60" s="103" t="s">
        <v>168</v>
      </c>
      <c r="C60" s="103"/>
      <c r="D60" s="103"/>
      <c r="E60" s="103"/>
      <c r="F60" s="103"/>
      <c r="G60" s="103"/>
      <c r="H60" s="103"/>
      <c r="I60" s="10"/>
      <c r="J60" s="10"/>
      <c r="K60" s="10"/>
    </row>
    <row r="61" spans="2:11">
      <c r="B61" s="103" t="s">
        <v>169</v>
      </c>
      <c r="C61" s="103"/>
      <c r="D61" s="103"/>
      <c r="E61" s="103"/>
      <c r="F61" s="103"/>
      <c r="G61" s="103"/>
      <c r="H61" s="103"/>
      <c r="I61" s="10"/>
      <c r="J61" s="10"/>
      <c r="K61" s="10"/>
    </row>
    <row r="62" spans="2:11">
      <c r="B62" s="103" t="s">
        <v>170</v>
      </c>
      <c r="C62" s="103"/>
      <c r="D62" s="103"/>
      <c r="E62" s="103"/>
      <c r="F62" s="103"/>
      <c r="G62" s="103"/>
      <c r="H62" s="103"/>
      <c r="I62" s="10"/>
      <c r="J62" s="10"/>
      <c r="K62" s="10"/>
    </row>
    <row r="63" spans="2:11">
      <c r="I63" s="10"/>
      <c r="J63" s="10"/>
      <c r="K63" s="10"/>
    </row>
    <row r="64" spans="2:11">
      <c r="B64" s="98" t="s">
        <v>171</v>
      </c>
      <c r="C64" s="88"/>
      <c r="D64" s="88"/>
      <c r="E64" s="88"/>
      <c r="J64" s="10"/>
      <c r="K64" s="10"/>
    </row>
    <row r="65" spans="2:17">
      <c r="B65" s="16" t="s">
        <v>173</v>
      </c>
      <c r="C65" s="16"/>
      <c r="D65" s="16"/>
      <c r="E65" s="16"/>
      <c r="F65" s="16"/>
      <c r="G65" s="16"/>
      <c r="H65" s="16"/>
      <c r="I65" s="96"/>
      <c r="J65" s="10"/>
      <c r="K65" s="10"/>
    </row>
    <row r="66" spans="2:17">
      <c r="B66" s="105" t="s">
        <v>175</v>
      </c>
      <c r="C66" s="105"/>
      <c r="D66" s="105"/>
      <c r="E66" s="105"/>
      <c r="F66" s="105"/>
      <c r="G66" s="105"/>
      <c r="H66" s="105"/>
      <c r="I66" s="13"/>
      <c r="J66" s="10"/>
      <c r="K66" s="10"/>
    </row>
    <row r="67" spans="2:17">
      <c r="B67" s="105" t="s">
        <v>174</v>
      </c>
      <c r="C67" s="105"/>
      <c r="D67" s="105"/>
      <c r="E67" s="105"/>
      <c r="F67" s="105"/>
      <c r="G67" s="105"/>
      <c r="H67" s="105"/>
      <c r="I67" s="96"/>
      <c r="J67" s="10"/>
      <c r="K67" s="10"/>
    </row>
    <row r="68" spans="2:17">
      <c r="B68" s="105"/>
      <c r="C68" s="105"/>
      <c r="D68" s="105"/>
      <c r="E68" s="105"/>
      <c r="F68" s="105"/>
      <c r="G68" s="105"/>
      <c r="H68" s="105"/>
      <c r="I68" s="13"/>
      <c r="J68" s="10"/>
      <c r="K68" s="10"/>
    </row>
    <row r="69" spans="2:17">
      <c r="B69" s="66"/>
      <c r="C69" s="66"/>
      <c r="D69" s="66"/>
      <c r="E69" s="66"/>
      <c r="F69" s="66"/>
      <c r="G69" s="66"/>
      <c r="H69" s="66"/>
      <c r="I69" s="13"/>
      <c r="J69" s="10"/>
      <c r="K69" s="10"/>
    </row>
    <row r="70" spans="2:17">
      <c r="B70" s="109" t="s">
        <v>176</v>
      </c>
      <c r="C70" s="108"/>
      <c r="D70" s="108"/>
      <c r="E70" s="108"/>
      <c r="F70" s="66"/>
      <c r="G70" s="66"/>
      <c r="H70" s="66"/>
      <c r="I70" s="13"/>
      <c r="J70" s="10"/>
      <c r="K70" s="10"/>
    </row>
    <row r="71" spans="2:17">
      <c r="B71" s="106" t="s">
        <v>177</v>
      </c>
      <c r="C71" s="106"/>
      <c r="D71" s="106"/>
      <c r="E71" s="106"/>
      <c r="F71" s="106"/>
      <c r="G71" s="106"/>
      <c r="H71" s="106"/>
      <c r="I71" s="13"/>
      <c r="J71" s="10"/>
      <c r="K71" s="10"/>
    </row>
    <row r="72" spans="2:17">
      <c r="B72" s="106" t="s">
        <v>178</v>
      </c>
      <c r="C72" s="106"/>
      <c r="D72" s="106"/>
      <c r="E72" s="106"/>
      <c r="F72" s="106"/>
      <c r="G72" s="106"/>
      <c r="H72" s="106"/>
      <c r="I72" s="16"/>
      <c r="J72" s="10"/>
      <c r="K72" s="10"/>
    </row>
    <row r="73" spans="2:17">
      <c r="B73" s="106" t="s">
        <v>179</v>
      </c>
      <c r="C73" s="106"/>
      <c r="D73" s="106"/>
      <c r="E73" s="106"/>
      <c r="F73" s="106"/>
      <c r="G73" s="106"/>
      <c r="H73" s="106"/>
      <c r="I73" s="16"/>
      <c r="J73" s="10"/>
      <c r="K73" s="10"/>
    </row>
    <row r="74" spans="2:17">
      <c r="B74" s="107" t="s">
        <v>180</v>
      </c>
      <c r="C74" s="106"/>
      <c r="D74" s="106"/>
      <c r="E74" s="106"/>
      <c r="F74" s="106"/>
      <c r="G74" s="106"/>
      <c r="H74" s="106"/>
      <c r="I74" s="16"/>
      <c r="J74" s="10"/>
      <c r="K74" s="10"/>
    </row>
    <row r="75" spans="2:17">
      <c r="B75" s="105" t="s">
        <v>181</v>
      </c>
      <c r="C75" s="105"/>
      <c r="D75" s="105"/>
      <c r="E75" s="105"/>
      <c r="F75" s="105"/>
      <c r="G75" s="105"/>
      <c r="H75" s="105"/>
      <c r="I75" s="16"/>
      <c r="J75" s="10"/>
      <c r="K75" s="10"/>
    </row>
    <row r="76" spans="2:17">
      <c r="B76" s="105" t="s">
        <v>182</v>
      </c>
      <c r="C76" s="105"/>
      <c r="D76" s="105"/>
      <c r="E76" s="105"/>
      <c r="F76" s="105"/>
      <c r="G76" s="105"/>
      <c r="H76" s="105"/>
      <c r="I76" s="16"/>
      <c r="J76" s="10"/>
      <c r="K76" s="10"/>
    </row>
    <row r="77" spans="2:17">
      <c r="B77" s="105" t="s">
        <v>183</v>
      </c>
      <c r="C77" s="105"/>
      <c r="D77" s="105"/>
      <c r="E77" s="105"/>
      <c r="F77" s="105"/>
      <c r="G77" s="105"/>
      <c r="H77" s="105"/>
      <c r="I77" s="16"/>
      <c r="K77" s="10"/>
    </row>
    <row r="78" spans="2:17">
      <c r="B78" s="66"/>
      <c r="C78" s="66"/>
      <c r="D78" s="66"/>
      <c r="E78" s="66"/>
      <c r="F78" s="66"/>
      <c r="G78" s="66"/>
      <c r="I78" s="16"/>
      <c r="J78" s="96"/>
    </row>
    <row r="79" spans="2:17">
      <c r="B79" s="109" t="s">
        <v>184</v>
      </c>
      <c r="C79" s="108"/>
      <c r="D79" s="108"/>
      <c r="E79" s="108"/>
      <c r="F79" s="108"/>
      <c r="G79" s="66"/>
      <c r="I79" s="16"/>
      <c r="J79" s="13"/>
      <c r="K79" s="96"/>
      <c r="L79" s="96"/>
      <c r="M79" s="96"/>
      <c r="N79" s="96"/>
      <c r="O79" s="96"/>
      <c r="P79" s="96"/>
      <c r="Q79" s="96"/>
    </row>
    <row r="80" spans="2:17">
      <c r="B80" s="106" t="s">
        <v>185</v>
      </c>
      <c r="C80" s="106"/>
      <c r="D80" s="106"/>
      <c r="E80" s="106"/>
      <c r="F80" s="106"/>
      <c r="G80" s="106"/>
      <c r="H80" s="16"/>
      <c r="I80" s="10"/>
      <c r="J80" s="96"/>
      <c r="K80" s="13"/>
      <c r="L80" s="13"/>
      <c r="M80" s="13"/>
      <c r="N80" s="13"/>
      <c r="O80" s="13"/>
      <c r="P80" s="13"/>
      <c r="Q80" s="13"/>
    </row>
    <row r="81" spans="2:17">
      <c r="B81" s="106" t="s">
        <v>186</v>
      </c>
      <c r="C81" s="106"/>
      <c r="D81" s="106"/>
      <c r="E81" s="106"/>
      <c r="F81" s="106"/>
      <c r="G81" s="106"/>
      <c r="H81" s="16"/>
      <c r="I81" s="90"/>
      <c r="J81" s="13"/>
      <c r="K81" s="96"/>
      <c r="L81" s="96"/>
      <c r="M81" s="96"/>
      <c r="N81" s="96"/>
      <c r="O81" s="96"/>
      <c r="P81" s="96"/>
      <c r="Q81" s="96"/>
    </row>
    <row r="82" spans="2:17">
      <c r="B82" s="66"/>
      <c r="C82" s="66"/>
      <c r="D82" s="66"/>
      <c r="E82" s="66"/>
      <c r="F82" s="66"/>
      <c r="G82" s="66"/>
      <c r="I82" s="90"/>
      <c r="J82" s="13"/>
      <c r="K82" s="13"/>
      <c r="L82" s="13"/>
      <c r="M82" s="13"/>
      <c r="N82" s="13"/>
      <c r="O82" s="13"/>
      <c r="P82" s="13"/>
      <c r="Q82" s="13"/>
    </row>
    <row r="83" spans="2:17" ht="16" thickBot="1">
      <c r="I83" s="90"/>
      <c r="J83" s="13"/>
      <c r="K83" s="13"/>
      <c r="L83" s="13"/>
      <c r="M83" s="13"/>
      <c r="N83" s="13"/>
      <c r="O83" s="13"/>
      <c r="P83" s="13"/>
      <c r="Q83" s="13"/>
    </row>
    <row r="84" spans="2:17">
      <c r="B84" s="14"/>
      <c r="C84" s="15"/>
      <c r="D84" s="15"/>
      <c r="E84" s="15"/>
      <c r="F84" s="15"/>
      <c r="G84" s="15"/>
      <c r="I84" s="90"/>
      <c r="J84" s="13"/>
      <c r="K84" s="13"/>
      <c r="L84" s="13"/>
      <c r="M84" s="13"/>
      <c r="N84" s="13"/>
      <c r="O84" s="13"/>
      <c r="P84" s="13"/>
      <c r="Q84" s="13"/>
    </row>
    <row r="85" spans="2:17" ht="18">
      <c r="B85" s="92" t="s">
        <v>187</v>
      </c>
      <c r="C85" s="92"/>
      <c r="D85" s="92"/>
      <c r="E85" s="92"/>
      <c r="F85" s="92"/>
      <c r="G85" s="92"/>
      <c r="I85" s="90"/>
      <c r="J85" s="16"/>
      <c r="K85" s="13"/>
      <c r="L85" s="13"/>
      <c r="M85" s="13"/>
      <c r="N85" s="13"/>
      <c r="O85" s="13"/>
      <c r="P85" s="13"/>
      <c r="Q85" s="13"/>
    </row>
    <row r="86" spans="2:17">
      <c r="I86" s="90"/>
      <c r="J86" s="16"/>
      <c r="K86" s="16"/>
      <c r="L86" s="13"/>
      <c r="M86" s="13"/>
      <c r="N86" s="13"/>
      <c r="O86" s="13"/>
      <c r="P86" s="13"/>
      <c r="Q86" s="13"/>
    </row>
    <row r="87" spans="2:17">
      <c r="B87" s="98" t="s">
        <v>188</v>
      </c>
      <c r="C87" s="98"/>
      <c r="D87" s="98"/>
      <c r="E87" s="98"/>
      <c r="F87" s="98"/>
      <c r="I87" s="10"/>
      <c r="J87" s="16"/>
      <c r="K87" s="16"/>
      <c r="L87" s="13"/>
      <c r="M87" s="13"/>
      <c r="N87" s="13"/>
      <c r="O87" s="13"/>
      <c r="P87" s="13"/>
      <c r="Q87" s="13"/>
    </row>
    <row r="88" spans="2:17">
      <c r="B88" s="13" t="s">
        <v>189</v>
      </c>
      <c r="C88" s="13"/>
      <c r="D88" s="13"/>
      <c r="E88" s="13"/>
      <c r="F88" s="13"/>
      <c r="G88" s="13"/>
      <c r="I88" s="90"/>
      <c r="J88" s="16"/>
      <c r="K88" s="16"/>
      <c r="L88" s="13"/>
      <c r="M88" s="13"/>
      <c r="N88" s="13"/>
      <c r="O88" s="13"/>
      <c r="P88" s="13"/>
      <c r="Q88" s="13"/>
    </row>
    <row r="89" spans="2:17">
      <c r="B89" s="13" t="s">
        <v>190</v>
      </c>
      <c r="C89" s="13"/>
      <c r="D89" s="13"/>
      <c r="E89" s="13"/>
      <c r="F89" s="13"/>
      <c r="G89" s="13"/>
      <c r="H89" s="11"/>
      <c r="I89" s="10"/>
      <c r="J89" s="16"/>
      <c r="K89" s="16"/>
      <c r="L89" s="13"/>
      <c r="M89" s="13"/>
      <c r="N89" s="13"/>
      <c r="O89" s="13"/>
      <c r="P89" s="13"/>
      <c r="Q89" s="13"/>
    </row>
    <row r="90" spans="2:17" ht="18">
      <c r="B90" s="13" t="s">
        <v>191</v>
      </c>
      <c r="C90" s="13"/>
      <c r="D90" s="13"/>
      <c r="E90" s="13"/>
      <c r="F90" s="13"/>
      <c r="G90" s="13"/>
      <c r="H90" s="92"/>
      <c r="I90" s="10"/>
      <c r="J90" s="16"/>
      <c r="K90" s="16"/>
      <c r="L90" s="13"/>
      <c r="M90" s="13"/>
      <c r="N90" s="13"/>
      <c r="O90" s="13"/>
      <c r="P90" s="13"/>
      <c r="Q90" s="13"/>
    </row>
    <row r="91" spans="2:17">
      <c r="B91" s="97" t="s">
        <v>192</v>
      </c>
      <c r="C91" s="97"/>
      <c r="D91" s="97"/>
      <c r="E91" s="97"/>
      <c r="F91" s="97"/>
      <c r="G91" s="97"/>
      <c r="I91" s="90"/>
      <c r="J91" s="16"/>
      <c r="K91" s="16"/>
      <c r="L91" s="13"/>
      <c r="M91" s="13"/>
      <c r="N91" s="13"/>
      <c r="O91" s="13"/>
      <c r="P91" s="13"/>
      <c r="Q91" s="13"/>
    </row>
    <row r="92" spans="2:17">
      <c r="B92" s="13" t="s">
        <v>193</v>
      </c>
      <c r="C92" s="13"/>
      <c r="D92" s="13"/>
      <c r="E92" s="13"/>
      <c r="F92" s="13"/>
      <c r="G92" s="13"/>
      <c r="I92" s="10"/>
      <c r="J92" s="16"/>
      <c r="K92" s="16"/>
      <c r="L92" s="13"/>
      <c r="M92" s="13"/>
      <c r="N92" s="13"/>
      <c r="O92" s="13"/>
      <c r="P92" s="13"/>
      <c r="Q92" s="13"/>
    </row>
    <row r="93" spans="2:17">
      <c r="B93" s="13" t="s">
        <v>194</v>
      </c>
      <c r="C93" s="13"/>
      <c r="D93" s="13"/>
      <c r="E93" s="13"/>
      <c r="F93" s="13"/>
      <c r="G93" s="13"/>
      <c r="H93" s="13"/>
      <c r="I93" s="10"/>
      <c r="J93" s="10"/>
      <c r="K93" s="16"/>
      <c r="L93" s="13"/>
      <c r="M93" s="13"/>
      <c r="N93" s="13"/>
      <c r="O93" s="13"/>
      <c r="P93" s="13"/>
      <c r="Q93" s="13"/>
    </row>
    <row r="94" spans="2:17">
      <c r="H94" s="13"/>
      <c r="I94" s="10"/>
      <c r="J94" s="90"/>
      <c r="K94" s="10"/>
      <c r="L94" s="13"/>
      <c r="M94" s="13"/>
      <c r="N94" s="13"/>
      <c r="O94" s="13"/>
      <c r="P94" s="13"/>
      <c r="Q94" s="13"/>
    </row>
    <row r="95" spans="2:17">
      <c r="B95" s="98" t="s">
        <v>195</v>
      </c>
      <c r="C95" s="98"/>
      <c r="D95" s="98"/>
      <c r="E95" s="98"/>
      <c r="H95" s="13"/>
      <c r="I95" s="10"/>
      <c r="J95" s="90"/>
      <c r="K95" s="90"/>
      <c r="L95" s="13"/>
      <c r="M95" s="13"/>
      <c r="N95" s="13"/>
      <c r="O95" s="13"/>
      <c r="P95" s="13"/>
      <c r="Q95" s="13"/>
    </row>
    <row r="96" spans="2:17">
      <c r="B96" s="13" t="s">
        <v>196</v>
      </c>
      <c r="C96" s="13"/>
      <c r="D96" s="13"/>
      <c r="E96" s="13"/>
      <c r="F96" s="13"/>
      <c r="G96" s="13"/>
      <c r="H96" s="97"/>
      <c r="I96" s="10"/>
      <c r="J96" s="90"/>
      <c r="K96" s="10"/>
      <c r="L96" s="13"/>
      <c r="M96" s="13"/>
      <c r="N96" s="13"/>
      <c r="O96" s="13"/>
      <c r="P96" s="13"/>
      <c r="Q96" s="13"/>
    </row>
    <row r="97" spans="2:17">
      <c r="B97" s="90" t="s">
        <v>197</v>
      </c>
      <c r="C97" s="90"/>
      <c r="D97" s="90"/>
      <c r="E97" s="90"/>
      <c r="F97" s="90"/>
      <c r="G97" s="90"/>
      <c r="H97" s="13"/>
      <c r="I97" s="10"/>
      <c r="J97" s="90"/>
      <c r="K97" s="10"/>
      <c r="L97" s="13"/>
      <c r="M97" s="13"/>
      <c r="N97" s="13"/>
      <c r="O97" s="13"/>
      <c r="P97" s="13"/>
      <c r="Q97" s="13"/>
    </row>
    <row r="98" spans="2:17">
      <c r="B98" s="13"/>
      <c r="C98" s="13"/>
      <c r="D98" s="13"/>
      <c r="E98" s="13"/>
      <c r="F98" s="13"/>
      <c r="G98" s="13"/>
      <c r="H98" s="13"/>
      <c r="I98" s="10"/>
      <c r="J98" s="10"/>
      <c r="K98" s="10"/>
      <c r="L98" s="13"/>
      <c r="M98" s="13"/>
      <c r="N98" s="13"/>
      <c r="O98" s="13"/>
      <c r="P98" s="13"/>
      <c r="Q98" s="13"/>
    </row>
    <row r="99" spans="2:17">
      <c r="B99" s="13" t="s">
        <v>198</v>
      </c>
      <c r="C99" s="13"/>
      <c r="D99" s="13"/>
      <c r="E99" s="13"/>
      <c r="F99" s="13"/>
      <c r="G99" s="13"/>
      <c r="J99" s="90"/>
      <c r="K99" s="10"/>
      <c r="L99" s="13"/>
      <c r="M99" s="13"/>
      <c r="N99" s="13"/>
      <c r="O99" s="13"/>
      <c r="P99" s="13"/>
      <c r="Q99" s="13"/>
    </row>
    <row r="100" spans="2:17">
      <c r="B100" s="90" t="s">
        <v>199</v>
      </c>
      <c r="C100" s="90"/>
      <c r="D100" s="90"/>
      <c r="E100" s="90"/>
      <c r="F100" s="90"/>
      <c r="G100" s="90"/>
      <c r="J100" s="10"/>
      <c r="K100" s="10"/>
      <c r="L100" s="13"/>
      <c r="M100" s="13"/>
      <c r="N100" s="13"/>
      <c r="O100" s="13"/>
      <c r="P100" s="13"/>
      <c r="Q100" s="13"/>
    </row>
    <row r="101" spans="2:17">
      <c r="B101" s="90" t="s">
        <v>200</v>
      </c>
      <c r="C101" s="90"/>
      <c r="D101" s="90"/>
      <c r="E101" s="90"/>
      <c r="F101" s="90"/>
      <c r="G101" s="90"/>
      <c r="H101" s="13"/>
      <c r="I101" s="16"/>
      <c r="J101" s="10"/>
      <c r="K101" s="10"/>
      <c r="L101" s="13"/>
      <c r="M101" s="13"/>
      <c r="N101" s="13"/>
      <c r="O101" s="13"/>
      <c r="P101" s="13"/>
      <c r="Q101" s="13"/>
    </row>
    <row r="102" spans="2:17">
      <c r="B102" s="90" t="s">
        <v>201</v>
      </c>
      <c r="C102" s="90"/>
      <c r="D102" s="90"/>
      <c r="E102" s="90"/>
      <c r="F102" s="90"/>
      <c r="G102" s="90"/>
      <c r="H102" s="90"/>
      <c r="J102" s="10"/>
      <c r="K102" s="10"/>
      <c r="L102" s="13"/>
      <c r="M102" s="13"/>
      <c r="N102" s="13"/>
      <c r="O102" s="13"/>
      <c r="P102" s="13"/>
      <c r="Q102" s="13"/>
    </row>
    <row r="103" spans="2:17">
      <c r="B103" s="90"/>
      <c r="C103" s="90"/>
      <c r="D103" s="90"/>
      <c r="E103" s="90"/>
      <c r="F103" s="90"/>
      <c r="G103" s="90"/>
      <c r="H103" s="90"/>
      <c r="J103" s="10"/>
      <c r="K103" s="10"/>
      <c r="L103" s="13"/>
      <c r="M103" s="13"/>
      <c r="N103" s="13"/>
      <c r="O103" s="13"/>
      <c r="P103" s="13"/>
      <c r="Q103" s="13"/>
    </row>
    <row r="104" spans="2:17">
      <c r="B104" s="90"/>
      <c r="C104" s="90"/>
      <c r="D104" s="90"/>
      <c r="E104" s="90"/>
      <c r="F104" s="90"/>
      <c r="G104" s="90"/>
      <c r="H104" s="90"/>
      <c r="J104" s="10"/>
      <c r="K104" s="10"/>
      <c r="L104" s="13"/>
      <c r="M104" s="13"/>
      <c r="N104" s="13"/>
      <c r="O104" s="13"/>
      <c r="P104" s="13"/>
      <c r="Q104" s="13"/>
    </row>
    <row r="105" spans="2:17">
      <c r="B105" s="90"/>
      <c r="C105" s="90"/>
      <c r="D105" s="90"/>
      <c r="E105" s="90"/>
      <c r="F105" s="90"/>
      <c r="G105" s="90"/>
      <c r="H105" s="90"/>
      <c r="J105" s="10"/>
      <c r="K105" s="10"/>
      <c r="L105" s="13"/>
      <c r="M105" s="13"/>
      <c r="N105" s="13"/>
      <c r="O105" s="13"/>
      <c r="P105" s="13"/>
      <c r="Q105" s="13"/>
    </row>
    <row r="106" spans="2:17">
      <c r="B106" s="90"/>
      <c r="C106" s="90"/>
      <c r="D106" s="90"/>
      <c r="E106" s="90"/>
      <c r="F106" s="90"/>
      <c r="G106" s="90"/>
      <c r="H106" s="90"/>
      <c r="J106" s="10"/>
      <c r="K106" s="10"/>
      <c r="L106" s="13"/>
      <c r="M106" s="13"/>
      <c r="N106" s="13"/>
      <c r="O106" s="13"/>
      <c r="P106" s="13"/>
      <c r="Q106" s="13"/>
    </row>
    <row r="107" spans="2:17">
      <c r="B107" s="90"/>
      <c r="C107" s="90"/>
      <c r="D107" s="90"/>
      <c r="E107" s="90"/>
      <c r="F107" s="90"/>
      <c r="G107" s="90"/>
      <c r="H107" s="90"/>
      <c r="J107" s="10"/>
      <c r="K107" s="10"/>
      <c r="L107" s="13"/>
      <c r="M107" s="13"/>
      <c r="N107" s="13"/>
      <c r="O107" s="13"/>
      <c r="P107" s="13"/>
      <c r="Q107" s="13"/>
    </row>
    <row r="108" spans="2:17">
      <c r="B108" s="90"/>
      <c r="C108" s="90"/>
      <c r="D108" s="90"/>
      <c r="E108" s="90"/>
      <c r="F108" s="90"/>
      <c r="G108" s="90"/>
      <c r="H108" s="90"/>
      <c r="J108" s="10"/>
      <c r="K108" s="10"/>
      <c r="L108" s="13"/>
      <c r="M108" s="13"/>
      <c r="N108" s="13"/>
      <c r="O108" s="13"/>
      <c r="P108" s="13"/>
      <c r="Q108" s="13"/>
    </row>
    <row r="109" spans="2:17">
      <c r="B109" s="90"/>
      <c r="C109" s="90"/>
      <c r="D109" s="90"/>
      <c r="E109" s="90"/>
      <c r="F109" s="90"/>
      <c r="G109" s="90"/>
      <c r="H109" s="90"/>
      <c r="J109" s="10"/>
      <c r="K109" s="10"/>
      <c r="L109" s="13"/>
      <c r="M109" s="13"/>
      <c r="N109" s="13"/>
      <c r="O109" s="13"/>
      <c r="P109" s="13"/>
      <c r="Q109" s="13"/>
    </row>
    <row r="110" spans="2:17">
      <c r="B110" s="90" t="s">
        <v>255</v>
      </c>
      <c r="C110" s="90"/>
      <c r="D110" s="90"/>
      <c r="E110" s="90"/>
      <c r="F110" s="90"/>
      <c r="G110" s="90"/>
      <c r="H110" s="90"/>
      <c r="J110" s="10"/>
      <c r="K110" s="10"/>
      <c r="L110" s="13"/>
      <c r="M110" s="13"/>
      <c r="N110" s="13"/>
      <c r="O110" s="13"/>
      <c r="P110" s="13"/>
      <c r="Q110" s="13"/>
    </row>
    <row r="111" spans="2:17">
      <c r="B111" s="90" t="s">
        <v>256</v>
      </c>
      <c r="C111" s="90"/>
      <c r="D111" s="90"/>
      <c r="E111" s="90"/>
      <c r="F111" s="90"/>
      <c r="G111" s="90"/>
      <c r="H111" s="90"/>
      <c r="J111" s="10"/>
      <c r="K111" s="10"/>
      <c r="L111" s="13"/>
      <c r="M111" s="13"/>
      <c r="N111" s="13"/>
      <c r="O111" s="13"/>
      <c r="P111" s="13"/>
      <c r="Q111" s="13"/>
    </row>
    <row r="112" spans="2:17">
      <c r="B112" s="90" t="s">
        <v>254</v>
      </c>
      <c r="C112" s="90"/>
      <c r="D112" s="90"/>
      <c r="E112" s="90"/>
      <c r="F112" s="90"/>
      <c r="G112" s="90"/>
      <c r="H112" s="90"/>
      <c r="J112" s="10"/>
      <c r="K112" s="10"/>
      <c r="L112" s="13"/>
      <c r="M112" s="13"/>
      <c r="N112" s="13"/>
      <c r="O112" s="13"/>
      <c r="P112" s="13"/>
      <c r="Q112" s="13"/>
    </row>
    <row r="113" spans="2:17">
      <c r="B113" s="90"/>
      <c r="C113" s="90"/>
      <c r="D113" s="90"/>
      <c r="E113" s="90"/>
      <c r="F113" s="90"/>
      <c r="G113" s="90"/>
      <c r="H113" s="90"/>
      <c r="J113" s="10"/>
      <c r="K113" s="10"/>
      <c r="L113" s="13"/>
      <c r="M113" s="13"/>
      <c r="N113" s="13"/>
      <c r="O113" s="13"/>
      <c r="P113" s="13"/>
      <c r="Q113" s="13"/>
    </row>
    <row r="114" spans="2:17">
      <c r="B114" s="90" t="s">
        <v>257</v>
      </c>
      <c r="C114" s="90"/>
      <c r="D114" s="90"/>
      <c r="E114" s="90"/>
      <c r="F114" s="90"/>
      <c r="G114" s="90"/>
      <c r="H114" s="90"/>
      <c r="J114" s="10"/>
      <c r="K114" s="10"/>
      <c r="L114" s="13"/>
      <c r="M114" s="13"/>
      <c r="N114" s="13"/>
      <c r="O114" s="13"/>
      <c r="P114" s="13"/>
      <c r="Q114" s="13"/>
    </row>
    <row r="115" spans="2:17">
      <c r="B115" s="90" t="s">
        <v>260</v>
      </c>
      <c r="C115" s="90"/>
      <c r="D115" s="90"/>
      <c r="E115" s="90"/>
      <c r="F115" s="90"/>
      <c r="G115" s="90"/>
      <c r="H115" s="90"/>
      <c r="J115" s="10"/>
      <c r="K115" s="10"/>
      <c r="L115" s="13"/>
      <c r="M115" s="13"/>
      <c r="N115" s="13"/>
      <c r="O115" s="13"/>
      <c r="P115" s="13"/>
      <c r="Q115" s="13"/>
    </row>
    <row r="116" spans="2:17">
      <c r="B116" s="90"/>
      <c r="H116" s="13"/>
      <c r="I116" s="87"/>
      <c r="J116" s="10"/>
      <c r="K116" s="10"/>
      <c r="L116" s="13"/>
      <c r="M116" s="13"/>
      <c r="N116" s="13"/>
      <c r="O116" s="13"/>
      <c r="P116" s="13"/>
      <c r="Q116" s="13"/>
    </row>
    <row r="117" spans="2:17" ht="16" thickBot="1">
      <c r="B117" s="111"/>
      <c r="H117" s="13"/>
      <c r="I117" s="87"/>
      <c r="J117" s="10"/>
      <c r="K117" s="10"/>
      <c r="L117" s="13"/>
      <c r="M117" s="13"/>
      <c r="N117" s="13"/>
      <c r="O117" s="13"/>
      <c r="P117" s="13"/>
      <c r="Q117" s="13"/>
    </row>
    <row r="118" spans="2:17">
      <c r="B118" s="90"/>
      <c r="C118" s="15"/>
      <c r="D118" s="15"/>
      <c r="E118" s="15"/>
      <c r="F118" s="15"/>
      <c r="G118" s="15"/>
      <c r="H118" s="10"/>
      <c r="I118" s="89"/>
      <c r="J118" s="90"/>
      <c r="K118" s="10"/>
      <c r="L118" s="13"/>
      <c r="M118" s="13"/>
      <c r="N118" s="13"/>
      <c r="O118" s="13"/>
      <c r="P118" s="13"/>
      <c r="Q118" s="13"/>
    </row>
    <row r="119" spans="2:17" ht="18">
      <c r="B119" s="11"/>
      <c r="C119" s="92"/>
      <c r="D119" s="92"/>
      <c r="E119" s="92"/>
      <c r="F119" s="92"/>
      <c r="H119" s="90"/>
      <c r="J119" s="10"/>
      <c r="K119" s="10"/>
      <c r="L119" s="13"/>
      <c r="M119" s="13"/>
      <c r="N119" s="13"/>
      <c r="O119" s="13"/>
      <c r="P119" s="13"/>
      <c r="Q119" s="13"/>
    </row>
    <row r="120" spans="2:17" ht="18">
      <c r="B120" s="92" t="s">
        <v>202</v>
      </c>
      <c r="H120" s="90"/>
      <c r="J120" s="10"/>
      <c r="K120" s="10"/>
      <c r="L120" s="13"/>
      <c r="M120" s="13"/>
      <c r="N120" s="13"/>
      <c r="O120" s="13"/>
      <c r="P120" s="13"/>
      <c r="Q120" s="13"/>
    </row>
    <row r="121" spans="2:17">
      <c r="C121" s="100"/>
      <c r="D121" s="100"/>
      <c r="E121" s="100"/>
      <c r="F121" s="100"/>
      <c r="G121" s="100"/>
      <c r="H121" s="90"/>
      <c r="I121" s="16"/>
      <c r="J121" s="10"/>
      <c r="K121" s="10"/>
      <c r="L121" s="13"/>
      <c r="M121" s="13"/>
      <c r="N121" s="13"/>
      <c r="O121" s="13"/>
      <c r="P121" s="13"/>
      <c r="Q121" s="13"/>
    </row>
    <row r="122" spans="2:17">
      <c r="B122" s="100" t="s">
        <v>203</v>
      </c>
      <c r="C122" s="100"/>
      <c r="D122" s="100"/>
      <c r="E122" s="100"/>
      <c r="F122" s="100"/>
      <c r="G122" s="100"/>
      <c r="I122" s="16"/>
      <c r="J122" s="10"/>
      <c r="K122" s="10"/>
      <c r="L122" s="13"/>
      <c r="M122" s="13"/>
      <c r="N122" s="13"/>
      <c r="O122" s="13"/>
      <c r="P122" s="13"/>
      <c r="Q122" s="13"/>
    </row>
    <row r="123" spans="2:17">
      <c r="B123" s="100" t="s">
        <v>204</v>
      </c>
      <c r="H123" s="11"/>
      <c r="I123" s="16"/>
      <c r="J123" s="10"/>
      <c r="K123" s="10"/>
      <c r="L123" s="13"/>
      <c r="M123" s="13"/>
      <c r="N123" s="13"/>
      <c r="O123" s="13"/>
      <c r="P123" s="13"/>
      <c r="Q123" s="13"/>
    </row>
    <row r="124" spans="2:17">
      <c r="C124" s="13"/>
      <c r="D124" s="13"/>
      <c r="E124" s="13"/>
      <c r="F124" s="13"/>
      <c r="G124" s="13"/>
      <c r="I124" s="16"/>
      <c r="J124" s="10"/>
      <c r="K124" s="10"/>
      <c r="L124" s="13"/>
      <c r="M124" s="13"/>
      <c r="N124" s="13"/>
      <c r="O124" s="13"/>
      <c r="P124" s="13"/>
      <c r="Q124" s="13"/>
    </row>
    <row r="125" spans="2:17">
      <c r="B125" s="13" t="s">
        <v>205</v>
      </c>
      <c r="C125" s="13"/>
      <c r="D125" s="13"/>
      <c r="E125" s="13"/>
      <c r="F125" s="13"/>
      <c r="G125" s="13"/>
      <c r="I125" s="87"/>
      <c r="J125" s="10"/>
      <c r="K125" s="10"/>
      <c r="L125" s="13"/>
      <c r="M125" s="13"/>
      <c r="N125" s="13"/>
      <c r="O125" s="13"/>
      <c r="P125" s="13"/>
      <c r="Q125" s="13"/>
    </row>
    <row r="126" spans="2:17">
      <c r="B126" s="13" t="s">
        <v>206</v>
      </c>
      <c r="H126" s="13"/>
      <c r="K126" s="16"/>
    </row>
    <row r="127" spans="2:17">
      <c r="B127" s="13" t="s">
        <v>207</v>
      </c>
      <c r="C127" s="11"/>
      <c r="D127" s="11"/>
      <c r="E127" s="11"/>
      <c r="F127" s="11"/>
      <c r="G127" s="11"/>
      <c r="H127" s="13"/>
      <c r="I127" s="16"/>
      <c r="J127" s="87"/>
    </row>
    <row r="128" spans="2:17" ht="16" thickBot="1">
      <c r="B128" s="110"/>
      <c r="C128" s="110"/>
      <c r="D128" s="110"/>
      <c r="E128" s="110"/>
      <c r="F128" s="110"/>
      <c r="G128" s="110"/>
      <c r="H128" s="13"/>
      <c r="I128" s="16"/>
      <c r="J128" s="89"/>
      <c r="K128" s="87"/>
      <c r="L128" s="87"/>
      <c r="M128" s="87"/>
      <c r="N128" s="87"/>
      <c r="O128" s="87"/>
    </row>
    <row r="129" spans="2:17">
      <c r="B129" s="11"/>
      <c r="H129" s="10"/>
      <c r="K129" s="89"/>
      <c r="L129" s="89"/>
      <c r="M129" s="89"/>
      <c r="N129" s="89"/>
      <c r="O129" s="89"/>
    </row>
    <row r="130" spans="2:17">
      <c r="H130" s="97"/>
    </row>
    <row r="131" spans="2:17">
      <c r="H131" s="18"/>
      <c r="J131" s="16"/>
    </row>
    <row r="132" spans="2:17">
      <c r="H132" s="18"/>
      <c r="J132" s="16"/>
      <c r="K132" s="16"/>
      <c r="L132" s="16"/>
      <c r="M132" s="16"/>
      <c r="N132" s="16"/>
      <c r="O132" s="16"/>
      <c r="P132" s="16"/>
      <c r="Q132" s="16"/>
    </row>
    <row r="133" spans="2:17">
      <c r="H133" s="18"/>
      <c r="J133" s="16"/>
      <c r="K133" s="16"/>
      <c r="L133" s="16"/>
      <c r="M133" s="16"/>
      <c r="N133" s="16"/>
      <c r="O133" s="16"/>
      <c r="P133" s="16"/>
      <c r="Q133" s="16"/>
    </row>
    <row r="134" spans="2:17">
      <c r="H134" s="18"/>
      <c r="J134" s="16"/>
      <c r="K134" s="16"/>
      <c r="L134" s="16"/>
      <c r="M134" s="16"/>
      <c r="N134" s="16"/>
      <c r="O134" s="16"/>
      <c r="P134" s="16"/>
      <c r="Q134" s="16"/>
    </row>
    <row r="135" spans="2:17">
      <c r="H135" s="18"/>
      <c r="J135" s="87"/>
      <c r="K135" s="16"/>
      <c r="L135" s="16"/>
      <c r="M135" s="16"/>
      <c r="N135" s="16"/>
      <c r="O135" s="16"/>
      <c r="P135" s="16"/>
      <c r="Q135" s="16"/>
    </row>
    <row r="136" spans="2:17">
      <c r="H136" s="18"/>
      <c r="J136" s="87"/>
    </row>
    <row r="137" spans="2:17">
      <c r="H137" s="18"/>
      <c r="J137" s="87"/>
      <c r="K137" s="87"/>
    </row>
    <row r="139" spans="2:17">
      <c r="H139" s="11"/>
    </row>
    <row r="140" spans="2:17">
      <c r="I140" s="13"/>
      <c r="J140" s="16"/>
    </row>
    <row r="141" spans="2:17">
      <c r="I141" s="13"/>
      <c r="J141" s="16"/>
      <c r="K141" s="16"/>
      <c r="L141" s="16"/>
      <c r="M141" s="16"/>
      <c r="N141" s="16"/>
      <c r="O141" s="16"/>
      <c r="P141" s="16"/>
    </row>
    <row r="142" spans="2:17">
      <c r="I142" s="13"/>
      <c r="K142" s="16"/>
      <c r="L142" s="16"/>
      <c r="M142" s="16"/>
      <c r="N142" s="16"/>
      <c r="O142" s="16"/>
      <c r="P142" s="16"/>
    </row>
    <row r="143" spans="2:17">
      <c r="I143" s="97"/>
    </row>
    <row r="144" spans="2:17">
      <c r="I144" s="13"/>
    </row>
    <row r="145" spans="9:13">
      <c r="I145" s="13"/>
    </row>
    <row r="148" spans="9:13">
      <c r="I148" s="10"/>
    </row>
    <row r="149" spans="9:13">
      <c r="I149" s="90"/>
    </row>
    <row r="150" spans="9:13">
      <c r="I150" s="13"/>
    </row>
    <row r="151" spans="9:13">
      <c r="I151" s="10"/>
    </row>
    <row r="152" spans="9:13">
      <c r="I152" s="90"/>
    </row>
    <row r="153" spans="9:13">
      <c r="I153" s="90"/>
      <c r="J153" s="13"/>
    </row>
    <row r="154" spans="9:13">
      <c r="I154" s="90"/>
      <c r="J154" s="13"/>
      <c r="K154" s="13"/>
      <c r="L154" s="13"/>
      <c r="M154" s="13"/>
    </row>
    <row r="155" spans="9:13">
      <c r="J155" s="13"/>
      <c r="K155" s="13"/>
      <c r="L155" s="13"/>
      <c r="M155" s="13"/>
    </row>
    <row r="156" spans="9:13">
      <c r="J156" s="97"/>
      <c r="K156" s="13"/>
      <c r="L156" s="13"/>
      <c r="M156" s="13"/>
    </row>
    <row r="157" spans="9:13">
      <c r="J157" s="13"/>
      <c r="K157" s="97"/>
      <c r="L157" s="97"/>
      <c r="M157" s="97"/>
    </row>
    <row r="158" spans="9:13">
      <c r="J158" s="13"/>
      <c r="K158" s="10"/>
      <c r="L158" s="10"/>
      <c r="M158" s="10"/>
    </row>
    <row r="159" spans="9:13">
      <c r="I159" s="100"/>
      <c r="K159" s="13"/>
      <c r="L159" s="10"/>
      <c r="M159" s="10"/>
    </row>
    <row r="160" spans="9:13">
      <c r="I160" s="100"/>
    </row>
    <row r="161" spans="9:15">
      <c r="J161" s="10"/>
    </row>
    <row r="162" spans="9:15">
      <c r="I162" s="13"/>
      <c r="J162" s="10"/>
      <c r="K162" s="10"/>
      <c r="L162" s="10"/>
      <c r="M162" s="10"/>
      <c r="N162" s="10"/>
    </row>
    <row r="163" spans="9:15">
      <c r="I163" s="13"/>
      <c r="J163" s="10"/>
      <c r="K163" s="10"/>
      <c r="L163" s="10"/>
      <c r="M163" s="10"/>
      <c r="N163" s="10"/>
    </row>
    <row r="164" spans="9:15">
      <c r="I164" s="13"/>
      <c r="J164" s="10"/>
      <c r="K164" s="10"/>
      <c r="L164" s="10"/>
      <c r="M164" s="10"/>
      <c r="N164" s="10"/>
    </row>
    <row r="165" spans="9:15">
      <c r="I165" s="10"/>
      <c r="J165" s="90"/>
      <c r="K165" s="10"/>
      <c r="L165" s="10"/>
      <c r="M165" s="10"/>
      <c r="N165" s="10"/>
    </row>
    <row r="166" spans="9:15">
      <c r="I166" s="97"/>
      <c r="J166" s="90"/>
      <c r="K166" s="90"/>
      <c r="L166" s="90"/>
      <c r="M166" s="90"/>
      <c r="N166" s="90"/>
    </row>
    <row r="167" spans="9:15">
      <c r="I167" s="18"/>
      <c r="J167" s="90"/>
      <c r="K167" s="90"/>
      <c r="L167" s="90"/>
      <c r="M167" s="90"/>
      <c r="N167" s="90"/>
    </row>
    <row r="168" spans="9:15">
      <c r="I168" s="18"/>
      <c r="K168" s="9"/>
      <c r="L168" s="9"/>
      <c r="M168" s="9"/>
      <c r="N168" s="9"/>
    </row>
    <row r="169" spans="9:15">
      <c r="I169" s="18"/>
    </row>
    <row r="170" spans="9:15">
      <c r="I170" s="18"/>
    </row>
    <row r="171" spans="9:15">
      <c r="I171" s="18"/>
    </row>
    <row r="172" spans="9:15">
      <c r="I172" s="18"/>
      <c r="J172" s="100"/>
    </row>
    <row r="173" spans="9:15">
      <c r="I173" s="18"/>
      <c r="J173" s="100"/>
      <c r="K173" s="100"/>
      <c r="L173" s="100"/>
    </row>
    <row r="174" spans="9:15">
      <c r="K174" s="100"/>
      <c r="L174" s="100"/>
      <c r="M174" s="100"/>
    </row>
    <row r="175" spans="9:15">
      <c r="J175" s="13"/>
    </row>
    <row r="176" spans="9:15">
      <c r="J176" s="13"/>
      <c r="K176" s="13"/>
      <c r="L176" s="13"/>
      <c r="M176" s="13"/>
      <c r="N176" s="10"/>
      <c r="O176" s="10"/>
    </row>
    <row r="177" spans="10:15">
      <c r="J177" s="13"/>
      <c r="K177" s="13"/>
      <c r="L177" s="13"/>
      <c r="M177" s="10"/>
      <c r="N177" s="10"/>
      <c r="O177" s="10"/>
    </row>
    <row r="178" spans="10:15">
      <c r="J178" s="10"/>
      <c r="K178" s="13"/>
      <c r="L178" s="13"/>
      <c r="M178" s="13"/>
      <c r="N178" s="10"/>
      <c r="O178" s="10"/>
    </row>
    <row r="179" spans="10:15">
      <c r="J179" s="97"/>
      <c r="K179" s="10"/>
      <c r="L179" s="10"/>
      <c r="M179" s="10"/>
      <c r="N179" s="10"/>
      <c r="O179" s="10"/>
    </row>
    <row r="180" spans="10:15">
      <c r="J180" s="18"/>
      <c r="K180" s="97"/>
      <c r="L180" s="97"/>
      <c r="M180" s="97"/>
      <c r="N180" s="97"/>
      <c r="O180" s="10"/>
    </row>
    <row r="181" spans="10:15">
      <c r="J181" s="18"/>
      <c r="K181" s="18"/>
      <c r="L181" s="18"/>
      <c r="M181" s="18"/>
      <c r="N181" s="18"/>
      <c r="O181" s="10"/>
    </row>
    <row r="182" spans="10:15">
      <c r="J182" s="18"/>
      <c r="K182" s="18"/>
      <c r="L182" s="18"/>
      <c r="M182" s="18"/>
      <c r="N182" s="18"/>
      <c r="O182" s="10"/>
    </row>
    <row r="183" spans="10:15">
      <c r="J183" s="18"/>
      <c r="K183" s="18"/>
      <c r="L183" s="18"/>
      <c r="M183" s="18"/>
      <c r="N183" s="18"/>
      <c r="O183" s="10"/>
    </row>
    <row r="184" spans="10:15">
      <c r="J184" s="18"/>
      <c r="K184" s="18"/>
      <c r="L184" s="18"/>
      <c r="M184" s="18"/>
      <c r="N184" s="18"/>
      <c r="O184" s="10"/>
    </row>
    <row r="185" spans="10:15">
      <c r="J185" s="18"/>
      <c r="K185" s="18"/>
      <c r="L185" s="18"/>
      <c r="M185" s="18"/>
      <c r="N185" s="18"/>
      <c r="O185" s="10"/>
    </row>
    <row r="186" spans="10:15">
      <c r="J186" s="18"/>
      <c r="K186" s="18"/>
      <c r="L186" s="18"/>
      <c r="M186" s="18"/>
      <c r="N186" s="18"/>
      <c r="O186" s="10"/>
    </row>
    <row r="187" spans="10:15">
      <c r="K187" s="9"/>
      <c r="L187" s="9"/>
      <c r="M187" s="9"/>
      <c r="N187" s="9"/>
      <c r="O187" s="9"/>
    </row>
  </sheetData>
  <mergeCells count="5">
    <mergeCell ref="C9:I9"/>
    <mergeCell ref="C11:K11"/>
    <mergeCell ref="C12:I12"/>
    <mergeCell ref="C14:K14"/>
    <mergeCell ref="C15:K15"/>
  </mergeCells>
  <hyperlinks>
    <hyperlink ref="B38" r:id="rId1" xr:uid="{00000000-0004-0000-1000-000000000000}"/>
  </hyperlinks>
  <pageMargins left="0.7" right="0.7" top="0.75" bottom="0.75" header="0.3" footer="0.3"/>
  <pageSetup paperSize="9" orientation="landscape"/>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3:U183"/>
  <sheetViews>
    <sheetView topLeftCell="M1" workbookViewId="0">
      <selection activeCell="O77" sqref="O77"/>
    </sheetView>
  </sheetViews>
  <sheetFormatPr baseColWidth="10" defaultColWidth="8.83203125" defaultRowHeight="15"/>
  <cols>
    <col min="1" max="1" width="6.5" bestFit="1" customWidth="1"/>
    <col min="2" max="2" width="19.33203125" bestFit="1" customWidth="1"/>
    <col min="3" max="4" width="9.33203125" bestFit="1" customWidth="1"/>
    <col min="5" max="7" width="15.5" bestFit="1" customWidth="1"/>
    <col min="8" max="10" width="25.5" bestFit="1" customWidth="1"/>
    <col min="11" max="11" width="17.5" bestFit="1" customWidth="1"/>
    <col min="12" max="12" width="16.5" bestFit="1" customWidth="1"/>
    <col min="13" max="13" width="28.6640625" bestFit="1" customWidth="1"/>
    <col min="14" max="14" width="28.6640625" customWidth="1"/>
    <col min="15" max="15" width="24.5" bestFit="1" customWidth="1"/>
    <col min="16" max="16" width="16.1640625" customWidth="1"/>
    <col min="20" max="20" width="15.5" customWidth="1"/>
  </cols>
  <sheetData>
    <row r="3" spans="1:21">
      <c r="A3" s="19" t="s">
        <v>22</v>
      </c>
      <c r="B3" s="19" t="s">
        <v>15</v>
      </c>
      <c r="C3" s="22" t="s">
        <v>21</v>
      </c>
      <c r="D3" s="23" t="s">
        <v>18</v>
      </c>
      <c r="E3" s="24" t="s">
        <v>60</v>
      </c>
      <c r="F3" s="24" t="s">
        <v>61</v>
      </c>
      <c r="G3" s="24" t="s">
        <v>62</v>
      </c>
      <c r="H3" s="23" t="s">
        <v>63</v>
      </c>
      <c r="I3" s="23" t="s">
        <v>64</v>
      </c>
      <c r="J3" s="23" t="s">
        <v>65</v>
      </c>
      <c r="K3" s="25" t="s">
        <v>69</v>
      </c>
      <c r="L3" s="25" t="s">
        <v>70</v>
      </c>
      <c r="M3" s="25" t="s">
        <v>71</v>
      </c>
      <c r="N3" s="25" t="s">
        <v>72</v>
      </c>
      <c r="O3" s="19" t="s">
        <v>66</v>
      </c>
      <c r="P3" s="61" t="s">
        <v>79</v>
      </c>
      <c r="Q3" s="61" t="s">
        <v>80</v>
      </c>
      <c r="R3" s="61" t="s">
        <v>81</v>
      </c>
      <c r="S3" s="61" t="s">
        <v>82</v>
      </c>
      <c r="T3" s="61" t="s">
        <v>83</v>
      </c>
      <c r="U3" s="61" t="s">
        <v>84</v>
      </c>
    </row>
    <row r="4" spans="1:21">
      <c r="A4" s="20">
        <f t="shared" ref="A4:A35" si="0">ROW()-3</f>
        <v>1</v>
      </c>
      <c r="B4" s="20" t="str">
        <f>IFERROR(VLOOKUP(ROW()-3,BookieName[],3,FALSE),"")</f>
        <v>Smarkets</v>
      </c>
      <c r="C4" s="21">
        <f>IF(Data[[#This Row],[Bookie]]="","",SUM(Data[[#This Row],[D/W]:[Bonus and Adjustments]],))</f>
        <v>2009.77</v>
      </c>
      <c r="D4" s="21">
        <f>IF(Data[[#This Row],[Bookie]]="","",SUMIF(DWbooks[Bookmaker],(VLOOKUP(ROW()-3,BookieName[],2,FALSE)),DWbooks[Sum]))</f>
        <v>0</v>
      </c>
      <c r="E4" s="20">
        <f>IF(Data[[#This Row],[Bookie]]="","",SUMIF(BetTable[B1],(VLOOKUP(ROW()-3,BookieName[],2,FALSE)),BetTable[S1])*-1)</f>
        <v>0</v>
      </c>
      <c r="F4" s="20">
        <f>IF(Data[[#This Row],[Bookie]]="","",SUMIF(BetTable[B2],(VLOOKUP(ROW()-3,BookieName[],2,FALSE)),BetTable[S2])*-1)</f>
        <v>0</v>
      </c>
      <c r="G4" s="20">
        <f>IF(Data[[#This Row],[Bookie]]="","",SUMIF(BetTable[B3],(VLOOKUP(ROW()-3,BookieName[],2,FALSE)),BetTable[S3])*-1)</f>
        <v>0</v>
      </c>
      <c r="H4" s="20">
        <f>IF(Data[[#This Row],[Bookie]]="","",SUMIF(BetTable[B1],(VLOOKUP(ROW()-3,BookieName[],2,FALSE)),BetTable[WBA1]))</f>
        <v>0</v>
      </c>
      <c r="I4" s="20">
        <f>IF(Data[[#This Row],[Bookie]]="","",SUMIF(BetTable[B2],(VLOOKUP(ROW()-3,BookieName[],2,FALSE)),BetTable[WBA2]))</f>
        <v>0</v>
      </c>
      <c r="J4" s="20">
        <f>IF(Data[[#This Row],[Bookie]]="","",SUMIF(BetTable[B3],(VLOOKUP(ROW()-3,BookieName[],2,FALSE)),BetTable[WBA3]))</f>
        <v>0</v>
      </c>
      <c r="K4" s="20">
        <f>IF(Data[[#This Row],[Bookie]]="","",SUMIF(LayTable[Bookmaker],(VLOOKUP(ROW()-3,BookieName[],2,FALSE)),LayTable[BookieInnsats])*-1)</f>
        <v>0</v>
      </c>
      <c r="L4" s="20">
        <f>IF(Data[[#This Row],[Bookie]]="","",SUMIF(LayTable[Lay-bookie],(VLOOKUP(ROW()-3,BookieName[],2,FALSE)),LayTable[LayLiability])*-1)</f>
        <v>-2090.1608000000001</v>
      </c>
      <c r="M4" s="20">
        <f>IF(Data[[#This Row],[Bookie]]="","",SUMIF(LayTable[Bookmaker],(VLOOKUP(ROW()-3,BookieName[],2,FALSE)),LayTable[WBABack]))</f>
        <v>0</v>
      </c>
      <c r="N4" s="20">
        <f>IF(Data[[#This Row],[Bookie]]="","",SUMIF(LayTable[Lay-bookie],(VLOOKUP(ROW()-3,BookieName[],2,FALSE)),LayTable[WBALay]))</f>
        <v>4099.9308000000001</v>
      </c>
      <c r="O4" s="20">
        <f>IF(Data[[#This Row],[Bookie]]="","",SUMIF(DWbonus[Bookie],(VLOOKUP(ROW()-3,BookieName[],2,FALSE)),DWbonus[Sum]))</f>
        <v>0</v>
      </c>
      <c r="P4" s="62">
        <f>IF(Data[[#This Row],[Bookie]]="","",SUM(Data[[#This Row],[Pending 1]:[PendingL2]]))</f>
        <v>0</v>
      </c>
      <c r="Q4" s="20">
        <f>IF(Data[[#This Row],[Bookie]]="","",SUMIFS(BetTable[S1],BetTable[B1],(VLOOKUP(ROW()-3,BookieName[],2,FALSE)),BetTable[AR],""))</f>
        <v>0</v>
      </c>
      <c r="R4" s="20">
        <f>IF(Data[[#This Row],[Bookie]]="","",SUMIFS(BetTable[S2],BetTable[B2],(VLOOKUP(ROW()-3,BookieName[],2,FALSE)),BetTable[AR],""))</f>
        <v>0</v>
      </c>
      <c r="S4" s="20">
        <f>IF(Data[[#This Row],[Bookie]]="","",SUMIFS(BetTable[S3],BetTable[B3],(VLOOKUP(ROW()-3,BookieName[],2,FALSE)),BetTable[AR],""))</f>
        <v>0</v>
      </c>
      <c r="T4" s="20">
        <f>IF(Data[[#This Row],[Bookie]]="","",SUMIFS(LayTable[BookieInnsats],LayTable[Bookmaker],(VLOOKUP(ROW()-3,BookieName[],2,FALSE)),LayTable[Faktisk res],""))</f>
        <v>0</v>
      </c>
      <c r="U4" s="20">
        <f>IF(Data[[#This Row],[Bookie]]="","",SUMIFS(LayTable[LayLiability],LayTable[Lay-bookie],(VLOOKUP(ROW()-3,BookieName[],2,FALSE)),LayTable[Faktisk res],""))</f>
        <v>0</v>
      </c>
    </row>
    <row r="5" spans="1:21">
      <c r="A5" s="20">
        <f t="shared" si="0"/>
        <v>2</v>
      </c>
      <c r="B5" s="20" t="str">
        <f>IFERROR(VLOOKUP(ROW()-3,BookieName[],3,FALSE),"")</f>
        <v>888Sports</v>
      </c>
      <c r="C5" s="21">
        <f>IF(Data[[#This Row],[Bookie]]="","",SUM(Data[[#This Row],[D/W]:[Bonus and Adjustments]],))</f>
        <v>0</v>
      </c>
      <c r="D5" s="21">
        <f>IF(Data[[#This Row],[Bookie]]="","",SUMIF(DWbooks[Bookmaker],(VLOOKUP(ROW()-3,BookieName[],2,FALSE)),DWbooks[Sum]))</f>
        <v>0</v>
      </c>
      <c r="E5" s="20">
        <f>IF(Data[[#This Row],[Bookie]]="","",SUMIF(BetTable[B1],(VLOOKUP(ROW()-3,BookieName[],2,FALSE)),BetTable[S1])*-1)</f>
        <v>0</v>
      </c>
      <c r="F5" s="20">
        <f>IF(Data[[#This Row],[Bookie]]="","",SUMIF(BetTable[B2],(VLOOKUP(ROW()-3,BookieName[],2,FALSE)),BetTable[S2])*-1)</f>
        <v>0</v>
      </c>
      <c r="G5" s="20">
        <f>IF(Data[[#This Row],[Bookie]]="","",SUMIF(BetTable[B3],(VLOOKUP(ROW()-3,BookieName[],2,FALSE)),BetTable[S3])*-1)</f>
        <v>0</v>
      </c>
      <c r="H5" s="20">
        <f>IF(Data[[#This Row],[Bookie]]="","",SUMIF(BetTable[B1],(VLOOKUP(ROW()-3,BookieName[],2,FALSE)),BetTable[WBA1]))</f>
        <v>0</v>
      </c>
      <c r="I5" s="20">
        <f>IF(Data[[#This Row],[Bookie]]="","",SUMIF(BetTable[B2],(VLOOKUP(ROW()-3,BookieName[],2,FALSE)),BetTable[WBA2]))</f>
        <v>0</v>
      </c>
      <c r="J5" s="20">
        <f>IF(Data[[#This Row],[Bookie]]="","",SUMIF(BetTable[B3],(VLOOKUP(ROW()-3,BookieName[],2,FALSE)),BetTable[WBA3]))</f>
        <v>0</v>
      </c>
      <c r="K5" s="20">
        <f>IF(Data[[#This Row],[Bookie]]="","",SUMIF(LayTable[Bookmaker],(VLOOKUP(ROW()-3,BookieName[],2,FALSE)),LayTable[BookieInnsats])*-1)</f>
        <v>0</v>
      </c>
      <c r="L5" s="20">
        <f>IF(Data[[#This Row],[Bookie]]="","",SUMIF(LayTable[Lay-bookie],(VLOOKUP(ROW()-3,BookieName[],2,FALSE)),LayTable[LayLiability])*-1)</f>
        <v>0</v>
      </c>
      <c r="M5" s="20">
        <f>IF(Data[[#This Row],[Bookie]]="","",SUMIF(LayTable[Bookmaker],(VLOOKUP(ROW()-3,BookieName[],2,FALSE)),LayTable[WBABack]))</f>
        <v>0</v>
      </c>
      <c r="N5" s="20">
        <f>IF(Data[[#This Row],[Bookie]]="","",SUMIF(LayTable[Lay-bookie],(VLOOKUP(ROW()-3,BookieName[],2,FALSE)),LayTable[WBALay]))</f>
        <v>0</v>
      </c>
      <c r="O5" s="20">
        <f>IF(Data[[#This Row],[Bookie]]="","",SUMIF(DWbonus[Bookie],(VLOOKUP(ROW()-3,BookieName[],2,FALSE)),DWbonus[Sum]))</f>
        <v>0</v>
      </c>
      <c r="P5" s="20">
        <f>IF(Data[[#This Row],[Bookie]]="","",SUM(Data[[#This Row],[Pending 1]:[PendingL2]]))</f>
        <v>0</v>
      </c>
      <c r="Q5" s="20">
        <f>IF(Data[[#This Row],[Bookie]]="","",SUMIFS(BetTable[S1],BetTable[B1],(VLOOKUP(ROW()-3,BookieName[],2,FALSE)),BetTable[AR],""))</f>
        <v>0</v>
      </c>
      <c r="R5" s="20">
        <f>IF(Data[[#This Row],[Bookie]]="","",SUMIFS(BetTable[S2],BetTable[B2],(VLOOKUP(ROW()-3,BookieName[],2,FALSE)),BetTable[AR],""))</f>
        <v>0</v>
      </c>
      <c r="S5" s="20">
        <f>IF(Data[[#This Row],[Bookie]]="","",SUMIFS(BetTable[S3],BetTable[B3],(VLOOKUP(ROW()-3,BookieName[],2,FALSE)),BetTable[AR],""))</f>
        <v>0</v>
      </c>
      <c r="T5" s="20">
        <f>IF(Data[[#This Row],[Bookie]]="","",SUMIFS(LayTable[BookieInnsats],LayTable[Bookmaker],(VLOOKUP(ROW()-3,BookieName[],2,FALSE)),LayTable[Faktisk res],""))</f>
        <v>0</v>
      </c>
      <c r="U5" s="20">
        <f>IF(Data[[#This Row],[Bookie]]="","",SUMIFS(LayTable[LayLiability],LayTable[Lay-bookie],(VLOOKUP(ROW()-3,BookieName[],2,FALSE)),LayTable[Faktisk res],""))</f>
        <v>0</v>
      </c>
    </row>
    <row r="6" spans="1:21">
      <c r="A6" s="20">
        <f t="shared" si="0"/>
        <v>3</v>
      </c>
      <c r="B6" s="20" t="str">
        <f>IFERROR(VLOOKUP(ROW()-3,BookieName[],3,FALSE),"")</f>
        <v>Bet21</v>
      </c>
      <c r="C6" s="21">
        <f>IF(Data[[#This Row],[Bookie]]="","",SUM(Data[[#This Row],[D/W]:[Bonus and Adjustments]],))</f>
        <v>0</v>
      </c>
      <c r="D6" s="21">
        <f>IF(Data[[#This Row],[Bookie]]="","",SUMIF(DWbooks[Bookmaker],(VLOOKUP(ROW()-3,BookieName[],2,FALSE)),DWbooks[Sum]))</f>
        <v>0</v>
      </c>
      <c r="E6" s="20">
        <f>IF(Data[[#This Row],[Bookie]]="","",SUMIF(BetTable[B1],(VLOOKUP(ROW()-3,BookieName[],2,FALSE)),BetTable[S1])*-1)</f>
        <v>0</v>
      </c>
      <c r="F6" s="20">
        <f>IF(Data[[#This Row],[Bookie]]="","",SUMIF(BetTable[B2],(VLOOKUP(ROW()-3,BookieName[],2,FALSE)),BetTable[S2])*-1)</f>
        <v>0</v>
      </c>
      <c r="G6" s="20">
        <f>IF(Data[[#This Row],[Bookie]]="","",SUMIF(BetTable[B3],(VLOOKUP(ROW()-3,BookieName[],2,FALSE)),BetTable[S3])*-1)</f>
        <v>0</v>
      </c>
      <c r="H6" s="20">
        <f>IF(Data[[#This Row],[Bookie]]="","",SUMIF(BetTable[B1],(VLOOKUP(ROW()-3,BookieName[],2,FALSE)),BetTable[WBA1]))</f>
        <v>0</v>
      </c>
      <c r="I6" s="20">
        <f>IF(Data[[#This Row],[Bookie]]="","",SUMIF(BetTable[B2],(VLOOKUP(ROW()-3,BookieName[],2,FALSE)),BetTable[WBA2]))</f>
        <v>0</v>
      </c>
      <c r="J6" s="20">
        <f>IF(Data[[#This Row],[Bookie]]="","",SUMIF(BetTable[B3],(VLOOKUP(ROW()-3,BookieName[],2,FALSE)),BetTable[WBA3]))</f>
        <v>0</v>
      </c>
      <c r="K6" s="20">
        <f>IF(Data[[#This Row],[Bookie]]="","",SUMIF(LayTable[Bookmaker],(VLOOKUP(ROW()-3,BookieName[],2,FALSE)),LayTable[BookieInnsats])*-1)</f>
        <v>0</v>
      </c>
      <c r="L6" s="20">
        <f>IF(Data[[#This Row],[Bookie]]="","",SUMIF(LayTable[Lay-bookie],(VLOOKUP(ROW()-3,BookieName[],2,FALSE)),LayTable[LayLiability])*-1)</f>
        <v>0</v>
      </c>
      <c r="M6" s="20">
        <f>IF(Data[[#This Row],[Bookie]]="","",SUMIF(LayTable[Bookmaker],(VLOOKUP(ROW()-3,BookieName[],2,FALSE)),LayTable[WBABack]))</f>
        <v>0</v>
      </c>
      <c r="N6" s="20">
        <f>IF(Data[[#This Row],[Bookie]]="","",SUMIF(LayTable[Lay-bookie],(VLOOKUP(ROW()-3,BookieName[],2,FALSE)),LayTable[WBALay]))</f>
        <v>0</v>
      </c>
      <c r="O6" s="20">
        <f>IF(Data[[#This Row],[Bookie]]="","",SUMIF(DWbonus[Bookie],(VLOOKUP(ROW()-3,BookieName[],2,FALSE)),DWbonus[Sum]))</f>
        <v>0</v>
      </c>
      <c r="P6" s="20">
        <f>IF(Data[[#This Row],[Bookie]]="","",SUM(Data[[#This Row],[Pending 1]:[PendingL2]]))</f>
        <v>0</v>
      </c>
      <c r="Q6" s="20">
        <f>IF(Data[[#This Row],[Bookie]]="","",SUMIFS(BetTable[S1],BetTable[B1],(VLOOKUP(ROW()-3,BookieName[],2,FALSE)),BetTable[AR],""))</f>
        <v>0</v>
      </c>
      <c r="R6" s="20">
        <f>IF(Data[[#This Row],[Bookie]]="","",SUMIFS(BetTable[S2],BetTable[B2],(VLOOKUP(ROW()-3,BookieName[],2,FALSE)),BetTable[AR],""))</f>
        <v>0</v>
      </c>
      <c r="S6" s="20">
        <f>IF(Data[[#This Row],[Bookie]]="","",SUMIFS(BetTable[S3],BetTable[B3],(VLOOKUP(ROW()-3,BookieName[],2,FALSE)),BetTable[AR],""))</f>
        <v>0</v>
      </c>
      <c r="T6" s="20">
        <f>IF(Data[[#This Row],[Bookie]]="","",SUMIFS(LayTable[BookieInnsats],LayTable[Bookmaker],(VLOOKUP(ROW()-3,BookieName[],2,FALSE)),LayTable[Faktisk res],""))</f>
        <v>0</v>
      </c>
      <c r="U6" s="20">
        <f>IF(Data[[#This Row],[Bookie]]="","",SUMIFS(LayTable[LayLiability],LayTable[Lay-bookie],(VLOOKUP(ROW()-3,BookieName[],2,FALSE)),LayTable[Faktisk res],""))</f>
        <v>0</v>
      </c>
    </row>
    <row r="7" spans="1:21">
      <c r="A7" s="20">
        <f t="shared" si="0"/>
        <v>4</v>
      </c>
      <c r="B7" s="20" t="str">
        <f>IFERROR(VLOOKUP(ROW()-3,BookieName[],3,FALSE),"")</f>
        <v>Bet365</v>
      </c>
      <c r="C7" s="21">
        <f>IF(Data[[#This Row],[Bookie]]="","",SUM(Data[[#This Row],[D/W]:[Bonus and Adjustments]],))</f>
        <v>0</v>
      </c>
      <c r="D7" s="21">
        <f>IF(Data[[#This Row],[Bookie]]="","",SUMIF(DWbooks[Bookmaker],(VLOOKUP(ROW()-3,BookieName[],2,FALSE)),DWbooks[Sum]))</f>
        <v>0</v>
      </c>
      <c r="E7" s="20">
        <f>IF(Data[[#This Row],[Bookie]]="","",SUMIF(BetTable[B1],(VLOOKUP(ROW()-3,BookieName[],2,FALSE)),BetTable[S1])*-1)</f>
        <v>0</v>
      </c>
      <c r="F7" s="20">
        <f>IF(Data[[#This Row],[Bookie]]="","",SUMIF(BetTable[B2],(VLOOKUP(ROW()-3,BookieName[],2,FALSE)),BetTable[S2])*-1)</f>
        <v>0</v>
      </c>
      <c r="G7" s="20">
        <f>IF(Data[[#This Row],[Bookie]]="","",SUMIF(BetTable[B3],(VLOOKUP(ROW()-3,BookieName[],2,FALSE)),BetTable[S3])*-1)</f>
        <v>0</v>
      </c>
      <c r="H7" s="20">
        <f>IF(Data[[#This Row],[Bookie]]="","",SUMIF(BetTable[B1],(VLOOKUP(ROW()-3,BookieName[],2,FALSE)),BetTable[WBA1]))</f>
        <v>0</v>
      </c>
      <c r="I7" s="20">
        <f>IF(Data[[#This Row],[Bookie]]="","",SUMIF(BetTable[B2],(VLOOKUP(ROW()-3,BookieName[],2,FALSE)),BetTable[WBA2]))</f>
        <v>0</v>
      </c>
      <c r="J7" s="20">
        <f>IF(Data[[#This Row],[Bookie]]="","",SUMIF(BetTable[B3],(VLOOKUP(ROW()-3,BookieName[],2,FALSE)),BetTable[WBA3]))</f>
        <v>0</v>
      </c>
      <c r="K7" s="20">
        <f>IF(Data[[#This Row],[Bookie]]="","",SUMIF(LayTable[Bookmaker],(VLOOKUP(ROW()-3,BookieName[],2,FALSE)),LayTable[BookieInnsats])*-1)</f>
        <v>0</v>
      </c>
      <c r="L7" s="20">
        <f>IF(Data[[#This Row],[Bookie]]="","",SUMIF(LayTable[Lay-bookie],(VLOOKUP(ROW()-3,BookieName[],2,FALSE)),LayTable[LayLiability])*-1)</f>
        <v>0</v>
      </c>
      <c r="M7" s="20">
        <f>IF(Data[[#This Row],[Bookie]]="","",SUMIF(LayTable[Bookmaker],(VLOOKUP(ROW()-3,BookieName[],2,FALSE)),LayTable[WBABack]))</f>
        <v>0</v>
      </c>
      <c r="N7" s="20">
        <f>IF(Data[[#This Row],[Bookie]]="","",SUMIF(LayTable[Lay-bookie],(VLOOKUP(ROW()-3,BookieName[],2,FALSE)),LayTable[WBALay]))</f>
        <v>0</v>
      </c>
      <c r="O7" s="20">
        <f>IF(Data[[#This Row],[Bookie]]="","",SUMIF(DWbonus[Bookie],(VLOOKUP(ROW()-3,BookieName[],2,FALSE)),DWbonus[Sum]))</f>
        <v>0</v>
      </c>
      <c r="P7" s="20">
        <f>IF(Data[[#This Row],[Bookie]]="","",SUM(Data[[#This Row],[Pending 1]:[PendingL2]]))</f>
        <v>0</v>
      </c>
      <c r="Q7" s="20">
        <f>IF(Data[[#This Row],[Bookie]]="","",SUMIFS(BetTable[S1],BetTable[B1],(VLOOKUP(ROW()-3,BookieName[],2,FALSE)),BetTable[AR],""))</f>
        <v>0</v>
      </c>
      <c r="R7" s="20">
        <f>IF(Data[[#This Row],[Bookie]]="","",SUMIFS(BetTable[S2],BetTable[B2],(VLOOKUP(ROW()-3,BookieName[],2,FALSE)),BetTable[AR],""))</f>
        <v>0</v>
      </c>
      <c r="S7" s="20">
        <f>IF(Data[[#This Row],[Bookie]]="","",SUMIFS(BetTable[S3],BetTable[B3],(VLOOKUP(ROW()-3,BookieName[],2,FALSE)),BetTable[AR],""))</f>
        <v>0</v>
      </c>
      <c r="T7" s="20">
        <f>IF(Data[[#This Row],[Bookie]]="","",SUMIFS(LayTable[BookieInnsats],LayTable[Bookmaker],(VLOOKUP(ROW()-3,BookieName[],2,FALSE)),LayTable[Faktisk res],""))</f>
        <v>0</v>
      </c>
      <c r="U7" s="20">
        <f>IF(Data[[#This Row],[Bookie]]="","",SUMIFS(LayTable[LayLiability],LayTable[Lay-bookie],(VLOOKUP(ROW()-3,BookieName[],2,FALSE)),LayTable[Faktisk res],""))</f>
        <v>0</v>
      </c>
    </row>
    <row r="8" spans="1:21">
      <c r="A8" s="20">
        <f t="shared" si="0"/>
        <v>5</v>
      </c>
      <c r="B8" s="20" t="str">
        <f>IFERROR(VLOOKUP(ROW()-3,BookieName[],3,FALSE),"")</f>
        <v>Bet777</v>
      </c>
      <c r="C8" s="21">
        <f>IF(Data[[#This Row],[Bookie]]="","",SUM(Data[[#This Row],[D/W]:[Bonus and Adjustments]],))</f>
        <v>0</v>
      </c>
      <c r="D8" s="21">
        <f>IF(Data[[#This Row],[Bookie]]="","",SUMIF(DWbooks[Bookmaker],(VLOOKUP(ROW()-3,BookieName[],2,FALSE)),DWbooks[Sum]))</f>
        <v>0</v>
      </c>
      <c r="E8" s="20">
        <f>IF(Data[[#This Row],[Bookie]]="","",SUMIF(BetTable[B1],(VLOOKUP(ROW()-3,BookieName[],2,FALSE)),BetTable[S1])*-1)</f>
        <v>0</v>
      </c>
      <c r="F8" s="20">
        <f>IF(Data[[#This Row],[Bookie]]="","",SUMIF(BetTable[B2],(VLOOKUP(ROW()-3,BookieName[],2,FALSE)),BetTable[S2])*-1)</f>
        <v>0</v>
      </c>
      <c r="G8" s="20">
        <f>IF(Data[[#This Row],[Bookie]]="","",SUMIF(BetTable[B3],(VLOOKUP(ROW()-3,BookieName[],2,FALSE)),BetTable[S3])*-1)</f>
        <v>0</v>
      </c>
      <c r="H8" s="20">
        <f>IF(Data[[#This Row],[Bookie]]="","",SUMIF(BetTable[B1],(VLOOKUP(ROW()-3,BookieName[],2,FALSE)),BetTable[WBA1]))</f>
        <v>0</v>
      </c>
      <c r="I8" s="20">
        <f>IF(Data[[#This Row],[Bookie]]="","",SUMIF(BetTable[B2],(VLOOKUP(ROW()-3,BookieName[],2,FALSE)),BetTable[WBA2]))</f>
        <v>0</v>
      </c>
      <c r="J8" s="20">
        <f>IF(Data[[#This Row],[Bookie]]="","",SUMIF(BetTable[B3],(VLOOKUP(ROW()-3,BookieName[],2,FALSE)),BetTable[WBA3]))</f>
        <v>0</v>
      </c>
      <c r="K8" s="20">
        <f>IF(Data[[#This Row],[Bookie]]="","",SUMIF(LayTable[Bookmaker],(VLOOKUP(ROW()-3,BookieName[],2,FALSE)),LayTable[BookieInnsats])*-1)</f>
        <v>0</v>
      </c>
      <c r="L8" s="20">
        <f>IF(Data[[#This Row],[Bookie]]="","",SUMIF(LayTable[Lay-bookie],(VLOOKUP(ROW()-3,BookieName[],2,FALSE)),LayTable[LayLiability])*-1)</f>
        <v>0</v>
      </c>
      <c r="M8" s="20">
        <f>IF(Data[[#This Row],[Bookie]]="","",SUMIF(LayTable[Bookmaker],(VLOOKUP(ROW()-3,BookieName[],2,FALSE)),LayTable[WBABack]))</f>
        <v>0</v>
      </c>
      <c r="N8" s="20">
        <f>IF(Data[[#This Row],[Bookie]]="","",SUMIF(LayTable[Lay-bookie],(VLOOKUP(ROW()-3,BookieName[],2,FALSE)),LayTable[WBALay]))</f>
        <v>0</v>
      </c>
      <c r="O8" s="20">
        <f>IF(Data[[#This Row],[Bookie]]="","",SUMIF(DWbonus[Bookie],(VLOOKUP(ROW()-3,BookieName[],2,FALSE)),DWbonus[Sum]))</f>
        <v>0</v>
      </c>
      <c r="P8" s="20">
        <f>IF(Data[[#This Row],[Bookie]]="","",SUM(Data[[#This Row],[Pending 1]:[PendingL2]]))</f>
        <v>0</v>
      </c>
      <c r="Q8" s="20">
        <f>IF(Data[[#This Row],[Bookie]]="","",SUMIFS(BetTable[S1],BetTable[B1],(VLOOKUP(ROW()-3,BookieName[],2,FALSE)),BetTable[AR],""))</f>
        <v>0</v>
      </c>
      <c r="R8" s="20">
        <f>IF(Data[[#This Row],[Bookie]]="","",SUMIFS(BetTable[S2],BetTable[B2],(VLOOKUP(ROW()-3,BookieName[],2,FALSE)),BetTable[AR],""))</f>
        <v>0</v>
      </c>
      <c r="S8" s="20">
        <f>IF(Data[[#This Row],[Bookie]]="","",SUMIFS(BetTable[S3],BetTable[B3],(VLOOKUP(ROW()-3,BookieName[],2,FALSE)),BetTable[AR],""))</f>
        <v>0</v>
      </c>
      <c r="T8" s="20">
        <f>IF(Data[[#This Row],[Bookie]]="","",SUMIFS(LayTable[BookieInnsats],LayTable[Bookmaker],(VLOOKUP(ROW()-3,BookieName[],2,FALSE)),LayTable[Faktisk res],""))</f>
        <v>0</v>
      </c>
      <c r="U8" s="20">
        <f>IF(Data[[#This Row],[Bookie]]="","",SUMIFS(LayTable[LayLiability],LayTable[Lay-bookie],(VLOOKUP(ROW()-3,BookieName[],2,FALSE)),LayTable[Faktisk res],""))</f>
        <v>0</v>
      </c>
    </row>
    <row r="9" spans="1:21">
      <c r="A9" s="20">
        <f t="shared" si="0"/>
        <v>6</v>
      </c>
      <c r="B9" s="20" t="str">
        <f>IFERROR(VLOOKUP(ROW()-3,BookieName[],3,FALSE),"")</f>
        <v>Bet90</v>
      </c>
      <c r="C9" s="21">
        <f>IF(Data[[#This Row],[Bookie]]="","",SUM(Data[[#This Row],[D/W]:[Bonus and Adjustments]],))</f>
        <v>0</v>
      </c>
      <c r="D9" s="21">
        <f>IF(Data[[#This Row],[Bookie]]="","",SUMIF(DWbooks[Bookmaker],(VLOOKUP(ROW()-3,BookieName[],2,FALSE)),DWbooks[Sum]))</f>
        <v>0</v>
      </c>
      <c r="E9" s="20">
        <f>IF(Data[[#This Row],[Bookie]]="","",SUMIF(BetTable[B1],(VLOOKUP(ROW()-3,BookieName[],2,FALSE)),BetTable[S1])*-1)</f>
        <v>0</v>
      </c>
      <c r="F9" s="20">
        <f>IF(Data[[#This Row],[Bookie]]="","",SUMIF(BetTable[B2],(VLOOKUP(ROW()-3,BookieName[],2,FALSE)),BetTable[S2])*-1)</f>
        <v>0</v>
      </c>
      <c r="G9" s="20">
        <f>IF(Data[[#This Row],[Bookie]]="","",SUMIF(BetTable[B3],(VLOOKUP(ROW()-3,BookieName[],2,FALSE)),BetTable[S3])*-1)</f>
        <v>0</v>
      </c>
      <c r="H9" s="20">
        <f>IF(Data[[#This Row],[Bookie]]="","",SUMIF(BetTable[B1],(VLOOKUP(ROW()-3,BookieName[],2,FALSE)),BetTable[WBA1]))</f>
        <v>0</v>
      </c>
      <c r="I9" s="20">
        <f>IF(Data[[#This Row],[Bookie]]="","",SUMIF(BetTable[B2],(VLOOKUP(ROW()-3,BookieName[],2,FALSE)),BetTable[WBA2]))</f>
        <v>0</v>
      </c>
      <c r="J9" s="20">
        <f>IF(Data[[#This Row],[Bookie]]="","",SUMIF(BetTable[B3],(VLOOKUP(ROW()-3,BookieName[],2,FALSE)),BetTable[WBA3]))</f>
        <v>0</v>
      </c>
      <c r="K9" s="20">
        <f>IF(Data[[#This Row],[Bookie]]="","",SUMIF(LayTable[Bookmaker],(VLOOKUP(ROW()-3,BookieName[],2,FALSE)),LayTable[BookieInnsats])*-1)</f>
        <v>0</v>
      </c>
      <c r="L9" s="20">
        <f>IF(Data[[#This Row],[Bookie]]="","",SUMIF(LayTable[Lay-bookie],(VLOOKUP(ROW()-3,BookieName[],2,FALSE)),LayTable[LayLiability])*-1)</f>
        <v>0</v>
      </c>
      <c r="M9" s="20">
        <f>IF(Data[[#This Row],[Bookie]]="","",SUMIF(LayTable[Bookmaker],(VLOOKUP(ROW()-3,BookieName[],2,FALSE)),LayTable[WBABack]))</f>
        <v>0</v>
      </c>
      <c r="N9" s="20">
        <f>IF(Data[[#This Row],[Bookie]]="","",SUMIF(LayTable[Lay-bookie],(VLOOKUP(ROW()-3,BookieName[],2,FALSE)),LayTable[WBALay]))</f>
        <v>0</v>
      </c>
      <c r="O9" s="20">
        <f>IF(Data[[#This Row],[Bookie]]="","",SUMIF(DWbonus[Bookie],(VLOOKUP(ROW()-3,BookieName[],2,FALSE)),DWbonus[Sum]))</f>
        <v>0</v>
      </c>
      <c r="P9" s="20">
        <f>IF(Data[[#This Row],[Bookie]]="","",SUM(Data[[#This Row],[Pending 1]:[PendingL2]]))</f>
        <v>0</v>
      </c>
      <c r="Q9" s="20">
        <f>IF(Data[[#This Row],[Bookie]]="","",SUMIFS(BetTable[S1],BetTable[B1],(VLOOKUP(ROW()-3,BookieName[],2,FALSE)),BetTable[AR],""))</f>
        <v>0</v>
      </c>
      <c r="R9" s="20">
        <f>IF(Data[[#This Row],[Bookie]]="","",SUMIFS(BetTable[S2],BetTable[B2],(VLOOKUP(ROW()-3,BookieName[],2,FALSE)),BetTable[AR],""))</f>
        <v>0</v>
      </c>
      <c r="S9" s="20">
        <f>IF(Data[[#This Row],[Bookie]]="","",SUMIFS(BetTable[S3],BetTable[B3],(VLOOKUP(ROW()-3,BookieName[],2,FALSE)),BetTable[AR],""))</f>
        <v>0</v>
      </c>
      <c r="T9" s="20">
        <f>IF(Data[[#This Row],[Bookie]]="","",SUMIFS(LayTable[BookieInnsats],LayTable[Bookmaker],(VLOOKUP(ROW()-3,BookieName[],2,FALSE)),LayTable[Faktisk res],""))</f>
        <v>0</v>
      </c>
      <c r="U9" s="20">
        <f>IF(Data[[#This Row],[Bookie]]="","",SUMIFS(LayTable[LayLiability],LayTable[Lay-bookie],(VLOOKUP(ROW()-3,BookieName[],2,FALSE)),LayTable[Faktisk res],""))</f>
        <v>0</v>
      </c>
    </row>
    <row r="10" spans="1:21">
      <c r="A10" s="20">
        <f t="shared" si="0"/>
        <v>7</v>
      </c>
      <c r="B10" s="20" t="str">
        <f>IFERROR(VLOOKUP(ROW()-3,BookieName[],3,FALSE),"")</f>
        <v>Betboro</v>
      </c>
      <c r="C10" s="21">
        <f>IF(Data[[#This Row],[Bookie]]="","",SUM(Data[[#This Row],[D/W]:[Bonus and Adjustments]],))</f>
        <v>0</v>
      </c>
      <c r="D10" s="21">
        <f>IF(Data[[#This Row],[Bookie]]="","",SUMIF(DWbooks[Bookmaker],(VLOOKUP(ROW()-3,BookieName[],2,FALSE)),DWbooks[Sum]))</f>
        <v>0</v>
      </c>
      <c r="E10" s="20">
        <f>IF(Data[[#This Row],[Bookie]]="","",SUMIF(BetTable[B1],(VLOOKUP(ROW()-3,BookieName[],2,FALSE)),BetTable[S1])*-1)</f>
        <v>0</v>
      </c>
      <c r="F10" s="20">
        <f>IF(Data[[#This Row],[Bookie]]="","",SUMIF(BetTable[B2],(VLOOKUP(ROW()-3,BookieName[],2,FALSE)),BetTable[S2])*-1)</f>
        <v>0</v>
      </c>
      <c r="G10" s="20">
        <f>IF(Data[[#This Row],[Bookie]]="","",SUMIF(BetTable[B3],(VLOOKUP(ROW()-3,BookieName[],2,FALSE)),BetTable[S3])*-1)</f>
        <v>0</v>
      </c>
      <c r="H10" s="20">
        <f>IF(Data[[#This Row],[Bookie]]="","",SUMIF(BetTable[B1],(VLOOKUP(ROW()-3,BookieName[],2,FALSE)),BetTable[WBA1]))</f>
        <v>0</v>
      </c>
      <c r="I10" s="20">
        <f>IF(Data[[#This Row],[Bookie]]="","",SUMIF(BetTable[B2],(VLOOKUP(ROW()-3,BookieName[],2,FALSE)),BetTable[WBA2]))</f>
        <v>0</v>
      </c>
      <c r="J10" s="20">
        <f>IF(Data[[#This Row],[Bookie]]="","",SUMIF(BetTable[B3],(VLOOKUP(ROW()-3,BookieName[],2,FALSE)),BetTable[WBA3]))</f>
        <v>0</v>
      </c>
      <c r="K10" s="20">
        <f>IF(Data[[#This Row],[Bookie]]="","",SUMIF(LayTable[Bookmaker],(VLOOKUP(ROW()-3,BookieName[],2,FALSE)),LayTable[BookieInnsats])*-1)</f>
        <v>0</v>
      </c>
      <c r="L10" s="20">
        <f>IF(Data[[#This Row],[Bookie]]="","",SUMIF(LayTable[Lay-bookie],(VLOOKUP(ROW()-3,BookieName[],2,FALSE)),LayTable[LayLiability])*-1)</f>
        <v>0</v>
      </c>
      <c r="M10" s="20">
        <f>IF(Data[[#This Row],[Bookie]]="","",SUMIF(LayTable[Bookmaker],(VLOOKUP(ROW()-3,BookieName[],2,FALSE)),LayTable[WBABack]))</f>
        <v>0</v>
      </c>
      <c r="N10" s="20">
        <f>IF(Data[[#This Row],[Bookie]]="","",SUMIF(LayTable[Lay-bookie],(VLOOKUP(ROW()-3,BookieName[],2,FALSE)),LayTable[WBALay]))</f>
        <v>0</v>
      </c>
      <c r="O10" s="20">
        <f>IF(Data[[#This Row],[Bookie]]="","",SUMIF(DWbonus[Bookie],(VLOOKUP(ROW()-3,BookieName[],2,FALSE)),DWbonus[Sum]))</f>
        <v>0</v>
      </c>
      <c r="P10" s="20">
        <f>IF(Data[[#This Row],[Bookie]]="","",SUM(Data[[#This Row],[Pending 1]:[PendingL2]]))</f>
        <v>0</v>
      </c>
      <c r="Q10" s="20">
        <f>IF(Data[[#This Row],[Bookie]]="","",SUMIFS(BetTable[S1],BetTable[B1],(VLOOKUP(ROW()-3,BookieName[],2,FALSE)),BetTable[AR],""))</f>
        <v>0</v>
      </c>
      <c r="R10" s="20">
        <f>IF(Data[[#This Row],[Bookie]]="","",SUMIFS(BetTable[S2],BetTable[B2],(VLOOKUP(ROW()-3,BookieName[],2,FALSE)),BetTable[AR],""))</f>
        <v>0</v>
      </c>
      <c r="S10" s="20">
        <f>IF(Data[[#This Row],[Bookie]]="","",SUMIFS(BetTable[S3],BetTable[B3],(VLOOKUP(ROW()-3,BookieName[],2,FALSE)),BetTable[AR],""))</f>
        <v>0</v>
      </c>
      <c r="T10" s="20">
        <f>IF(Data[[#This Row],[Bookie]]="","",SUMIFS(LayTable[BookieInnsats],LayTable[Bookmaker],(VLOOKUP(ROW()-3,BookieName[],2,FALSE)),LayTable[Faktisk res],""))</f>
        <v>0</v>
      </c>
      <c r="U10" s="20">
        <f>IF(Data[[#This Row],[Bookie]]="","",SUMIFS(LayTable[LayLiability],LayTable[Lay-bookie],(VLOOKUP(ROW()-3,BookieName[],2,FALSE)),LayTable[Faktisk res],""))</f>
        <v>0</v>
      </c>
    </row>
    <row r="11" spans="1:21">
      <c r="A11" s="20">
        <f t="shared" si="0"/>
        <v>8</v>
      </c>
      <c r="B11" s="20" t="str">
        <f>IFERROR(VLOOKUP(ROW()-3,BookieName[],3,FALSE),"")</f>
        <v>Betfair</v>
      </c>
      <c r="C11" s="21">
        <f>IF(Data[[#This Row],[Bookie]]="","",SUM(Data[[#This Row],[D/W]:[Bonus and Adjustments]],))</f>
        <v>159.1422</v>
      </c>
      <c r="D11" s="21">
        <f>IF(Data[[#This Row],[Bookie]]="","",SUMIF(DWbooks[Bookmaker],(VLOOKUP(ROW()-3,BookieName[],2,FALSE)),DWbooks[Sum]))</f>
        <v>0</v>
      </c>
      <c r="E11" s="20">
        <f>IF(Data[[#This Row],[Bookie]]="","",SUMIF(BetTable[B1],(VLOOKUP(ROW()-3,BookieName[],2,FALSE)),BetTable[S1])*-1)</f>
        <v>0</v>
      </c>
      <c r="F11" s="20">
        <f>IF(Data[[#This Row],[Bookie]]="","",SUMIF(BetTable[B2],(VLOOKUP(ROW()-3,BookieName[],2,FALSE)),BetTable[S2])*-1)</f>
        <v>0</v>
      </c>
      <c r="G11" s="20">
        <f>IF(Data[[#This Row],[Bookie]]="","",SUMIF(BetTable[B3],(VLOOKUP(ROW()-3,BookieName[],2,FALSE)),BetTable[S3])*-1)</f>
        <v>0</v>
      </c>
      <c r="H11" s="20">
        <f>IF(Data[[#This Row],[Bookie]]="","",SUMIF(BetTable[B1],(VLOOKUP(ROW()-3,BookieName[],2,FALSE)),BetTable[WBA1]))</f>
        <v>0</v>
      </c>
      <c r="I11" s="20">
        <f>IF(Data[[#This Row],[Bookie]]="","",SUMIF(BetTable[B2],(VLOOKUP(ROW()-3,BookieName[],2,FALSE)),BetTable[WBA2]))</f>
        <v>0</v>
      </c>
      <c r="J11" s="20">
        <f>IF(Data[[#This Row],[Bookie]]="","",SUMIF(BetTable[B3],(VLOOKUP(ROW()-3,BookieName[],2,FALSE)),BetTable[WBA3]))</f>
        <v>0</v>
      </c>
      <c r="K11" s="20">
        <f>IF(Data[[#This Row],[Bookie]]="","",SUMIF(LayTable[Bookmaker],(VLOOKUP(ROW()-3,BookieName[],2,FALSE)),LayTable[BookieInnsats])*-1)</f>
        <v>0</v>
      </c>
      <c r="L11" s="20">
        <f>IF(Data[[#This Row],[Bookie]]="","",SUMIF(LayTable[Lay-bookie],(VLOOKUP(ROW()-3,BookieName[],2,FALSE)),LayTable[LayLiability])*-1)</f>
        <v>-599.21910000000003</v>
      </c>
      <c r="M11" s="20">
        <f>IF(Data[[#This Row],[Bookie]]="","",SUMIF(LayTable[Bookmaker],(VLOOKUP(ROW()-3,BookieName[],2,FALSE)),LayTable[WBABack]))</f>
        <v>0</v>
      </c>
      <c r="N11" s="20">
        <f>IF(Data[[#This Row],[Bookie]]="","",SUMIF(LayTable[Lay-bookie],(VLOOKUP(ROW()-3,BookieName[],2,FALSE)),LayTable[WBALay]))</f>
        <v>758.36130000000003</v>
      </c>
      <c r="O11" s="20">
        <f>IF(Data[[#This Row],[Bookie]]="","",SUMIF(DWbonus[Bookie],(VLOOKUP(ROW()-3,BookieName[],2,FALSE)),DWbonus[Sum]))</f>
        <v>0</v>
      </c>
      <c r="P11" s="20">
        <f>IF(Data[[#This Row],[Bookie]]="","",SUM(Data[[#This Row],[Pending 1]:[PendingL2]]))</f>
        <v>0</v>
      </c>
      <c r="Q11" s="20">
        <f>IF(Data[[#This Row],[Bookie]]="","",SUMIFS(BetTable[S1],BetTable[B1],(VLOOKUP(ROW()-3,BookieName[],2,FALSE)),BetTable[AR],""))</f>
        <v>0</v>
      </c>
      <c r="R11" s="20">
        <f>IF(Data[[#This Row],[Bookie]]="","",SUMIFS(BetTable[S2],BetTable[B2],(VLOOKUP(ROW()-3,BookieName[],2,FALSE)),BetTable[AR],""))</f>
        <v>0</v>
      </c>
      <c r="S11" s="20">
        <f>IF(Data[[#This Row],[Bookie]]="","",SUMIFS(BetTable[S3],BetTable[B3],(VLOOKUP(ROW()-3,BookieName[],2,FALSE)),BetTable[AR],""))</f>
        <v>0</v>
      </c>
      <c r="T11" s="20">
        <f>IF(Data[[#This Row],[Bookie]]="","",SUMIFS(LayTable[BookieInnsats],LayTable[Bookmaker],(VLOOKUP(ROW()-3,BookieName[],2,FALSE)),LayTable[Faktisk res],""))</f>
        <v>0</v>
      </c>
      <c r="U11" s="20">
        <f>IF(Data[[#This Row],[Bookie]]="","",SUMIFS(LayTable[LayLiability],LayTable[Lay-bookie],(VLOOKUP(ROW()-3,BookieName[],2,FALSE)),LayTable[Faktisk res],""))</f>
        <v>0</v>
      </c>
    </row>
    <row r="12" spans="1:21">
      <c r="A12" s="20">
        <f t="shared" si="0"/>
        <v>9</v>
      </c>
      <c r="B12" s="20" t="str">
        <f>IFERROR(VLOOKUP(ROW()-3,BookieName[],3,FALSE),"")</f>
        <v>Betfinal</v>
      </c>
      <c r="C12" s="21">
        <f>IF(Data[[#This Row],[Bookie]]="","",SUM(Data[[#This Row],[D/W]:[Bonus and Adjustments]],))</f>
        <v>0</v>
      </c>
      <c r="D12" s="21">
        <f>IF(Data[[#This Row],[Bookie]]="","",SUMIF(DWbooks[Bookmaker],(VLOOKUP(ROW()-3,BookieName[],2,FALSE)),DWbooks[Sum]))</f>
        <v>0</v>
      </c>
      <c r="E12" s="20">
        <f>IF(Data[[#This Row],[Bookie]]="","",SUMIF(BetTable[B1],(VLOOKUP(ROW()-3,BookieName[],2,FALSE)),BetTable[S1])*-1)</f>
        <v>0</v>
      </c>
      <c r="F12" s="20">
        <f>IF(Data[[#This Row],[Bookie]]="","",SUMIF(BetTable[B2],(VLOOKUP(ROW()-3,BookieName[],2,FALSE)),BetTable[S2])*-1)</f>
        <v>0</v>
      </c>
      <c r="G12" s="20">
        <f>IF(Data[[#This Row],[Bookie]]="","",SUMIF(BetTable[B3],(VLOOKUP(ROW()-3,BookieName[],2,FALSE)),BetTable[S3])*-1)</f>
        <v>0</v>
      </c>
      <c r="H12" s="20">
        <f>IF(Data[[#This Row],[Bookie]]="","",SUMIF(BetTable[B1],(VLOOKUP(ROW()-3,BookieName[],2,FALSE)),BetTable[WBA1]))</f>
        <v>0</v>
      </c>
      <c r="I12" s="20">
        <f>IF(Data[[#This Row],[Bookie]]="","",SUMIF(BetTable[B2],(VLOOKUP(ROW()-3,BookieName[],2,FALSE)),BetTable[WBA2]))</f>
        <v>0</v>
      </c>
      <c r="J12" s="20">
        <f>IF(Data[[#This Row],[Bookie]]="","",SUMIF(BetTable[B3],(VLOOKUP(ROW()-3,BookieName[],2,FALSE)),BetTable[WBA3]))</f>
        <v>0</v>
      </c>
      <c r="K12" s="20">
        <f>IF(Data[[#This Row],[Bookie]]="","",SUMIF(LayTable[Bookmaker],(VLOOKUP(ROW()-3,BookieName[],2,FALSE)),LayTable[BookieInnsats])*-1)</f>
        <v>0</v>
      </c>
      <c r="L12" s="20">
        <f>IF(Data[[#This Row],[Bookie]]="","",SUMIF(LayTable[Lay-bookie],(VLOOKUP(ROW()-3,BookieName[],2,FALSE)),LayTable[LayLiability])*-1)</f>
        <v>0</v>
      </c>
      <c r="M12" s="20">
        <f>IF(Data[[#This Row],[Bookie]]="","",SUMIF(LayTable[Bookmaker],(VLOOKUP(ROW()-3,BookieName[],2,FALSE)),LayTable[WBABack]))</f>
        <v>0</v>
      </c>
      <c r="N12" s="20">
        <f>IF(Data[[#This Row],[Bookie]]="","",SUMIF(LayTable[Lay-bookie],(VLOOKUP(ROW()-3,BookieName[],2,FALSE)),LayTable[WBALay]))</f>
        <v>0</v>
      </c>
      <c r="O12" s="20">
        <f>IF(Data[[#This Row],[Bookie]]="","",SUMIF(DWbonus[Bookie],(VLOOKUP(ROW()-3,BookieName[],2,FALSE)),DWbonus[Sum]))</f>
        <v>0</v>
      </c>
      <c r="P12" s="20">
        <f>IF(Data[[#This Row],[Bookie]]="","",SUM(Data[[#This Row],[Pending 1]:[PendingL2]]))</f>
        <v>0</v>
      </c>
      <c r="Q12" s="20">
        <f>IF(Data[[#This Row],[Bookie]]="","",SUMIFS(BetTable[S1],BetTable[B1],(VLOOKUP(ROW()-3,BookieName[],2,FALSE)),BetTable[AR],""))</f>
        <v>0</v>
      </c>
      <c r="R12" s="20">
        <f>IF(Data[[#This Row],[Bookie]]="","",SUMIFS(BetTable[S2],BetTable[B2],(VLOOKUP(ROW()-3,BookieName[],2,FALSE)),BetTable[AR],""))</f>
        <v>0</v>
      </c>
      <c r="S12" s="20">
        <f>IF(Data[[#This Row],[Bookie]]="","",SUMIFS(BetTable[S3],BetTable[B3],(VLOOKUP(ROW()-3,BookieName[],2,FALSE)),BetTable[AR],""))</f>
        <v>0</v>
      </c>
      <c r="T12" s="20">
        <f>IF(Data[[#This Row],[Bookie]]="","",SUMIFS(LayTable[BookieInnsats],LayTable[Bookmaker],(VLOOKUP(ROW()-3,BookieName[],2,FALSE)),LayTable[Faktisk res],""))</f>
        <v>0</v>
      </c>
      <c r="U12" s="20">
        <f>IF(Data[[#This Row],[Bookie]]="","",SUMIFS(LayTable[LayLiability],LayTable[Lay-bookie],(VLOOKUP(ROW()-3,BookieName[],2,FALSE)),LayTable[Faktisk res],""))</f>
        <v>0</v>
      </c>
    </row>
    <row r="13" spans="1:21">
      <c r="A13" s="20">
        <f t="shared" si="0"/>
        <v>10</v>
      </c>
      <c r="B13" s="20" t="str">
        <f>IFERROR(VLOOKUP(ROW()-3,BookieName[],3,FALSE),"")</f>
        <v>Bethard</v>
      </c>
      <c r="C13" s="21">
        <f>IF(Data[[#This Row],[Bookie]]="","",SUM(Data[[#This Row],[D/W]:[Bonus and Adjustments]],))</f>
        <v>0</v>
      </c>
      <c r="D13" s="21">
        <f>IF(Data[[#This Row],[Bookie]]="","",SUMIF(DWbooks[Bookmaker],(VLOOKUP(ROW()-3,BookieName[],2,FALSE)),DWbooks[Sum]))</f>
        <v>0</v>
      </c>
      <c r="E13" s="20">
        <f>IF(Data[[#This Row],[Bookie]]="","",SUMIF(BetTable[B1],(VLOOKUP(ROW()-3,BookieName[],2,FALSE)),BetTable[S1])*-1)</f>
        <v>0</v>
      </c>
      <c r="F13" s="20">
        <f>IF(Data[[#This Row],[Bookie]]="","",SUMIF(BetTable[B2],(VLOOKUP(ROW()-3,BookieName[],2,FALSE)),BetTable[S2])*-1)</f>
        <v>0</v>
      </c>
      <c r="G13" s="20">
        <f>IF(Data[[#This Row],[Bookie]]="","",SUMIF(BetTable[B3],(VLOOKUP(ROW()-3,BookieName[],2,FALSE)),BetTable[S3])*-1)</f>
        <v>0</v>
      </c>
      <c r="H13" s="20">
        <f>IF(Data[[#This Row],[Bookie]]="","",SUMIF(BetTable[B1],(VLOOKUP(ROW()-3,BookieName[],2,FALSE)),BetTable[WBA1]))</f>
        <v>0</v>
      </c>
      <c r="I13" s="20">
        <f>IF(Data[[#This Row],[Bookie]]="","",SUMIF(BetTable[B2],(VLOOKUP(ROW()-3,BookieName[],2,FALSE)),BetTable[WBA2]))</f>
        <v>0</v>
      </c>
      <c r="J13" s="20">
        <f>IF(Data[[#This Row],[Bookie]]="","",SUMIF(BetTable[B3],(VLOOKUP(ROW()-3,BookieName[],2,FALSE)),BetTable[WBA3]))</f>
        <v>0</v>
      </c>
      <c r="K13" s="20">
        <f>IF(Data[[#This Row],[Bookie]]="","",SUMIF(LayTable[Bookmaker],(VLOOKUP(ROW()-3,BookieName[],2,FALSE)),LayTable[BookieInnsats])*-1)</f>
        <v>0</v>
      </c>
      <c r="L13" s="20">
        <f>IF(Data[[#This Row],[Bookie]]="","",SUMIF(LayTable[Lay-bookie],(VLOOKUP(ROW()-3,BookieName[],2,FALSE)),LayTable[LayLiability])*-1)</f>
        <v>0</v>
      </c>
      <c r="M13" s="20">
        <f>IF(Data[[#This Row],[Bookie]]="","",SUMIF(LayTable[Bookmaker],(VLOOKUP(ROW()-3,BookieName[],2,FALSE)),LayTable[WBABack]))</f>
        <v>0</v>
      </c>
      <c r="N13" s="20">
        <f>IF(Data[[#This Row],[Bookie]]="","",SUMIF(LayTable[Lay-bookie],(VLOOKUP(ROW()-3,BookieName[],2,FALSE)),LayTable[WBALay]))</f>
        <v>0</v>
      </c>
      <c r="O13" s="20">
        <f>IF(Data[[#This Row],[Bookie]]="","",SUMIF(DWbonus[Bookie],(VLOOKUP(ROW()-3,BookieName[],2,FALSE)),DWbonus[Sum]))</f>
        <v>0</v>
      </c>
      <c r="P13" s="20">
        <f>IF(Data[[#This Row],[Bookie]]="","",SUM(Data[[#This Row],[Pending 1]:[PendingL2]]))</f>
        <v>0</v>
      </c>
      <c r="Q13" s="20">
        <f>IF(Data[[#This Row],[Bookie]]="","",SUMIFS(BetTable[S1],BetTable[B1],(VLOOKUP(ROW()-3,BookieName[],2,FALSE)),BetTable[AR],""))</f>
        <v>0</v>
      </c>
      <c r="R13" s="20">
        <f>IF(Data[[#This Row],[Bookie]]="","",SUMIFS(BetTable[S2],BetTable[B2],(VLOOKUP(ROW()-3,BookieName[],2,FALSE)),BetTable[AR],""))</f>
        <v>0</v>
      </c>
      <c r="S13" s="20">
        <f>IF(Data[[#This Row],[Bookie]]="","",SUMIFS(BetTable[S3],BetTable[B3],(VLOOKUP(ROW()-3,BookieName[],2,FALSE)),BetTable[AR],""))</f>
        <v>0</v>
      </c>
      <c r="T13" s="20">
        <f>IF(Data[[#This Row],[Bookie]]="","",SUMIFS(LayTable[BookieInnsats],LayTable[Bookmaker],(VLOOKUP(ROW()-3,BookieName[],2,FALSE)),LayTable[Faktisk res],""))</f>
        <v>0</v>
      </c>
      <c r="U13" s="20">
        <f>IF(Data[[#This Row],[Bookie]]="","",SUMIFS(LayTable[LayLiability],LayTable[Lay-bookie],(VLOOKUP(ROW()-3,BookieName[],2,FALSE)),LayTable[Faktisk res],""))</f>
        <v>0</v>
      </c>
    </row>
    <row r="14" spans="1:21">
      <c r="A14" s="20">
        <f t="shared" si="0"/>
        <v>11</v>
      </c>
      <c r="B14" s="20" t="str">
        <f>IFERROR(VLOOKUP(ROW()-3,BookieName[],3,FALSE),"")</f>
        <v>Betive</v>
      </c>
      <c r="C14" s="21">
        <f>IF(Data[[#This Row],[Bookie]]="","",SUM(Data[[#This Row],[D/W]:[Bonus and Adjustments]],))</f>
        <v>0</v>
      </c>
      <c r="D14" s="21">
        <f>IF(Data[[#This Row],[Bookie]]="","",SUMIF(DWbooks[Bookmaker],(VLOOKUP(ROW()-3,BookieName[],2,FALSE)),DWbooks[Sum]))</f>
        <v>0</v>
      </c>
      <c r="E14" s="20">
        <f>IF(Data[[#This Row],[Bookie]]="","",SUMIF(BetTable[B1],(VLOOKUP(ROW()-3,BookieName[],2,FALSE)),BetTable[S1])*-1)</f>
        <v>0</v>
      </c>
      <c r="F14" s="20">
        <f>IF(Data[[#This Row],[Bookie]]="","",SUMIF(BetTable[B2],(VLOOKUP(ROW()-3,BookieName[],2,FALSE)),BetTable[S2])*-1)</f>
        <v>0</v>
      </c>
      <c r="G14" s="20">
        <f>IF(Data[[#This Row],[Bookie]]="","",SUMIF(BetTable[B3],(VLOOKUP(ROW()-3,BookieName[],2,FALSE)),BetTable[S3])*-1)</f>
        <v>0</v>
      </c>
      <c r="H14" s="20">
        <f>IF(Data[[#This Row],[Bookie]]="","",SUMIF(BetTable[B1],(VLOOKUP(ROW()-3,BookieName[],2,FALSE)),BetTable[WBA1]))</f>
        <v>0</v>
      </c>
      <c r="I14" s="20">
        <f>IF(Data[[#This Row],[Bookie]]="","",SUMIF(BetTable[B2],(VLOOKUP(ROW()-3,BookieName[],2,FALSE)),BetTable[WBA2]))</f>
        <v>0</v>
      </c>
      <c r="J14" s="20">
        <f>IF(Data[[#This Row],[Bookie]]="","",SUMIF(BetTable[B3],(VLOOKUP(ROW()-3,BookieName[],2,FALSE)),BetTable[WBA3]))</f>
        <v>0</v>
      </c>
      <c r="K14" s="20">
        <f>IF(Data[[#This Row],[Bookie]]="","",SUMIF(LayTable[Bookmaker],(VLOOKUP(ROW()-3,BookieName[],2,FALSE)),LayTable[BookieInnsats])*-1)</f>
        <v>0</v>
      </c>
      <c r="L14" s="20">
        <f>IF(Data[[#This Row],[Bookie]]="","",SUMIF(LayTable[Lay-bookie],(VLOOKUP(ROW()-3,BookieName[],2,FALSE)),LayTable[LayLiability])*-1)</f>
        <v>0</v>
      </c>
      <c r="M14" s="20">
        <f>IF(Data[[#This Row],[Bookie]]="","",SUMIF(LayTable[Bookmaker],(VLOOKUP(ROW()-3,BookieName[],2,FALSE)),LayTable[WBABack]))</f>
        <v>0</v>
      </c>
      <c r="N14" s="20">
        <f>IF(Data[[#This Row],[Bookie]]="","",SUMIF(LayTable[Lay-bookie],(VLOOKUP(ROW()-3,BookieName[],2,FALSE)),LayTable[WBALay]))</f>
        <v>0</v>
      </c>
      <c r="O14" s="20">
        <f>IF(Data[[#This Row],[Bookie]]="","",SUMIF(DWbonus[Bookie],(VLOOKUP(ROW()-3,BookieName[],2,FALSE)),DWbonus[Sum]))</f>
        <v>0</v>
      </c>
      <c r="P14" s="20">
        <f>IF(Data[[#This Row],[Bookie]]="","",SUM(Data[[#This Row],[Pending 1]:[PendingL2]]))</f>
        <v>0</v>
      </c>
      <c r="Q14" s="20">
        <f>IF(Data[[#This Row],[Bookie]]="","",SUMIFS(BetTable[S1],BetTable[B1],(VLOOKUP(ROW()-3,BookieName[],2,FALSE)),BetTable[AR],""))</f>
        <v>0</v>
      </c>
      <c r="R14" s="20">
        <f>IF(Data[[#This Row],[Bookie]]="","",SUMIFS(BetTable[S2],BetTable[B2],(VLOOKUP(ROW()-3,BookieName[],2,FALSE)),BetTable[AR],""))</f>
        <v>0</v>
      </c>
      <c r="S14" s="20">
        <f>IF(Data[[#This Row],[Bookie]]="","",SUMIFS(BetTable[S3],BetTable[B3],(VLOOKUP(ROW()-3,BookieName[],2,FALSE)),BetTable[AR],""))</f>
        <v>0</v>
      </c>
      <c r="T14" s="20">
        <f>IF(Data[[#This Row],[Bookie]]="","",SUMIFS(LayTable[BookieInnsats],LayTable[Bookmaker],(VLOOKUP(ROW()-3,BookieName[],2,FALSE)),LayTable[Faktisk res],""))</f>
        <v>0</v>
      </c>
      <c r="U14" s="20">
        <f>IF(Data[[#This Row],[Bookie]]="","",SUMIFS(LayTable[LayLiability],LayTable[Lay-bookie],(VLOOKUP(ROW()-3,BookieName[],2,FALSE)),LayTable[Faktisk res],""))</f>
        <v>0</v>
      </c>
    </row>
    <row r="15" spans="1:21">
      <c r="A15" s="20">
        <f t="shared" si="0"/>
        <v>12</v>
      </c>
      <c r="B15" s="20" t="str">
        <f>IFERROR(VLOOKUP(ROW()-3,BookieName[],3,FALSE),"")</f>
        <v>Betsafe</v>
      </c>
      <c r="C15" s="21">
        <f>IF(Data[[#This Row],[Bookie]]="","",SUM(Data[[#This Row],[D/W]:[Bonus and Adjustments]],))</f>
        <v>200</v>
      </c>
      <c r="D15" s="21">
        <f>IF(Data[[#This Row],[Bookie]]="","",SUMIF(DWbooks[Bookmaker],(VLOOKUP(ROW()-3,BookieName[],2,FALSE)),DWbooks[Sum]))</f>
        <v>200</v>
      </c>
      <c r="E15" s="20">
        <f>IF(Data[[#This Row],[Bookie]]="","",SUMIF(BetTable[B1],(VLOOKUP(ROW()-3,BookieName[],2,FALSE)),BetTable[S1])*-1)</f>
        <v>0</v>
      </c>
      <c r="F15" s="20">
        <f>IF(Data[[#This Row],[Bookie]]="","",SUMIF(BetTable[B2],(VLOOKUP(ROW()-3,BookieName[],2,FALSE)),BetTable[S2])*-1)</f>
        <v>0</v>
      </c>
      <c r="G15" s="20">
        <f>IF(Data[[#This Row],[Bookie]]="","",SUMIF(BetTable[B3],(VLOOKUP(ROW()-3,BookieName[],2,FALSE)),BetTable[S3])*-1)</f>
        <v>0</v>
      </c>
      <c r="H15" s="20">
        <f>IF(Data[[#This Row],[Bookie]]="","",SUMIF(BetTable[B1],(VLOOKUP(ROW()-3,BookieName[],2,FALSE)),BetTable[WBA1]))</f>
        <v>0</v>
      </c>
      <c r="I15" s="20">
        <f>IF(Data[[#This Row],[Bookie]]="","",SUMIF(BetTable[B2],(VLOOKUP(ROW()-3,BookieName[],2,FALSE)),BetTable[WBA2]))</f>
        <v>0</v>
      </c>
      <c r="J15" s="20">
        <f>IF(Data[[#This Row],[Bookie]]="","",SUMIF(BetTable[B3],(VLOOKUP(ROW()-3,BookieName[],2,FALSE)),BetTable[WBA3]))</f>
        <v>0</v>
      </c>
      <c r="K15" s="20">
        <f>IF(Data[[#This Row],[Bookie]]="","",SUMIF(LayTable[Bookmaker],(VLOOKUP(ROW()-3,BookieName[],2,FALSE)),LayTable[BookieInnsats])*-1)</f>
        <v>0</v>
      </c>
      <c r="L15" s="20">
        <f>IF(Data[[#This Row],[Bookie]]="","",SUMIF(LayTable[Lay-bookie],(VLOOKUP(ROW()-3,BookieName[],2,FALSE)),LayTable[LayLiability])*-1)</f>
        <v>0</v>
      </c>
      <c r="M15" s="20">
        <f>IF(Data[[#This Row],[Bookie]]="","",SUMIF(LayTable[Bookmaker],(VLOOKUP(ROW()-3,BookieName[],2,FALSE)),LayTable[WBABack]))</f>
        <v>0</v>
      </c>
      <c r="N15" s="20">
        <f>IF(Data[[#This Row],[Bookie]]="","",SUMIF(LayTable[Lay-bookie],(VLOOKUP(ROW()-3,BookieName[],2,FALSE)),LayTable[WBALay]))</f>
        <v>0</v>
      </c>
      <c r="O15" s="20">
        <f>IF(Data[[#This Row],[Bookie]]="","",SUMIF(DWbonus[Bookie],(VLOOKUP(ROW()-3,BookieName[],2,FALSE)),DWbonus[Sum]))</f>
        <v>0</v>
      </c>
      <c r="P15" s="20">
        <f>IF(Data[[#This Row],[Bookie]]="","",SUM(Data[[#This Row],[Pending 1]:[PendingL2]]))</f>
        <v>0</v>
      </c>
      <c r="Q15" s="20">
        <f>IF(Data[[#This Row],[Bookie]]="","",SUMIFS(BetTable[S1],BetTable[B1],(VLOOKUP(ROW()-3,BookieName[],2,FALSE)),BetTable[AR],""))</f>
        <v>0</v>
      </c>
      <c r="R15" s="20">
        <f>IF(Data[[#This Row],[Bookie]]="","",SUMIFS(BetTable[S2],BetTable[B2],(VLOOKUP(ROW()-3,BookieName[],2,FALSE)),BetTable[AR],""))</f>
        <v>0</v>
      </c>
      <c r="S15" s="20">
        <f>IF(Data[[#This Row],[Bookie]]="","",SUMIFS(BetTable[S3],BetTable[B3],(VLOOKUP(ROW()-3,BookieName[],2,FALSE)),BetTable[AR],""))</f>
        <v>0</v>
      </c>
      <c r="T15" s="20">
        <f>IF(Data[[#This Row],[Bookie]]="","",SUMIFS(LayTable[BookieInnsats],LayTable[Bookmaker],(VLOOKUP(ROW()-3,BookieName[],2,FALSE)),LayTable[Faktisk res],""))</f>
        <v>0</v>
      </c>
      <c r="U15" s="20">
        <f>IF(Data[[#This Row],[Bookie]]="","",SUMIFS(LayTable[LayLiability],LayTable[Lay-bookie],(VLOOKUP(ROW()-3,BookieName[],2,FALSE)),LayTable[Faktisk res],""))</f>
        <v>0</v>
      </c>
    </row>
    <row r="16" spans="1:21">
      <c r="A16" s="20">
        <f t="shared" si="0"/>
        <v>13</v>
      </c>
      <c r="B16" s="20" t="str">
        <f>IFERROR(VLOOKUP(ROW()-3,BookieName[],3,FALSE),"")</f>
        <v>Betser</v>
      </c>
      <c r="C16" s="21">
        <f>IF(Data[[#This Row],[Bookie]]="","",SUM(Data[[#This Row],[D/W]:[Bonus and Adjustments]],))</f>
        <v>0</v>
      </c>
      <c r="D16" s="21">
        <f>IF(Data[[#This Row],[Bookie]]="","",SUMIF(DWbooks[Bookmaker],(VLOOKUP(ROW()-3,BookieName[],2,FALSE)),DWbooks[Sum]))</f>
        <v>0</v>
      </c>
      <c r="E16" s="20">
        <f>IF(Data[[#This Row],[Bookie]]="","",SUMIF(BetTable[B1],(VLOOKUP(ROW()-3,BookieName[],2,FALSE)),BetTable[S1])*-1)</f>
        <v>0</v>
      </c>
      <c r="F16" s="20">
        <f>IF(Data[[#This Row],[Bookie]]="","",SUMIF(BetTable[B2],(VLOOKUP(ROW()-3,BookieName[],2,FALSE)),BetTable[S2])*-1)</f>
        <v>0</v>
      </c>
      <c r="G16" s="20">
        <f>IF(Data[[#This Row],[Bookie]]="","",SUMIF(BetTable[B3],(VLOOKUP(ROW()-3,BookieName[],2,FALSE)),BetTable[S3])*-1)</f>
        <v>0</v>
      </c>
      <c r="H16" s="20">
        <f>IF(Data[[#This Row],[Bookie]]="","",SUMIF(BetTable[B1],(VLOOKUP(ROW()-3,BookieName[],2,FALSE)),BetTable[WBA1]))</f>
        <v>0</v>
      </c>
      <c r="I16" s="20">
        <f>IF(Data[[#This Row],[Bookie]]="","",SUMIF(BetTable[B2],(VLOOKUP(ROW()-3,BookieName[],2,FALSE)),BetTable[WBA2]))</f>
        <v>0</v>
      </c>
      <c r="J16" s="20">
        <f>IF(Data[[#This Row],[Bookie]]="","",SUMIF(BetTable[B3],(VLOOKUP(ROW()-3,BookieName[],2,FALSE)),BetTable[WBA3]))</f>
        <v>0</v>
      </c>
      <c r="K16" s="20">
        <f>IF(Data[[#This Row],[Bookie]]="","",SUMIF(LayTable[Bookmaker],(VLOOKUP(ROW()-3,BookieName[],2,FALSE)),LayTable[BookieInnsats])*-1)</f>
        <v>0</v>
      </c>
      <c r="L16" s="20">
        <f>IF(Data[[#This Row],[Bookie]]="","",SUMIF(LayTable[Lay-bookie],(VLOOKUP(ROW()-3,BookieName[],2,FALSE)),LayTable[LayLiability])*-1)</f>
        <v>0</v>
      </c>
      <c r="M16" s="20">
        <f>IF(Data[[#This Row],[Bookie]]="","",SUMIF(LayTable[Bookmaker],(VLOOKUP(ROW()-3,BookieName[],2,FALSE)),LayTable[WBABack]))</f>
        <v>0</v>
      </c>
      <c r="N16" s="20">
        <f>IF(Data[[#This Row],[Bookie]]="","",SUMIF(LayTable[Lay-bookie],(VLOOKUP(ROW()-3,BookieName[],2,FALSE)),LayTable[WBALay]))</f>
        <v>0</v>
      </c>
      <c r="O16" s="20">
        <f>IF(Data[[#This Row],[Bookie]]="","",SUMIF(DWbonus[Bookie],(VLOOKUP(ROW()-3,BookieName[],2,FALSE)),DWbonus[Sum]))</f>
        <v>0</v>
      </c>
      <c r="P16" s="20">
        <f>IF(Data[[#This Row],[Bookie]]="","",SUM(Data[[#This Row],[Pending 1]:[PendingL2]]))</f>
        <v>0</v>
      </c>
      <c r="Q16" s="20">
        <f>IF(Data[[#This Row],[Bookie]]="","",SUMIFS(BetTable[S1],BetTable[B1],(VLOOKUP(ROW()-3,BookieName[],2,FALSE)),BetTable[AR],""))</f>
        <v>0</v>
      </c>
      <c r="R16" s="20">
        <f>IF(Data[[#This Row],[Bookie]]="","",SUMIFS(BetTable[S2],BetTable[B2],(VLOOKUP(ROW()-3,BookieName[],2,FALSE)),BetTable[AR],""))</f>
        <v>0</v>
      </c>
      <c r="S16" s="20">
        <f>IF(Data[[#This Row],[Bookie]]="","",SUMIFS(BetTable[S3],BetTable[B3],(VLOOKUP(ROW()-3,BookieName[],2,FALSE)),BetTable[AR],""))</f>
        <v>0</v>
      </c>
      <c r="T16" s="20">
        <f>IF(Data[[#This Row],[Bookie]]="","",SUMIFS(LayTable[BookieInnsats],LayTable[Bookmaker],(VLOOKUP(ROW()-3,BookieName[],2,FALSE)),LayTable[Faktisk res],""))</f>
        <v>0</v>
      </c>
      <c r="U16" s="20">
        <f>IF(Data[[#This Row],[Bookie]]="","",SUMIFS(LayTable[LayLiability],LayTable[Lay-bookie],(VLOOKUP(ROW()-3,BookieName[],2,FALSE)),LayTable[Faktisk res],""))</f>
        <v>0</v>
      </c>
    </row>
    <row r="17" spans="1:21">
      <c r="A17" s="20">
        <f t="shared" si="0"/>
        <v>14</v>
      </c>
      <c r="B17" s="20" t="str">
        <f>IFERROR(VLOOKUP(ROW()-3,BookieName[],3,FALSE),"")</f>
        <v>Betsson</v>
      </c>
      <c r="C17" s="21">
        <f>IF(Data[[#This Row],[Bookie]]="","",SUM(Data[[#This Row],[D/W]:[Bonus and Adjustments]],))</f>
        <v>0</v>
      </c>
      <c r="D17" s="21">
        <f>IF(Data[[#This Row],[Bookie]]="","",SUMIF(DWbooks[Bookmaker],(VLOOKUP(ROW()-3,BookieName[],2,FALSE)),DWbooks[Sum]))</f>
        <v>0</v>
      </c>
      <c r="E17" s="20">
        <f>IF(Data[[#This Row],[Bookie]]="","",SUMIF(BetTable[B1],(VLOOKUP(ROW()-3,BookieName[],2,FALSE)),BetTable[S1])*-1)</f>
        <v>0</v>
      </c>
      <c r="F17" s="20">
        <f>IF(Data[[#This Row],[Bookie]]="","",SUMIF(BetTable[B2],(VLOOKUP(ROW()-3,BookieName[],2,FALSE)),BetTable[S2])*-1)</f>
        <v>0</v>
      </c>
      <c r="G17" s="20">
        <f>IF(Data[[#This Row],[Bookie]]="","",SUMIF(BetTable[B3],(VLOOKUP(ROW()-3,BookieName[],2,FALSE)),BetTable[S3])*-1)</f>
        <v>0</v>
      </c>
      <c r="H17" s="20">
        <f>IF(Data[[#This Row],[Bookie]]="","",SUMIF(BetTable[B1],(VLOOKUP(ROW()-3,BookieName[],2,FALSE)),BetTable[WBA1]))</f>
        <v>0</v>
      </c>
      <c r="I17" s="20">
        <f>IF(Data[[#This Row],[Bookie]]="","",SUMIF(BetTable[B2],(VLOOKUP(ROW()-3,BookieName[],2,FALSE)),BetTable[WBA2]))</f>
        <v>0</v>
      </c>
      <c r="J17" s="20">
        <f>IF(Data[[#This Row],[Bookie]]="","",SUMIF(BetTable[B3],(VLOOKUP(ROW()-3,BookieName[],2,FALSE)),BetTable[WBA3]))</f>
        <v>0</v>
      </c>
      <c r="K17" s="20">
        <f>IF(Data[[#This Row],[Bookie]]="","",SUMIF(LayTable[Bookmaker],(VLOOKUP(ROW()-3,BookieName[],2,FALSE)),LayTable[BookieInnsats])*-1)</f>
        <v>0</v>
      </c>
      <c r="L17" s="20">
        <f>IF(Data[[#This Row],[Bookie]]="","",SUMIF(LayTable[Lay-bookie],(VLOOKUP(ROW()-3,BookieName[],2,FALSE)),LayTable[LayLiability])*-1)</f>
        <v>0</v>
      </c>
      <c r="M17" s="20">
        <f>IF(Data[[#This Row],[Bookie]]="","",SUMIF(LayTable[Bookmaker],(VLOOKUP(ROW()-3,BookieName[],2,FALSE)),LayTable[WBABack]))</f>
        <v>0</v>
      </c>
      <c r="N17" s="20">
        <f>IF(Data[[#This Row],[Bookie]]="","",SUMIF(LayTable[Lay-bookie],(VLOOKUP(ROW()-3,BookieName[],2,FALSE)),LayTable[WBALay]))</f>
        <v>0</v>
      </c>
      <c r="O17" s="20">
        <f>IF(Data[[#This Row],[Bookie]]="","",SUMIF(DWbonus[Bookie],(VLOOKUP(ROW()-3,BookieName[],2,FALSE)),DWbonus[Sum]))</f>
        <v>0</v>
      </c>
      <c r="P17" s="20">
        <f>IF(Data[[#This Row],[Bookie]]="","",SUM(Data[[#This Row],[Pending 1]:[PendingL2]]))</f>
        <v>0</v>
      </c>
      <c r="Q17" s="20">
        <f>IF(Data[[#This Row],[Bookie]]="","",SUMIFS(BetTable[S1],BetTable[B1],(VLOOKUP(ROW()-3,BookieName[],2,FALSE)),BetTable[AR],""))</f>
        <v>0</v>
      </c>
      <c r="R17" s="20">
        <f>IF(Data[[#This Row],[Bookie]]="","",SUMIFS(BetTable[S2],BetTable[B2],(VLOOKUP(ROW()-3,BookieName[],2,FALSE)),BetTable[AR],""))</f>
        <v>0</v>
      </c>
      <c r="S17" s="20">
        <f>IF(Data[[#This Row],[Bookie]]="","",SUMIFS(BetTable[S3],BetTable[B3],(VLOOKUP(ROW()-3,BookieName[],2,FALSE)),BetTable[AR],""))</f>
        <v>0</v>
      </c>
      <c r="T17" s="20">
        <f>IF(Data[[#This Row],[Bookie]]="","",SUMIFS(LayTable[BookieInnsats],LayTable[Bookmaker],(VLOOKUP(ROW()-3,BookieName[],2,FALSE)),LayTable[Faktisk res],""))</f>
        <v>0</v>
      </c>
      <c r="U17" s="20">
        <f>IF(Data[[#This Row],[Bookie]]="","",SUMIFS(LayTable[LayLiability],LayTable[Lay-bookie],(VLOOKUP(ROW()-3,BookieName[],2,FALSE)),LayTable[Faktisk res],""))</f>
        <v>0</v>
      </c>
    </row>
    <row r="18" spans="1:21">
      <c r="A18" s="20">
        <f t="shared" si="0"/>
        <v>15</v>
      </c>
      <c r="B18" s="20" t="str">
        <f>IFERROR(VLOOKUP(ROW()-3,BookieName[],3,FALSE),"")</f>
        <v>Betus</v>
      </c>
      <c r="C18" s="21">
        <f>IF(Data[[#This Row],[Bookie]]="","",SUM(Data[[#This Row],[D/W]:[Bonus and Adjustments]],))</f>
        <v>0</v>
      </c>
      <c r="D18" s="21">
        <f>IF(Data[[#This Row],[Bookie]]="","",SUMIF(DWbooks[Bookmaker],(VLOOKUP(ROW()-3,BookieName[],2,FALSE)),DWbooks[Sum]))</f>
        <v>0</v>
      </c>
      <c r="E18" s="20">
        <f>IF(Data[[#This Row],[Bookie]]="","",SUMIF(BetTable[B1],(VLOOKUP(ROW()-3,BookieName[],2,FALSE)),BetTable[S1])*-1)</f>
        <v>0</v>
      </c>
      <c r="F18" s="20">
        <f>IF(Data[[#This Row],[Bookie]]="","",SUMIF(BetTable[B2],(VLOOKUP(ROW()-3,BookieName[],2,FALSE)),BetTable[S2])*-1)</f>
        <v>0</v>
      </c>
      <c r="G18" s="20">
        <f>IF(Data[[#This Row],[Bookie]]="","",SUMIF(BetTable[B3],(VLOOKUP(ROW()-3,BookieName[],2,FALSE)),BetTable[S3])*-1)</f>
        <v>0</v>
      </c>
      <c r="H18" s="20">
        <f>IF(Data[[#This Row],[Bookie]]="","",SUMIF(BetTable[B1],(VLOOKUP(ROW()-3,BookieName[],2,FALSE)),BetTable[WBA1]))</f>
        <v>0</v>
      </c>
      <c r="I18" s="20">
        <f>IF(Data[[#This Row],[Bookie]]="","",SUMIF(BetTable[B2],(VLOOKUP(ROW()-3,BookieName[],2,FALSE)),BetTable[WBA2]))</f>
        <v>0</v>
      </c>
      <c r="J18" s="20">
        <f>IF(Data[[#This Row],[Bookie]]="","",SUMIF(BetTable[B3],(VLOOKUP(ROW()-3,BookieName[],2,FALSE)),BetTable[WBA3]))</f>
        <v>0</v>
      </c>
      <c r="K18" s="20">
        <f>IF(Data[[#This Row],[Bookie]]="","",SUMIF(LayTable[Bookmaker],(VLOOKUP(ROW()-3,BookieName[],2,FALSE)),LayTable[BookieInnsats])*-1)</f>
        <v>0</v>
      </c>
      <c r="L18" s="20">
        <f>IF(Data[[#This Row],[Bookie]]="","",SUMIF(LayTable[Lay-bookie],(VLOOKUP(ROW()-3,BookieName[],2,FALSE)),LayTable[LayLiability])*-1)</f>
        <v>0</v>
      </c>
      <c r="M18" s="20">
        <f>IF(Data[[#This Row],[Bookie]]="","",SUMIF(LayTable[Bookmaker],(VLOOKUP(ROW()-3,BookieName[],2,FALSE)),LayTable[WBABack]))</f>
        <v>0</v>
      </c>
      <c r="N18" s="20">
        <f>IF(Data[[#This Row],[Bookie]]="","",SUMIF(LayTable[Lay-bookie],(VLOOKUP(ROW()-3,BookieName[],2,FALSE)),LayTable[WBALay]))</f>
        <v>0</v>
      </c>
      <c r="O18" s="20">
        <f>IF(Data[[#This Row],[Bookie]]="","",SUMIF(DWbonus[Bookie],(VLOOKUP(ROW()-3,BookieName[],2,FALSE)),DWbonus[Sum]))</f>
        <v>0</v>
      </c>
      <c r="P18" s="20">
        <f>IF(Data[[#This Row],[Bookie]]="","",SUM(Data[[#This Row],[Pending 1]:[PendingL2]]))</f>
        <v>0</v>
      </c>
      <c r="Q18" s="20">
        <f>IF(Data[[#This Row],[Bookie]]="","",SUMIFS(BetTable[S1],BetTable[B1],(VLOOKUP(ROW()-3,BookieName[],2,FALSE)),BetTable[AR],""))</f>
        <v>0</v>
      </c>
      <c r="R18" s="20">
        <f>IF(Data[[#This Row],[Bookie]]="","",SUMIFS(BetTable[S2],BetTable[B2],(VLOOKUP(ROW()-3,BookieName[],2,FALSE)),BetTable[AR],""))</f>
        <v>0</v>
      </c>
      <c r="S18" s="20">
        <f>IF(Data[[#This Row],[Bookie]]="","",SUMIFS(BetTable[S3],BetTable[B3],(VLOOKUP(ROW()-3,BookieName[],2,FALSE)),BetTable[AR],""))</f>
        <v>0</v>
      </c>
      <c r="T18" s="20">
        <f>IF(Data[[#This Row],[Bookie]]="","",SUMIFS(LayTable[BookieInnsats],LayTable[Bookmaker],(VLOOKUP(ROW()-3,BookieName[],2,FALSE)),LayTable[Faktisk res],""))</f>
        <v>0</v>
      </c>
      <c r="U18" s="20">
        <f>IF(Data[[#This Row],[Bookie]]="","",SUMIFS(LayTable[LayLiability],LayTable[Lay-bookie],(VLOOKUP(ROW()-3,BookieName[],2,FALSE)),LayTable[Faktisk res],""))</f>
        <v>0</v>
      </c>
    </row>
    <row r="19" spans="1:21">
      <c r="A19" s="20">
        <f t="shared" si="0"/>
        <v>16</v>
      </c>
      <c r="B19" s="20" t="str">
        <f>IFERROR(VLOOKUP(ROW()-3,BookieName[],3,FALSE),"")</f>
        <v>BetVictor</v>
      </c>
      <c r="C19" s="21">
        <f>IF(Data[[#This Row],[Bookie]]="","",SUM(Data[[#This Row],[D/W]:[Bonus and Adjustments]],))</f>
        <v>0</v>
      </c>
      <c r="D19" s="21">
        <f>IF(Data[[#This Row],[Bookie]]="","",SUMIF(DWbooks[Bookmaker],(VLOOKUP(ROW()-3,BookieName[],2,FALSE)),DWbooks[Sum]))</f>
        <v>0</v>
      </c>
      <c r="E19" s="20">
        <f>IF(Data[[#This Row],[Bookie]]="","",SUMIF(BetTable[B1],(VLOOKUP(ROW()-3,BookieName[],2,FALSE)),BetTable[S1])*-1)</f>
        <v>0</v>
      </c>
      <c r="F19" s="20">
        <f>IF(Data[[#This Row],[Bookie]]="","",SUMIF(BetTable[B2],(VLOOKUP(ROW()-3,BookieName[],2,FALSE)),BetTable[S2])*-1)</f>
        <v>0</v>
      </c>
      <c r="G19" s="20">
        <f>IF(Data[[#This Row],[Bookie]]="","",SUMIF(BetTable[B3],(VLOOKUP(ROW()-3,BookieName[],2,FALSE)),BetTable[S3])*-1)</f>
        <v>0</v>
      </c>
      <c r="H19" s="20">
        <f>IF(Data[[#This Row],[Bookie]]="","",SUMIF(BetTable[B1],(VLOOKUP(ROW()-3,BookieName[],2,FALSE)),BetTable[WBA1]))</f>
        <v>0</v>
      </c>
      <c r="I19" s="20">
        <f>IF(Data[[#This Row],[Bookie]]="","",SUMIF(BetTable[B2],(VLOOKUP(ROW()-3,BookieName[],2,FALSE)),BetTable[WBA2]))</f>
        <v>0</v>
      </c>
      <c r="J19" s="20">
        <f>IF(Data[[#This Row],[Bookie]]="","",SUMIF(BetTable[B3],(VLOOKUP(ROW()-3,BookieName[],2,FALSE)),BetTable[WBA3]))</f>
        <v>0</v>
      </c>
      <c r="K19" s="20">
        <f>IF(Data[[#This Row],[Bookie]]="","",SUMIF(LayTable[Bookmaker],(VLOOKUP(ROW()-3,BookieName[],2,FALSE)),LayTable[BookieInnsats])*-1)</f>
        <v>0</v>
      </c>
      <c r="L19" s="20">
        <f>IF(Data[[#This Row],[Bookie]]="","",SUMIF(LayTable[Lay-bookie],(VLOOKUP(ROW()-3,BookieName[],2,FALSE)),LayTable[LayLiability])*-1)</f>
        <v>0</v>
      </c>
      <c r="M19" s="20">
        <f>IF(Data[[#This Row],[Bookie]]="","",SUMIF(LayTable[Bookmaker],(VLOOKUP(ROW()-3,BookieName[],2,FALSE)),LayTable[WBABack]))</f>
        <v>0</v>
      </c>
      <c r="N19" s="20">
        <f>IF(Data[[#This Row],[Bookie]]="","",SUMIF(LayTable[Lay-bookie],(VLOOKUP(ROW()-3,BookieName[],2,FALSE)),LayTable[WBALay]))</f>
        <v>0</v>
      </c>
      <c r="O19" s="20">
        <f>IF(Data[[#This Row],[Bookie]]="","",SUMIF(DWbonus[Bookie],(VLOOKUP(ROW()-3,BookieName[],2,FALSE)),DWbonus[Sum]))</f>
        <v>0</v>
      </c>
      <c r="P19" s="20">
        <f>IF(Data[[#This Row],[Bookie]]="","",SUM(Data[[#This Row],[Pending 1]:[PendingL2]]))</f>
        <v>0</v>
      </c>
      <c r="Q19" s="20">
        <f>IF(Data[[#This Row],[Bookie]]="","",SUMIFS(BetTable[S1],BetTable[B1],(VLOOKUP(ROW()-3,BookieName[],2,FALSE)),BetTable[AR],""))</f>
        <v>0</v>
      </c>
      <c r="R19" s="20">
        <f>IF(Data[[#This Row],[Bookie]]="","",SUMIFS(BetTable[S2],BetTable[B2],(VLOOKUP(ROW()-3,BookieName[],2,FALSE)),BetTable[AR],""))</f>
        <v>0</v>
      </c>
      <c r="S19" s="20">
        <f>IF(Data[[#This Row],[Bookie]]="","",SUMIFS(BetTable[S3],BetTable[B3],(VLOOKUP(ROW()-3,BookieName[],2,FALSE)),BetTable[AR],""))</f>
        <v>0</v>
      </c>
      <c r="T19" s="20">
        <f>IF(Data[[#This Row],[Bookie]]="","",SUMIFS(LayTable[BookieInnsats],LayTable[Bookmaker],(VLOOKUP(ROW()-3,BookieName[],2,FALSE)),LayTable[Faktisk res],""))</f>
        <v>0</v>
      </c>
      <c r="U19" s="20">
        <f>IF(Data[[#This Row],[Bookie]]="","",SUMIFS(LayTable[LayLiability],LayTable[Lay-bookie],(VLOOKUP(ROW()-3,BookieName[],2,FALSE)),LayTable[Faktisk res],""))</f>
        <v>0</v>
      </c>
    </row>
    <row r="20" spans="1:21">
      <c r="A20" s="20">
        <f t="shared" si="0"/>
        <v>17</v>
      </c>
      <c r="B20" s="20" t="str">
        <f>IFERROR(VLOOKUP(ROW()-3,BookieName[],3,FALSE),"")</f>
        <v>BetWay</v>
      </c>
      <c r="C20" s="21">
        <f>IF(Data[[#This Row],[Bookie]]="","",SUM(Data[[#This Row],[D/W]:[Bonus and Adjustments]],))</f>
        <v>0</v>
      </c>
      <c r="D20" s="21">
        <f>IF(Data[[#This Row],[Bookie]]="","",SUMIF(DWbooks[Bookmaker],(VLOOKUP(ROW()-3,BookieName[],2,FALSE)),DWbooks[Sum]))</f>
        <v>0</v>
      </c>
      <c r="E20" s="20">
        <f>IF(Data[[#This Row],[Bookie]]="","",SUMIF(BetTable[B1],(VLOOKUP(ROW()-3,BookieName[],2,FALSE)),BetTable[S1])*-1)</f>
        <v>0</v>
      </c>
      <c r="F20" s="20">
        <f>IF(Data[[#This Row],[Bookie]]="","",SUMIF(BetTable[B2],(VLOOKUP(ROW()-3,BookieName[],2,FALSE)),BetTable[S2])*-1)</f>
        <v>0</v>
      </c>
      <c r="G20" s="20">
        <f>IF(Data[[#This Row],[Bookie]]="","",SUMIF(BetTable[B3],(VLOOKUP(ROW()-3,BookieName[],2,FALSE)),BetTable[S3])*-1)</f>
        <v>0</v>
      </c>
      <c r="H20" s="20">
        <f>IF(Data[[#This Row],[Bookie]]="","",SUMIF(BetTable[B1],(VLOOKUP(ROW()-3,BookieName[],2,FALSE)),BetTable[WBA1]))</f>
        <v>0</v>
      </c>
      <c r="I20" s="20">
        <f>IF(Data[[#This Row],[Bookie]]="","",SUMIF(BetTable[B2],(VLOOKUP(ROW()-3,BookieName[],2,FALSE)),BetTable[WBA2]))</f>
        <v>0</v>
      </c>
      <c r="J20" s="20">
        <f>IF(Data[[#This Row],[Bookie]]="","",SUMIF(BetTable[B3],(VLOOKUP(ROW()-3,BookieName[],2,FALSE)),BetTable[WBA3]))</f>
        <v>0</v>
      </c>
      <c r="K20" s="20">
        <f>IF(Data[[#This Row],[Bookie]]="","",SUMIF(LayTable[Bookmaker],(VLOOKUP(ROW()-3,BookieName[],2,FALSE)),LayTable[BookieInnsats])*-1)</f>
        <v>0</v>
      </c>
      <c r="L20" s="20">
        <f>IF(Data[[#This Row],[Bookie]]="","",SUMIF(LayTable[Lay-bookie],(VLOOKUP(ROW()-3,BookieName[],2,FALSE)),LayTable[LayLiability])*-1)</f>
        <v>0</v>
      </c>
      <c r="M20" s="20">
        <f>IF(Data[[#This Row],[Bookie]]="","",SUMIF(LayTable[Bookmaker],(VLOOKUP(ROW()-3,BookieName[],2,FALSE)),LayTable[WBABack]))</f>
        <v>0</v>
      </c>
      <c r="N20" s="20">
        <f>IF(Data[[#This Row],[Bookie]]="","",SUMIF(LayTable[Lay-bookie],(VLOOKUP(ROW()-3,BookieName[],2,FALSE)),LayTable[WBALay]))</f>
        <v>0</v>
      </c>
      <c r="O20" s="20">
        <f>IF(Data[[#This Row],[Bookie]]="","",SUMIF(DWbonus[Bookie],(VLOOKUP(ROW()-3,BookieName[],2,FALSE)),DWbonus[Sum]))</f>
        <v>0</v>
      </c>
      <c r="P20" s="20">
        <f>IF(Data[[#This Row],[Bookie]]="","",SUM(Data[[#This Row],[Pending 1]:[PendingL2]]))</f>
        <v>0</v>
      </c>
      <c r="Q20" s="20">
        <f>IF(Data[[#This Row],[Bookie]]="","",SUMIFS(BetTable[S1],BetTable[B1],(VLOOKUP(ROW()-3,BookieName[],2,FALSE)),BetTable[AR],""))</f>
        <v>0</v>
      </c>
      <c r="R20" s="20">
        <f>IF(Data[[#This Row],[Bookie]]="","",SUMIFS(BetTable[S2],BetTable[B2],(VLOOKUP(ROW()-3,BookieName[],2,FALSE)),BetTable[AR],""))</f>
        <v>0</v>
      </c>
      <c r="S20" s="20">
        <f>IF(Data[[#This Row],[Bookie]]="","",SUMIFS(BetTable[S3],BetTable[B3],(VLOOKUP(ROW()-3,BookieName[],2,FALSE)),BetTable[AR],""))</f>
        <v>0</v>
      </c>
      <c r="T20" s="20">
        <f>IF(Data[[#This Row],[Bookie]]="","",SUMIFS(LayTable[BookieInnsats],LayTable[Bookmaker],(VLOOKUP(ROW()-3,BookieName[],2,FALSE)),LayTable[Faktisk res],""))</f>
        <v>0</v>
      </c>
      <c r="U20" s="20">
        <f>IF(Data[[#This Row],[Bookie]]="","",SUMIFS(LayTable[LayLiability],LayTable[Lay-bookie],(VLOOKUP(ROW()-3,BookieName[],2,FALSE)),LayTable[Faktisk res],""))</f>
        <v>0</v>
      </c>
    </row>
    <row r="21" spans="1:21">
      <c r="A21" s="20">
        <f t="shared" si="0"/>
        <v>18</v>
      </c>
      <c r="B21" s="20" t="str">
        <f>IFERROR(VLOOKUP(ROW()-3,BookieName[],3,FALSE),"")</f>
        <v>Casinostugan</v>
      </c>
      <c r="C21" s="21">
        <f>IF(Data[[#This Row],[Bookie]]="","",SUM(Data[[#This Row],[D/W]:[Bonus and Adjustments]],))</f>
        <v>0</v>
      </c>
      <c r="D21" s="21">
        <f>IF(Data[[#This Row],[Bookie]]="","",SUMIF(DWbooks[Bookmaker],(VLOOKUP(ROW()-3,BookieName[],2,FALSE)),DWbooks[Sum]))</f>
        <v>0</v>
      </c>
      <c r="E21" s="20">
        <f>IF(Data[[#This Row],[Bookie]]="","",SUMIF(BetTable[B1],(VLOOKUP(ROW()-3,BookieName[],2,FALSE)),BetTable[S1])*-1)</f>
        <v>0</v>
      </c>
      <c r="F21" s="20">
        <f>IF(Data[[#This Row],[Bookie]]="","",SUMIF(BetTable[B2],(VLOOKUP(ROW()-3,BookieName[],2,FALSE)),BetTable[S2])*-1)</f>
        <v>0</v>
      </c>
      <c r="G21" s="20">
        <f>IF(Data[[#This Row],[Bookie]]="","",SUMIF(BetTable[B3],(VLOOKUP(ROW()-3,BookieName[],2,FALSE)),BetTable[S3])*-1)</f>
        <v>0</v>
      </c>
      <c r="H21" s="20">
        <f>IF(Data[[#This Row],[Bookie]]="","",SUMIF(BetTable[B1],(VLOOKUP(ROW()-3,BookieName[],2,FALSE)),BetTable[WBA1]))</f>
        <v>0</v>
      </c>
      <c r="I21" s="20">
        <f>IF(Data[[#This Row],[Bookie]]="","",SUMIF(BetTable[B2],(VLOOKUP(ROW()-3,BookieName[],2,FALSE)),BetTable[WBA2]))</f>
        <v>0</v>
      </c>
      <c r="J21" s="20">
        <f>IF(Data[[#This Row],[Bookie]]="","",SUMIF(BetTable[B3],(VLOOKUP(ROW()-3,BookieName[],2,FALSE)),BetTable[WBA3]))</f>
        <v>0</v>
      </c>
      <c r="K21" s="20">
        <f>IF(Data[[#This Row],[Bookie]]="","",SUMIF(LayTable[Bookmaker],(VLOOKUP(ROW()-3,BookieName[],2,FALSE)),LayTable[BookieInnsats])*-1)</f>
        <v>0</v>
      </c>
      <c r="L21" s="20">
        <f>IF(Data[[#This Row],[Bookie]]="","",SUMIF(LayTable[Lay-bookie],(VLOOKUP(ROW()-3,BookieName[],2,FALSE)),LayTable[LayLiability])*-1)</f>
        <v>0</v>
      </c>
      <c r="M21" s="20">
        <f>IF(Data[[#This Row],[Bookie]]="","",SUMIF(LayTable[Bookmaker],(VLOOKUP(ROW()-3,BookieName[],2,FALSE)),LayTable[WBABack]))</f>
        <v>0</v>
      </c>
      <c r="N21" s="20">
        <f>IF(Data[[#This Row],[Bookie]]="","",SUMIF(LayTable[Lay-bookie],(VLOOKUP(ROW()-3,BookieName[],2,FALSE)),LayTable[WBALay]))</f>
        <v>0</v>
      </c>
      <c r="O21" s="20">
        <f>IF(Data[[#This Row],[Bookie]]="","",SUMIF(DWbonus[Bookie],(VLOOKUP(ROW()-3,BookieName[],2,FALSE)),DWbonus[Sum]))</f>
        <v>0</v>
      </c>
      <c r="P21" s="20">
        <f>IF(Data[[#This Row],[Bookie]]="","",SUM(Data[[#This Row],[Pending 1]:[PendingL2]]))</f>
        <v>0</v>
      </c>
      <c r="Q21" s="20">
        <f>IF(Data[[#This Row],[Bookie]]="","",SUMIFS(BetTable[S1],BetTable[B1],(VLOOKUP(ROW()-3,BookieName[],2,FALSE)),BetTable[AR],""))</f>
        <v>0</v>
      </c>
      <c r="R21" s="20">
        <f>IF(Data[[#This Row],[Bookie]]="","",SUMIFS(BetTable[S2],BetTable[B2],(VLOOKUP(ROW()-3,BookieName[],2,FALSE)),BetTable[AR],""))</f>
        <v>0</v>
      </c>
      <c r="S21" s="20">
        <f>IF(Data[[#This Row],[Bookie]]="","",SUMIFS(BetTable[S3],BetTable[B3],(VLOOKUP(ROW()-3,BookieName[],2,FALSE)),BetTable[AR],""))</f>
        <v>0</v>
      </c>
      <c r="T21" s="20">
        <f>IF(Data[[#This Row],[Bookie]]="","",SUMIFS(LayTable[BookieInnsats],LayTable[Bookmaker],(VLOOKUP(ROW()-3,BookieName[],2,FALSE)),LayTable[Faktisk res],""))</f>
        <v>0</v>
      </c>
      <c r="U21" s="20">
        <f>IF(Data[[#This Row],[Bookie]]="","",SUMIFS(LayTable[LayLiability],LayTable[Lay-bookie],(VLOOKUP(ROW()-3,BookieName[],2,FALSE)),LayTable[Faktisk res],""))</f>
        <v>0</v>
      </c>
    </row>
    <row r="22" spans="1:21">
      <c r="A22" s="20">
        <f t="shared" si="0"/>
        <v>19</v>
      </c>
      <c r="B22" s="20" t="str">
        <f>IFERROR(VLOOKUP(ROW()-3,BookieName[],3,FALSE),"")</f>
        <v>Casinowinner</v>
      </c>
      <c r="C22" s="21">
        <f>IF(Data[[#This Row],[Bookie]]="","",SUM(Data[[#This Row],[D/W]:[Bonus and Adjustments]],))</f>
        <v>0</v>
      </c>
      <c r="D22" s="21">
        <f>IF(Data[[#This Row],[Bookie]]="","",SUMIF(DWbooks[Bookmaker],(VLOOKUP(ROW()-3,BookieName[],2,FALSE)),DWbooks[Sum]))</f>
        <v>0</v>
      </c>
      <c r="E22" s="20">
        <f>IF(Data[[#This Row],[Bookie]]="","",SUMIF(BetTable[B1],(VLOOKUP(ROW()-3,BookieName[],2,FALSE)),BetTable[S1])*-1)</f>
        <v>0</v>
      </c>
      <c r="F22" s="20">
        <f>IF(Data[[#This Row],[Bookie]]="","",SUMIF(BetTable[B2],(VLOOKUP(ROW()-3,BookieName[],2,FALSE)),BetTable[S2])*-1)</f>
        <v>0</v>
      </c>
      <c r="G22" s="20">
        <f>IF(Data[[#This Row],[Bookie]]="","",SUMIF(BetTable[B3],(VLOOKUP(ROW()-3,BookieName[],2,FALSE)),BetTable[S3])*-1)</f>
        <v>0</v>
      </c>
      <c r="H22" s="20">
        <f>IF(Data[[#This Row],[Bookie]]="","",SUMIF(BetTable[B1],(VLOOKUP(ROW()-3,BookieName[],2,FALSE)),BetTable[WBA1]))</f>
        <v>0</v>
      </c>
      <c r="I22" s="20">
        <f>IF(Data[[#This Row],[Bookie]]="","",SUMIF(BetTable[B2],(VLOOKUP(ROW()-3,BookieName[],2,FALSE)),BetTable[WBA2]))</f>
        <v>0</v>
      </c>
      <c r="J22" s="20">
        <f>IF(Data[[#This Row],[Bookie]]="","",SUMIF(BetTable[B3],(VLOOKUP(ROW()-3,BookieName[],2,FALSE)),BetTable[WBA3]))</f>
        <v>0</v>
      </c>
      <c r="K22" s="20">
        <f>IF(Data[[#This Row],[Bookie]]="","",SUMIF(LayTable[Bookmaker],(VLOOKUP(ROW()-3,BookieName[],2,FALSE)),LayTable[BookieInnsats])*-1)</f>
        <v>0</v>
      </c>
      <c r="L22" s="20">
        <f>IF(Data[[#This Row],[Bookie]]="","",SUMIF(LayTable[Lay-bookie],(VLOOKUP(ROW()-3,BookieName[],2,FALSE)),LayTable[LayLiability])*-1)</f>
        <v>0</v>
      </c>
      <c r="M22" s="20">
        <f>IF(Data[[#This Row],[Bookie]]="","",SUMIF(LayTable[Bookmaker],(VLOOKUP(ROW()-3,BookieName[],2,FALSE)),LayTable[WBABack]))</f>
        <v>0</v>
      </c>
      <c r="N22" s="20">
        <f>IF(Data[[#This Row],[Bookie]]="","",SUMIF(LayTable[Lay-bookie],(VLOOKUP(ROW()-3,BookieName[],2,FALSE)),LayTable[WBALay]))</f>
        <v>0</v>
      </c>
      <c r="O22" s="20">
        <f>IF(Data[[#This Row],[Bookie]]="","",SUMIF(DWbonus[Bookie],(VLOOKUP(ROW()-3,BookieName[],2,FALSE)),DWbonus[Sum]))</f>
        <v>0</v>
      </c>
      <c r="P22" s="20">
        <f>IF(Data[[#This Row],[Bookie]]="","",SUM(Data[[#This Row],[Pending 1]:[PendingL2]]))</f>
        <v>0</v>
      </c>
      <c r="Q22" s="20">
        <f>IF(Data[[#This Row],[Bookie]]="","",SUMIFS(BetTable[S1],BetTable[B1],(VLOOKUP(ROW()-3,BookieName[],2,FALSE)),BetTable[AR],""))</f>
        <v>0</v>
      </c>
      <c r="R22" s="20">
        <f>IF(Data[[#This Row],[Bookie]]="","",SUMIFS(BetTable[S2],BetTable[B2],(VLOOKUP(ROW()-3,BookieName[],2,FALSE)),BetTable[AR],""))</f>
        <v>0</v>
      </c>
      <c r="S22" s="20">
        <f>IF(Data[[#This Row],[Bookie]]="","",SUMIFS(BetTable[S3],BetTable[B3],(VLOOKUP(ROW()-3,BookieName[],2,FALSE)),BetTable[AR],""))</f>
        <v>0</v>
      </c>
      <c r="T22" s="20">
        <f>IF(Data[[#This Row],[Bookie]]="","",SUMIFS(LayTable[BookieInnsats],LayTable[Bookmaker],(VLOOKUP(ROW()-3,BookieName[],2,FALSE)),LayTable[Faktisk res],""))</f>
        <v>0</v>
      </c>
      <c r="U22" s="20">
        <f>IF(Data[[#This Row],[Bookie]]="","",SUMIFS(LayTable[LayLiability],LayTable[Lay-bookie],(VLOOKUP(ROW()-3,BookieName[],2,FALSE)),LayTable[Faktisk res],""))</f>
        <v>0</v>
      </c>
    </row>
    <row r="23" spans="1:21">
      <c r="A23" s="20">
        <f t="shared" si="0"/>
        <v>20</v>
      </c>
      <c r="B23" s="20" t="str">
        <f>IFERROR(VLOOKUP(ROW()-3,BookieName[],3,FALSE),"")</f>
        <v>CherryCasino</v>
      </c>
      <c r="C23" s="21">
        <f>IF(Data[[#This Row],[Bookie]]="","",SUM(Data[[#This Row],[D/W]:[Bonus and Adjustments]],))</f>
        <v>0</v>
      </c>
      <c r="D23" s="21">
        <f>IF(Data[[#This Row],[Bookie]]="","",SUMIF(DWbooks[Bookmaker],(VLOOKUP(ROW()-3,BookieName[],2,FALSE)),DWbooks[Sum]))</f>
        <v>0</v>
      </c>
      <c r="E23" s="20">
        <f>IF(Data[[#This Row],[Bookie]]="","",SUMIF(BetTable[B1],(VLOOKUP(ROW()-3,BookieName[],2,FALSE)),BetTable[S1])*-1)</f>
        <v>0</v>
      </c>
      <c r="F23" s="20">
        <f>IF(Data[[#This Row],[Bookie]]="","",SUMIF(BetTable[B2],(VLOOKUP(ROW()-3,BookieName[],2,FALSE)),BetTable[S2])*-1)</f>
        <v>0</v>
      </c>
      <c r="G23" s="20">
        <f>IF(Data[[#This Row],[Bookie]]="","",SUMIF(BetTable[B3],(VLOOKUP(ROW()-3,BookieName[],2,FALSE)),BetTable[S3])*-1)</f>
        <v>0</v>
      </c>
      <c r="H23" s="20">
        <f>IF(Data[[#This Row],[Bookie]]="","",SUMIF(BetTable[B1],(VLOOKUP(ROW()-3,BookieName[],2,FALSE)),BetTable[WBA1]))</f>
        <v>0</v>
      </c>
      <c r="I23" s="20">
        <f>IF(Data[[#This Row],[Bookie]]="","",SUMIF(BetTable[B2],(VLOOKUP(ROW()-3,BookieName[],2,FALSE)),BetTable[WBA2]))</f>
        <v>0</v>
      </c>
      <c r="J23" s="20">
        <f>IF(Data[[#This Row],[Bookie]]="","",SUMIF(BetTable[B3],(VLOOKUP(ROW()-3,BookieName[],2,FALSE)),BetTable[WBA3]))</f>
        <v>0</v>
      </c>
      <c r="K23" s="20">
        <f>IF(Data[[#This Row],[Bookie]]="","",SUMIF(LayTable[Bookmaker],(VLOOKUP(ROW()-3,BookieName[],2,FALSE)),LayTable[BookieInnsats])*-1)</f>
        <v>0</v>
      </c>
      <c r="L23" s="20">
        <f>IF(Data[[#This Row],[Bookie]]="","",SUMIF(LayTable[Lay-bookie],(VLOOKUP(ROW()-3,BookieName[],2,FALSE)),LayTable[LayLiability])*-1)</f>
        <v>0</v>
      </c>
      <c r="M23" s="20">
        <f>IF(Data[[#This Row],[Bookie]]="","",SUMIF(LayTable[Bookmaker],(VLOOKUP(ROW()-3,BookieName[],2,FALSE)),LayTable[WBABack]))</f>
        <v>0</v>
      </c>
      <c r="N23" s="20">
        <f>IF(Data[[#This Row],[Bookie]]="","",SUMIF(LayTable[Lay-bookie],(VLOOKUP(ROW()-3,BookieName[],2,FALSE)),LayTable[WBALay]))</f>
        <v>0</v>
      </c>
      <c r="O23" s="20">
        <f>IF(Data[[#This Row],[Bookie]]="","",SUMIF(DWbonus[Bookie],(VLOOKUP(ROW()-3,BookieName[],2,FALSE)),DWbonus[Sum]))</f>
        <v>0</v>
      </c>
      <c r="P23" s="20">
        <f>IF(Data[[#This Row],[Bookie]]="","",SUM(Data[[#This Row],[Pending 1]:[PendingL2]]))</f>
        <v>0</v>
      </c>
      <c r="Q23" s="20">
        <f>IF(Data[[#This Row],[Bookie]]="","",SUMIFS(BetTable[S1],BetTable[B1],(VLOOKUP(ROW()-3,BookieName[],2,FALSE)),BetTable[AR],""))</f>
        <v>0</v>
      </c>
      <c r="R23" s="20">
        <f>IF(Data[[#This Row],[Bookie]]="","",SUMIFS(BetTable[S2],BetTable[B2],(VLOOKUP(ROW()-3,BookieName[],2,FALSE)),BetTable[AR],""))</f>
        <v>0</v>
      </c>
      <c r="S23" s="20">
        <f>IF(Data[[#This Row],[Bookie]]="","",SUMIFS(BetTable[S3],BetTable[B3],(VLOOKUP(ROW()-3,BookieName[],2,FALSE)),BetTable[AR],""))</f>
        <v>0</v>
      </c>
      <c r="T23" s="20">
        <f>IF(Data[[#This Row],[Bookie]]="","",SUMIFS(LayTable[BookieInnsats],LayTable[Bookmaker],(VLOOKUP(ROW()-3,BookieName[],2,FALSE)),LayTable[Faktisk res],""))</f>
        <v>0</v>
      </c>
      <c r="U23" s="20">
        <f>IF(Data[[#This Row],[Bookie]]="","",SUMIFS(LayTable[LayLiability],LayTable[Lay-bookie],(VLOOKUP(ROW()-3,BookieName[],2,FALSE)),LayTable[Faktisk res],""))</f>
        <v>0</v>
      </c>
    </row>
    <row r="24" spans="1:21">
      <c r="A24" s="20">
        <f t="shared" si="0"/>
        <v>21</v>
      </c>
      <c r="B24" s="20" t="str">
        <f>IFERROR(VLOOKUP(ROW()-3,BookieName[],3,FALSE),"")</f>
        <v>Cloudbet</v>
      </c>
      <c r="C24" s="21">
        <f>IF(Data[[#This Row],[Bookie]]="","",SUM(Data[[#This Row],[D/W]:[Bonus and Adjustments]],))</f>
        <v>0</v>
      </c>
      <c r="D24" s="21">
        <f>IF(Data[[#This Row],[Bookie]]="","",SUMIF(DWbooks[Bookmaker],(VLOOKUP(ROW()-3,BookieName[],2,FALSE)),DWbooks[Sum]))</f>
        <v>0</v>
      </c>
      <c r="E24" s="20">
        <f>IF(Data[[#This Row],[Bookie]]="","",SUMIF(BetTable[B1],(VLOOKUP(ROW()-3,BookieName[],2,FALSE)),BetTable[S1])*-1)</f>
        <v>0</v>
      </c>
      <c r="F24" s="20">
        <f>IF(Data[[#This Row],[Bookie]]="","",SUMIF(BetTable[B2],(VLOOKUP(ROW()-3,BookieName[],2,FALSE)),BetTable[S2])*-1)</f>
        <v>0</v>
      </c>
      <c r="G24" s="20">
        <f>IF(Data[[#This Row],[Bookie]]="","",SUMIF(BetTable[B3],(VLOOKUP(ROW()-3,BookieName[],2,FALSE)),BetTable[S3])*-1)</f>
        <v>0</v>
      </c>
      <c r="H24" s="20">
        <f>IF(Data[[#This Row],[Bookie]]="","",SUMIF(BetTable[B1],(VLOOKUP(ROW()-3,BookieName[],2,FALSE)),BetTable[WBA1]))</f>
        <v>0</v>
      </c>
      <c r="I24" s="20">
        <f>IF(Data[[#This Row],[Bookie]]="","",SUMIF(BetTable[B2],(VLOOKUP(ROW()-3,BookieName[],2,FALSE)),BetTable[WBA2]))</f>
        <v>0</v>
      </c>
      <c r="J24" s="20">
        <f>IF(Data[[#This Row],[Bookie]]="","",SUMIF(BetTable[B3],(VLOOKUP(ROW()-3,BookieName[],2,FALSE)),BetTable[WBA3]))</f>
        <v>0</v>
      </c>
      <c r="K24" s="20">
        <f>IF(Data[[#This Row],[Bookie]]="","",SUMIF(LayTable[Bookmaker],(VLOOKUP(ROW()-3,BookieName[],2,FALSE)),LayTable[BookieInnsats])*-1)</f>
        <v>0</v>
      </c>
      <c r="L24" s="20">
        <f>IF(Data[[#This Row],[Bookie]]="","",SUMIF(LayTable[Lay-bookie],(VLOOKUP(ROW()-3,BookieName[],2,FALSE)),LayTable[LayLiability])*-1)</f>
        <v>0</v>
      </c>
      <c r="M24" s="20">
        <f>IF(Data[[#This Row],[Bookie]]="","",SUMIF(LayTable[Bookmaker],(VLOOKUP(ROW()-3,BookieName[],2,FALSE)),LayTable[WBABack]))</f>
        <v>0</v>
      </c>
      <c r="N24" s="20">
        <f>IF(Data[[#This Row],[Bookie]]="","",SUMIF(LayTable[Lay-bookie],(VLOOKUP(ROW()-3,BookieName[],2,FALSE)),LayTable[WBALay]))</f>
        <v>0</v>
      </c>
      <c r="O24" s="20">
        <f>IF(Data[[#This Row],[Bookie]]="","",SUMIF(DWbonus[Bookie],(VLOOKUP(ROW()-3,BookieName[],2,FALSE)),DWbonus[Sum]))</f>
        <v>0</v>
      </c>
      <c r="P24" s="20">
        <f>IF(Data[[#This Row],[Bookie]]="","",SUM(Data[[#This Row],[Pending 1]:[PendingL2]]))</f>
        <v>0</v>
      </c>
      <c r="Q24" s="20">
        <f>IF(Data[[#This Row],[Bookie]]="","",SUMIFS(BetTable[S1],BetTable[B1],(VLOOKUP(ROW()-3,BookieName[],2,FALSE)),BetTable[AR],""))</f>
        <v>0</v>
      </c>
      <c r="R24" s="20">
        <f>IF(Data[[#This Row],[Bookie]]="","",SUMIFS(BetTable[S2],BetTable[B2],(VLOOKUP(ROW()-3,BookieName[],2,FALSE)),BetTable[AR],""))</f>
        <v>0</v>
      </c>
      <c r="S24" s="20">
        <f>IF(Data[[#This Row],[Bookie]]="","",SUMIFS(BetTable[S3],BetTable[B3],(VLOOKUP(ROW()-3,BookieName[],2,FALSE)),BetTable[AR],""))</f>
        <v>0</v>
      </c>
      <c r="T24" s="20">
        <f>IF(Data[[#This Row],[Bookie]]="","",SUMIFS(LayTable[BookieInnsats],LayTable[Bookmaker],(VLOOKUP(ROW()-3,BookieName[],2,FALSE)),LayTable[Faktisk res],""))</f>
        <v>0</v>
      </c>
      <c r="U24" s="20">
        <f>IF(Data[[#This Row],[Bookie]]="","",SUMIFS(LayTable[LayLiability],LayTable[Lay-bookie],(VLOOKUP(ROW()-3,BookieName[],2,FALSE)),LayTable[Faktisk res],""))</f>
        <v>0</v>
      </c>
    </row>
    <row r="25" spans="1:21">
      <c r="A25" s="20">
        <f t="shared" si="0"/>
        <v>22</v>
      </c>
      <c r="B25" s="20" t="str">
        <f>IFERROR(VLOOKUP(ROW()-3,BookieName[],3,FALSE),"")</f>
        <v>Comeon</v>
      </c>
      <c r="C25" s="21">
        <f>IF(Data[[#This Row],[Bookie]]="","",SUM(Data[[#This Row],[D/W]:[Bonus and Adjustments]],))</f>
        <v>0</v>
      </c>
      <c r="D25" s="21">
        <f>IF(Data[[#This Row],[Bookie]]="","",SUMIF(DWbooks[Bookmaker],(VLOOKUP(ROW()-3,BookieName[],2,FALSE)),DWbooks[Sum]))</f>
        <v>0</v>
      </c>
      <c r="E25" s="20">
        <f>IF(Data[[#This Row],[Bookie]]="","",SUMIF(BetTable[B1],(VLOOKUP(ROW()-3,BookieName[],2,FALSE)),BetTable[S1])*-1)</f>
        <v>0</v>
      </c>
      <c r="F25" s="20">
        <f>IF(Data[[#This Row],[Bookie]]="","",SUMIF(BetTable[B2],(VLOOKUP(ROW()-3,BookieName[],2,FALSE)),BetTable[S2])*-1)</f>
        <v>0</v>
      </c>
      <c r="G25" s="20">
        <f>IF(Data[[#This Row],[Bookie]]="","",SUMIF(BetTable[B3],(VLOOKUP(ROW()-3,BookieName[],2,FALSE)),BetTable[S3])*-1)</f>
        <v>0</v>
      </c>
      <c r="H25" s="20">
        <f>IF(Data[[#This Row],[Bookie]]="","",SUMIF(BetTable[B1],(VLOOKUP(ROW()-3,BookieName[],2,FALSE)),BetTable[WBA1]))</f>
        <v>0</v>
      </c>
      <c r="I25" s="20">
        <f>IF(Data[[#This Row],[Bookie]]="","",SUMIF(BetTable[B2],(VLOOKUP(ROW()-3,BookieName[],2,FALSE)),BetTable[WBA2]))</f>
        <v>0</v>
      </c>
      <c r="J25" s="20">
        <f>IF(Data[[#This Row],[Bookie]]="","",SUMIF(BetTable[B3],(VLOOKUP(ROW()-3,BookieName[],2,FALSE)),BetTable[WBA3]))</f>
        <v>0</v>
      </c>
      <c r="K25" s="20">
        <f>IF(Data[[#This Row],[Bookie]]="","",SUMIF(LayTable[Bookmaker],(VLOOKUP(ROW()-3,BookieName[],2,FALSE)),LayTable[BookieInnsats])*-1)</f>
        <v>0</v>
      </c>
      <c r="L25" s="20">
        <f>IF(Data[[#This Row],[Bookie]]="","",SUMIF(LayTable[Lay-bookie],(VLOOKUP(ROW()-3,BookieName[],2,FALSE)),LayTable[LayLiability])*-1)</f>
        <v>0</v>
      </c>
      <c r="M25" s="20">
        <f>IF(Data[[#This Row],[Bookie]]="","",SUMIF(LayTable[Bookmaker],(VLOOKUP(ROW()-3,BookieName[],2,FALSE)),LayTable[WBABack]))</f>
        <v>0</v>
      </c>
      <c r="N25" s="20">
        <f>IF(Data[[#This Row],[Bookie]]="","",SUMIF(LayTable[Lay-bookie],(VLOOKUP(ROW()-3,BookieName[],2,FALSE)),LayTable[WBALay]))</f>
        <v>0</v>
      </c>
      <c r="O25" s="20">
        <f>IF(Data[[#This Row],[Bookie]]="","",SUMIF(DWbonus[Bookie],(VLOOKUP(ROW()-3,BookieName[],2,FALSE)),DWbonus[Sum]))</f>
        <v>0</v>
      </c>
      <c r="P25" s="20">
        <f>IF(Data[[#This Row],[Bookie]]="","",SUM(Data[[#This Row],[Pending 1]:[PendingL2]]))</f>
        <v>0</v>
      </c>
      <c r="Q25" s="20">
        <f>IF(Data[[#This Row],[Bookie]]="","",SUMIFS(BetTable[S1],BetTable[B1],(VLOOKUP(ROW()-3,BookieName[],2,FALSE)),BetTable[AR],""))</f>
        <v>0</v>
      </c>
      <c r="R25" s="20">
        <f>IF(Data[[#This Row],[Bookie]]="","",SUMIFS(BetTable[S2],BetTable[B2],(VLOOKUP(ROW()-3,BookieName[],2,FALSE)),BetTable[AR],""))</f>
        <v>0</v>
      </c>
      <c r="S25" s="20">
        <f>IF(Data[[#This Row],[Bookie]]="","",SUMIFS(BetTable[S3],BetTable[B3],(VLOOKUP(ROW()-3,BookieName[],2,FALSE)),BetTable[AR],""))</f>
        <v>0</v>
      </c>
      <c r="T25" s="20">
        <f>IF(Data[[#This Row],[Bookie]]="","",SUMIFS(LayTable[BookieInnsats],LayTable[Bookmaker],(VLOOKUP(ROW()-3,BookieName[],2,FALSE)),LayTable[Faktisk res],""))</f>
        <v>0</v>
      </c>
      <c r="U25" s="20">
        <f>IF(Data[[#This Row],[Bookie]]="","",SUMIFS(LayTable[LayLiability],LayTable[Lay-bookie],(VLOOKUP(ROW()-3,BookieName[],2,FALSE)),LayTable[Faktisk res],""))</f>
        <v>0</v>
      </c>
    </row>
    <row r="26" spans="1:21">
      <c r="A26" s="20">
        <f t="shared" si="0"/>
        <v>23</v>
      </c>
      <c r="B26" s="20" t="str">
        <f>IFERROR(VLOOKUP(ROW()-3,BookieName[],3,FALSE),"")</f>
        <v>Coolbet</v>
      </c>
      <c r="C26" s="21">
        <f>IF(Data[[#This Row],[Bookie]]="","",SUM(Data[[#This Row],[D/W]:[Bonus and Adjustments]],))</f>
        <v>200</v>
      </c>
      <c r="D26" s="21">
        <f>IF(Data[[#This Row],[Bookie]]="","",SUMIF(DWbooks[Bookmaker],(VLOOKUP(ROW()-3,BookieName[],2,FALSE)),DWbooks[Sum]))</f>
        <v>200</v>
      </c>
      <c r="E26" s="20">
        <f>IF(Data[[#This Row],[Bookie]]="","",SUMIF(BetTable[B1],(VLOOKUP(ROW()-3,BookieName[],2,FALSE)),BetTable[S1])*-1)</f>
        <v>0</v>
      </c>
      <c r="F26" s="20">
        <f>IF(Data[[#This Row],[Bookie]]="","",SUMIF(BetTable[B2],(VLOOKUP(ROW()-3,BookieName[],2,FALSE)),BetTable[S2])*-1)</f>
        <v>0</v>
      </c>
      <c r="G26" s="20">
        <f>IF(Data[[#This Row],[Bookie]]="","",SUMIF(BetTable[B3],(VLOOKUP(ROW()-3,BookieName[],2,FALSE)),BetTable[S3])*-1)</f>
        <v>0</v>
      </c>
      <c r="H26" s="20">
        <f>IF(Data[[#This Row],[Bookie]]="","",SUMIF(BetTable[B1],(VLOOKUP(ROW()-3,BookieName[],2,FALSE)),BetTable[WBA1]))</f>
        <v>0</v>
      </c>
      <c r="I26" s="20">
        <f>IF(Data[[#This Row],[Bookie]]="","",SUMIF(BetTable[B2],(VLOOKUP(ROW()-3,BookieName[],2,FALSE)),BetTable[WBA2]))</f>
        <v>0</v>
      </c>
      <c r="J26" s="20">
        <f>IF(Data[[#This Row],[Bookie]]="","",SUMIF(BetTable[B3],(VLOOKUP(ROW()-3,BookieName[],2,FALSE)),BetTable[WBA3]))</f>
        <v>0</v>
      </c>
      <c r="K26" s="20">
        <f>IF(Data[[#This Row],[Bookie]]="","",SUMIF(LayTable[Bookmaker],(VLOOKUP(ROW()-3,BookieName[],2,FALSE)),LayTable[BookieInnsats])*-1)</f>
        <v>0</v>
      </c>
      <c r="L26" s="20">
        <f>IF(Data[[#This Row],[Bookie]]="","",SUMIF(LayTable[Lay-bookie],(VLOOKUP(ROW()-3,BookieName[],2,FALSE)),LayTable[LayLiability])*-1)</f>
        <v>0</v>
      </c>
      <c r="M26" s="20">
        <f>IF(Data[[#This Row],[Bookie]]="","",SUMIF(LayTable[Bookmaker],(VLOOKUP(ROW()-3,BookieName[],2,FALSE)),LayTable[WBABack]))</f>
        <v>0</v>
      </c>
      <c r="N26" s="20">
        <f>IF(Data[[#This Row],[Bookie]]="","",SUMIF(LayTable[Lay-bookie],(VLOOKUP(ROW()-3,BookieName[],2,FALSE)),LayTable[WBALay]))</f>
        <v>0</v>
      </c>
      <c r="O26" s="20">
        <f>IF(Data[[#This Row],[Bookie]]="","",SUMIF(DWbonus[Bookie],(VLOOKUP(ROW()-3,BookieName[],2,FALSE)),DWbonus[Sum]))</f>
        <v>0</v>
      </c>
      <c r="P26" s="20">
        <f>IF(Data[[#This Row],[Bookie]]="","",SUM(Data[[#This Row],[Pending 1]:[PendingL2]]))</f>
        <v>0</v>
      </c>
      <c r="Q26" s="20">
        <f>IF(Data[[#This Row],[Bookie]]="","",SUMIFS(BetTable[S1],BetTable[B1],(VLOOKUP(ROW()-3,BookieName[],2,FALSE)),BetTable[AR],""))</f>
        <v>0</v>
      </c>
      <c r="R26" s="20">
        <f>IF(Data[[#This Row],[Bookie]]="","",SUMIFS(BetTable[S2],BetTable[B2],(VLOOKUP(ROW()-3,BookieName[],2,FALSE)),BetTable[AR],""))</f>
        <v>0</v>
      </c>
      <c r="S26" s="20">
        <f>IF(Data[[#This Row],[Bookie]]="","",SUMIFS(BetTable[S3],BetTable[B3],(VLOOKUP(ROW()-3,BookieName[],2,FALSE)),BetTable[AR],""))</f>
        <v>0</v>
      </c>
      <c r="T26" s="20">
        <f>IF(Data[[#This Row],[Bookie]]="","",SUMIFS(LayTable[BookieInnsats],LayTable[Bookmaker],(VLOOKUP(ROW()-3,BookieName[],2,FALSE)),LayTable[Faktisk res],""))</f>
        <v>0</v>
      </c>
      <c r="U26" s="20">
        <f>IF(Data[[#This Row],[Bookie]]="","",SUMIFS(LayTable[LayLiability],LayTable[Lay-bookie],(VLOOKUP(ROW()-3,BookieName[],2,FALSE)),LayTable[Faktisk res],""))</f>
        <v>0</v>
      </c>
    </row>
    <row r="27" spans="1:21">
      <c r="A27" s="20">
        <f t="shared" si="0"/>
        <v>24</v>
      </c>
      <c r="B27" s="20" t="str">
        <f>IFERROR(VLOOKUP(ROW()-3,BookieName[],3,FALSE),"")</f>
        <v>ExclusiveBet</v>
      </c>
      <c r="C27" s="21">
        <f>IF(Data[[#This Row],[Bookie]]="","",SUM(Data[[#This Row],[D/W]:[Bonus and Adjustments]],))</f>
        <v>0</v>
      </c>
      <c r="D27" s="21">
        <f>IF(Data[[#This Row],[Bookie]]="","",SUMIF(DWbooks[Bookmaker],(VLOOKUP(ROW()-3,BookieName[],2,FALSE)),DWbooks[Sum]))</f>
        <v>0</v>
      </c>
      <c r="E27" s="20">
        <f>IF(Data[[#This Row],[Bookie]]="","",SUMIF(BetTable[B1],(VLOOKUP(ROW()-3,BookieName[],2,FALSE)),BetTable[S1])*-1)</f>
        <v>0</v>
      </c>
      <c r="F27" s="20">
        <f>IF(Data[[#This Row],[Bookie]]="","",SUMIF(BetTable[B2],(VLOOKUP(ROW()-3,BookieName[],2,FALSE)),BetTable[S2])*-1)</f>
        <v>0</v>
      </c>
      <c r="G27" s="20">
        <f>IF(Data[[#This Row],[Bookie]]="","",SUMIF(BetTable[B3],(VLOOKUP(ROW()-3,BookieName[],2,FALSE)),BetTable[S3])*-1)</f>
        <v>0</v>
      </c>
      <c r="H27" s="20">
        <f>IF(Data[[#This Row],[Bookie]]="","",SUMIF(BetTable[B1],(VLOOKUP(ROW()-3,BookieName[],2,FALSE)),BetTable[WBA1]))</f>
        <v>0</v>
      </c>
      <c r="I27" s="20">
        <f>IF(Data[[#This Row],[Bookie]]="","",SUMIF(BetTable[B2],(VLOOKUP(ROW()-3,BookieName[],2,FALSE)),BetTable[WBA2]))</f>
        <v>0</v>
      </c>
      <c r="J27" s="20">
        <f>IF(Data[[#This Row],[Bookie]]="","",SUMIF(BetTable[B3],(VLOOKUP(ROW()-3,BookieName[],2,FALSE)),BetTable[WBA3]))</f>
        <v>0</v>
      </c>
      <c r="K27" s="20">
        <f>IF(Data[[#This Row],[Bookie]]="","",SUMIF(LayTable[Bookmaker],(VLOOKUP(ROW()-3,BookieName[],2,FALSE)),LayTable[BookieInnsats])*-1)</f>
        <v>0</v>
      </c>
      <c r="L27" s="20">
        <f>IF(Data[[#This Row],[Bookie]]="","",SUMIF(LayTable[Lay-bookie],(VLOOKUP(ROW()-3,BookieName[],2,FALSE)),LayTable[LayLiability])*-1)</f>
        <v>0</v>
      </c>
      <c r="M27" s="20">
        <f>IF(Data[[#This Row],[Bookie]]="","",SUMIF(LayTable[Bookmaker],(VLOOKUP(ROW()-3,BookieName[],2,FALSE)),LayTable[WBABack]))</f>
        <v>0</v>
      </c>
      <c r="N27" s="20">
        <f>IF(Data[[#This Row],[Bookie]]="","",SUMIF(LayTable[Lay-bookie],(VLOOKUP(ROW()-3,BookieName[],2,FALSE)),LayTable[WBALay]))</f>
        <v>0</v>
      </c>
      <c r="O27" s="20">
        <f>IF(Data[[#This Row],[Bookie]]="","",SUMIF(DWbonus[Bookie],(VLOOKUP(ROW()-3,BookieName[],2,FALSE)),DWbonus[Sum]))</f>
        <v>0</v>
      </c>
      <c r="P27" s="20">
        <f>IF(Data[[#This Row],[Bookie]]="","",SUM(Data[[#This Row],[Pending 1]:[PendingL2]]))</f>
        <v>0</v>
      </c>
      <c r="Q27" s="20">
        <f>IF(Data[[#This Row],[Bookie]]="","",SUMIFS(BetTable[S1],BetTable[B1],(VLOOKUP(ROW()-3,BookieName[],2,FALSE)),BetTable[AR],""))</f>
        <v>0</v>
      </c>
      <c r="R27" s="20">
        <f>IF(Data[[#This Row],[Bookie]]="","",SUMIFS(BetTable[S2],BetTable[B2],(VLOOKUP(ROW()-3,BookieName[],2,FALSE)),BetTable[AR],""))</f>
        <v>0</v>
      </c>
      <c r="S27" s="20">
        <f>IF(Data[[#This Row],[Bookie]]="","",SUMIFS(BetTable[S3],BetTable[B3],(VLOOKUP(ROW()-3,BookieName[],2,FALSE)),BetTable[AR],""))</f>
        <v>0</v>
      </c>
      <c r="T27" s="20">
        <f>IF(Data[[#This Row],[Bookie]]="","",SUMIFS(LayTable[BookieInnsats],LayTable[Bookmaker],(VLOOKUP(ROW()-3,BookieName[],2,FALSE)),LayTable[Faktisk res],""))</f>
        <v>0</v>
      </c>
      <c r="U27" s="20">
        <f>IF(Data[[#This Row],[Bookie]]="","",SUMIFS(LayTable[LayLiability],LayTable[Lay-bookie],(VLOOKUP(ROW()-3,BookieName[],2,FALSE)),LayTable[Faktisk res],""))</f>
        <v>0</v>
      </c>
    </row>
    <row r="28" spans="1:21">
      <c r="A28" s="20">
        <f t="shared" si="0"/>
        <v>25</v>
      </c>
      <c r="B28" s="20" t="str">
        <f>IFERROR(VLOOKUP(ROW()-3,BookieName[],3,FALSE),"")</f>
        <v>Expekt</v>
      </c>
      <c r="C28" s="21">
        <f>IF(Data[[#This Row],[Bookie]]="","",SUM(Data[[#This Row],[D/W]:[Bonus and Adjustments]],))</f>
        <v>0</v>
      </c>
      <c r="D28" s="21">
        <f>IF(Data[[#This Row],[Bookie]]="","",SUMIF(DWbooks[Bookmaker],(VLOOKUP(ROW()-3,BookieName[],2,FALSE)),DWbooks[Sum]))</f>
        <v>0</v>
      </c>
      <c r="E28" s="20">
        <f>IF(Data[[#This Row],[Bookie]]="","",SUMIF(BetTable[B1],(VLOOKUP(ROW()-3,BookieName[],2,FALSE)),BetTable[S1])*-1)</f>
        <v>0</v>
      </c>
      <c r="F28" s="20">
        <f>IF(Data[[#This Row],[Bookie]]="","",SUMIF(BetTable[B2],(VLOOKUP(ROW()-3,BookieName[],2,FALSE)),BetTable[S2])*-1)</f>
        <v>0</v>
      </c>
      <c r="G28" s="20">
        <f>IF(Data[[#This Row],[Bookie]]="","",SUMIF(BetTable[B3],(VLOOKUP(ROW()-3,BookieName[],2,FALSE)),BetTable[S3])*-1)</f>
        <v>0</v>
      </c>
      <c r="H28" s="20">
        <f>IF(Data[[#This Row],[Bookie]]="","",SUMIF(BetTable[B1],(VLOOKUP(ROW()-3,BookieName[],2,FALSE)),BetTable[WBA1]))</f>
        <v>0</v>
      </c>
      <c r="I28" s="20">
        <f>IF(Data[[#This Row],[Bookie]]="","",SUMIF(BetTable[B2],(VLOOKUP(ROW()-3,BookieName[],2,FALSE)),BetTable[WBA2]))</f>
        <v>0</v>
      </c>
      <c r="J28" s="20">
        <f>IF(Data[[#This Row],[Bookie]]="","",SUMIF(BetTable[B3],(VLOOKUP(ROW()-3,BookieName[],2,FALSE)),BetTable[WBA3]))</f>
        <v>0</v>
      </c>
      <c r="K28" s="20">
        <f>IF(Data[[#This Row],[Bookie]]="","",SUMIF(LayTable[Bookmaker],(VLOOKUP(ROW()-3,BookieName[],2,FALSE)),LayTable[BookieInnsats])*-1)</f>
        <v>0</v>
      </c>
      <c r="L28" s="20">
        <f>IF(Data[[#This Row],[Bookie]]="","",SUMIF(LayTable[Lay-bookie],(VLOOKUP(ROW()-3,BookieName[],2,FALSE)),LayTable[LayLiability])*-1)</f>
        <v>0</v>
      </c>
      <c r="M28" s="20">
        <f>IF(Data[[#This Row],[Bookie]]="","",SUMIF(LayTable[Bookmaker],(VLOOKUP(ROW()-3,BookieName[],2,FALSE)),LayTable[WBABack]))</f>
        <v>0</v>
      </c>
      <c r="N28" s="20">
        <f>IF(Data[[#This Row],[Bookie]]="","",SUMIF(LayTable[Lay-bookie],(VLOOKUP(ROW()-3,BookieName[],2,FALSE)),LayTable[WBALay]))</f>
        <v>0</v>
      </c>
      <c r="O28" s="20">
        <f>IF(Data[[#This Row],[Bookie]]="","",SUMIF(DWbonus[Bookie],(VLOOKUP(ROW()-3,BookieName[],2,FALSE)),DWbonus[Sum]))</f>
        <v>0</v>
      </c>
      <c r="P28" s="20">
        <f>IF(Data[[#This Row],[Bookie]]="","",SUM(Data[[#This Row],[Pending 1]:[PendingL2]]))</f>
        <v>0</v>
      </c>
      <c r="Q28" s="20">
        <f>IF(Data[[#This Row],[Bookie]]="","",SUMIFS(BetTable[S1],BetTable[B1],(VLOOKUP(ROW()-3,BookieName[],2,FALSE)),BetTable[AR],""))</f>
        <v>0</v>
      </c>
      <c r="R28" s="20">
        <f>IF(Data[[#This Row],[Bookie]]="","",SUMIFS(BetTable[S2],BetTable[B2],(VLOOKUP(ROW()-3,BookieName[],2,FALSE)),BetTable[AR],""))</f>
        <v>0</v>
      </c>
      <c r="S28" s="20">
        <f>IF(Data[[#This Row],[Bookie]]="","",SUMIFS(BetTable[S3],BetTable[B3],(VLOOKUP(ROW()-3,BookieName[],2,FALSE)),BetTable[AR],""))</f>
        <v>0</v>
      </c>
      <c r="T28" s="20">
        <f>IF(Data[[#This Row],[Bookie]]="","",SUMIFS(LayTable[BookieInnsats],LayTable[Bookmaker],(VLOOKUP(ROW()-3,BookieName[],2,FALSE)),LayTable[Faktisk res],""))</f>
        <v>0</v>
      </c>
      <c r="U28" s="20">
        <f>IF(Data[[#This Row],[Bookie]]="","",SUMIFS(LayTable[LayLiability],LayTable[Lay-bookie],(VLOOKUP(ROW()-3,BookieName[],2,FALSE)),LayTable[Faktisk res],""))</f>
        <v>0</v>
      </c>
    </row>
    <row r="29" spans="1:21">
      <c r="A29" s="20">
        <f t="shared" si="0"/>
        <v>26</v>
      </c>
      <c r="B29" s="20" t="str">
        <f>IFERROR(VLOOKUP(ROW()-3,BookieName[],3,FALSE),"")</f>
        <v>Fansbet</v>
      </c>
      <c r="C29" s="21">
        <f>IF(Data[[#This Row],[Bookie]]="","",SUM(Data[[#This Row],[D/W]:[Bonus and Adjustments]],))</f>
        <v>0</v>
      </c>
      <c r="D29" s="21">
        <f>IF(Data[[#This Row],[Bookie]]="","",SUMIF(DWbooks[Bookmaker],(VLOOKUP(ROW()-3,BookieName[],2,FALSE)),DWbooks[Sum]))</f>
        <v>0</v>
      </c>
      <c r="E29" s="20">
        <f>IF(Data[[#This Row],[Bookie]]="","",SUMIF(BetTable[B1],(VLOOKUP(ROW()-3,BookieName[],2,FALSE)),BetTable[S1])*-1)</f>
        <v>0</v>
      </c>
      <c r="F29" s="20">
        <f>IF(Data[[#This Row],[Bookie]]="","",SUMIF(BetTable[B2],(VLOOKUP(ROW()-3,BookieName[],2,FALSE)),BetTable[S2])*-1)</f>
        <v>0</v>
      </c>
      <c r="G29" s="20">
        <f>IF(Data[[#This Row],[Bookie]]="","",SUMIF(BetTable[B3],(VLOOKUP(ROW()-3,BookieName[],2,FALSE)),BetTable[S3])*-1)</f>
        <v>0</v>
      </c>
      <c r="H29" s="20">
        <f>IF(Data[[#This Row],[Bookie]]="","",SUMIF(BetTable[B1],(VLOOKUP(ROW()-3,BookieName[],2,FALSE)),BetTable[WBA1]))</f>
        <v>0</v>
      </c>
      <c r="I29" s="20">
        <f>IF(Data[[#This Row],[Bookie]]="","",SUMIF(BetTable[B2],(VLOOKUP(ROW()-3,BookieName[],2,FALSE)),BetTable[WBA2]))</f>
        <v>0</v>
      </c>
      <c r="J29" s="20">
        <f>IF(Data[[#This Row],[Bookie]]="","",SUMIF(BetTable[B3],(VLOOKUP(ROW()-3,BookieName[],2,FALSE)),BetTable[WBA3]))</f>
        <v>0</v>
      </c>
      <c r="K29" s="20">
        <f>IF(Data[[#This Row],[Bookie]]="","",SUMIF(LayTable[Bookmaker],(VLOOKUP(ROW()-3,BookieName[],2,FALSE)),LayTable[BookieInnsats])*-1)</f>
        <v>0</v>
      </c>
      <c r="L29" s="20">
        <f>IF(Data[[#This Row],[Bookie]]="","",SUMIF(LayTable[Lay-bookie],(VLOOKUP(ROW()-3,BookieName[],2,FALSE)),LayTable[LayLiability])*-1)</f>
        <v>0</v>
      </c>
      <c r="M29" s="20">
        <f>IF(Data[[#This Row],[Bookie]]="","",SUMIF(LayTable[Bookmaker],(VLOOKUP(ROW()-3,BookieName[],2,FALSE)),LayTable[WBABack]))</f>
        <v>0</v>
      </c>
      <c r="N29" s="20">
        <f>IF(Data[[#This Row],[Bookie]]="","",SUMIF(LayTable[Lay-bookie],(VLOOKUP(ROW()-3,BookieName[],2,FALSE)),LayTable[WBALay]))</f>
        <v>0</v>
      </c>
      <c r="O29" s="20">
        <f>IF(Data[[#This Row],[Bookie]]="","",SUMIF(DWbonus[Bookie],(VLOOKUP(ROW()-3,BookieName[],2,FALSE)),DWbonus[Sum]))</f>
        <v>0</v>
      </c>
      <c r="P29" s="20">
        <f>IF(Data[[#This Row],[Bookie]]="","",SUM(Data[[#This Row],[Pending 1]:[PendingL2]]))</f>
        <v>0</v>
      </c>
      <c r="Q29" s="20">
        <f>IF(Data[[#This Row],[Bookie]]="","",SUMIFS(BetTable[S1],BetTable[B1],(VLOOKUP(ROW()-3,BookieName[],2,FALSE)),BetTable[AR],""))</f>
        <v>0</v>
      </c>
      <c r="R29" s="20">
        <f>IF(Data[[#This Row],[Bookie]]="","",SUMIFS(BetTable[S2],BetTable[B2],(VLOOKUP(ROW()-3,BookieName[],2,FALSE)),BetTable[AR],""))</f>
        <v>0</v>
      </c>
      <c r="S29" s="20">
        <f>IF(Data[[#This Row],[Bookie]]="","",SUMIFS(BetTable[S3],BetTable[B3],(VLOOKUP(ROW()-3,BookieName[],2,FALSE)),BetTable[AR],""))</f>
        <v>0</v>
      </c>
      <c r="T29" s="20">
        <f>IF(Data[[#This Row],[Bookie]]="","",SUMIFS(LayTable[BookieInnsats],LayTable[Bookmaker],(VLOOKUP(ROW()-3,BookieName[],2,FALSE)),LayTable[Faktisk res],""))</f>
        <v>0</v>
      </c>
      <c r="U29" s="20">
        <f>IF(Data[[#This Row],[Bookie]]="","",SUMIFS(LayTable[LayLiability],LayTable[Lay-bookie],(VLOOKUP(ROW()-3,BookieName[],2,FALSE)),LayTable[Faktisk res],""))</f>
        <v>0</v>
      </c>
    </row>
    <row r="30" spans="1:21">
      <c r="A30" s="20">
        <f t="shared" si="0"/>
        <v>27</v>
      </c>
      <c r="B30" s="20" t="str">
        <f>IFERROR(VLOOKUP(ROW()-3,BookieName[],3,FALSE),"")</f>
        <v>Feelbet</v>
      </c>
      <c r="C30" s="21">
        <f>IF(Data[[#This Row],[Bookie]]="","",SUM(Data[[#This Row],[D/W]:[Bonus and Adjustments]],))</f>
        <v>0</v>
      </c>
      <c r="D30" s="21">
        <f>IF(Data[[#This Row],[Bookie]]="","",SUMIF(DWbooks[Bookmaker],(VLOOKUP(ROW()-3,BookieName[],2,FALSE)),DWbooks[Sum]))</f>
        <v>0</v>
      </c>
      <c r="E30" s="20">
        <f>IF(Data[[#This Row],[Bookie]]="","",SUMIF(BetTable[B1],(VLOOKUP(ROW()-3,BookieName[],2,FALSE)),BetTable[S1])*-1)</f>
        <v>0</v>
      </c>
      <c r="F30" s="20">
        <f>IF(Data[[#This Row],[Bookie]]="","",SUMIF(BetTable[B2],(VLOOKUP(ROW()-3,BookieName[],2,FALSE)),BetTable[S2])*-1)</f>
        <v>0</v>
      </c>
      <c r="G30" s="20">
        <f>IF(Data[[#This Row],[Bookie]]="","",SUMIF(BetTable[B3],(VLOOKUP(ROW()-3,BookieName[],2,FALSE)),BetTable[S3])*-1)</f>
        <v>0</v>
      </c>
      <c r="H30" s="20">
        <f>IF(Data[[#This Row],[Bookie]]="","",SUMIF(BetTable[B1],(VLOOKUP(ROW()-3,BookieName[],2,FALSE)),BetTable[WBA1]))</f>
        <v>0</v>
      </c>
      <c r="I30" s="20">
        <f>IF(Data[[#This Row],[Bookie]]="","",SUMIF(BetTable[B2],(VLOOKUP(ROW()-3,BookieName[],2,FALSE)),BetTable[WBA2]))</f>
        <v>0</v>
      </c>
      <c r="J30" s="20">
        <f>IF(Data[[#This Row],[Bookie]]="","",SUMIF(BetTable[B3],(VLOOKUP(ROW()-3,BookieName[],2,FALSE)),BetTable[WBA3]))</f>
        <v>0</v>
      </c>
      <c r="K30" s="20">
        <f>IF(Data[[#This Row],[Bookie]]="","",SUMIF(LayTable[Bookmaker],(VLOOKUP(ROW()-3,BookieName[],2,FALSE)),LayTable[BookieInnsats])*-1)</f>
        <v>0</v>
      </c>
      <c r="L30" s="20">
        <f>IF(Data[[#This Row],[Bookie]]="","",SUMIF(LayTable[Lay-bookie],(VLOOKUP(ROW()-3,BookieName[],2,FALSE)),LayTable[LayLiability])*-1)</f>
        <v>0</v>
      </c>
      <c r="M30" s="20">
        <f>IF(Data[[#This Row],[Bookie]]="","",SUMIF(LayTable[Bookmaker],(VLOOKUP(ROW()-3,BookieName[],2,FALSE)),LayTable[WBABack]))</f>
        <v>0</v>
      </c>
      <c r="N30" s="20">
        <f>IF(Data[[#This Row],[Bookie]]="","",SUMIF(LayTable[Lay-bookie],(VLOOKUP(ROW()-3,BookieName[],2,FALSE)),LayTable[WBALay]))</f>
        <v>0</v>
      </c>
      <c r="O30" s="20">
        <f>IF(Data[[#This Row],[Bookie]]="","",SUMIF(DWbonus[Bookie],(VLOOKUP(ROW()-3,BookieName[],2,FALSE)),DWbonus[Sum]))</f>
        <v>0</v>
      </c>
      <c r="P30" s="20">
        <f>IF(Data[[#This Row],[Bookie]]="","",SUM(Data[[#This Row],[Pending 1]:[PendingL2]]))</f>
        <v>0</v>
      </c>
      <c r="Q30" s="20">
        <f>IF(Data[[#This Row],[Bookie]]="","",SUMIFS(BetTable[S1],BetTable[B1],(VLOOKUP(ROW()-3,BookieName[],2,FALSE)),BetTable[AR],""))</f>
        <v>0</v>
      </c>
      <c r="R30" s="20">
        <f>IF(Data[[#This Row],[Bookie]]="","",SUMIFS(BetTable[S2],BetTable[B2],(VLOOKUP(ROW()-3,BookieName[],2,FALSE)),BetTable[AR],""))</f>
        <v>0</v>
      </c>
      <c r="S30" s="20">
        <f>IF(Data[[#This Row],[Bookie]]="","",SUMIFS(BetTable[S3],BetTable[B3],(VLOOKUP(ROW()-3,BookieName[],2,FALSE)),BetTable[AR],""))</f>
        <v>0</v>
      </c>
      <c r="T30" s="20">
        <f>IF(Data[[#This Row],[Bookie]]="","",SUMIFS(LayTable[BookieInnsats],LayTable[Bookmaker],(VLOOKUP(ROW()-3,BookieName[],2,FALSE)),LayTable[Faktisk res],""))</f>
        <v>0</v>
      </c>
      <c r="U30" s="20">
        <f>IF(Data[[#This Row],[Bookie]]="","",SUMIFS(LayTable[LayLiability],LayTable[Lay-bookie],(VLOOKUP(ROW()-3,BookieName[],2,FALSE)),LayTable[Faktisk res],""))</f>
        <v>0</v>
      </c>
    </row>
    <row r="31" spans="1:21">
      <c r="A31" s="20">
        <f t="shared" si="0"/>
        <v>28</v>
      </c>
      <c r="B31" s="20" t="str">
        <f>IFERROR(VLOOKUP(ROW()-3,BookieName[],3,FALSE),"")</f>
        <v>Folkeautomaten</v>
      </c>
      <c r="C31" s="21">
        <f>IF(Data[[#This Row],[Bookie]]="","",SUM(Data[[#This Row],[D/W]:[Bonus and Adjustments]],))</f>
        <v>0</v>
      </c>
      <c r="D31" s="21">
        <f>IF(Data[[#This Row],[Bookie]]="","",SUMIF(DWbooks[Bookmaker],(VLOOKUP(ROW()-3,BookieName[],2,FALSE)),DWbooks[Sum]))</f>
        <v>0</v>
      </c>
      <c r="E31" s="20">
        <f>IF(Data[[#This Row],[Bookie]]="","",SUMIF(BetTable[B1],(VLOOKUP(ROW()-3,BookieName[],2,FALSE)),BetTable[S1])*-1)</f>
        <v>0</v>
      </c>
      <c r="F31" s="20">
        <f>IF(Data[[#This Row],[Bookie]]="","",SUMIF(BetTable[B2],(VLOOKUP(ROW()-3,BookieName[],2,FALSE)),BetTable[S2])*-1)</f>
        <v>0</v>
      </c>
      <c r="G31" s="20">
        <f>IF(Data[[#This Row],[Bookie]]="","",SUMIF(BetTable[B3],(VLOOKUP(ROW()-3,BookieName[],2,FALSE)),BetTable[S3])*-1)</f>
        <v>0</v>
      </c>
      <c r="H31" s="20">
        <f>IF(Data[[#This Row],[Bookie]]="","",SUMIF(BetTable[B1],(VLOOKUP(ROW()-3,BookieName[],2,FALSE)),BetTable[WBA1]))</f>
        <v>0</v>
      </c>
      <c r="I31" s="20">
        <f>IF(Data[[#This Row],[Bookie]]="","",SUMIF(BetTable[B2],(VLOOKUP(ROW()-3,BookieName[],2,FALSE)),BetTable[WBA2]))</f>
        <v>0</v>
      </c>
      <c r="J31" s="20">
        <f>IF(Data[[#This Row],[Bookie]]="","",SUMIF(BetTable[B3],(VLOOKUP(ROW()-3,BookieName[],2,FALSE)),BetTable[WBA3]))</f>
        <v>0</v>
      </c>
      <c r="K31" s="20">
        <f>IF(Data[[#This Row],[Bookie]]="","",SUMIF(LayTable[Bookmaker],(VLOOKUP(ROW()-3,BookieName[],2,FALSE)),LayTable[BookieInnsats])*-1)</f>
        <v>0</v>
      </c>
      <c r="L31" s="20">
        <f>IF(Data[[#This Row],[Bookie]]="","",SUMIF(LayTable[Lay-bookie],(VLOOKUP(ROW()-3,BookieName[],2,FALSE)),LayTable[LayLiability])*-1)</f>
        <v>0</v>
      </c>
      <c r="M31" s="20">
        <f>IF(Data[[#This Row],[Bookie]]="","",SUMIF(LayTable[Bookmaker],(VLOOKUP(ROW()-3,BookieName[],2,FALSE)),LayTable[WBABack]))</f>
        <v>0</v>
      </c>
      <c r="N31" s="20">
        <f>IF(Data[[#This Row],[Bookie]]="","",SUMIF(LayTable[Lay-bookie],(VLOOKUP(ROW()-3,BookieName[],2,FALSE)),LayTable[WBALay]))</f>
        <v>0</v>
      </c>
      <c r="O31" s="20">
        <f>IF(Data[[#This Row],[Bookie]]="","",SUMIF(DWbonus[Bookie],(VLOOKUP(ROW()-3,BookieName[],2,FALSE)),DWbonus[Sum]))</f>
        <v>0</v>
      </c>
      <c r="P31" s="20">
        <f>IF(Data[[#This Row],[Bookie]]="","",SUM(Data[[#This Row],[Pending 1]:[PendingL2]]))</f>
        <v>0</v>
      </c>
      <c r="Q31" s="20">
        <f>IF(Data[[#This Row],[Bookie]]="","",SUMIFS(BetTable[S1],BetTable[B1],(VLOOKUP(ROW()-3,BookieName[],2,FALSE)),BetTable[AR],""))</f>
        <v>0</v>
      </c>
      <c r="R31" s="20">
        <f>IF(Data[[#This Row],[Bookie]]="","",SUMIFS(BetTable[S2],BetTable[B2],(VLOOKUP(ROW()-3,BookieName[],2,FALSE)),BetTable[AR],""))</f>
        <v>0</v>
      </c>
      <c r="S31" s="20">
        <f>IF(Data[[#This Row],[Bookie]]="","",SUMIFS(BetTable[S3],BetTable[B3],(VLOOKUP(ROW()-3,BookieName[],2,FALSE)),BetTable[AR],""))</f>
        <v>0</v>
      </c>
      <c r="T31" s="20">
        <f>IF(Data[[#This Row],[Bookie]]="","",SUMIFS(LayTable[BookieInnsats],LayTable[Bookmaker],(VLOOKUP(ROW()-3,BookieName[],2,FALSE)),LayTable[Faktisk res],""))</f>
        <v>0</v>
      </c>
      <c r="U31" s="20">
        <f>IF(Data[[#This Row],[Bookie]]="","",SUMIFS(LayTable[LayLiability],LayTable[Lay-bookie],(VLOOKUP(ROW()-3,BookieName[],2,FALSE)),LayTable[Faktisk res],""))</f>
        <v>0</v>
      </c>
    </row>
    <row r="32" spans="1:21">
      <c r="A32" s="20">
        <f t="shared" si="0"/>
        <v>29</v>
      </c>
      <c r="B32" s="20" t="str">
        <f>IFERROR(VLOOKUP(ROW()-3,BookieName[],3,FALSE),"")</f>
        <v>gtbets.eu</v>
      </c>
      <c r="C32" s="21">
        <f>IF(Data[[#This Row],[Bookie]]="","",SUM(Data[[#This Row],[D/W]:[Bonus and Adjustments]],))</f>
        <v>0</v>
      </c>
      <c r="D32" s="21">
        <f>IF(Data[[#This Row],[Bookie]]="","",SUMIF(DWbooks[Bookmaker],(VLOOKUP(ROW()-3,BookieName[],2,FALSE)),DWbooks[Sum]))</f>
        <v>0</v>
      </c>
      <c r="E32" s="20">
        <f>IF(Data[[#This Row],[Bookie]]="","",SUMIF(BetTable[B1],(VLOOKUP(ROW()-3,BookieName[],2,FALSE)),BetTable[S1])*-1)</f>
        <v>0</v>
      </c>
      <c r="F32" s="20">
        <f>IF(Data[[#This Row],[Bookie]]="","",SUMIF(BetTable[B2],(VLOOKUP(ROW()-3,BookieName[],2,FALSE)),BetTable[S2])*-1)</f>
        <v>0</v>
      </c>
      <c r="G32" s="20">
        <f>IF(Data[[#This Row],[Bookie]]="","",SUMIF(BetTable[B3],(VLOOKUP(ROW()-3,BookieName[],2,FALSE)),BetTable[S3])*-1)</f>
        <v>0</v>
      </c>
      <c r="H32" s="20">
        <f>IF(Data[[#This Row],[Bookie]]="","",SUMIF(BetTable[B1],(VLOOKUP(ROW()-3,BookieName[],2,FALSE)),BetTable[WBA1]))</f>
        <v>0</v>
      </c>
      <c r="I32" s="20">
        <f>IF(Data[[#This Row],[Bookie]]="","",SUMIF(BetTable[B2],(VLOOKUP(ROW()-3,BookieName[],2,FALSE)),BetTable[WBA2]))</f>
        <v>0</v>
      </c>
      <c r="J32" s="20">
        <f>IF(Data[[#This Row],[Bookie]]="","",SUMIF(BetTable[B3],(VLOOKUP(ROW()-3,BookieName[],2,FALSE)),BetTable[WBA3]))</f>
        <v>0</v>
      </c>
      <c r="K32" s="20">
        <f>IF(Data[[#This Row],[Bookie]]="","",SUMIF(LayTable[Bookmaker],(VLOOKUP(ROW()-3,BookieName[],2,FALSE)),LayTable[BookieInnsats])*-1)</f>
        <v>0</v>
      </c>
      <c r="L32" s="20">
        <f>IF(Data[[#This Row],[Bookie]]="","",SUMIF(LayTable[Lay-bookie],(VLOOKUP(ROW()-3,BookieName[],2,FALSE)),LayTable[LayLiability])*-1)</f>
        <v>0</v>
      </c>
      <c r="M32" s="20">
        <f>IF(Data[[#This Row],[Bookie]]="","",SUMIF(LayTable[Bookmaker],(VLOOKUP(ROW()-3,BookieName[],2,FALSE)),LayTable[WBABack]))</f>
        <v>0</v>
      </c>
      <c r="N32" s="20">
        <f>IF(Data[[#This Row],[Bookie]]="","",SUMIF(LayTable[Lay-bookie],(VLOOKUP(ROW()-3,BookieName[],2,FALSE)),LayTable[WBALay]))</f>
        <v>0</v>
      </c>
      <c r="O32" s="20">
        <f>IF(Data[[#This Row],[Bookie]]="","",SUMIF(DWbonus[Bookie],(VLOOKUP(ROW()-3,BookieName[],2,FALSE)),DWbonus[Sum]))</f>
        <v>0</v>
      </c>
      <c r="P32" s="20">
        <f>IF(Data[[#This Row],[Bookie]]="","",SUM(Data[[#This Row],[Pending 1]:[PendingL2]]))</f>
        <v>0</v>
      </c>
      <c r="Q32" s="20">
        <f>IF(Data[[#This Row],[Bookie]]="","",SUMIFS(BetTable[S1],BetTable[B1],(VLOOKUP(ROW()-3,BookieName[],2,FALSE)),BetTable[AR],""))</f>
        <v>0</v>
      </c>
      <c r="R32" s="20">
        <f>IF(Data[[#This Row],[Bookie]]="","",SUMIFS(BetTable[S2],BetTable[B2],(VLOOKUP(ROW()-3,BookieName[],2,FALSE)),BetTable[AR],""))</f>
        <v>0</v>
      </c>
      <c r="S32" s="20">
        <f>IF(Data[[#This Row],[Bookie]]="","",SUMIFS(BetTable[S3],BetTable[B3],(VLOOKUP(ROW()-3,BookieName[],2,FALSE)),BetTable[AR],""))</f>
        <v>0</v>
      </c>
      <c r="T32" s="20">
        <f>IF(Data[[#This Row],[Bookie]]="","",SUMIFS(LayTable[BookieInnsats],LayTable[Bookmaker],(VLOOKUP(ROW()-3,BookieName[],2,FALSE)),LayTable[Faktisk res],""))</f>
        <v>0</v>
      </c>
      <c r="U32" s="20">
        <f>IF(Data[[#This Row],[Bookie]]="","",SUMIFS(LayTable[LayLiability],LayTable[Lay-bookie],(VLOOKUP(ROW()-3,BookieName[],2,FALSE)),LayTable[Faktisk res],""))</f>
        <v>0</v>
      </c>
    </row>
    <row r="33" spans="1:21">
      <c r="A33" s="20">
        <f t="shared" si="0"/>
        <v>30</v>
      </c>
      <c r="B33" s="20" t="str">
        <f>IFERROR(VLOOKUP(ROW()-3,BookieName[],3,FALSE),"")</f>
        <v>Guts</v>
      </c>
      <c r="C33" s="21">
        <f>IF(Data[[#This Row],[Bookie]]="","",SUM(Data[[#This Row],[D/W]:[Bonus and Adjustments]],))</f>
        <v>0</v>
      </c>
      <c r="D33" s="21">
        <f>IF(Data[[#This Row],[Bookie]]="","",SUMIF(DWbooks[Bookmaker],(VLOOKUP(ROW()-3,BookieName[],2,FALSE)),DWbooks[Sum]))</f>
        <v>0</v>
      </c>
      <c r="E33" s="20">
        <f>IF(Data[[#This Row],[Bookie]]="","",SUMIF(BetTable[B1],(VLOOKUP(ROW()-3,BookieName[],2,FALSE)),BetTable[S1])*-1)</f>
        <v>0</v>
      </c>
      <c r="F33" s="20">
        <f>IF(Data[[#This Row],[Bookie]]="","",SUMIF(BetTable[B2],(VLOOKUP(ROW()-3,BookieName[],2,FALSE)),BetTable[S2])*-1)</f>
        <v>0</v>
      </c>
      <c r="G33" s="20">
        <f>IF(Data[[#This Row],[Bookie]]="","",SUMIF(BetTable[B3],(VLOOKUP(ROW()-3,BookieName[],2,FALSE)),BetTable[S3])*-1)</f>
        <v>0</v>
      </c>
      <c r="H33" s="20">
        <f>IF(Data[[#This Row],[Bookie]]="","",SUMIF(BetTable[B1],(VLOOKUP(ROW()-3,BookieName[],2,FALSE)),BetTable[WBA1]))</f>
        <v>0</v>
      </c>
      <c r="I33" s="20">
        <f>IF(Data[[#This Row],[Bookie]]="","",SUMIF(BetTable[B2],(VLOOKUP(ROW()-3,BookieName[],2,FALSE)),BetTable[WBA2]))</f>
        <v>0</v>
      </c>
      <c r="J33" s="20">
        <f>IF(Data[[#This Row],[Bookie]]="","",SUMIF(BetTable[B3],(VLOOKUP(ROW()-3,BookieName[],2,FALSE)),BetTable[WBA3]))</f>
        <v>0</v>
      </c>
      <c r="K33" s="20">
        <f>IF(Data[[#This Row],[Bookie]]="","",SUMIF(LayTable[Bookmaker],(VLOOKUP(ROW()-3,BookieName[],2,FALSE)),LayTable[BookieInnsats])*-1)</f>
        <v>0</v>
      </c>
      <c r="L33" s="20">
        <f>IF(Data[[#This Row],[Bookie]]="","",SUMIF(LayTable[Lay-bookie],(VLOOKUP(ROW()-3,BookieName[],2,FALSE)),LayTable[LayLiability])*-1)</f>
        <v>0</v>
      </c>
      <c r="M33" s="20">
        <f>IF(Data[[#This Row],[Bookie]]="","",SUMIF(LayTable[Bookmaker],(VLOOKUP(ROW()-3,BookieName[],2,FALSE)),LayTable[WBABack]))</f>
        <v>0</v>
      </c>
      <c r="N33" s="20">
        <f>IF(Data[[#This Row],[Bookie]]="","",SUMIF(LayTable[Lay-bookie],(VLOOKUP(ROW()-3,BookieName[],2,FALSE)),LayTable[WBALay]))</f>
        <v>0</v>
      </c>
      <c r="O33" s="20">
        <f>IF(Data[[#This Row],[Bookie]]="","",SUMIF(DWbonus[Bookie],(VLOOKUP(ROW()-3,BookieName[],2,FALSE)),DWbonus[Sum]))</f>
        <v>0</v>
      </c>
      <c r="P33" s="20">
        <f>IF(Data[[#This Row],[Bookie]]="","",SUM(Data[[#This Row],[Pending 1]:[PendingL2]]))</f>
        <v>0</v>
      </c>
      <c r="Q33" s="20">
        <f>IF(Data[[#This Row],[Bookie]]="","",SUMIFS(BetTable[S1],BetTable[B1],(VLOOKUP(ROW()-3,BookieName[],2,FALSE)),BetTable[AR],""))</f>
        <v>0</v>
      </c>
      <c r="R33" s="20">
        <f>IF(Data[[#This Row],[Bookie]]="","",SUMIFS(BetTable[S2],BetTable[B2],(VLOOKUP(ROW()-3,BookieName[],2,FALSE)),BetTable[AR],""))</f>
        <v>0</v>
      </c>
      <c r="S33" s="20">
        <f>IF(Data[[#This Row],[Bookie]]="","",SUMIFS(BetTable[S3],BetTable[B3],(VLOOKUP(ROW()-3,BookieName[],2,FALSE)),BetTable[AR],""))</f>
        <v>0</v>
      </c>
      <c r="T33" s="20">
        <f>IF(Data[[#This Row],[Bookie]]="","",SUMIFS(LayTable[BookieInnsats],LayTable[Bookmaker],(VLOOKUP(ROW()-3,BookieName[],2,FALSE)),LayTable[Faktisk res],""))</f>
        <v>0</v>
      </c>
      <c r="U33" s="20">
        <f>IF(Data[[#This Row],[Bookie]]="","",SUMIFS(LayTable[LayLiability],LayTable[Lay-bookie],(VLOOKUP(ROW()-3,BookieName[],2,FALSE)),LayTable[Faktisk res],""))</f>
        <v>0</v>
      </c>
    </row>
    <row r="34" spans="1:21">
      <c r="A34" s="20">
        <f t="shared" si="0"/>
        <v>31</v>
      </c>
      <c r="B34" s="20" t="str">
        <f>IFERROR(VLOOKUP(ROW()-3,BookieName[],3,FALSE),"")</f>
        <v>JSFansbet</v>
      </c>
      <c r="C34" s="21">
        <f>IF(Data[[#This Row],[Bookie]]="","",SUM(Data[[#This Row],[D/W]:[Bonus and Adjustments]],))</f>
        <v>0</v>
      </c>
      <c r="D34" s="21">
        <f>IF(Data[[#This Row],[Bookie]]="","",SUMIF(DWbooks[Bookmaker],(VLOOKUP(ROW()-3,BookieName[],2,FALSE)),DWbooks[Sum]))</f>
        <v>0</v>
      </c>
      <c r="E34" s="20">
        <f>IF(Data[[#This Row],[Bookie]]="","",SUMIF(BetTable[B1],(VLOOKUP(ROW()-3,BookieName[],2,FALSE)),BetTable[S1])*-1)</f>
        <v>0</v>
      </c>
      <c r="F34" s="20">
        <f>IF(Data[[#This Row],[Bookie]]="","",SUMIF(BetTable[B2],(VLOOKUP(ROW()-3,BookieName[],2,FALSE)),BetTable[S2])*-1)</f>
        <v>0</v>
      </c>
      <c r="G34" s="20">
        <f>IF(Data[[#This Row],[Bookie]]="","",SUMIF(BetTable[B3],(VLOOKUP(ROW()-3,BookieName[],2,FALSE)),BetTable[S3])*-1)</f>
        <v>0</v>
      </c>
      <c r="H34" s="20">
        <f>IF(Data[[#This Row],[Bookie]]="","",SUMIF(BetTable[B1],(VLOOKUP(ROW()-3,BookieName[],2,FALSE)),BetTable[WBA1]))</f>
        <v>0</v>
      </c>
      <c r="I34" s="20">
        <f>IF(Data[[#This Row],[Bookie]]="","",SUMIF(BetTable[B2],(VLOOKUP(ROW()-3,BookieName[],2,FALSE)),BetTable[WBA2]))</f>
        <v>0</v>
      </c>
      <c r="J34" s="20">
        <f>IF(Data[[#This Row],[Bookie]]="","",SUMIF(BetTable[B3],(VLOOKUP(ROW()-3,BookieName[],2,FALSE)),BetTable[WBA3]))</f>
        <v>0</v>
      </c>
      <c r="K34" s="20">
        <f>IF(Data[[#This Row],[Bookie]]="","",SUMIF(LayTable[Bookmaker],(VLOOKUP(ROW()-3,BookieName[],2,FALSE)),LayTable[BookieInnsats])*-1)</f>
        <v>0</v>
      </c>
      <c r="L34" s="20">
        <f>IF(Data[[#This Row],[Bookie]]="","",SUMIF(LayTable[Lay-bookie],(VLOOKUP(ROW()-3,BookieName[],2,FALSE)),LayTable[LayLiability])*-1)</f>
        <v>0</v>
      </c>
      <c r="M34" s="20">
        <f>IF(Data[[#This Row],[Bookie]]="","",SUMIF(LayTable[Bookmaker],(VLOOKUP(ROW()-3,BookieName[],2,FALSE)),LayTable[WBABack]))</f>
        <v>0</v>
      </c>
      <c r="N34" s="20">
        <f>IF(Data[[#This Row],[Bookie]]="","",SUMIF(LayTable[Lay-bookie],(VLOOKUP(ROW()-3,BookieName[],2,FALSE)),LayTable[WBALay]))</f>
        <v>0</v>
      </c>
      <c r="O34" s="20">
        <f>IF(Data[[#This Row],[Bookie]]="","",SUMIF(DWbonus[Bookie],(VLOOKUP(ROW()-3,BookieName[],2,FALSE)),DWbonus[Sum]))</f>
        <v>0</v>
      </c>
      <c r="P34" s="20">
        <f>IF(Data[[#This Row],[Bookie]]="","",SUM(Data[[#This Row],[Pending 1]:[PendingL2]]))</f>
        <v>0</v>
      </c>
      <c r="Q34" s="20">
        <f>IF(Data[[#This Row],[Bookie]]="","",SUMIFS(BetTable[S1],BetTable[B1],(VLOOKUP(ROW()-3,BookieName[],2,FALSE)),BetTable[AR],""))</f>
        <v>0</v>
      </c>
      <c r="R34" s="20">
        <f>IF(Data[[#This Row],[Bookie]]="","",SUMIFS(BetTable[S2],BetTable[B2],(VLOOKUP(ROW()-3,BookieName[],2,FALSE)),BetTable[AR],""))</f>
        <v>0</v>
      </c>
      <c r="S34" s="20">
        <f>IF(Data[[#This Row],[Bookie]]="","",SUMIFS(BetTable[S3],BetTable[B3],(VLOOKUP(ROW()-3,BookieName[],2,FALSE)),BetTable[AR],""))</f>
        <v>0</v>
      </c>
      <c r="T34" s="20">
        <f>IF(Data[[#This Row],[Bookie]]="","",SUMIFS(LayTable[BookieInnsats],LayTable[Bookmaker],(VLOOKUP(ROW()-3,BookieName[],2,FALSE)),LayTable[Faktisk res],""))</f>
        <v>0</v>
      </c>
      <c r="U34" s="20">
        <f>IF(Data[[#This Row],[Bookie]]="","",SUMIFS(LayTable[LayLiability],LayTable[Lay-bookie],(VLOOKUP(ROW()-3,BookieName[],2,FALSE)),LayTable[Faktisk res],""))</f>
        <v>0</v>
      </c>
    </row>
    <row r="35" spans="1:21">
      <c r="A35" s="20">
        <f t="shared" si="0"/>
        <v>32</v>
      </c>
      <c r="B35" s="20" t="str">
        <f>IFERROR(VLOOKUP(ROW()-3,BookieName[],3,FALSE),"")</f>
        <v>KTO</v>
      </c>
      <c r="C35" s="21">
        <f>IF(Data[[#This Row],[Bookie]]="","",SUM(Data[[#This Row],[D/W]:[Bonus and Adjustments]],))</f>
        <v>0</v>
      </c>
      <c r="D35" s="21">
        <f>IF(Data[[#This Row],[Bookie]]="","",SUMIF(DWbooks[Bookmaker],(VLOOKUP(ROW()-3,BookieName[],2,FALSE)),DWbooks[Sum]))</f>
        <v>0</v>
      </c>
      <c r="E35" s="20">
        <f>IF(Data[[#This Row],[Bookie]]="","",SUMIF(BetTable[B1],(VLOOKUP(ROW()-3,BookieName[],2,FALSE)),BetTable[S1])*-1)</f>
        <v>0</v>
      </c>
      <c r="F35" s="20">
        <f>IF(Data[[#This Row],[Bookie]]="","",SUMIF(BetTable[B2],(VLOOKUP(ROW()-3,BookieName[],2,FALSE)),BetTable[S2])*-1)</f>
        <v>0</v>
      </c>
      <c r="G35" s="20">
        <f>IF(Data[[#This Row],[Bookie]]="","",SUMIF(BetTable[B3],(VLOOKUP(ROW()-3,BookieName[],2,FALSE)),BetTable[S3])*-1)</f>
        <v>0</v>
      </c>
      <c r="H35" s="20">
        <f>IF(Data[[#This Row],[Bookie]]="","",SUMIF(BetTable[B1],(VLOOKUP(ROW()-3,BookieName[],2,FALSE)),BetTable[WBA1]))</f>
        <v>0</v>
      </c>
      <c r="I35" s="20">
        <f>IF(Data[[#This Row],[Bookie]]="","",SUMIF(BetTable[B2],(VLOOKUP(ROW()-3,BookieName[],2,FALSE)),BetTable[WBA2]))</f>
        <v>0</v>
      </c>
      <c r="J35" s="20">
        <f>IF(Data[[#This Row],[Bookie]]="","",SUMIF(BetTable[B3],(VLOOKUP(ROW()-3,BookieName[],2,FALSE)),BetTable[WBA3]))</f>
        <v>0</v>
      </c>
      <c r="K35" s="20">
        <f>IF(Data[[#This Row],[Bookie]]="","",SUMIF(LayTable[Bookmaker],(VLOOKUP(ROW()-3,BookieName[],2,FALSE)),LayTable[BookieInnsats])*-1)</f>
        <v>0</v>
      </c>
      <c r="L35" s="20">
        <f>IF(Data[[#This Row],[Bookie]]="","",SUMIF(LayTable[Lay-bookie],(VLOOKUP(ROW()-3,BookieName[],2,FALSE)),LayTable[LayLiability])*-1)</f>
        <v>0</v>
      </c>
      <c r="M35" s="20">
        <f>IF(Data[[#This Row],[Bookie]]="","",SUMIF(LayTable[Bookmaker],(VLOOKUP(ROW()-3,BookieName[],2,FALSE)),LayTable[WBABack]))</f>
        <v>0</v>
      </c>
      <c r="N35" s="20">
        <f>IF(Data[[#This Row],[Bookie]]="","",SUMIF(LayTable[Lay-bookie],(VLOOKUP(ROW()-3,BookieName[],2,FALSE)),LayTable[WBALay]))</f>
        <v>0</v>
      </c>
      <c r="O35" s="20">
        <f>IF(Data[[#This Row],[Bookie]]="","",SUMIF(DWbonus[Bookie],(VLOOKUP(ROW()-3,BookieName[],2,FALSE)),DWbonus[Sum]))</f>
        <v>0</v>
      </c>
      <c r="P35" s="20">
        <f>IF(Data[[#This Row],[Bookie]]="","",SUM(Data[[#This Row],[Pending 1]:[PendingL2]]))</f>
        <v>0</v>
      </c>
      <c r="Q35" s="20">
        <f>IF(Data[[#This Row],[Bookie]]="","",SUMIFS(BetTable[S1],BetTable[B1],(VLOOKUP(ROW()-3,BookieName[],2,FALSE)),BetTable[AR],""))</f>
        <v>0</v>
      </c>
      <c r="R35" s="20">
        <f>IF(Data[[#This Row],[Bookie]]="","",SUMIFS(BetTable[S2],BetTable[B2],(VLOOKUP(ROW()-3,BookieName[],2,FALSE)),BetTable[AR],""))</f>
        <v>0</v>
      </c>
      <c r="S35" s="20">
        <f>IF(Data[[#This Row],[Bookie]]="","",SUMIFS(BetTable[S3],BetTable[B3],(VLOOKUP(ROW()-3,BookieName[],2,FALSE)),BetTable[AR],""))</f>
        <v>0</v>
      </c>
      <c r="T35" s="20">
        <f>IF(Data[[#This Row],[Bookie]]="","",SUMIFS(LayTable[BookieInnsats],LayTable[Bookmaker],(VLOOKUP(ROW()-3,BookieName[],2,FALSE)),LayTable[Faktisk res],""))</f>
        <v>0</v>
      </c>
      <c r="U35" s="20">
        <f>IF(Data[[#This Row],[Bookie]]="","",SUMIFS(LayTable[LayLiability],LayTable[Lay-bookie],(VLOOKUP(ROW()-3,BookieName[],2,FALSE)),LayTable[Faktisk res],""))</f>
        <v>0</v>
      </c>
    </row>
    <row r="36" spans="1:21">
      <c r="A36" s="20">
        <f t="shared" ref="A36:A67" si="1">ROW()-3</f>
        <v>33</v>
      </c>
      <c r="B36" s="20" t="str">
        <f>IFERROR(VLOOKUP(ROW()-3,BookieName[],3,FALSE),"")</f>
        <v>LeoVegas</v>
      </c>
      <c r="C36" s="21">
        <f>IF(Data[[#This Row],[Bookie]]="","",SUM(Data[[#This Row],[D/W]:[Bonus and Adjustments]],))</f>
        <v>0</v>
      </c>
      <c r="D36" s="21">
        <f>IF(Data[[#This Row],[Bookie]]="","",SUMIF(DWbooks[Bookmaker],(VLOOKUP(ROW()-3,BookieName[],2,FALSE)),DWbooks[Sum]))</f>
        <v>0</v>
      </c>
      <c r="E36" s="20">
        <f>IF(Data[[#This Row],[Bookie]]="","",SUMIF(BetTable[B1],(VLOOKUP(ROW()-3,BookieName[],2,FALSE)),BetTable[S1])*-1)</f>
        <v>0</v>
      </c>
      <c r="F36" s="20">
        <f>IF(Data[[#This Row],[Bookie]]="","",SUMIF(BetTable[B2],(VLOOKUP(ROW()-3,BookieName[],2,FALSE)),BetTable[S2])*-1)</f>
        <v>0</v>
      </c>
      <c r="G36" s="20">
        <f>IF(Data[[#This Row],[Bookie]]="","",SUMIF(BetTable[B3],(VLOOKUP(ROW()-3,BookieName[],2,FALSE)),BetTable[S3])*-1)</f>
        <v>0</v>
      </c>
      <c r="H36" s="20">
        <f>IF(Data[[#This Row],[Bookie]]="","",SUMIF(BetTable[B1],(VLOOKUP(ROW()-3,BookieName[],2,FALSE)),BetTable[WBA1]))</f>
        <v>0</v>
      </c>
      <c r="I36" s="20">
        <f>IF(Data[[#This Row],[Bookie]]="","",SUMIF(BetTable[B2],(VLOOKUP(ROW()-3,BookieName[],2,FALSE)),BetTable[WBA2]))</f>
        <v>0</v>
      </c>
      <c r="J36" s="20">
        <f>IF(Data[[#This Row],[Bookie]]="","",SUMIF(BetTable[B3],(VLOOKUP(ROW()-3,BookieName[],2,FALSE)),BetTable[WBA3]))</f>
        <v>0</v>
      </c>
      <c r="K36" s="20">
        <f>IF(Data[[#This Row],[Bookie]]="","",SUMIF(LayTable[Bookmaker],(VLOOKUP(ROW()-3,BookieName[],2,FALSE)),LayTable[BookieInnsats])*-1)</f>
        <v>0</v>
      </c>
      <c r="L36" s="20">
        <f>IF(Data[[#This Row],[Bookie]]="","",SUMIF(LayTable[Lay-bookie],(VLOOKUP(ROW()-3,BookieName[],2,FALSE)),LayTable[LayLiability])*-1)</f>
        <v>0</v>
      </c>
      <c r="M36" s="20">
        <f>IF(Data[[#This Row],[Bookie]]="","",SUMIF(LayTable[Bookmaker],(VLOOKUP(ROW()-3,BookieName[],2,FALSE)),LayTable[WBABack]))</f>
        <v>0</v>
      </c>
      <c r="N36" s="20">
        <f>IF(Data[[#This Row],[Bookie]]="","",SUMIF(LayTable[Lay-bookie],(VLOOKUP(ROW()-3,BookieName[],2,FALSE)),LayTable[WBALay]))</f>
        <v>0</v>
      </c>
      <c r="O36" s="20">
        <f>IF(Data[[#This Row],[Bookie]]="","",SUMIF(DWbonus[Bookie],(VLOOKUP(ROW()-3,BookieName[],2,FALSE)),DWbonus[Sum]))</f>
        <v>0</v>
      </c>
      <c r="P36" s="20">
        <f>IF(Data[[#This Row],[Bookie]]="","",SUM(Data[[#This Row],[Pending 1]:[PendingL2]]))</f>
        <v>0</v>
      </c>
      <c r="Q36" s="20">
        <f>IF(Data[[#This Row],[Bookie]]="","",SUMIFS(BetTable[S1],BetTable[B1],(VLOOKUP(ROW()-3,BookieName[],2,FALSE)),BetTable[AR],""))</f>
        <v>0</v>
      </c>
      <c r="R36" s="20">
        <f>IF(Data[[#This Row],[Bookie]]="","",SUMIFS(BetTable[S2],BetTable[B2],(VLOOKUP(ROW()-3,BookieName[],2,FALSE)),BetTable[AR],""))</f>
        <v>0</v>
      </c>
      <c r="S36" s="20">
        <f>IF(Data[[#This Row],[Bookie]]="","",SUMIFS(BetTable[S3],BetTable[B3],(VLOOKUP(ROW()-3,BookieName[],2,FALSE)),BetTable[AR],""))</f>
        <v>0</v>
      </c>
      <c r="T36" s="20">
        <f>IF(Data[[#This Row],[Bookie]]="","",SUMIFS(LayTable[BookieInnsats],LayTable[Bookmaker],(VLOOKUP(ROW()-3,BookieName[],2,FALSE)),LayTable[Faktisk res],""))</f>
        <v>0</v>
      </c>
      <c r="U36" s="20">
        <f>IF(Data[[#This Row],[Bookie]]="","",SUMIFS(LayTable[LayLiability],LayTable[Lay-bookie],(VLOOKUP(ROW()-3,BookieName[],2,FALSE)),LayTable[Faktisk res],""))</f>
        <v>0</v>
      </c>
    </row>
    <row r="37" spans="1:21">
      <c r="A37" s="20">
        <f t="shared" si="1"/>
        <v>34</v>
      </c>
      <c r="B37" s="20" t="str">
        <f>IFERROR(VLOOKUP(ROW()-3,BookieName[],3,FALSE),"")</f>
        <v>LSBet</v>
      </c>
      <c r="C37" s="21">
        <f>IF(Data[[#This Row],[Bookie]]="","",SUM(Data[[#This Row],[D/W]:[Bonus and Adjustments]],))</f>
        <v>0</v>
      </c>
      <c r="D37" s="21">
        <f>IF(Data[[#This Row],[Bookie]]="","",SUMIF(DWbooks[Bookmaker],(VLOOKUP(ROW()-3,BookieName[],2,FALSE)),DWbooks[Sum]))</f>
        <v>0</v>
      </c>
      <c r="E37" s="20">
        <f>IF(Data[[#This Row],[Bookie]]="","",SUMIF(BetTable[B1],(VLOOKUP(ROW()-3,BookieName[],2,FALSE)),BetTable[S1])*-1)</f>
        <v>0</v>
      </c>
      <c r="F37" s="20">
        <f>IF(Data[[#This Row],[Bookie]]="","",SUMIF(BetTable[B2],(VLOOKUP(ROW()-3,BookieName[],2,FALSE)),BetTable[S2])*-1)</f>
        <v>0</v>
      </c>
      <c r="G37" s="20">
        <f>IF(Data[[#This Row],[Bookie]]="","",SUMIF(BetTable[B3],(VLOOKUP(ROW()-3,BookieName[],2,FALSE)),BetTable[S3])*-1)</f>
        <v>0</v>
      </c>
      <c r="H37" s="20">
        <f>IF(Data[[#This Row],[Bookie]]="","",SUMIF(BetTable[B1],(VLOOKUP(ROW()-3,BookieName[],2,FALSE)),BetTable[WBA1]))</f>
        <v>0</v>
      </c>
      <c r="I37" s="20">
        <f>IF(Data[[#This Row],[Bookie]]="","",SUMIF(BetTable[B2],(VLOOKUP(ROW()-3,BookieName[],2,FALSE)),BetTable[WBA2]))</f>
        <v>0</v>
      </c>
      <c r="J37" s="20">
        <f>IF(Data[[#This Row],[Bookie]]="","",SUMIF(BetTable[B3],(VLOOKUP(ROW()-3,BookieName[],2,FALSE)),BetTable[WBA3]))</f>
        <v>0</v>
      </c>
      <c r="K37" s="20">
        <f>IF(Data[[#This Row],[Bookie]]="","",SUMIF(LayTable[Bookmaker],(VLOOKUP(ROW()-3,BookieName[],2,FALSE)),LayTable[BookieInnsats])*-1)</f>
        <v>0</v>
      </c>
      <c r="L37" s="20">
        <f>IF(Data[[#This Row],[Bookie]]="","",SUMIF(LayTable[Lay-bookie],(VLOOKUP(ROW()-3,BookieName[],2,FALSE)),LayTable[LayLiability])*-1)</f>
        <v>0</v>
      </c>
      <c r="M37" s="20">
        <f>IF(Data[[#This Row],[Bookie]]="","",SUMIF(LayTable[Bookmaker],(VLOOKUP(ROW()-3,BookieName[],2,FALSE)),LayTable[WBABack]))</f>
        <v>0</v>
      </c>
      <c r="N37" s="20">
        <f>IF(Data[[#This Row],[Bookie]]="","",SUMIF(LayTable[Lay-bookie],(VLOOKUP(ROW()-3,BookieName[],2,FALSE)),LayTable[WBALay]))</f>
        <v>0</v>
      </c>
      <c r="O37" s="20">
        <f>IF(Data[[#This Row],[Bookie]]="","",SUMIF(DWbonus[Bookie],(VLOOKUP(ROW()-3,BookieName[],2,FALSE)),DWbonus[Sum]))</f>
        <v>0</v>
      </c>
      <c r="P37" s="20">
        <f>IF(Data[[#This Row],[Bookie]]="","",SUM(Data[[#This Row],[Pending 1]:[PendingL2]]))</f>
        <v>0</v>
      </c>
      <c r="Q37" s="20">
        <f>IF(Data[[#This Row],[Bookie]]="","",SUMIFS(BetTable[S1],BetTable[B1],(VLOOKUP(ROW()-3,BookieName[],2,FALSE)),BetTable[AR],""))</f>
        <v>0</v>
      </c>
      <c r="R37" s="20">
        <f>IF(Data[[#This Row],[Bookie]]="","",SUMIFS(BetTable[S2],BetTable[B2],(VLOOKUP(ROW()-3,BookieName[],2,FALSE)),BetTable[AR],""))</f>
        <v>0</v>
      </c>
      <c r="S37" s="20">
        <f>IF(Data[[#This Row],[Bookie]]="","",SUMIFS(BetTable[S3],BetTable[B3],(VLOOKUP(ROW()-3,BookieName[],2,FALSE)),BetTable[AR],""))</f>
        <v>0</v>
      </c>
      <c r="T37" s="20">
        <f>IF(Data[[#This Row],[Bookie]]="","",SUMIFS(LayTable[BookieInnsats],LayTable[Bookmaker],(VLOOKUP(ROW()-3,BookieName[],2,FALSE)),LayTable[Faktisk res],""))</f>
        <v>0</v>
      </c>
      <c r="U37" s="20">
        <f>IF(Data[[#This Row],[Bookie]]="","",SUMIFS(LayTable[LayLiability],LayTable[Lay-bookie],(VLOOKUP(ROW()-3,BookieName[],2,FALSE)),LayTable[Faktisk res],""))</f>
        <v>0</v>
      </c>
    </row>
    <row r="38" spans="1:21">
      <c r="A38" s="20">
        <f t="shared" si="1"/>
        <v>35</v>
      </c>
      <c r="B38" s="20" t="str">
        <f>IFERROR(VLOOKUP(ROW()-3,BookieName[],3,FALSE),"")</f>
        <v>Malina</v>
      </c>
      <c r="C38" s="21">
        <f>IF(Data[[#This Row],[Bookie]]="","",SUM(Data[[#This Row],[D/W]:[Bonus and Adjustments]],))</f>
        <v>0</v>
      </c>
      <c r="D38" s="21">
        <f>IF(Data[[#This Row],[Bookie]]="","",SUMIF(DWbooks[Bookmaker],(VLOOKUP(ROW()-3,BookieName[],2,FALSE)),DWbooks[Sum]))</f>
        <v>0</v>
      </c>
      <c r="E38" s="20">
        <f>IF(Data[[#This Row],[Bookie]]="","",SUMIF(BetTable[B1],(VLOOKUP(ROW()-3,BookieName[],2,FALSE)),BetTable[S1])*-1)</f>
        <v>0</v>
      </c>
      <c r="F38" s="20">
        <f>IF(Data[[#This Row],[Bookie]]="","",SUMIF(BetTable[B2],(VLOOKUP(ROW()-3,BookieName[],2,FALSE)),BetTable[S2])*-1)</f>
        <v>0</v>
      </c>
      <c r="G38" s="20">
        <f>IF(Data[[#This Row],[Bookie]]="","",SUMIF(BetTable[B3],(VLOOKUP(ROW()-3,BookieName[],2,FALSE)),BetTable[S3])*-1)</f>
        <v>0</v>
      </c>
      <c r="H38" s="20">
        <f>IF(Data[[#This Row],[Bookie]]="","",SUMIF(BetTable[B1],(VLOOKUP(ROW()-3,BookieName[],2,FALSE)),BetTable[WBA1]))</f>
        <v>0</v>
      </c>
      <c r="I38" s="20">
        <f>IF(Data[[#This Row],[Bookie]]="","",SUMIF(BetTable[B2],(VLOOKUP(ROW()-3,BookieName[],2,FALSE)),BetTable[WBA2]))</f>
        <v>0</v>
      </c>
      <c r="J38" s="20">
        <f>IF(Data[[#This Row],[Bookie]]="","",SUMIF(BetTable[B3],(VLOOKUP(ROW()-3,BookieName[],2,FALSE)),BetTable[WBA3]))</f>
        <v>0</v>
      </c>
      <c r="K38" s="20">
        <f>IF(Data[[#This Row],[Bookie]]="","",SUMIF(LayTable[Bookmaker],(VLOOKUP(ROW()-3,BookieName[],2,FALSE)),LayTable[BookieInnsats])*-1)</f>
        <v>0</v>
      </c>
      <c r="L38" s="20">
        <f>IF(Data[[#This Row],[Bookie]]="","",SUMIF(LayTable[Lay-bookie],(VLOOKUP(ROW()-3,BookieName[],2,FALSE)),LayTable[LayLiability])*-1)</f>
        <v>0</v>
      </c>
      <c r="M38" s="20">
        <f>IF(Data[[#This Row],[Bookie]]="","",SUMIF(LayTable[Bookmaker],(VLOOKUP(ROW()-3,BookieName[],2,FALSE)),LayTable[WBABack]))</f>
        <v>0</v>
      </c>
      <c r="N38" s="20">
        <f>IF(Data[[#This Row],[Bookie]]="","",SUMIF(LayTable[Lay-bookie],(VLOOKUP(ROW()-3,BookieName[],2,FALSE)),LayTable[WBALay]))</f>
        <v>0</v>
      </c>
      <c r="O38" s="20">
        <f>IF(Data[[#This Row],[Bookie]]="","",SUMIF(DWbonus[Bookie],(VLOOKUP(ROW()-3,BookieName[],2,FALSE)),DWbonus[Sum]))</f>
        <v>0</v>
      </c>
      <c r="P38" s="20">
        <f>IF(Data[[#This Row],[Bookie]]="","",SUM(Data[[#This Row],[Pending 1]:[PendingL2]]))</f>
        <v>0</v>
      </c>
      <c r="Q38" s="20">
        <f>IF(Data[[#This Row],[Bookie]]="","",SUMIFS(BetTable[S1],BetTable[B1],(VLOOKUP(ROW()-3,BookieName[],2,FALSE)),BetTable[AR],""))</f>
        <v>0</v>
      </c>
      <c r="R38" s="20">
        <f>IF(Data[[#This Row],[Bookie]]="","",SUMIFS(BetTable[S2],BetTable[B2],(VLOOKUP(ROW()-3,BookieName[],2,FALSE)),BetTable[AR],""))</f>
        <v>0</v>
      </c>
      <c r="S38" s="20">
        <f>IF(Data[[#This Row],[Bookie]]="","",SUMIFS(BetTable[S3],BetTable[B3],(VLOOKUP(ROW()-3,BookieName[],2,FALSE)),BetTable[AR],""))</f>
        <v>0</v>
      </c>
      <c r="T38" s="20">
        <f>IF(Data[[#This Row],[Bookie]]="","",SUMIFS(LayTable[BookieInnsats],LayTable[Bookmaker],(VLOOKUP(ROW()-3,BookieName[],2,FALSE)),LayTable[Faktisk res],""))</f>
        <v>0</v>
      </c>
      <c r="U38" s="20">
        <f>IF(Data[[#This Row],[Bookie]]="","",SUMIFS(LayTable[LayLiability],LayTable[Lay-bookie],(VLOOKUP(ROW()-3,BookieName[],2,FALSE)),LayTable[Faktisk res],""))</f>
        <v>0</v>
      </c>
    </row>
    <row r="39" spans="1:21">
      <c r="A39" s="20">
        <f t="shared" si="1"/>
        <v>36</v>
      </c>
      <c r="B39" s="20" t="str">
        <f>IFERROR(VLOOKUP(ROW()-3,BookieName[],3,FALSE),"")</f>
        <v>Mobilebet</v>
      </c>
      <c r="C39" s="21">
        <f>IF(Data[[#This Row],[Bookie]]="","",SUM(Data[[#This Row],[D/W]:[Bonus and Adjustments]],))</f>
        <v>0</v>
      </c>
      <c r="D39" s="21">
        <f>IF(Data[[#This Row],[Bookie]]="","",SUMIF(DWbooks[Bookmaker],(VLOOKUP(ROW()-3,BookieName[],2,FALSE)),DWbooks[Sum]))</f>
        <v>0</v>
      </c>
      <c r="E39" s="20">
        <f>IF(Data[[#This Row],[Bookie]]="","",SUMIF(BetTable[B1],(VLOOKUP(ROW()-3,BookieName[],2,FALSE)),BetTable[S1])*-1)</f>
        <v>0</v>
      </c>
      <c r="F39" s="20">
        <f>IF(Data[[#This Row],[Bookie]]="","",SUMIF(BetTable[B2],(VLOOKUP(ROW()-3,BookieName[],2,FALSE)),BetTable[S2])*-1)</f>
        <v>0</v>
      </c>
      <c r="G39" s="20">
        <f>IF(Data[[#This Row],[Bookie]]="","",SUMIF(BetTable[B3],(VLOOKUP(ROW()-3,BookieName[],2,FALSE)),BetTable[S3])*-1)</f>
        <v>0</v>
      </c>
      <c r="H39" s="20">
        <f>IF(Data[[#This Row],[Bookie]]="","",SUMIF(BetTable[B1],(VLOOKUP(ROW()-3,BookieName[],2,FALSE)),BetTable[WBA1]))</f>
        <v>0</v>
      </c>
      <c r="I39" s="20">
        <f>IF(Data[[#This Row],[Bookie]]="","",SUMIF(BetTable[B2],(VLOOKUP(ROW()-3,BookieName[],2,FALSE)),BetTable[WBA2]))</f>
        <v>0</v>
      </c>
      <c r="J39" s="20">
        <f>IF(Data[[#This Row],[Bookie]]="","",SUMIF(BetTable[B3],(VLOOKUP(ROW()-3,BookieName[],2,FALSE)),BetTable[WBA3]))</f>
        <v>0</v>
      </c>
      <c r="K39" s="20">
        <f>IF(Data[[#This Row],[Bookie]]="","",SUMIF(LayTable[Bookmaker],(VLOOKUP(ROW()-3,BookieName[],2,FALSE)),LayTable[BookieInnsats])*-1)</f>
        <v>0</v>
      </c>
      <c r="L39" s="20">
        <f>IF(Data[[#This Row],[Bookie]]="","",SUMIF(LayTable[Lay-bookie],(VLOOKUP(ROW()-3,BookieName[],2,FALSE)),LayTable[LayLiability])*-1)</f>
        <v>0</v>
      </c>
      <c r="M39" s="20">
        <f>IF(Data[[#This Row],[Bookie]]="","",SUMIF(LayTable[Bookmaker],(VLOOKUP(ROW()-3,BookieName[],2,FALSE)),LayTable[WBABack]))</f>
        <v>0</v>
      </c>
      <c r="N39" s="20">
        <f>IF(Data[[#This Row],[Bookie]]="","",SUMIF(LayTable[Lay-bookie],(VLOOKUP(ROW()-3,BookieName[],2,FALSE)),LayTable[WBALay]))</f>
        <v>0</v>
      </c>
      <c r="O39" s="20">
        <f>IF(Data[[#This Row],[Bookie]]="","",SUMIF(DWbonus[Bookie],(VLOOKUP(ROW()-3,BookieName[],2,FALSE)),DWbonus[Sum]))</f>
        <v>0</v>
      </c>
      <c r="P39" s="20">
        <f>IF(Data[[#This Row],[Bookie]]="","",SUM(Data[[#This Row],[Pending 1]:[PendingL2]]))</f>
        <v>0</v>
      </c>
      <c r="Q39" s="20">
        <f>IF(Data[[#This Row],[Bookie]]="","",SUMIFS(BetTable[S1],BetTable[B1],(VLOOKUP(ROW()-3,BookieName[],2,FALSE)),BetTable[AR],""))</f>
        <v>0</v>
      </c>
      <c r="R39" s="20">
        <f>IF(Data[[#This Row],[Bookie]]="","",SUMIFS(BetTable[S2],BetTable[B2],(VLOOKUP(ROW()-3,BookieName[],2,FALSE)),BetTable[AR],""))</f>
        <v>0</v>
      </c>
      <c r="S39" s="20">
        <f>IF(Data[[#This Row],[Bookie]]="","",SUMIFS(BetTable[S3],BetTable[B3],(VLOOKUP(ROW()-3,BookieName[],2,FALSE)),BetTable[AR],""))</f>
        <v>0</v>
      </c>
      <c r="T39" s="20">
        <f>IF(Data[[#This Row],[Bookie]]="","",SUMIFS(LayTable[BookieInnsats],LayTable[Bookmaker],(VLOOKUP(ROW()-3,BookieName[],2,FALSE)),LayTable[Faktisk res],""))</f>
        <v>0</v>
      </c>
      <c r="U39" s="20">
        <f>IF(Data[[#This Row],[Bookie]]="","",SUMIFS(LayTable[LayLiability],LayTable[Lay-bookie],(VLOOKUP(ROW()-3,BookieName[],2,FALSE)),LayTable[Faktisk res],""))</f>
        <v>0</v>
      </c>
    </row>
    <row r="40" spans="1:21">
      <c r="A40" s="20">
        <f t="shared" si="1"/>
        <v>37</v>
      </c>
      <c r="B40" s="20" t="str">
        <f>IFERROR(VLOOKUP(ROW()-3,BookieName[],3,FALSE),"")</f>
        <v>MrGreen</v>
      </c>
      <c r="C40" s="21">
        <f>IF(Data[[#This Row],[Bookie]]="","",SUM(Data[[#This Row],[D/W]:[Bonus and Adjustments]],))</f>
        <v>0</v>
      </c>
      <c r="D40" s="21">
        <f>IF(Data[[#This Row],[Bookie]]="","",SUMIF(DWbooks[Bookmaker],(VLOOKUP(ROW()-3,BookieName[],2,FALSE)),DWbooks[Sum]))</f>
        <v>0</v>
      </c>
      <c r="E40" s="20">
        <f>IF(Data[[#This Row],[Bookie]]="","",SUMIF(BetTable[B1],(VLOOKUP(ROW()-3,BookieName[],2,FALSE)),BetTable[S1])*-1)</f>
        <v>0</v>
      </c>
      <c r="F40" s="20">
        <f>IF(Data[[#This Row],[Bookie]]="","",SUMIF(BetTable[B2],(VLOOKUP(ROW()-3,BookieName[],2,FALSE)),BetTable[S2])*-1)</f>
        <v>0</v>
      </c>
      <c r="G40" s="20">
        <f>IF(Data[[#This Row],[Bookie]]="","",SUMIF(BetTable[B3],(VLOOKUP(ROW()-3,BookieName[],2,FALSE)),BetTable[S3])*-1)</f>
        <v>0</v>
      </c>
      <c r="H40" s="20">
        <f>IF(Data[[#This Row],[Bookie]]="","",SUMIF(BetTable[B1],(VLOOKUP(ROW()-3,BookieName[],2,FALSE)),BetTable[WBA1]))</f>
        <v>0</v>
      </c>
      <c r="I40" s="20">
        <f>IF(Data[[#This Row],[Bookie]]="","",SUMIF(BetTable[B2],(VLOOKUP(ROW()-3,BookieName[],2,FALSE)),BetTable[WBA2]))</f>
        <v>0</v>
      </c>
      <c r="J40" s="20">
        <f>IF(Data[[#This Row],[Bookie]]="","",SUMIF(BetTable[B3],(VLOOKUP(ROW()-3,BookieName[],2,FALSE)),BetTable[WBA3]))</f>
        <v>0</v>
      </c>
      <c r="K40" s="20">
        <f>IF(Data[[#This Row],[Bookie]]="","",SUMIF(LayTable[Bookmaker],(VLOOKUP(ROW()-3,BookieName[],2,FALSE)),LayTable[BookieInnsats])*-1)</f>
        <v>0</v>
      </c>
      <c r="L40" s="20">
        <f>IF(Data[[#This Row],[Bookie]]="","",SUMIF(LayTable[Lay-bookie],(VLOOKUP(ROW()-3,BookieName[],2,FALSE)),LayTable[LayLiability])*-1)</f>
        <v>0</v>
      </c>
      <c r="M40" s="20">
        <f>IF(Data[[#This Row],[Bookie]]="","",SUMIF(LayTable[Bookmaker],(VLOOKUP(ROW()-3,BookieName[],2,FALSE)),LayTable[WBABack]))</f>
        <v>0</v>
      </c>
      <c r="N40" s="20">
        <f>IF(Data[[#This Row],[Bookie]]="","",SUMIF(LayTable[Lay-bookie],(VLOOKUP(ROW()-3,BookieName[],2,FALSE)),LayTable[WBALay]))</f>
        <v>0</v>
      </c>
      <c r="O40" s="20">
        <f>IF(Data[[#This Row],[Bookie]]="","",SUMIF(DWbonus[Bookie],(VLOOKUP(ROW()-3,BookieName[],2,FALSE)),DWbonus[Sum]))</f>
        <v>0</v>
      </c>
      <c r="P40" s="20">
        <f>IF(Data[[#This Row],[Bookie]]="","",SUM(Data[[#This Row],[Pending 1]:[PendingL2]]))</f>
        <v>0</v>
      </c>
      <c r="Q40" s="20">
        <f>IF(Data[[#This Row],[Bookie]]="","",SUMIFS(BetTable[S1],BetTable[B1],(VLOOKUP(ROW()-3,BookieName[],2,FALSE)),BetTable[AR],""))</f>
        <v>0</v>
      </c>
      <c r="R40" s="20">
        <f>IF(Data[[#This Row],[Bookie]]="","",SUMIFS(BetTable[S2],BetTable[B2],(VLOOKUP(ROW()-3,BookieName[],2,FALSE)),BetTable[AR],""))</f>
        <v>0</v>
      </c>
      <c r="S40" s="20">
        <f>IF(Data[[#This Row],[Bookie]]="","",SUMIFS(BetTable[S3],BetTable[B3],(VLOOKUP(ROW()-3,BookieName[],2,FALSE)),BetTable[AR],""))</f>
        <v>0</v>
      </c>
      <c r="T40" s="20">
        <f>IF(Data[[#This Row],[Bookie]]="","",SUMIFS(LayTable[BookieInnsats],LayTable[Bookmaker],(VLOOKUP(ROW()-3,BookieName[],2,FALSE)),LayTable[Faktisk res],""))</f>
        <v>0</v>
      </c>
      <c r="U40" s="20">
        <f>IF(Data[[#This Row],[Bookie]]="","",SUMIFS(LayTable[LayLiability],LayTable[Lay-bookie],(VLOOKUP(ROW()-3,BookieName[],2,FALSE)),LayTable[Faktisk res],""))</f>
        <v>0</v>
      </c>
    </row>
    <row r="41" spans="1:21">
      <c r="A41" s="20">
        <f t="shared" si="1"/>
        <v>38</v>
      </c>
      <c r="B41" s="20" t="str">
        <f>IFERROR(VLOOKUP(ROW()-3,BookieName[],3,FALSE),"")</f>
        <v>MrWin</v>
      </c>
      <c r="C41" s="21">
        <f>IF(Data[[#This Row],[Bookie]]="","",SUM(Data[[#This Row],[D/W]:[Bonus and Adjustments]],))</f>
        <v>0</v>
      </c>
      <c r="D41" s="21">
        <f>IF(Data[[#This Row],[Bookie]]="","",SUMIF(DWbooks[Bookmaker],(VLOOKUP(ROW()-3,BookieName[],2,FALSE)),DWbooks[Sum]))</f>
        <v>0</v>
      </c>
      <c r="E41" s="20">
        <f>IF(Data[[#This Row],[Bookie]]="","",SUMIF(BetTable[B1],(VLOOKUP(ROW()-3,BookieName[],2,FALSE)),BetTable[S1])*-1)</f>
        <v>0</v>
      </c>
      <c r="F41" s="20">
        <f>IF(Data[[#This Row],[Bookie]]="","",SUMIF(BetTable[B2],(VLOOKUP(ROW()-3,BookieName[],2,FALSE)),BetTable[S2])*-1)</f>
        <v>0</v>
      </c>
      <c r="G41" s="20">
        <f>IF(Data[[#This Row],[Bookie]]="","",SUMIF(BetTable[B3],(VLOOKUP(ROW()-3,BookieName[],2,FALSE)),BetTable[S3])*-1)</f>
        <v>0</v>
      </c>
      <c r="H41" s="20">
        <f>IF(Data[[#This Row],[Bookie]]="","",SUMIF(BetTable[B1],(VLOOKUP(ROW()-3,BookieName[],2,FALSE)),BetTable[WBA1]))</f>
        <v>0</v>
      </c>
      <c r="I41" s="20">
        <f>IF(Data[[#This Row],[Bookie]]="","",SUMIF(BetTable[B2],(VLOOKUP(ROW()-3,BookieName[],2,FALSE)),BetTable[WBA2]))</f>
        <v>0</v>
      </c>
      <c r="J41" s="20">
        <f>IF(Data[[#This Row],[Bookie]]="","",SUMIF(BetTable[B3],(VLOOKUP(ROW()-3,BookieName[],2,FALSE)),BetTable[WBA3]))</f>
        <v>0</v>
      </c>
      <c r="K41" s="20">
        <f>IF(Data[[#This Row],[Bookie]]="","",SUMIF(LayTable[Bookmaker],(VLOOKUP(ROW()-3,BookieName[],2,FALSE)),LayTable[BookieInnsats])*-1)</f>
        <v>0</v>
      </c>
      <c r="L41" s="20">
        <f>IF(Data[[#This Row],[Bookie]]="","",SUMIF(LayTable[Lay-bookie],(VLOOKUP(ROW()-3,BookieName[],2,FALSE)),LayTable[LayLiability])*-1)</f>
        <v>0</v>
      </c>
      <c r="M41" s="20">
        <f>IF(Data[[#This Row],[Bookie]]="","",SUMIF(LayTable[Bookmaker],(VLOOKUP(ROW()-3,BookieName[],2,FALSE)),LayTable[WBABack]))</f>
        <v>0</v>
      </c>
      <c r="N41" s="20">
        <f>IF(Data[[#This Row],[Bookie]]="","",SUMIF(LayTable[Lay-bookie],(VLOOKUP(ROW()-3,BookieName[],2,FALSE)),LayTable[WBALay]))</f>
        <v>0</v>
      </c>
      <c r="O41" s="20">
        <f>IF(Data[[#This Row],[Bookie]]="","",SUMIF(DWbonus[Bookie],(VLOOKUP(ROW()-3,BookieName[],2,FALSE)),DWbonus[Sum]))</f>
        <v>0</v>
      </c>
      <c r="P41" s="20">
        <f>IF(Data[[#This Row],[Bookie]]="","",SUM(Data[[#This Row],[Pending 1]:[PendingL2]]))</f>
        <v>0</v>
      </c>
      <c r="Q41" s="20">
        <f>IF(Data[[#This Row],[Bookie]]="","",SUMIFS(BetTable[S1],BetTable[B1],(VLOOKUP(ROW()-3,BookieName[],2,FALSE)),BetTable[AR],""))</f>
        <v>0</v>
      </c>
      <c r="R41" s="20">
        <f>IF(Data[[#This Row],[Bookie]]="","",SUMIFS(BetTable[S2],BetTable[B2],(VLOOKUP(ROW()-3,BookieName[],2,FALSE)),BetTable[AR],""))</f>
        <v>0</v>
      </c>
      <c r="S41" s="20">
        <f>IF(Data[[#This Row],[Bookie]]="","",SUMIFS(BetTable[S3],BetTable[B3],(VLOOKUP(ROW()-3,BookieName[],2,FALSE)),BetTable[AR],""))</f>
        <v>0</v>
      </c>
      <c r="T41" s="20">
        <f>IF(Data[[#This Row],[Bookie]]="","",SUMIFS(LayTable[BookieInnsats],LayTable[Bookmaker],(VLOOKUP(ROW()-3,BookieName[],2,FALSE)),LayTable[Faktisk res],""))</f>
        <v>0</v>
      </c>
      <c r="U41" s="20">
        <f>IF(Data[[#This Row],[Bookie]]="","",SUMIFS(LayTable[LayLiability],LayTable[Lay-bookie],(VLOOKUP(ROW()-3,BookieName[],2,FALSE)),LayTable[Faktisk res],""))</f>
        <v>0</v>
      </c>
    </row>
    <row r="42" spans="1:21">
      <c r="A42" s="20">
        <f t="shared" si="1"/>
        <v>39</v>
      </c>
      <c r="B42" s="20" t="str">
        <f>IFERROR(VLOOKUP(ROW()-3,BookieName[],3,FALSE),"")</f>
        <v>NetBet</v>
      </c>
      <c r="C42" s="21">
        <f>IF(Data[[#This Row],[Bookie]]="","",SUM(Data[[#This Row],[D/W]:[Bonus and Adjustments]],))</f>
        <v>0</v>
      </c>
      <c r="D42" s="21">
        <f>IF(Data[[#This Row],[Bookie]]="","",SUMIF(DWbooks[Bookmaker],(VLOOKUP(ROW()-3,BookieName[],2,FALSE)),DWbooks[Sum]))</f>
        <v>0</v>
      </c>
      <c r="E42" s="20">
        <f>IF(Data[[#This Row],[Bookie]]="","",SUMIF(BetTable[B1],(VLOOKUP(ROW()-3,BookieName[],2,FALSE)),BetTable[S1])*-1)</f>
        <v>0</v>
      </c>
      <c r="F42" s="20">
        <f>IF(Data[[#This Row],[Bookie]]="","",SUMIF(BetTable[B2],(VLOOKUP(ROW()-3,BookieName[],2,FALSE)),BetTable[S2])*-1)</f>
        <v>0</v>
      </c>
      <c r="G42" s="20">
        <f>IF(Data[[#This Row],[Bookie]]="","",SUMIF(BetTable[B3],(VLOOKUP(ROW()-3,BookieName[],2,FALSE)),BetTable[S3])*-1)</f>
        <v>0</v>
      </c>
      <c r="H42" s="20">
        <f>IF(Data[[#This Row],[Bookie]]="","",SUMIF(BetTable[B1],(VLOOKUP(ROW()-3,BookieName[],2,FALSE)),BetTable[WBA1]))</f>
        <v>0</v>
      </c>
      <c r="I42" s="20">
        <f>IF(Data[[#This Row],[Bookie]]="","",SUMIF(BetTable[B2],(VLOOKUP(ROW()-3,BookieName[],2,FALSE)),BetTable[WBA2]))</f>
        <v>0</v>
      </c>
      <c r="J42" s="20">
        <f>IF(Data[[#This Row],[Bookie]]="","",SUMIF(BetTable[B3],(VLOOKUP(ROW()-3,BookieName[],2,FALSE)),BetTable[WBA3]))</f>
        <v>0</v>
      </c>
      <c r="K42" s="20">
        <f>IF(Data[[#This Row],[Bookie]]="","",SUMIF(LayTable[Bookmaker],(VLOOKUP(ROW()-3,BookieName[],2,FALSE)),LayTable[BookieInnsats])*-1)</f>
        <v>0</v>
      </c>
      <c r="L42" s="20">
        <f>IF(Data[[#This Row],[Bookie]]="","",SUMIF(LayTable[Lay-bookie],(VLOOKUP(ROW()-3,BookieName[],2,FALSE)),LayTable[LayLiability])*-1)</f>
        <v>0</v>
      </c>
      <c r="M42" s="20">
        <f>IF(Data[[#This Row],[Bookie]]="","",SUMIF(LayTable[Bookmaker],(VLOOKUP(ROW()-3,BookieName[],2,FALSE)),LayTable[WBABack]))</f>
        <v>0</v>
      </c>
      <c r="N42" s="20">
        <f>IF(Data[[#This Row],[Bookie]]="","",SUMIF(LayTable[Lay-bookie],(VLOOKUP(ROW()-3,BookieName[],2,FALSE)),LayTable[WBALay]))</f>
        <v>0</v>
      </c>
      <c r="O42" s="20">
        <f>IF(Data[[#This Row],[Bookie]]="","",SUMIF(DWbonus[Bookie],(VLOOKUP(ROW()-3,BookieName[],2,FALSE)),DWbonus[Sum]))</f>
        <v>0</v>
      </c>
      <c r="P42" s="20">
        <f>IF(Data[[#This Row],[Bookie]]="","",SUM(Data[[#This Row],[Pending 1]:[PendingL2]]))</f>
        <v>0</v>
      </c>
      <c r="Q42" s="20">
        <f>IF(Data[[#This Row],[Bookie]]="","",SUMIFS(BetTable[S1],BetTable[B1],(VLOOKUP(ROW()-3,BookieName[],2,FALSE)),BetTable[AR],""))</f>
        <v>0</v>
      </c>
      <c r="R42" s="20">
        <f>IF(Data[[#This Row],[Bookie]]="","",SUMIFS(BetTable[S2],BetTable[B2],(VLOOKUP(ROW()-3,BookieName[],2,FALSE)),BetTable[AR],""))</f>
        <v>0</v>
      </c>
      <c r="S42" s="20">
        <f>IF(Data[[#This Row],[Bookie]]="","",SUMIFS(BetTable[S3],BetTable[B3],(VLOOKUP(ROW()-3,BookieName[],2,FALSE)),BetTable[AR],""))</f>
        <v>0</v>
      </c>
      <c r="T42" s="20">
        <f>IF(Data[[#This Row],[Bookie]]="","",SUMIFS(LayTable[BookieInnsats],LayTable[Bookmaker],(VLOOKUP(ROW()-3,BookieName[],2,FALSE)),LayTable[Faktisk res],""))</f>
        <v>0</v>
      </c>
      <c r="U42" s="20">
        <f>IF(Data[[#This Row],[Bookie]]="","",SUMIFS(LayTable[LayLiability],LayTable[Lay-bookie],(VLOOKUP(ROW()-3,BookieName[],2,FALSE)),LayTable[Faktisk res],""))</f>
        <v>0</v>
      </c>
    </row>
    <row r="43" spans="1:21">
      <c r="A43" s="20">
        <f t="shared" si="1"/>
        <v>40</v>
      </c>
      <c r="B43" s="20" t="str">
        <f>IFERROR(VLOOKUP(ROW()-3,BookieName[],3,FALSE),"")</f>
        <v>Nightrush</v>
      </c>
      <c r="C43" s="21">
        <f>IF(Data[[#This Row],[Bookie]]="","",SUM(Data[[#This Row],[D/W]:[Bonus and Adjustments]],))</f>
        <v>0</v>
      </c>
      <c r="D43" s="21">
        <f>IF(Data[[#This Row],[Bookie]]="","",SUMIF(DWbooks[Bookmaker],(VLOOKUP(ROW()-3,BookieName[],2,FALSE)),DWbooks[Sum]))</f>
        <v>0</v>
      </c>
      <c r="E43" s="20">
        <f>IF(Data[[#This Row],[Bookie]]="","",SUMIF(BetTable[B1],(VLOOKUP(ROW()-3,BookieName[],2,FALSE)),BetTable[S1])*-1)</f>
        <v>0</v>
      </c>
      <c r="F43" s="20">
        <f>IF(Data[[#This Row],[Bookie]]="","",SUMIF(BetTable[B2],(VLOOKUP(ROW()-3,BookieName[],2,FALSE)),BetTable[S2])*-1)</f>
        <v>0</v>
      </c>
      <c r="G43" s="20">
        <f>IF(Data[[#This Row],[Bookie]]="","",SUMIF(BetTable[B3],(VLOOKUP(ROW()-3,BookieName[],2,FALSE)),BetTable[S3])*-1)</f>
        <v>0</v>
      </c>
      <c r="H43" s="20">
        <f>IF(Data[[#This Row],[Bookie]]="","",SUMIF(BetTable[B1],(VLOOKUP(ROW()-3,BookieName[],2,FALSE)),BetTable[WBA1]))</f>
        <v>0</v>
      </c>
      <c r="I43" s="20">
        <f>IF(Data[[#This Row],[Bookie]]="","",SUMIF(BetTable[B2],(VLOOKUP(ROW()-3,BookieName[],2,FALSE)),BetTable[WBA2]))</f>
        <v>0</v>
      </c>
      <c r="J43" s="20">
        <f>IF(Data[[#This Row],[Bookie]]="","",SUMIF(BetTable[B3],(VLOOKUP(ROW()-3,BookieName[],2,FALSE)),BetTable[WBA3]))</f>
        <v>0</v>
      </c>
      <c r="K43" s="20">
        <f>IF(Data[[#This Row],[Bookie]]="","",SUMIF(LayTable[Bookmaker],(VLOOKUP(ROW()-3,BookieName[],2,FALSE)),LayTable[BookieInnsats])*-1)</f>
        <v>0</v>
      </c>
      <c r="L43" s="20">
        <f>IF(Data[[#This Row],[Bookie]]="","",SUMIF(LayTable[Lay-bookie],(VLOOKUP(ROW()-3,BookieName[],2,FALSE)),LayTable[LayLiability])*-1)</f>
        <v>0</v>
      </c>
      <c r="M43" s="20">
        <f>IF(Data[[#This Row],[Bookie]]="","",SUMIF(LayTable[Bookmaker],(VLOOKUP(ROW()-3,BookieName[],2,FALSE)),LayTable[WBABack]))</f>
        <v>0</v>
      </c>
      <c r="N43" s="20">
        <f>IF(Data[[#This Row],[Bookie]]="","",SUMIF(LayTable[Lay-bookie],(VLOOKUP(ROW()-3,BookieName[],2,FALSE)),LayTable[WBALay]))</f>
        <v>0</v>
      </c>
      <c r="O43" s="20">
        <f>IF(Data[[#This Row],[Bookie]]="","",SUMIF(DWbonus[Bookie],(VLOOKUP(ROW()-3,BookieName[],2,FALSE)),DWbonus[Sum]))</f>
        <v>0</v>
      </c>
      <c r="P43" s="20">
        <f>IF(Data[[#This Row],[Bookie]]="","",SUM(Data[[#This Row],[Pending 1]:[PendingL2]]))</f>
        <v>0</v>
      </c>
      <c r="Q43" s="20">
        <f>IF(Data[[#This Row],[Bookie]]="","",SUMIFS(BetTable[S1],BetTable[B1],(VLOOKUP(ROW()-3,BookieName[],2,FALSE)),BetTable[AR],""))</f>
        <v>0</v>
      </c>
      <c r="R43" s="20">
        <f>IF(Data[[#This Row],[Bookie]]="","",SUMIFS(BetTable[S2],BetTable[B2],(VLOOKUP(ROW()-3,BookieName[],2,FALSE)),BetTable[AR],""))</f>
        <v>0</v>
      </c>
      <c r="S43" s="20">
        <f>IF(Data[[#This Row],[Bookie]]="","",SUMIFS(BetTable[S3],BetTable[B3],(VLOOKUP(ROW()-3,BookieName[],2,FALSE)),BetTable[AR],""))</f>
        <v>0</v>
      </c>
      <c r="T43" s="20">
        <f>IF(Data[[#This Row],[Bookie]]="","",SUMIFS(LayTable[BookieInnsats],LayTable[Bookmaker],(VLOOKUP(ROW()-3,BookieName[],2,FALSE)),LayTable[Faktisk res],""))</f>
        <v>0</v>
      </c>
      <c r="U43" s="20">
        <f>IF(Data[[#This Row],[Bookie]]="","",SUMIFS(LayTable[LayLiability],LayTable[Lay-bookie],(VLOOKUP(ROW()-3,BookieName[],2,FALSE)),LayTable[Faktisk res],""))</f>
        <v>0</v>
      </c>
    </row>
    <row r="44" spans="1:21">
      <c r="A44" s="20">
        <f t="shared" si="1"/>
        <v>41</v>
      </c>
      <c r="B44" s="20" t="str">
        <f>IFERROR(VLOOKUP(ROW()-3,BookieName[],3,FALSE),"")</f>
        <v>NNBetsson</v>
      </c>
      <c r="C44" s="21">
        <f>IF(Data[[#This Row],[Bookie]]="","",SUM(Data[[#This Row],[D/W]:[Bonus and Adjustments]],))</f>
        <v>0</v>
      </c>
      <c r="D44" s="21">
        <f>IF(Data[[#This Row],[Bookie]]="","",SUMIF(DWbooks[Bookmaker],(VLOOKUP(ROW()-3,BookieName[],2,FALSE)),DWbooks[Sum]))</f>
        <v>0</v>
      </c>
      <c r="E44" s="20">
        <f>IF(Data[[#This Row],[Bookie]]="","",SUMIF(BetTable[B1],(VLOOKUP(ROW()-3,BookieName[],2,FALSE)),BetTable[S1])*-1)</f>
        <v>0</v>
      </c>
      <c r="F44" s="20">
        <f>IF(Data[[#This Row],[Bookie]]="","",SUMIF(BetTable[B2],(VLOOKUP(ROW()-3,BookieName[],2,FALSE)),BetTable[S2])*-1)</f>
        <v>0</v>
      </c>
      <c r="G44" s="20">
        <f>IF(Data[[#This Row],[Bookie]]="","",SUMIF(BetTable[B3],(VLOOKUP(ROW()-3,BookieName[],2,FALSE)),BetTable[S3])*-1)</f>
        <v>0</v>
      </c>
      <c r="H44" s="20">
        <f>IF(Data[[#This Row],[Bookie]]="","",SUMIF(BetTable[B1],(VLOOKUP(ROW()-3,BookieName[],2,FALSE)),BetTable[WBA1]))</f>
        <v>0</v>
      </c>
      <c r="I44" s="20">
        <f>IF(Data[[#This Row],[Bookie]]="","",SUMIF(BetTable[B2],(VLOOKUP(ROW()-3,BookieName[],2,FALSE)),BetTable[WBA2]))</f>
        <v>0</v>
      </c>
      <c r="J44" s="20">
        <f>IF(Data[[#This Row],[Bookie]]="","",SUMIF(BetTable[B3],(VLOOKUP(ROW()-3,BookieName[],2,FALSE)),BetTable[WBA3]))</f>
        <v>0</v>
      </c>
      <c r="K44" s="20">
        <f>IF(Data[[#This Row],[Bookie]]="","",SUMIF(LayTable[Bookmaker],(VLOOKUP(ROW()-3,BookieName[],2,FALSE)),LayTable[BookieInnsats])*-1)</f>
        <v>0</v>
      </c>
      <c r="L44" s="20">
        <f>IF(Data[[#This Row],[Bookie]]="","",SUMIF(LayTable[Lay-bookie],(VLOOKUP(ROW()-3,BookieName[],2,FALSE)),LayTable[LayLiability])*-1)</f>
        <v>0</v>
      </c>
      <c r="M44" s="20">
        <f>IF(Data[[#This Row],[Bookie]]="","",SUMIF(LayTable[Bookmaker],(VLOOKUP(ROW()-3,BookieName[],2,FALSE)),LayTable[WBABack]))</f>
        <v>0</v>
      </c>
      <c r="N44" s="20">
        <f>IF(Data[[#This Row],[Bookie]]="","",SUMIF(LayTable[Lay-bookie],(VLOOKUP(ROW()-3,BookieName[],2,FALSE)),LayTable[WBALay]))</f>
        <v>0</v>
      </c>
      <c r="O44" s="20">
        <f>IF(Data[[#This Row],[Bookie]]="","",SUMIF(DWbonus[Bookie],(VLOOKUP(ROW()-3,BookieName[],2,FALSE)),DWbonus[Sum]))</f>
        <v>0</v>
      </c>
      <c r="P44" s="20">
        <f>IF(Data[[#This Row],[Bookie]]="","",SUM(Data[[#This Row],[Pending 1]:[PendingL2]]))</f>
        <v>0</v>
      </c>
      <c r="Q44" s="20">
        <f>IF(Data[[#This Row],[Bookie]]="","",SUMIFS(BetTable[S1],BetTable[B1],(VLOOKUP(ROW()-3,BookieName[],2,FALSE)),BetTable[AR],""))</f>
        <v>0</v>
      </c>
      <c r="R44" s="20">
        <f>IF(Data[[#This Row],[Bookie]]="","",SUMIFS(BetTable[S2],BetTable[B2],(VLOOKUP(ROW()-3,BookieName[],2,FALSE)),BetTable[AR],""))</f>
        <v>0</v>
      </c>
      <c r="S44" s="20">
        <f>IF(Data[[#This Row],[Bookie]]="","",SUMIFS(BetTable[S3],BetTable[B3],(VLOOKUP(ROW()-3,BookieName[],2,FALSE)),BetTable[AR],""))</f>
        <v>0</v>
      </c>
      <c r="T44" s="20">
        <f>IF(Data[[#This Row],[Bookie]]="","",SUMIFS(LayTable[BookieInnsats],LayTable[Bookmaker],(VLOOKUP(ROW()-3,BookieName[],2,FALSE)),LayTable[Faktisk res],""))</f>
        <v>0</v>
      </c>
      <c r="U44" s="20">
        <f>IF(Data[[#This Row],[Bookie]]="","",SUMIFS(LayTable[LayLiability],LayTable[Lay-bookie],(VLOOKUP(ROW()-3,BookieName[],2,FALSE)),LayTable[Faktisk res],""))</f>
        <v>0</v>
      </c>
    </row>
    <row r="45" spans="1:21">
      <c r="A45" s="20">
        <f t="shared" si="1"/>
        <v>42</v>
      </c>
      <c r="B45" s="20" t="str">
        <f>IFERROR(VLOOKUP(ROW()-3,BookieName[],3,FALSE),"")</f>
        <v>NNCoolbet</v>
      </c>
      <c r="C45" s="21">
        <f>IF(Data[[#This Row],[Bookie]]="","",SUM(Data[[#This Row],[D/W]:[Bonus and Adjustments]],))</f>
        <v>0</v>
      </c>
      <c r="D45" s="21">
        <f>IF(Data[[#This Row],[Bookie]]="","",SUMIF(DWbooks[Bookmaker],(VLOOKUP(ROW()-3,BookieName[],2,FALSE)),DWbooks[Sum]))</f>
        <v>0</v>
      </c>
      <c r="E45" s="20">
        <f>IF(Data[[#This Row],[Bookie]]="","",SUMIF(BetTable[B1],(VLOOKUP(ROW()-3,BookieName[],2,FALSE)),BetTable[S1])*-1)</f>
        <v>0</v>
      </c>
      <c r="F45" s="20">
        <f>IF(Data[[#This Row],[Bookie]]="","",SUMIF(BetTable[B2],(VLOOKUP(ROW()-3,BookieName[],2,FALSE)),BetTable[S2])*-1)</f>
        <v>0</v>
      </c>
      <c r="G45" s="20">
        <f>IF(Data[[#This Row],[Bookie]]="","",SUMIF(BetTable[B3],(VLOOKUP(ROW()-3,BookieName[],2,FALSE)),BetTable[S3])*-1)</f>
        <v>0</v>
      </c>
      <c r="H45" s="20">
        <f>IF(Data[[#This Row],[Bookie]]="","",SUMIF(BetTable[B1],(VLOOKUP(ROW()-3,BookieName[],2,FALSE)),BetTable[WBA1]))</f>
        <v>0</v>
      </c>
      <c r="I45" s="20">
        <f>IF(Data[[#This Row],[Bookie]]="","",SUMIF(BetTable[B2],(VLOOKUP(ROW()-3,BookieName[],2,FALSE)),BetTable[WBA2]))</f>
        <v>0</v>
      </c>
      <c r="J45" s="20">
        <f>IF(Data[[#This Row],[Bookie]]="","",SUMIF(BetTable[B3],(VLOOKUP(ROW()-3,BookieName[],2,FALSE)),BetTable[WBA3]))</f>
        <v>0</v>
      </c>
      <c r="K45" s="20">
        <f>IF(Data[[#This Row],[Bookie]]="","",SUMIF(LayTable[Bookmaker],(VLOOKUP(ROW()-3,BookieName[],2,FALSE)),LayTable[BookieInnsats])*-1)</f>
        <v>0</v>
      </c>
      <c r="L45" s="20">
        <f>IF(Data[[#This Row],[Bookie]]="","",SUMIF(LayTable[Lay-bookie],(VLOOKUP(ROW()-3,BookieName[],2,FALSE)),LayTable[LayLiability])*-1)</f>
        <v>0</v>
      </c>
      <c r="M45" s="20">
        <f>IF(Data[[#This Row],[Bookie]]="","",SUMIF(LayTable[Bookmaker],(VLOOKUP(ROW()-3,BookieName[],2,FALSE)),LayTable[WBABack]))</f>
        <v>0</v>
      </c>
      <c r="N45" s="20">
        <f>IF(Data[[#This Row],[Bookie]]="","",SUMIF(LayTable[Lay-bookie],(VLOOKUP(ROW()-3,BookieName[],2,FALSE)),LayTable[WBALay]))</f>
        <v>0</v>
      </c>
      <c r="O45" s="20">
        <f>IF(Data[[#This Row],[Bookie]]="","",SUMIF(DWbonus[Bookie],(VLOOKUP(ROW()-3,BookieName[],2,FALSE)),DWbonus[Sum]))</f>
        <v>0</v>
      </c>
      <c r="P45" s="20">
        <f>IF(Data[[#This Row],[Bookie]]="","",SUM(Data[[#This Row],[Pending 1]:[PendingL2]]))</f>
        <v>0</v>
      </c>
      <c r="Q45" s="20">
        <f>IF(Data[[#This Row],[Bookie]]="","",SUMIFS(BetTable[S1],BetTable[B1],(VLOOKUP(ROW()-3,BookieName[],2,FALSE)),BetTable[AR],""))</f>
        <v>0</v>
      </c>
      <c r="R45" s="20">
        <f>IF(Data[[#This Row],[Bookie]]="","",SUMIFS(BetTable[S2],BetTable[B2],(VLOOKUP(ROW()-3,BookieName[],2,FALSE)),BetTable[AR],""))</f>
        <v>0</v>
      </c>
      <c r="S45" s="20">
        <f>IF(Data[[#This Row],[Bookie]]="","",SUMIFS(BetTable[S3],BetTable[B3],(VLOOKUP(ROW()-3,BookieName[],2,FALSE)),BetTable[AR],""))</f>
        <v>0</v>
      </c>
      <c r="T45" s="20">
        <f>IF(Data[[#This Row],[Bookie]]="","",SUMIFS(LayTable[BookieInnsats],LayTable[Bookmaker],(VLOOKUP(ROW()-3,BookieName[],2,FALSE)),LayTable[Faktisk res],""))</f>
        <v>0</v>
      </c>
      <c r="U45" s="20">
        <f>IF(Data[[#This Row],[Bookie]]="","",SUMIFS(LayTable[LayLiability],LayTable[Lay-bookie],(VLOOKUP(ROW()-3,BookieName[],2,FALSE)),LayTable[Faktisk res],""))</f>
        <v>0</v>
      </c>
    </row>
    <row r="46" spans="1:21">
      <c r="A46" s="20">
        <f t="shared" si="1"/>
        <v>43</v>
      </c>
      <c r="B46" s="20" t="str">
        <f>IFERROR(VLOOKUP(ROW()-3,BookieName[],3,FALSE),"")</f>
        <v>NordicBet</v>
      </c>
      <c r="C46" s="21">
        <f>IF(Data[[#This Row],[Bookie]]="","",SUM(Data[[#This Row],[D/W]:[Bonus and Adjustments]],))</f>
        <v>-1800</v>
      </c>
      <c r="D46" s="21">
        <f>IF(Data[[#This Row],[Bookie]]="","",SUMIF(DWbooks[Bookmaker],(VLOOKUP(ROW()-3,BookieName[],2,FALSE)),DWbooks[Sum]))</f>
        <v>200</v>
      </c>
      <c r="E46" s="20">
        <f>IF(Data[[#This Row],[Bookie]]="","",SUMIF(BetTable[B1],(VLOOKUP(ROW()-3,BookieName[],2,FALSE)),BetTable[S1])*-1)</f>
        <v>0</v>
      </c>
      <c r="F46" s="20">
        <f>IF(Data[[#This Row],[Bookie]]="","",SUMIF(BetTable[B2],(VLOOKUP(ROW()-3,BookieName[],2,FALSE)),BetTable[S2])*-1)</f>
        <v>0</v>
      </c>
      <c r="G46" s="20">
        <f>IF(Data[[#This Row],[Bookie]]="","",SUMIF(BetTable[B3],(VLOOKUP(ROW()-3,BookieName[],2,FALSE)),BetTable[S3])*-1)</f>
        <v>0</v>
      </c>
      <c r="H46" s="20">
        <f>IF(Data[[#This Row],[Bookie]]="","",SUMIF(BetTable[B1],(VLOOKUP(ROW()-3,BookieName[],2,FALSE)),BetTable[WBA1]))</f>
        <v>0</v>
      </c>
      <c r="I46" s="20">
        <f>IF(Data[[#This Row],[Bookie]]="","",SUMIF(BetTable[B2],(VLOOKUP(ROW()-3,BookieName[],2,FALSE)),BetTable[WBA2]))</f>
        <v>0</v>
      </c>
      <c r="J46" s="20">
        <f>IF(Data[[#This Row],[Bookie]]="","",SUMIF(BetTable[B3],(VLOOKUP(ROW()-3,BookieName[],2,FALSE)),BetTable[WBA3]))</f>
        <v>0</v>
      </c>
      <c r="K46" s="20">
        <f>IF(Data[[#This Row],[Bookie]]="","",SUMIF(LayTable[Bookmaker],(VLOOKUP(ROW()-3,BookieName[],2,FALSE)),LayTable[BookieInnsats])*-1)</f>
        <v>-2200</v>
      </c>
      <c r="L46" s="20">
        <f>IF(Data[[#This Row],[Bookie]]="","",SUMIF(LayTable[Lay-bookie],(VLOOKUP(ROW()-3,BookieName[],2,FALSE)),LayTable[LayLiability])*-1)</f>
        <v>0</v>
      </c>
      <c r="M46" s="20">
        <f>IF(Data[[#This Row],[Bookie]]="","",SUMIF(LayTable[Bookmaker],(VLOOKUP(ROW()-3,BookieName[],2,FALSE)),LayTable[WBABack]))</f>
        <v>200</v>
      </c>
      <c r="N46" s="20">
        <f>IF(Data[[#This Row],[Bookie]]="","",SUMIF(LayTable[Lay-bookie],(VLOOKUP(ROW()-3,BookieName[],2,FALSE)),LayTable[WBALay]))</f>
        <v>0</v>
      </c>
      <c r="O46" s="20">
        <f>IF(Data[[#This Row],[Bookie]]="","",SUMIF(DWbonus[Bookie],(VLOOKUP(ROW()-3,BookieName[],2,FALSE)),DWbonus[Sum]))</f>
        <v>0</v>
      </c>
      <c r="P46" s="20">
        <f>IF(Data[[#This Row],[Bookie]]="","",SUM(Data[[#This Row],[Pending 1]:[PendingL2]]))</f>
        <v>0</v>
      </c>
      <c r="Q46" s="20">
        <f>IF(Data[[#This Row],[Bookie]]="","",SUMIFS(BetTable[S1],BetTable[B1],(VLOOKUP(ROW()-3,BookieName[],2,FALSE)),BetTable[AR],""))</f>
        <v>0</v>
      </c>
      <c r="R46" s="20">
        <f>IF(Data[[#This Row],[Bookie]]="","",SUMIFS(BetTable[S2],BetTable[B2],(VLOOKUP(ROW()-3,BookieName[],2,FALSE)),BetTable[AR],""))</f>
        <v>0</v>
      </c>
      <c r="S46" s="20">
        <f>IF(Data[[#This Row],[Bookie]]="","",SUMIFS(BetTable[S3],BetTable[B3],(VLOOKUP(ROW()-3,BookieName[],2,FALSE)),BetTable[AR],""))</f>
        <v>0</v>
      </c>
      <c r="T46" s="20">
        <f>IF(Data[[#This Row],[Bookie]]="","",SUMIFS(LayTable[BookieInnsats],LayTable[Bookmaker],(VLOOKUP(ROW()-3,BookieName[],2,FALSE)),LayTable[Faktisk res],""))</f>
        <v>0</v>
      </c>
      <c r="U46" s="20">
        <f>IF(Data[[#This Row],[Bookie]]="","",SUMIFS(LayTable[LayLiability],LayTable[Lay-bookie],(VLOOKUP(ROW()-3,BookieName[],2,FALSE)),LayTable[Faktisk res],""))</f>
        <v>0</v>
      </c>
    </row>
    <row r="47" spans="1:21">
      <c r="A47" s="20">
        <f t="shared" si="1"/>
        <v>44</v>
      </c>
      <c r="B47" s="20" t="str">
        <f>IFERROR(VLOOKUP(ROW()-3,BookieName[],3,FALSE),"")</f>
        <v>Norgesspill</v>
      </c>
      <c r="C47" s="21">
        <f>IF(Data[[#This Row],[Bookie]]="","",SUM(Data[[#This Row],[D/W]:[Bonus and Adjustments]],))</f>
        <v>693.5</v>
      </c>
      <c r="D47" s="21">
        <f>IF(Data[[#This Row],[Bookie]]="","",SUMIF(DWbooks[Bookmaker],(VLOOKUP(ROW()-3,BookieName[],2,FALSE)),DWbooks[Sum]))</f>
        <v>0</v>
      </c>
      <c r="E47" s="20">
        <f>IF(Data[[#This Row],[Bookie]]="","",SUMIF(BetTable[B1],(VLOOKUP(ROW()-3,BookieName[],2,FALSE)),BetTable[S1])*-1)</f>
        <v>0</v>
      </c>
      <c r="F47" s="20">
        <f>IF(Data[[#This Row],[Bookie]]="","",SUMIF(BetTable[B2],(VLOOKUP(ROW()-3,BookieName[],2,FALSE)),BetTable[S2])*-1)</f>
        <v>0</v>
      </c>
      <c r="G47" s="20">
        <f>IF(Data[[#This Row],[Bookie]]="","",SUMIF(BetTable[B3],(VLOOKUP(ROW()-3,BookieName[],2,FALSE)),BetTable[S3])*-1)</f>
        <v>0</v>
      </c>
      <c r="H47" s="20">
        <f>IF(Data[[#This Row],[Bookie]]="","",SUMIF(BetTable[B1],(VLOOKUP(ROW()-3,BookieName[],2,FALSE)),BetTable[WBA1]))</f>
        <v>0</v>
      </c>
      <c r="I47" s="20">
        <f>IF(Data[[#This Row],[Bookie]]="","",SUMIF(BetTable[B2],(VLOOKUP(ROW()-3,BookieName[],2,FALSE)),BetTable[WBA2]))</f>
        <v>0</v>
      </c>
      <c r="J47" s="20">
        <f>IF(Data[[#This Row],[Bookie]]="","",SUMIF(BetTable[B3],(VLOOKUP(ROW()-3,BookieName[],2,FALSE)),BetTable[WBA3]))</f>
        <v>0</v>
      </c>
      <c r="K47" s="20">
        <f>IF(Data[[#This Row],[Bookie]]="","",SUMIF(LayTable[Bookmaker],(VLOOKUP(ROW()-3,BookieName[],2,FALSE)),LayTable[BookieInnsats])*-1)</f>
        <v>0</v>
      </c>
      <c r="L47" s="20">
        <f>IF(Data[[#This Row],[Bookie]]="","",SUMIF(LayTable[Lay-bookie],(VLOOKUP(ROW()-3,BookieName[],2,FALSE)),LayTable[LayLiability])*-1)</f>
        <v>0</v>
      </c>
      <c r="M47" s="20">
        <f>IF(Data[[#This Row],[Bookie]]="","",SUMIF(LayTable[Bookmaker],(VLOOKUP(ROW()-3,BookieName[],2,FALSE)),LayTable[WBABack]))</f>
        <v>0</v>
      </c>
      <c r="N47" s="20">
        <f>IF(Data[[#This Row],[Bookie]]="","",SUMIF(LayTable[Lay-bookie],(VLOOKUP(ROW()-3,BookieName[],2,FALSE)),LayTable[WBALay]))</f>
        <v>0</v>
      </c>
      <c r="O47" s="20">
        <f>IF(Data[[#This Row],[Bookie]]="","",SUMIF(DWbonus[Bookie],(VLOOKUP(ROW()-3,BookieName[],2,FALSE)),DWbonus[Sum]))</f>
        <v>693.5</v>
      </c>
      <c r="P47" s="20">
        <f>IF(Data[[#This Row],[Bookie]]="","",SUM(Data[[#This Row],[Pending 1]:[PendingL2]]))</f>
        <v>0</v>
      </c>
      <c r="Q47" s="20">
        <f>IF(Data[[#This Row],[Bookie]]="","",SUMIFS(BetTable[S1],BetTable[B1],(VLOOKUP(ROW()-3,BookieName[],2,FALSE)),BetTable[AR],""))</f>
        <v>0</v>
      </c>
      <c r="R47" s="20">
        <f>IF(Data[[#This Row],[Bookie]]="","",SUMIFS(BetTable[S2],BetTable[B2],(VLOOKUP(ROW()-3,BookieName[],2,FALSE)),BetTable[AR],""))</f>
        <v>0</v>
      </c>
      <c r="S47" s="20">
        <f>IF(Data[[#This Row],[Bookie]]="","",SUMIFS(BetTable[S3],BetTable[B3],(VLOOKUP(ROW()-3,BookieName[],2,FALSE)),BetTable[AR],""))</f>
        <v>0</v>
      </c>
      <c r="T47" s="20">
        <f>IF(Data[[#This Row],[Bookie]]="","",SUMIFS(LayTable[BookieInnsats],LayTable[Bookmaker],(VLOOKUP(ROW()-3,BookieName[],2,FALSE)),LayTable[Faktisk res],""))</f>
        <v>0</v>
      </c>
      <c r="U47" s="20">
        <f>IF(Data[[#This Row],[Bookie]]="","",SUMIFS(LayTable[LayLiability],LayTable[Lay-bookie],(VLOOKUP(ROW()-3,BookieName[],2,FALSE)),LayTable[Faktisk res],""))</f>
        <v>0</v>
      </c>
    </row>
    <row r="48" spans="1:21">
      <c r="A48" s="20">
        <f t="shared" si="1"/>
        <v>45</v>
      </c>
      <c r="B48" s="20" t="str">
        <f>IFERROR(VLOOKUP(ROW()-3,BookieName[],3,FALSE),"")</f>
        <v>NorgeVegas</v>
      </c>
      <c r="C48" s="21">
        <f>IF(Data[[#This Row],[Bookie]]="","",SUM(Data[[#This Row],[D/W]:[Bonus and Adjustments]],))</f>
        <v>0</v>
      </c>
      <c r="D48" s="21">
        <f>IF(Data[[#This Row],[Bookie]]="","",SUMIF(DWbooks[Bookmaker],(VLOOKUP(ROW()-3,BookieName[],2,FALSE)),DWbooks[Sum]))</f>
        <v>0</v>
      </c>
      <c r="E48" s="20">
        <f>IF(Data[[#This Row],[Bookie]]="","",SUMIF(BetTable[B1],(VLOOKUP(ROW()-3,BookieName[],2,FALSE)),BetTable[S1])*-1)</f>
        <v>0</v>
      </c>
      <c r="F48" s="20">
        <f>IF(Data[[#This Row],[Bookie]]="","",SUMIF(BetTable[B2],(VLOOKUP(ROW()-3,BookieName[],2,FALSE)),BetTable[S2])*-1)</f>
        <v>0</v>
      </c>
      <c r="G48" s="20">
        <f>IF(Data[[#This Row],[Bookie]]="","",SUMIF(BetTable[B3],(VLOOKUP(ROW()-3,BookieName[],2,FALSE)),BetTable[S3])*-1)</f>
        <v>0</v>
      </c>
      <c r="H48" s="20">
        <f>IF(Data[[#This Row],[Bookie]]="","",SUMIF(BetTable[B1],(VLOOKUP(ROW()-3,BookieName[],2,FALSE)),BetTable[WBA1]))</f>
        <v>0</v>
      </c>
      <c r="I48" s="20">
        <f>IF(Data[[#This Row],[Bookie]]="","",SUMIF(BetTable[B2],(VLOOKUP(ROW()-3,BookieName[],2,FALSE)),BetTable[WBA2]))</f>
        <v>0</v>
      </c>
      <c r="J48" s="20">
        <f>IF(Data[[#This Row],[Bookie]]="","",SUMIF(BetTable[B3],(VLOOKUP(ROW()-3,BookieName[],2,FALSE)),BetTable[WBA3]))</f>
        <v>0</v>
      </c>
      <c r="K48" s="20">
        <f>IF(Data[[#This Row],[Bookie]]="","",SUMIF(LayTable[Bookmaker],(VLOOKUP(ROW()-3,BookieName[],2,FALSE)),LayTable[BookieInnsats])*-1)</f>
        <v>0</v>
      </c>
      <c r="L48" s="20">
        <f>IF(Data[[#This Row],[Bookie]]="","",SUMIF(LayTable[Lay-bookie],(VLOOKUP(ROW()-3,BookieName[],2,FALSE)),LayTable[LayLiability])*-1)</f>
        <v>0</v>
      </c>
      <c r="M48" s="20">
        <f>IF(Data[[#This Row],[Bookie]]="","",SUMIF(LayTable[Bookmaker],(VLOOKUP(ROW()-3,BookieName[],2,FALSE)),LayTable[WBABack]))</f>
        <v>0</v>
      </c>
      <c r="N48" s="20">
        <f>IF(Data[[#This Row],[Bookie]]="","",SUMIF(LayTable[Lay-bookie],(VLOOKUP(ROW()-3,BookieName[],2,FALSE)),LayTable[WBALay]))</f>
        <v>0</v>
      </c>
      <c r="O48" s="20">
        <f>IF(Data[[#This Row],[Bookie]]="","",SUMIF(DWbonus[Bookie],(VLOOKUP(ROW()-3,BookieName[],2,FALSE)),DWbonus[Sum]))</f>
        <v>0</v>
      </c>
      <c r="P48" s="20">
        <f>IF(Data[[#This Row],[Bookie]]="","",SUM(Data[[#This Row],[Pending 1]:[PendingL2]]))</f>
        <v>0</v>
      </c>
      <c r="Q48" s="20">
        <f>IF(Data[[#This Row],[Bookie]]="","",SUMIFS(BetTable[S1],BetTable[B1],(VLOOKUP(ROW()-3,BookieName[],2,FALSE)),BetTable[AR],""))</f>
        <v>0</v>
      </c>
      <c r="R48" s="20">
        <f>IF(Data[[#This Row],[Bookie]]="","",SUMIFS(BetTable[S2],BetTable[B2],(VLOOKUP(ROW()-3,BookieName[],2,FALSE)),BetTable[AR],""))</f>
        <v>0</v>
      </c>
      <c r="S48" s="20">
        <f>IF(Data[[#This Row],[Bookie]]="","",SUMIFS(BetTable[S3],BetTable[B3],(VLOOKUP(ROW()-3,BookieName[],2,FALSE)),BetTable[AR],""))</f>
        <v>0</v>
      </c>
      <c r="T48" s="20">
        <f>IF(Data[[#This Row],[Bookie]]="","",SUMIFS(LayTable[BookieInnsats],LayTable[Bookmaker],(VLOOKUP(ROW()-3,BookieName[],2,FALSE)),LayTable[Faktisk res],""))</f>
        <v>0</v>
      </c>
      <c r="U48" s="20">
        <f>IF(Data[[#This Row],[Bookie]]="","",SUMIFS(LayTable[LayLiability],LayTable[Lay-bookie],(VLOOKUP(ROW()-3,BookieName[],2,FALSE)),LayTable[Faktisk res],""))</f>
        <v>0</v>
      </c>
    </row>
    <row r="49" spans="1:21">
      <c r="A49" s="20">
        <f t="shared" si="1"/>
        <v>46</v>
      </c>
      <c r="B49" s="20" t="str">
        <f>IFERROR(VLOOKUP(ROW()-3,BookieName[],3,FALSE),"")</f>
        <v>NorskTipping</v>
      </c>
      <c r="C49" s="21">
        <f>IF(Data[[#This Row],[Bookie]]="","",SUM(Data[[#This Row],[D/W]:[Bonus and Adjustments]],))</f>
        <v>0</v>
      </c>
      <c r="D49" s="21">
        <f>IF(Data[[#This Row],[Bookie]]="","",SUMIF(DWbooks[Bookmaker],(VLOOKUP(ROW()-3,BookieName[],2,FALSE)),DWbooks[Sum]))</f>
        <v>0</v>
      </c>
      <c r="E49" s="20">
        <f>IF(Data[[#This Row],[Bookie]]="","",SUMIF(BetTable[B1],(VLOOKUP(ROW()-3,BookieName[],2,FALSE)),BetTable[S1])*-1)</f>
        <v>0</v>
      </c>
      <c r="F49" s="20">
        <f>IF(Data[[#This Row],[Bookie]]="","",SUMIF(BetTable[B2],(VLOOKUP(ROW()-3,BookieName[],2,FALSE)),BetTable[S2])*-1)</f>
        <v>0</v>
      </c>
      <c r="G49" s="20">
        <f>IF(Data[[#This Row],[Bookie]]="","",SUMIF(BetTable[B3],(VLOOKUP(ROW()-3,BookieName[],2,FALSE)),BetTable[S3])*-1)</f>
        <v>0</v>
      </c>
      <c r="H49" s="20">
        <f>IF(Data[[#This Row],[Bookie]]="","",SUMIF(BetTable[B1],(VLOOKUP(ROW()-3,BookieName[],2,FALSE)),BetTable[WBA1]))</f>
        <v>0</v>
      </c>
      <c r="I49" s="20">
        <f>IF(Data[[#This Row],[Bookie]]="","",SUMIF(BetTable[B2],(VLOOKUP(ROW()-3,BookieName[],2,FALSE)),BetTable[WBA2]))</f>
        <v>0</v>
      </c>
      <c r="J49" s="20">
        <f>IF(Data[[#This Row],[Bookie]]="","",SUMIF(BetTable[B3],(VLOOKUP(ROW()-3,BookieName[],2,FALSE)),BetTable[WBA3]))</f>
        <v>0</v>
      </c>
      <c r="K49" s="20">
        <f>IF(Data[[#This Row],[Bookie]]="","",SUMIF(LayTable[Bookmaker],(VLOOKUP(ROW()-3,BookieName[],2,FALSE)),LayTable[BookieInnsats])*-1)</f>
        <v>0</v>
      </c>
      <c r="L49" s="20">
        <f>IF(Data[[#This Row],[Bookie]]="","",SUMIF(LayTable[Lay-bookie],(VLOOKUP(ROW()-3,BookieName[],2,FALSE)),LayTable[LayLiability])*-1)</f>
        <v>0</v>
      </c>
      <c r="M49" s="20">
        <f>IF(Data[[#This Row],[Bookie]]="","",SUMIF(LayTable[Bookmaker],(VLOOKUP(ROW()-3,BookieName[],2,FALSE)),LayTable[WBABack]))</f>
        <v>0</v>
      </c>
      <c r="N49" s="20">
        <f>IF(Data[[#This Row],[Bookie]]="","",SUMIF(LayTable[Lay-bookie],(VLOOKUP(ROW()-3,BookieName[],2,FALSE)),LayTable[WBALay]))</f>
        <v>0</v>
      </c>
      <c r="O49" s="20">
        <f>IF(Data[[#This Row],[Bookie]]="","",SUMIF(DWbonus[Bookie],(VLOOKUP(ROW()-3,BookieName[],2,FALSE)),DWbonus[Sum]))</f>
        <v>0</v>
      </c>
      <c r="P49" s="20">
        <f>IF(Data[[#This Row],[Bookie]]="","",SUM(Data[[#This Row],[Pending 1]:[PendingL2]]))</f>
        <v>0</v>
      </c>
      <c r="Q49" s="20">
        <f>IF(Data[[#This Row],[Bookie]]="","",SUMIFS(BetTable[S1],BetTable[B1],(VLOOKUP(ROW()-3,BookieName[],2,FALSE)),BetTable[AR],""))</f>
        <v>0</v>
      </c>
      <c r="R49" s="20">
        <f>IF(Data[[#This Row],[Bookie]]="","",SUMIFS(BetTable[S2],BetTable[B2],(VLOOKUP(ROW()-3,BookieName[],2,FALSE)),BetTable[AR],""))</f>
        <v>0</v>
      </c>
      <c r="S49" s="20">
        <f>IF(Data[[#This Row],[Bookie]]="","",SUMIFS(BetTable[S3],BetTable[B3],(VLOOKUP(ROW()-3,BookieName[],2,FALSE)),BetTable[AR],""))</f>
        <v>0</v>
      </c>
      <c r="T49" s="20">
        <f>IF(Data[[#This Row],[Bookie]]="","",SUMIFS(LayTable[BookieInnsats],LayTable[Bookmaker],(VLOOKUP(ROW()-3,BookieName[],2,FALSE)),LayTable[Faktisk res],""))</f>
        <v>0</v>
      </c>
      <c r="U49" s="20">
        <f>IF(Data[[#This Row],[Bookie]]="","",SUMIFS(LayTable[LayLiability],LayTable[Lay-bookie],(VLOOKUP(ROW()-3,BookieName[],2,FALSE)),LayTable[Faktisk res],""))</f>
        <v>0</v>
      </c>
    </row>
    <row r="50" spans="1:21">
      <c r="A50" s="20">
        <f t="shared" si="1"/>
        <v>47</v>
      </c>
      <c r="B50" s="20" t="str">
        <f>IFERROR(VLOOKUP(ROW()-3,BookieName[],3,FALSE),"")</f>
        <v>Oddsautomaten</v>
      </c>
      <c r="C50" s="21">
        <f>IF(Data[[#This Row],[Bookie]]="","",SUM(Data[[#This Row],[D/W]:[Bonus and Adjustments]],))</f>
        <v>0</v>
      </c>
      <c r="D50" s="21">
        <f>IF(Data[[#This Row],[Bookie]]="","",SUMIF(DWbooks[Bookmaker],(VLOOKUP(ROW()-3,BookieName[],2,FALSE)),DWbooks[Sum]))</f>
        <v>0</v>
      </c>
      <c r="E50" s="20">
        <f>IF(Data[[#This Row],[Bookie]]="","",SUMIF(BetTable[B1],(VLOOKUP(ROW()-3,BookieName[],2,FALSE)),BetTable[S1])*-1)</f>
        <v>0</v>
      </c>
      <c r="F50" s="20">
        <f>IF(Data[[#This Row],[Bookie]]="","",SUMIF(BetTable[B2],(VLOOKUP(ROW()-3,BookieName[],2,FALSE)),BetTable[S2])*-1)</f>
        <v>0</v>
      </c>
      <c r="G50" s="20">
        <f>IF(Data[[#This Row],[Bookie]]="","",SUMIF(BetTable[B3],(VLOOKUP(ROW()-3,BookieName[],2,FALSE)),BetTable[S3])*-1)</f>
        <v>0</v>
      </c>
      <c r="H50" s="20">
        <f>IF(Data[[#This Row],[Bookie]]="","",SUMIF(BetTable[B1],(VLOOKUP(ROW()-3,BookieName[],2,FALSE)),BetTable[WBA1]))</f>
        <v>0</v>
      </c>
      <c r="I50" s="20">
        <f>IF(Data[[#This Row],[Bookie]]="","",SUMIF(BetTable[B2],(VLOOKUP(ROW()-3,BookieName[],2,FALSE)),BetTable[WBA2]))</f>
        <v>0</v>
      </c>
      <c r="J50" s="20">
        <f>IF(Data[[#This Row],[Bookie]]="","",SUMIF(BetTable[B3],(VLOOKUP(ROW()-3,BookieName[],2,FALSE)),BetTable[WBA3]))</f>
        <v>0</v>
      </c>
      <c r="K50" s="20">
        <f>IF(Data[[#This Row],[Bookie]]="","",SUMIF(LayTable[Bookmaker],(VLOOKUP(ROW()-3,BookieName[],2,FALSE)),LayTable[BookieInnsats])*-1)</f>
        <v>0</v>
      </c>
      <c r="L50" s="20">
        <f>IF(Data[[#This Row],[Bookie]]="","",SUMIF(LayTable[Lay-bookie],(VLOOKUP(ROW()-3,BookieName[],2,FALSE)),LayTable[LayLiability])*-1)</f>
        <v>0</v>
      </c>
      <c r="M50" s="20">
        <f>IF(Data[[#This Row],[Bookie]]="","",SUMIF(LayTable[Bookmaker],(VLOOKUP(ROW()-3,BookieName[],2,FALSE)),LayTable[WBABack]))</f>
        <v>0</v>
      </c>
      <c r="N50" s="20">
        <f>IF(Data[[#This Row],[Bookie]]="","",SUMIF(LayTable[Lay-bookie],(VLOOKUP(ROW()-3,BookieName[],2,FALSE)),LayTable[WBALay]))</f>
        <v>0</v>
      </c>
      <c r="O50" s="20">
        <f>IF(Data[[#This Row],[Bookie]]="","",SUMIF(DWbonus[Bookie],(VLOOKUP(ROW()-3,BookieName[],2,FALSE)),DWbonus[Sum]))</f>
        <v>0</v>
      </c>
      <c r="P50" s="20">
        <f>IF(Data[[#This Row],[Bookie]]="","",SUM(Data[[#This Row],[Pending 1]:[PendingL2]]))</f>
        <v>0</v>
      </c>
      <c r="Q50" s="20">
        <f>IF(Data[[#This Row],[Bookie]]="","",SUMIFS(BetTable[S1],BetTable[B1],(VLOOKUP(ROW()-3,BookieName[],2,FALSE)),BetTable[AR],""))</f>
        <v>0</v>
      </c>
      <c r="R50" s="20">
        <f>IF(Data[[#This Row],[Bookie]]="","",SUMIFS(BetTable[S2],BetTable[B2],(VLOOKUP(ROW()-3,BookieName[],2,FALSE)),BetTable[AR],""))</f>
        <v>0</v>
      </c>
      <c r="S50" s="20">
        <f>IF(Data[[#This Row],[Bookie]]="","",SUMIFS(BetTable[S3],BetTable[B3],(VLOOKUP(ROW()-3,BookieName[],2,FALSE)),BetTable[AR],""))</f>
        <v>0</v>
      </c>
      <c r="T50" s="20">
        <f>IF(Data[[#This Row],[Bookie]]="","",SUMIFS(LayTable[BookieInnsats],LayTable[Bookmaker],(VLOOKUP(ROW()-3,BookieName[],2,FALSE)),LayTable[Faktisk res],""))</f>
        <v>0</v>
      </c>
      <c r="U50" s="20">
        <f>IF(Data[[#This Row],[Bookie]]="","",SUMIFS(LayTable[LayLiability],LayTable[Lay-bookie],(VLOOKUP(ROW()-3,BookieName[],2,FALSE)),LayTable[Faktisk res],""))</f>
        <v>0</v>
      </c>
    </row>
    <row r="51" spans="1:21">
      <c r="A51" s="20">
        <f t="shared" si="1"/>
        <v>48</v>
      </c>
      <c r="B51" s="20" t="str">
        <f>IFERROR(VLOOKUP(ROW()-3,BookieName[],3,FALSE),"")</f>
        <v>Olybet</v>
      </c>
      <c r="C51" s="21">
        <f>IF(Data[[#This Row],[Bookie]]="","",SUM(Data[[#This Row],[D/W]:[Bonus and Adjustments]],))</f>
        <v>0</v>
      </c>
      <c r="D51" s="21">
        <f>IF(Data[[#This Row],[Bookie]]="","",SUMIF(DWbooks[Bookmaker],(VLOOKUP(ROW()-3,BookieName[],2,FALSE)),DWbooks[Sum]))</f>
        <v>0</v>
      </c>
      <c r="E51" s="20">
        <f>IF(Data[[#This Row],[Bookie]]="","",SUMIF(BetTable[B1],(VLOOKUP(ROW()-3,BookieName[],2,FALSE)),BetTable[S1])*-1)</f>
        <v>0</v>
      </c>
      <c r="F51" s="20">
        <f>IF(Data[[#This Row],[Bookie]]="","",SUMIF(BetTable[B2],(VLOOKUP(ROW()-3,BookieName[],2,FALSE)),BetTable[S2])*-1)</f>
        <v>0</v>
      </c>
      <c r="G51" s="20">
        <f>IF(Data[[#This Row],[Bookie]]="","",SUMIF(BetTable[B3],(VLOOKUP(ROW()-3,BookieName[],2,FALSE)),BetTable[S3])*-1)</f>
        <v>0</v>
      </c>
      <c r="H51" s="20">
        <f>IF(Data[[#This Row],[Bookie]]="","",SUMIF(BetTable[B1],(VLOOKUP(ROW()-3,BookieName[],2,FALSE)),BetTable[WBA1]))</f>
        <v>0</v>
      </c>
      <c r="I51" s="20">
        <f>IF(Data[[#This Row],[Bookie]]="","",SUMIF(BetTable[B2],(VLOOKUP(ROW()-3,BookieName[],2,FALSE)),BetTable[WBA2]))</f>
        <v>0</v>
      </c>
      <c r="J51" s="20">
        <f>IF(Data[[#This Row],[Bookie]]="","",SUMIF(BetTable[B3],(VLOOKUP(ROW()-3,BookieName[],2,FALSE)),BetTable[WBA3]))</f>
        <v>0</v>
      </c>
      <c r="K51" s="20">
        <f>IF(Data[[#This Row],[Bookie]]="","",SUMIF(LayTable[Bookmaker],(VLOOKUP(ROW()-3,BookieName[],2,FALSE)),LayTable[BookieInnsats])*-1)</f>
        <v>0</v>
      </c>
      <c r="L51" s="20">
        <f>IF(Data[[#This Row],[Bookie]]="","",SUMIF(LayTable[Lay-bookie],(VLOOKUP(ROW()-3,BookieName[],2,FALSE)),LayTable[LayLiability])*-1)</f>
        <v>0</v>
      </c>
      <c r="M51" s="20">
        <f>IF(Data[[#This Row],[Bookie]]="","",SUMIF(LayTable[Bookmaker],(VLOOKUP(ROW()-3,BookieName[],2,FALSE)),LayTable[WBABack]))</f>
        <v>0</v>
      </c>
      <c r="N51" s="20">
        <f>IF(Data[[#This Row],[Bookie]]="","",SUMIF(LayTable[Lay-bookie],(VLOOKUP(ROW()-3,BookieName[],2,FALSE)),LayTable[WBALay]))</f>
        <v>0</v>
      </c>
      <c r="O51" s="20">
        <f>IF(Data[[#This Row],[Bookie]]="","",SUMIF(DWbonus[Bookie],(VLOOKUP(ROW()-3,BookieName[],2,FALSE)),DWbonus[Sum]))</f>
        <v>0</v>
      </c>
      <c r="P51" s="20">
        <f>IF(Data[[#This Row],[Bookie]]="","",SUM(Data[[#This Row],[Pending 1]:[PendingL2]]))</f>
        <v>0</v>
      </c>
      <c r="Q51" s="20">
        <f>IF(Data[[#This Row],[Bookie]]="","",SUMIFS(BetTable[S1],BetTable[B1],(VLOOKUP(ROW()-3,BookieName[],2,FALSE)),BetTable[AR],""))</f>
        <v>0</v>
      </c>
      <c r="R51" s="20">
        <f>IF(Data[[#This Row],[Bookie]]="","",SUMIFS(BetTable[S2],BetTable[B2],(VLOOKUP(ROW()-3,BookieName[],2,FALSE)),BetTable[AR],""))</f>
        <v>0</v>
      </c>
      <c r="S51" s="20">
        <f>IF(Data[[#This Row],[Bookie]]="","",SUMIFS(BetTable[S3],BetTable[B3],(VLOOKUP(ROW()-3,BookieName[],2,FALSE)),BetTable[AR],""))</f>
        <v>0</v>
      </c>
      <c r="T51" s="20">
        <f>IF(Data[[#This Row],[Bookie]]="","",SUMIFS(LayTable[BookieInnsats],LayTable[Bookmaker],(VLOOKUP(ROW()-3,BookieName[],2,FALSE)),LayTable[Faktisk res],""))</f>
        <v>0</v>
      </c>
      <c r="U51" s="20">
        <f>IF(Data[[#This Row],[Bookie]]="","",SUMIFS(LayTable[LayLiability],LayTable[Lay-bookie],(VLOOKUP(ROW()-3,BookieName[],2,FALSE)),LayTable[Faktisk res],""))</f>
        <v>0</v>
      </c>
    </row>
    <row r="52" spans="1:21">
      <c r="A52" s="20">
        <f t="shared" si="1"/>
        <v>49</v>
      </c>
      <c r="B52" s="20" t="str">
        <f>IFERROR(VLOOKUP(ROW()-3,BookieName[],3,FALSE),"")</f>
        <v>Onebet</v>
      </c>
      <c r="C52" s="21">
        <f>IF(Data[[#This Row],[Bookie]]="","",SUM(Data[[#This Row],[D/W]:[Bonus and Adjustments]],))</f>
        <v>0</v>
      </c>
      <c r="D52" s="21">
        <f>IF(Data[[#This Row],[Bookie]]="","",SUMIF(DWbooks[Bookmaker],(VLOOKUP(ROW()-3,BookieName[],2,FALSE)),DWbooks[Sum]))</f>
        <v>0</v>
      </c>
      <c r="E52" s="20">
        <f>IF(Data[[#This Row],[Bookie]]="","",SUMIF(BetTable[B1],(VLOOKUP(ROW()-3,BookieName[],2,FALSE)),BetTable[S1])*-1)</f>
        <v>0</v>
      </c>
      <c r="F52" s="20">
        <f>IF(Data[[#This Row],[Bookie]]="","",SUMIF(BetTable[B2],(VLOOKUP(ROW()-3,BookieName[],2,FALSE)),BetTable[S2])*-1)</f>
        <v>0</v>
      </c>
      <c r="G52" s="20">
        <f>IF(Data[[#This Row],[Bookie]]="","",SUMIF(BetTable[B3],(VLOOKUP(ROW()-3,BookieName[],2,FALSE)),BetTable[S3])*-1)</f>
        <v>0</v>
      </c>
      <c r="H52" s="20">
        <f>IF(Data[[#This Row],[Bookie]]="","",SUMIF(BetTable[B1],(VLOOKUP(ROW()-3,BookieName[],2,FALSE)),BetTable[WBA1]))</f>
        <v>0</v>
      </c>
      <c r="I52" s="20">
        <f>IF(Data[[#This Row],[Bookie]]="","",SUMIF(BetTable[B2],(VLOOKUP(ROW()-3,BookieName[],2,FALSE)),BetTable[WBA2]))</f>
        <v>0</v>
      </c>
      <c r="J52" s="20">
        <f>IF(Data[[#This Row],[Bookie]]="","",SUMIF(BetTable[B3],(VLOOKUP(ROW()-3,BookieName[],2,FALSE)),BetTable[WBA3]))</f>
        <v>0</v>
      </c>
      <c r="K52" s="20">
        <f>IF(Data[[#This Row],[Bookie]]="","",SUMIF(LayTable[Bookmaker],(VLOOKUP(ROW()-3,BookieName[],2,FALSE)),LayTable[BookieInnsats])*-1)</f>
        <v>0</v>
      </c>
      <c r="L52" s="20">
        <f>IF(Data[[#This Row],[Bookie]]="","",SUMIF(LayTable[Lay-bookie],(VLOOKUP(ROW()-3,BookieName[],2,FALSE)),LayTable[LayLiability])*-1)</f>
        <v>0</v>
      </c>
      <c r="M52" s="20">
        <f>IF(Data[[#This Row],[Bookie]]="","",SUMIF(LayTable[Bookmaker],(VLOOKUP(ROW()-3,BookieName[],2,FALSE)),LayTable[WBABack]))</f>
        <v>0</v>
      </c>
      <c r="N52" s="20">
        <f>IF(Data[[#This Row],[Bookie]]="","",SUMIF(LayTable[Lay-bookie],(VLOOKUP(ROW()-3,BookieName[],2,FALSE)),LayTable[WBALay]))</f>
        <v>0</v>
      </c>
      <c r="O52" s="20">
        <f>IF(Data[[#This Row],[Bookie]]="","",SUMIF(DWbonus[Bookie],(VLOOKUP(ROW()-3,BookieName[],2,FALSE)),DWbonus[Sum]))</f>
        <v>0</v>
      </c>
      <c r="P52" s="20">
        <f>IF(Data[[#This Row],[Bookie]]="","",SUM(Data[[#This Row],[Pending 1]:[PendingL2]]))</f>
        <v>0</v>
      </c>
      <c r="Q52" s="20">
        <f>IF(Data[[#This Row],[Bookie]]="","",SUMIFS(BetTable[S1],BetTable[B1],(VLOOKUP(ROW()-3,BookieName[],2,FALSE)),BetTable[AR],""))</f>
        <v>0</v>
      </c>
      <c r="R52" s="20">
        <f>IF(Data[[#This Row],[Bookie]]="","",SUMIFS(BetTable[S2],BetTable[B2],(VLOOKUP(ROW()-3,BookieName[],2,FALSE)),BetTable[AR],""))</f>
        <v>0</v>
      </c>
      <c r="S52" s="20">
        <f>IF(Data[[#This Row],[Bookie]]="","",SUMIFS(BetTable[S3],BetTable[B3],(VLOOKUP(ROW()-3,BookieName[],2,FALSE)),BetTable[AR],""))</f>
        <v>0</v>
      </c>
      <c r="T52" s="20">
        <f>IF(Data[[#This Row],[Bookie]]="","",SUMIFS(LayTable[BookieInnsats],LayTable[Bookmaker],(VLOOKUP(ROW()-3,BookieName[],2,FALSE)),LayTable[Faktisk res],""))</f>
        <v>0</v>
      </c>
      <c r="U52" s="20">
        <f>IF(Data[[#This Row],[Bookie]]="","",SUMIFS(LayTable[LayLiability],LayTable[Lay-bookie],(VLOOKUP(ROW()-3,BookieName[],2,FALSE)),LayTable[Faktisk res],""))</f>
        <v>0</v>
      </c>
    </row>
    <row r="53" spans="1:21">
      <c r="A53" s="20">
        <f t="shared" si="1"/>
        <v>50</v>
      </c>
      <c r="B53" s="20" t="str">
        <f>IFERROR(VLOOKUP(ROW()-3,BookieName[],3,FALSE),"")</f>
        <v>Paddypower</v>
      </c>
      <c r="C53" s="21">
        <f>IF(Data[[#This Row],[Bookie]]="","",SUM(Data[[#This Row],[D/W]:[Bonus and Adjustments]],))</f>
        <v>0</v>
      </c>
      <c r="D53" s="21">
        <f>IF(Data[[#This Row],[Bookie]]="","",SUMIF(DWbooks[Bookmaker],(VLOOKUP(ROW()-3,BookieName[],2,FALSE)),DWbooks[Sum]))</f>
        <v>0</v>
      </c>
      <c r="E53" s="20">
        <f>IF(Data[[#This Row],[Bookie]]="","",SUMIF(BetTable[B1],(VLOOKUP(ROW()-3,BookieName[],2,FALSE)),BetTable[S1])*-1)</f>
        <v>0</v>
      </c>
      <c r="F53" s="20">
        <f>IF(Data[[#This Row],[Bookie]]="","",SUMIF(BetTable[B2],(VLOOKUP(ROW()-3,BookieName[],2,FALSE)),BetTable[S2])*-1)</f>
        <v>0</v>
      </c>
      <c r="G53" s="20">
        <f>IF(Data[[#This Row],[Bookie]]="","",SUMIF(BetTable[B3],(VLOOKUP(ROW()-3,BookieName[],2,FALSE)),BetTable[S3])*-1)</f>
        <v>0</v>
      </c>
      <c r="H53" s="20">
        <f>IF(Data[[#This Row],[Bookie]]="","",SUMIF(BetTable[B1],(VLOOKUP(ROW()-3,BookieName[],2,FALSE)),BetTable[WBA1]))</f>
        <v>0</v>
      </c>
      <c r="I53" s="20">
        <f>IF(Data[[#This Row],[Bookie]]="","",SUMIF(BetTable[B2],(VLOOKUP(ROW()-3,BookieName[],2,FALSE)),BetTable[WBA2]))</f>
        <v>0</v>
      </c>
      <c r="J53" s="20">
        <f>IF(Data[[#This Row],[Bookie]]="","",SUMIF(BetTable[B3],(VLOOKUP(ROW()-3,BookieName[],2,FALSE)),BetTable[WBA3]))</f>
        <v>0</v>
      </c>
      <c r="K53" s="20">
        <f>IF(Data[[#This Row],[Bookie]]="","",SUMIF(LayTable[Bookmaker],(VLOOKUP(ROW()-3,BookieName[],2,FALSE)),LayTable[BookieInnsats])*-1)</f>
        <v>0</v>
      </c>
      <c r="L53" s="20">
        <f>IF(Data[[#This Row],[Bookie]]="","",SUMIF(LayTable[Lay-bookie],(VLOOKUP(ROW()-3,BookieName[],2,FALSE)),LayTable[LayLiability])*-1)</f>
        <v>0</v>
      </c>
      <c r="M53" s="20">
        <f>IF(Data[[#This Row],[Bookie]]="","",SUMIF(LayTable[Bookmaker],(VLOOKUP(ROW()-3,BookieName[],2,FALSE)),LayTable[WBABack]))</f>
        <v>0</v>
      </c>
      <c r="N53" s="20">
        <f>IF(Data[[#This Row],[Bookie]]="","",SUMIF(LayTable[Lay-bookie],(VLOOKUP(ROW()-3,BookieName[],2,FALSE)),LayTable[WBALay]))</f>
        <v>0</v>
      </c>
      <c r="O53" s="20">
        <f>IF(Data[[#This Row],[Bookie]]="","",SUMIF(DWbonus[Bookie],(VLOOKUP(ROW()-3,BookieName[],2,FALSE)),DWbonus[Sum]))</f>
        <v>0</v>
      </c>
      <c r="P53" s="20">
        <f>IF(Data[[#This Row],[Bookie]]="","",SUM(Data[[#This Row],[Pending 1]:[PendingL2]]))</f>
        <v>0</v>
      </c>
      <c r="Q53" s="20">
        <f>IF(Data[[#This Row],[Bookie]]="","",SUMIFS(BetTable[S1],BetTable[B1],(VLOOKUP(ROW()-3,BookieName[],2,FALSE)),BetTable[AR],""))</f>
        <v>0</v>
      </c>
      <c r="R53" s="20">
        <f>IF(Data[[#This Row],[Bookie]]="","",SUMIFS(BetTable[S2],BetTable[B2],(VLOOKUP(ROW()-3,BookieName[],2,FALSE)),BetTable[AR],""))</f>
        <v>0</v>
      </c>
      <c r="S53" s="20">
        <f>IF(Data[[#This Row],[Bookie]]="","",SUMIFS(BetTable[S3],BetTable[B3],(VLOOKUP(ROW()-3,BookieName[],2,FALSE)),BetTable[AR],""))</f>
        <v>0</v>
      </c>
      <c r="T53" s="20">
        <f>IF(Data[[#This Row],[Bookie]]="","",SUMIFS(LayTable[BookieInnsats],LayTable[Bookmaker],(VLOOKUP(ROW()-3,BookieName[],2,FALSE)),LayTable[Faktisk res],""))</f>
        <v>0</v>
      </c>
      <c r="U53" s="20">
        <f>IF(Data[[#This Row],[Bookie]]="","",SUMIFS(LayTable[LayLiability],LayTable[Lay-bookie],(VLOOKUP(ROW()-3,BookieName[],2,FALSE)),LayTable[Faktisk res],""))</f>
        <v>0</v>
      </c>
    </row>
    <row r="54" spans="1:21">
      <c r="A54" s="20">
        <f t="shared" si="1"/>
        <v>51</v>
      </c>
      <c r="B54" s="20" t="str">
        <f>IFERROR(VLOOKUP(ROW()-3,BookieName[],3,FALSE),"")</f>
        <v>Pinnacle</v>
      </c>
      <c r="C54" s="21">
        <f>IF(Data[[#This Row],[Bookie]]="","",SUM(Data[[#This Row],[D/W]:[Bonus and Adjustments]],))</f>
        <v>0</v>
      </c>
      <c r="D54" s="21">
        <f>IF(Data[[#This Row],[Bookie]]="","",SUMIF(DWbooks[Bookmaker],(VLOOKUP(ROW()-3,BookieName[],2,FALSE)),DWbooks[Sum]))</f>
        <v>0</v>
      </c>
      <c r="E54" s="20">
        <f>IF(Data[[#This Row],[Bookie]]="","",SUMIF(BetTable[B1],(VLOOKUP(ROW()-3,BookieName[],2,FALSE)),BetTable[S1])*-1)</f>
        <v>0</v>
      </c>
      <c r="F54" s="20">
        <f>IF(Data[[#This Row],[Bookie]]="","",SUMIF(BetTable[B2],(VLOOKUP(ROW()-3,BookieName[],2,FALSE)),BetTable[S2])*-1)</f>
        <v>0</v>
      </c>
      <c r="G54" s="20">
        <f>IF(Data[[#This Row],[Bookie]]="","",SUMIF(BetTable[B3],(VLOOKUP(ROW()-3,BookieName[],2,FALSE)),BetTable[S3])*-1)</f>
        <v>0</v>
      </c>
      <c r="H54" s="20">
        <f>IF(Data[[#This Row],[Bookie]]="","",SUMIF(BetTable[B1],(VLOOKUP(ROW()-3,BookieName[],2,FALSE)),BetTable[WBA1]))</f>
        <v>0</v>
      </c>
      <c r="I54" s="20">
        <f>IF(Data[[#This Row],[Bookie]]="","",SUMIF(BetTable[B2],(VLOOKUP(ROW()-3,BookieName[],2,FALSE)),BetTable[WBA2]))</f>
        <v>0</v>
      </c>
      <c r="J54" s="20">
        <f>IF(Data[[#This Row],[Bookie]]="","",SUMIF(BetTable[B3],(VLOOKUP(ROW()-3,BookieName[],2,FALSE)),BetTable[WBA3]))</f>
        <v>0</v>
      </c>
      <c r="K54" s="20">
        <f>IF(Data[[#This Row],[Bookie]]="","",SUMIF(LayTable[Bookmaker],(VLOOKUP(ROW()-3,BookieName[],2,FALSE)),LayTable[BookieInnsats])*-1)</f>
        <v>0</v>
      </c>
      <c r="L54" s="20">
        <f>IF(Data[[#This Row],[Bookie]]="","",SUMIF(LayTable[Lay-bookie],(VLOOKUP(ROW()-3,BookieName[],2,FALSE)),LayTable[LayLiability])*-1)</f>
        <v>0</v>
      </c>
      <c r="M54" s="20">
        <f>IF(Data[[#This Row],[Bookie]]="","",SUMIF(LayTable[Bookmaker],(VLOOKUP(ROW()-3,BookieName[],2,FALSE)),LayTable[WBABack]))</f>
        <v>0</v>
      </c>
      <c r="N54" s="20">
        <f>IF(Data[[#This Row],[Bookie]]="","",SUMIF(LayTable[Lay-bookie],(VLOOKUP(ROW()-3,BookieName[],2,FALSE)),LayTable[WBALay]))</f>
        <v>0</v>
      </c>
      <c r="O54" s="20">
        <f>IF(Data[[#This Row],[Bookie]]="","",SUMIF(DWbonus[Bookie],(VLOOKUP(ROW()-3,BookieName[],2,FALSE)),DWbonus[Sum]))</f>
        <v>0</v>
      </c>
      <c r="P54" s="20">
        <f>IF(Data[[#This Row],[Bookie]]="","",SUM(Data[[#This Row],[Pending 1]:[PendingL2]]))</f>
        <v>0</v>
      </c>
      <c r="Q54" s="20">
        <f>IF(Data[[#This Row],[Bookie]]="","",SUMIFS(BetTable[S1],BetTable[B1],(VLOOKUP(ROW()-3,BookieName[],2,FALSE)),BetTable[AR],""))</f>
        <v>0</v>
      </c>
      <c r="R54" s="20">
        <f>IF(Data[[#This Row],[Bookie]]="","",SUMIFS(BetTable[S2],BetTable[B2],(VLOOKUP(ROW()-3,BookieName[],2,FALSE)),BetTable[AR],""))</f>
        <v>0</v>
      </c>
      <c r="S54" s="20">
        <f>IF(Data[[#This Row],[Bookie]]="","",SUMIFS(BetTable[S3],BetTable[B3],(VLOOKUP(ROW()-3,BookieName[],2,FALSE)),BetTable[AR],""))</f>
        <v>0</v>
      </c>
      <c r="T54" s="20">
        <f>IF(Data[[#This Row],[Bookie]]="","",SUMIFS(LayTable[BookieInnsats],LayTable[Bookmaker],(VLOOKUP(ROW()-3,BookieName[],2,FALSE)),LayTable[Faktisk res],""))</f>
        <v>0</v>
      </c>
      <c r="U54" s="20">
        <f>IF(Data[[#This Row],[Bookie]]="","",SUMIFS(LayTable[LayLiability],LayTable[Lay-bookie],(VLOOKUP(ROW()-3,BookieName[],2,FALSE)),LayTable[Faktisk res],""))</f>
        <v>0</v>
      </c>
    </row>
    <row r="55" spans="1:21">
      <c r="A55" s="20">
        <f t="shared" si="1"/>
        <v>52</v>
      </c>
      <c r="B55" s="20" t="str">
        <f>IFERROR(VLOOKUP(ROW()-3,BookieName[],3,FALSE),"")</f>
        <v>Racebets</v>
      </c>
      <c r="C55" s="21">
        <f>IF(Data[[#This Row],[Bookie]]="","",SUM(Data[[#This Row],[D/W]:[Bonus and Adjustments]],))</f>
        <v>0</v>
      </c>
      <c r="D55" s="21">
        <f>IF(Data[[#This Row],[Bookie]]="","",SUMIF(DWbooks[Bookmaker],(VLOOKUP(ROW()-3,BookieName[],2,FALSE)),DWbooks[Sum]))</f>
        <v>0</v>
      </c>
      <c r="E55" s="20">
        <f>IF(Data[[#This Row],[Bookie]]="","",SUMIF(BetTable[B1],(VLOOKUP(ROW()-3,BookieName[],2,FALSE)),BetTable[S1])*-1)</f>
        <v>0</v>
      </c>
      <c r="F55" s="20">
        <f>IF(Data[[#This Row],[Bookie]]="","",SUMIF(BetTable[B2],(VLOOKUP(ROW()-3,BookieName[],2,FALSE)),BetTable[S2])*-1)</f>
        <v>0</v>
      </c>
      <c r="G55" s="20">
        <f>IF(Data[[#This Row],[Bookie]]="","",SUMIF(BetTable[B3],(VLOOKUP(ROW()-3,BookieName[],2,FALSE)),BetTable[S3])*-1)</f>
        <v>0</v>
      </c>
      <c r="H55" s="20">
        <f>IF(Data[[#This Row],[Bookie]]="","",SUMIF(BetTable[B1],(VLOOKUP(ROW()-3,BookieName[],2,FALSE)),BetTable[WBA1]))</f>
        <v>0</v>
      </c>
      <c r="I55" s="20">
        <f>IF(Data[[#This Row],[Bookie]]="","",SUMIF(BetTable[B2],(VLOOKUP(ROW()-3,BookieName[],2,FALSE)),BetTable[WBA2]))</f>
        <v>0</v>
      </c>
      <c r="J55" s="20">
        <f>IF(Data[[#This Row],[Bookie]]="","",SUMIF(BetTable[B3],(VLOOKUP(ROW()-3,BookieName[],2,FALSE)),BetTable[WBA3]))</f>
        <v>0</v>
      </c>
      <c r="K55" s="20">
        <f>IF(Data[[#This Row],[Bookie]]="","",SUMIF(LayTable[Bookmaker],(VLOOKUP(ROW()-3,BookieName[],2,FALSE)),LayTable[BookieInnsats])*-1)</f>
        <v>0</v>
      </c>
      <c r="L55" s="20">
        <f>IF(Data[[#This Row],[Bookie]]="","",SUMIF(LayTable[Lay-bookie],(VLOOKUP(ROW()-3,BookieName[],2,FALSE)),LayTable[LayLiability])*-1)</f>
        <v>0</v>
      </c>
      <c r="M55" s="20">
        <f>IF(Data[[#This Row],[Bookie]]="","",SUMIF(LayTable[Bookmaker],(VLOOKUP(ROW()-3,BookieName[],2,FALSE)),LayTable[WBABack]))</f>
        <v>0</v>
      </c>
      <c r="N55" s="20">
        <f>IF(Data[[#This Row],[Bookie]]="","",SUMIF(LayTable[Lay-bookie],(VLOOKUP(ROW()-3,BookieName[],2,FALSE)),LayTable[WBALay]))</f>
        <v>0</v>
      </c>
      <c r="O55" s="20">
        <f>IF(Data[[#This Row],[Bookie]]="","",SUMIF(DWbonus[Bookie],(VLOOKUP(ROW()-3,BookieName[],2,FALSE)),DWbonus[Sum]))</f>
        <v>0</v>
      </c>
      <c r="P55" s="20">
        <f>IF(Data[[#This Row],[Bookie]]="","",SUM(Data[[#This Row],[Pending 1]:[PendingL2]]))</f>
        <v>0</v>
      </c>
      <c r="Q55" s="20">
        <f>IF(Data[[#This Row],[Bookie]]="","",SUMIFS(BetTable[S1],BetTable[B1],(VLOOKUP(ROW()-3,BookieName[],2,FALSE)),BetTable[AR],""))</f>
        <v>0</v>
      </c>
      <c r="R55" s="20">
        <f>IF(Data[[#This Row],[Bookie]]="","",SUMIFS(BetTable[S2],BetTable[B2],(VLOOKUP(ROW()-3,BookieName[],2,FALSE)),BetTable[AR],""))</f>
        <v>0</v>
      </c>
      <c r="S55" s="20">
        <f>IF(Data[[#This Row],[Bookie]]="","",SUMIFS(BetTable[S3],BetTable[B3],(VLOOKUP(ROW()-3,BookieName[],2,FALSE)),BetTable[AR],""))</f>
        <v>0</v>
      </c>
      <c r="T55" s="20">
        <f>IF(Data[[#This Row],[Bookie]]="","",SUMIFS(LayTable[BookieInnsats],LayTable[Bookmaker],(VLOOKUP(ROW()-3,BookieName[],2,FALSE)),LayTable[Faktisk res],""))</f>
        <v>0</v>
      </c>
      <c r="U55" s="20">
        <f>IF(Data[[#This Row],[Bookie]]="","",SUMIFS(LayTable[LayLiability],LayTable[Lay-bookie],(VLOOKUP(ROW()-3,BookieName[],2,FALSE)),LayTable[Faktisk res],""))</f>
        <v>0</v>
      </c>
    </row>
    <row r="56" spans="1:21">
      <c r="A56" s="20">
        <f t="shared" si="1"/>
        <v>53</v>
      </c>
      <c r="B56" s="20" t="str">
        <f>IFERROR(VLOOKUP(ROW()-3,BookieName[],3,FALSE),"")</f>
        <v>RealDealBet</v>
      </c>
      <c r="C56" s="21">
        <f>IF(Data[[#This Row],[Bookie]]="","",SUM(Data[[#This Row],[D/W]:[Bonus and Adjustments]],))</f>
        <v>0</v>
      </c>
      <c r="D56" s="21">
        <f>IF(Data[[#This Row],[Bookie]]="","",SUMIF(DWbooks[Bookmaker],(VLOOKUP(ROW()-3,BookieName[],2,FALSE)),DWbooks[Sum]))</f>
        <v>0</v>
      </c>
      <c r="E56" s="20">
        <f>IF(Data[[#This Row],[Bookie]]="","",SUMIF(BetTable[B1],(VLOOKUP(ROW()-3,BookieName[],2,FALSE)),BetTable[S1])*-1)</f>
        <v>0</v>
      </c>
      <c r="F56" s="20">
        <f>IF(Data[[#This Row],[Bookie]]="","",SUMIF(BetTable[B2],(VLOOKUP(ROW()-3,BookieName[],2,FALSE)),BetTable[S2])*-1)</f>
        <v>0</v>
      </c>
      <c r="G56" s="20">
        <f>IF(Data[[#This Row],[Bookie]]="","",SUMIF(BetTable[B3],(VLOOKUP(ROW()-3,BookieName[],2,FALSE)),BetTable[S3])*-1)</f>
        <v>0</v>
      </c>
      <c r="H56" s="20">
        <f>IF(Data[[#This Row],[Bookie]]="","",SUMIF(BetTable[B1],(VLOOKUP(ROW()-3,BookieName[],2,FALSE)),BetTable[WBA1]))</f>
        <v>0</v>
      </c>
      <c r="I56" s="20">
        <f>IF(Data[[#This Row],[Bookie]]="","",SUMIF(BetTable[B2],(VLOOKUP(ROW()-3,BookieName[],2,FALSE)),BetTable[WBA2]))</f>
        <v>0</v>
      </c>
      <c r="J56" s="20">
        <f>IF(Data[[#This Row],[Bookie]]="","",SUMIF(BetTable[B3],(VLOOKUP(ROW()-3,BookieName[],2,FALSE)),BetTable[WBA3]))</f>
        <v>0</v>
      </c>
      <c r="K56" s="20">
        <f>IF(Data[[#This Row],[Bookie]]="","",SUMIF(LayTable[Bookmaker],(VLOOKUP(ROW()-3,BookieName[],2,FALSE)),LayTable[BookieInnsats])*-1)</f>
        <v>0</v>
      </c>
      <c r="L56" s="20">
        <f>IF(Data[[#This Row],[Bookie]]="","",SUMIF(LayTable[Lay-bookie],(VLOOKUP(ROW()-3,BookieName[],2,FALSE)),LayTable[LayLiability])*-1)</f>
        <v>0</v>
      </c>
      <c r="M56" s="20">
        <f>IF(Data[[#This Row],[Bookie]]="","",SUMIF(LayTable[Bookmaker],(VLOOKUP(ROW()-3,BookieName[],2,FALSE)),LayTable[WBABack]))</f>
        <v>0</v>
      </c>
      <c r="N56" s="20">
        <f>IF(Data[[#This Row],[Bookie]]="","",SUMIF(LayTable[Lay-bookie],(VLOOKUP(ROW()-3,BookieName[],2,FALSE)),LayTable[WBALay]))</f>
        <v>0</v>
      </c>
      <c r="O56" s="20">
        <f>IF(Data[[#This Row],[Bookie]]="","",SUMIF(DWbonus[Bookie],(VLOOKUP(ROW()-3,BookieName[],2,FALSE)),DWbonus[Sum]))</f>
        <v>0</v>
      </c>
      <c r="P56" s="20">
        <f>IF(Data[[#This Row],[Bookie]]="","",SUM(Data[[#This Row],[Pending 1]:[PendingL2]]))</f>
        <v>0</v>
      </c>
      <c r="Q56" s="20">
        <f>IF(Data[[#This Row],[Bookie]]="","",SUMIFS(BetTable[S1],BetTable[B1],(VLOOKUP(ROW()-3,BookieName[],2,FALSE)),BetTable[AR],""))</f>
        <v>0</v>
      </c>
      <c r="R56" s="20">
        <f>IF(Data[[#This Row],[Bookie]]="","",SUMIFS(BetTable[S2],BetTable[B2],(VLOOKUP(ROW()-3,BookieName[],2,FALSE)),BetTable[AR],""))</f>
        <v>0</v>
      </c>
      <c r="S56" s="20">
        <f>IF(Data[[#This Row],[Bookie]]="","",SUMIFS(BetTable[S3],BetTable[B3],(VLOOKUP(ROW()-3,BookieName[],2,FALSE)),BetTable[AR],""))</f>
        <v>0</v>
      </c>
      <c r="T56" s="20">
        <f>IF(Data[[#This Row],[Bookie]]="","",SUMIFS(LayTable[BookieInnsats],LayTable[Bookmaker],(VLOOKUP(ROW()-3,BookieName[],2,FALSE)),LayTable[Faktisk res],""))</f>
        <v>0</v>
      </c>
      <c r="U56" s="20">
        <f>IF(Data[[#This Row],[Bookie]]="","",SUMIFS(LayTable[LayLiability],LayTable[Lay-bookie],(VLOOKUP(ROW()-3,BookieName[],2,FALSE)),LayTable[Faktisk res],""))</f>
        <v>0</v>
      </c>
    </row>
    <row r="57" spans="1:21">
      <c r="A57" s="20">
        <f t="shared" si="1"/>
        <v>54</v>
      </c>
      <c r="B57" s="20" t="str">
        <f>IFERROR(VLOOKUP(ROW()-3,BookieName[],3,FALSE),"")</f>
        <v>Redarmybet</v>
      </c>
      <c r="C57" s="21">
        <f>IF(Data[[#This Row],[Bookie]]="","",SUM(Data[[#This Row],[D/W]:[Bonus and Adjustments]],))</f>
        <v>0</v>
      </c>
      <c r="D57" s="21">
        <f>IF(Data[[#This Row],[Bookie]]="","",SUMIF(DWbooks[Bookmaker],(VLOOKUP(ROW()-3,BookieName[],2,FALSE)),DWbooks[Sum]))</f>
        <v>0</v>
      </c>
      <c r="E57" s="20">
        <f>IF(Data[[#This Row],[Bookie]]="","",SUMIF(BetTable[B1],(VLOOKUP(ROW()-3,BookieName[],2,FALSE)),BetTable[S1])*-1)</f>
        <v>0</v>
      </c>
      <c r="F57" s="20">
        <f>IF(Data[[#This Row],[Bookie]]="","",SUMIF(BetTable[B2],(VLOOKUP(ROW()-3,BookieName[],2,FALSE)),BetTable[S2])*-1)</f>
        <v>0</v>
      </c>
      <c r="G57" s="20">
        <f>IF(Data[[#This Row],[Bookie]]="","",SUMIF(BetTable[B3],(VLOOKUP(ROW()-3,BookieName[],2,FALSE)),BetTable[S3])*-1)</f>
        <v>0</v>
      </c>
      <c r="H57" s="20">
        <f>IF(Data[[#This Row],[Bookie]]="","",SUMIF(BetTable[B1],(VLOOKUP(ROW()-3,BookieName[],2,FALSE)),BetTable[WBA1]))</f>
        <v>0</v>
      </c>
      <c r="I57" s="20">
        <f>IF(Data[[#This Row],[Bookie]]="","",SUMIF(BetTable[B2],(VLOOKUP(ROW()-3,BookieName[],2,FALSE)),BetTable[WBA2]))</f>
        <v>0</v>
      </c>
      <c r="J57" s="20">
        <f>IF(Data[[#This Row],[Bookie]]="","",SUMIF(BetTable[B3],(VLOOKUP(ROW()-3,BookieName[],2,FALSE)),BetTable[WBA3]))</f>
        <v>0</v>
      </c>
      <c r="K57" s="20">
        <f>IF(Data[[#This Row],[Bookie]]="","",SUMIF(LayTable[Bookmaker],(VLOOKUP(ROW()-3,BookieName[],2,FALSE)),LayTable[BookieInnsats])*-1)</f>
        <v>0</v>
      </c>
      <c r="L57" s="20">
        <f>IF(Data[[#This Row],[Bookie]]="","",SUMIF(LayTable[Lay-bookie],(VLOOKUP(ROW()-3,BookieName[],2,FALSE)),LayTable[LayLiability])*-1)</f>
        <v>0</v>
      </c>
      <c r="M57" s="20">
        <f>IF(Data[[#This Row],[Bookie]]="","",SUMIF(LayTable[Bookmaker],(VLOOKUP(ROW()-3,BookieName[],2,FALSE)),LayTable[WBABack]))</f>
        <v>0</v>
      </c>
      <c r="N57" s="20">
        <f>IF(Data[[#This Row],[Bookie]]="","",SUMIF(LayTable[Lay-bookie],(VLOOKUP(ROW()-3,BookieName[],2,FALSE)),LayTable[WBALay]))</f>
        <v>0</v>
      </c>
      <c r="O57" s="20">
        <f>IF(Data[[#This Row],[Bookie]]="","",SUMIF(DWbonus[Bookie],(VLOOKUP(ROW()-3,BookieName[],2,FALSE)),DWbonus[Sum]))</f>
        <v>0</v>
      </c>
      <c r="P57" s="20">
        <f>IF(Data[[#This Row],[Bookie]]="","",SUM(Data[[#This Row],[Pending 1]:[PendingL2]]))</f>
        <v>0</v>
      </c>
      <c r="Q57" s="20">
        <f>IF(Data[[#This Row],[Bookie]]="","",SUMIFS(BetTable[S1],BetTable[B1],(VLOOKUP(ROW()-3,BookieName[],2,FALSE)),BetTable[AR],""))</f>
        <v>0</v>
      </c>
      <c r="R57" s="20">
        <f>IF(Data[[#This Row],[Bookie]]="","",SUMIFS(BetTable[S2],BetTable[B2],(VLOOKUP(ROW()-3,BookieName[],2,FALSE)),BetTable[AR],""))</f>
        <v>0</v>
      </c>
      <c r="S57" s="20">
        <f>IF(Data[[#This Row],[Bookie]]="","",SUMIFS(BetTable[S3],BetTable[B3],(VLOOKUP(ROW()-3,BookieName[],2,FALSE)),BetTable[AR],""))</f>
        <v>0</v>
      </c>
      <c r="T57" s="20">
        <f>IF(Data[[#This Row],[Bookie]]="","",SUMIFS(LayTable[BookieInnsats],LayTable[Bookmaker],(VLOOKUP(ROW()-3,BookieName[],2,FALSE)),LayTable[Faktisk res],""))</f>
        <v>0</v>
      </c>
      <c r="U57" s="20">
        <f>IF(Data[[#This Row],[Bookie]]="","",SUMIFS(LayTable[LayLiability],LayTable[Lay-bookie],(VLOOKUP(ROW()-3,BookieName[],2,FALSE)),LayTable[Faktisk res],""))</f>
        <v>0</v>
      </c>
    </row>
    <row r="58" spans="1:21">
      <c r="A58" s="20">
        <f t="shared" si="1"/>
        <v>55</v>
      </c>
      <c r="B58" s="20" t="str">
        <f>IFERROR(VLOOKUP(ROW()-3,BookieName[],3,FALSE),"")</f>
        <v>Redbet</v>
      </c>
      <c r="C58" s="21">
        <f>IF(Data[[#This Row],[Bookie]]="","",SUM(Data[[#This Row],[D/W]:[Bonus and Adjustments]],))</f>
        <v>0</v>
      </c>
      <c r="D58" s="21">
        <f>IF(Data[[#This Row],[Bookie]]="","",SUMIF(DWbooks[Bookmaker],(VLOOKUP(ROW()-3,BookieName[],2,FALSE)),DWbooks[Sum]))</f>
        <v>0</v>
      </c>
      <c r="E58" s="20">
        <f>IF(Data[[#This Row],[Bookie]]="","",SUMIF(BetTable[B1],(VLOOKUP(ROW()-3,BookieName[],2,FALSE)),BetTable[S1])*-1)</f>
        <v>0</v>
      </c>
      <c r="F58" s="20">
        <f>IF(Data[[#This Row],[Bookie]]="","",SUMIF(BetTable[B2],(VLOOKUP(ROW()-3,BookieName[],2,FALSE)),BetTable[S2])*-1)</f>
        <v>0</v>
      </c>
      <c r="G58" s="20">
        <f>IF(Data[[#This Row],[Bookie]]="","",SUMIF(BetTable[B3],(VLOOKUP(ROW()-3,BookieName[],2,FALSE)),BetTable[S3])*-1)</f>
        <v>0</v>
      </c>
      <c r="H58" s="20">
        <f>IF(Data[[#This Row],[Bookie]]="","",SUMIF(BetTable[B1],(VLOOKUP(ROW()-3,BookieName[],2,FALSE)),BetTable[WBA1]))</f>
        <v>0</v>
      </c>
      <c r="I58" s="20">
        <f>IF(Data[[#This Row],[Bookie]]="","",SUMIF(BetTable[B2],(VLOOKUP(ROW()-3,BookieName[],2,FALSE)),BetTable[WBA2]))</f>
        <v>0</v>
      </c>
      <c r="J58" s="20">
        <f>IF(Data[[#This Row],[Bookie]]="","",SUMIF(BetTable[B3],(VLOOKUP(ROW()-3,BookieName[],2,FALSE)),BetTable[WBA3]))</f>
        <v>0</v>
      </c>
      <c r="K58" s="20">
        <f>IF(Data[[#This Row],[Bookie]]="","",SUMIF(LayTable[Bookmaker],(VLOOKUP(ROW()-3,BookieName[],2,FALSE)),LayTable[BookieInnsats])*-1)</f>
        <v>0</v>
      </c>
      <c r="L58" s="20">
        <f>IF(Data[[#This Row],[Bookie]]="","",SUMIF(LayTable[Lay-bookie],(VLOOKUP(ROW()-3,BookieName[],2,FALSE)),LayTable[LayLiability])*-1)</f>
        <v>0</v>
      </c>
      <c r="M58" s="20">
        <f>IF(Data[[#This Row],[Bookie]]="","",SUMIF(LayTable[Bookmaker],(VLOOKUP(ROW()-3,BookieName[],2,FALSE)),LayTable[WBABack]))</f>
        <v>0</v>
      </c>
      <c r="N58" s="20">
        <f>IF(Data[[#This Row],[Bookie]]="","",SUMIF(LayTable[Lay-bookie],(VLOOKUP(ROW()-3,BookieName[],2,FALSE)),LayTable[WBALay]))</f>
        <v>0</v>
      </c>
      <c r="O58" s="20">
        <f>IF(Data[[#This Row],[Bookie]]="","",SUMIF(DWbonus[Bookie],(VLOOKUP(ROW()-3,BookieName[],2,FALSE)),DWbonus[Sum]))</f>
        <v>0</v>
      </c>
      <c r="P58" s="20">
        <f>IF(Data[[#This Row],[Bookie]]="","",SUM(Data[[#This Row],[Pending 1]:[PendingL2]]))</f>
        <v>0</v>
      </c>
      <c r="Q58" s="20">
        <f>IF(Data[[#This Row],[Bookie]]="","",SUMIFS(BetTable[S1],BetTable[B1],(VLOOKUP(ROW()-3,BookieName[],2,FALSE)),BetTable[AR],""))</f>
        <v>0</v>
      </c>
      <c r="R58" s="20">
        <f>IF(Data[[#This Row],[Bookie]]="","",SUMIFS(BetTable[S2],BetTable[B2],(VLOOKUP(ROW()-3,BookieName[],2,FALSE)),BetTable[AR],""))</f>
        <v>0</v>
      </c>
      <c r="S58" s="20">
        <f>IF(Data[[#This Row],[Bookie]]="","",SUMIFS(BetTable[S3],BetTable[B3],(VLOOKUP(ROW()-3,BookieName[],2,FALSE)),BetTable[AR],""))</f>
        <v>0</v>
      </c>
      <c r="T58" s="20">
        <f>IF(Data[[#This Row],[Bookie]]="","",SUMIFS(LayTable[BookieInnsats],LayTable[Bookmaker],(VLOOKUP(ROW()-3,BookieName[],2,FALSE)),LayTable[Faktisk res],""))</f>
        <v>0</v>
      </c>
      <c r="U58" s="20">
        <f>IF(Data[[#This Row],[Bookie]]="","",SUMIFS(LayTable[LayLiability],LayTable[Lay-bookie],(VLOOKUP(ROW()-3,BookieName[],2,FALSE)),LayTable[Faktisk res],""))</f>
        <v>0</v>
      </c>
    </row>
    <row r="59" spans="1:21">
      <c r="A59" s="20">
        <f t="shared" si="1"/>
        <v>56</v>
      </c>
      <c r="B59" s="20" t="str">
        <f>IFERROR(VLOOKUP(ROW()-3,BookieName[],3,FALSE),"")</f>
        <v>Redsbet</v>
      </c>
      <c r="C59" s="21">
        <f>IF(Data[[#This Row],[Bookie]]="","",SUM(Data[[#This Row],[D/W]:[Bonus and Adjustments]],))</f>
        <v>0</v>
      </c>
      <c r="D59" s="21">
        <f>IF(Data[[#This Row],[Bookie]]="","",SUMIF(DWbooks[Bookmaker],(VLOOKUP(ROW()-3,BookieName[],2,FALSE)),DWbooks[Sum]))</f>
        <v>0</v>
      </c>
      <c r="E59" s="20">
        <f>IF(Data[[#This Row],[Bookie]]="","",SUMIF(BetTable[B1],(VLOOKUP(ROW()-3,BookieName[],2,FALSE)),BetTable[S1])*-1)</f>
        <v>0</v>
      </c>
      <c r="F59" s="20">
        <f>IF(Data[[#This Row],[Bookie]]="","",SUMIF(BetTable[B2],(VLOOKUP(ROW()-3,BookieName[],2,FALSE)),BetTable[S2])*-1)</f>
        <v>0</v>
      </c>
      <c r="G59" s="20">
        <f>IF(Data[[#This Row],[Bookie]]="","",SUMIF(BetTable[B3],(VLOOKUP(ROW()-3,BookieName[],2,FALSE)),BetTable[S3])*-1)</f>
        <v>0</v>
      </c>
      <c r="H59" s="20">
        <f>IF(Data[[#This Row],[Bookie]]="","",SUMIF(BetTable[B1],(VLOOKUP(ROW()-3,BookieName[],2,FALSE)),BetTable[WBA1]))</f>
        <v>0</v>
      </c>
      <c r="I59" s="20">
        <f>IF(Data[[#This Row],[Bookie]]="","",SUMIF(BetTable[B2],(VLOOKUP(ROW()-3,BookieName[],2,FALSE)),BetTable[WBA2]))</f>
        <v>0</v>
      </c>
      <c r="J59" s="20">
        <f>IF(Data[[#This Row],[Bookie]]="","",SUMIF(BetTable[B3],(VLOOKUP(ROW()-3,BookieName[],2,FALSE)),BetTable[WBA3]))</f>
        <v>0</v>
      </c>
      <c r="K59" s="20">
        <f>IF(Data[[#This Row],[Bookie]]="","",SUMIF(LayTable[Bookmaker],(VLOOKUP(ROW()-3,BookieName[],2,FALSE)),LayTable[BookieInnsats])*-1)</f>
        <v>0</v>
      </c>
      <c r="L59" s="20">
        <f>IF(Data[[#This Row],[Bookie]]="","",SUMIF(LayTable[Lay-bookie],(VLOOKUP(ROW()-3,BookieName[],2,FALSE)),LayTable[LayLiability])*-1)</f>
        <v>0</v>
      </c>
      <c r="M59" s="20">
        <f>IF(Data[[#This Row],[Bookie]]="","",SUMIF(LayTable[Bookmaker],(VLOOKUP(ROW()-3,BookieName[],2,FALSE)),LayTable[WBABack]))</f>
        <v>0</v>
      </c>
      <c r="N59" s="20">
        <f>IF(Data[[#This Row],[Bookie]]="","",SUMIF(LayTable[Lay-bookie],(VLOOKUP(ROW()-3,BookieName[],2,FALSE)),LayTable[WBALay]))</f>
        <v>0</v>
      </c>
      <c r="O59" s="20">
        <f>IF(Data[[#This Row],[Bookie]]="","",SUMIF(DWbonus[Bookie],(VLOOKUP(ROW()-3,BookieName[],2,FALSE)),DWbonus[Sum]))</f>
        <v>0</v>
      </c>
      <c r="P59" s="20">
        <f>IF(Data[[#This Row],[Bookie]]="","",SUM(Data[[#This Row],[Pending 1]:[PendingL2]]))</f>
        <v>0</v>
      </c>
      <c r="Q59" s="20">
        <f>IF(Data[[#This Row],[Bookie]]="","",SUMIFS(BetTable[S1],BetTable[B1],(VLOOKUP(ROW()-3,BookieName[],2,FALSE)),BetTable[AR],""))</f>
        <v>0</v>
      </c>
      <c r="R59" s="20">
        <f>IF(Data[[#This Row],[Bookie]]="","",SUMIFS(BetTable[S2],BetTable[B2],(VLOOKUP(ROW()-3,BookieName[],2,FALSE)),BetTable[AR],""))</f>
        <v>0</v>
      </c>
      <c r="S59" s="20">
        <f>IF(Data[[#This Row],[Bookie]]="","",SUMIFS(BetTable[S3],BetTable[B3],(VLOOKUP(ROW()-3,BookieName[],2,FALSE)),BetTable[AR],""))</f>
        <v>0</v>
      </c>
      <c r="T59" s="20">
        <f>IF(Data[[#This Row],[Bookie]]="","",SUMIFS(LayTable[BookieInnsats],LayTable[Bookmaker],(VLOOKUP(ROW()-3,BookieName[],2,FALSE)),LayTable[Faktisk res],""))</f>
        <v>0</v>
      </c>
      <c r="U59" s="20">
        <f>IF(Data[[#This Row],[Bookie]]="","",SUMIFS(LayTable[LayLiability],LayTable[Lay-bookie],(VLOOKUP(ROW()-3,BookieName[],2,FALSE)),LayTable[Faktisk res],""))</f>
        <v>0</v>
      </c>
    </row>
    <row r="60" spans="1:21">
      <c r="A60" s="20">
        <f t="shared" si="1"/>
        <v>57</v>
      </c>
      <c r="B60" s="20" t="str">
        <f>IFERROR(VLOOKUP(ROW()-3,BookieName[],3,FALSE),"")</f>
        <v>Rivalo</v>
      </c>
      <c r="C60" s="21">
        <f>IF(Data[[#This Row],[Bookie]]="","",SUM(Data[[#This Row],[D/W]:[Bonus and Adjustments]],))</f>
        <v>0</v>
      </c>
      <c r="D60" s="21">
        <f>IF(Data[[#This Row],[Bookie]]="","",SUMIF(DWbooks[Bookmaker],(VLOOKUP(ROW()-3,BookieName[],2,FALSE)),DWbooks[Sum]))</f>
        <v>0</v>
      </c>
      <c r="E60" s="20">
        <f>IF(Data[[#This Row],[Bookie]]="","",SUMIF(BetTable[B1],(VLOOKUP(ROW()-3,BookieName[],2,FALSE)),BetTable[S1])*-1)</f>
        <v>0</v>
      </c>
      <c r="F60" s="20">
        <f>IF(Data[[#This Row],[Bookie]]="","",SUMIF(BetTable[B2],(VLOOKUP(ROW()-3,BookieName[],2,FALSE)),BetTable[S2])*-1)</f>
        <v>0</v>
      </c>
      <c r="G60" s="20">
        <f>IF(Data[[#This Row],[Bookie]]="","",SUMIF(BetTable[B3],(VLOOKUP(ROW()-3,BookieName[],2,FALSE)),BetTable[S3])*-1)</f>
        <v>0</v>
      </c>
      <c r="H60" s="20">
        <f>IF(Data[[#This Row],[Bookie]]="","",SUMIF(BetTable[B1],(VLOOKUP(ROW()-3,BookieName[],2,FALSE)),BetTable[WBA1]))</f>
        <v>0</v>
      </c>
      <c r="I60" s="20">
        <f>IF(Data[[#This Row],[Bookie]]="","",SUMIF(BetTable[B2],(VLOOKUP(ROW()-3,BookieName[],2,FALSE)),BetTable[WBA2]))</f>
        <v>0</v>
      </c>
      <c r="J60" s="20">
        <f>IF(Data[[#This Row],[Bookie]]="","",SUMIF(BetTable[B3],(VLOOKUP(ROW()-3,BookieName[],2,FALSE)),BetTable[WBA3]))</f>
        <v>0</v>
      </c>
      <c r="K60" s="20">
        <f>IF(Data[[#This Row],[Bookie]]="","",SUMIF(LayTable[Bookmaker],(VLOOKUP(ROW()-3,BookieName[],2,FALSE)),LayTable[BookieInnsats])*-1)</f>
        <v>0</v>
      </c>
      <c r="L60" s="20">
        <f>IF(Data[[#This Row],[Bookie]]="","",SUMIF(LayTable[Lay-bookie],(VLOOKUP(ROW()-3,BookieName[],2,FALSE)),LayTable[LayLiability])*-1)</f>
        <v>0</v>
      </c>
      <c r="M60" s="20">
        <f>IF(Data[[#This Row],[Bookie]]="","",SUMIF(LayTable[Bookmaker],(VLOOKUP(ROW()-3,BookieName[],2,FALSE)),LayTable[WBABack]))</f>
        <v>0</v>
      </c>
      <c r="N60" s="20">
        <f>IF(Data[[#This Row],[Bookie]]="","",SUMIF(LayTable[Lay-bookie],(VLOOKUP(ROW()-3,BookieName[],2,FALSE)),LayTable[WBALay]))</f>
        <v>0</v>
      </c>
      <c r="O60" s="20">
        <f>IF(Data[[#This Row],[Bookie]]="","",SUMIF(DWbonus[Bookie],(VLOOKUP(ROW()-3,BookieName[],2,FALSE)),DWbonus[Sum]))</f>
        <v>0</v>
      </c>
      <c r="P60" s="20">
        <f>IF(Data[[#This Row],[Bookie]]="","",SUM(Data[[#This Row],[Pending 1]:[PendingL2]]))</f>
        <v>0</v>
      </c>
      <c r="Q60" s="20">
        <f>IF(Data[[#This Row],[Bookie]]="","",SUMIFS(BetTable[S1],BetTable[B1],(VLOOKUP(ROW()-3,BookieName[],2,FALSE)),BetTable[AR],""))</f>
        <v>0</v>
      </c>
      <c r="R60" s="20">
        <f>IF(Data[[#This Row],[Bookie]]="","",SUMIFS(BetTable[S2],BetTable[B2],(VLOOKUP(ROW()-3,BookieName[],2,FALSE)),BetTable[AR],""))</f>
        <v>0</v>
      </c>
      <c r="S60" s="20">
        <f>IF(Data[[#This Row],[Bookie]]="","",SUMIFS(BetTable[S3],BetTable[B3],(VLOOKUP(ROW()-3,BookieName[],2,FALSE)),BetTable[AR],""))</f>
        <v>0</v>
      </c>
      <c r="T60" s="20">
        <f>IF(Data[[#This Row],[Bookie]]="","",SUMIFS(LayTable[BookieInnsats],LayTable[Bookmaker],(VLOOKUP(ROW()-3,BookieName[],2,FALSE)),LayTable[Faktisk res],""))</f>
        <v>0</v>
      </c>
      <c r="U60" s="20">
        <f>IF(Data[[#This Row],[Bookie]]="","",SUMIFS(LayTable[LayLiability],LayTable[Lay-bookie],(VLOOKUP(ROW()-3,BookieName[],2,FALSE)),LayTable[Faktisk res],""))</f>
        <v>0</v>
      </c>
    </row>
    <row r="61" spans="1:21">
      <c r="A61" s="20">
        <f t="shared" si="1"/>
        <v>58</v>
      </c>
      <c r="B61" s="20" t="str">
        <f>IFERROR(VLOOKUP(ROW()-3,BookieName[],3,FALSE),"")</f>
        <v>Rizk</v>
      </c>
      <c r="C61" s="21">
        <f>IF(Data[[#This Row],[Bookie]]="","",SUM(Data[[#This Row],[D/W]:[Bonus and Adjustments]],))</f>
        <v>0</v>
      </c>
      <c r="D61" s="21">
        <f>IF(Data[[#This Row],[Bookie]]="","",SUMIF(DWbooks[Bookmaker],(VLOOKUP(ROW()-3,BookieName[],2,FALSE)),DWbooks[Sum]))</f>
        <v>0</v>
      </c>
      <c r="E61" s="20">
        <f>IF(Data[[#This Row],[Bookie]]="","",SUMIF(BetTable[B1],(VLOOKUP(ROW()-3,BookieName[],2,FALSE)),BetTable[S1])*-1)</f>
        <v>0</v>
      </c>
      <c r="F61" s="20">
        <f>IF(Data[[#This Row],[Bookie]]="","",SUMIF(BetTable[B2],(VLOOKUP(ROW()-3,BookieName[],2,FALSE)),BetTable[S2])*-1)</f>
        <v>0</v>
      </c>
      <c r="G61" s="20">
        <f>IF(Data[[#This Row],[Bookie]]="","",SUMIF(BetTable[B3],(VLOOKUP(ROW()-3,BookieName[],2,FALSE)),BetTable[S3])*-1)</f>
        <v>0</v>
      </c>
      <c r="H61" s="20">
        <f>IF(Data[[#This Row],[Bookie]]="","",SUMIF(BetTable[B1],(VLOOKUP(ROW()-3,BookieName[],2,FALSE)),BetTable[WBA1]))</f>
        <v>0</v>
      </c>
      <c r="I61" s="20">
        <f>IF(Data[[#This Row],[Bookie]]="","",SUMIF(BetTable[B2],(VLOOKUP(ROW()-3,BookieName[],2,FALSE)),BetTable[WBA2]))</f>
        <v>0</v>
      </c>
      <c r="J61" s="20">
        <f>IF(Data[[#This Row],[Bookie]]="","",SUMIF(BetTable[B3],(VLOOKUP(ROW()-3,BookieName[],2,FALSE)),BetTable[WBA3]))</f>
        <v>0</v>
      </c>
      <c r="K61" s="20">
        <f>IF(Data[[#This Row],[Bookie]]="","",SUMIF(LayTable[Bookmaker],(VLOOKUP(ROW()-3,BookieName[],2,FALSE)),LayTable[BookieInnsats])*-1)</f>
        <v>0</v>
      </c>
      <c r="L61" s="20">
        <f>IF(Data[[#This Row],[Bookie]]="","",SUMIF(LayTable[Lay-bookie],(VLOOKUP(ROW()-3,BookieName[],2,FALSE)),LayTable[LayLiability])*-1)</f>
        <v>0</v>
      </c>
      <c r="M61" s="20">
        <f>IF(Data[[#This Row],[Bookie]]="","",SUMIF(LayTable[Bookmaker],(VLOOKUP(ROW()-3,BookieName[],2,FALSE)),LayTable[WBABack]))</f>
        <v>0</v>
      </c>
      <c r="N61" s="20">
        <f>IF(Data[[#This Row],[Bookie]]="","",SUMIF(LayTable[Lay-bookie],(VLOOKUP(ROW()-3,BookieName[],2,FALSE)),LayTable[WBALay]))</f>
        <v>0</v>
      </c>
      <c r="O61" s="20">
        <f>IF(Data[[#This Row],[Bookie]]="","",SUMIF(DWbonus[Bookie],(VLOOKUP(ROW()-3,BookieName[],2,FALSE)),DWbonus[Sum]))</f>
        <v>0</v>
      </c>
      <c r="P61" s="20">
        <f>IF(Data[[#This Row],[Bookie]]="","",SUM(Data[[#This Row],[Pending 1]:[PendingL2]]))</f>
        <v>0</v>
      </c>
      <c r="Q61" s="20">
        <f>IF(Data[[#This Row],[Bookie]]="","",SUMIFS(BetTable[S1],BetTable[B1],(VLOOKUP(ROW()-3,BookieName[],2,FALSE)),BetTable[AR],""))</f>
        <v>0</v>
      </c>
      <c r="R61" s="20">
        <f>IF(Data[[#This Row],[Bookie]]="","",SUMIFS(BetTable[S2],BetTable[B2],(VLOOKUP(ROW()-3,BookieName[],2,FALSE)),BetTable[AR],""))</f>
        <v>0</v>
      </c>
      <c r="S61" s="20">
        <f>IF(Data[[#This Row],[Bookie]]="","",SUMIFS(BetTable[S3],BetTable[B3],(VLOOKUP(ROW()-3,BookieName[],2,FALSE)),BetTable[AR],""))</f>
        <v>0</v>
      </c>
      <c r="T61" s="20">
        <f>IF(Data[[#This Row],[Bookie]]="","",SUMIFS(LayTable[BookieInnsats],LayTable[Bookmaker],(VLOOKUP(ROW()-3,BookieName[],2,FALSE)),LayTable[Faktisk res],""))</f>
        <v>0</v>
      </c>
      <c r="U61" s="20">
        <f>IF(Data[[#This Row],[Bookie]]="","",SUMIFS(LayTable[LayLiability],LayTable[Lay-bookie],(VLOOKUP(ROW()-3,BookieName[],2,FALSE)),LayTable[Faktisk res],""))</f>
        <v>0</v>
      </c>
    </row>
    <row r="62" spans="1:21">
      <c r="A62" s="20">
        <f t="shared" si="1"/>
        <v>59</v>
      </c>
      <c r="B62" s="20" t="str">
        <f>IFERROR(VLOOKUP(ROW()-3,BookieName[],3,FALSE),"")</f>
        <v>SBOBet</v>
      </c>
      <c r="C62" s="21">
        <f>IF(Data[[#This Row],[Bookie]]="","",SUM(Data[[#This Row],[D/W]:[Bonus and Adjustments]],))</f>
        <v>0</v>
      </c>
      <c r="D62" s="21">
        <f>IF(Data[[#This Row],[Bookie]]="","",SUMIF(DWbooks[Bookmaker],(VLOOKUP(ROW()-3,BookieName[],2,FALSE)),DWbooks[Sum]))</f>
        <v>0</v>
      </c>
      <c r="E62" s="20">
        <f>IF(Data[[#This Row],[Bookie]]="","",SUMIF(BetTable[B1],(VLOOKUP(ROW()-3,BookieName[],2,FALSE)),BetTable[S1])*-1)</f>
        <v>0</v>
      </c>
      <c r="F62" s="20">
        <f>IF(Data[[#This Row],[Bookie]]="","",SUMIF(BetTable[B2],(VLOOKUP(ROW()-3,BookieName[],2,FALSE)),BetTable[S2])*-1)</f>
        <v>0</v>
      </c>
      <c r="G62" s="20">
        <f>IF(Data[[#This Row],[Bookie]]="","",SUMIF(BetTable[B3],(VLOOKUP(ROW()-3,BookieName[],2,FALSE)),BetTable[S3])*-1)</f>
        <v>0</v>
      </c>
      <c r="H62" s="20">
        <f>IF(Data[[#This Row],[Bookie]]="","",SUMIF(BetTable[B1],(VLOOKUP(ROW()-3,BookieName[],2,FALSE)),BetTable[WBA1]))</f>
        <v>0</v>
      </c>
      <c r="I62" s="20">
        <f>IF(Data[[#This Row],[Bookie]]="","",SUMIF(BetTable[B2],(VLOOKUP(ROW()-3,BookieName[],2,FALSE)),BetTable[WBA2]))</f>
        <v>0</v>
      </c>
      <c r="J62" s="20">
        <f>IF(Data[[#This Row],[Bookie]]="","",SUMIF(BetTable[B3],(VLOOKUP(ROW()-3,BookieName[],2,FALSE)),BetTable[WBA3]))</f>
        <v>0</v>
      </c>
      <c r="K62" s="20">
        <f>IF(Data[[#This Row],[Bookie]]="","",SUMIF(LayTable[Bookmaker],(VLOOKUP(ROW()-3,BookieName[],2,FALSE)),LayTable[BookieInnsats])*-1)</f>
        <v>0</v>
      </c>
      <c r="L62" s="20">
        <f>IF(Data[[#This Row],[Bookie]]="","",SUMIF(LayTable[Lay-bookie],(VLOOKUP(ROW()-3,BookieName[],2,FALSE)),LayTable[LayLiability])*-1)</f>
        <v>0</v>
      </c>
      <c r="M62" s="20">
        <f>IF(Data[[#This Row],[Bookie]]="","",SUMIF(LayTable[Bookmaker],(VLOOKUP(ROW()-3,BookieName[],2,FALSE)),LayTable[WBABack]))</f>
        <v>0</v>
      </c>
      <c r="N62" s="20">
        <f>IF(Data[[#This Row],[Bookie]]="","",SUMIF(LayTable[Lay-bookie],(VLOOKUP(ROW()-3,BookieName[],2,FALSE)),LayTable[WBALay]))</f>
        <v>0</v>
      </c>
      <c r="O62" s="20">
        <f>IF(Data[[#This Row],[Bookie]]="","",SUMIF(DWbonus[Bookie],(VLOOKUP(ROW()-3,BookieName[],2,FALSE)),DWbonus[Sum]))</f>
        <v>0</v>
      </c>
      <c r="P62" s="20">
        <f>IF(Data[[#This Row],[Bookie]]="","",SUM(Data[[#This Row],[Pending 1]:[PendingL2]]))</f>
        <v>0</v>
      </c>
      <c r="Q62" s="20">
        <f>IF(Data[[#This Row],[Bookie]]="","",SUMIFS(BetTable[S1],BetTable[B1],(VLOOKUP(ROW()-3,BookieName[],2,FALSE)),BetTable[AR],""))</f>
        <v>0</v>
      </c>
      <c r="R62" s="20">
        <f>IF(Data[[#This Row],[Bookie]]="","",SUMIFS(BetTable[S2],BetTable[B2],(VLOOKUP(ROW()-3,BookieName[],2,FALSE)),BetTable[AR],""))</f>
        <v>0</v>
      </c>
      <c r="S62" s="20">
        <f>IF(Data[[#This Row],[Bookie]]="","",SUMIFS(BetTable[S3],BetTable[B3],(VLOOKUP(ROW()-3,BookieName[],2,FALSE)),BetTable[AR],""))</f>
        <v>0</v>
      </c>
      <c r="T62" s="20">
        <f>IF(Data[[#This Row],[Bookie]]="","",SUMIFS(LayTable[BookieInnsats],LayTable[Bookmaker],(VLOOKUP(ROW()-3,BookieName[],2,FALSE)),LayTable[Faktisk res],""))</f>
        <v>0</v>
      </c>
      <c r="U62" s="20">
        <f>IF(Data[[#This Row],[Bookie]]="","",SUMIFS(LayTable[LayLiability],LayTable[Lay-bookie],(VLOOKUP(ROW()-3,BookieName[],2,FALSE)),LayTable[Faktisk res],""))</f>
        <v>0</v>
      </c>
    </row>
    <row r="63" spans="1:21">
      <c r="A63" s="20">
        <f t="shared" si="1"/>
        <v>60</v>
      </c>
      <c r="B63" s="20" t="str">
        <f>IFERROR(VLOOKUP(ROW()-3,BookieName[],3,FALSE),"")</f>
        <v>Scandibet</v>
      </c>
      <c r="C63" s="21">
        <f>IF(Data[[#This Row],[Bookie]]="","",SUM(Data[[#This Row],[D/W]:[Bonus and Adjustments]],))</f>
        <v>0</v>
      </c>
      <c r="D63" s="21">
        <f>IF(Data[[#This Row],[Bookie]]="","",SUMIF(DWbooks[Bookmaker],(VLOOKUP(ROW()-3,BookieName[],2,FALSE)),DWbooks[Sum]))</f>
        <v>0</v>
      </c>
      <c r="E63" s="20">
        <f>IF(Data[[#This Row],[Bookie]]="","",SUMIF(BetTable[B1],(VLOOKUP(ROW()-3,BookieName[],2,FALSE)),BetTable[S1])*-1)</f>
        <v>0</v>
      </c>
      <c r="F63" s="20">
        <f>IF(Data[[#This Row],[Bookie]]="","",SUMIF(BetTable[B2],(VLOOKUP(ROW()-3,BookieName[],2,FALSE)),BetTable[S2])*-1)</f>
        <v>0</v>
      </c>
      <c r="G63" s="20">
        <f>IF(Data[[#This Row],[Bookie]]="","",SUMIF(BetTable[B3],(VLOOKUP(ROW()-3,BookieName[],2,FALSE)),BetTable[S3])*-1)</f>
        <v>0</v>
      </c>
      <c r="H63" s="20">
        <f>IF(Data[[#This Row],[Bookie]]="","",SUMIF(BetTable[B1],(VLOOKUP(ROW()-3,BookieName[],2,FALSE)),BetTable[WBA1]))</f>
        <v>0</v>
      </c>
      <c r="I63" s="20">
        <f>IF(Data[[#This Row],[Bookie]]="","",SUMIF(BetTable[B2],(VLOOKUP(ROW()-3,BookieName[],2,FALSE)),BetTable[WBA2]))</f>
        <v>0</v>
      </c>
      <c r="J63" s="20">
        <f>IF(Data[[#This Row],[Bookie]]="","",SUMIF(BetTable[B3],(VLOOKUP(ROW()-3,BookieName[],2,FALSE)),BetTable[WBA3]))</f>
        <v>0</v>
      </c>
      <c r="K63" s="20">
        <f>IF(Data[[#This Row],[Bookie]]="","",SUMIF(LayTable[Bookmaker],(VLOOKUP(ROW()-3,BookieName[],2,FALSE)),LayTable[BookieInnsats])*-1)</f>
        <v>0</v>
      </c>
      <c r="L63" s="20">
        <f>IF(Data[[#This Row],[Bookie]]="","",SUMIF(LayTable[Lay-bookie],(VLOOKUP(ROW()-3,BookieName[],2,FALSE)),LayTable[LayLiability])*-1)</f>
        <v>0</v>
      </c>
      <c r="M63" s="20">
        <f>IF(Data[[#This Row],[Bookie]]="","",SUMIF(LayTable[Bookmaker],(VLOOKUP(ROW()-3,BookieName[],2,FALSE)),LayTable[WBABack]))</f>
        <v>0</v>
      </c>
      <c r="N63" s="20">
        <f>IF(Data[[#This Row],[Bookie]]="","",SUMIF(LayTable[Lay-bookie],(VLOOKUP(ROW()-3,BookieName[],2,FALSE)),LayTable[WBALay]))</f>
        <v>0</v>
      </c>
      <c r="O63" s="20">
        <f>IF(Data[[#This Row],[Bookie]]="","",SUMIF(DWbonus[Bookie],(VLOOKUP(ROW()-3,BookieName[],2,FALSE)),DWbonus[Sum]))</f>
        <v>0</v>
      </c>
      <c r="P63" s="20">
        <f>IF(Data[[#This Row],[Bookie]]="","",SUM(Data[[#This Row],[Pending 1]:[PendingL2]]))</f>
        <v>0</v>
      </c>
      <c r="Q63" s="20">
        <f>IF(Data[[#This Row],[Bookie]]="","",SUMIFS(BetTable[S1],BetTable[B1],(VLOOKUP(ROW()-3,BookieName[],2,FALSE)),BetTable[AR],""))</f>
        <v>0</v>
      </c>
      <c r="R63" s="20">
        <f>IF(Data[[#This Row],[Bookie]]="","",SUMIFS(BetTable[S2],BetTable[B2],(VLOOKUP(ROW()-3,BookieName[],2,FALSE)),BetTable[AR],""))</f>
        <v>0</v>
      </c>
      <c r="S63" s="20">
        <f>IF(Data[[#This Row],[Bookie]]="","",SUMIFS(BetTable[S3],BetTable[B3],(VLOOKUP(ROW()-3,BookieName[],2,FALSE)),BetTable[AR],""))</f>
        <v>0</v>
      </c>
      <c r="T63" s="20">
        <f>IF(Data[[#This Row],[Bookie]]="","",SUMIFS(LayTable[BookieInnsats],LayTable[Bookmaker],(VLOOKUP(ROW()-3,BookieName[],2,FALSE)),LayTable[Faktisk res],""))</f>
        <v>0</v>
      </c>
      <c r="U63" s="20">
        <f>IF(Data[[#This Row],[Bookie]]="","",SUMIFS(LayTable[LayLiability],LayTable[Lay-bookie],(VLOOKUP(ROW()-3,BookieName[],2,FALSE)),LayTable[Faktisk res],""))</f>
        <v>0</v>
      </c>
    </row>
    <row r="64" spans="1:21">
      <c r="A64" s="20">
        <f t="shared" si="1"/>
        <v>61</v>
      </c>
      <c r="B64" s="20" t="str">
        <f>IFERROR(VLOOKUP(ROW()-3,BookieName[],3,FALSE),"")</f>
        <v>Spilleautomater</v>
      </c>
      <c r="C64" s="21">
        <f>IF(Data[[#This Row],[Bookie]]="","",SUM(Data[[#This Row],[D/W]:[Bonus and Adjustments]],))</f>
        <v>0</v>
      </c>
      <c r="D64" s="21">
        <f>IF(Data[[#This Row],[Bookie]]="","",SUMIF(DWbooks[Bookmaker],(VLOOKUP(ROW()-3,BookieName[],2,FALSE)),DWbooks[Sum]))</f>
        <v>0</v>
      </c>
      <c r="E64" s="20">
        <f>IF(Data[[#This Row],[Bookie]]="","",SUMIF(BetTable[B1],(VLOOKUP(ROW()-3,BookieName[],2,FALSE)),BetTable[S1])*-1)</f>
        <v>0</v>
      </c>
      <c r="F64" s="20">
        <f>IF(Data[[#This Row],[Bookie]]="","",SUMIF(BetTable[B2],(VLOOKUP(ROW()-3,BookieName[],2,FALSE)),BetTable[S2])*-1)</f>
        <v>0</v>
      </c>
      <c r="G64" s="20">
        <f>IF(Data[[#This Row],[Bookie]]="","",SUMIF(BetTable[B3],(VLOOKUP(ROW()-3,BookieName[],2,FALSE)),BetTable[S3])*-1)</f>
        <v>0</v>
      </c>
      <c r="H64" s="20">
        <f>IF(Data[[#This Row],[Bookie]]="","",SUMIF(BetTable[B1],(VLOOKUP(ROW()-3,BookieName[],2,FALSE)),BetTable[WBA1]))</f>
        <v>0</v>
      </c>
      <c r="I64" s="20">
        <f>IF(Data[[#This Row],[Bookie]]="","",SUMIF(BetTable[B2],(VLOOKUP(ROW()-3,BookieName[],2,FALSE)),BetTable[WBA2]))</f>
        <v>0</v>
      </c>
      <c r="J64" s="20">
        <f>IF(Data[[#This Row],[Bookie]]="","",SUMIF(BetTable[B3],(VLOOKUP(ROW()-3,BookieName[],2,FALSE)),BetTable[WBA3]))</f>
        <v>0</v>
      </c>
      <c r="K64" s="20">
        <f>IF(Data[[#This Row],[Bookie]]="","",SUMIF(LayTable[Bookmaker],(VLOOKUP(ROW()-3,BookieName[],2,FALSE)),LayTable[BookieInnsats])*-1)</f>
        <v>0</v>
      </c>
      <c r="L64" s="20">
        <f>IF(Data[[#This Row],[Bookie]]="","",SUMIF(LayTable[Lay-bookie],(VLOOKUP(ROW()-3,BookieName[],2,FALSE)),LayTable[LayLiability])*-1)</f>
        <v>0</v>
      </c>
      <c r="M64" s="20">
        <f>IF(Data[[#This Row],[Bookie]]="","",SUMIF(LayTable[Bookmaker],(VLOOKUP(ROW()-3,BookieName[],2,FALSE)),LayTable[WBABack]))</f>
        <v>0</v>
      </c>
      <c r="N64" s="20">
        <f>IF(Data[[#This Row],[Bookie]]="","",SUMIF(LayTable[Lay-bookie],(VLOOKUP(ROW()-3,BookieName[],2,FALSE)),LayTable[WBALay]))</f>
        <v>0</v>
      </c>
      <c r="O64" s="20">
        <f>IF(Data[[#This Row],[Bookie]]="","",SUMIF(DWbonus[Bookie],(VLOOKUP(ROW()-3,BookieName[],2,FALSE)),DWbonus[Sum]))</f>
        <v>0</v>
      </c>
      <c r="P64" s="20">
        <f>IF(Data[[#This Row],[Bookie]]="","",SUM(Data[[#This Row],[Pending 1]:[PendingL2]]))</f>
        <v>0</v>
      </c>
      <c r="Q64" s="20">
        <f>IF(Data[[#This Row],[Bookie]]="","",SUMIFS(BetTable[S1],BetTable[B1],(VLOOKUP(ROW()-3,BookieName[],2,FALSE)),BetTable[AR],""))</f>
        <v>0</v>
      </c>
      <c r="R64" s="20">
        <f>IF(Data[[#This Row],[Bookie]]="","",SUMIFS(BetTable[S2],BetTable[B2],(VLOOKUP(ROW()-3,BookieName[],2,FALSE)),BetTable[AR],""))</f>
        <v>0</v>
      </c>
      <c r="S64" s="20">
        <f>IF(Data[[#This Row],[Bookie]]="","",SUMIFS(BetTable[S3],BetTable[B3],(VLOOKUP(ROW()-3,BookieName[],2,FALSE)),BetTable[AR],""))</f>
        <v>0</v>
      </c>
      <c r="T64" s="20">
        <f>IF(Data[[#This Row],[Bookie]]="","",SUMIFS(LayTable[BookieInnsats],LayTable[Bookmaker],(VLOOKUP(ROW()-3,BookieName[],2,FALSE)),LayTable[Faktisk res],""))</f>
        <v>0</v>
      </c>
      <c r="U64" s="20">
        <f>IF(Data[[#This Row],[Bookie]]="","",SUMIFS(LayTable[LayLiability],LayTable[Lay-bookie],(VLOOKUP(ROW()-3,BookieName[],2,FALSE)),LayTable[Faktisk res],""))</f>
        <v>0</v>
      </c>
    </row>
    <row r="65" spans="1:21">
      <c r="A65" s="20">
        <f t="shared" si="1"/>
        <v>62</v>
      </c>
      <c r="B65" s="20" t="str">
        <f>IFERROR(VLOOKUP(ROW()-3,BookieName[],3,FALSE),"")</f>
        <v>Spinsports</v>
      </c>
      <c r="C65" s="21">
        <f>IF(Data[[#This Row],[Bookie]]="","",SUM(Data[[#This Row],[D/W]:[Bonus and Adjustments]],))</f>
        <v>0</v>
      </c>
      <c r="D65" s="21">
        <f>IF(Data[[#This Row],[Bookie]]="","",SUMIF(DWbooks[Bookmaker],(VLOOKUP(ROW()-3,BookieName[],2,FALSE)),DWbooks[Sum]))</f>
        <v>0</v>
      </c>
      <c r="E65" s="20">
        <f>IF(Data[[#This Row],[Bookie]]="","",SUMIF(BetTable[B1],(VLOOKUP(ROW()-3,BookieName[],2,FALSE)),BetTable[S1])*-1)</f>
        <v>0</v>
      </c>
      <c r="F65" s="20">
        <f>IF(Data[[#This Row],[Bookie]]="","",SUMIF(BetTable[B2],(VLOOKUP(ROW()-3,BookieName[],2,FALSE)),BetTable[S2])*-1)</f>
        <v>0</v>
      </c>
      <c r="G65" s="20">
        <f>IF(Data[[#This Row],[Bookie]]="","",SUMIF(BetTable[B3],(VLOOKUP(ROW()-3,BookieName[],2,FALSE)),BetTable[S3])*-1)</f>
        <v>0</v>
      </c>
      <c r="H65" s="20">
        <f>IF(Data[[#This Row],[Bookie]]="","",SUMIF(BetTable[B1],(VLOOKUP(ROW()-3,BookieName[],2,FALSE)),BetTable[WBA1]))</f>
        <v>0</v>
      </c>
      <c r="I65" s="20">
        <f>IF(Data[[#This Row],[Bookie]]="","",SUMIF(BetTable[B2],(VLOOKUP(ROW()-3,BookieName[],2,FALSE)),BetTable[WBA2]))</f>
        <v>0</v>
      </c>
      <c r="J65" s="20">
        <f>IF(Data[[#This Row],[Bookie]]="","",SUMIF(BetTable[B3],(VLOOKUP(ROW()-3,BookieName[],2,FALSE)),BetTable[WBA3]))</f>
        <v>0</v>
      </c>
      <c r="K65" s="20">
        <f>IF(Data[[#This Row],[Bookie]]="","",SUMIF(LayTable[Bookmaker],(VLOOKUP(ROW()-3,BookieName[],2,FALSE)),LayTable[BookieInnsats])*-1)</f>
        <v>0</v>
      </c>
      <c r="L65" s="20">
        <f>IF(Data[[#This Row],[Bookie]]="","",SUMIF(LayTable[Lay-bookie],(VLOOKUP(ROW()-3,BookieName[],2,FALSE)),LayTable[LayLiability])*-1)</f>
        <v>0</v>
      </c>
      <c r="M65" s="20">
        <f>IF(Data[[#This Row],[Bookie]]="","",SUMIF(LayTable[Bookmaker],(VLOOKUP(ROW()-3,BookieName[],2,FALSE)),LayTable[WBABack]))</f>
        <v>0</v>
      </c>
      <c r="N65" s="20">
        <f>IF(Data[[#This Row],[Bookie]]="","",SUMIF(LayTable[Lay-bookie],(VLOOKUP(ROW()-3,BookieName[],2,FALSE)),LayTable[WBALay]))</f>
        <v>0</v>
      </c>
      <c r="O65" s="20">
        <f>IF(Data[[#This Row],[Bookie]]="","",SUMIF(DWbonus[Bookie],(VLOOKUP(ROW()-3,BookieName[],2,FALSE)),DWbonus[Sum]))</f>
        <v>0</v>
      </c>
      <c r="P65" s="20">
        <f>IF(Data[[#This Row],[Bookie]]="","",SUM(Data[[#This Row],[Pending 1]:[PendingL2]]))</f>
        <v>0</v>
      </c>
      <c r="Q65" s="20">
        <f>IF(Data[[#This Row],[Bookie]]="","",SUMIFS(BetTable[S1],BetTable[B1],(VLOOKUP(ROW()-3,BookieName[],2,FALSE)),BetTable[AR],""))</f>
        <v>0</v>
      </c>
      <c r="R65" s="20">
        <f>IF(Data[[#This Row],[Bookie]]="","",SUMIFS(BetTable[S2],BetTable[B2],(VLOOKUP(ROW()-3,BookieName[],2,FALSE)),BetTable[AR],""))</f>
        <v>0</v>
      </c>
      <c r="S65" s="20">
        <f>IF(Data[[#This Row],[Bookie]]="","",SUMIFS(BetTable[S3],BetTable[B3],(VLOOKUP(ROW()-3,BookieName[],2,FALSE)),BetTable[AR],""))</f>
        <v>0</v>
      </c>
      <c r="T65" s="20">
        <f>IF(Data[[#This Row],[Bookie]]="","",SUMIFS(LayTable[BookieInnsats],LayTable[Bookmaker],(VLOOKUP(ROW()-3,BookieName[],2,FALSE)),LayTable[Faktisk res],""))</f>
        <v>0</v>
      </c>
      <c r="U65" s="20">
        <f>IF(Data[[#This Row],[Bookie]]="","",SUMIFS(LayTable[LayLiability],LayTable[Lay-bookie],(VLOOKUP(ROW()-3,BookieName[],2,FALSE)),LayTable[Faktisk res],""))</f>
        <v>0</v>
      </c>
    </row>
    <row r="66" spans="1:21">
      <c r="A66" s="20">
        <f t="shared" si="1"/>
        <v>63</v>
      </c>
      <c r="B66" s="20" t="str">
        <f>IFERROR(VLOOKUP(ROW()-3,BookieName[],3,FALSE),"")</f>
        <v>Sportmarket</v>
      </c>
      <c r="C66" s="21">
        <f>IF(Data[[#This Row],[Bookie]]="","",SUM(Data[[#This Row],[D/W]:[Bonus and Adjustments]],))</f>
        <v>0</v>
      </c>
      <c r="D66" s="21">
        <f>IF(Data[[#This Row],[Bookie]]="","",SUMIF(DWbooks[Bookmaker],(VLOOKUP(ROW()-3,BookieName[],2,FALSE)),DWbooks[Sum]))</f>
        <v>0</v>
      </c>
      <c r="E66" s="20">
        <f>IF(Data[[#This Row],[Bookie]]="","",SUMIF(BetTable[B1],(VLOOKUP(ROW()-3,BookieName[],2,FALSE)),BetTable[S1])*-1)</f>
        <v>0</v>
      </c>
      <c r="F66" s="20">
        <f>IF(Data[[#This Row],[Bookie]]="","",SUMIF(BetTable[B2],(VLOOKUP(ROW()-3,BookieName[],2,FALSE)),BetTable[S2])*-1)</f>
        <v>0</v>
      </c>
      <c r="G66" s="20">
        <f>IF(Data[[#This Row],[Bookie]]="","",SUMIF(BetTable[B3],(VLOOKUP(ROW()-3,BookieName[],2,FALSE)),BetTable[S3])*-1)</f>
        <v>0</v>
      </c>
      <c r="H66" s="20">
        <f>IF(Data[[#This Row],[Bookie]]="","",SUMIF(BetTable[B1],(VLOOKUP(ROW()-3,BookieName[],2,FALSE)),BetTable[WBA1]))</f>
        <v>0</v>
      </c>
      <c r="I66" s="20">
        <f>IF(Data[[#This Row],[Bookie]]="","",SUMIF(BetTable[B2],(VLOOKUP(ROW()-3,BookieName[],2,FALSE)),BetTable[WBA2]))</f>
        <v>0</v>
      </c>
      <c r="J66" s="20">
        <f>IF(Data[[#This Row],[Bookie]]="","",SUMIF(BetTable[B3],(VLOOKUP(ROW()-3,BookieName[],2,FALSE)),BetTable[WBA3]))</f>
        <v>0</v>
      </c>
      <c r="K66" s="20">
        <f>IF(Data[[#This Row],[Bookie]]="","",SUMIF(LayTable[Bookmaker],(VLOOKUP(ROW()-3,BookieName[],2,FALSE)),LayTable[BookieInnsats])*-1)</f>
        <v>0</v>
      </c>
      <c r="L66" s="20">
        <f>IF(Data[[#This Row],[Bookie]]="","",SUMIF(LayTable[Lay-bookie],(VLOOKUP(ROW()-3,BookieName[],2,FALSE)),LayTable[LayLiability])*-1)</f>
        <v>0</v>
      </c>
      <c r="M66" s="20">
        <f>IF(Data[[#This Row],[Bookie]]="","",SUMIF(LayTable[Bookmaker],(VLOOKUP(ROW()-3,BookieName[],2,FALSE)),LayTable[WBABack]))</f>
        <v>0</v>
      </c>
      <c r="N66" s="20">
        <f>IF(Data[[#This Row],[Bookie]]="","",SUMIF(LayTable[Lay-bookie],(VLOOKUP(ROW()-3,BookieName[],2,FALSE)),LayTable[WBALay]))</f>
        <v>0</v>
      </c>
      <c r="O66" s="20">
        <f>IF(Data[[#This Row],[Bookie]]="","",SUMIF(DWbonus[Bookie],(VLOOKUP(ROW()-3,BookieName[],2,FALSE)),DWbonus[Sum]))</f>
        <v>0</v>
      </c>
      <c r="P66" s="20">
        <f>IF(Data[[#This Row],[Bookie]]="","",SUM(Data[[#This Row],[Pending 1]:[PendingL2]]))</f>
        <v>0</v>
      </c>
      <c r="Q66" s="20">
        <f>IF(Data[[#This Row],[Bookie]]="","",SUMIFS(BetTable[S1],BetTable[B1],(VLOOKUP(ROW()-3,BookieName[],2,FALSE)),BetTable[AR],""))</f>
        <v>0</v>
      </c>
      <c r="R66" s="20">
        <f>IF(Data[[#This Row],[Bookie]]="","",SUMIFS(BetTable[S2],BetTable[B2],(VLOOKUP(ROW()-3,BookieName[],2,FALSE)),BetTable[AR],""))</f>
        <v>0</v>
      </c>
      <c r="S66" s="20">
        <f>IF(Data[[#This Row],[Bookie]]="","",SUMIFS(BetTable[S3],BetTable[B3],(VLOOKUP(ROW()-3,BookieName[],2,FALSE)),BetTable[AR],""))</f>
        <v>0</v>
      </c>
      <c r="T66" s="20">
        <f>IF(Data[[#This Row],[Bookie]]="","",SUMIFS(LayTable[BookieInnsats],LayTable[Bookmaker],(VLOOKUP(ROW()-3,BookieName[],2,FALSE)),LayTable[Faktisk res],""))</f>
        <v>0</v>
      </c>
      <c r="U66" s="20">
        <f>IF(Data[[#This Row],[Bookie]]="","",SUMIFS(LayTable[LayLiability],LayTable[Lay-bookie],(VLOOKUP(ROW()-3,BookieName[],2,FALSE)),LayTable[Faktisk res],""))</f>
        <v>0</v>
      </c>
    </row>
    <row r="67" spans="1:21">
      <c r="A67" s="20">
        <f t="shared" si="1"/>
        <v>64</v>
      </c>
      <c r="B67" s="20" t="str">
        <f>IFERROR(VLOOKUP(ROW()-3,BookieName[],3,FALSE),"")</f>
        <v>Storspiller</v>
      </c>
      <c r="C67" s="21">
        <f>IF(Data[[#This Row],[Bookie]]="","",SUM(Data[[#This Row],[D/W]:[Bonus and Adjustments]],))</f>
        <v>0</v>
      </c>
      <c r="D67" s="21">
        <f>IF(Data[[#This Row],[Bookie]]="","",SUMIF(DWbooks[Bookmaker],(VLOOKUP(ROW()-3,BookieName[],2,FALSE)),DWbooks[Sum]))</f>
        <v>0</v>
      </c>
      <c r="E67" s="20">
        <f>IF(Data[[#This Row],[Bookie]]="","",SUMIF(BetTable[B1],(VLOOKUP(ROW()-3,BookieName[],2,FALSE)),BetTable[S1])*-1)</f>
        <v>0</v>
      </c>
      <c r="F67" s="20">
        <f>IF(Data[[#This Row],[Bookie]]="","",SUMIF(BetTable[B2],(VLOOKUP(ROW()-3,BookieName[],2,FALSE)),BetTable[S2])*-1)</f>
        <v>0</v>
      </c>
      <c r="G67" s="20">
        <f>IF(Data[[#This Row],[Bookie]]="","",SUMIF(BetTable[B3],(VLOOKUP(ROW()-3,BookieName[],2,FALSE)),BetTable[S3])*-1)</f>
        <v>0</v>
      </c>
      <c r="H67" s="20">
        <f>IF(Data[[#This Row],[Bookie]]="","",SUMIF(BetTable[B1],(VLOOKUP(ROW()-3,BookieName[],2,FALSE)),BetTable[WBA1]))</f>
        <v>0</v>
      </c>
      <c r="I67" s="20">
        <f>IF(Data[[#This Row],[Bookie]]="","",SUMIF(BetTable[B2],(VLOOKUP(ROW()-3,BookieName[],2,FALSE)),BetTable[WBA2]))</f>
        <v>0</v>
      </c>
      <c r="J67" s="20">
        <f>IF(Data[[#This Row],[Bookie]]="","",SUMIF(BetTable[B3],(VLOOKUP(ROW()-3,BookieName[],2,FALSE)),BetTable[WBA3]))</f>
        <v>0</v>
      </c>
      <c r="K67" s="20">
        <f>IF(Data[[#This Row],[Bookie]]="","",SUMIF(LayTable[Bookmaker],(VLOOKUP(ROW()-3,BookieName[],2,FALSE)),LayTable[BookieInnsats])*-1)</f>
        <v>0</v>
      </c>
      <c r="L67" s="20">
        <f>IF(Data[[#This Row],[Bookie]]="","",SUMIF(LayTable[Lay-bookie],(VLOOKUP(ROW()-3,BookieName[],2,FALSE)),LayTable[LayLiability])*-1)</f>
        <v>0</v>
      </c>
      <c r="M67" s="20">
        <f>IF(Data[[#This Row],[Bookie]]="","",SUMIF(LayTable[Bookmaker],(VLOOKUP(ROW()-3,BookieName[],2,FALSE)),LayTable[WBABack]))</f>
        <v>0</v>
      </c>
      <c r="N67" s="20">
        <f>IF(Data[[#This Row],[Bookie]]="","",SUMIF(LayTable[Lay-bookie],(VLOOKUP(ROW()-3,BookieName[],2,FALSE)),LayTable[WBALay]))</f>
        <v>0</v>
      </c>
      <c r="O67" s="20">
        <f>IF(Data[[#This Row],[Bookie]]="","",SUMIF(DWbonus[Bookie],(VLOOKUP(ROW()-3,BookieName[],2,FALSE)),DWbonus[Sum]))</f>
        <v>0</v>
      </c>
      <c r="P67" s="20">
        <f>IF(Data[[#This Row],[Bookie]]="","",SUM(Data[[#This Row],[Pending 1]:[PendingL2]]))</f>
        <v>0</v>
      </c>
      <c r="Q67" s="20">
        <f>IF(Data[[#This Row],[Bookie]]="","",SUMIFS(BetTable[S1],BetTable[B1],(VLOOKUP(ROW()-3,BookieName[],2,FALSE)),BetTable[AR],""))</f>
        <v>0</v>
      </c>
      <c r="R67" s="20">
        <f>IF(Data[[#This Row],[Bookie]]="","",SUMIFS(BetTable[S2],BetTable[B2],(VLOOKUP(ROW()-3,BookieName[],2,FALSE)),BetTable[AR],""))</f>
        <v>0</v>
      </c>
      <c r="S67" s="20">
        <f>IF(Data[[#This Row],[Bookie]]="","",SUMIFS(BetTable[S3],BetTable[B3],(VLOOKUP(ROW()-3,BookieName[],2,FALSE)),BetTable[AR],""))</f>
        <v>0</v>
      </c>
      <c r="T67" s="20">
        <f>IF(Data[[#This Row],[Bookie]]="","",SUMIFS(LayTable[BookieInnsats],LayTable[Bookmaker],(VLOOKUP(ROW()-3,BookieName[],2,FALSE)),LayTable[Faktisk res],""))</f>
        <v>0</v>
      </c>
      <c r="U67" s="20">
        <f>IF(Data[[#This Row],[Bookie]]="","",SUMIFS(LayTable[LayLiability],LayTable[Lay-bookie],(VLOOKUP(ROW()-3,BookieName[],2,FALSE)),LayTable[Faktisk res],""))</f>
        <v>0</v>
      </c>
    </row>
    <row r="68" spans="1:21">
      <c r="A68" s="20">
        <f t="shared" ref="A68:A95" si="2">ROW()-3</f>
        <v>65</v>
      </c>
      <c r="B68" s="20" t="str">
        <f>IFERROR(VLOOKUP(ROW()-3,BookieName[],3,FALSE),"")</f>
        <v>Sunmaker</v>
      </c>
      <c r="C68" s="21">
        <f>IF(Data[[#This Row],[Bookie]]="","",SUM(Data[[#This Row],[D/W]:[Bonus and Adjustments]],))</f>
        <v>0</v>
      </c>
      <c r="D68" s="21">
        <f>IF(Data[[#This Row],[Bookie]]="","",SUMIF(DWbooks[Bookmaker],(VLOOKUP(ROW()-3,BookieName[],2,FALSE)),DWbooks[Sum]))</f>
        <v>0</v>
      </c>
      <c r="E68" s="20">
        <f>IF(Data[[#This Row],[Bookie]]="","",SUMIF(BetTable[B1],(VLOOKUP(ROW()-3,BookieName[],2,FALSE)),BetTable[S1])*-1)</f>
        <v>0</v>
      </c>
      <c r="F68" s="20">
        <f>IF(Data[[#This Row],[Bookie]]="","",SUMIF(BetTable[B2],(VLOOKUP(ROW()-3,BookieName[],2,FALSE)),BetTable[S2])*-1)</f>
        <v>0</v>
      </c>
      <c r="G68" s="20">
        <f>IF(Data[[#This Row],[Bookie]]="","",SUMIF(BetTable[B3],(VLOOKUP(ROW()-3,BookieName[],2,FALSE)),BetTable[S3])*-1)</f>
        <v>0</v>
      </c>
      <c r="H68" s="20">
        <f>IF(Data[[#This Row],[Bookie]]="","",SUMIF(BetTable[B1],(VLOOKUP(ROW()-3,BookieName[],2,FALSE)),BetTable[WBA1]))</f>
        <v>0</v>
      </c>
      <c r="I68" s="20">
        <f>IF(Data[[#This Row],[Bookie]]="","",SUMIF(BetTable[B2],(VLOOKUP(ROW()-3,BookieName[],2,FALSE)),BetTable[WBA2]))</f>
        <v>0</v>
      </c>
      <c r="J68" s="20">
        <f>IF(Data[[#This Row],[Bookie]]="","",SUMIF(BetTable[B3],(VLOOKUP(ROW()-3,BookieName[],2,FALSE)),BetTable[WBA3]))</f>
        <v>0</v>
      </c>
      <c r="K68" s="20">
        <f>IF(Data[[#This Row],[Bookie]]="","",SUMIF(LayTable[Bookmaker],(VLOOKUP(ROW()-3,BookieName[],2,FALSE)),LayTable[BookieInnsats])*-1)</f>
        <v>0</v>
      </c>
      <c r="L68" s="20">
        <f>IF(Data[[#This Row],[Bookie]]="","",SUMIF(LayTable[Lay-bookie],(VLOOKUP(ROW()-3,BookieName[],2,FALSE)),LayTable[LayLiability])*-1)</f>
        <v>0</v>
      </c>
      <c r="M68" s="20">
        <f>IF(Data[[#This Row],[Bookie]]="","",SUMIF(LayTable[Bookmaker],(VLOOKUP(ROW()-3,BookieName[],2,FALSE)),LayTable[WBABack]))</f>
        <v>0</v>
      </c>
      <c r="N68" s="20">
        <f>IF(Data[[#This Row],[Bookie]]="","",SUMIF(LayTable[Lay-bookie],(VLOOKUP(ROW()-3,BookieName[],2,FALSE)),LayTable[WBALay]))</f>
        <v>0</v>
      </c>
      <c r="O68" s="20">
        <f>IF(Data[[#This Row],[Bookie]]="","",SUMIF(DWbonus[Bookie],(VLOOKUP(ROW()-3,BookieName[],2,FALSE)),DWbonus[Sum]))</f>
        <v>0</v>
      </c>
      <c r="P68" s="20">
        <f>IF(Data[[#This Row],[Bookie]]="","",SUM(Data[[#This Row],[Pending 1]:[PendingL2]]))</f>
        <v>0</v>
      </c>
      <c r="Q68" s="20">
        <f>IF(Data[[#This Row],[Bookie]]="","",SUMIFS(BetTable[S1],BetTable[B1],(VLOOKUP(ROW()-3,BookieName[],2,FALSE)),BetTable[AR],""))</f>
        <v>0</v>
      </c>
      <c r="R68" s="20">
        <f>IF(Data[[#This Row],[Bookie]]="","",SUMIFS(BetTable[S2],BetTable[B2],(VLOOKUP(ROW()-3,BookieName[],2,FALSE)),BetTable[AR],""))</f>
        <v>0</v>
      </c>
      <c r="S68" s="20">
        <f>IF(Data[[#This Row],[Bookie]]="","",SUMIFS(BetTable[S3],BetTable[B3],(VLOOKUP(ROW()-3,BookieName[],2,FALSE)),BetTable[AR],""))</f>
        <v>0</v>
      </c>
      <c r="T68" s="20">
        <f>IF(Data[[#This Row],[Bookie]]="","",SUMIFS(LayTable[BookieInnsats],LayTable[Bookmaker],(VLOOKUP(ROW()-3,BookieName[],2,FALSE)),LayTable[Faktisk res],""))</f>
        <v>0</v>
      </c>
      <c r="U68" s="20">
        <f>IF(Data[[#This Row],[Bookie]]="","",SUMIFS(LayTable[LayLiability],LayTable[Lay-bookie],(VLOOKUP(ROW()-3,BookieName[],2,FALSE)),LayTable[Faktisk res],""))</f>
        <v>0</v>
      </c>
    </row>
    <row r="69" spans="1:21">
      <c r="A69" s="20">
        <f t="shared" si="2"/>
        <v>66</v>
      </c>
      <c r="B69" s="20" t="str">
        <f>IFERROR(VLOOKUP(ROW()-3,BookieName[],3,FALSE),"")</f>
        <v>Superlenny</v>
      </c>
      <c r="C69" s="21">
        <f>IF(Data[[#This Row],[Bookie]]="","",SUM(Data[[#This Row],[D/W]:[Bonus and Adjustments]],))</f>
        <v>0</v>
      </c>
      <c r="D69" s="21">
        <f>IF(Data[[#This Row],[Bookie]]="","",SUMIF(DWbooks[Bookmaker],(VLOOKUP(ROW()-3,BookieName[],2,FALSE)),DWbooks[Sum]))</f>
        <v>0</v>
      </c>
      <c r="E69" s="20">
        <f>IF(Data[[#This Row],[Bookie]]="","",SUMIF(BetTable[B1],(VLOOKUP(ROW()-3,BookieName[],2,FALSE)),BetTable[S1])*-1)</f>
        <v>0</v>
      </c>
      <c r="F69" s="20">
        <f>IF(Data[[#This Row],[Bookie]]="","",SUMIF(BetTable[B2],(VLOOKUP(ROW()-3,BookieName[],2,FALSE)),BetTable[S2])*-1)</f>
        <v>0</v>
      </c>
      <c r="G69" s="20">
        <f>IF(Data[[#This Row],[Bookie]]="","",SUMIF(BetTable[B3],(VLOOKUP(ROW()-3,BookieName[],2,FALSE)),BetTable[S3])*-1)</f>
        <v>0</v>
      </c>
      <c r="H69" s="20">
        <f>IF(Data[[#This Row],[Bookie]]="","",SUMIF(BetTable[B1],(VLOOKUP(ROW()-3,BookieName[],2,FALSE)),BetTable[WBA1]))</f>
        <v>0</v>
      </c>
      <c r="I69" s="20">
        <f>IF(Data[[#This Row],[Bookie]]="","",SUMIF(BetTable[B2],(VLOOKUP(ROW()-3,BookieName[],2,FALSE)),BetTable[WBA2]))</f>
        <v>0</v>
      </c>
      <c r="J69" s="20">
        <f>IF(Data[[#This Row],[Bookie]]="","",SUMIF(BetTable[B3],(VLOOKUP(ROW()-3,BookieName[],2,FALSE)),BetTable[WBA3]))</f>
        <v>0</v>
      </c>
      <c r="K69" s="20">
        <f>IF(Data[[#This Row],[Bookie]]="","",SUMIF(LayTable[Bookmaker],(VLOOKUP(ROW()-3,BookieName[],2,FALSE)),LayTable[BookieInnsats])*-1)</f>
        <v>0</v>
      </c>
      <c r="L69" s="20">
        <f>IF(Data[[#This Row],[Bookie]]="","",SUMIF(LayTable[Lay-bookie],(VLOOKUP(ROW()-3,BookieName[],2,FALSE)),LayTable[LayLiability])*-1)</f>
        <v>0</v>
      </c>
      <c r="M69" s="20">
        <f>IF(Data[[#This Row],[Bookie]]="","",SUMIF(LayTable[Bookmaker],(VLOOKUP(ROW()-3,BookieName[],2,FALSE)),LayTable[WBABack]))</f>
        <v>0</v>
      </c>
      <c r="N69" s="20">
        <f>IF(Data[[#This Row],[Bookie]]="","",SUMIF(LayTable[Lay-bookie],(VLOOKUP(ROW()-3,BookieName[],2,FALSE)),LayTable[WBALay]))</f>
        <v>0</v>
      </c>
      <c r="O69" s="20">
        <f>IF(Data[[#This Row],[Bookie]]="","",SUMIF(DWbonus[Bookie],(VLOOKUP(ROW()-3,BookieName[],2,FALSE)),DWbonus[Sum]))</f>
        <v>0</v>
      </c>
      <c r="P69" s="20">
        <f>IF(Data[[#This Row],[Bookie]]="","",SUM(Data[[#This Row],[Pending 1]:[PendingL2]]))</f>
        <v>0</v>
      </c>
      <c r="Q69" s="20">
        <f>IF(Data[[#This Row],[Bookie]]="","",SUMIFS(BetTable[S1],BetTable[B1],(VLOOKUP(ROW()-3,BookieName[],2,FALSE)),BetTable[AR],""))</f>
        <v>0</v>
      </c>
      <c r="R69" s="20">
        <f>IF(Data[[#This Row],[Bookie]]="","",SUMIFS(BetTable[S2],BetTable[B2],(VLOOKUP(ROW()-3,BookieName[],2,FALSE)),BetTable[AR],""))</f>
        <v>0</v>
      </c>
      <c r="S69" s="20">
        <f>IF(Data[[#This Row],[Bookie]]="","",SUMIFS(BetTable[S3],BetTable[B3],(VLOOKUP(ROW()-3,BookieName[],2,FALSE)),BetTable[AR],""))</f>
        <v>0</v>
      </c>
      <c r="T69" s="20">
        <f>IF(Data[[#This Row],[Bookie]]="","",SUMIFS(LayTable[BookieInnsats],LayTable[Bookmaker],(VLOOKUP(ROW()-3,BookieName[],2,FALSE)),LayTable[Faktisk res],""))</f>
        <v>0</v>
      </c>
      <c r="U69" s="20">
        <f>IF(Data[[#This Row],[Bookie]]="","",SUMIFS(LayTable[LayLiability],LayTable[Lay-bookie],(VLOOKUP(ROW()-3,BookieName[],2,FALSE)),LayTable[Faktisk res],""))</f>
        <v>0</v>
      </c>
    </row>
    <row r="70" spans="1:21">
      <c r="A70" s="20">
        <f t="shared" si="2"/>
        <v>67</v>
      </c>
      <c r="B70" s="20" t="str">
        <f>IFERROR(VLOOKUP(ROW()-3,BookieName[],3,FALSE),"")</f>
        <v>Titanbet</v>
      </c>
      <c r="C70" s="21">
        <f>IF(Data[[#This Row],[Bookie]]="","",SUM(Data[[#This Row],[D/W]:[Bonus and Adjustments]],))</f>
        <v>0</v>
      </c>
      <c r="D70" s="21">
        <f>IF(Data[[#This Row],[Bookie]]="","",SUMIF(DWbooks[Bookmaker],(VLOOKUP(ROW()-3,BookieName[],2,FALSE)),DWbooks[Sum]))</f>
        <v>0</v>
      </c>
      <c r="E70" s="20">
        <f>IF(Data[[#This Row],[Bookie]]="","",SUMIF(BetTable[B1],(VLOOKUP(ROW()-3,BookieName[],2,FALSE)),BetTable[S1])*-1)</f>
        <v>0</v>
      </c>
      <c r="F70" s="20">
        <f>IF(Data[[#This Row],[Bookie]]="","",SUMIF(BetTable[B2],(VLOOKUP(ROW()-3,BookieName[],2,FALSE)),BetTable[S2])*-1)</f>
        <v>0</v>
      </c>
      <c r="G70" s="20">
        <f>IF(Data[[#This Row],[Bookie]]="","",SUMIF(BetTable[B3],(VLOOKUP(ROW()-3,BookieName[],2,FALSE)),BetTable[S3])*-1)</f>
        <v>0</v>
      </c>
      <c r="H70" s="20">
        <f>IF(Data[[#This Row],[Bookie]]="","",SUMIF(BetTable[B1],(VLOOKUP(ROW()-3,BookieName[],2,FALSE)),BetTable[WBA1]))</f>
        <v>0</v>
      </c>
      <c r="I70" s="20">
        <f>IF(Data[[#This Row],[Bookie]]="","",SUMIF(BetTable[B2],(VLOOKUP(ROW()-3,BookieName[],2,FALSE)),BetTable[WBA2]))</f>
        <v>0</v>
      </c>
      <c r="J70" s="20">
        <f>IF(Data[[#This Row],[Bookie]]="","",SUMIF(BetTable[B3],(VLOOKUP(ROW()-3,BookieName[],2,FALSE)),BetTable[WBA3]))</f>
        <v>0</v>
      </c>
      <c r="K70" s="20">
        <f>IF(Data[[#This Row],[Bookie]]="","",SUMIF(LayTable[Bookmaker],(VLOOKUP(ROW()-3,BookieName[],2,FALSE)),LayTable[BookieInnsats])*-1)</f>
        <v>0</v>
      </c>
      <c r="L70" s="20">
        <f>IF(Data[[#This Row],[Bookie]]="","",SUMIF(LayTable[Lay-bookie],(VLOOKUP(ROW()-3,BookieName[],2,FALSE)),LayTable[LayLiability])*-1)</f>
        <v>0</v>
      </c>
      <c r="M70" s="20">
        <f>IF(Data[[#This Row],[Bookie]]="","",SUMIF(LayTable[Bookmaker],(VLOOKUP(ROW()-3,BookieName[],2,FALSE)),LayTable[WBABack]))</f>
        <v>0</v>
      </c>
      <c r="N70" s="20">
        <f>IF(Data[[#This Row],[Bookie]]="","",SUMIF(LayTable[Lay-bookie],(VLOOKUP(ROW()-3,BookieName[],2,FALSE)),LayTable[WBALay]))</f>
        <v>0</v>
      </c>
      <c r="O70" s="20">
        <f>IF(Data[[#This Row],[Bookie]]="","",SUMIF(DWbonus[Bookie],(VLOOKUP(ROW()-3,BookieName[],2,FALSE)),DWbonus[Sum]))</f>
        <v>0</v>
      </c>
      <c r="P70" s="20">
        <f>IF(Data[[#This Row],[Bookie]]="","",SUM(Data[[#This Row],[Pending 1]:[PendingL2]]))</f>
        <v>0</v>
      </c>
      <c r="Q70" s="20">
        <f>IF(Data[[#This Row],[Bookie]]="","",SUMIFS(BetTable[S1],BetTable[B1],(VLOOKUP(ROW()-3,BookieName[],2,FALSE)),BetTable[AR],""))</f>
        <v>0</v>
      </c>
      <c r="R70" s="20">
        <f>IF(Data[[#This Row],[Bookie]]="","",SUMIFS(BetTable[S2],BetTable[B2],(VLOOKUP(ROW()-3,BookieName[],2,FALSE)),BetTable[AR],""))</f>
        <v>0</v>
      </c>
      <c r="S70" s="20">
        <f>IF(Data[[#This Row],[Bookie]]="","",SUMIFS(BetTable[S3],BetTable[B3],(VLOOKUP(ROW()-3,BookieName[],2,FALSE)),BetTable[AR],""))</f>
        <v>0</v>
      </c>
      <c r="T70" s="20">
        <f>IF(Data[[#This Row],[Bookie]]="","",SUMIFS(LayTable[BookieInnsats],LayTable[Bookmaker],(VLOOKUP(ROW()-3,BookieName[],2,FALSE)),LayTable[Faktisk res],""))</f>
        <v>0</v>
      </c>
      <c r="U70" s="20">
        <f>IF(Data[[#This Row],[Bookie]]="","",SUMIFS(LayTable[LayLiability],LayTable[Lay-bookie],(VLOOKUP(ROW()-3,BookieName[],2,FALSE)),LayTable[Faktisk res],""))</f>
        <v>0</v>
      </c>
    </row>
    <row r="71" spans="1:21">
      <c r="A71" s="20">
        <f t="shared" si="2"/>
        <v>68</v>
      </c>
      <c r="B71" s="20" t="str">
        <f>IFERROR(VLOOKUP(ROW()-3,BookieName[],3,FALSE),"")</f>
        <v>Unibet</v>
      </c>
      <c r="C71" s="21">
        <f>IF(Data[[#This Row],[Bookie]]="","",SUM(Data[[#This Row],[D/W]:[Bonus and Adjustments]],))</f>
        <v>0</v>
      </c>
      <c r="D71" s="21">
        <f>IF(Data[[#This Row],[Bookie]]="","",SUMIF(DWbooks[Bookmaker],(VLOOKUP(ROW()-3,BookieName[],2,FALSE)),DWbooks[Sum]))</f>
        <v>0</v>
      </c>
      <c r="E71" s="20">
        <f>IF(Data[[#This Row],[Bookie]]="","",SUMIF(BetTable[B1],(VLOOKUP(ROW()-3,BookieName[],2,FALSE)),BetTable[S1])*-1)</f>
        <v>0</v>
      </c>
      <c r="F71" s="20">
        <f>IF(Data[[#This Row],[Bookie]]="","",SUMIF(BetTable[B2],(VLOOKUP(ROW()-3,BookieName[],2,FALSE)),BetTable[S2])*-1)</f>
        <v>0</v>
      </c>
      <c r="G71" s="20">
        <f>IF(Data[[#This Row],[Bookie]]="","",SUMIF(BetTable[B3],(VLOOKUP(ROW()-3,BookieName[],2,FALSE)),BetTable[S3])*-1)</f>
        <v>0</v>
      </c>
      <c r="H71" s="20">
        <f>IF(Data[[#This Row],[Bookie]]="","",SUMIF(BetTable[B1],(VLOOKUP(ROW()-3,BookieName[],2,FALSE)),BetTable[WBA1]))</f>
        <v>0</v>
      </c>
      <c r="I71" s="20">
        <f>IF(Data[[#This Row],[Bookie]]="","",SUMIF(BetTable[B2],(VLOOKUP(ROW()-3,BookieName[],2,FALSE)),BetTable[WBA2]))</f>
        <v>0</v>
      </c>
      <c r="J71" s="20">
        <f>IF(Data[[#This Row],[Bookie]]="","",SUMIF(BetTable[B3],(VLOOKUP(ROW()-3,BookieName[],2,FALSE)),BetTable[WBA3]))</f>
        <v>0</v>
      </c>
      <c r="K71" s="20">
        <f>IF(Data[[#This Row],[Bookie]]="","",SUMIF(LayTable[Bookmaker],(VLOOKUP(ROW()-3,BookieName[],2,FALSE)),LayTable[BookieInnsats])*-1)</f>
        <v>0</v>
      </c>
      <c r="L71" s="20">
        <f>IF(Data[[#This Row],[Bookie]]="","",SUMIF(LayTable[Lay-bookie],(VLOOKUP(ROW()-3,BookieName[],2,FALSE)),LayTable[LayLiability])*-1)</f>
        <v>0</v>
      </c>
      <c r="M71" s="20">
        <f>IF(Data[[#This Row],[Bookie]]="","",SUMIF(LayTable[Bookmaker],(VLOOKUP(ROW()-3,BookieName[],2,FALSE)),LayTable[WBABack]))</f>
        <v>0</v>
      </c>
      <c r="N71" s="20">
        <f>IF(Data[[#This Row],[Bookie]]="","",SUMIF(LayTable[Lay-bookie],(VLOOKUP(ROW()-3,BookieName[],2,FALSE)),LayTable[WBALay]))</f>
        <v>0</v>
      </c>
      <c r="O71" s="20">
        <f>IF(Data[[#This Row],[Bookie]]="","",SUMIF(DWbonus[Bookie],(VLOOKUP(ROW()-3,BookieName[],2,FALSE)),DWbonus[Sum]))</f>
        <v>0</v>
      </c>
      <c r="P71" s="20">
        <f>IF(Data[[#This Row],[Bookie]]="","",SUM(Data[[#This Row],[Pending 1]:[PendingL2]]))</f>
        <v>0</v>
      </c>
      <c r="Q71" s="20">
        <f>IF(Data[[#This Row],[Bookie]]="","",SUMIFS(BetTable[S1],BetTable[B1],(VLOOKUP(ROW()-3,BookieName[],2,FALSE)),BetTable[AR],""))</f>
        <v>0</v>
      </c>
      <c r="R71" s="20">
        <f>IF(Data[[#This Row],[Bookie]]="","",SUMIFS(BetTable[S2],BetTable[B2],(VLOOKUP(ROW()-3,BookieName[],2,FALSE)),BetTable[AR],""))</f>
        <v>0</v>
      </c>
      <c r="S71" s="20">
        <f>IF(Data[[#This Row],[Bookie]]="","",SUMIFS(BetTable[S3],BetTable[B3],(VLOOKUP(ROW()-3,BookieName[],2,FALSE)),BetTable[AR],""))</f>
        <v>0</v>
      </c>
      <c r="T71" s="20">
        <f>IF(Data[[#This Row],[Bookie]]="","",SUMIFS(LayTable[BookieInnsats],LayTable[Bookmaker],(VLOOKUP(ROW()-3,BookieName[],2,FALSE)),LayTable[Faktisk res],""))</f>
        <v>0</v>
      </c>
      <c r="U71" s="20">
        <f>IF(Data[[#This Row],[Bookie]]="","",SUMIFS(LayTable[LayLiability],LayTable[Lay-bookie],(VLOOKUP(ROW()-3,BookieName[],2,FALSE)),LayTable[Faktisk res],""))</f>
        <v>0</v>
      </c>
    </row>
    <row r="72" spans="1:21">
      <c r="A72" s="20">
        <f t="shared" si="2"/>
        <v>69</v>
      </c>
      <c r="B72" s="20" t="str">
        <f>IFERROR(VLOOKUP(ROW()-3,BookieName[],3,FALSE),"")</f>
        <v>Vervepenger</v>
      </c>
      <c r="C72" s="21">
        <f>IF(Data[[#This Row],[Bookie]]="","",SUM(Data[[#This Row],[D/W]:[Bonus and Adjustments]],))</f>
        <v>0</v>
      </c>
      <c r="D72" s="21">
        <f>IF(Data[[#This Row],[Bookie]]="","",SUMIF(DWbooks[Bookmaker],(VLOOKUP(ROW()-3,BookieName[],2,FALSE)),DWbooks[Sum]))</f>
        <v>0</v>
      </c>
      <c r="E72" s="20">
        <f>IF(Data[[#This Row],[Bookie]]="","",SUMIF(BetTable[B1],(VLOOKUP(ROW()-3,BookieName[],2,FALSE)),BetTable[S1])*-1)</f>
        <v>0</v>
      </c>
      <c r="F72" s="20">
        <f>IF(Data[[#This Row],[Bookie]]="","",SUMIF(BetTable[B2],(VLOOKUP(ROW()-3,BookieName[],2,FALSE)),BetTable[S2])*-1)</f>
        <v>0</v>
      </c>
      <c r="G72" s="20">
        <f>IF(Data[[#This Row],[Bookie]]="","",SUMIF(BetTable[B3],(VLOOKUP(ROW()-3,BookieName[],2,FALSE)),BetTable[S3])*-1)</f>
        <v>0</v>
      </c>
      <c r="H72" s="20">
        <f>IF(Data[[#This Row],[Bookie]]="","",SUMIF(BetTable[B1],(VLOOKUP(ROW()-3,BookieName[],2,FALSE)),BetTable[WBA1]))</f>
        <v>0</v>
      </c>
      <c r="I72" s="20">
        <f>IF(Data[[#This Row],[Bookie]]="","",SUMIF(BetTable[B2],(VLOOKUP(ROW()-3,BookieName[],2,FALSE)),BetTable[WBA2]))</f>
        <v>0</v>
      </c>
      <c r="J72" s="20">
        <f>IF(Data[[#This Row],[Bookie]]="","",SUMIF(BetTable[B3],(VLOOKUP(ROW()-3,BookieName[],2,FALSE)),BetTable[WBA3]))</f>
        <v>0</v>
      </c>
      <c r="K72" s="20">
        <f>IF(Data[[#This Row],[Bookie]]="","",SUMIF(LayTable[Bookmaker],(VLOOKUP(ROW()-3,BookieName[],2,FALSE)),LayTable[BookieInnsats])*-1)</f>
        <v>0</v>
      </c>
      <c r="L72" s="20">
        <f>IF(Data[[#This Row],[Bookie]]="","",SUMIF(LayTable[Lay-bookie],(VLOOKUP(ROW()-3,BookieName[],2,FALSE)),LayTable[LayLiability])*-1)</f>
        <v>0</v>
      </c>
      <c r="M72" s="20">
        <f>IF(Data[[#This Row],[Bookie]]="","",SUMIF(LayTable[Bookmaker],(VLOOKUP(ROW()-3,BookieName[],2,FALSE)),LayTable[WBABack]))</f>
        <v>0</v>
      </c>
      <c r="N72" s="20">
        <f>IF(Data[[#This Row],[Bookie]]="","",SUMIF(LayTable[Lay-bookie],(VLOOKUP(ROW()-3,BookieName[],2,FALSE)),LayTable[WBALay]))</f>
        <v>0</v>
      </c>
      <c r="O72" s="20">
        <f>IF(Data[[#This Row],[Bookie]]="","",SUMIF(DWbonus[Bookie],(VLOOKUP(ROW()-3,BookieName[],2,FALSE)),DWbonus[Sum]))</f>
        <v>0</v>
      </c>
      <c r="P72" s="20">
        <f>IF(Data[[#This Row],[Bookie]]="","",SUM(Data[[#This Row],[Pending 1]:[PendingL2]]))</f>
        <v>0</v>
      </c>
      <c r="Q72" s="20">
        <f>IF(Data[[#This Row],[Bookie]]="","",SUMIFS(BetTable[S1],BetTable[B1],(VLOOKUP(ROW()-3,BookieName[],2,FALSE)),BetTable[AR],""))</f>
        <v>0</v>
      </c>
      <c r="R72" s="20">
        <f>IF(Data[[#This Row],[Bookie]]="","",SUMIFS(BetTable[S2],BetTable[B2],(VLOOKUP(ROW()-3,BookieName[],2,FALSE)),BetTable[AR],""))</f>
        <v>0</v>
      </c>
      <c r="S72" s="20">
        <f>IF(Data[[#This Row],[Bookie]]="","",SUMIFS(BetTable[S3],BetTable[B3],(VLOOKUP(ROW()-3,BookieName[],2,FALSE)),BetTable[AR],""))</f>
        <v>0</v>
      </c>
      <c r="T72" s="20">
        <f>IF(Data[[#This Row],[Bookie]]="","",SUMIFS(LayTable[BookieInnsats],LayTable[Bookmaker],(VLOOKUP(ROW()-3,BookieName[],2,FALSE)),LayTable[Faktisk res],""))</f>
        <v>0</v>
      </c>
      <c r="U72" s="20">
        <f>IF(Data[[#This Row],[Bookie]]="","",SUMIFS(LayTable[LayLiability],LayTable[Lay-bookie],(VLOOKUP(ROW()-3,BookieName[],2,FALSE)),LayTable[Faktisk res],""))</f>
        <v>0</v>
      </c>
    </row>
    <row r="73" spans="1:21">
      <c r="A73" s="20">
        <f t="shared" si="2"/>
        <v>70</v>
      </c>
      <c r="B73" s="20" t="str">
        <f>IFERROR(VLOOKUP(ROW()-3,BookieName[],3,FALSE),"")</f>
        <v>VonBets</v>
      </c>
      <c r="C73" s="21">
        <f>IF(Data[[#This Row],[Bookie]]="","",SUM(Data[[#This Row],[D/W]:[Bonus and Adjustments]],))</f>
        <v>0</v>
      </c>
      <c r="D73" s="21">
        <f>IF(Data[[#This Row],[Bookie]]="","",SUMIF(DWbooks[Bookmaker],(VLOOKUP(ROW()-3,BookieName[],2,FALSE)),DWbooks[Sum]))</f>
        <v>0</v>
      </c>
      <c r="E73" s="20">
        <f>IF(Data[[#This Row],[Bookie]]="","",SUMIF(BetTable[B1],(VLOOKUP(ROW()-3,BookieName[],2,FALSE)),BetTable[S1])*-1)</f>
        <v>0</v>
      </c>
      <c r="F73" s="20">
        <f>IF(Data[[#This Row],[Bookie]]="","",SUMIF(BetTable[B2],(VLOOKUP(ROW()-3,BookieName[],2,FALSE)),BetTable[S2])*-1)</f>
        <v>0</v>
      </c>
      <c r="G73" s="20">
        <f>IF(Data[[#This Row],[Bookie]]="","",SUMIF(BetTable[B3],(VLOOKUP(ROW()-3,BookieName[],2,FALSE)),BetTable[S3])*-1)</f>
        <v>0</v>
      </c>
      <c r="H73" s="20">
        <f>IF(Data[[#This Row],[Bookie]]="","",SUMIF(BetTable[B1],(VLOOKUP(ROW()-3,BookieName[],2,FALSE)),BetTable[WBA1]))</f>
        <v>0</v>
      </c>
      <c r="I73" s="20">
        <f>IF(Data[[#This Row],[Bookie]]="","",SUMIF(BetTable[B2],(VLOOKUP(ROW()-3,BookieName[],2,FALSE)),BetTable[WBA2]))</f>
        <v>0</v>
      </c>
      <c r="J73" s="20">
        <f>IF(Data[[#This Row],[Bookie]]="","",SUMIF(BetTable[B3],(VLOOKUP(ROW()-3,BookieName[],2,FALSE)),BetTable[WBA3]))</f>
        <v>0</v>
      </c>
      <c r="K73" s="20">
        <f>IF(Data[[#This Row],[Bookie]]="","",SUMIF(LayTable[Bookmaker],(VLOOKUP(ROW()-3,BookieName[],2,FALSE)),LayTable[BookieInnsats])*-1)</f>
        <v>0</v>
      </c>
      <c r="L73" s="20">
        <f>IF(Data[[#This Row],[Bookie]]="","",SUMIF(LayTable[Lay-bookie],(VLOOKUP(ROW()-3,BookieName[],2,FALSE)),LayTable[LayLiability])*-1)</f>
        <v>0</v>
      </c>
      <c r="M73" s="20">
        <f>IF(Data[[#This Row],[Bookie]]="","",SUMIF(LayTable[Bookmaker],(VLOOKUP(ROW()-3,BookieName[],2,FALSE)),LayTable[WBABack]))</f>
        <v>0</v>
      </c>
      <c r="N73" s="20">
        <f>IF(Data[[#This Row],[Bookie]]="","",SUMIF(LayTable[Lay-bookie],(VLOOKUP(ROW()-3,BookieName[],2,FALSE)),LayTable[WBALay]))</f>
        <v>0</v>
      </c>
      <c r="O73" s="20">
        <f>IF(Data[[#This Row],[Bookie]]="","",SUMIF(DWbonus[Bookie],(VLOOKUP(ROW()-3,BookieName[],2,FALSE)),DWbonus[Sum]))</f>
        <v>0</v>
      </c>
      <c r="P73" s="20">
        <f>IF(Data[[#This Row],[Bookie]]="","",SUM(Data[[#This Row],[Pending 1]:[PendingL2]]))</f>
        <v>0</v>
      </c>
      <c r="Q73" s="20">
        <f>IF(Data[[#This Row],[Bookie]]="","",SUMIFS(BetTable[S1],BetTable[B1],(VLOOKUP(ROW()-3,BookieName[],2,FALSE)),BetTable[AR],""))</f>
        <v>0</v>
      </c>
      <c r="R73" s="20">
        <f>IF(Data[[#This Row],[Bookie]]="","",SUMIFS(BetTable[S2],BetTable[B2],(VLOOKUP(ROW()-3,BookieName[],2,FALSE)),BetTable[AR],""))</f>
        <v>0</v>
      </c>
      <c r="S73" s="20">
        <f>IF(Data[[#This Row],[Bookie]]="","",SUMIFS(BetTable[S3],BetTable[B3],(VLOOKUP(ROW()-3,BookieName[],2,FALSE)),BetTable[AR],""))</f>
        <v>0</v>
      </c>
      <c r="T73" s="20">
        <f>IF(Data[[#This Row],[Bookie]]="","",SUMIFS(LayTable[BookieInnsats],LayTable[Bookmaker],(VLOOKUP(ROW()-3,BookieName[],2,FALSE)),LayTable[Faktisk res],""))</f>
        <v>0</v>
      </c>
      <c r="U73" s="20">
        <f>IF(Data[[#This Row],[Bookie]]="","",SUMIFS(LayTable[LayLiability],LayTable[Lay-bookie],(VLOOKUP(ROW()-3,BookieName[],2,FALSE)),LayTable[Faktisk res],""))</f>
        <v>0</v>
      </c>
    </row>
    <row r="74" spans="1:21">
      <c r="A74" s="20">
        <f t="shared" si="2"/>
        <v>71</v>
      </c>
      <c r="B74" s="20" t="str">
        <f>IFERROR(VLOOKUP(ROW()-3,BookieName[],3,FALSE),"")</f>
        <v>Xtip</v>
      </c>
      <c r="C74" s="21">
        <f>IF(Data[[#This Row],[Bookie]]="","",SUM(Data[[#This Row],[D/W]:[Bonus and Adjustments]],))</f>
        <v>0</v>
      </c>
      <c r="D74" s="21">
        <f>IF(Data[[#This Row],[Bookie]]="","",SUMIF(DWbooks[Bookmaker],(VLOOKUP(ROW()-3,BookieName[],2,FALSE)),DWbooks[Sum]))</f>
        <v>0</v>
      </c>
      <c r="E74" s="20">
        <f>IF(Data[[#This Row],[Bookie]]="","",SUMIF(BetTable[B1],(VLOOKUP(ROW()-3,BookieName[],2,FALSE)),BetTable[S1])*-1)</f>
        <v>0</v>
      </c>
      <c r="F74" s="20">
        <f>IF(Data[[#This Row],[Bookie]]="","",SUMIF(BetTable[B2],(VLOOKUP(ROW()-3,BookieName[],2,FALSE)),BetTable[S2])*-1)</f>
        <v>0</v>
      </c>
      <c r="G74" s="20">
        <f>IF(Data[[#This Row],[Bookie]]="","",SUMIF(BetTable[B3],(VLOOKUP(ROW()-3,BookieName[],2,FALSE)),BetTable[S3])*-1)</f>
        <v>0</v>
      </c>
      <c r="H74" s="20">
        <f>IF(Data[[#This Row],[Bookie]]="","",SUMIF(BetTable[B1],(VLOOKUP(ROW()-3,BookieName[],2,FALSE)),BetTable[WBA1]))</f>
        <v>0</v>
      </c>
      <c r="I74" s="20">
        <f>IF(Data[[#This Row],[Bookie]]="","",SUMIF(BetTable[B2],(VLOOKUP(ROW()-3,BookieName[],2,FALSE)),BetTable[WBA2]))</f>
        <v>0</v>
      </c>
      <c r="J74" s="20">
        <f>IF(Data[[#This Row],[Bookie]]="","",SUMIF(BetTable[B3],(VLOOKUP(ROW()-3,BookieName[],2,FALSE)),BetTable[WBA3]))</f>
        <v>0</v>
      </c>
      <c r="K74" s="20">
        <f>IF(Data[[#This Row],[Bookie]]="","",SUMIF(LayTable[Bookmaker],(VLOOKUP(ROW()-3,BookieName[],2,FALSE)),LayTable[BookieInnsats])*-1)</f>
        <v>0</v>
      </c>
      <c r="L74" s="20">
        <f>IF(Data[[#This Row],[Bookie]]="","",SUMIF(LayTable[Lay-bookie],(VLOOKUP(ROW()-3,BookieName[],2,FALSE)),LayTable[LayLiability])*-1)</f>
        <v>0</v>
      </c>
      <c r="M74" s="20">
        <f>IF(Data[[#This Row],[Bookie]]="","",SUMIF(LayTable[Bookmaker],(VLOOKUP(ROW()-3,BookieName[],2,FALSE)),LayTable[WBABack]))</f>
        <v>0</v>
      </c>
      <c r="N74" s="20">
        <f>IF(Data[[#This Row],[Bookie]]="","",SUMIF(LayTable[Lay-bookie],(VLOOKUP(ROW()-3,BookieName[],2,FALSE)),LayTable[WBALay]))</f>
        <v>0</v>
      </c>
      <c r="O74" s="20">
        <f>IF(Data[[#This Row],[Bookie]]="","",SUMIF(DWbonus[Bookie],(VLOOKUP(ROW()-3,BookieName[],2,FALSE)),DWbonus[Sum]))</f>
        <v>0</v>
      </c>
      <c r="P74" s="20">
        <f>IF(Data[[#This Row],[Bookie]]="","",SUM(Data[[#This Row],[Pending 1]:[PendingL2]]))</f>
        <v>0</v>
      </c>
      <c r="Q74" s="20">
        <f>IF(Data[[#This Row],[Bookie]]="","",SUMIFS(BetTable[S1],BetTable[B1],(VLOOKUP(ROW()-3,BookieName[],2,FALSE)),BetTable[AR],""))</f>
        <v>0</v>
      </c>
      <c r="R74" s="20">
        <f>IF(Data[[#This Row],[Bookie]]="","",SUMIFS(BetTable[S2],BetTable[B2],(VLOOKUP(ROW()-3,BookieName[],2,FALSE)),BetTable[AR],""))</f>
        <v>0</v>
      </c>
      <c r="S74" s="20">
        <f>IF(Data[[#This Row],[Bookie]]="","",SUMIFS(BetTable[S3],BetTable[B3],(VLOOKUP(ROW()-3,BookieName[],2,FALSE)),BetTable[AR],""))</f>
        <v>0</v>
      </c>
      <c r="T74" s="20">
        <f>IF(Data[[#This Row],[Bookie]]="","",SUMIFS(LayTable[BookieInnsats],LayTable[Bookmaker],(VLOOKUP(ROW()-3,BookieName[],2,FALSE)),LayTable[Faktisk res],""))</f>
        <v>0</v>
      </c>
      <c r="U74" s="20">
        <f>IF(Data[[#This Row],[Bookie]]="","",SUMIFS(LayTable[LayLiability],LayTable[Lay-bookie],(VLOOKUP(ROW()-3,BookieName[],2,FALSE)),LayTable[Faktisk res],""))</f>
        <v>0</v>
      </c>
    </row>
    <row r="75" spans="1:21">
      <c r="A75" s="20">
        <f t="shared" si="2"/>
        <v>72</v>
      </c>
      <c r="B75" s="20" t="str">
        <f>IFERROR(VLOOKUP(ROW()-3,BookieName[],3,FALSE),"")</f>
        <v>LiBetsson</v>
      </c>
      <c r="C75" s="21">
        <f>IF(Data[[#This Row],[Bookie]]="","",SUM(Data[[#This Row],[D/W]:[Bonus and Adjustments]],))</f>
        <v>0</v>
      </c>
      <c r="D75" s="21">
        <f>IF(Data[[#This Row],[Bookie]]="","",SUMIF(DWbooks[Bookmaker],(VLOOKUP(ROW()-3,BookieName[],2,FALSE)),DWbooks[Sum]))</f>
        <v>0</v>
      </c>
      <c r="E75" s="20">
        <f>IF(Data[[#This Row],[Bookie]]="","",SUMIF(BetTable[B1],(VLOOKUP(ROW()-3,BookieName[],2,FALSE)),BetTable[S1])*-1)</f>
        <v>0</v>
      </c>
      <c r="F75" s="20">
        <f>IF(Data[[#This Row],[Bookie]]="","",SUMIF(BetTable[B2],(VLOOKUP(ROW()-3,BookieName[],2,FALSE)),BetTable[S2])*-1)</f>
        <v>0</v>
      </c>
      <c r="G75" s="20">
        <f>IF(Data[[#This Row],[Bookie]]="","",SUMIF(BetTable[B3],(VLOOKUP(ROW()-3,BookieName[],2,FALSE)),BetTable[S3])*-1)</f>
        <v>0</v>
      </c>
      <c r="H75" s="20">
        <f>IF(Data[[#This Row],[Bookie]]="","",SUMIF(BetTable[B1],(VLOOKUP(ROW()-3,BookieName[],2,FALSE)),BetTable[WBA1]))</f>
        <v>0</v>
      </c>
      <c r="I75" s="20">
        <f>IF(Data[[#This Row],[Bookie]]="","",SUMIF(BetTable[B2],(VLOOKUP(ROW()-3,BookieName[],2,FALSE)),BetTable[WBA2]))</f>
        <v>0</v>
      </c>
      <c r="J75" s="20">
        <f>IF(Data[[#This Row],[Bookie]]="","",SUMIF(BetTable[B3],(VLOOKUP(ROW()-3,BookieName[],2,FALSE)),BetTable[WBA3]))</f>
        <v>0</v>
      </c>
      <c r="K75" s="20">
        <f>IF(Data[[#This Row],[Bookie]]="","",SUMIF(LayTable[Bookmaker],(VLOOKUP(ROW()-3,BookieName[],2,FALSE)),LayTable[BookieInnsats])*-1)</f>
        <v>0</v>
      </c>
      <c r="L75" s="20">
        <f>IF(Data[[#This Row],[Bookie]]="","",SUMIF(LayTable[Lay-bookie],(VLOOKUP(ROW()-3,BookieName[],2,FALSE)),LayTable[LayLiability])*-1)</f>
        <v>0</v>
      </c>
      <c r="M75" s="20">
        <f>IF(Data[[#This Row],[Bookie]]="","",SUMIF(LayTable[Bookmaker],(VLOOKUP(ROW()-3,BookieName[],2,FALSE)),LayTable[WBABack]))</f>
        <v>0</v>
      </c>
      <c r="N75" s="20">
        <f>IF(Data[[#This Row],[Bookie]]="","",SUMIF(LayTable[Lay-bookie],(VLOOKUP(ROW()-3,BookieName[],2,FALSE)),LayTable[WBALay]))</f>
        <v>0</v>
      </c>
      <c r="O75" s="20">
        <f>IF(Data[[#This Row],[Bookie]]="","",SUMIF(DWbonus[Bookie],(VLOOKUP(ROW()-3,BookieName[],2,FALSE)),DWbonus[Sum]))</f>
        <v>0</v>
      </c>
      <c r="P75" s="20">
        <f>IF(Data[[#This Row],[Bookie]]="","",SUM(Data[[#This Row],[Pending 1]:[PendingL2]]))</f>
        <v>0</v>
      </c>
      <c r="Q75" s="20">
        <f>IF(Data[[#This Row],[Bookie]]="","",SUMIFS(BetTable[S1],BetTable[B1],(VLOOKUP(ROW()-3,BookieName[],2,FALSE)),BetTable[AR],""))</f>
        <v>0</v>
      </c>
      <c r="R75" s="20">
        <f>IF(Data[[#This Row],[Bookie]]="","",SUMIFS(BetTable[S2],BetTable[B2],(VLOOKUP(ROW()-3,BookieName[],2,FALSE)),BetTable[AR],""))</f>
        <v>0</v>
      </c>
      <c r="S75" s="20">
        <f>IF(Data[[#This Row],[Bookie]]="","",SUMIFS(BetTable[S3],BetTable[B3],(VLOOKUP(ROW()-3,BookieName[],2,FALSE)),BetTable[AR],""))</f>
        <v>0</v>
      </c>
      <c r="T75" s="20">
        <f>IF(Data[[#This Row],[Bookie]]="","",SUMIFS(LayTable[BookieInnsats],LayTable[Bookmaker],(VLOOKUP(ROW()-3,BookieName[],2,FALSE)),LayTable[Faktisk res],""))</f>
        <v>0</v>
      </c>
      <c r="U75" s="20">
        <f>IF(Data[[#This Row],[Bookie]]="","",SUMIFS(LayTable[LayLiability],LayTable[Lay-bookie],(VLOOKUP(ROW()-3,BookieName[],2,FALSE)),LayTable[Faktisk res],""))</f>
        <v>0</v>
      </c>
    </row>
    <row r="76" spans="1:21">
      <c r="A76" s="20">
        <f t="shared" si="2"/>
        <v>73</v>
      </c>
      <c r="B76" s="20" t="str">
        <f>IFERROR(VLOOKUP(ROW()-3,BookieName[],3,FALSE),"")</f>
        <v>LiBetsafe</v>
      </c>
      <c r="C76" s="21">
        <f>IF(Data[[#This Row],[Bookie]]="","",SUM(Data[[#This Row],[D/W]:[Bonus and Adjustments]],))</f>
        <v>0</v>
      </c>
      <c r="D76" s="21">
        <f>IF(Data[[#This Row],[Bookie]]="","",SUMIF(DWbooks[Bookmaker],(VLOOKUP(ROW()-3,BookieName[],2,FALSE)),DWbooks[Sum]))</f>
        <v>0</v>
      </c>
      <c r="E76" s="20">
        <f>IF(Data[[#This Row],[Bookie]]="","",SUMIF(BetTable[B1],(VLOOKUP(ROW()-3,BookieName[],2,FALSE)),BetTable[S1])*-1)</f>
        <v>0</v>
      </c>
      <c r="F76" s="20">
        <f>IF(Data[[#This Row],[Bookie]]="","",SUMIF(BetTable[B2],(VLOOKUP(ROW()-3,BookieName[],2,FALSE)),BetTable[S2])*-1)</f>
        <v>0</v>
      </c>
      <c r="G76" s="20">
        <f>IF(Data[[#This Row],[Bookie]]="","",SUMIF(BetTable[B3],(VLOOKUP(ROW()-3,BookieName[],2,FALSE)),BetTable[S3])*-1)</f>
        <v>0</v>
      </c>
      <c r="H76" s="20">
        <f>IF(Data[[#This Row],[Bookie]]="","",SUMIF(BetTable[B1],(VLOOKUP(ROW()-3,BookieName[],2,FALSE)),BetTable[WBA1]))</f>
        <v>0</v>
      </c>
      <c r="I76" s="20">
        <f>IF(Data[[#This Row],[Bookie]]="","",SUMIF(BetTable[B2],(VLOOKUP(ROW()-3,BookieName[],2,FALSE)),BetTable[WBA2]))</f>
        <v>0</v>
      </c>
      <c r="J76" s="20">
        <f>IF(Data[[#This Row],[Bookie]]="","",SUMIF(BetTable[B3],(VLOOKUP(ROW()-3,BookieName[],2,FALSE)),BetTable[WBA3]))</f>
        <v>0</v>
      </c>
      <c r="K76" s="20">
        <f>IF(Data[[#This Row],[Bookie]]="","",SUMIF(LayTable[Bookmaker],(VLOOKUP(ROW()-3,BookieName[],2,FALSE)),LayTable[BookieInnsats])*-1)</f>
        <v>0</v>
      </c>
      <c r="L76" s="20">
        <f>IF(Data[[#This Row],[Bookie]]="","",SUMIF(LayTable[Lay-bookie],(VLOOKUP(ROW()-3,BookieName[],2,FALSE)),LayTable[LayLiability])*-1)</f>
        <v>0</v>
      </c>
      <c r="M76" s="20">
        <f>IF(Data[[#This Row],[Bookie]]="","",SUMIF(LayTable[Bookmaker],(VLOOKUP(ROW()-3,BookieName[],2,FALSE)),LayTable[WBABack]))</f>
        <v>0</v>
      </c>
      <c r="N76" s="20">
        <f>IF(Data[[#This Row],[Bookie]]="","",SUMIF(LayTable[Lay-bookie],(VLOOKUP(ROW()-3,BookieName[],2,FALSE)),LayTable[WBALay]))</f>
        <v>0</v>
      </c>
      <c r="O76" s="20">
        <f>IF(Data[[#This Row],[Bookie]]="","",SUMIF(DWbonus[Bookie],(VLOOKUP(ROW()-3,BookieName[],2,FALSE)),DWbonus[Sum]))</f>
        <v>0</v>
      </c>
      <c r="P76" s="20">
        <f>IF(Data[[#This Row],[Bookie]]="","",SUM(Data[[#This Row],[Pending 1]:[PendingL2]]))</f>
        <v>0</v>
      </c>
      <c r="Q76" s="20">
        <f>IF(Data[[#This Row],[Bookie]]="","",SUMIFS(BetTable[S1],BetTable[B1],(VLOOKUP(ROW()-3,BookieName[],2,FALSE)),BetTable[AR],""))</f>
        <v>0</v>
      </c>
      <c r="R76" s="20">
        <f>IF(Data[[#This Row],[Bookie]]="","",SUMIFS(BetTable[S2],BetTable[B2],(VLOOKUP(ROW()-3,BookieName[],2,FALSE)),BetTable[AR],""))</f>
        <v>0</v>
      </c>
      <c r="S76" s="20">
        <f>IF(Data[[#This Row],[Bookie]]="","",SUMIFS(BetTable[S3],BetTable[B3],(VLOOKUP(ROW()-3,BookieName[],2,FALSE)),BetTable[AR],""))</f>
        <v>0</v>
      </c>
      <c r="T76" s="20">
        <f>IF(Data[[#This Row],[Bookie]]="","",SUMIFS(LayTable[BookieInnsats],LayTable[Bookmaker],(VLOOKUP(ROW()-3,BookieName[],2,FALSE)),LayTable[Faktisk res],""))</f>
        <v>0</v>
      </c>
      <c r="U76" s="20">
        <f>IF(Data[[#This Row],[Bookie]]="","",SUMIFS(LayTable[LayLiability],LayTable[Lay-bookie],(VLOOKUP(ROW()-3,BookieName[],2,FALSE)),LayTable[Faktisk res],""))</f>
        <v>0</v>
      </c>
    </row>
    <row r="77" spans="1:21">
      <c r="A77" s="20">
        <f t="shared" si="2"/>
        <v>74</v>
      </c>
      <c r="B77" s="20" t="str">
        <f>IFERROR(VLOOKUP(ROW()-3,BookieName[],3,FALSE),"")</f>
        <v>LiNordicbet</v>
      </c>
      <c r="C77" s="21">
        <f>IF(Data[[#This Row],[Bookie]]="","",SUM(Data[[#This Row],[D/W]:[Bonus and Adjustments]],))</f>
        <v>0</v>
      </c>
      <c r="D77" s="21">
        <f>IF(Data[[#This Row],[Bookie]]="","",SUMIF(DWbooks[Bookmaker],(VLOOKUP(ROW()-3,BookieName[],2,FALSE)),DWbooks[Sum]))</f>
        <v>0</v>
      </c>
      <c r="E77" s="20">
        <f>IF(Data[[#This Row],[Bookie]]="","",SUMIF(BetTable[B1],(VLOOKUP(ROW()-3,BookieName[],2,FALSE)),BetTable[S1])*-1)</f>
        <v>0</v>
      </c>
      <c r="F77" s="20">
        <f>IF(Data[[#This Row],[Bookie]]="","",SUMIF(BetTable[B2],(VLOOKUP(ROW()-3,BookieName[],2,FALSE)),BetTable[S2])*-1)</f>
        <v>0</v>
      </c>
      <c r="G77" s="20">
        <f>IF(Data[[#This Row],[Bookie]]="","",SUMIF(BetTable[B3],(VLOOKUP(ROW()-3,BookieName[],2,FALSE)),BetTable[S3])*-1)</f>
        <v>0</v>
      </c>
      <c r="H77" s="20">
        <f>IF(Data[[#This Row],[Bookie]]="","",SUMIF(BetTable[B1],(VLOOKUP(ROW()-3,BookieName[],2,FALSE)),BetTable[WBA1]))</f>
        <v>0</v>
      </c>
      <c r="I77" s="20">
        <f>IF(Data[[#This Row],[Bookie]]="","",SUMIF(BetTable[B2],(VLOOKUP(ROW()-3,BookieName[],2,FALSE)),BetTable[WBA2]))</f>
        <v>0</v>
      </c>
      <c r="J77" s="20">
        <f>IF(Data[[#This Row],[Bookie]]="","",SUMIF(BetTable[B3],(VLOOKUP(ROW()-3,BookieName[],2,FALSE)),BetTable[WBA3]))</f>
        <v>0</v>
      </c>
      <c r="K77" s="20">
        <f>IF(Data[[#This Row],[Bookie]]="","",SUMIF(LayTable[Bookmaker],(VLOOKUP(ROW()-3,BookieName[],2,FALSE)),LayTable[BookieInnsats])*-1)</f>
        <v>0</v>
      </c>
      <c r="L77" s="20">
        <f>IF(Data[[#This Row],[Bookie]]="","",SUMIF(LayTable[Lay-bookie],(VLOOKUP(ROW()-3,BookieName[],2,FALSE)),LayTable[LayLiability])*-1)</f>
        <v>0</v>
      </c>
      <c r="M77" s="20">
        <f>IF(Data[[#This Row],[Bookie]]="","",SUMIF(LayTable[Bookmaker],(VLOOKUP(ROW()-3,BookieName[],2,FALSE)),LayTable[WBABack]))</f>
        <v>0</v>
      </c>
      <c r="N77" s="20">
        <f>IF(Data[[#This Row],[Bookie]]="","",SUMIF(LayTable[Lay-bookie],(VLOOKUP(ROW()-3,BookieName[],2,FALSE)),LayTable[WBALay]))</f>
        <v>0</v>
      </c>
      <c r="O77" s="20">
        <f>IF(Data[[#This Row],[Bookie]]="","",SUMIF(DWbonus[Bookie],(VLOOKUP(ROW()-3,BookieName[],2,FALSE)),DWbonus[Sum]))</f>
        <v>0</v>
      </c>
      <c r="P77" s="20">
        <f>IF(Data[[#This Row],[Bookie]]="","",SUM(Data[[#This Row],[Pending 1]:[PendingL2]]))</f>
        <v>0</v>
      </c>
      <c r="Q77" s="20">
        <f>IF(Data[[#This Row],[Bookie]]="","",SUMIFS(BetTable[S1],BetTable[B1],(VLOOKUP(ROW()-3,BookieName[],2,FALSE)),BetTable[AR],""))</f>
        <v>0</v>
      </c>
      <c r="R77" s="20">
        <f>IF(Data[[#This Row],[Bookie]]="","",SUMIFS(BetTable[S2],BetTable[B2],(VLOOKUP(ROW()-3,BookieName[],2,FALSE)),BetTable[AR],""))</f>
        <v>0</v>
      </c>
      <c r="S77" s="20">
        <f>IF(Data[[#This Row],[Bookie]]="","",SUMIFS(BetTable[S3],BetTable[B3],(VLOOKUP(ROW()-3,BookieName[],2,FALSE)),BetTable[AR],""))</f>
        <v>0</v>
      </c>
      <c r="T77" s="20">
        <f>IF(Data[[#This Row],[Bookie]]="","",SUMIFS(LayTable[BookieInnsats],LayTable[Bookmaker],(VLOOKUP(ROW()-3,BookieName[],2,FALSE)),LayTable[Faktisk res],""))</f>
        <v>0</v>
      </c>
      <c r="U77" s="20">
        <f>IF(Data[[#This Row],[Bookie]]="","",SUMIFS(LayTable[LayLiability],LayTable[Lay-bookie],(VLOOKUP(ROW()-3,BookieName[],2,FALSE)),LayTable[Faktisk res],""))</f>
        <v>0</v>
      </c>
    </row>
    <row r="78" spans="1:21">
      <c r="A78" s="20">
        <f t="shared" si="2"/>
        <v>75</v>
      </c>
      <c r="B78" s="20" t="str">
        <f>IFERROR(VLOOKUP(ROW()-3,BookieName[],3,FALSE),"")</f>
        <v>LiUnibet</v>
      </c>
      <c r="C78" s="21">
        <f>IF(Data[[#This Row],[Bookie]]="","",SUM(Data[[#This Row],[D/W]:[Bonus and Adjustments]],))</f>
        <v>0</v>
      </c>
      <c r="D78" s="21">
        <f>IF(Data[[#This Row],[Bookie]]="","",SUMIF(DWbooks[Bookmaker],(VLOOKUP(ROW()-3,BookieName[],2,FALSE)),DWbooks[Sum]))</f>
        <v>0</v>
      </c>
      <c r="E78" s="20">
        <f>IF(Data[[#This Row],[Bookie]]="","",SUMIF(BetTable[B1],(VLOOKUP(ROW()-3,BookieName[],2,FALSE)),BetTable[S1])*-1)</f>
        <v>0</v>
      </c>
      <c r="F78" s="20">
        <f>IF(Data[[#This Row],[Bookie]]="","",SUMIF(BetTable[B2],(VLOOKUP(ROW()-3,BookieName[],2,FALSE)),BetTable[S2])*-1)</f>
        <v>0</v>
      </c>
      <c r="G78" s="20">
        <f>IF(Data[[#This Row],[Bookie]]="","",SUMIF(BetTable[B3],(VLOOKUP(ROW()-3,BookieName[],2,FALSE)),BetTable[S3])*-1)</f>
        <v>0</v>
      </c>
      <c r="H78" s="20">
        <f>IF(Data[[#This Row],[Bookie]]="","",SUMIF(BetTable[B1],(VLOOKUP(ROW()-3,BookieName[],2,FALSE)),BetTable[WBA1]))</f>
        <v>0</v>
      </c>
      <c r="I78" s="20">
        <f>IF(Data[[#This Row],[Bookie]]="","",SUMIF(BetTable[B2],(VLOOKUP(ROW()-3,BookieName[],2,FALSE)),BetTable[WBA2]))</f>
        <v>0</v>
      </c>
      <c r="J78" s="20">
        <f>IF(Data[[#This Row],[Bookie]]="","",SUMIF(BetTable[B3],(VLOOKUP(ROW()-3,BookieName[],2,FALSE)),BetTable[WBA3]))</f>
        <v>0</v>
      </c>
      <c r="K78" s="20">
        <f>IF(Data[[#This Row],[Bookie]]="","",SUMIF(LayTable[Bookmaker],(VLOOKUP(ROW()-3,BookieName[],2,FALSE)),LayTable[BookieInnsats])*-1)</f>
        <v>0</v>
      </c>
      <c r="L78" s="20">
        <f>IF(Data[[#This Row],[Bookie]]="","",SUMIF(LayTable[Lay-bookie],(VLOOKUP(ROW()-3,BookieName[],2,FALSE)),LayTable[LayLiability])*-1)</f>
        <v>0</v>
      </c>
      <c r="M78" s="20">
        <f>IF(Data[[#This Row],[Bookie]]="","",SUMIF(LayTable[Bookmaker],(VLOOKUP(ROW()-3,BookieName[],2,FALSE)),LayTable[WBABack]))</f>
        <v>0</v>
      </c>
      <c r="N78" s="20">
        <f>IF(Data[[#This Row],[Bookie]]="","",SUMIF(LayTable[Lay-bookie],(VLOOKUP(ROW()-3,BookieName[],2,FALSE)),LayTable[WBALay]))</f>
        <v>0</v>
      </c>
      <c r="O78" s="20">
        <f>IF(Data[[#This Row],[Bookie]]="","",SUMIF(DWbonus[Bookie],(VLOOKUP(ROW()-3,BookieName[],2,FALSE)),DWbonus[Sum]))</f>
        <v>0</v>
      </c>
      <c r="P78" s="20">
        <f>IF(Data[[#This Row],[Bookie]]="","",SUM(Data[[#This Row],[Pending 1]:[PendingL2]]))</f>
        <v>0</v>
      </c>
      <c r="Q78" s="20">
        <f>IF(Data[[#This Row],[Bookie]]="","",SUMIFS(BetTable[S1],BetTable[B1],(VLOOKUP(ROW()-3,BookieName[],2,FALSE)),BetTable[AR],""))</f>
        <v>0</v>
      </c>
      <c r="R78" s="20">
        <f>IF(Data[[#This Row],[Bookie]]="","",SUMIFS(BetTable[S2],BetTable[B2],(VLOOKUP(ROW()-3,BookieName[],2,FALSE)),BetTable[AR],""))</f>
        <v>0</v>
      </c>
      <c r="S78" s="20">
        <f>IF(Data[[#This Row],[Bookie]]="","",SUMIFS(BetTable[S3],BetTable[B3],(VLOOKUP(ROW()-3,BookieName[],2,FALSE)),BetTable[AR],""))</f>
        <v>0</v>
      </c>
      <c r="T78" s="20">
        <f>IF(Data[[#This Row],[Bookie]]="","",SUMIFS(LayTable[BookieInnsats],LayTable[Bookmaker],(VLOOKUP(ROW()-3,BookieName[],2,FALSE)),LayTable[Faktisk res],""))</f>
        <v>0</v>
      </c>
      <c r="U78" s="20">
        <f>IF(Data[[#This Row],[Bookie]]="","",SUMIFS(LayTable[LayLiability],LayTable[Lay-bookie],(VLOOKUP(ROW()-3,BookieName[],2,FALSE)),LayTable[Faktisk res],""))</f>
        <v>0</v>
      </c>
    </row>
    <row r="79" spans="1:21">
      <c r="A79" s="20">
        <f t="shared" si="2"/>
        <v>76</v>
      </c>
      <c r="B79" s="20" t="str">
        <f>IFERROR(VLOOKUP(ROW()-3,BookieName[],3,FALSE),"")</f>
        <v>LiBethard</v>
      </c>
      <c r="C79" s="21">
        <f>IF(Data[[#This Row],[Bookie]]="","",SUM(Data[[#This Row],[D/W]:[Bonus and Adjustments]],))</f>
        <v>0</v>
      </c>
      <c r="D79" s="21">
        <f>IF(Data[[#This Row],[Bookie]]="","",SUMIF(DWbooks[Bookmaker],(VLOOKUP(ROW()-3,BookieName[],2,FALSE)),DWbooks[Sum]))</f>
        <v>0</v>
      </c>
      <c r="E79" s="20">
        <f>IF(Data[[#This Row],[Bookie]]="","",SUMIF(BetTable[B1],(VLOOKUP(ROW()-3,BookieName[],2,FALSE)),BetTable[S1])*-1)</f>
        <v>0</v>
      </c>
      <c r="F79" s="20">
        <f>IF(Data[[#This Row],[Bookie]]="","",SUMIF(BetTable[B2],(VLOOKUP(ROW()-3,BookieName[],2,FALSE)),BetTable[S2])*-1)</f>
        <v>0</v>
      </c>
      <c r="G79" s="20">
        <f>IF(Data[[#This Row],[Bookie]]="","",SUMIF(BetTable[B3],(VLOOKUP(ROW()-3,BookieName[],2,FALSE)),BetTable[S3])*-1)</f>
        <v>0</v>
      </c>
      <c r="H79" s="20">
        <f>IF(Data[[#This Row],[Bookie]]="","",SUMIF(BetTable[B1],(VLOOKUP(ROW()-3,BookieName[],2,FALSE)),BetTable[WBA1]))</f>
        <v>0</v>
      </c>
      <c r="I79" s="20">
        <f>IF(Data[[#This Row],[Bookie]]="","",SUMIF(BetTable[B2],(VLOOKUP(ROW()-3,BookieName[],2,FALSE)),BetTable[WBA2]))</f>
        <v>0</v>
      </c>
      <c r="J79" s="20">
        <f>IF(Data[[#This Row],[Bookie]]="","",SUMIF(BetTable[B3],(VLOOKUP(ROW()-3,BookieName[],2,FALSE)),BetTable[WBA3]))</f>
        <v>0</v>
      </c>
      <c r="K79" s="20">
        <f>IF(Data[[#This Row],[Bookie]]="","",SUMIF(LayTable[Bookmaker],(VLOOKUP(ROW()-3,BookieName[],2,FALSE)),LayTable[BookieInnsats])*-1)</f>
        <v>0</v>
      </c>
      <c r="L79" s="20">
        <f>IF(Data[[#This Row],[Bookie]]="","",SUMIF(LayTable[Lay-bookie],(VLOOKUP(ROW()-3,BookieName[],2,FALSE)),LayTable[LayLiability])*-1)</f>
        <v>0</v>
      </c>
      <c r="M79" s="20">
        <f>IF(Data[[#This Row],[Bookie]]="","",SUMIF(LayTable[Bookmaker],(VLOOKUP(ROW()-3,BookieName[],2,FALSE)),LayTable[WBABack]))</f>
        <v>0</v>
      </c>
      <c r="N79" s="20">
        <f>IF(Data[[#This Row],[Bookie]]="","",SUMIF(LayTable[Lay-bookie],(VLOOKUP(ROW()-3,BookieName[],2,FALSE)),LayTable[WBALay]))</f>
        <v>0</v>
      </c>
      <c r="O79" s="20">
        <f>IF(Data[[#This Row],[Bookie]]="","",SUMIF(DWbonus[Bookie],(VLOOKUP(ROW()-3,BookieName[],2,FALSE)),DWbonus[Sum]))</f>
        <v>0</v>
      </c>
      <c r="P79" s="20">
        <f>IF(Data[[#This Row],[Bookie]]="","",SUM(Data[[#This Row],[Pending 1]:[PendingL2]]))</f>
        <v>0</v>
      </c>
      <c r="Q79" s="20">
        <f>IF(Data[[#This Row],[Bookie]]="","",SUMIFS(BetTable[S1],BetTable[B1],(VLOOKUP(ROW()-3,BookieName[],2,FALSE)),BetTable[AR],""))</f>
        <v>0</v>
      </c>
      <c r="R79" s="20">
        <f>IF(Data[[#This Row],[Bookie]]="","",SUMIFS(BetTable[S2],BetTable[B2],(VLOOKUP(ROW()-3,BookieName[],2,FALSE)),BetTable[AR],""))</f>
        <v>0</v>
      </c>
      <c r="S79" s="20">
        <f>IF(Data[[#This Row],[Bookie]]="","",SUMIFS(BetTable[S3],BetTable[B3],(VLOOKUP(ROW()-3,BookieName[],2,FALSE)),BetTable[AR],""))</f>
        <v>0</v>
      </c>
      <c r="T79" s="20">
        <f>IF(Data[[#This Row],[Bookie]]="","",SUMIFS(LayTable[BookieInnsats],LayTable[Bookmaker],(VLOOKUP(ROW()-3,BookieName[],2,FALSE)),LayTable[Faktisk res],""))</f>
        <v>0</v>
      </c>
      <c r="U79" s="20">
        <f>IF(Data[[#This Row],[Bookie]]="","",SUMIFS(LayTable[LayLiability],LayTable[Lay-bookie],(VLOOKUP(ROW()-3,BookieName[],2,FALSE)),LayTable[Faktisk res],""))</f>
        <v>0</v>
      </c>
    </row>
    <row r="80" spans="1:21">
      <c r="A80" s="20">
        <f t="shared" si="2"/>
        <v>77</v>
      </c>
      <c r="B80" s="20" t="str">
        <f>IFERROR(VLOOKUP(ROW()-3,BookieName[],3,FALSE),"")</f>
        <v>LiBet365</v>
      </c>
      <c r="C80" s="21">
        <f>IF(Data[[#This Row],[Bookie]]="","",SUM(Data[[#This Row],[D/W]:[Bonus and Adjustments]],))</f>
        <v>0</v>
      </c>
      <c r="D80" s="21">
        <f>IF(Data[[#This Row],[Bookie]]="","",SUMIF(DWbooks[Bookmaker],(VLOOKUP(ROW()-3,BookieName[],2,FALSE)),DWbooks[Sum]))</f>
        <v>0</v>
      </c>
      <c r="E80" s="20">
        <f>IF(Data[[#This Row],[Bookie]]="","",SUMIF(BetTable[B1],(VLOOKUP(ROW()-3,BookieName[],2,FALSE)),BetTable[S1])*-1)</f>
        <v>0</v>
      </c>
      <c r="F80" s="20">
        <f>IF(Data[[#This Row],[Bookie]]="","",SUMIF(BetTable[B2],(VLOOKUP(ROW()-3,BookieName[],2,FALSE)),BetTable[S2])*-1)</f>
        <v>0</v>
      </c>
      <c r="G80" s="20">
        <f>IF(Data[[#This Row],[Bookie]]="","",SUMIF(BetTable[B3],(VLOOKUP(ROW()-3,BookieName[],2,FALSE)),BetTable[S3])*-1)</f>
        <v>0</v>
      </c>
      <c r="H80" s="20">
        <f>IF(Data[[#This Row],[Bookie]]="","",SUMIF(BetTable[B1],(VLOOKUP(ROW()-3,BookieName[],2,FALSE)),BetTable[WBA1]))</f>
        <v>0</v>
      </c>
      <c r="I80" s="20">
        <f>IF(Data[[#This Row],[Bookie]]="","",SUMIF(BetTable[B2],(VLOOKUP(ROW()-3,BookieName[],2,FALSE)),BetTable[WBA2]))</f>
        <v>0</v>
      </c>
      <c r="J80" s="20">
        <f>IF(Data[[#This Row],[Bookie]]="","",SUMIF(BetTable[B3],(VLOOKUP(ROW()-3,BookieName[],2,FALSE)),BetTable[WBA3]))</f>
        <v>0</v>
      </c>
      <c r="K80" s="20">
        <f>IF(Data[[#This Row],[Bookie]]="","",SUMIF(LayTable[Bookmaker],(VLOOKUP(ROW()-3,BookieName[],2,FALSE)),LayTable[BookieInnsats])*-1)</f>
        <v>0</v>
      </c>
      <c r="L80" s="20">
        <f>IF(Data[[#This Row],[Bookie]]="","",SUMIF(LayTable[Lay-bookie],(VLOOKUP(ROW()-3,BookieName[],2,FALSE)),LayTable[LayLiability])*-1)</f>
        <v>0</v>
      </c>
      <c r="M80" s="20">
        <f>IF(Data[[#This Row],[Bookie]]="","",SUMIF(LayTable[Bookmaker],(VLOOKUP(ROW()-3,BookieName[],2,FALSE)),LayTable[WBABack]))</f>
        <v>0</v>
      </c>
      <c r="N80" s="20">
        <f>IF(Data[[#This Row],[Bookie]]="","",SUMIF(LayTable[Lay-bookie],(VLOOKUP(ROW()-3,BookieName[],2,FALSE)),LayTable[WBALay]))</f>
        <v>0</v>
      </c>
      <c r="O80" s="20">
        <f>IF(Data[[#This Row],[Bookie]]="","",SUMIF(DWbonus[Bookie],(VLOOKUP(ROW()-3,BookieName[],2,FALSE)),DWbonus[Sum]))</f>
        <v>0</v>
      </c>
      <c r="P80" s="20">
        <f>IF(Data[[#This Row],[Bookie]]="","",SUM(Data[[#This Row],[Pending 1]:[PendingL2]]))</f>
        <v>0</v>
      </c>
      <c r="Q80" s="20">
        <f>IF(Data[[#This Row],[Bookie]]="","",SUMIFS(BetTable[S1],BetTable[B1],(VLOOKUP(ROW()-3,BookieName[],2,FALSE)),BetTable[AR],""))</f>
        <v>0</v>
      </c>
      <c r="R80" s="20">
        <f>IF(Data[[#This Row],[Bookie]]="","",SUMIFS(BetTable[S2],BetTable[B2],(VLOOKUP(ROW()-3,BookieName[],2,FALSE)),BetTable[AR],""))</f>
        <v>0</v>
      </c>
      <c r="S80" s="20">
        <f>IF(Data[[#This Row],[Bookie]]="","",SUMIFS(BetTable[S3],BetTable[B3],(VLOOKUP(ROW()-3,BookieName[],2,FALSE)),BetTable[AR],""))</f>
        <v>0</v>
      </c>
      <c r="T80" s="20">
        <f>IF(Data[[#This Row],[Bookie]]="","",SUMIFS(LayTable[BookieInnsats],LayTable[Bookmaker],(VLOOKUP(ROW()-3,BookieName[],2,FALSE)),LayTable[Faktisk res],""))</f>
        <v>0</v>
      </c>
      <c r="U80" s="20">
        <f>IF(Data[[#This Row],[Bookie]]="","",SUMIFS(LayTable[LayLiability],LayTable[Lay-bookie],(VLOOKUP(ROW()-3,BookieName[],2,FALSE)),LayTable[Faktisk res],""))</f>
        <v>0</v>
      </c>
    </row>
    <row r="81" spans="1:21">
      <c r="A81" s="20">
        <f t="shared" si="2"/>
        <v>78</v>
      </c>
      <c r="B81" s="20" t="str">
        <f>IFERROR(VLOOKUP(ROW()-3,BookieName[],3,FALSE),"")</f>
        <v>LiComeOn</v>
      </c>
      <c r="C81" s="21">
        <f>IF(Data[[#This Row],[Bookie]]="","",SUM(Data[[#This Row],[D/W]:[Bonus and Adjustments]],))</f>
        <v>0</v>
      </c>
      <c r="D81" s="21">
        <f>IF(Data[[#This Row],[Bookie]]="","",SUMIF(DWbooks[Bookmaker],(VLOOKUP(ROW()-3,BookieName[],2,FALSE)),DWbooks[Sum]))</f>
        <v>0</v>
      </c>
      <c r="E81" s="20">
        <f>IF(Data[[#This Row],[Bookie]]="","",SUMIF(BetTable[B1],(VLOOKUP(ROW()-3,BookieName[],2,FALSE)),BetTable[S1])*-1)</f>
        <v>0</v>
      </c>
      <c r="F81" s="20">
        <f>IF(Data[[#This Row],[Bookie]]="","",SUMIF(BetTable[B2],(VLOOKUP(ROW()-3,BookieName[],2,FALSE)),BetTable[S2])*-1)</f>
        <v>0</v>
      </c>
      <c r="G81" s="20">
        <f>IF(Data[[#This Row],[Bookie]]="","",SUMIF(BetTable[B3],(VLOOKUP(ROW()-3,BookieName[],2,FALSE)),BetTable[S3])*-1)</f>
        <v>0</v>
      </c>
      <c r="H81" s="20">
        <f>IF(Data[[#This Row],[Bookie]]="","",SUMIF(BetTable[B1],(VLOOKUP(ROW()-3,BookieName[],2,FALSE)),BetTable[WBA1]))</f>
        <v>0</v>
      </c>
      <c r="I81" s="20">
        <f>IF(Data[[#This Row],[Bookie]]="","",SUMIF(BetTable[B2],(VLOOKUP(ROW()-3,BookieName[],2,FALSE)),BetTable[WBA2]))</f>
        <v>0</v>
      </c>
      <c r="J81" s="20">
        <f>IF(Data[[#This Row],[Bookie]]="","",SUMIF(BetTable[B3],(VLOOKUP(ROW()-3,BookieName[],2,FALSE)),BetTable[WBA3]))</f>
        <v>0</v>
      </c>
      <c r="K81" s="20">
        <f>IF(Data[[#This Row],[Bookie]]="","",SUMIF(LayTable[Bookmaker],(VLOOKUP(ROW()-3,BookieName[],2,FALSE)),LayTable[BookieInnsats])*-1)</f>
        <v>0</v>
      </c>
      <c r="L81" s="20">
        <f>IF(Data[[#This Row],[Bookie]]="","",SUMIF(LayTable[Lay-bookie],(VLOOKUP(ROW()-3,BookieName[],2,FALSE)),LayTable[LayLiability])*-1)</f>
        <v>0</v>
      </c>
      <c r="M81" s="20">
        <f>IF(Data[[#This Row],[Bookie]]="","",SUMIF(LayTable[Bookmaker],(VLOOKUP(ROW()-3,BookieName[],2,FALSE)),LayTable[WBABack]))</f>
        <v>0</v>
      </c>
      <c r="N81" s="20">
        <f>IF(Data[[#This Row],[Bookie]]="","",SUMIF(LayTable[Lay-bookie],(VLOOKUP(ROW()-3,BookieName[],2,FALSE)),LayTable[WBALay]))</f>
        <v>0</v>
      </c>
      <c r="O81" s="20">
        <f>IF(Data[[#This Row],[Bookie]]="","",SUMIF(DWbonus[Bookie],(VLOOKUP(ROW()-3,BookieName[],2,FALSE)),DWbonus[Sum]))</f>
        <v>0</v>
      </c>
      <c r="P81" s="20">
        <f>IF(Data[[#This Row],[Bookie]]="","",SUM(Data[[#This Row],[Pending 1]:[PendingL2]]))</f>
        <v>0</v>
      </c>
      <c r="Q81" s="20">
        <f>IF(Data[[#This Row],[Bookie]]="","",SUMIFS(BetTable[S1],BetTable[B1],(VLOOKUP(ROW()-3,BookieName[],2,FALSE)),BetTable[AR],""))</f>
        <v>0</v>
      </c>
      <c r="R81" s="20">
        <f>IF(Data[[#This Row],[Bookie]]="","",SUMIFS(BetTable[S2],BetTable[B2],(VLOOKUP(ROW()-3,BookieName[],2,FALSE)),BetTable[AR],""))</f>
        <v>0</v>
      </c>
      <c r="S81" s="20">
        <f>IF(Data[[#This Row],[Bookie]]="","",SUMIFS(BetTable[S3],BetTable[B3],(VLOOKUP(ROW()-3,BookieName[],2,FALSE)),BetTable[AR],""))</f>
        <v>0</v>
      </c>
      <c r="T81" s="20">
        <f>IF(Data[[#This Row],[Bookie]]="","",SUMIFS(LayTable[BookieInnsats],LayTable[Bookmaker],(VLOOKUP(ROW()-3,BookieName[],2,FALSE)),LayTable[Faktisk res],""))</f>
        <v>0</v>
      </c>
      <c r="U81" s="20">
        <f>IF(Data[[#This Row],[Bookie]]="","",SUMIFS(LayTable[LayLiability],LayTable[Lay-bookie],(VLOOKUP(ROW()-3,BookieName[],2,FALSE)),LayTable[Faktisk res],""))</f>
        <v>0</v>
      </c>
    </row>
    <row r="82" spans="1:21">
      <c r="A82" s="20">
        <f t="shared" si="2"/>
        <v>79</v>
      </c>
      <c r="B82" s="20" t="str">
        <f>IFERROR(VLOOKUP(ROW()-3,BookieName[],3,FALSE),"")</f>
        <v>LiRizk</v>
      </c>
      <c r="C82" s="21">
        <f>IF(Data[[#This Row],[Bookie]]="","",SUM(Data[[#This Row],[D/W]:[Bonus and Adjustments]],))</f>
        <v>0</v>
      </c>
      <c r="D82" s="21">
        <f>IF(Data[[#This Row],[Bookie]]="","",SUMIF(DWbooks[Bookmaker],(VLOOKUP(ROW()-3,BookieName[],2,FALSE)),DWbooks[Sum]))</f>
        <v>0</v>
      </c>
      <c r="E82" s="20">
        <f>IF(Data[[#This Row],[Bookie]]="","",SUMIF(BetTable[B1],(VLOOKUP(ROW()-3,BookieName[],2,FALSE)),BetTable[S1])*-1)</f>
        <v>0</v>
      </c>
      <c r="F82" s="20">
        <f>IF(Data[[#This Row],[Bookie]]="","",SUMIF(BetTable[B2],(VLOOKUP(ROW()-3,BookieName[],2,FALSE)),BetTable[S2])*-1)</f>
        <v>0</v>
      </c>
      <c r="G82" s="20">
        <f>IF(Data[[#This Row],[Bookie]]="","",SUMIF(BetTable[B3],(VLOOKUP(ROW()-3,BookieName[],2,FALSE)),BetTable[S3])*-1)</f>
        <v>0</v>
      </c>
      <c r="H82" s="20">
        <f>IF(Data[[#This Row],[Bookie]]="","",SUMIF(BetTable[B1],(VLOOKUP(ROW()-3,BookieName[],2,FALSE)),BetTable[WBA1]))</f>
        <v>0</v>
      </c>
      <c r="I82" s="20">
        <f>IF(Data[[#This Row],[Bookie]]="","",SUMIF(BetTable[B2],(VLOOKUP(ROW()-3,BookieName[],2,FALSE)),BetTable[WBA2]))</f>
        <v>0</v>
      </c>
      <c r="J82" s="20">
        <f>IF(Data[[#This Row],[Bookie]]="","",SUMIF(BetTable[B3],(VLOOKUP(ROW()-3,BookieName[],2,FALSE)),BetTable[WBA3]))</f>
        <v>0</v>
      </c>
      <c r="K82" s="20">
        <f>IF(Data[[#This Row],[Bookie]]="","",SUMIF(LayTable[Bookmaker],(VLOOKUP(ROW()-3,BookieName[],2,FALSE)),LayTable[BookieInnsats])*-1)</f>
        <v>0</v>
      </c>
      <c r="L82" s="20">
        <f>IF(Data[[#This Row],[Bookie]]="","",SUMIF(LayTable[Lay-bookie],(VLOOKUP(ROW()-3,BookieName[],2,FALSE)),LayTable[LayLiability])*-1)</f>
        <v>0</v>
      </c>
      <c r="M82" s="20">
        <f>IF(Data[[#This Row],[Bookie]]="","",SUMIF(LayTable[Bookmaker],(VLOOKUP(ROW()-3,BookieName[],2,FALSE)),LayTable[WBABack]))</f>
        <v>0</v>
      </c>
      <c r="N82" s="20">
        <f>IF(Data[[#This Row],[Bookie]]="","",SUMIF(LayTable[Lay-bookie],(VLOOKUP(ROW()-3,BookieName[],2,FALSE)),LayTable[WBALay]))</f>
        <v>0</v>
      </c>
      <c r="O82" s="20">
        <f>IF(Data[[#This Row],[Bookie]]="","",SUMIF(DWbonus[Bookie],(VLOOKUP(ROW()-3,BookieName[],2,FALSE)),DWbonus[Sum]))</f>
        <v>0</v>
      </c>
      <c r="P82" s="20">
        <f>IF(Data[[#This Row],[Bookie]]="","",SUM(Data[[#This Row],[Pending 1]:[PendingL2]]))</f>
        <v>0</v>
      </c>
      <c r="Q82" s="20">
        <f>IF(Data[[#This Row],[Bookie]]="","",SUMIFS(BetTable[S1],BetTable[B1],(VLOOKUP(ROW()-3,BookieName[],2,FALSE)),BetTable[AR],""))</f>
        <v>0</v>
      </c>
      <c r="R82" s="20">
        <f>IF(Data[[#This Row],[Bookie]]="","",SUMIFS(BetTable[S2],BetTable[B2],(VLOOKUP(ROW()-3,BookieName[],2,FALSE)),BetTable[AR],""))</f>
        <v>0</v>
      </c>
      <c r="S82" s="20">
        <f>IF(Data[[#This Row],[Bookie]]="","",SUMIFS(BetTable[S3],BetTable[B3],(VLOOKUP(ROW()-3,BookieName[],2,FALSE)),BetTable[AR],""))</f>
        <v>0</v>
      </c>
      <c r="T82" s="20">
        <f>IF(Data[[#This Row],[Bookie]]="","",SUMIFS(LayTable[BookieInnsats],LayTable[Bookmaker],(VLOOKUP(ROW()-3,BookieName[],2,FALSE)),LayTable[Faktisk res],""))</f>
        <v>0</v>
      </c>
      <c r="U82" s="20">
        <f>IF(Data[[#This Row],[Bookie]]="","",SUMIFS(LayTable[LayLiability],LayTable[Lay-bookie],(VLOOKUP(ROW()-3,BookieName[],2,FALSE)),LayTable[Faktisk res],""))</f>
        <v>0</v>
      </c>
    </row>
    <row r="83" spans="1:21">
      <c r="A83" s="20">
        <f t="shared" si="2"/>
        <v>80</v>
      </c>
      <c r="B83" s="20" t="str">
        <f>IFERROR(VLOOKUP(ROW()-3,BookieName[],3,FALSE),"")</f>
        <v>LiBet90</v>
      </c>
      <c r="C83" s="21">
        <f>IF(Data[[#This Row],[Bookie]]="","",SUM(Data[[#This Row],[D/W]:[Bonus and Adjustments]],))</f>
        <v>0</v>
      </c>
      <c r="D83" s="21">
        <f>IF(Data[[#This Row],[Bookie]]="","",SUMIF(DWbooks[Bookmaker],(VLOOKUP(ROW()-3,BookieName[],2,FALSE)),DWbooks[Sum]))</f>
        <v>0</v>
      </c>
      <c r="E83" s="20">
        <f>IF(Data[[#This Row],[Bookie]]="","",SUMIF(BetTable[B1],(VLOOKUP(ROW()-3,BookieName[],2,FALSE)),BetTable[S1])*-1)</f>
        <v>0</v>
      </c>
      <c r="F83" s="20">
        <f>IF(Data[[#This Row],[Bookie]]="","",SUMIF(BetTable[B2],(VLOOKUP(ROW()-3,BookieName[],2,FALSE)),BetTable[S2])*-1)</f>
        <v>0</v>
      </c>
      <c r="G83" s="20">
        <f>IF(Data[[#This Row],[Bookie]]="","",SUMIF(BetTable[B3],(VLOOKUP(ROW()-3,BookieName[],2,FALSE)),BetTable[S3])*-1)</f>
        <v>0</v>
      </c>
      <c r="H83" s="20">
        <f>IF(Data[[#This Row],[Bookie]]="","",SUMIF(BetTable[B1],(VLOOKUP(ROW()-3,BookieName[],2,FALSE)),BetTable[WBA1]))</f>
        <v>0</v>
      </c>
      <c r="I83" s="20">
        <f>IF(Data[[#This Row],[Bookie]]="","",SUMIF(BetTable[B2],(VLOOKUP(ROW()-3,BookieName[],2,FALSE)),BetTable[WBA2]))</f>
        <v>0</v>
      </c>
      <c r="J83" s="20">
        <f>IF(Data[[#This Row],[Bookie]]="","",SUMIF(BetTable[B3],(VLOOKUP(ROW()-3,BookieName[],2,FALSE)),BetTable[WBA3]))</f>
        <v>0</v>
      </c>
      <c r="K83" s="20">
        <f>IF(Data[[#This Row],[Bookie]]="","",SUMIF(LayTable[Bookmaker],(VLOOKUP(ROW()-3,BookieName[],2,FALSE)),LayTable[BookieInnsats])*-1)</f>
        <v>0</v>
      </c>
      <c r="L83" s="20">
        <f>IF(Data[[#This Row],[Bookie]]="","",SUMIF(LayTable[Lay-bookie],(VLOOKUP(ROW()-3,BookieName[],2,FALSE)),LayTable[LayLiability])*-1)</f>
        <v>0</v>
      </c>
      <c r="M83" s="20">
        <f>IF(Data[[#This Row],[Bookie]]="","",SUMIF(LayTable[Bookmaker],(VLOOKUP(ROW()-3,BookieName[],2,FALSE)),LayTable[WBABack]))</f>
        <v>0</v>
      </c>
      <c r="N83" s="20">
        <f>IF(Data[[#This Row],[Bookie]]="","",SUMIF(LayTable[Lay-bookie],(VLOOKUP(ROW()-3,BookieName[],2,FALSE)),LayTable[WBALay]))</f>
        <v>0</v>
      </c>
      <c r="O83" s="20">
        <f>IF(Data[[#This Row],[Bookie]]="","",SUMIF(DWbonus[Bookie],(VLOOKUP(ROW()-3,BookieName[],2,FALSE)),DWbonus[Sum]))</f>
        <v>0</v>
      </c>
      <c r="P83" s="20">
        <f>IF(Data[[#This Row],[Bookie]]="","",SUM(Data[[#This Row],[Pending 1]:[PendingL2]]))</f>
        <v>0</v>
      </c>
      <c r="Q83" s="20">
        <f>IF(Data[[#This Row],[Bookie]]="","",SUMIFS(BetTable[S1],BetTable[B1],(VLOOKUP(ROW()-3,BookieName[],2,FALSE)),BetTable[AR],""))</f>
        <v>0</v>
      </c>
      <c r="R83" s="20">
        <f>IF(Data[[#This Row],[Bookie]]="","",SUMIFS(BetTable[S2],BetTable[B2],(VLOOKUP(ROW()-3,BookieName[],2,FALSE)),BetTable[AR],""))</f>
        <v>0</v>
      </c>
      <c r="S83" s="20">
        <f>IF(Data[[#This Row],[Bookie]]="","",SUMIFS(BetTable[S3],BetTable[B3],(VLOOKUP(ROW()-3,BookieName[],2,FALSE)),BetTable[AR],""))</f>
        <v>0</v>
      </c>
      <c r="T83" s="20">
        <f>IF(Data[[#This Row],[Bookie]]="","",SUMIFS(LayTable[BookieInnsats],LayTable[Bookmaker],(VLOOKUP(ROW()-3,BookieName[],2,FALSE)),LayTable[Faktisk res],""))</f>
        <v>0</v>
      </c>
      <c r="U83" s="20">
        <f>IF(Data[[#This Row],[Bookie]]="","",SUMIFS(LayTable[LayLiability],LayTable[Lay-bookie],(VLOOKUP(ROW()-3,BookieName[],2,FALSE)),LayTable[Faktisk res],""))</f>
        <v>0</v>
      </c>
    </row>
    <row r="84" spans="1:21">
      <c r="A84" s="20">
        <f t="shared" si="2"/>
        <v>81</v>
      </c>
      <c r="B84" s="20" t="str">
        <f>IFERROR(VLOOKUP(ROW()-3,BookieName[],3,FALSE),"")</f>
        <v>LiNorgesspill</v>
      </c>
      <c r="C84" s="21">
        <f>IF(Data[[#This Row],[Bookie]]="","",SUM(Data[[#This Row],[D/W]:[Bonus and Adjustments]],))</f>
        <v>0</v>
      </c>
      <c r="D84" s="21">
        <f>IF(Data[[#This Row],[Bookie]]="","",SUMIF(DWbooks[Bookmaker],(VLOOKUP(ROW()-3,BookieName[],2,FALSE)),DWbooks[Sum]))</f>
        <v>0</v>
      </c>
      <c r="E84" s="20">
        <f>IF(Data[[#This Row],[Bookie]]="","",SUMIF(BetTable[B1],(VLOOKUP(ROW()-3,BookieName[],2,FALSE)),BetTable[S1])*-1)</f>
        <v>0</v>
      </c>
      <c r="F84" s="20">
        <f>IF(Data[[#This Row],[Bookie]]="","",SUMIF(BetTable[B2],(VLOOKUP(ROW()-3,BookieName[],2,FALSE)),BetTable[S2])*-1)</f>
        <v>0</v>
      </c>
      <c r="G84" s="20">
        <f>IF(Data[[#This Row],[Bookie]]="","",SUMIF(BetTable[B3],(VLOOKUP(ROW()-3,BookieName[],2,FALSE)),BetTable[S3])*-1)</f>
        <v>0</v>
      </c>
      <c r="H84" s="20">
        <f>IF(Data[[#This Row],[Bookie]]="","",SUMIF(BetTable[B1],(VLOOKUP(ROW()-3,BookieName[],2,FALSE)),BetTable[WBA1]))</f>
        <v>0</v>
      </c>
      <c r="I84" s="20">
        <f>IF(Data[[#This Row],[Bookie]]="","",SUMIF(BetTable[B2],(VLOOKUP(ROW()-3,BookieName[],2,FALSE)),BetTable[WBA2]))</f>
        <v>0</v>
      </c>
      <c r="J84" s="20">
        <f>IF(Data[[#This Row],[Bookie]]="","",SUMIF(BetTable[B3],(VLOOKUP(ROW()-3,BookieName[],2,FALSE)),BetTable[WBA3]))</f>
        <v>0</v>
      </c>
      <c r="K84" s="20">
        <f>IF(Data[[#This Row],[Bookie]]="","",SUMIF(LayTable[Bookmaker],(VLOOKUP(ROW()-3,BookieName[],2,FALSE)),LayTable[BookieInnsats])*-1)</f>
        <v>0</v>
      </c>
      <c r="L84" s="20">
        <f>IF(Data[[#This Row],[Bookie]]="","",SUMIF(LayTable[Lay-bookie],(VLOOKUP(ROW()-3,BookieName[],2,FALSE)),LayTable[LayLiability])*-1)</f>
        <v>0</v>
      </c>
      <c r="M84" s="20">
        <f>IF(Data[[#This Row],[Bookie]]="","",SUMIF(LayTable[Bookmaker],(VLOOKUP(ROW()-3,BookieName[],2,FALSE)),LayTable[WBABack]))</f>
        <v>0</v>
      </c>
      <c r="N84" s="20">
        <f>IF(Data[[#This Row],[Bookie]]="","",SUMIF(LayTable[Lay-bookie],(VLOOKUP(ROW()-3,BookieName[],2,FALSE)),LayTable[WBALay]))</f>
        <v>0</v>
      </c>
      <c r="O84" s="20">
        <f>IF(Data[[#This Row],[Bookie]]="","",SUMIF(DWbonus[Bookie],(VLOOKUP(ROW()-3,BookieName[],2,FALSE)),DWbonus[Sum]))</f>
        <v>0</v>
      </c>
      <c r="P84" s="20">
        <f>IF(Data[[#This Row],[Bookie]]="","",SUM(Data[[#This Row],[Pending 1]:[PendingL2]]))</f>
        <v>0</v>
      </c>
      <c r="Q84" s="20">
        <f>IF(Data[[#This Row],[Bookie]]="","",SUMIFS(BetTable[S1],BetTable[B1],(VLOOKUP(ROW()-3,BookieName[],2,FALSE)),BetTable[AR],""))</f>
        <v>0</v>
      </c>
      <c r="R84" s="20">
        <f>IF(Data[[#This Row],[Bookie]]="","",SUMIFS(BetTable[S2],BetTable[B2],(VLOOKUP(ROW()-3,BookieName[],2,FALSE)),BetTable[AR],""))</f>
        <v>0</v>
      </c>
      <c r="S84" s="20">
        <f>IF(Data[[#This Row],[Bookie]]="","",SUMIFS(BetTable[S3],BetTable[B3],(VLOOKUP(ROW()-3,BookieName[],2,FALSE)),BetTable[AR],""))</f>
        <v>0</v>
      </c>
      <c r="T84" s="20">
        <f>IF(Data[[#This Row],[Bookie]]="","",SUMIFS(LayTable[BookieInnsats],LayTable[Bookmaker],(VLOOKUP(ROW()-3,BookieName[],2,FALSE)),LayTable[Faktisk res],""))</f>
        <v>0</v>
      </c>
      <c r="U84" s="20">
        <f>IF(Data[[#This Row],[Bookie]]="","",SUMIFS(LayTable[LayLiability],LayTable[Lay-bookie],(VLOOKUP(ROW()-3,BookieName[],2,FALSE)),LayTable[Faktisk res],""))</f>
        <v>0</v>
      </c>
    </row>
    <row r="85" spans="1:21">
      <c r="A85" s="20">
        <f t="shared" si="2"/>
        <v>82</v>
      </c>
      <c r="B85" s="20" t="str">
        <f>IFERROR(VLOOKUP(ROW()-3,BookieName[],3,FALSE),"")</f>
        <v>LiLeoVegas</v>
      </c>
      <c r="C85" s="21">
        <f>IF(Data[[#This Row],[Bookie]]="","",SUM(Data[[#This Row],[D/W]:[Bonus and Adjustments]],))</f>
        <v>0</v>
      </c>
      <c r="D85" s="21">
        <f>IF(Data[[#This Row],[Bookie]]="","",SUMIF(DWbooks[Bookmaker],(VLOOKUP(ROW()-3,BookieName[],2,FALSE)),DWbooks[Sum]))</f>
        <v>0</v>
      </c>
      <c r="E85" s="20">
        <f>IF(Data[[#This Row],[Bookie]]="","",SUMIF(BetTable[B1],(VLOOKUP(ROW()-3,BookieName[],2,FALSE)),BetTable[S1])*-1)</f>
        <v>0</v>
      </c>
      <c r="F85" s="20">
        <f>IF(Data[[#This Row],[Bookie]]="","",SUMIF(BetTable[B2],(VLOOKUP(ROW()-3,BookieName[],2,FALSE)),BetTable[S2])*-1)</f>
        <v>0</v>
      </c>
      <c r="G85" s="20">
        <f>IF(Data[[#This Row],[Bookie]]="","",SUMIF(BetTable[B3],(VLOOKUP(ROW()-3,BookieName[],2,FALSE)),BetTable[S3])*-1)</f>
        <v>0</v>
      </c>
      <c r="H85" s="20">
        <f>IF(Data[[#This Row],[Bookie]]="","",SUMIF(BetTable[B1],(VLOOKUP(ROW()-3,BookieName[],2,FALSE)),BetTable[WBA1]))</f>
        <v>0</v>
      </c>
      <c r="I85" s="20">
        <f>IF(Data[[#This Row],[Bookie]]="","",SUMIF(BetTable[B2],(VLOOKUP(ROW()-3,BookieName[],2,FALSE)),BetTable[WBA2]))</f>
        <v>0</v>
      </c>
      <c r="J85" s="20">
        <f>IF(Data[[#This Row],[Bookie]]="","",SUMIF(BetTable[B3],(VLOOKUP(ROW()-3,BookieName[],2,FALSE)),BetTable[WBA3]))</f>
        <v>0</v>
      </c>
      <c r="K85" s="20">
        <f>IF(Data[[#This Row],[Bookie]]="","",SUMIF(LayTable[Bookmaker],(VLOOKUP(ROW()-3,BookieName[],2,FALSE)),LayTable[BookieInnsats])*-1)</f>
        <v>0</v>
      </c>
      <c r="L85" s="20">
        <f>IF(Data[[#This Row],[Bookie]]="","",SUMIF(LayTable[Lay-bookie],(VLOOKUP(ROW()-3,BookieName[],2,FALSE)),LayTable[LayLiability])*-1)</f>
        <v>0</v>
      </c>
      <c r="M85" s="20">
        <f>IF(Data[[#This Row],[Bookie]]="","",SUMIF(LayTable[Bookmaker],(VLOOKUP(ROW()-3,BookieName[],2,FALSE)),LayTable[WBABack]))</f>
        <v>0</v>
      </c>
      <c r="N85" s="20">
        <f>IF(Data[[#This Row],[Bookie]]="","",SUMIF(LayTable[Lay-bookie],(VLOOKUP(ROW()-3,BookieName[],2,FALSE)),LayTable[WBALay]))</f>
        <v>0</v>
      </c>
      <c r="O85" s="20">
        <f>IF(Data[[#This Row],[Bookie]]="","",SUMIF(DWbonus[Bookie],(VLOOKUP(ROW()-3,BookieName[],2,FALSE)),DWbonus[Sum]))</f>
        <v>0</v>
      </c>
      <c r="P85" s="20">
        <f>IF(Data[[#This Row],[Bookie]]="","",SUM(Data[[#This Row],[Pending 1]:[PendingL2]]))</f>
        <v>0</v>
      </c>
      <c r="Q85" s="20">
        <f>IF(Data[[#This Row],[Bookie]]="","",SUMIFS(BetTable[S1],BetTable[B1],(VLOOKUP(ROW()-3,BookieName[],2,FALSE)),BetTable[AR],""))</f>
        <v>0</v>
      </c>
      <c r="R85" s="20">
        <f>IF(Data[[#This Row],[Bookie]]="","",SUMIFS(BetTable[S2],BetTable[B2],(VLOOKUP(ROW()-3,BookieName[],2,FALSE)),BetTable[AR],""))</f>
        <v>0</v>
      </c>
      <c r="S85" s="20">
        <f>IF(Data[[#This Row],[Bookie]]="","",SUMIFS(BetTable[S3],BetTable[B3],(VLOOKUP(ROW()-3,BookieName[],2,FALSE)),BetTable[AR],""))</f>
        <v>0</v>
      </c>
      <c r="T85" s="20">
        <f>IF(Data[[#This Row],[Bookie]]="","",SUMIFS(LayTable[BookieInnsats],LayTable[Bookmaker],(VLOOKUP(ROW()-3,BookieName[],2,FALSE)),LayTable[Faktisk res],""))</f>
        <v>0</v>
      </c>
      <c r="U85" s="20">
        <f>IF(Data[[#This Row],[Bookie]]="","",SUMIFS(LayTable[LayLiability],LayTable[Lay-bookie],(VLOOKUP(ROW()-3,BookieName[],2,FALSE)),LayTable[Faktisk res],""))</f>
        <v>0</v>
      </c>
    </row>
    <row r="86" spans="1:21">
      <c r="A86" s="20">
        <f t="shared" si="2"/>
        <v>83</v>
      </c>
      <c r="B86" s="20" t="str">
        <f>IFERROR(VLOOKUP(ROW()-3,BookieName[],3,FALSE),"")</f>
        <v>LiGuts</v>
      </c>
      <c r="C86" s="21">
        <f>IF(Data[[#This Row],[Bookie]]="","",SUM(Data[[#This Row],[D/W]:[Bonus and Adjustments]],))</f>
        <v>0</v>
      </c>
      <c r="D86" s="21">
        <f>IF(Data[[#This Row],[Bookie]]="","",SUMIF(DWbooks[Bookmaker],(VLOOKUP(ROW()-3,BookieName[],2,FALSE)),DWbooks[Sum]))</f>
        <v>0</v>
      </c>
      <c r="E86" s="20">
        <f>IF(Data[[#This Row],[Bookie]]="","",SUMIF(BetTable[B1],(VLOOKUP(ROW()-3,BookieName[],2,FALSE)),BetTable[S1])*-1)</f>
        <v>0</v>
      </c>
      <c r="F86" s="20">
        <f>IF(Data[[#This Row],[Bookie]]="","",SUMIF(BetTable[B2],(VLOOKUP(ROW()-3,BookieName[],2,FALSE)),BetTable[S2])*-1)</f>
        <v>0</v>
      </c>
      <c r="G86" s="20">
        <f>IF(Data[[#This Row],[Bookie]]="","",SUMIF(BetTable[B3],(VLOOKUP(ROW()-3,BookieName[],2,FALSE)),BetTable[S3])*-1)</f>
        <v>0</v>
      </c>
      <c r="H86" s="20">
        <f>IF(Data[[#This Row],[Bookie]]="","",SUMIF(BetTable[B1],(VLOOKUP(ROW()-3,BookieName[],2,FALSE)),BetTable[WBA1]))</f>
        <v>0</v>
      </c>
      <c r="I86" s="20">
        <f>IF(Data[[#This Row],[Bookie]]="","",SUMIF(BetTable[B2],(VLOOKUP(ROW()-3,BookieName[],2,FALSE)),BetTable[WBA2]))</f>
        <v>0</v>
      </c>
      <c r="J86" s="20">
        <f>IF(Data[[#This Row],[Bookie]]="","",SUMIF(BetTable[B3],(VLOOKUP(ROW()-3,BookieName[],2,FALSE)),BetTable[WBA3]))</f>
        <v>0</v>
      </c>
      <c r="K86" s="20">
        <f>IF(Data[[#This Row],[Bookie]]="","",SUMIF(LayTable[Bookmaker],(VLOOKUP(ROW()-3,BookieName[],2,FALSE)),LayTable[BookieInnsats])*-1)</f>
        <v>0</v>
      </c>
      <c r="L86" s="20">
        <f>IF(Data[[#This Row],[Bookie]]="","",SUMIF(LayTable[Lay-bookie],(VLOOKUP(ROW()-3,BookieName[],2,FALSE)),LayTable[LayLiability])*-1)</f>
        <v>0</v>
      </c>
      <c r="M86" s="20">
        <f>IF(Data[[#This Row],[Bookie]]="","",SUMIF(LayTable[Bookmaker],(VLOOKUP(ROW()-3,BookieName[],2,FALSE)),LayTable[WBABack]))</f>
        <v>0</v>
      </c>
      <c r="N86" s="20">
        <f>IF(Data[[#This Row],[Bookie]]="","",SUMIF(LayTable[Lay-bookie],(VLOOKUP(ROW()-3,BookieName[],2,FALSE)),LayTable[WBALay]))</f>
        <v>0</v>
      </c>
      <c r="O86" s="20">
        <f>IF(Data[[#This Row],[Bookie]]="","",SUMIF(DWbonus[Bookie],(VLOOKUP(ROW()-3,BookieName[],2,FALSE)),DWbonus[Sum]))</f>
        <v>0</v>
      </c>
      <c r="P86" s="20">
        <f>IF(Data[[#This Row],[Bookie]]="","",SUM(Data[[#This Row],[Pending 1]:[PendingL2]]))</f>
        <v>0</v>
      </c>
      <c r="Q86" s="20">
        <f>IF(Data[[#This Row],[Bookie]]="","",SUMIFS(BetTable[S1],BetTable[B1],(VLOOKUP(ROW()-3,BookieName[],2,FALSE)),BetTable[AR],""))</f>
        <v>0</v>
      </c>
      <c r="R86" s="20">
        <f>IF(Data[[#This Row],[Bookie]]="","",SUMIFS(BetTable[S2],BetTable[B2],(VLOOKUP(ROW()-3,BookieName[],2,FALSE)),BetTable[AR],""))</f>
        <v>0</v>
      </c>
      <c r="S86" s="20">
        <f>IF(Data[[#This Row],[Bookie]]="","",SUMIFS(BetTable[S3],BetTable[B3],(VLOOKUP(ROW()-3,BookieName[],2,FALSE)),BetTable[AR],""))</f>
        <v>0</v>
      </c>
      <c r="T86" s="20">
        <f>IF(Data[[#This Row],[Bookie]]="","",SUMIFS(LayTable[BookieInnsats],LayTable[Bookmaker],(VLOOKUP(ROW()-3,BookieName[],2,FALSE)),LayTable[Faktisk res],""))</f>
        <v>0</v>
      </c>
      <c r="U86" s="20">
        <f>IF(Data[[#This Row],[Bookie]]="","",SUMIFS(LayTable[LayLiability],LayTable[Lay-bookie],(VLOOKUP(ROW()-3,BookieName[],2,FALSE)),LayTable[Faktisk res],""))</f>
        <v>0</v>
      </c>
    </row>
    <row r="87" spans="1:21">
      <c r="A87" s="20">
        <f t="shared" si="2"/>
        <v>84</v>
      </c>
      <c r="B87" s="20" t="str">
        <f>IFERROR(VLOOKUP(ROW()-3,BookieName[],3,FALSE),"")</f>
        <v>AaBetsson</v>
      </c>
      <c r="C87" s="21">
        <f>IF(Data[[#This Row],[Bookie]]="","",SUM(Data[[#This Row],[D/W]:[Bonus and Adjustments]],))</f>
        <v>0</v>
      </c>
      <c r="D87" s="21">
        <f>IF(Data[[#This Row],[Bookie]]="","",SUMIF(DWbooks[Bookmaker],(VLOOKUP(ROW()-3,BookieName[],2,FALSE)),DWbooks[Sum]))</f>
        <v>0</v>
      </c>
      <c r="E87" s="20">
        <f>IF(Data[[#This Row],[Bookie]]="","",SUMIF(BetTable[B1],(VLOOKUP(ROW()-3,BookieName[],2,FALSE)),BetTable[S1])*-1)</f>
        <v>0</v>
      </c>
      <c r="F87" s="20">
        <f>IF(Data[[#This Row],[Bookie]]="","",SUMIF(BetTable[B2],(VLOOKUP(ROW()-3,BookieName[],2,FALSE)),BetTable[S2])*-1)</f>
        <v>0</v>
      </c>
      <c r="G87" s="20">
        <f>IF(Data[[#This Row],[Bookie]]="","",SUMIF(BetTable[B3],(VLOOKUP(ROW()-3,BookieName[],2,FALSE)),BetTable[S3])*-1)</f>
        <v>0</v>
      </c>
      <c r="H87" s="20">
        <f>IF(Data[[#This Row],[Bookie]]="","",SUMIF(BetTable[B1],(VLOOKUP(ROW()-3,BookieName[],2,FALSE)),BetTable[WBA1]))</f>
        <v>0</v>
      </c>
      <c r="I87" s="20">
        <f>IF(Data[[#This Row],[Bookie]]="","",SUMIF(BetTable[B2],(VLOOKUP(ROW()-3,BookieName[],2,FALSE)),BetTable[WBA2]))</f>
        <v>0</v>
      </c>
      <c r="J87" s="20">
        <f>IF(Data[[#This Row],[Bookie]]="","",SUMIF(BetTable[B3],(VLOOKUP(ROW()-3,BookieName[],2,FALSE)),BetTable[WBA3]))</f>
        <v>0</v>
      </c>
      <c r="K87" s="20">
        <f>IF(Data[[#This Row],[Bookie]]="","",SUMIF(LayTable[Bookmaker],(VLOOKUP(ROW()-3,BookieName[],2,FALSE)),LayTable[BookieInnsats])*-1)</f>
        <v>0</v>
      </c>
      <c r="L87" s="20">
        <f>IF(Data[[#This Row],[Bookie]]="","",SUMIF(LayTable[Lay-bookie],(VLOOKUP(ROW()-3,BookieName[],2,FALSE)),LayTable[LayLiability])*-1)</f>
        <v>0</v>
      </c>
      <c r="M87" s="20">
        <f>IF(Data[[#This Row],[Bookie]]="","",SUMIF(LayTable[Bookmaker],(VLOOKUP(ROW()-3,BookieName[],2,FALSE)),LayTable[WBABack]))</f>
        <v>0</v>
      </c>
      <c r="N87" s="20">
        <f>IF(Data[[#This Row],[Bookie]]="","",SUMIF(LayTable[Lay-bookie],(VLOOKUP(ROW()-3,BookieName[],2,FALSE)),LayTable[WBALay]))</f>
        <v>0</v>
      </c>
      <c r="O87" s="20">
        <f>IF(Data[[#This Row],[Bookie]]="","",SUMIF(DWbonus[Bookie],(VLOOKUP(ROW()-3,BookieName[],2,FALSE)),DWbonus[Sum]))</f>
        <v>0</v>
      </c>
      <c r="P87" s="20">
        <f>IF(Data[[#This Row],[Bookie]]="","",SUM(Data[[#This Row],[Pending 1]:[PendingL2]]))</f>
        <v>0</v>
      </c>
      <c r="Q87" s="20">
        <f>IF(Data[[#This Row],[Bookie]]="","",SUMIFS(BetTable[S1],BetTable[B1],(VLOOKUP(ROW()-3,BookieName[],2,FALSE)),BetTable[AR],""))</f>
        <v>0</v>
      </c>
      <c r="R87" s="20">
        <f>IF(Data[[#This Row],[Bookie]]="","",SUMIFS(BetTable[S2],BetTable[B2],(VLOOKUP(ROW()-3,BookieName[],2,FALSE)),BetTable[AR],""))</f>
        <v>0</v>
      </c>
      <c r="S87" s="20">
        <f>IF(Data[[#This Row],[Bookie]]="","",SUMIFS(BetTable[S3],BetTable[B3],(VLOOKUP(ROW()-3,BookieName[],2,FALSE)),BetTable[AR],""))</f>
        <v>0</v>
      </c>
      <c r="T87" s="20">
        <f>IF(Data[[#This Row],[Bookie]]="","",SUMIFS(LayTable[BookieInnsats],LayTable[Bookmaker],(VLOOKUP(ROW()-3,BookieName[],2,FALSE)),LayTable[Faktisk res],""))</f>
        <v>0</v>
      </c>
      <c r="U87" s="20">
        <f>IF(Data[[#This Row],[Bookie]]="","",SUMIFS(LayTable[LayLiability],LayTable[Lay-bookie],(VLOOKUP(ROW()-3,BookieName[],2,FALSE)),LayTable[Faktisk res],""))</f>
        <v>0</v>
      </c>
    </row>
    <row r="88" spans="1:21">
      <c r="A88" s="20">
        <f t="shared" si="2"/>
        <v>85</v>
      </c>
      <c r="B88" s="20" t="str">
        <f>IFERROR(VLOOKUP(ROW()-3,BookieName[],3,FALSE),"")</f>
        <v>AaBetsafe</v>
      </c>
      <c r="C88" s="21">
        <f>IF(Data[[#This Row],[Bookie]]="","",SUM(Data[[#This Row],[D/W]:[Bonus and Adjustments]],))</f>
        <v>0</v>
      </c>
      <c r="D88" s="21">
        <f>IF(Data[[#This Row],[Bookie]]="","",SUMIF(DWbooks[Bookmaker],(VLOOKUP(ROW()-3,BookieName[],2,FALSE)),DWbooks[Sum]))</f>
        <v>0</v>
      </c>
      <c r="E88" s="20">
        <f>IF(Data[[#This Row],[Bookie]]="","",SUMIF(BetTable[B1],(VLOOKUP(ROW()-3,BookieName[],2,FALSE)),BetTable[S1])*-1)</f>
        <v>0</v>
      </c>
      <c r="F88" s="20">
        <f>IF(Data[[#This Row],[Bookie]]="","",SUMIF(BetTable[B2],(VLOOKUP(ROW()-3,BookieName[],2,FALSE)),BetTable[S2])*-1)</f>
        <v>0</v>
      </c>
      <c r="G88" s="20">
        <f>IF(Data[[#This Row],[Bookie]]="","",SUMIF(BetTable[B3],(VLOOKUP(ROW()-3,BookieName[],2,FALSE)),BetTable[S3])*-1)</f>
        <v>0</v>
      </c>
      <c r="H88" s="20">
        <f>IF(Data[[#This Row],[Bookie]]="","",SUMIF(BetTable[B1],(VLOOKUP(ROW()-3,BookieName[],2,FALSE)),BetTable[WBA1]))</f>
        <v>0</v>
      </c>
      <c r="I88" s="20">
        <f>IF(Data[[#This Row],[Bookie]]="","",SUMIF(BetTable[B2],(VLOOKUP(ROW()-3,BookieName[],2,FALSE)),BetTable[WBA2]))</f>
        <v>0</v>
      </c>
      <c r="J88" s="20">
        <f>IF(Data[[#This Row],[Bookie]]="","",SUMIF(BetTable[B3],(VLOOKUP(ROW()-3,BookieName[],2,FALSE)),BetTable[WBA3]))</f>
        <v>0</v>
      </c>
      <c r="K88" s="20">
        <f>IF(Data[[#This Row],[Bookie]]="","",SUMIF(LayTable[Bookmaker],(VLOOKUP(ROW()-3,BookieName[],2,FALSE)),LayTable[BookieInnsats])*-1)</f>
        <v>0</v>
      </c>
      <c r="L88" s="20">
        <f>IF(Data[[#This Row],[Bookie]]="","",SUMIF(LayTable[Lay-bookie],(VLOOKUP(ROW()-3,BookieName[],2,FALSE)),LayTable[LayLiability])*-1)</f>
        <v>0</v>
      </c>
      <c r="M88" s="20">
        <f>IF(Data[[#This Row],[Bookie]]="","",SUMIF(LayTable[Bookmaker],(VLOOKUP(ROW()-3,BookieName[],2,FALSE)),LayTable[WBABack]))</f>
        <v>0</v>
      </c>
      <c r="N88" s="20">
        <f>IF(Data[[#This Row],[Bookie]]="","",SUMIF(LayTable[Lay-bookie],(VLOOKUP(ROW()-3,BookieName[],2,FALSE)),LayTable[WBALay]))</f>
        <v>0</v>
      </c>
      <c r="O88" s="20">
        <f>IF(Data[[#This Row],[Bookie]]="","",SUMIF(DWbonus[Bookie],(VLOOKUP(ROW()-3,BookieName[],2,FALSE)),DWbonus[Sum]))</f>
        <v>0</v>
      </c>
      <c r="P88" s="20">
        <f>IF(Data[[#This Row],[Bookie]]="","",SUM(Data[[#This Row],[Pending 1]:[PendingL2]]))</f>
        <v>0</v>
      </c>
      <c r="Q88" s="20">
        <f>IF(Data[[#This Row],[Bookie]]="","",SUMIFS(BetTable[S1],BetTable[B1],(VLOOKUP(ROW()-3,BookieName[],2,FALSE)),BetTable[AR],""))</f>
        <v>0</v>
      </c>
      <c r="R88" s="20">
        <f>IF(Data[[#This Row],[Bookie]]="","",SUMIFS(BetTable[S2],BetTable[B2],(VLOOKUP(ROW()-3,BookieName[],2,FALSE)),BetTable[AR],""))</f>
        <v>0</v>
      </c>
      <c r="S88" s="20">
        <f>IF(Data[[#This Row],[Bookie]]="","",SUMIFS(BetTable[S3],BetTable[B3],(VLOOKUP(ROW()-3,BookieName[],2,FALSE)),BetTable[AR],""))</f>
        <v>0</v>
      </c>
      <c r="T88" s="20">
        <f>IF(Data[[#This Row],[Bookie]]="","",SUMIFS(LayTable[BookieInnsats],LayTable[Bookmaker],(VLOOKUP(ROW()-3,BookieName[],2,FALSE)),LayTable[Faktisk res],""))</f>
        <v>0</v>
      </c>
      <c r="U88" s="20">
        <f>IF(Data[[#This Row],[Bookie]]="","",SUMIFS(LayTable[LayLiability],LayTable[Lay-bookie],(VLOOKUP(ROW()-3,BookieName[],2,FALSE)),LayTable[Faktisk res],""))</f>
        <v>0</v>
      </c>
    </row>
    <row r="89" spans="1:21">
      <c r="A89" s="20">
        <f t="shared" si="2"/>
        <v>86</v>
      </c>
      <c r="B89" s="20" t="str">
        <f>IFERROR(VLOOKUP(ROW()-3,BookieName[],3,FALSE),"")</f>
        <v>AaNordicbet</v>
      </c>
      <c r="C89" s="21">
        <f>IF(Data[[#This Row],[Bookie]]="","",SUM(Data[[#This Row],[D/W]:[Bonus and Adjustments]],))</f>
        <v>0</v>
      </c>
      <c r="D89" s="21">
        <f>IF(Data[[#This Row],[Bookie]]="","",SUMIF(DWbooks[Bookmaker],(VLOOKUP(ROW()-3,BookieName[],2,FALSE)),DWbooks[Sum]))</f>
        <v>0</v>
      </c>
      <c r="E89" s="20">
        <f>IF(Data[[#This Row],[Bookie]]="","",SUMIF(BetTable[B1],(VLOOKUP(ROW()-3,BookieName[],2,FALSE)),BetTable[S1])*-1)</f>
        <v>0</v>
      </c>
      <c r="F89" s="20">
        <f>IF(Data[[#This Row],[Bookie]]="","",SUMIF(BetTable[B2],(VLOOKUP(ROW()-3,BookieName[],2,FALSE)),BetTable[S2])*-1)</f>
        <v>0</v>
      </c>
      <c r="G89" s="20">
        <f>IF(Data[[#This Row],[Bookie]]="","",SUMIF(BetTable[B3],(VLOOKUP(ROW()-3,BookieName[],2,FALSE)),BetTable[S3])*-1)</f>
        <v>0</v>
      </c>
      <c r="H89" s="20">
        <f>IF(Data[[#This Row],[Bookie]]="","",SUMIF(BetTable[B1],(VLOOKUP(ROW()-3,BookieName[],2,FALSE)),BetTable[WBA1]))</f>
        <v>0</v>
      </c>
      <c r="I89" s="20">
        <f>IF(Data[[#This Row],[Bookie]]="","",SUMIF(BetTable[B2],(VLOOKUP(ROW()-3,BookieName[],2,FALSE)),BetTable[WBA2]))</f>
        <v>0</v>
      </c>
      <c r="J89" s="20">
        <f>IF(Data[[#This Row],[Bookie]]="","",SUMIF(BetTable[B3],(VLOOKUP(ROW()-3,BookieName[],2,FALSE)),BetTable[WBA3]))</f>
        <v>0</v>
      </c>
      <c r="K89" s="20">
        <f>IF(Data[[#This Row],[Bookie]]="","",SUMIF(LayTable[Bookmaker],(VLOOKUP(ROW()-3,BookieName[],2,FALSE)),LayTable[BookieInnsats])*-1)</f>
        <v>0</v>
      </c>
      <c r="L89" s="20">
        <f>IF(Data[[#This Row],[Bookie]]="","",SUMIF(LayTable[Lay-bookie],(VLOOKUP(ROW()-3,BookieName[],2,FALSE)),LayTable[LayLiability])*-1)</f>
        <v>0</v>
      </c>
      <c r="M89" s="20">
        <f>IF(Data[[#This Row],[Bookie]]="","",SUMIF(LayTable[Bookmaker],(VLOOKUP(ROW()-3,BookieName[],2,FALSE)),LayTable[WBABack]))</f>
        <v>0</v>
      </c>
      <c r="N89" s="20">
        <f>IF(Data[[#This Row],[Bookie]]="","",SUMIF(LayTable[Lay-bookie],(VLOOKUP(ROW()-3,BookieName[],2,FALSE)),LayTable[WBALay]))</f>
        <v>0</v>
      </c>
      <c r="O89" s="20">
        <f>IF(Data[[#This Row],[Bookie]]="","",SUMIF(DWbonus[Bookie],(VLOOKUP(ROW()-3,BookieName[],2,FALSE)),DWbonus[Sum]))</f>
        <v>0</v>
      </c>
      <c r="P89" s="20">
        <f>IF(Data[[#This Row],[Bookie]]="","",SUM(Data[[#This Row],[Pending 1]:[PendingL2]]))</f>
        <v>0</v>
      </c>
      <c r="Q89" s="20">
        <f>IF(Data[[#This Row],[Bookie]]="","",SUMIFS(BetTable[S1],BetTable[B1],(VLOOKUP(ROW()-3,BookieName[],2,FALSE)),BetTable[AR],""))</f>
        <v>0</v>
      </c>
      <c r="R89" s="20">
        <f>IF(Data[[#This Row],[Bookie]]="","",SUMIFS(BetTable[S2],BetTable[B2],(VLOOKUP(ROW()-3,BookieName[],2,FALSE)),BetTable[AR],""))</f>
        <v>0</v>
      </c>
      <c r="S89" s="20">
        <f>IF(Data[[#This Row],[Bookie]]="","",SUMIFS(BetTable[S3],BetTable[B3],(VLOOKUP(ROW()-3,BookieName[],2,FALSE)),BetTable[AR],""))</f>
        <v>0</v>
      </c>
      <c r="T89" s="20">
        <f>IF(Data[[#This Row],[Bookie]]="","",SUMIFS(LayTable[BookieInnsats],LayTable[Bookmaker],(VLOOKUP(ROW()-3,BookieName[],2,FALSE)),LayTable[Faktisk res],""))</f>
        <v>0</v>
      </c>
      <c r="U89" s="20">
        <f>IF(Data[[#This Row],[Bookie]]="","",SUMIFS(LayTable[LayLiability],LayTable[Lay-bookie],(VLOOKUP(ROW()-3,BookieName[],2,FALSE)),LayTable[Faktisk res],""))</f>
        <v>0</v>
      </c>
    </row>
    <row r="90" spans="1:21">
      <c r="A90" s="20">
        <f t="shared" si="2"/>
        <v>87</v>
      </c>
      <c r="B90" s="20" t="str">
        <f>IFERROR(VLOOKUP(ROW()-3,BookieName[],3,FALSE),"")</f>
        <v>AaUnibet</v>
      </c>
      <c r="C90" s="21">
        <f>IF(Data[[#This Row],[Bookie]]="","",SUM(Data[[#This Row],[D/W]:[Bonus and Adjustments]],))</f>
        <v>0</v>
      </c>
      <c r="D90" s="21">
        <f>IF(Data[[#This Row],[Bookie]]="","",SUMIF(DWbooks[Bookmaker],(VLOOKUP(ROW()-3,BookieName[],2,FALSE)),DWbooks[Sum]))</f>
        <v>0</v>
      </c>
      <c r="E90" s="20">
        <f>IF(Data[[#This Row],[Bookie]]="","",SUMIF(BetTable[B1],(VLOOKUP(ROW()-3,BookieName[],2,FALSE)),BetTable[S1])*-1)</f>
        <v>0</v>
      </c>
      <c r="F90" s="20">
        <f>IF(Data[[#This Row],[Bookie]]="","",SUMIF(BetTable[B2],(VLOOKUP(ROW()-3,BookieName[],2,FALSE)),BetTable[S2])*-1)</f>
        <v>0</v>
      </c>
      <c r="G90" s="20">
        <f>IF(Data[[#This Row],[Bookie]]="","",SUMIF(BetTable[B3],(VLOOKUP(ROW()-3,BookieName[],2,FALSE)),BetTable[S3])*-1)</f>
        <v>0</v>
      </c>
      <c r="H90" s="20">
        <f>IF(Data[[#This Row],[Bookie]]="","",SUMIF(BetTable[B1],(VLOOKUP(ROW()-3,BookieName[],2,FALSE)),BetTable[WBA1]))</f>
        <v>0</v>
      </c>
      <c r="I90" s="20">
        <f>IF(Data[[#This Row],[Bookie]]="","",SUMIF(BetTable[B2],(VLOOKUP(ROW()-3,BookieName[],2,FALSE)),BetTable[WBA2]))</f>
        <v>0</v>
      </c>
      <c r="J90" s="20">
        <f>IF(Data[[#This Row],[Bookie]]="","",SUMIF(BetTable[B3],(VLOOKUP(ROW()-3,BookieName[],2,FALSE)),BetTable[WBA3]))</f>
        <v>0</v>
      </c>
      <c r="K90" s="20">
        <f>IF(Data[[#This Row],[Bookie]]="","",SUMIF(LayTable[Bookmaker],(VLOOKUP(ROW()-3,BookieName[],2,FALSE)),LayTable[BookieInnsats])*-1)</f>
        <v>0</v>
      </c>
      <c r="L90" s="20">
        <f>IF(Data[[#This Row],[Bookie]]="","",SUMIF(LayTable[Lay-bookie],(VLOOKUP(ROW()-3,BookieName[],2,FALSE)),LayTable[LayLiability])*-1)</f>
        <v>0</v>
      </c>
      <c r="M90" s="20">
        <f>IF(Data[[#This Row],[Bookie]]="","",SUMIF(LayTable[Bookmaker],(VLOOKUP(ROW()-3,BookieName[],2,FALSE)),LayTable[WBABack]))</f>
        <v>0</v>
      </c>
      <c r="N90" s="20">
        <f>IF(Data[[#This Row],[Bookie]]="","",SUMIF(LayTable[Lay-bookie],(VLOOKUP(ROW()-3,BookieName[],2,FALSE)),LayTable[WBALay]))</f>
        <v>0</v>
      </c>
      <c r="O90" s="20">
        <f>IF(Data[[#This Row],[Bookie]]="","",SUMIF(DWbonus[Bookie],(VLOOKUP(ROW()-3,BookieName[],2,FALSE)),DWbonus[Sum]))</f>
        <v>0</v>
      </c>
      <c r="P90" s="20">
        <f>IF(Data[[#This Row],[Bookie]]="","",SUM(Data[[#This Row],[Pending 1]:[PendingL2]]))</f>
        <v>0</v>
      </c>
      <c r="Q90" s="20">
        <f>IF(Data[[#This Row],[Bookie]]="","",SUMIFS(BetTable[S1],BetTable[B1],(VLOOKUP(ROW()-3,BookieName[],2,FALSE)),BetTable[AR],""))</f>
        <v>0</v>
      </c>
      <c r="R90" s="20">
        <f>IF(Data[[#This Row],[Bookie]]="","",SUMIFS(BetTable[S2],BetTable[B2],(VLOOKUP(ROW()-3,BookieName[],2,FALSE)),BetTable[AR],""))</f>
        <v>0</v>
      </c>
      <c r="S90" s="20">
        <f>IF(Data[[#This Row],[Bookie]]="","",SUMIFS(BetTable[S3],BetTable[B3],(VLOOKUP(ROW()-3,BookieName[],2,FALSE)),BetTable[AR],""))</f>
        <v>0</v>
      </c>
      <c r="T90" s="20">
        <f>IF(Data[[#This Row],[Bookie]]="","",SUMIFS(LayTable[BookieInnsats],LayTable[Bookmaker],(VLOOKUP(ROW()-3,BookieName[],2,FALSE)),LayTable[Faktisk res],""))</f>
        <v>0</v>
      </c>
      <c r="U90" s="20">
        <f>IF(Data[[#This Row],[Bookie]]="","",SUMIFS(LayTable[LayLiability],LayTable[Lay-bookie],(VLOOKUP(ROW()-3,BookieName[],2,FALSE)),LayTable[Faktisk res],""))</f>
        <v>0</v>
      </c>
    </row>
    <row r="91" spans="1:21">
      <c r="A91" s="20">
        <f t="shared" si="2"/>
        <v>88</v>
      </c>
      <c r="B91" s="20" t="str">
        <f>IFERROR(VLOOKUP(ROW()-3,BookieName[],3,FALSE),"")</f>
        <v>AaBethard</v>
      </c>
      <c r="C91" s="21">
        <f>IF(Data[[#This Row],[Bookie]]="","",SUM(Data[[#This Row],[D/W]:[Bonus and Adjustments]],))</f>
        <v>0</v>
      </c>
      <c r="D91" s="21">
        <f>IF(Data[[#This Row],[Bookie]]="","",SUMIF(DWbooks[Bookmaker],(VLOOKUP(ROW()-3,BookieName[],2,FALSE)),DWbooks[Sum]))</f>
        <v>0</v>
      </c>
      <c r="E91" s="20">
        <f>IF(Data[[#This Row],[Bookie]]="","",SUMIF(BetTable[B1],(VLOOKUP(ROW()-3,BookieName[],2,FALSE)),BetTable[S1])*-1)</f>
        <v>0</v>
      </c>
      <c r="F91" s="20">
        <f>IF(Data[[#This Row],[Bookie]]="","",SUMIF(BetTable[B2],(VLOOKUP(ROW()-3,BookieName[],2,FALSE)),BetTable[S2])*-1)</f>
        <v>0</v>
      </c>
      <c r="G91" s="20">
        <f>IF(Data[[#This Row],[Bookie]]="","",SUMIF(BetTable[B3],(VLOOKUP(ROW()-3,BookieName[],2,FALSE)),BetTable[S3])*-1)</f>
        <v>0</v>
      </c>
      <c r="H91" s="20">
        <f>IF(Data[[#This Row],[Bookie]]="","",SUMIF(BetTable[B1],(VLOOKUP(ROW()-3,BookieName[],2,FALSE)),BetTable[WBA1]))</f>
        <v>0</v>
      </c>
      <c r="I91" s="20">
        <f>IF(Data[[#This Row],[Bookie]]="","",SUMIF(BetTable[B2],(VLOOKUP(ROW()-3,BookieName[],2,FALSE)),BetTable[WBA2]))</f>
        <v>0</v>
      </c>
      <c r="J91" s="20">
        <f>IF(Data[[#This Row],[Bookie]]="","",SUMIF(BetTable[B3],(VLOOKUP(ROW()-3,BookieName[],2,FALSE)),BetTable[WBA3]))</f>
        <v>0</v>
      </c>
      <c r="K91" s="20">
        <f>IF(Data[[#This Row],[Bookie]]="","",SUMIF(LayTable[Bookmaker],(VLOOKUP(ROW()-3,BookieName[],2,FALSE)),LayTable[BookieInnsats])*-1)</f>
        <v>0</v>
      </c>
      <c r="L91" s="20">
        <f>IF(Data[[#This Row],[Bookie]]="","",SUMIF(LayTable[Lay-bookie],(VLOOKUP(ROW()-3,BookieName[],2,FALSE)),LayTable[LayLiability])*-1)</f>
        <v>0</v>
      </c>
      <c r="M91" s="20">
        <f>IF(Data[[#This Row],[Bookie]]="","",SUMIF(LayTable[Bookmaker],(VLOOKUP(ROW()-3,BookieName[],2,FALSE)),LayTable[WBABack]))</f>
        <v>0</v>
      </c>
      <c r="N91" s="20">
        <f>IF(Data[[#This Row],[Bookie]]="","",SUMIF(LayTable[Lay-bookie],(VLOOKUP(ROW()-3,BookieName[],2,FALSE)),LayTable[WBALay]))</f>
        <v>0</v>
      </c>
      <c r="O91" s="20">
        <f>IF(Data[[#This Row],[Bookie]]="","",SUMIF(DWbonus[Bookie],(VLOOKUP(ROW()-3,BookieName[],2,FALSE)),DWbonus[Sum]))</f>
        <v>0</v>
      </c>
      <c r="P91" s="20">
        <f>IF(Data[[#This Row],[Bookie]]="","",SUM(Data[[#This Row],[Pending 1]:[PendingL2]]))</f>
        <v>0</v>
      </c>
      <c r="Q91" s="20">
        <f>IF(Data[[#This Row],[Bookie]]="","",SUMIFS(BetTable[S1],BetTable[B1],(VLOOKUP(ROW()-3,BookieName[],2,FALSE)),BetTable[AR],""))</f>
        <v>0</v>
      </c>
      <c r="R91" s="20">
        <f>IF(Data[[#This Row],[Bookie]]="","",SUMIFS(BetTable[S2],BetTable[B2],(VLOOKUP(ROW()-3,BookieName[],2,FALSE)),BetTable[AR],""))</f>
        <v>0</v>
      </c>
      <c r="S91" s="20">
        <f>IF(Data[[#This Row],[Bookie]]="","",SUMIFS(BetTable[S3],BetTable[B3],(VLOOKUP(ROW()-3,BookieName[],2,FALSE)),BetTable[AR],""))</f>
        <v>0</v>
      </c>
      <c r="T91" s="20">
        <f>IF(Data[[#This Row],[Bookie]]="","",SUMIFS(LayTable[BookieInnsats],LayTable[Bookmaker],(VLOOKUP(ROW()-3,BookieName[],2,FALSE)),LayTable[Faktisk res],""))</f>
        <v>0</v>
      </c>
      <c r="U91" s="20">
        <f>IF(Data[[#This Row],[Bookie]]="","",SUMIFS(LayTable[LayLiability],LayTable[Lay-bookie],(VLOOKUP(ROW()-3,BookieName[],2,FALSE)),LayTable[Faktisk res],""))</f>
        <v>0</v>
      </c>
    </row>
    <row r="92" spans="1:21">
      <c r="A92" s="20">
        <f t="shared" si="2"/>
        <v>89</v>
      </c>
      <c r="B92" s="20" t="str">
        <f>IFERROR(VLOOKUP(ROW()-3,BookieName[],3,FALSE),"")</f>
        <v>AaBet365</v>
      </c>
      <c r="C92" s="21">
        <f>IF(Data[[#This Row],[Bookie]]="","",SUM(Data[[#This Row],[D/W]:[Bonus and Adjustments]],))</f>
        <v>0</v>
      </c>
      <c r="D92" s="21">
        <f>IF(Data[[#This Row],[Bookie]]="","",SUMIF(DWbooks[Bookmaker],(VLOOKUP(ROW()-3,BookieName[],2,FALSE)),DWbooks[Sum]))</f>
        <v>0</v>
      </c>
      <c r="E92" s="20">
        <f>IF(Data[[#This Row],[Bookie]]="","",SUMIF(BetTable[B1],(VLOOKUP(ROW()-3,BookieName[],2,FALSE)),BetTable[S1])*-1)</f>
        <v>0</v>
      </c>
      <c r="F92" s="20">
        <f>IF(Data[[#This Row],[Bookie]]="","",SUMIF(BetTable[B2],(VLOOKUP(ROW()-3,BookieName[],2,FALSE)),BetTable[S2])*-1)</f>
        <v>0</v>
      </c>
      <c r="G92" s="20">
        <f>IF(Data[[#This Row],[Bookie]]="","",SUMIF(BetTable[B3],(VLOOKUP(ROW()-3,BookieName[],2,FALSE)),BetTable[S3])*-1)</f>
        <v>0</v>
      </c>
      <c r="H92" s="20">
        <f>IF(Data[[#This Row],[Bookie]]="","",SUMIF(BetTable[B1],(VLOOKUP(ROW()-3,BookieName[],2,FALSE)),BetTable[WBA1]))</f>
        <v>0</v>
      </c>
      <c r="I92" s="20">
        <f>IF(Data[[#This Row],[Bookie]]="","",SUMIF(BetTable[B2],(VLOOKUP(ROW()-3,BookieName[],2,FALSE)),BetTable[WBA2]))</f>
        <v>0</v>
      </c>
      <c r="J92" s="20">
        <f>IF(Data[[#This Row],[Bookie]]="","",SUMIF(BetTable[B3],(VLOOKUP(ROW()-3,BookieName[],2,FALSE)),BetTable[WBA3]))</f>
        <v>0</v>
      </c>
      <c r="K92" s="20">
        <f>IF(Data[[#This Row],[Bookie]]="","",SUMIF(LayTable[Bookmaker],(VLOOKUP(ROW()-3,BookieName[],2,FALSE)),LayTable[BookieInnsats])*-1)</f>
        <v>0</v>
      </c>
      <c r="L92" s="20">
        <f>IF(Data[[#This Row],[Bookie]]="","",SUMIF(LayTable[Lay-bookie],(VLOOKUP(ROW()-3,BookieName[],2,FALSE)),LayTable[LayLiability])*-1)</f>
        <v>0</v>
      </c>
      <c r="M92" s="20">
        <f>IF(Data[[#This Row],[Bookie]]="","",SUMIF(LayTable[Bookmaker],(VLOOKUP(ROW()-3,BookieName[],2,FALSE)),LayTable[WBABack]))</f>
        <v>0</v>
      </c>
      <c r="N92" s="20">
        <f>IF(Data[[#This Row],[Bookie]]="","",SUMIF(LayTable[Lay-bookie],(VLOOKUP(ROW()-3,BookieName[],2,FALSE)),LayTable[WBALay]))</f>
        <v>0</v>
      </c>
      <c r="O92" s="20">
        <f>IF(Data[[#This Row],[Bookie]]="","",SUMIF(DWbonus[Bookie],(VLOOKUP(ROW()-3,BookieName[],2,FALSE)),DWbonus[Sum]))</f>
        <v>0</v>
      </c>
      <c r="P92" s="20">
        <f>IF(Data[[#This Row],[Bookie]]="","",SUM(Data[[#This Row],[Pending 1]:[PendingL2]]))</f>
        <v>0</v>
      </c>
      <c r="Q92" s="20">
        <f>IF(Data[[#This Row],[Bookie]]="","",SUMIFS(BetTable[S1],BetTable[B1],(VLOOKUP(ROW()-3,BookieName[],2,FALSE)),BetTable[AR],""))</f>
        <v>0</v>
      </c>
      <c r="R92" s="20">
        <f>IF(Data[[#This Row],[Bookie]]="","",SUMIFS(BetTable[S2],BetTable[B2],(VLOOKUP(ROW()-3,BookieName[],2,FALSE)),BetTable[AR],""))</f>
        <v>0</v>
      </c>
      <c r="S92" s="20">
        <f>IF(Data[[#This Row],[Bookie]]="","",SUMIFS(BetTable[S3],BetTable[B3],(VLOOKUP(ROW()-3,BookieName[],2,FALSE)),BetTable[AR],""))</f>
        <v>0</v>
      </c>
      <c r="T92" s="20">
        <f>IF(Data[[#This Row],[Bookie]]="","",SUMIFS(LayTable[BookieInnsats],LayTable[Bookmaker],(VLOOKUP(ROW()-3,BookieName[],2,FALSE)),LayTable[Faktisk res],""))</f>
        <v>0</v>
      </c>
      <c r="U92" s="20">
        <f>IF(Data[[#This Row],[Bookie]]="","",SUMIFS(LayTable[LayLiability],LayTable[Lay-bookie],(VLOOKUP(ROW()-3,BookieName[],2,FALSE)),LayTable[Faktisk res],""))</f>
        <v>0</v>
      </c>
    </row>
    <row r="93" spans="1:21">
      <c r="A93" s="20">
        <f t="shared" si="2"/>
        <v>90</v>
      </c>
      <c r="B93" s="20" t="str">
        <f>IFERROR(VLOOKUP(ROW()-3,BookieName[],3,FALSE),"")</f>
        <v>AaComeOn</v>
      </c>
      <c r="C93" s="21">
        <f>IF(Data[[#This Row],[Bookie]]="","",SUM(Data[[#This Row],[D/W]:[Bonus and Adjustments]],))</f>
        <v>0</v>
      </c>
      <c r="D93" s="21">
        <f>IF(Data[[#This Row],[Bookie]]="","",SUMIF(DWbooks[Bookmaker],(VLOOKUP(ROW()-3,BookieName[],2,FALSE)),DWbooks[Sum]))</f>
        <v>0</v>
      </c>
      <c r="E93" s="20">
        <f>IF(Data[[#This Row],[Bookie]]="","",SUMIF(BetTable[B1],(VLOOKUP(ROW()-3,BookieName[],2,FALSE)),BetTable[S1])*-1)</f>
        <v>0</v>
      </c>
      <c r="F93" s="20">
        <f>IF(Data[[#This Row],[Bookie]]="","",SUMIF(BetTable[B2],(VLOOKUP(ROW()-3,BookieName[],2,FALSE)),BetTable[S2])*-1)</f>
        <v>0</v>
      </c>
      <c r="G93" s="20">
        <f>IF(Data[[#This Row],[Bookie]]="","",SUMIF(BetTable[B3],(VLOOKUP(ROW()-3,BookieName[],2,FALSE)),BetTable[S3])*-1)</f>
        <v>0</v>
      </c>
      <c r="H93" s="20">
        <f>IF(Data[[#This Row],[Bookie]]="","",SUMIF(BetTable[B1],(VLOOKUP(ROW()-3,BookieName[],2,FALSE)),BetTable[WBA1]))</f>
        <v>0</v>
      </c>
      <c r="I93" s="20">
        <f>IF(Data[[#This Row],[Bookie]]="","",SUMIF(BetTable[B2],(VLOOKUP(ROW()-3,BookieName[],2,FALSE)),BetTable[WBA2]))</f>
        <v>0</v>
      </c>
      <c r="J93" s="20">
        <f>IF(Data[[#This Row],[Bookie]]="","",SUMIF(BetTable[B3],(VLOOKUP(ROW()-3,BookieName[],2,FALSE)),BetTable[WBA3]))</f>
        <v>0</v>
      </c>
      <c r="K93" s="20">
        <f>IF(Data[[#This Row],[Bookie]]="","",SUMIF(LayTable[Bookmaker],(VLOOKUP(ROW()-3,BookieName[],2,FALSE)),LayTable[BookieInnsats])*-1)</f>
        <v>0</v>
      </c>
      <c r="L93" s="20">
        <f>IF(Data[[#This Row],[Bookie]]="","",SUMIF(LayTable[Lay-bookie],(VLOOKUP(ROW()-3,BookieName[],2,FALSE)),LayTable[LayLiability])*-1)</f>
        <v>0</v>
      </c>
      <c r="M93" s="20">
        <f>IF(Data[[#This Row],[Bookie]]="","",SUMIF(LayTable[Bookmaker],(VLOOKUP(ROW()-3,BookieName[],2,FALSE)),LayTable[WBABack]))</f>
        <v>0</v>
      </c>
      <c r="N93" s="20">
        <f>IF(Data[[#This Row],[Bookie]]="","",SUMIF(LayTable[Lay-bookie],(VLOOKUP(ROW()-3,BookieName[],2,FALSE)),LayTable[WBALay]))</f>
        <v>0</v>
      </c>
      <c r="O93" s="20">
        <f>IF(Data[[#This Row],[Bookie]]="","",SUMIF(DWbonus[Bookie],(VLOOKUP(ROW()-3,BookieName[],2,FALSE)),DWbonus[Sum]))</f>
        <v>0</v>
      </c>
      <c r="P93" s="20">
        <f>IF(Data[[#This Row],[Bookie]]="","",SUM(Data[[#This Row],[Pending 1]:[PendingL2]]))</f>
        <v>0</v>
      </c>
      <c r="Q93" s="20">
        <f>IF(Data[[#This Row],[Bookie]]="","",SUMIFS(BetTable[S1],BetTable[B1],(VLOOKUP(ROW()-3,BookieName[],2,FALSE)),BetTable[AR],""))</f>
        <v>0</v>
      </c>
      <c r="R93" s="20">
        <f>IF(Data[[#This Row],[Bookie]]="","",SUMIFS(BetTable[S2],BetTable[B2],(VLOOKUP(ROW()-3,BookieName[],2,FALSE)),BetTable[AR],""))</f>
        <v>0</v>
      </c>
      <c r="S93" s="20">
        <f>IF(Data[[#This Row],[Bookie]]="","",SUMIFS(BetTable[S3],BetTable[B3],(VLOOKUP(ROW()-3,BookieName[],2,FALSE)),BetTable[AR],""))</f>
        <v>0</v>
      </c>
      <c r="T93" s="20">
        <f>IF(Data[[#This Row],[Bookie]]="","",SUMIFS(LayTable[BookieInnsats],LayTable[Bookmaker],(VLOOKUP(ROW()-3,BookieName[],2,FALSE)),LayTable[Faktisk res],""))</f>
        <v>0</v>
      </c>
      <c r="U93" s="20">
        <f>IF(Data[[#This Row],[Bookie]]="","",SUMIFS(LayTable[LayLiability],LayTable[Lay-bookie],(VLOOKUP(ROW()-3,BookieName[],2,FALSE)),LayTable[Faktisk res],""))</f>
        <v>0</v>
      </c>
    </row>
    <row r="94" spans="1:21">
      <c r="A94" s="20">
        <f t="shared" si="2"/>
        <v>91</v>
      </c>
      <c r="B94" s="20" t="str">
        <f>IFERROR(VLOOKUP(ROW()-3,BookieName[],3,FALSE),"")</f>
        <v>AaRizk</v>
      </c>
      <c r="C94" s="21">
        <f>IF(Data[[#This Row],[Bookie]]="","",SUM(Data[[#This Row],[D/W]:[Bonus and Adjustments]],))</f>
        <v>0</v>
      </c>
      <c r="D94" s="21">
        <f>IF(Data[[#This Row],[Bookie]]="","",SUMIF(DWbooks[Bookmaker],(VLOOKUP(ROW()-3,BookieName[],2,FALSE)),DWbooks[Sum]))</f>
        <v>0</v>
      </c>
      <c r="E94" s="20">
        <f>IF(Data[[#This Row],[Bookie]]="","",SUMIF(BetTable[B1],(VLOOKUP(ROW()-3,BookieName[],2,FALSE)),BetTable[S1])*-1)</f>
        <v>0</v>
      </c>
      <c r="F94" s="20">
        <f>IF(Data[[#This Row],[Bookie]]="","",SUMIF(BetTable[B2],(VLOOKUP(ROW()-3,BookieName[],2,FALSE)),BetTable[S2])*-1)</f>
        <v>0</v>
      </c>
      <c r="G94" s="20">
        <f>IF(Data[[#This Row],[Bookie]]="","",SUMIF(BetTable[B3],(VLOOKUP(ROW()-3,BookieName[],2,FALSE)),BetTable[S3])*-1)</f>
        <v>0</v>
      </c>
      <c r="H94" s="20">
        <f>IF(Data[[#This Row],[Bookie]]="","",SUMIF(BetTable[B1],(VLOOKUP(ROW()-3,BookieName[],2,FALSE)),BetTable[WBA1]))</f>
        <v>0</v>
      </c>
      <c r="I94" s="20">
        <f>IF(Data[[#This Row],[Bookie]]="","",SUMIF(BetTable[B2],(VLOOKUP(ROW()-3,BookieName[],2,FALSE)),BetTable[WBA2]))</f>
        <v>0</v>
      </c>
      <c r="J94" s="20">
        <f>IF(Data[[#This Row],[Bookie]]="","",SUMIF(BetTable[B3],(VLOOKUP(ROW()-3,BookieName[],2,FALSE)),BetTable[WBA3]))</f>
        <v>0</v>
      </c>
      <c r="K94" s="20">
        <f>IF(Data[[#This Row],[Bookie]]="","",SUMIF(LayTable[Bookmaker],(VLOOKUP(ROW()-3,BookieName[],2,FALSE)),LayTable[BookieInnsats])*-1)</f>
        <v>0</v>
      </c>
      <c r="L94" s="20">
        <f>IF(Data[[#This Row],[Bookie]]="","",SUMIF(LayTable[Lay-bookie],(VLOOKUP(ROW()-3,BookieName[],2,FALSE)),LayTable[LayLiability])*-1)</f>
        <v>0</v>
      </c>
      <c r="M94" s="20">
        <f>IF(Data[[#This Row],[Bookie]]="","",SUMIF(LayTable[Bookmaker],(VLOOKUP(ROW()-3,BookieName[],2,FALSE)),LayTable[WBABack]))</f>
        <v>0</v>
      </c>
      <c r="N94" s="20">
        <f>IF(Data[[#This Row],[Bookie]]="","",SUMIF(LayTable[Lay-bookie],(VLOOKUP(ROW()-3,BookieName[],2,FALSE)),LayTable[WBALay]))</f>
        <v>0</v>
      </c>
      <c r="O94" s="20">
        <f>IF(Data[[#This Row],[Bookie]]="","",SUMIF(DWbonus[Bookie],(VLOOKUP(ROW()-3,BookieName[],2,FALSE)),DWbonus[Sum]))</f>
        <v>0</v>
      </c>
      <c r="P94" s="20">
        <f>IF(Data[[#This Row],[Bookie]]="","",SUM(Data[[#This Row],[Pending 1]:[PendingL2]]))</f>
        <v>0</v>
      </c>
      <c r="Q94" s="20">
        <f>IF(Data[[#This Row],[Bookie]]="","",SUMIFS(BetTable[S1],BetTable[B1],(VLOOKUP(ROW()-3,BookieName[],2,FALSE)),BetTable[AR],""))</f>
        <v>0</v>
      </c>
      <c r="R94" s="20">
        <f>IF(Data[[#This Row],[Bookie]]="","",SUMIFS(BetTable[S2],BetTable[B2],(VLOOKUP(ROW()-3,BookieName[],2,FALSE)),BetTable[AR],""))</f>
        <v>0</v>
      </c>
      <c r="S94" s="20">
        <f>IF(Data[[#This Row],[Bookie]]="","",SUMIFS(BetTable[S3],BetTable[B3],(VLOOKUP(ROW()-3,BookieName[],2,FALSE)),BetTable[AR],""))</f>
        <v>0</v>
      </c>
      <c r="T94" s="20">
        <f>IF(Data[[#This Row],[Bookie]]="","",SUMIFS(LayTable[BookieInnsats],LayTable[Bookmaker],(VLOOKUP(ROW()-3,BookieName[],2,FALSE)),LayTable[Faktisk res],""))</f>
        <v>0</v>
      </c>
      <c r="U94" s="20">
        <f>IF(Data[[#This Row],[Bookie]]="","",SUMIFS(LayTable[LayLiability],LayTable[Lay-bookie],(VLOOKUP(ROW()-3,BookieName[],2,FALSE)),LayTable[Faktisk res],""))</f>
        <v>0</v>
      </c>
    </row>
    <row r="95" spans="1:21">
      <c r="A95" s="20">
        <f t="shared" si="2"/>
        <v>92</v>
      </c>
      <c r="B95" s="20" t="str">
        <f>IFERROR(VLOOKUP(ROW()-3,BookieName[],3,FALSE),"")</f>
        <v>AaBet90</v>
      </c>
      <c r="C95" s="21">
        <f>IF(Data[[#This Row],[Bookie]]="","",SUM(Data[[#This Row],[D/W]:[Bonus and Adjustments]],))</f>
        <v>0</v>
      </c>
      <c r="D95" s="21">
        <f>IF(Data[[#This Row],[Bookie]]="","",SUMIF(DWbooks[Bookmaker],(VLOOKUP(ROW()-3,BookieName[],2,FALSE)),DWbooks[Sum]))</f>
        <v>0</v>
      </c>
      <c r="E95" s="20">
        <f>IF(Data[[#This Row],[Bookie]]="","",SUMIF(BetTable[B1],(VLOOKUP(ROW()-3,BookieName[],2,FALSE)),BetTable[S1])*-1)</f>
        <v>0</v>
      </c>
      <c r="F95" s="20">
        <f>IF(Data[[#This Row],[Bookie]]="","",SUMIF(BetTable[B2],(VLOOKUP(ROW()-3,BookieName[],2,FALSE)),BetTable[S2])*-1)</f>
        <v>0</v>
      </c>
      <c r="G95" s="20">
        <f>IF(Data[[#This Row],[Bookie]]="","",SUMIF(BetTable[B3],(VLOOKUP(ROW()-3,BookieName[],2,FALSE)),BetTable[S3])*-1)</f>
        <v>0</v>
      </c>
      <c r="H95" s="20">
        <f>IF(Data[[#This Row],[Bookie]]="","",SUMIF(BetTable[B1],(VLOOKUP(ROW()-3,BookieName[],2,FALSE)),BetTable[WBA1]))</f>
        <v>0</v>
      </c>
      <c r="I95" s="20">
        <f>IF(Data[[#This Row],[Bookie]]="","",SUMIF(BetTable[B2],(VLOOKUP(ROW()-3,BookieName[],2,FALSE)),BetTable[WBA2]))</f>
        <v>0</v>
      </c>
      <c r="J95" s="20">
        <f>IF(Data[[#This Row],[Bookie]]="","",SUMIF(BetTable[B3],(VLOOKUP(ROW()-3,BookieName[],2,FALSE)),BetTable[WBA3]))</f>
        <v>0</v>
      </c>
      <c r="K95" s="20">
        <f>IF(Data[[#This Row],[Bookie]]="","",SUMIF(LayTable[Bookmaker],(VLOOKUP(ROW()-3,BookieName[],2,FALSE)),LayTable[BookieInnsats])*-1)</f>
        <v>0</v>
      </c>
      <c r="L95" s="20">
        <f>IF(Data[[#This Row],[Bookie]]="","",SUMIF(LayTable[Lay-bookie],(VLOOKUP(ROW()-3,BookieName[],2,FALSE)),LayTable[LayLiability])*-1)</f>
        <v>0</v>
      </c>
      <c r="M95" s="20">
        <f>IF(Data[[#This Row],[Bookie]]="","",SUMIF(LayTable[Bookmaker],(VLOOKUP(ROW()-3,BookieName[],2,FALSE)),LayTable[WBABack]))</f>
        <v>0</v>
      </c>
      <c r="N95" s="20">
        <f>IF(Data[[#This Row],[Bookie]]="","",SUMIF(LayTable[Lay-bookie],(VLOOKUP(ROW()-3,BookieName[],2,FALSE)),LayTable[WBALay]))</f>
        <v>0</v>
      </c>
      <c r="O95" s="20">
        <f>IF(Data[[#This Row],[Bookie]]="","",SUMIF(DWbonus[Bookie],(VLOOKUP(ROW()-3,BookieName[],2,FALSE)),DWbonus[Sum]))</f>
        <v>0</v>
      </c>
      <c r="P95" s="20">
        <f>IF(Data[[#This Row],[Bookie]]="","",SUM(Data[[#This Row],[Pending 1]:[PendingL2]]))</f>
        <v>0</v>
      </c>
      <c r="Q95" s="20">
        <f>IF(Data[[#This Row],[Bookie]]="","",SUMIFS(BetTable[S1],BetTable[B1],(VLOOKUP(ROW()-3,BookieName[],2,FALSE)),BetTable[AR],""))</f>
        <v>0</v>
      </c>
      <c r="R95" s="20">
        <f>IF(Data[[#This Row],[Bookie]]="","",SUMIFS(BetTable[S2],BetTable[B2],(VLOOKUP(ROW()-3,BookieName[],2,FALSE)),BetTable[AR],""))</f>
        <v>0</v>
      </c>
      <c r="S95" s="20">
        <f>IF(Data[[#This Row],[Bookie]]="","",SUMIFS(BetTable[S3],BetTable[B3],(VLOOKUP(ROW()-3,BookieName[],2,FALSE)),BetTable[AR],""))</f>
        <v>0</v>
      </c>
      <c r="T95" s="20">
        <f>IF(Data[[#This Row],[Bookie]]="","",SUMIFS(LayTable[BookieInnsats],LayTable[Bookmaker],(VLOOKUP(ROW()-3,BookieName[],2,FALSE)),LayTable[Faktisk res],""))</f>
        <v>0</v>
      </c>
      <c r="U95" s="20">
        <f>IF(Data[[#This Row],[Bookie]]="","",SUMIFS(LayTable[LayLiability],LayTable[Lay-bookie],(VLOOKUP(ROW()-3,BookieName[],2,FALSE)),LayTable[Faktisk res],""))</f>
        <v>0</v>
      </c>
    </row>
    <row r="96" spans="1:21">
      <c r="A96" s="165">
        <f t="shared" ref="A96:A103" si="3">ROW()-3</f>
        <v>93</v>
      </c>
      <c r="B96" s="166" t="str">
        <f>IFERROR(VLOOKUP(ROW()-3,BookieName[],3,FALSE),"")</f>
        <v>AaNorgesspill</v>
      </c>
      <c r="C96" s="167">
        <f>IF(Data[[#This Row],[Bookie]]="","",SUM(Data[[#This Row],[D/W]:[Bonus and Adjustments]],))</f>
        <v>0</v>
      </c>
      <c r="D96" s="167">
        <f>IF(Data[[#This Row],[Bookie]]="","",SUMIF(DWbooks[Bookmaker],(VLOOKUP(ROW()-3,BookieName[],2,FALSE)),DWbooks[Sum]))</f>
        <v>0</v>
      </c>
      <c r="E96" s="165">
        <f>IF(Data[[#This Row],[Bookie]]="","",SUMIF(BetTable[B1],(VLOOKUP(ROW()-3,BookieName[],2,FALSE)),BetTable[S1])*-1)</f>
        <v>0</v>
      </c>
      <c r="F96" s="165">
        <f>IF(Data[[#This Row],[Bookie]]="","",SUMIF(BetTable[B2],(VLOOKUP(ROW()-3,BookieName[],2,FALSE)),BetTable[S2])*-1)</f>
        <v>0</v>
      </c>
      <c r="G96" s="165">
        <f>IF(Data[[#This Row],[Bookie]]="","",SUMIF(BetTable[B3],(VLOOKUP(ROW()-3,BookieName[],2,FALSE)),BetTable[S3])*-1)</f>
        <v>0</v>
      </c>
      <c r="H96" s="165">
        <f>IF(Data[[#This Row],[Bookie]]="","",SUMIF(BetTable[B1],(VLOOKUP(ROW()-3,BookieName[],2,FALSE)),BetTable[WBA1]))</f>
        <v>0</v>
      </c>
      <c r="I96" s="165">
        <f>IF(Data[[#This Row],[Bookie]]="","",SUMIF(BetTable[B2],(VLOOKUP(ROW()-3,BookieName[],2,FALSE)),BetTable[WBA2]))</f>
        <v>0</v>
      </c>
      <c r="J96" s="165">
        <f>IF(Data[[#This Row],[Bookie]]="","",SUMIF(BetTable[B3],(VLOOKUP(ROW()-3,BookieName[],2,FALSE)),BetTable[WBA3]))</f>
        <v>0</v>
      </c>
      <c r="K96" s="166">
        <f>IF(Data[[#This Row],[Bookie]]="","",SUMIF(LayTable[Bookmaker],(VLOOKUP(ROW()-3,BookieName[],2,FALSE)),LayTable[BookieInnsats])*-1)</f>
        <v>0</v>
      </c>
      <c r="L96" s="166">
        <f>IF(Data[[#This Row],[Bookie]]="","",SUMIF(LayTable[Lay-bookie],(VLOOKUP(ROW()-3,BookieName[],2,FALSE)),LayTable[LayLiability])*-1)</f>
        <v>0</v>
      </c>
      <c r="M96" s="166">
        <f>IF(Data[[#This Row],[Bookie]]="","",SUMIF(LayTable[Bookmaker],(VLOOKUP(ROW()-3,BookieName[],2,FALSE)),LayTable[WBABack]))</f>
        <v>0</v>
      </c>
      <c r="N96" s="166">
        <f>IF(Data[[#This Row],[Bookie]]="","",SUMIF(LayTable[Lay-bookie],(VLOOKUP(ROW()-3,BookieName[],2,FALSE)),LayTable[WBALay]))</f>
        <v>0</v>
      </c>
      <c r="O96" s="166">
        <f>IF(Data[[#This Row],[Bookie]]="","",SUMIF(DWbonus[Bookie],(VLOOKUP(ROW()-3,BookieName[],2,FALSE)),DWbonus[Sum]))</f>
        <v>0</v>
      </c>
      <c r="P96" s="166">
        <f>IF(Data[[#This Row],[Bookie]]="","",SUM(Data[[#This Row],[Pending 1]:[PendingL2]]))</f>
        <v>0</v>
      </c>
      <c r="Q96" s="166">
        <f>IF(Data[[#This Row],[Bookie]]="","",SUMIFS(BetTable[S1],BetTable[B1],(VLOOKUP(ROW()-3,BookieName[],2,FALSE)),BetTable[AR],""))</f>
        <v>0</v>
      </c>
      <c r="R96" s="166">
        <f>IF(Data[[#This Row],[Bookie]]="","",SUMIFS(BetTable[S2],BetTable[B2],(VLOOKUP(ROW()-3,BookieName[],2,FALSE)),BetTable[AR],""))</f>
        <v>0</v>
      </c>
      <c r="S96" s="166">
        <f>IF(Data[[#This Row],[Bookie]]="","",SUMIFS(BetTable[S3],BetTable[B3],(VLOOKUP(ROW()-3,BookieName[],2,FALSE)),BetTable[AR],""))</f>
        <v>0</v>
      </c>
      <c r="T96" s="166">
        <f>IF(Data[[#This Row],[Bookie]]="","",SUMIFS(LayTable[BookieInnsats],LayTable[Bookmaker],(VLOOKUP(ROW()-3,BookieName[],2,FALSE)),LayTable[Faktisk res],""))</f>
        <v>0</v>
      </c>
      <c r="U96" s="166">
        <f>IF(Data[[#This Row],[Bookie]]="","",SUMIFS(LayTable[LayLiability],LayTable[Lay-bookie],(VLOOKUP(ROW()-3,BookieName[],2,FALSE)),LayTable[Faktisk res],""))</f>
        <v>0</v>
      </c>
    </row>
    <row r="97" spans="1:21">
      <c r="A97" s="165">
        <f t="shared" si="3"/>
        <v>94</v>
      </c>
      <c r="B97" s="166" t="str">
        <f>IFERROR(VLOOKUP(ROW()-3,BookieName[],3,FALSE),"")</f>
        <v>AaLeoVegas</v>
      </c>
      <c r="C97" s="167">
        <f>IF(Data[[#This Row],[Bookie]]="","",SUM(Data[[#This Row],[D/W]:[Bonus and Adjustments]],))</f>
        <v>0</v>
      </c>
      <c r="D97" s="167">
        <f>IF(Data[[#This Row],[Bookie]]="","",SUMIF(DWbooks[Bookmaker],(VLOOKUP(ROW()-3,BookieName[],2,FALSE)),DWbooks[Sum]))</f>
        <v>0</v>
      </c>
      <c r="E97" s="165">
        <f>IF(Data[[#This Row],[Bookie]]="","",SUMIF(BetTable[B1],(VLOOKUP(ROW()-3,BookieName[],2,FALSE)),BetTable[S1])*-1)</f>
        <v>0</v>
      </c>
      <c r="F97" s="165">
        <f>IF(Data[[#This Row],[Bookie]]="","",SUMIF(BetTable[B2],(VLOOKUP(ROW()-3,BookieName[],2,FALSE)),BetTable[S2])*-1)</f>
        <v>0</v>
      </c>
      <c r="G97" s="165">
        <f>IF(Data[[#This Row],[Bookie]]="","",SUMIF(BetTable[B3],(VLOOKUP(ROW()-3,BookieName[],2,FALSE)),BetTable[S3])*-1)</f>
        <v>0</v>
      </c>
      <c r="H97" s="165">
        <f>IF(Data[[#This Row],[Bookie]]="","",SUMIF(BetTable[B1],(VLOOKUP(ROW()-3,BookieName[],2,FALSE)),BetTable[WBA1]))</f>
        <v>0</v>
      </c>
      <c r="I97" s="165">
        <f>IF(Data[[#This Row],[Bookie]]="","",SUMIF(BetTable[B2],(VLOOKUP(ROW()-3,BookieName[],2,FALSE)),BetTable[WBA2]))</f>
        <v>0</v>
      </c>
      <c r="J97" s="165">
        <f>IF(Data[[#This Row],[Bookie]]="","",SUMIF(BetTable[B3],(VLOOKUP(ROW()-3,BookieName[],2,FALSE)),BetTable[WBA3]))</f>
        <v>0</v>
      </c>
      <c r="K97" s="166">
        <f>IF(Data[[#This Row],[Bookie]]="","",SUMIF(LayTable[Bookmaker],(VLOOKUP(ROW()-3,BookieName[],2,FALSE)),LayTable[BookieInnsats])*-1)</f>
        <v>0</v>
      </c>
      <c r="L97" s="166">
        <f>IF(Data[[#This Row],[Bookie]]="","",SUMIF(LayTable[Lay-bookie],(VLOOKUP(ROW()-3,BookieName[],2,FALSE)),LayTable[LayLiability])*-1)</f>
        <v>0</v>
      </c>
      <c r="M97" s="166">
        <f>IF(Data[[#This Row],[Bookie]]="","",SUMIF(LayTable[Bookmaker],(VLOOKUP(ROW()-3,BookieName[],2,FALSE)),LayTable[WBABack]))</f>
        <v>0</v>
      </c>
      <c r="N97" s="166">
        <f>IF(Data[[#This Row],[Bookie]]="","",SUMIF(LayTable[Lay-bookie],(VLOOKUP(ROW()-3,BookieName[],2,FALSE)),LayTable[WBALay]))</f>
        <v>0</v>
      </c>
      <c r="O97" s="166">
        <f>IF(Data[[#This Row],[Bookie]]="","",SUMIF(DWbonus[Bookie],(VLOOKUP(ROW()-3,BookieName[],2,FALSE)),DWbonus[Sum]))</f>
        <v>0</v>
      </c>
      <c r="P97" s="166">
        <f>IF(Data[[#This Row],[Bookie]]="","",SUM(Data[[#This Row],[Pending 1]:[PendingL2]]))</f>
        <v>0</v>
      </c>
      <c r="Q97" s="166">
        <f>IF(Data[[#This Row],[Bookie]]="","",SUMIFS(BetTable[S1],BetTable[B1],(VLOOKUP(ROW()-3,BookieName[],2,FALSE)),BetTable[AR],""))</f>
        <v>0</v>
      </c>
      <c r="R97" s="166">
        <f>IF(Data[[#This Row],[Bookie]]="","",SUMIFS(BetTable[S2],BetTable[B2],(VLOOKUP(ROW()-3,BookieName[],2,FALSE)),BetTable[AR],""))</f>
        <v>0</v>
      </c>
      <c r="S97" s="166">
        <f>IF(Data[[#This Row],[Bookie]]="","",SUMIFS(BetTable[S3],BetTable[B3],(VLOOKUP(ROW()-3,BookieName[],2,FALSE)),BetTable[AR],""))</f>
        <v>0</v>
      </c>
      <c r="T97" s="166">
        <f>IF(Data[[#This Row],[Bookie]]="","",SUMIFS(LayTable[BookieInnsats],LayTable[Bookmaker],(VLOOKUP(ROW()-3,BookieName[],2,FALSE)),LayTable[Faktisk res],""))</f>
        <v>0</v>
      </c>
      <c r="U97" s="166">
        <f>IF(Data[[#This Row],[Bookie]]="","",SUMIFS(LayTable[LayLiability],LayTable[Lay-bookie],(VLOOKUP(ROW()-3,BookieName[],2,FALSE)),LayTable[Faktisk res],""))</f>
        <v>0</v>
      </c>
    </row>
    <row r="98" spans="1:21">
      <c r="A98" s="165">
        <f t="shared" si="3"/>
        <v>95</v>
      </c>
      <c r="B98" s="166" t="str">
        <f>IFERROR(VLOOKUP(ROW()-3,BookieName[],3,FALSE),"")</f>
        <v>AaGuts</v>
      </c>
      <c r="C98" s="167">
        <f>IF(Data[[#This Row],[Bookie]]="","",SUM(Data[[#This Row],[D/W]:[Bonus and Adjustments]],))</f>
        <v>0</v>
      </c>
      <c r="D98" s="167">
        <f>IF(Data[[#This Row],[Bookie]]="","",SUMIF(DWbooks[Bookmaker],(VLOOKUP(ROW()-3,BookieName[],2,FALSE)),DWbooks[Sum]))</f>
        <v>0</v>
      </c>
      <c r="E98" s="165">
        <f>IF(Data[[#This Row],[Bookie]]="","",SUMIF(BetTable[B1],(VLOOKUP(ROW()-3,BookieName[],2,FALSE)),BetTable[S1])*-1)</f>
        <v>0</v>
      </c>
      <c r="F98" s="165">
        <f>IF(Data[[#This Row],[Bookie]]="","",SUMIF(BetTable[B2],(VLOOKUP(ROW()-3,BookieName[],2,FALSE)),BetTable[S2])*-1)</f>
        <v>0</v>
      </c>
      <c r="G98" s="165">
        <f>IF(Data[[#This Row],[Bookie]]="","",SUMIF(BetTable[B3],(VLOOKUP(ROW()-3,BookieName[],2,FALSE)),BetTable[S3])*-1)</f>
        <v>0</v>
      </c>
      <c r="H98" s="165">
        <f>IF(Data[[#This Row],[Bookie]]="","",SUMIF(BetTable[B1],(VLOOKUP(ROW()-3,BookieName[],2,FALSE)),BetTable[WBA1]))</f>
        <v>0</v>
      </c>
      <c r="I98" s="165">
        <f>IF(Data[[#This Row],[Bookie]]="","",SUMIF(BetTable[B2],(VLOOKUP(ROW()-3,BookieName[],2,FALSE)),BetTable[WBA2]))</f>
        <v>0</v>
      </c>
      <c r="J98" s="165">
        <f>IF(Data[[#This Row],[Bookie]]="","",SUMIF(BetTable[B3],(VLOOKUP(ROW()-3,BookieName[],2,FALSE)),BetTable[WBA3]))</f>
        <v>0</v>
      </c>
      <c r="K98" s="166">
        <f>IF(Data[[#This Row],[Bookie]]="","",SUMIF(LayTable[Bookmaker],(VLOOKUP(ROW()-3,BookieName[],2,FALSE)),LayTable[BookieInnsats])*-1)</f>
        <v>0</v>
      </c>
      <c r="L98" s="166">
        <f>IF(Data[[#This Row],[Bookie]]="","",SUMIF(LayTable[Lay-bookie],(VLOOKUP(ROW()-3,BookieName[],2,FALSE)),LayTable[LayLiability])*-1)</f>
        <v>0</v>
      </c>
      <c r="M98" s="166">
        <f>IF(Data[[#This Row],[Bookie]]="","",SUMIF(LayTable[Bookmaker],(VLOOKUP(ROW()-3,BookieName[],2,FALSE)),LayTable[WBABack]))</f>
        <v>0</v>
      </c>
      <c r="N98" s="166">
        <f>IF(Data[[#This Row],[Bookie]]="","",SUMIF(LayTable[Lay-bookie],(VLOOKUP(ROW()-3,BookieName[],2,FALSE)),LayTable[WBALay]))</f>
        <v>0</v>
      </c>
      <c r="O98" s="166">
        <f>IF(Data[[#This Row],[Bookie]]="","",SUMIF(DWbonus[Bookie],(VLOOKUP(ROW()-3,BookieName[],2,FALSE)),DWbonus[Sum]))</f>
        <v>0</v>
      </c>
      <c r="P98" s="166">
        <f>IF(Data[[#This Row],[Bookie]]="","",SUM(Data[[#This Row],[Pending 1]:[PendingL2]]))</f>
        <v>0</v>
      </c>
      <c r="Q98" s="166">
        <f>IF(Data[[#This Row],[Bookie]]="","",SUMIFS(BetTable[S1],BetTable[B1],(VLOOKUP(ROW()-3,BookieName[],2,FALSE)),BetTable[AR],""))</f>
        <v>0</v>
      </c>
      <c r="R98" s="166">
        <f>IF(Data[[#This Row],[Bookie]]="","",SUMIFS(BetTable[S2],BetTable[B2],(VLOOKUP(ROW()-3,BookieName[],2,FALSE)),BetTable[AR],""))</f>
        <v>0</v>
      </c>
      <c r="S98" s="166">
        <f>IF(Data[[#This Row],[Bookie]]="","",SUMIFS(BetTable[S3],BetTable[B3],(VLOOKUP(ROW()-3,BookieName[],2,FALSE)),BetTable[AR],""))</f>
        <v>0</v>
      </c>
      <c r="T98" s="166">
        <f>IF(Data[[#This Row],[Bookie]]="","",SUMIFS(LayTable[BookieInnsats],LayTable[Bookmaker],(VLOOKUP(ROW()-3,BookieName[],2,FALSE)),LayTable[Faktisk res],""))</f>
        <v>0</v>
      </c>
      <c r="U98" s="166">
        <f>IF(Data[[#This Row],[Bookie]]="","",SUMIFS(LayTable[LayLiability],LayTable[Lay-bookie],(VLOOKUP(ROW()-3,BookieName[],2,FALSE)),LayTable[Faktisk res],""))</f>
        <v>0</v>
      </c>
    </row>
    <row r="99" spans="1:21">
      <c r="A99" s="165">
        <f t="shared" si="3"/>
        <v>96</v>
      </c>
      <c r="B99" s="166" t="str">
        <f>IFERROR(VLOOKUP(ROW()-3,BookieName[],3,FALSE),"")</f>
        <v>AaCoolbet</v>
      </c>
      <c r="C99" s="167">
        <f>IF(Data[[#This Row],[Bookie]]="","",SUM(Data[[#This Row],[D/W]:[Bonus and Adjustments]],))</f>
        <v>0</v>
      </c>
      <c r="D99" s="167">
        <f>IF(Data[[#This Row],[Bookie]]="","",SUMIF(DWbooks[Bookmaker],(VLOOKUP(ROW()-3,BookieName[],2,FALSE)),DWbooks[Sum]))</f>
        <v>0</v>
      </c>
      <c r="E99" s="165">
        <f>IF(Data[[#This Row],[Bookie]]="","",SUMIF(BetTable[B1],(VLOOKUP(ROW()-3,BookieName[],2,FALSE)),BetTable[S1])*-1)</f>
        <v>0</v>
      </c>
      <c r="F99" s="165">
        <f>IF(Data[[#This Row],[Bookie]]="","",SUMIF(BetTable[B2],(VLOOKUP(ROW()-3,BookieName[],2,FALSE)),BetTable[S2])*-1)</f>
        <v>0</v>
      </c>
      <c r="G99" s="165">
        <f>IF(Data[[#This Row],[Bookie]]="","",SUMIF(BetTable[B3],(VLOOKUP(ROW()-3,BookieName[],2,FALSE)),BetTable[S3])*-1)</f>
        <v>0</v>
      </c>
      <c r="H99" s="165">
        <f>IF(Data[[#This Row],[Bookie]]="","",SUMIF(BetTable[B1],(VLOOKUP(ROW()-3,BookieName[],2,FALSE)),BetTable[WBA1]))</f>
        <v>0</v>
      </c>
      <c r="I99" s="165">
        <f>IF(Data[[#This Row],[Bookie]]="","",SUMIF(BetTable[B2],(VLOOKUP(ROW()-3,BookieName[],2,FALSE)),BetTable[WBA2]))</f>
        <v>0</v>
      </c>
      <c r="J99" s="165">
        <f>IF(Data[[#This Row],[Bookie]]="","",SUMIF(BetTable[B3],(VLOOKUP(ROW()-3,BookieName[],2,FALSE)),BetTable[WBA3]))</f>
        <v>0</v>
      </c>
      <c r="K99" s="166">
        <f>IF(Data[[#This Row],[Bookie]]="","",SUMIF(LayTable[Bookmaker],(VLOOKUP(ROW()-3,BookieName[],2,FALSE)),LayTable[BookieInnsats])*-1)</f>
        <v>0</v>
      </c>
      <c r="L99" s="166">
        <f>IF(Data[[#This Row],[Bookie]]="","",SUMIF(LayTable[Lay-bookie],(VLOOKUP(ROW()-3,BookieName[],2,FALSE)),LayTable[LayLiability])*-1)</f>
        <v>0</v>
      </c>
      <c r="M99" s="166">
        <f>IF(Data[[#This Row],[Bookie]]="","",SUMIF(LayTable[Bookmaker],(VLOOKUP(ROW()-3,BookieName[],2,FALSE)),LayTable[WBABack]))</f>
        <v>0</v>
      </c>
      <c r="N99" s="166">
        <f>IF(Data[[#This Row],[Bookie]]="","",SUMIF(LayTable[Lay-bookie],(VLOOKUP(ROW()-3,BookieName[],2,FALSE)),LayTable[WBALay]))</f>
        <v>0</v>
      </c>
      <c r="O99" s="166">
        <f>IF(Data[[#This Row],[Bookie]]="","",SUMIF(DWbonus[Bookie],(VLOOKUP(ROW()-3,BookieName[],2,FALSE)),DWbonus[Sum]))</f>
        <v>0</v>
      </c>
      <c r="P99" s="166">
        <f>IF(Data[[#This Row],[Bookie]]="","",SUM(Data[[#This Row],[Pending 1]:[PendingL2]]))</f>
        <v>0</v>
      </c>
      <c r="Q99" s="166">
        <f>IF(Data[[#This Row],[Bookie]]="","",SUMIFS(BetTable[S1],BetTable[B1],(VLOOKUP(ROW()-3,BookieName[],2,FALSE)),BetTable[AR],""))</f>
        <v>0</v>
      </c>
      <c r="R99" s="166">
        <f>IF(Data[[#This Row],[Bookie]]="","",SUMIFS(BetTable[S2],BetTable[B2],(VLOOKUP(ROW()-3,BookieName[],2,FALSE)),BetTable[AR],""))</f>
        <v>0</v>
      </c>
      <c r="S99" s="166">
        <f>IF(Data[[#This Row],[Bookie]]="","",SUMIFS(BetTable[S3],BetTable[B3],(VLOOKUP(ROW()-3,BookieName[],2,FALSE)),BetTable[AR],""))</f>
        <v>0</v>
      </c>
      <c r="T99" s="166">
        <f>IF(Data[[#This Row],[Bookie]]="","",SUMIFS(LayTable[BookieInnsats],LayTable[Bookmaker],(VLOOKUP(ROW()-3,BookieName[],2,FALSE)),LayTable[Faktisk res],""))</f>
        <v>0</v>
      </c>
      <c r="U99" s="166">
        <f>IF(Data[[#This Row],[Bookie]]="","",SUMIFS(LayTable[LayLiability],LayTable[Lay-bookie],(VLOOKUP(ROW()-3,BookieName[],2,FALSE)),LayTable[Faktisk res],""))</f>
        <v>0</v>
      </c>
    </row>
    <row r="100" spans="1:21">
      <c r="A100" s="165">
        <f t="shared" si="3"/>
        <v>97</v>
      </c>
      <c r="B100" s="166" t="str">
        <f>IFERROR(VLOOKUP(ROW()-3,BookieName[],3,FALSE),"")</f>
        <v>Gn1Betsson</v>
      </c>
      <c r="C100" s="167">
        <f>IF(Data[[#This Row],[Bookie]]="","",SUM(Data[[#This Row],[D/W]:[Bonus and Adjustments]],))</f>
        <v>0</v>
      </c>
      <c r="D100" s="167">
        <f>IF(Data[[#This Row],[Bookie]]="","",SUMIF(DWbooks[Bookmaker],(VLOOKUP(ROW()-3,BookieName[],2,FALSE)),DWbooks[Sum]))</f>
        <v>0</v>
      </c>
      <c r="E100" s="165">
        <f>IF(Data[[#This Row],[Bookie]]="","",SUMIF(BetTable[B1],(VLOOKUP(ROW()-3,BookieName[],2,FALSE)),BetTable[S1])*-1)</f>
        <v>0</v>
      </c>
      <c r="F100" s="165">
        <f>IF(Data[[#This Row],[Bookie]]="","",SUMIF(BetTable[B2],(VLOOKUP(ROW()-3,BookieName[],2,FALSE)),BetTable[S2])*-1)</f>
        <v>0</v>
      </c>
      <c r="G100" s="165">
        <f>IF(Data[[#This Row],[Bookie]]="","",SUMIF(BetTable[B3],(VLOOKUP(ROW()-3,BookieName[],2,FALSE)),BetTable[S3])*-1)</f>
        <v>0</v>
      </c>
      <c r="H100" s="165">
        <f>IF(Data[[#This Row],[Bookie]]="","",SUMIF(BetTable[B1],(VLOOKUP(ROW()-3,BookieName[],2,FALSE)),BetTable[WBA1]))</f>
        <v>0</v>
      </c>
      <c r="I100" s="165">
        <f>IF(Data[[#This Row],[Bookie]]="","",SUMIF(BetTable[B2],(VLOOKUP(ROW()-3,BookieName[],2,FALSE)),BetTable[WBA2]))</f>
        <v>0</v>
      </c>
      <c r="J100" s="165">
        <f>IF(Data[[#This Row],[Bookie]]="","",SUMIF(BetTable[B3],(VLOOKUP(ROW()-3,BookieName[],2,FALSE)),BetTable[WBA3]))</f>
        <v>0</v>
      </c>
      <c r="K100" s="166">
        <f>IF(Data[[#This Row],[Bookie]]="","",SUMIF(LayTable[Bookmaker],(VLOOKUP(ROW()-3,BookieName[],2,FALSE)),LayTable[BookieInnsats])*-1)</f>
        <v>0</v>
      </c>
      <c r="L100" s="166">
        <f>IF(Data[[#This Row],[Bookie]]="","",SUMIF(LayTable[Lay-bookie],(VLOOKUP(ROW()-3,BookieName[],2,FALSE)),LayTable[LayLiability])*-1)</f>
        <v>0</v>
      </c>
      <c r="M100" s="166">
        <f>IF(Data[[#This Row],[Bookie]]="","",SUMIF(LayTable[Bookmaker],(VLOOKUP(ROW()-3,BookieName[],2,FALSE)),LayTable[WBABack]))</f>
        <v>0</v>
      </c>
      <c r="N100" s="166">
        <f>IF(Data[[#This Row],[Bookie]]="","",SUMIF(LayTable[Lay-bookie],(VLOOKUP(ROW()-3,BookieName[],2,FALSE)),LayTable[WBALay]))</f>
        <v>0</v>
      </c>
      <c r="O100" s="166">
        <f>IF(Data[[#This Row],[Bookie]]="","",SUMIF(DWbonus[Bookie],(VLOOKUP(ROW()-3,BookieName[],2,FALSE)),DWbonus[Sum]))</f>
        <v>0</v>
      </c>
      <c r="P100" s="166">
        <f>IF(Data[[#This Row],[Bookie]]="","",SUM(Data[[#This Row],[Pending 1]:[PendingL2]]))</f>
        <v>0</v>
      </c>
      <c r="Q100" s="166">
        <f>IF(Data[[#This Row],[Bookie]]="","",SUMIFS(BetTable[S1],BetTable[B1],(VLOOKUP(ROW()-3,BookieName[],2,FALSE)),BetTable[AR],""))</f>
        <v>0</v>
      </c>
      <c r="R100" s="166">
        <f>IF(Data[[#This Row],[Bookie]]="","",SUMIFS(BetTable[S2],BetTable[B2],(VLOOKUP(ROW()-3,BookieName[],2,FALSE)),BetTable[AR],""))</f>
        <v>0</v>
      </c>
      <c r="S100" s="166">
        <f>IF(Data[[#This Row],[Bookie]]="","",SUMIFS(BetTable[S3],BetTable[B3],(VLOOKUP(ROW()-3,BookieName[],2,FALSE)),BetTable[AR],""))</f>
        <v>0</v>
      </c>
      <c r="T100" s="166">
        <f>IF(Data[[#This Row],[Bookie]]="","",SUMIFS(LayTable[BookieInnsats],LayTable[Bookmaker],(VLOOKUP(ROW()-3,BookieName[],2,FALSE)),LayTable[Faktisk res],""))</f>
        <v>0</v>
      </c>
      <c r="U100" s="166">
        <f>IF(Data[[#This Row],[Bookie]]="","",SUMIFS(LayTable[LayLiability],LayTable[Lay-bookie],(VLOOKUP(ROW()-3,BookieName[],2,FALSE)),LayTable[Faktisk res],""))</f>
        <v>0</v>
      </c>
    </row>
    <row r="101" spans="1:21">
      <c r="A101" s="165">
        <f t="shared" si="3"/>
        <v>98</v>
      </c>
      <c r="B101" s="166" t="str">
        <f>IFERROR(VLOOKUP(ROW()-3,BookieName[],3,FALSE),"")</f>
        <v>LiMrGreen</v>
      </c>
      <c r="C101" s="167">
        <f>IF(Data[[#This Row],[Bookie]]="","",SUM(Data[[#This Row],[D/W]:[Bonus and Adjustments]],))</f>
        <v>0</v>
      </c>
      <c r="D101" s="167">
        <f>IF(Data[[#This Row],[Bookie]]="","",SUMIF(DWbooks[Bookmaker],(VLOOKUP(ROW()-3,BookieName[],2,FALSE)),DWbooks[Sum]))</f>
        <v>0</v>
      </c>
      <c r="E101" s="165">
        <f>IF(Data[[#This Row],[Bookie]]="","",SUMIF(BetTable[B1],(VLOOKUP(ROW()-3,BookieName[],2,FALSE)),BetTable[S1])*-1)</f>
        <v>0</v>
      </c>
      <c r="F101" s="165">
        <f>IF(Data[[#This Row],[Bookie]]="","",SUMIF(BetTable[B2],(VLOOKUP(ROW()-3,BookieName[],2,FALSE)),BetTable[S2])*-1)</f>
        <v>0</v>
      </c>
      <c r="G101" s="165">
        <f>IF(Data[[#This Row],[Bookie]]="","",SUMIF(BetTable[B3],(VLOOKUP(ROW()-3,BookieName[],2,FALSE)),BetTable[S3])*-1)</f>
        <v>0</v>
      </c>
      <c r="H101" s="165">
        <f>IF(Data[[#This Row],[Bookie]]="","",SUMIF(BetTable[B1],(VLOOKUP(ROW()-3,BookieName[],2,FALSE)),BetTable[WBA1]))</f>
        <v>0</v>
      </c>
      <c r="I101" s="165">
        <f>IF(Data[[#This Row],[Bookie]]="","",SUMIF(BetTable[B2],(VLOOKUP(ROW()-3,BookieName[],2,FALSE)),BetTable[WBA2]))</f>
        <v>0</v>
      </c>
      <c r="J101" s="165">
        <f>IF(Data[[#This Row],[Bookie]]="","",SUMIF(BetTable[B3],(VLOOKUP(ROW()-3,BookieName[],2,FALSE)),BetTable[WBA3]))</f>
        <v>0</v>
      </c>
      <c r="K101" s="166">
        <f>IF(Data[[#This Row],[Bookie]]="","",SUMIF(LayTable[Bookmaker],(VLOOKUP(ROW()-3,BookieName[],2,FALSE)),LayTable[BookieInnsats])*-1)</f>
        <v>0</v>
      </c>
      <c r="L101" s="166">
        <f>IF(Data[[#This Row],[Bookie]]="","",SUMIF(LayTable[Lay-bookie],(VLOOKUP(ROW()-3,BookieName[],2,FALSE)),LayTable[LayLiability])*-1)</f>
        <v>0</v>
      </c>
      <c r="M101" s="166">
        <f>IF(Data[[#This Row],[Bookie]]="","",SUMIF(LayTable[Bookmaker],(VLOOKUP(ROW()-3,BookieName[],2,FALSE)),LayTable[WBABack]))</f>
        <v>0</v>
      </c>
      <c r="N101" s="166">
        <f>IF(Data[[#This Row],[Bookie]]="","",SUMIF(LayTable[Lay-bookie],(VLOOKUP(ROW()-3,BookieName[],2,FALSE)),LayTable[WBALay]))</f>
        <v>0</v>
      </c>
      <c r="O101" s="166">
        <f>IF(Data[[#This Row],[Bookie]]="","",SUMIF(DWbonus[Bookie],(VLOOKUP(ROW()-3,BookieName[],2,FALSE)),DWbonus[Sum]))</f>
        <v>0</v>
      </c>
      <c r="P101" s="166">
        <f>IF(Data[[#This Row],[Bookie]]="","",SUM(Data[[#This Row],[Pending 1]:[PendingL2]]))</f>
        <v>0</v>
      </c>
      <c r="Q101" s="166">
        <f>IF(Data[[#This Row],[Bookie]]="","",SUMIFS(BetTable[S1],BetTable[B1],(VLOOKUP(ROW()-3,BookieName[],2,FALSE)),BetTable[AR],""))</f>
        <v>0</v>
      </c>
      <c r="R101" s="166">
        <f>IF(Data[[#This Row],[Bookie]]="","",SUMIFS(BetTable[S2],BetTable[B2],(VLOOKUP(ROW()-3,BookieName[],2,FALSE)),BetTable[AR],""))</f>
        <v>0</v>
      </c>
      <c r="S101" s="166">
        <f>IF(Data[[#This Row],[Bookie]]="","",SUMIFS(BetTable[S3],BetTable[B3],(VLOOKUP(ROW()-3,BookieName[],2,FALSE)),BetTable[AR],""))</f>
        <v>0</v>
      </c>
      <c r="T101" s="166">
        <f>IF(Data[[#This Row],[Bookie]]="","",SUMIFS(LayTable[BookieInnsats],LayTable[Bookmaker],(VLOOKUP(ROW()-3,BookieName[],2,FALSE)),LayTable[Faktisk res],""))</f>
        <v>0</v>
      </c>
      <c r="U101" s="166">
        <f>IF(Data[[#This Row],[Bookie]]="","",SUMIFS(LayTable[LayLiability],LayTable[Lay-bookie],(VLOOKUP(ROW()-3,BookieName[],2,FALSE)),LayTable[Faktisk res],""))</f>
        <v>0</v>
      </c>
    </row>
    <row r="102" spans="1:21">
      <c r="A102" s="165">
        <f t="shared" si="3"/>
        <v>99</v>
      </c>
      <c r="B102" s="166" t="str">
        <f>IFERROR(VLOOKUP(ROW()-3,BookieName[],3,FALSE),"")</f>
        <v>AaMrGreen</v>
      </c>
      <c r="C102" s="167">
        <f>IF(Data[[#This Row],[Bookie]]="","",SUM(Data[[#This Row],[D/W]:[Bonus and Adjustments]],))</f>
        <v>0</v>
      </c>
      <c r="D102" s="167">
        <f>IF(Data[[#This Row],[Bookie]]="","",SUMIF(DWbooks[Bookmaker],(VLOOKUP(ROW()-3,BookieName[],2,FALSE)),DWbooks[Sum]))</f>
        <v>0</v>
      </c>
      <c r="E102" s="165">
        <f>IF(Data[[#This Row],[Bookie]]="","",SUMIF(BetTable[B1],(VLOOKUP(ROW()-3,BookieName[],2,FALSE)),BetTable[S1])*-1)</f>
        <v>0</v>
      </c>
      <c r="F102" s="165">
        <f>IF(Data[[#This Row],[Bookie]]="","",SUMIF(BetTable[B2],(VLOOKUP(ROW()-3,BookieName[],2,FALSE)),BetTable[S2])*-1)</f>
        <v>0</v>
      </c>
      <c r="G102" s="165">
        <f>IF(Data[[#This Row],[Bookie]]="","",SUMIF(BetTable[B3],(VLOOKUP(ROW()-3,BookieName[],2,FALSE)),BetTable[S3])*-1)</f>
        <v>0</v>
      </c>
      <c r="H102" s="165">
        <f>IF(Data[[#This Row],[Bookie]]="","",SUMIF(BetTable[B1],(VLOOKUP(ROW()-3,BookieName[],2,FALSE)),BetTable[WBA1]))</f>
        <v>0</v>
      </c>
      <c r="I102" s="165">
        <f>IF(Data[[#This Row],[Bookie]]="","",SUMIF(BetTable[B2],(VLOOKUP(ROW()-3,BookieName[],2,FALSE)),BetTable[WBA2]))</f>
        <v>0</v>
      </c>
      <c r="J102" s="165">
        <f>IF(Data[[#This Row],[Bookie]]="","",SUMIF(BetTable[B3],(VLOOKUP(ROW()-3,BookieName[],2,FALSE)),BetTable[WBA3]))</f>
        <v>0</v>
      </c>
      <c r="K102" s="166">
        <f>IF(Data[[#This Row],[Bookie]]="","",SUMIF(LayTable[Bookmaker],(VLOOKUP(ROW()-3,BookieName[],2,FALSE)),LayTable[BookieInnsats])*-1)</f>
        <v>0</v>
      </c>
      <c r="L102" s="166">
        <f>IF(Data[[#This Row],[Bookie]]="","",SUMIF(LayTable[Lay-bookie],(VLOOKUP(ROW()-3,BookieName[],2,FALSE)),LayTable[LayLiability])*-1)</f>
        <v>0</v>
      </c>
      <c r="M102" s="166">
        <f>IF(Data[[#This Row],[Bookie]]="","",SUMIF(LayTable[Bookmaker],(VLOOKUP(ROW()-3,BookieName[],2,FALSE)),LayTable[WBABack]))</f>
        <v>0</v>
      </c>
      <c r="N102" s="166">
        <f>IF(Data[[#This Row],[Bookie]]="","",SUMIF(LayTable[Lay-bookie],(VLOOKUP(ROW()-3,BookieName[],2,FALSE)),LayTable[WBALay]))</f>
        <v>0</v>
      </c>
      <c r="O102" s="166">
        <f>IF(Data[[#This Row],[Bookie]]="","",SUMIF(DWbonus[Bookie],(VLOOKUP(ROW()-3,BookieName[],2,FALSE)),DWbonus[Sum]))</f>
        <v>0</v>
      </c>
      <c r="P102" s="166">
        <f>IF(Data[[#This Row],[Bookie]]="","",SUM(Data[[#This Row],[Pending 1]:[PendingL2]]))</f>
        <v>0</v>
      </c>
      <c r="Q102" s="166">
        <f>IF(Data[[#This Row],[Bookie]]="","",SUMIFS(BetTable[S1],BetTable[B1],(VLOOKUP(ROW()-3,BookieName[],2,FALSE)),BetTable[AR],""))</f>
        <v>0</v>
      </c>
      <c r="R102" s="166">
        <f>IF(Data[[#This Row],[Bookie]]="","",SUMIFS(BetTable[S2],BetTable[B2],(VLOOKUP(ROW()-3,BookieName[],2,FALSE)),BetTable[AR],""))</f>
        <v>0</v>
      </c>
      <c r="S102" s="166">
        <f>IF(Data[[#This Row],[Bookie]]="","",SUMIFS(BetTable[S3],BetTable[B3],(VLOOKUP(ROW()-3,BookieName[],2,FALSE)),BetTable[AR],""))</f>
        <v>0</v>
      </c>
      <c r="T102" s="166">
        <f>IF(Data[[#This Row],[Bookie]]="","",SUMIFS(LayTable[BookieInnsats],LayTable[Bookmaker],(VLOOKUP(ROW()-3,BookieName[],2,FALSE)),LayTable[Faktisk res],""))</f>
        <v>0</v>
      </c>
      <c r="U102" s="166">
        <f>IF(Data[[#This Row],[Bookie]]="","",SUMIFS(LayTable[LayLiability],LayTable[Lay-bookie],(VLOOKUP(ROW()-3,BookieName[],2,FALSE)),LayTable[Faktisk res],""))</f>
        <v>0</v>
      </c>
    </row>
    <row r="103" spans="1:21">
      <c r="A103" s="165">
        <f t="shared" si="3"/>
        <v>100</v>
      </c>
      <c r="B103" s="166" t="str">
        <f>IFERROR(VLOOKUP(ROW()-3,BookieName[],3,FALSE),"")</f>
        <v>AaFolkeautomaten</v>
      </c>
      <c r="C103" s="167">
        <f>IF(Data[[#This Row],[Bookie]]="","",SUM(Data[[#This Row],[D/W]:[Bonus and Adjustments]],))</f>
        <v>0</v>
      </c>
      <c r="D103" s="167">
        <f>IF(Data[[#This Row],[Bookie]]="","",SUMIF(DWbooks[Bookmaker],(VLOOKUP(ROW()-3,BookieName[],2,FALSE)),DWbooks[Sum]))</f>
        <v>0</v>
      </c>
      <c r="E103" s="165">
        <f>IF(Data[[#This Row],[Bookie]]="","",SUMIF(BetTable[B1],(VLOOKUP(ROW()-3,BookieName[],2,FALSE)),BetTable[S1])*-1)</f>
        <v>0</v>
      </c>
      <c r="F103" s="165">
        <f>IF(Data[[#This Row],[Bookie]]="","",SUMIF(BetTable[B2],(VLOOKUP(ROW()-3,BookieName[],2,FALSE)),BetTable[S2])*-1)</f>
        <v>0</v>
      </c>
      <c r="G103" s="165">
        <f>IF(Data[[#This Row],[Bookie]]="","",SUMIF(BetTable[B3],(VLOOKUP(ROW()-3,BookieName[],2,FALSE)),BetTable[S3])*-1)</f>
        <v>0</v>
      </c>
      <c r="H103" s="165">
        <f>IF(Data[[#This Row],[Bookie]]="","",SUMIF(BetTable[B1],(VLOOKUP(ROW()-3,BookieName[],2,FALSE)),BetTable[WBA1]))</f>
        <v>0</v>
      </c>
      <c r="I103" s="165">
        <f>IF(Data[[#This Row],[Bookie]]="","",SUMIF(BetTable[B2],(VLOOKUP(ROW()-3,BookieName[],2,FALSE)),BetTable[WBA2]))</f>
        <v>0</v>
      </c>
      <c r="J103" s="165">
        <f>IF(Data[[#This Row],[Bookie]]="","",SUMIF(BetTable[B3],(VLOOKUP(ROW()-3,BookieName[],2,FALSE)),BetTable[WBA3]))</f>
        <v>0</v>
      </c>
      <c r="K103" s="166">
        <f>IF(Data[[#This Row],[Bookie]]="","",SUMIF(LayTable[Bookmaker],(VLOOKUP(ROW()-3,BookieName[],2,FALSE)),LayTable[BookieInnsats])*-1)</f>
        <v>0</v>
      </c>
      <c r="L103" s="166">
        <f>IF(Data[[#This Row],[Bookie]]="","",SUMIF(LayTable[Lay-bookie],(VLOOKUP(ROW()-3,BookieName[],2,FALSE)),LayTable[LayLiability])*-1)</f>
        <v>0</v>
      </c>
      <c r="M103" s="166">
        <f>IF(Data[[#This Row],[Bookie]]="","",SUMIF(LayTable[Bookmaker],(VLOOKUP(ROW()-3,BookieName[],2,FALSE)),LayTable[WBABack]))</f>
        <v>0</v>
      </c>
      <c r="N103" s="166">
        <f>IF(Data[[#This Row],[Bookie]]="","",SUMIF(LayTable[Lay-bookie],(VLOOKUP(ROW()-3,BookieName[],2,FALSE)),LayTable[WBALay]))</f>
        <v>0</v>
      </c>
      <c r="O103" s="166">
        <f>IF(Data[[#This Row],[Bookie]]="","",SUMIF(DWbonus[Bookie],(VLOOKUP(ROW()-3,BookieName[],2,FALSE)),DWbonus[Sum]))</f>
        <v>0</v>
      </c>
      <c r="P103" s="166">
        <f>IF(Data[[#This Row],[Bookie]]="","",SUM(Data[[#This Row],[Pending 1]:[PendingL2]]))</f>
        <v>0</v>
      </c>
      <c r="Q103" s="166">
        <f>IF(Data[[#This Row],[Bookie]]="","",SUMIFS(BetTable[S1],BetTable[B1],(VLOOKUP(ROW()-3,BookieName[],2,FALSE)),BetTable[AR],""))</f>
        <v>0</v>
      </c>
      <c r="R103" s="166">
        <f>IF(Data[[#This Row],[Bookie]]="","",SUMIFS(BetTable[S2],BetTable[B2],(VLOOKUP(ROW()-3,BookieName[],2,FALSE)),BetTable[AR],""))</f>
        <v>0</v>
      </c>
      <c r="S103" s="166">
        <f>IF(Data[[#This Row],[Bookie]]="","",SUMIFS(BetTable[S3],BetTable[B3],(VLOOKUP(ROW()-3,BookieName[],2,FALSE)),BetTable[AR],""))</f>
        <v>0</v>
      </c>
      <c r="T103" s="166">
        <f>IF(Data[[#This Row],[Bookie]]="","",SUMIFS(LayTable[BookieInnsats],LayTable[Bookmaker],(VLOOKUP(ROW()-3,BookieName[],2,FALSE)),LayTable[Faktisk res],""))</f>
        <v>0</v>
      </c>
      <c r="U103" s="166">
        <f>IF(Data[[#This Row],[Bookie]]="","",SUMIFS(LayTable[LayLiability],LayTable[Lay-bookie],(VLOOKUP(ROW()-3,BookieName[],2,FALSE)),LayTable[Faktisk res],""))</f>
        <v>0</v>
      </c>
    </row>
    <row r="104" spans="1:21">
      <c r="A104" s="165">
        <f t="shared" ref="A104:A107" si="4">ROW()-3</f>
        <v>101</v>
      </c>
      <c r="B104" s="166">
        <f>IFERROR(VLOOKUP(ROW()-3,BookieName[],3,FALSE),"")</f>
        <v>0</v>
      </c>
      <c r="C104" s="167">
        <f>IF(Data[[#This Row],[Bookie]]="","",SUM(Data[[#This Row],[D/W]:[Bonus and Adjustments]],))</f>
        <v>0</v>
      </c>
      <c r="D104" s="167">
        <f>IF(Data[[#This Row],[Bookie]]="","",SUMIF(DWbooks[Bookmaker],(VLOOKUP(ROW()-3,BookieName[],2,FALSE)),DWbooks[Sum]))</f>
        <v>0</v>
      </c>
      <c r="E104" s="165">
        <f>IF(Data[[#This Row],[Bookie]]="","",SUMIF(BetTable[B1],(VLOOKUP(ROW()-3,BookieName[],2,FALSE)),BetTable[S1])*-1)</f>
        <v>0</v>
      </c>
      <c r="F104" s="165">
        <f>IF(Data[[#This Row],[Bookie]]="","",SUMIF(BetTable[B2],(VLOOKUP(ROW()-3,BookieName[],2,FALSE)),BetTable[S2])*-1)</f>
        <v>0</v>
      </c>
      <c r="G104" s="165">
        <f>IF(Data[[#This Row],[Bookie]]="","",SUMIF(BetTable[B3],(VLOOKUP(ROW()-3,BookieName[],2,FALSE)),BetTable[S3])*-1)</f>
        <v>0</v>
      </c>
      <c r="H104" s="165">
        <f>IF(Data[[#This Row],[Bookie]]="","",SUMIF(BetTable[B1],(VLOOKUP(ROW()-3,BookieName[],2,FALSE)),BetTable[WBA1]))</f>
        <v>0</v>
      </c>
      <c r="I104" s="165">
        <f>IF(Data[[#This Row],[Bookie]]="","",SUMIF(BetTable[B2],(VLOOKUP(ROW()-3,BookieName[],2,FALSE)),BetTable[WBA2]))</f>
        <v>0</v>
      </c>
      <c r="J104" s="165">
        <f>IF(Data[[#This Row],[Bookie]]="","",SUMIF(BetTable[B3],(VLOOKUP(ROW()-3,BookieName[],2,FALSE)),BetTable[WBA3]))</f>
        <v>0</v>
      </c>
      <c r="K104" s="166">
        <f>IF(Data[[#This Row],[Bookie]]="","",SUMIF(LayTable[Bookmaker],(VLOOKUP(ROW()-3,BookieName[],2,FALSE)),LayTable[BookieInnsats])*-1)</f>
        <v>0</v>
      </c>
      <c r="L104" s="166">
        <f>IF(Data[[#This Row],[Bookie]]="","",SUMIF(LayTable[Lay-bookie],(VLOOKUP(ROW()-3,BookieName[],2,FALSE)),LayTable[LayLiability])*-1)</f>
        <v>0</v>
      </c>
      <c r="M104" s="166">
        <f>IF(Data[[#This Row],[Bookie]]="","",SUMIF(LayTable[Bookmaker],(VLOOKUP(ROW()-3,BookieName[],2,FALSE)),LayTable[WBABack]))</f>
        <v>0</v>
      </c>
      <c r="N104" s="166">
        <f>IF(Data[[#This Row],[Bookie]]="","",SUMIF(LayTable[Lay-bookie],(VLOOKUP(ROW()-3,BookieName[],2,FALSE)),LayTable[WBALay]))</f>
        <v>0</v>
      </c>
      <c r="O104" s="166">
        <f>IF(Data[[#This Row],[Bookie]]="","",SUMIF(DWbonus[Bookie],(VLOOKUP(ROW()-3,BookieName[],2,FALSE)),DWbonus[Sum]))</f>
        <v>0</v>
      </c>
      <c r="P104" s="166">
        <f>IF(Data[[#This Row],[Bookie]]="","",SUM(Data[[#This Row],[Pending 1]:[PendingL2]]))</f>
        <v>0</v>
      </c>
      <c r="Q104" s="166">
        <f>IF(Data[[#This Row],[Bookie]]="","",SUMIFS(BetTable[S1],BetTable[B1],(VLOOKUP(ROW()-3,BookieName[],2,FALSE)),BetTable[AR],""))</f>
        <v>0</v>
      </c>
      <c r="R104" s="166">
        <f>IF(Data[[#This Row],[Bookie]]="","",SUMIFS(BetTable[S2],BetTable[B2],(VLOOKUP(ROW()-3,BookieName[],2,FALSE)),BetTable[AR],""))</f>
        <v>0</v>
      </c>
      <c r="S104" s="166">
        <f>IF(Data[[#This Row],[Bookie]]="","",SUMIFS(BetTable[S3],BetTable[B3],(VLOOKUP(ROW()-3,BookieName[],2,FALSE)),BetTable[AR],""))</f>
        <v>0</v>
      </c>
      <c r="T104" s="166">
        <f>IF(Data[[#This Row],[Bookie]]="","",SUMIFS(LayTable[BookieInnsats],LayTable[Bookmaker],(VLOOKUP(ROW()-3,BookieName[],2,FALSE)),LayTable[Faktisk res],""))</f>
        <v>0</v>
      </c>
      <c r="U104" s="166">
        <f>IF(Data[[#This Row],[Bookie]]="","",SUMIFS(LayTable[LayLiability],LayTable[Lay-bookie],(VLOOKUP(ROW()-3,BookieName[],2,FALSE)),LayTable[Faktisk res],""))</f>
        <v>0</v>
      </c>
    </row>
    <row r="105" spans="1:21">
      <c r="A105" s="165">
        <f t="shared" si="4"/>
        <v>102</v>
      </c>
      <c r="B105" s="166">
        <f>IFERROR(VLOOKUP(ROW()-3,BookieName[],3,FALSE),"")</f>
        <v>0</v>
      </c>
      <c r="C105" s="167">
        <f>IF(Data[[#This Row],[Bookie]]="","",SUM(Data[[#This Row],[D/W]:[Bonus and Adjustments]],))</f>
        <v>0</v>
      </c>
      <c r="D105" s="167">
        <f>IF(Data[[#This Row],[Bookie]]="","",SUMIF(DWbooks[Bookmaker],(VLOOKUP(ROW()-3,BookieName[],2,FALSE)),DWbooks[Sum]))</f>
        <v>0</v>
      </c>
      <c r="E105" s="165">
        <f>IF(Data[[#This Row],[Bookie]]="","",SUMIF(BetTable[B1],(VLOOKUP(ROW()-3,BookieName[],2,FALSE)),BetTable[S1])*-1)</f>
        <v>0</v>
      </c>
      <c r="F105" s="165">
        <f>IF(Data[[#This Row],[Bookie]]="","",SUMIF(BetTable[B2],(VLOOKUP(ROW()-3,BookieName[],2,FALSE)),BetTable[S2])*-1)</f>
        <v>0</v>
      </c>
      <c r="G105" s="165">
        <f>IF(Data[[#This Row],[Bookie]]="","",SUMIF(BetTable[B3],(VLOOKUP(ROW()-3,BookieName[],2,FALSE)),BetTable[S3])*-1)</f>
        <v>0</v>
      </c>
      <c r="H105" s="165">
        <f>IF(Data[[#This Row],[Bookie]]="","",SUMIF(BetTable[B1],(VLOOKUP(ROW()-3,BookieName[],2,FALSE)),BetTable[WBA1]))</f>
        <v>0</v>
      </c>
      <c r="I105" s="165">
        <f>IF(Data[[#This Row],[Bookie]]="","",SUMIF(BetTable[B2],(VLOOKUP(ROW()-3,BookieName[],2,FALSE)),BetTable[WBA2]))</f>
        <v>0</v>
      </c>
      <c r="J105" s="165">
        <f>IF(Data[[#This Row],[Bookie]]="","",SUMIF(BetTable[B3],(VLOOKUP(ROW()-3,BookieName[],2,FALSE)),BetTable[WBA3]))</f>
        <v>0</v>
      </c>
      <c r="K105" s="166">
        <f>IF(Data[[#This Row],[Bookie]]="","",SUMIF(LayTable[Bookmaker],(VLOOKUP(ROW()-3,BookieName[],2,FALSE)),LayTable[BookieInnsats])*-1)</f>
        <v>0</v>
      </c>
      <c r="L105" s="166">
        <f>IF(Data[[#This Row],[Bookie]]="","",SUMIF(LayTable[Lay-bookie],(VLOOKUP(ROW()-3,BookieName[],2,FALSE)),LayTable[LayLiability])*-1)</f>
        <v>0</v>
      </c>
      <c r="M105" s="166">
        <f>IF(Data[[#This Row],[Bookie]]="","",SUMIF(LayTable[Bookmaker],(VLOOKUP(ROW()-3,BookieName[],2,FALSE)),LayTable[WBABack]))</f>
        <v>0</v>
      </c>
      <c r="N105" s="166">
        <f>IF(Data[[#This Row],[Bookie]]="","",SUMIF(LayTable[Lay-bookie],(VLOOKUP(ROW()-3,BookieName[],2,FALSE)),LayTable[WBALay]))</f>
        <v>0</v>
      </c>
      <c r="O105" s="166">
        <f>IF(Data[[#This Row],[Bookie]]="","",SUMIF(DWbonus[Bookie],(VLOOKUP(ROW()-3,BookieName[],2,FALSE)),DWbonus[Sum]))</f>
        <v>0</v>
      </c>
      <c r="P105" s="166">
        <f>IF(Data[[#This Row],[Bookie]]="","",SUM(Data[[#This Row],[Pending 1]:[PendingL2]]))</f>
        <v>0</v>
      </c>
      <c r="Q105" s="166">
        <f>IF(Data[[#This Row],[Bookie]]="","",SUMIFS(BetTable[S1],BetTable[B1],(VLOOKUP(ROW()-3,BookieName[],2,FALSE)),BetTable[AR],""))</f>
        <v>0</v>
      </c>
      <c r="R105" s="166">
        <f>IF(Data[[#This Row],[Bookie]]="","",SUMIFS(BetTable[S2],BetTable[B2],(VLOOKUP(ROW()-3,BookieName[],2,FALSE)),BetTable[AR],""))</f>
        <v>0</v>
      </c>
      <c r="S105" s="166">
        <f>IF(Data[[#This Row],[Bookie]]="","",SUMIFS(BetTable[S3],BetTable[B3],(VLOOKUP(ROW()-3,BookieName[],2,FALSE)),BetTable[AR],""))</f>
        <v>0</v>
      </c>
      <c r="T105" s="166">
        <f>IF(Data[[#This Row],[Bookie]]="","",SUMIFS(LayTable[BookieInnsats],LayTable[Bookmaker],(VLOOKUP(ROW()-3,BookieName[],2,FALSE)),LayTable[Faktisk res],""))</f>
        <v>0</v>
      </c>
      <c r="U105" s="166">
        <f>IF(Data[[#This Row],[Bookie]]="","",SUMIFS(LayTable[LayLiability],LayTable[Lay-bookie],(VLOOKUP(ROW()-3,BookieName[],2,FALSE)),LayTable[Faktisk res],""))</f>
        <v>0</v>
      </c>
    </row>
    <row r="106" spans="1:21">
      <c r="A106" s="165">
        <f t="shared" si="4"/>
        <v>103</v>
      </c>
      <c r="B106" s="166">
        <f>IFERROR(VLOOKUP(ROW()-3,BookieName[],3,FALSE),"")</f>
        <v>0</v>
      </c>
      <c r="C106" s="167">
        <f>IF(Data[[#This Row],[Bookie]]="","",SUM(Data[[#This Row],[D/W]:[Bonus and Adjustments]],))</f>
        <v>0</v>
      </c>
      <c r="D106" s="167">
        <f>IF(Data[[#This Row],[Bookie]]="","",SUMIF(DWbooks[Bookmaker],(VLOOKUP(ROW()-3,BookieName[],2,FALSE)),DWbooks[Sum]))</f>
        <v>0</v>
      </c>
      <c r="E106" s="165">
        <f>IF(Data[[#This Row],[Bookie]]="","",SUMIF(BetTable[B1],(VLOOKUP(ROW()-3,BookieName[],2,FALSE)),BetTable[S1])*-1)</f>
        <v>0</v>
      </c>
      <c r="F106" s="165">
        <f>IF(Data[[#This Row],[Bookie]]="","",SUMIF(BetTable[B2],(VLOOKUP(ROW()-3,BookieName[],2,FALSE)),BetTable[S2])*-1)</f>
        <v>0</v>
      </c>
      <c r="G106" s="165">
        <f>IF(Data[[#This Row],[Bookie]]="","",SUMIF(BetTable[B3],(VLOOKUP(ROW()-3,BookieName[],2,FALSE)),BetTable[S3])*-1)</f>
        <v>0</v>
      </c>
      <c r="H106" s="165">
        <f>IF(Data[[#This Row],[Bookie]]="","",SUMIF(BetTable[B1],(VLOOKUP(ROW()-3,BookieName[],2,FALSE)),BetTable[WBA1]))</f>
        <v>0</v>
      </c>
      <c r="I106" s="165">
        <f>IF(Data[[#This Row],[Bookie]]="","",SUMIF(BetTable[B2],(VLOOKUP(ROW()-3,BookieName[],2,FALSE)),BetTable[WBA2]))</f>
        <v>0</v>
      </c>
      <c r="J106" s="165">
        <f>IF(Data[[#This Row],[Bookie]]="","",SUMIF(BetTable[B3],(VLOOKUP(ROW()-3,BookieName[],2,FALSE)),BetTable[WBA3]))</f>
        <v>0</v>
      </c>
      <c r="K106" s="166">
        <f>IF(Data[[#This Row],[Bookie]]="","",SUMIF(LayTable[Bookmaker],(VLOOKUP(ROW()-3,BookieName[],2,FALSE)),LayTable[BookieInnsats])*-1)</f>
        <v>0</v>
      </c>
      <c r="L106" s="166">
        <f>IF(Data[[#This Row],[Bookie]]="","",SUMIF(LayTable[Lay-bookie],(VLOOKUP(ROW()-3,BookieName[],2,FALSE)),LayTable[LayLiability])*-1)</f>
        <v>0</v>
      </c>
      <c r="M106" s="166">
        <f>IF(Data[[#This Row],[Bookie]]="","",SUMIF(LayTable[Bookmaker],(VLOOKUP(ROW()-3,BookieName[],2,FALSE)),LayTable[WBABack]))</f>
        <v>0</v>
      </c>
      <c r="N106" s="166">
        <f>IF(Data[[#This Row],[Bookie]]="","",SUMIF(LayTable[Lay-bookie],(VLOOKUP(ROW()-3,BookieName[],2,FALSE)),LayTable[WBALay]))</f>
        <v>0</v>
      </c>
      <c r="O106" s="166">
        <f>IF(Data[[#This Row],[Bookie]]="","",SUMIF(DWbonus[Bookie],(VLOOKUP(ROW()-3,BookieName[],2,FALSE)),DWbonus[Sum]))</f>
        <v>0</v>
      </c>
      <c r="P106" s="166">
        <f>IF(Data[[#This Row],[Bookie]]="","",SUM(Data[[#This Row],[Pending 1]:[PendingL2]]))</f>
        <v>0</v>
      </c>
      <c r="Q106" s="166">
        <f>IF(Data[[#This Row],[Bookie]]="","",SUMIFS(BetTable[S1],BetTable[B1],(VLOOKUP(ROW()-3,BookieName[],2,FALSE)),BetTable[AR],""))</f>
        <v>0</v>
      </c>
      <c r="R106" s="166">
        <f>IF(Data[[#This Row],[Bookie]]="","",SUMIFS(BetTable[S2],BetTable[B2],(VLOOKUP(ROW()-3,BookieName[],2,FALSE)),BetTable[AR],""))</f>
        <v>0</v>
      </c>
      <c r="S106" s="166">
        <f>IF(Data[[#This Row],[Bookie]]="","",SUMIFS(BetTable[S3],BetTable[B3],(VLOOKUP(ROW()-3,BookieName[],2,FALSE)),BetTable[AR],""))</f>
        <v>0</v>
      </c>
      <c r="T106" s="166">
        <f>IF(Data[[#This Row],[Bookie]]="","",SUMIFS(LayTable[BookieInnsats],LayTable[Bookmaker],(VLOOKUP(ROW()-3,BookieName[],2,FALSE)),LayTable[Faktisk res],""))</f>
        <v>0</v>
      </c>
      <c r="U106" s="166">
        <f>IF(Data[[#This Row],[Bookie]]="","",SUMIFS(LayTable[LayLiability],LayTable[Lay-bookie],(VLOOKUP(ROW()-3,BookieName[],2,FALSE)),LayTable[Faktisk res],""))</f>
        <v>0</v>
      </c>
    </row>
    <row r="107" spans="1:21">
      <c r="A107" s="165">
        <f t="shared" si="4"/>
        <v>104</v>
      </c>
      <c r="B107" s="166">
        <f>IFERROR(VLOOKUP(ROW()-3,BookieName[],3,FALSE),"")</f>
        <v>0</v>
      </c>
      <c r="C107" s="167">
        <f>IF(Data[[#This Row],[Bookie]]="","",SUM(Data[[#This Row],[D/W]:[Bonus and Adjustments]],))</f>
        <v>0</v>
      </c>
      <c r="D107" s="167">
        <f>IF(Data[[#This Row],[Bookie]]="","",SUMIF(DWbooks[Bookmaker],(VLOOKUP(ROW()-3,BookieName[],2,FALSE)),DWbooks[Sum]))</f>
        <v>0</v>
      </c>
      <c r="E107" s="165">
        <f>IF(Data[[#This Row],[Bookie]]="","",SUMIF(BetTable[B1],(VLOOKUP(ROW()-3,BookieName[],2,FALSE)),BetTable[S1])*-1)</f>
        <v>0</v>
      </c>
      <c r="F107" s="165">
        <f>IF(Data[[#This Row],[Bookie]]="","",SUMIF(BetTable[B2],(VLOOKUP(ROW()-3,BookieName[],2,FALSE)),BetTable[S2])*-1)</f>
        <v>0</v>
      </c>
      <c r="G107" s="165">
        <f>IF(Data[[#This Row],[Bookie]]="","",SUMIF(BetTable[B3],(VLOOKUP(ROW()-3,BookieName[],2,FALSE)),BetTable[S3])*-1)</f>
        <v>0</v>
      </c>
      <c r="H107" s="165">
        <f>IF(Data[[#This Row],[Bookie]]="","",SUMIF(BetTable[B1],(VLOOKUP(ROW()-3,BookieName[],2,FALSE)),BetTable[WBA1]))</f>
        <v>0</v>
      </c>
      <c r="I107" s="165">
        <f>IF(Data[[#This Row],[Bookie]]="","",SUMIF(BetTable[B2],(VLOOKUP(ROW()-3,BookieName[],2,FALSE)),BetTable[WBA2]))</f>
        <v>0</v>
      </c>
      <c r="J107" s="165">
        <f>IF(Data[[#This Row],[Bookie]]="","",SUMIF(BetTable[B3],(VLOOKUP(ROW()-3,BookieName[],2,FALSE)),BetTable[WBA3]))</f>
        <v>0</v>
      </c>
      <c r="K107" s="166">
        <f>IF(Data[[#This Row],[Bookie]]="","",SUMIF(LayTable[Bookmaker],(VLOOKUP(ROW()-3,BookieName[],2,FALSE)),LayTable[BookieInnsats])*-1)</f>
        <v>0</v>
      </c>
      <c r="L107" s="166">
        <f>IF(Data[[#This Row],[Bookie]]="","",SUMIF(LayTable[Lay-bookie],(VLOOKUP(ROW()-3,BookieName[],2,FALSE)),LayTable[LayLiability])*-1)</f>
        <v>0</v>
      </c>
      <c r="M107" s="166">
        <f>IF(Data[[#This Row],[Bookie]]="","",SUMIF(LayTable[Bookmaker],(VLOOKUP(ROW()-3,BookieName[],2,FALSE)),LayTable[WBABack]))</f>
        <v>0</v>
      </c>
      <c r="N107" s="166">
        <f>IF(Data[[#This Row],[Bookie]]="","",SUMIF(LayTable[Lay-bookie],(VLOOKUP(ROW()-3,BookieName[],2,FALSE)),LayTable[WBALay]))</f>
        <v>0</v>
      </c>
      <c r="O107" s="166">
        <f>IF(Data[[#This Row],[Bookie]]="","",SUMIF(DWbonus[Bookie],(VLOOKUP(ROW()-3,BookieName[],2,FALSE)),DWbonus[Sum]))</f>
        <v>0</v>
      </c>
      <c r="P107" s="166">
        <f>IF(Data[[#This Row],[Bookie]]="","",SUM(Data[[#This Row],[Pending 1]:[PendingL2]]))</f>
        <v>0</v>
      </c>
      <c r="Q107" s="166">
        <f>IF(Data[[#This Row],[Bookie]]="","",SUMIFS(BetTable[S1],BetTable[B1],(VLOOKUP(ROW()-3,BookieName[],2,FALSE)),BetTable[AR],""))</f>
        <v>0</v>
      </c>
      <c r="R107" s="166">
        <f>IF(Data[[#This Row],[Bookie]]="","",SUMIFS(BetTable[S2],BetTable[B2],(VLOOKUP(ROW()-3,BookieName[],2,FALSE)),BetTable[AR],""))</f>
        <v>0</v>
      </c>
      <c r="S107" s="166">
        <f>IF(Data[[#This Row],[Bookie]]="","",SUMIFS(BetTable[S3],BetTable[B3],(VLOOKUP(ROW()-3,BookieName[],2,FALSE)),BetTable[AR],""))</f>
        <v>0</v>
      </c>
      <c r="T107" s="166">
        <f>IF(Data[[#This Row],[Bookie]]="","",SUMIFS(LayTable[BookieInnsats],LayTable[Bookmaker],(VLOOKUP(ROW()-3,BookieName[],2,FALSE)),LayTable[Faktisk res],""))</f>
        <v>0</v>
      </c>
      <c r="U107" s="166">
        <f>IF(Data[[#This Row],[Bookie]]="","",SUMIFS(LayTable[LayLiability],LayTable[Lay-bookie],(VLOOKUP(ROW()-3,BookieName[],2,FALSE)),LayTable[Faktisk res],""))</f>
        <v>0</v>
      </c>
    </row>
    <row r="108" spans="1:21">
      <c r="A108" s="165">
        <f t="shared" ref="A108:A110" si="5">ROW()-3</f>
        <v>105</v>
      </c>
      <c r="B108" s="166">
        <f>IFERROR(VLOOKUP(ROW()-3,BookieName[],3,FALSE),"")</f>
        <v>0</v>
      </c>
      <c r="C108" s="167">
        <f>IF(Data[[#This Row],[Bookie]]="","",SUM(Data[[#This Row],[D/W]:[Bonus and Adjustments]],))</f>
        <v>0</v>
      </c>
      <c r="D108" s="167">
        <f>IF(Data[[#This Row],[Bookie]]="","",SUMIF(DWbooks[Bookmaker],(VLOOKUP(ROW()-3,BookieName[],2,FALSE)),DWbooks[Sum]))</f>
        <v>0</v>
      </c>
      <c r="E108" s="165">
        <f>IF(Data[[#This Row],[Bookie]]="","",SUMIF(BetTable[B1],(VLOOKUP(ROW()-3,BookieName[],2,FALSE)),BetTable[S1])*-1)</f>
        <v>0</v>
      </c>
      <c r="F108" s="165">
        <f>IF(Data[[#This Row],[Bookie]]="","",SUMIF(BetTable[B2],(VLOOKUP(ROW()-3,BookieName[],2,FALSE)),BetTable[S2])*-1)</f>
        <v>0</v>
      </c>
      <c r="G108" s="165">
        <f>IF(Data[[#This Row],[Bookie]]="","",SUMIF(BetTable[B3],(VLOOKUP(ROW()-3,BookieName[],2,FALSE)),BetTable[S3])*-1)</f>
        <v>0</v>
      </c>
      <c r="H108" s="165">
        <f>IF(Data[[#This Row],[Bookie]]="","",SUMIF(BetTable[B1],(VLOOKUP(ROW()-3,BookieName[],2,FALSE)),BetTable[WBA1]))</f>
        <v>0</v>
      </c>
      <c r="I108" s="165">
        <f>IF(Data[[#This Row],[Bookie]]="","",SUMIF(BetTable[B2],(VLOOKUP(ROW()-3,BookieName[],2,FALSE)),BetTable[WBA2]))</f>
        <v>0</v>
      </c>
      <c r="J108" s="165">
        <f>IF(Data[[#This Row],[Bookie]]="","",SUMIF(BetTable[B3],(VLOOKUP(ROW()-3,BookieName[],2,FALSE)),BetTable[WBA3]))</f>
        <v>0</v>
      </c>
      <c r="K108" s="166">
        <f>IF(Data[[#This Row],[Bookie]]="","",SUMIF(LayTable[Bookmaker],(VLOOKUP(ROW()-3,BookieName[],2,FALSE)),LayTable[BookieInnsats])*-1)</f>
        <v>0</v>
      </c>
      <c r="L108" s="166">
        <f>IF(Data[[#This Row],[Bookie]]="","",SUMIF(LayTable[Lay-bookie],(VLOOKUP(ROW()-3,BookieName[],2,FALSE)),LayTable[LayLiability])*-1)</f>
        <v>0</v>
      </c>
      <c r="M108" s="166">
        <f>IF(Data[[#This Row],[Bookie]]="","",SUMIF(LayTable[Bookmaker],(VLOOKUP(ROW()-3,BookieName[],2,FALSE)),LayTable[WBABack]))</f>
        <v>0</v>
      </c>
      <c r="N108" s="166">
        <f>IF(Data[[#This Row],[Bookie]]="","",SUMIF(LayTable[Lay-bookie],(VLOOKUP(ROW()-3,BookieName[],2,FALSE)),LayTable[WBALay]))</f>
        <v>0</v>
      </c>
      <c r="O108" s="166">
        <f>IF(Data[[#This Row],[Bookie]]="","",SUMIF(DWbonus[Bookie],(VLOOKUP(ROW()-3,BookieName[],2,FALSE)),DWbonus[Sum]))</f>
        <v>0</v>
      </c>
      <c r="P108" s="166">
        <f>IF(Data[[#This Row],[Bookie]]="","",SUM(Data[[#This Row],[Pending 1]:[PendingL2]]))</f>
        <v>0</v>
      </c>
      <c r="Q108" s="166">
        <f>IF(Data[[#This Row],[Bookie]]="","",SUMIFS(BetTable[S1],BetTable[B1],(VLOOKUP(ROW()-3,BookieName[],2,FALSE)),BetTable[AR],""))</f>
        <v>0</v>
      </c>
      <c r="R108" s="166">
        <f>IF(Data[[#This Row],[Bookie]]="","",SUMIFS(BetTable[S2],BetTable[B2],(VLOOKUP(ROW()-3,BookieName[],2,FALSE)),BetTable[AR],""))</f>
        <v>0</v>
      </c>
      <c r="S108" s="166">
        <f>IF(Data[[#This Row],[Bookie]]="","",SUMIFS(BetTable[S3],BetTable[B3],(VLOOKUP(ROW()-3,BookieName[],2,FALSE)),BetTable[AR],""))</f>
        <v>0</v>
      </c>
      <c r="T108" s="166">
        <f>IF(Data[[#This Row],[Bookie]]="","",SUMIFS(LayTable[BookieInnsats],LayTable[Bookmaker],(VLOOKUP(ROW()-3,BookieName[],2,FALSE)),LayTable[Faktisk res],""))</f>
        <v>0</v>
      </c>
      <c r="U108" s="166">
        <f>IF(Data[[#This Row],[Bookie]]="","",SUMIFS(LayTable[LayLiability],LayTable[Lay-bookie],(VLOOKUP(ROW()-3,BookieName[],2,FALSE)),LayTable[Faktisk res],""))</f>
        <v>0</v>
      </c>
    </row>
    <row r="109" spans="1:21">
      <c r="A109" s="165">
        <f t="shared" si="5"/>
        <v>106</v>
      </c>
      <c r="B109" s="166">
        <f>IFERROR(VLOOKUP(ROW()-3,BookieName[],3,FALSE),"")</f>
        <v>0</v>
      </c>
      <c r="C109" s="167">
        <f>IF(Data[[#This Row],[Bookie]]="","",SUM(Data[[#This Row],[D/W]:[Bonus and Adjustments]],))</f>
        <v>0</v>
      </c>
      <c r="D109" s="167">
        <f>IF(Data[[#This Row],[Bookie]]="","",SUMIF(DWbooks[Bookmaker],(VLOOKUP(ROW()-3,BookieName[],2,FALSE)),DWbooks[Sum]))</f>
        <v>0</v>
      </c>
      <c r="E109" s="165">
        <f>IF(Data[[#This Row],[Bookie]]="","",SUMIF(BetTable[B1],(VLOOKUP(ROW()-3,BookieName[],2,FALSE)),BetTable[S1])*-1)</f>
        <v>0</v>
      </c>
      <c r="F109" s="165">
        <f>IF(Data[[#This Row],[Bookie]]="","",SUMIF(BetTable[B2],(VLOOKUP(ROW()-3,BookieName[],2,FALSE)),BetTable[S2])*-1)</f>
        <v>0</v>
      </c>
      <c r="G109" s="165">
        <f>IF(Data[[#This Row],[Bookie]]="","",SUMIF(BetTable[B3],(VLOOKUP(ROW()-3,BookieName[],2,FALSE)),BetTable[S3])*-1)</f>
        <v>0</v>
      </c>
      <c r="H109" s="165">
        <f>IF(Data[[#This Row],[Bookie]]="","",SUMIF(BetTable[B1],(VLOOKUP(ROW()-3,BookieName[],2,FALSE)),BetTable[WBA1]))</f>
        <v>0</v>
      </c>
      <c r="I109" s="165">
        <f>IF(Data[[#This Row],[Bookie]]="","",SUMIF(BetTable[B2],(VLOOKUP(ROW()-3,BookieName[],2,FALSE)),BetTable[WBA2]))</f>
        <v>0</v>
      </c>
      <c r="J109" s="165">
        <f>IF(Data[[#This Row],[Bookie]]="","",SUMIF(BetTable[B3],(VLOOKUP(ROW()-3,BookieName[],2,FALSE)),BetTable[WBA3]))</f>
        <v>0</v>
      </c>
      <c r="K109" s="166">
        <f>IF(Data[[#This Row],[Bookie]]="","",SUMIF(LayTable[Bookmaker],(VLOOKUP(ROW()-3,BookieName[],2,FALSE)),LayTable[BookieInnsats])*-1)</f>
        <v>0</v>
      </c>
      <c r="L109" s="166">
        <f>IF(Data[[#This Row],[Bookie]]="","",SUMIF(LayTable[Lay-bookie],(VLOOKUP(ROW()-3,BookieName[],2,FALSE)),LayTable[LayLiability])*-1)</f>
        <v>0</v>
      </c>
      <c r="M109" s="166">
        <f>IF(Data[[#This Row],[Bookie]]="","",SUMIF(LayTable[Bookmaker],(VLOOKUP(ROW()-3,BookieName[],2,FALSE)),LayTable[WBABack]))</f>
        <v>0</v>
      </c>
      <c r="N109" s="166">
        <f>IF(Data[[#This Row],[Bookie]]="","",SUMIF(LayTable[Lay-bookie],(VLOOKUP(ROW()-3,BookieName[],2,FALSE)),LayTable[WBALay]))</f>
        <v>0</v>
      </c>
      <c r="O109" s="166">
        <f>IF(Data[[#This Row],[Bookie]]="","",SUMIF(DWbonus[Bookie],(VLOOKUP(ROW()-3,BookieName[],2,FALSE)),DWbonus[Sum]))</f>
        <v>0</v>
      </c>
      <c r="P109" s="166">
        <f>IF(Data[[#This Row],[Bookie]]="","",SUM(Data[[#This Row],[Pending 1]:[PendingL2]]))</f>
        <v>0</v>
      </c>
      <c r="Q109" s="166">
        <f>IF(Data[[#This Row],[Bookie]]="","",SUMIFS(BetTable[S1],BetTable[B1],(VLOOKUP(ROW()-3,BookieName[],2,FALSE)),BetTable[AR],""))</f>
        <v>0</v>
      </c>
      <c r="R109" s="166">
        <f>IF(Data[[#This Row],[Bookie]]="","",SUMIFS(BetTable[S2],BetTable[B2],(VLOOKUP(ROW()-3,BookieName[],2,FALSE)),BetTable[AR],""))</f>
        <v>0</v>
      </c>
      <c r="S109" s="166">
        <f>IF(Data[[#This Row],[Bookie]]="","",SUMIFS(BetTable[S3],BetTable[B3],(VLOOKUP(ROW()-3,BookieName[],2,FALSE)),BetTable[AR],""))</f>
        <v>0</v>
      </c>
      <c r="T109" s="166">
        <f>IF(Data[[#This Row],[Bookie]]="","",SUMIFS(LayTable[BookieInnsats],LayTable[Bookmaker],(VLOOKUP(ROW()-3,BookieName[],2,FALSE)),LayTable[Faktisk res],""))</f>
        <v>0</v>
      </c>
      <c r="U109" s="166">
        <f>IF(Data[[#This Row],[Bookie]]="","",SUMIFS(LayTable[LayLiability],LayTable[Lay-bookie],(VLOOKUP(ROW()-3,BookieName[],2,FALSE)),LayTable[Faktisk res],""))</f>
        <v>0</v>
      </c>
    </row>
    <row r="110" spans="1:21">
      <c r="A110" s="165">
        <f t="shared" si="5"/>
        <v>107</v>
      </c>
      <c r="B110" s="166">
        <f>IFERROR(VLOOKUP(ROW()-3,BookieName[],3,FALSE),"")</f>
        <v>0</v>
      </c>
      <c r="C110" s="167">
        <f>IF(Data[[#This Row],[Bookie]]="","",SUM(Data[[#This Row],[D/W]:[Bonus and Adjustments]],))</f>
        <v>0</v>
      </c>
      <c r="D110" s="167">
        <f>IF(Data[[#This Row],[Bookie]]="","",SUMIF(DWbooks[Bookmaker],(VLOOKUP(ROW()-3,BookieName[],2,FALSE)),DWbooks[Sum]))</f>
        <v>0</v>
      </c>
      <c r="E110" s="165">
        <f>IF(Data[[#This Row],[Bookie]]="","",SUMIF(BetTable[B1],(VLOOKUP(ROW()-3,BookieName[],2,FALSE)),BetTable[S1])*-1)</f>
        <v>0</v>
      </c>
      <c r="F110" s="165">
        <f>IF(Data[[#This Row],[Bookie]]="","",SUMIF(BetTable[B2],(VLOOKUP(ROW()-3,BookieName[],2,FALSE)),BetTable[S2])*-1)</f>
        <v>0</v>
      </c>
      <c r="G110" s="165">
        <f>IF(Data[[#This Row],[Bookie]]="","",SUMIF(BetTable[B3],(VLOOKUP(ROW()-3,BookieName[],2,FALSE)),BetTable[S3])*-1)</f>
        <v>0</v>
      </c>
      <c r="H110" s="165">
        <f>IF(Data[[#This Row],[Bookie]]="","",SUMIF(BetTable[B1],(VLOOKUP(ROW()-3,BookieName[],2,FALSE)),BetTable[WBA1]))</f>
        <v>0</v>
      </c>
      <c r="I110" s="165">
        <f>IF(Data[[#This Row],[Bookie]]="","",SUMIF(BetTable[B2],(VLOOKUP(ROW()-3,BookieName[],2,FALSE)),BetTable[WBA2]))</f>
        <v>0</v>
      </c>
      <c r="J110" s="165">
        <f>IF(Data[[#This Row],[Bookie]]="","",SUMIF(BetTable[B3],(VLOOKUP(ROW()-3,BookieName[],2,FALSE)),BetTable[WBA3]))</f>
        <v>0</v>
      </c>
      <c r="K110" s="166">
        <f>IF(Data[[#This Row],[Bookie]]="","",SUMIF(LayTable[Bookmaker],(VLOOKUP(ROW()-3,BookieName[],2,FALSE)),LayTable[BookieInnsats])*-1)</f>
        <v>0</v>
      </c>
      <c r="L110" s="166">
        <f>IF(Data[[#This Row],[Bookie]]="","",SUMIF(LayTable[Lay-bookie],(VLOOKUP(ROW()-3,BookieName[],2,FALSE)),LayTable[LayLiability])*-1)</f>
        <v>0</v>
      </c>
      <c r="M110" s="166">
        <f>IF(Data[[#This Row],[Bookie]]="","",SUMIF(LayTable[Bookmaker],(VLOOKUP(ROW()-3,BookieName[],2,FALSE)),LayTable[WBABack]))</f>
        <v>0</v>
      </c>
      <c r="N110" s="166">
        <f>IF(Data[[#This Row],[Bookie]]="","",SUMIF(LayTable[Lay-bookie],(VLOOKUP(ROW()-3,BookieName[],2,FALSE)),LayTable[WBALay]))</f>
        <v>0</v>
      </c>
      <c r="O110" s="166">
        <f>IF(Data[[#This Row],[Bookie]]="","",SUMIF(DWbonus[Bookie],(VLOOKUP(ROW()-3,BookieName[],2,FALSE)),DWbonus[Sum]))</f>
        <v>0</v>
      </c>
      <c r="P110" s="166">
        <f>IF(Data[[#This Row],[Bookie]]="","",SUM(Data[[#This Row],[Pending 1]:[PendingL2]]))</f>
        <v>0</v>
      </c>
      <c r="Q110" s="166">
        <f>IF(Data[[#This Row],[Bookie]]="","",SUMIFS(BetTable[S1],BetTable[B1],(VLOOKUP(ROW()-3,BookieName[],2,FALSE)),BetTable[AR],""))</f>
        <v>0</v>
      </c>
      <c r="R110" s="166">
        <f>IF(Data[[#This Row],[Bookie]]="","",SUMIFS(BetTable[S2],BetTable[B2],(VLOOKUP(ROW()-3,BookieName[],2,FALSE)),BetTable[AR],""))</f>
        <v>0</v>
      </c>
      <c r="S110" s="166">
        <f>IF(Data[[#This Row],[Bookie]]="","",SUMIFS(BetTable[S3],BetTable[B3],(VLOOKUP(ROW()-3,BookieName[],2,FALSE)),BetTable[AR],""))</f>
        <v>0</v>
      </c>
      <c r="T110" s="166">
        <f>IF(Data[[#This Row],[Bookie]]="","",SUMIFS(LayTable[BookieInnsats],LayTable[Bookmaker],(VLOOKUP(ROW()-3,BookieName[],2,FALSE)),LayTable[Faktisk res],""))</f>
        <v>0</v>
      </c>
      <c r="U110" s="166">
        <f>IF(Data[[#This Row],[Bookie]]="","",SUMIFS(LayTable[LayLiability],LayTable[Lay-bookie],(VLOOKUP(ROW()-3,BookieName[],2,FALSE)),LayTable[Faktisk res],""))</f>
        <v>0</v>
      </c>
    </row>
    <row r="111" spans="1:21">
      <c r="A111" s="165">
        <f t="shared" ref="A111:A120" si="6">ROW()-3</f>
        <v>108</v>
      </c>
      <c r="B111" s="166">
        <f>IFERROR(VLOOKUP(ROW()-3,BookieName[],3,FALSE),"")</f>
        <v>0</v>
      </c>
      <c r="C111" s="167">
        <f>IF(Data[[#This Row],[Bookie]]="","",SUM(Data[[#This Row],[D/W]:[Bonus and Adjustments]],))</f>
        <v>0</v>
      </c>
      <c r="D111" s="167">
        <f>IF(Data[[#This Row],[Bookie]]="","",SUMIF(DWbooks[Bookmaker],(VLOOKUP(ROW()-3,BookieName[],2,FALSE)),DWbooks[Sum]))</f>
        <v>0</v>
      </c>
      <c r="E111" s="165">
        <f>IF(Data[[#This Row],[Bookie]]="","",SUMIF(BetTable[B1],(VLOOKUP(ROW()-3,BookieName[],2,FALSE)),BetTable[S1])*-1)</f>
        <v>0</v>
      </c>
      <c r="F111" s="165">
        <f>IF(Data[[#This Row],[Bookie]]="","",SUMIF(BetTable[B2],(VLOOKUP(ROW()-3,BookieName[],2,FALSE)),BetTable[S2])*-1)</f>
        <v>0</v>
      </c>
      <c r="G111" s="165">
        <f>IF(Data[[#This Row],[Bookie]]="","",SUMIF(BetTable[B3],(VLOOKUP(ROW()-3,BookieName[],2,FALSE)),BetTable[S3])*-1)</f>
        <v>0</v>
      </c>
      <c r="H111" s="165">
        <f>IF(Data[[#This Row],[Bookie]]="","",SUMIF(BetTable[B1],(VLOOKUP(ROW()-3,BookieName[],2,FALSE)),BetTable[WBA1]))</f>
        <v>0</v>
      </c>
      <c r="I111" s="165">
        <f>IF(Data[[#This Row],[Bookie]]="","",SUMIF(BetTable[B2],(VLOOKUP(ROW()-3,BookieName[],2,FALSE)),BetTable[WBA2]))</f>
        <v>0</v>
      </c>
      <c r="J111" s="165">
        <f>IF(Data[[#This Row],[Bookie]]="","",SUMIF(BetTable[B3],(VLOOKUP(ROW()-3,BookieName[],2,FALSE)),BetTable[WBA3]))</f>
        <v>0</v>
      </c>
      <c r="K111" s="166">
        <f>IF(Data[[#This Row],[Bookie]]="","",SUMIF(LayTable[Bookmaker],(VLOOKUP(ROW()-3,BookieName[],2,FALSE)),LayTable[BookieInnsats])*-1)</f>
        <v>0</v>
      </c>
      <c r="L111" s="166">
        <f>IF(Data[[#This Row],[Bookie]]="","",SUMIF(LayTable[Lay-bookie],(VLOOKUP(ROW()-3,BookieName[],2,FALSE)),LayTable[LayLiability])*-1)</f>
        <v>0</v>
      </c>
      <c r="M111" s="166">
        <f>IF(Data[[#This Row],[Bookie]]="","",SUMIF(LayTable[Bookmaker],(VLOOKUP(ROW()-3,BookieName[],2,FALSE)),LayTable[WBABack]))</f>
        <v>0</v>
      </c>
      <c r="N111" s="166">
        <f>IF(Data[[#This Row],[Bookie]]="","",SUMIF(LayTable[Lay-bookie],(VLOOKUP(ROW()-3,BookieName[],2,FALSE)),LayTable[WBALay]))</f>
        <v>0</v>
      </c>
      <c r="O111" s="166">
        <f>IF(Data[[#This Row],[Bookie]]="","",SUMIF(DWbonus[Bookie],(VLOOKUP(ROW()-3,BookieName[],2,FALSE)),DWbonus[Sum]))</f>
        <v>0</v>
      </c>
      <c r="P111" s="166">
        <f>IF(Data[[#This Row],[Bookie]]="","",SUM(Data[[#This Row],[Pending 1]:[PendingL2]]))</f>
        <v>0</v>
      </c>
      <c r="Q111" s="166">
        <f>IF(Data[[#This Row],[Bookie]]="","",SUMIFS(BetTable[S1],BetTable[B1],(VLOOKUP(ROW()-3,BookieName[],2,FALSE)),BetTable[AR],""))</f>
        <v>0</v>
      </c>
      <c r="R111" s="166">
        <f>IF(Data[[#This Row],[Bookie]]="","",SUMIFS(BetTable[S2],BetTable[B2],(VLOOKUP(ROW()-3,BookieName[],2,FALSE)),BetTable[AR],""))</f>
        <v>0</v>
      </c>
      <c r="S111" s="166">
        <f>IF(Data[[#This Row],[Bookie]]="","",SUMIFS(BetTable[S3],BetTable[B3],(VLOOKUP(ROW()-3,BookieName[],2,FALSE)),BetTable[AR],""))</f>
        <v>0</v>
      </c>
      <c r="T111" s="166">
        <f>IF(Data[[#This Row],[Bookie]]="","",SUMIFS(LayTable[BookieInnsats],LayTable[Bookmaker],(VLOOKUP(ROW()-3,BookieName[],2,FALSE)),LayTable[Faktisk res],""))</f>
        <v>0</v>
      </c>
      <c r="U111" s="166">
        <f>IF(Data[[#This Row],[Bookie]]="","",SUMIFS(LayTable[LayLiability],LayTable[Lay-bookie],(VLOOKUP(ROW()-3,BookieName[],2,FALSE)),LayTable[Faktisk res],""))</f>
        <v>0</v>
      </c>
    </row>
    <row r="112" spans="1:21">
      <c r="A112" s="165">
        <f t="shared" si="6"/>
        <v>109</v>
      </c>
      <c r="B112" s="166">
        <f>IFERROR(VLOOKUP(ROW()-3,BookieName[],3,FALSE),"")</f>
        <v>0</v>
      </c>
      <c r="C112" s="167">
        <f>IF(Data[[#This Row],[Bookie]]="","",SUM(Data[[#This Row],[D/W]:[Bonus and Adjustments]],))</f>
        <v>0</v>
      </c>
      <c r="D112" s="167">
        <f>IF(Data[[#This Row],[Bookie]]="","",SUMIF(DWbooks[Bookmaker],(VLOOKUP(ROW()-3,BookieName[],2,FALSE)),DWbooks[Sum]))</f>
        <v>0</v>
      </c>
      <c r="E112" s="165">
        <f>IF(Data[[#This Row],[Bookie]]="","",SUMIF(BetTable[B1],(VLOOKUP(ROW()-3,BookieName[],2,FALSE)),BetTable[S1])*-1)</f>
        <v>0</v>
      </c>
      <c r="F112" s="165">
        <f>IF(Data[[#This Row],[Bookie]]="","",SUMIF(BetTable[B2],(VLOOKUP(ROW()-3,BookieName[],2,FALSE)),BetTable[S2])*-1)</f>
        <v>0</v>
      </c>
      <c r="G112" s="165">
        <f>IF(Data[[#This Row],[Bookie]]="","",SUMIF(BetTable[B3],(VLOOKUP(ROW()-3,BookieName[],2,FALSE)),BetTable[S3])*-1)</f>
        <v>0</v>
      </c>
      <c r="H112" s="165">
        <f>IF(Data[[#This Row],[Bookie]]="","",SUMIF(BetTable[B1],(VLOOKUP(ROW()-3,BookieName[],2,FALSE)),BetTable[WBA1]))</f>
        <v>0</v>
      </c>
      <c r="I112" s="165">
        <f>IF(Data[[#This Row],[Bookie]]="","",SUMIF(BetTable[B2],(VLOOKUP(ROW()-3,BookieName[],2,FALSE)),BetTable[WBA2]))</f>
        <v>0</v>
      </c>
      <c r="J112" s="165">
        <f>IF(Data[[#This Row],[Bookie]]="","",SUMIF(BetTable[B3],(VLOOKUP(ROW()-3,BookieName[],2,FALSE)),BetTable[WBA3]))</f>
        <v>0</v>
      </c>
      <c r="K112" s="166">
        <f>IF(Data[[#This Row],[Bookie]]="","",SUMIF(LayTable[Bookmaker],(VLOOKUP(ROW()-3,BookieName[],2,FALSE)),LayTable[BookieInnsats])*-1)</f>
        <v>0</v>
      </c>
      <c r="L112" s="166">
        <f>IF(Data[[#This Row],[Bookie]]="","",SUMIF(LayTable[Lay-bookie],(VLOOKUP(ROW()-3,BookieName[],2,FALSE)),LayTable[LayLiability])*-1)</f>
        <v>0</v>
      </c>
      <c r="M112" s="166">
        <f>IF(Data[[#This Row],[Bookie]]="","",SUMIF(LayTable[Bookmaker],(VLOOKUP(ROW()-3,BookieName[],2,FALSE)),LayTable[WBABack]))</f>
        <v>0</v>
      </c>
      <c r="N112" s="166">
        <f>IF(Data[[#This Row],[Bookie]]="","",SUMIF(LayTable[Lay-bookie],(VLOOKUP(ROW()-3,BookieName[],2,FALSE)),LayTable[WBALay]))</f>
        <v>0</v>
      </c>
      <c r="O112" s="166">
        <f>IF(Data[[#This Row],[Bookie]]="","",SUMIF(DWbonus[Bookie],(VLOOKUP(ROW()-3,BookieName[],2,FALSE)),DWbonus[Sum]))</f>
        <v>0</v>
      </c>
      <c r="P112" s="166">
        <f>IF(Data[[#This Row],[Bookie]]="","",SUM(Data[[#This Row],[Pending 1]:[PendingL2]]))</f>
        <v>0</v>
      </c>
      <c r="Q112" s="166">
        <f>IF(Data[[#This Row],[Bookie]]="","",SUMIFS(BetTable[S1],BetTable[B1],(VLOOKUP(ROW()-3,BookieName[],2,FALSE)),BetTable[AR],""))</f>
        <v>0</v>
      </c>
      <c r="R112" s="166">
        <f>IF(Data[[#This Row],[Bookie]]="","",SUMIFS(BetTable[S2],BetTable[B2],(VLOOKUP(ROW()-3,BookieName[],2,FALSE)),BetTable[AR],""))</f>
        <v>0</v>
      </c>
      <c r="S112" s="166">
        <f>IF(Data[[#This Row],[Bookie]]="","",SUMIFS(BetTable[S3],BetTable[B3],(VLOOKUP(ROW()-3,BookieName[],2,FALSE)),BetTable[AR],""))</f>
        <v>0</v>
      </c>
      <c r="T112" s="166">
        <f>IF(Data[[#This Row],[Bookie]]="","",SUMIFS(LayTable[BookieInnsats],LayTable[Bookmaker],(VLOOKUP(ROW()-3,BookieName[],2,FALSE)),LayTable[Faktisk res],""))</f>
        <v>0</v>
      </c>
      <c r="U112" s="166">
        <f>IF(Data[[#This Row],[Bookie]]="","",SUMIFS(LayTable[LayLiability],LayTable[Lay-bookie],(VLOOKUP(ROW()-3,BookieName[],2,FALSE)),LayTable[Faktisk res],""))</f>
        <v>0</v>
      </c>
    </row>
    <row r="113" spans="1:21">
      <c r="A113" s="165">
        <f t="shared" si="6"/>
        <v>110</v>
      </c>
      <c r="B113" s="166">
        <f>IFERROR(VLOOKUP(ROW()-3,BookieName[],3,FALSE),"")</f>
        <v>0</v>
      </c>
      <c r="C113" s="167">
        <f>IF(Data[[#This Row],[Bookie]]="","",SUM(Data[[#This Row],[D/W]:[Bonus and Adjustments]],))</f>
        <v>0</v>
      </c>
      <c r="D113" s="167">
        <f>IF(Data[[#This Row],[Bookie]]="","",SUMIF(DWbooks[Bookmaker],(VLOOKUP(ROW()-3,BookieName[],2,FALSE)),DWbooks[Sum]))</f>
        <v>0</v>
      </c>
      <c r="E113" s="165">
        <f>IF(Data[[#This Row],[Bookie]]="","",SUMIF(BetTable[B1],(VLOOKUP(ROW()-3,BookieName[],2,FALSE)),BetTable[S1])*-1)</f>
        <v>0</v>
      </c>
      <c r="F113" s="165">
        <f>IF(Data[[#This Row],[Bookie]]="","",SUMIF(BetTable[B2],(VLOOKUP(ROW()-3,BookieName[],2,FALSE)),BetTable[S2])*-1)</f>
        <v>0</v>
      </c>
      <c r="G113" s="165">
        <f>IF(Data[[#This Row],[Bookie]]="","",SUMIF(BetTable[B3],(VLOOKUP(ROW()-3,BookieName[],2,FALSE)),BetTable[S3])*-1)</f>
        <v>0</v>
      </c>
      <c r="H113" s="165">
        <f>IF(Data[[#This Row],[Bookie]]="","",SUMIF(BetTable[B1],(VLOOKUP(ROW()-3,BookieName[],2,FALSE)),BetTable[WBA1]))</f>
        <v>0</v>
      </c>
      <c r="I113" s="165">
        <f>IF(Data[[#This Row],[Bookie]]="","",SUMIF(BetTable[B2],(VLOOKUP(ROW()-3,BookieName[],2,FALSE)),BetTable[WBA2]))</f>
        <v>0</v>
      </c>
      <c r="J113" s="165">
        <f>IF(Data[[#This Row],[Bookie]]="","",SUMIF(BetTable[B3],(VLOOKUP(ROW()-3,BookieName[],2,FALSE)),BetTable[WBA3]))</f>
        <v>0</v>
      </c>
      <c r="K113" s="166">
        <f>IF(Data[[#This Row],[Bookie]]="","",SUMIF(LayTable[Bookmaker],(VLOOKUP(ROW()-3,BookieName[],2,FALSE)),LayTable[BookieInnsats])*-1)</f>
        <v>0</v>
      </c>
      <c r="L113" s="166">
        <f>IF(Data[[#This Row],[Bookie]]="","",SUMIF(LayTable[Lay-bookie],(VLOOKUP(ROW()-3,BookieName[],2,FALSE)),LayTable[LayLiability])*-1)</f>
        <v>0</v>
      </c>
      <c r="M113" s="166">
        <f>IF(Data[[#This Row],[Bookie]]="","",SUMIF(LayTable[Bookmaker],(VLOOKUP(ROW()-3,BookieName[],2,FALSE)),LayTable[WBABack]))</f>
        <v>0</v>
      </c>
      <c r="N113" s="166">
        <f>IF(Data[[#This Row],[Bookie]]="","",SUMIF(LayTable[Lay-bookie],(VLOOKUP(ROW()-3,BookieName[],2,FALSE)),LayTable[WBALay]))</f>
        <v>0</v>
      </c>
      <c r="O113" s="166">
        <f>IF(Data[[#This Row],[Bookie]]="","",SUMIF(DWbonus[Bookie],(VLOOKUP(ROW()-3,BookieName[],2,FALSE)),DWbonus[Sum]))</f>
        <v>0</v>
      </c>
      <c r="P113" s="166">
        <f>IF(Data[[#This Row],[Bookie]]="","",SUM(Data[[#This Row],[Pending 1]:[PendingL2]]))</f>
        <v>0</v>
      </c>
      <c r="Q113" s="166">
        <f>IF(Data[[#This Row],[Bookie]]="","",SUMIFS(BetTable[S1],BetTable[B1],(VLOOKUP(ROW()-3,BookieName[],2,FALSE)),BetTable[AR],""))</f>
        <v>0</v>
      </c>
      <c r="R113" s="166">
        <f>IF(Data[[#This Row],[Bookie]]="","",SUMIFS(BetTable[S2],BetTable[B2],(VLOOKUP(ROW()-3,BookieName[],2,FALSE)),BetTable[AR],""))</f>
        <v>0</v>
      </c>
      <c r="S113" s="166">
        <f>IF(Data[[#This Row],[Bookie]]="","",SUMIFS(BetTable[S3],BetTable[B3],(VLOOKUP(ROW()-3,BookieName[],2,FALSE)),BetTable[AR],""))</f>
        <v>0</v>
      </c>
      <c r="T113" s="166">
        <f>IF(Data[[#This Row],[Bookie]]="","",SUMIFS(LayTable[BookieInnsats],LayTable[Bookmaker],(VLOOKUP(ROW()-3,BookieName[],2,FALSE)),LayTable[Faktisk res],""))</f>
        <v>0</v>
      </c>
      <c r="U113" s="166">
        <f>IF(Data[[#This Row],[Bookie]]="","",SUMIFS(LayTable[LayLiability],LayTable[Lay-bookie],(VLOOKUP(ROW()-3,BookieName[],2,FALSE)),LayTable[Faktisk res],""))</f>
        <v>0</v>
      </c>
    </row>
    <row r="114" spans="1:21">
      <c r="A114" s="165">
        <f t="shared" si="6"/>
        <v>111</v>
      </c>
      <c r="B114" s="166">
        <f>IFERROR(VLOOKUP(ROW()-3,BookieName[],3,FALSE),"")</f>
        <v>0</v>
      </c>
      <c r="C114" s="167">
        <f>IF(Data[[#This Row],[Bookie]]="","",SUM(Data[[#This Row],[D/W]:[Bonus and Adjustments]],))</f>
        <v>0</v>
      </c>
      <c r="D114" s="167">
        <f>IF(Data[[#This Row],[Bookie]]="","",SUMIF(DWbooks[Bookmaker],(VLOOKUP(ROW()-3,BookieName[],2,FALSE)),DWbooks[Sum]))</f>
        <v>0</v>
      </c>
      <c r="E114" s="165">
        <f>IF(Data[[#This Row],[Bookie]]="","",SUMIF(BetTable[B1],(VLOOKUP(ROW()-3,BookieName[],2,FALSE)),BetTable[S1])*-1)</f>
        <v>0</v>
      </c>
      <c r="F114" s="165">
        <f>IF(Data[[#This Row],[Bookie]]="","",SUMIF(BetTable[B2],(VLOOKUP(ROW()-3,BookieName[],2,FALSE)),BetTable[S2])*-1)</f>
        <v>0</v>
      </c>
      <c r="G114" s="165">
        <f>IF(Data[[#This Row],[Bookie]]="","",SUMIF(BetTable[B3],(VLOOKUP(ROW()-3,BookieName[],2,FALSE)),BetTable[S3])*-1)</f>
        <v>0</v>
      </c>
      <c r="H114" s="165">
        <f>IF(Data[[#This Row],[Bookie]]="","",SUMIF(BetTable[B1],(VLOOKUP(ROW()-3,BookieName[],2,FALSE)),BetTable[WBA1]))</f>
        <v>0</v>
      </c>
      <c r="I114" s="165">
        <f>IF(Data[[#This Row],[Bookie]]="","",SUMIF(BetTable[B2],(VLOOKUP(ROW()-3,BookieName[],2,FALSE)),BetTable[WBA2]))</f>
        <v>0</v>
      </c>
      <c r="J114" s="165">
        <f>IF(Data[[#This Row],[Bookie]]="","",SUMIF(BetTable[B3],(VLOOKUP(ROW()-3,BookieName[],2,FALSE)),BetTable[WBA3]))</f>
        <v>0</v>
      </c>
      <c r="K114" s="166">
        <f>IF(Data[[#This Row],[Bookie]]="","",SUMIF(LayTable[Bookmaker],(VLOOKUP(ROW()-3,BookieName[],2,FALSE)),LayTable[BookieInnsats])*-1)</f>
        <v>0</v>
      </c>
      <c r="L114" s="166">
        <f>IF(Data[[#This Row],[Bookie]]="","",SUMIF(LayTable[Lay-bookie],(VLOOKUP(ROW()-3,BookieName[],2,FALSE)),LayTable[LayLiability])*-1)</f>
        <v>0</v>
      </c>
      <c r="M114" s="166">
        <f>IF(Data[[#This Row],[Bookie]]="","",SUMIF(LayTable[Bookmaker],(VLOOKUP(ROW()-3,BookieName[],2,FALSE)),LayTable[WBABack]))</f>
        <v>0</v>
      </c>
      <c r="N114" s="166">
        <f>IF(Data[[#This Row],[Bookie]]="","",SUMIF(LayTable[Lay-bookie],(VLOOKUP(ROW()-3,BookieName[],2,FALSE)),LayTable[WBALay]))</f>
        <v>0</v>
      </c>
      <c r="O114" s="166">
        <f>IF(Data[[#This Row],[Bookie]]="","",SUMIF(DWbonus[Bookie],(VLOOKUP(ROW()-3,BookieName[],2,FALSE)),DWbonus[Sum]))</f>
        <v>0</v>
      </c>
      <c r="P114" s="166">
        <f>IF(Data[[#This Row],[Bookie]]="","",SUM(Data[[#This Row],[Pending 1]:[PendingL2]]))</f>
        <v>0</v>
      </c>
      <c r="Q114" s="166">
        <f>IF(Data[[#This Row],[Bookie]]="","",SUMIFS(BetTable[S1],BetTable[B1],(VLOOKUP(ROW()-3,BookieName[],2,FALSE)),BetTable[AR],""))</f>
        <v>0</v>
      </c>
      <c r="R114" s="166">
        <f>IF(Data[[#This Row],[Bookie]]="","",SUMIFS(BetTable[S2],BetTable[B2],(VLOOKUP(ROW()-3,BookieName[],2,FALSE)),BetTable[AR],""))</f>
        <v>0</v>
      </c>
      <c r="S114" s="166">
        <f>IF(Data[[#This Row],[Bookie]]="","",SUMIFS(BetTable[S3],BetTable[B3],(VLOOKUP(ROW()-3,BookieName[],2,FALSE)),BetTable[AR],""))</f>
        <v>0</v>
      </c>
      <c r="T114" s="166">
        <f>IF(Data[[#This Row],[Bookie]]="","",SUMIFS(LayTable[BookieInnsats],LayTable[Bookmaker],(VLOOKUP(ROW()-3,BookieName[],2,FALSE)),LayTable[Faktisk res],""))</f>
        <v>0</v>
      </c>
      <c r="U114" s="166">
        <f>IF(Data[[#This Row],[Bookie]]="","",SUMIFS(LayTable[LayLiability],LayTable[Lay-bookie],(VLOOKUP(ROW()-3,BookieName[],2,FALSE)),LayTable[Faktisk res],""))</f>
        <v>0</v>
      </c>
    </row>
    <row r="115" spans="1:21">
      <c r="A115" s="165">
        <f t="shared" si="6"/>
        <v>112</v>
      </c>
      <c r="B115" s="166">
        <f>IFERROR(VLOOKUP(ROW()-3,BookieName[],3,FALSE),"")</f>
        <v>0</v>
      </c>
      <c r="C115" s="167">
        <f>IF(Data[[#This Row],[Bookie]]="","",SUM(Data[[#This Row],[D/W]:[Bonus and Adjustments]],))</f>
        <v>0</v>
      </c>
      <c r="D115" s="167">
        <f>IF(Data[[#This Row],[Bookie]]="","",SUMIF(DWbooks[Bookmaker],(VLOOKUP(ROW()-3,BookieName[],2,FALSE)),DWbooks[Sum]))</f>
        <v>0</v>
      </c>
      <c r="E115" s="165">
        <f>IF(Data[[#This Row],[Bookie]]="","",SUMIF(BetTable[B1],(VLOOKUP(ROW()-3,BookieName[],2,FALSE)),BetTable[S1])*-1)</f>
        <v>0</v>
      </c>
      <c r="F115" s="165">
        <f>IF(Data[[#This Row],[Bookie]]="","",SUMIF(BetTable[B2],(VLOOKUP(ROW()-3,BookieName[],2,FALSE)),BetTable[S2])*-1)</f>
        <v>0</v>
      </c>
      <c r="G115" s="165">
        <f>IF(Data[[#This Row],[Bookie]]="","",SUMIF(BetTable[B3],(VLOOKUP(ROW()-3,BookieName[],2,FALSE)),BetTable[S3])*-1)</f>
        <v>0</v>
      </c>
      <c r="H115" s="165">
        <f>IF(Data[[#This Row],[Bookie]]="","",SUMIF(BetTable[B1],(VLOOKUP(ROW()-3,BookieName[],2,FALSE)),BetTable[WBA1]))</f>
        <v>0</v>
      </c>
      <c r="I115" s="165">
        <f>IF(Data[[#This Row],[Bookie]]="","",SUMIF(BetTable[B2],(VLOOKUP(ROW()-3,BookieName[],2,FALSE)),BetTable[WBA2]))</f>
        <v>0</v>
      </c>
      <c r="J115" s="165">
        <f>IF(Data[[#This Row],[Bookie]]="","",SUMIF(BetTable[B3],(VLOOKUP(ROW()-3,BookieName[],2,FALSE)),BetTable[WBA3]))</f>
        <v>0</v>
      </c>
      <c r="K115" s="166">
        <f>IF(Data[[#This Row],[Bookie]]="","",SUMIF(LayTable[Bookmaker],(VLOOKUP(ROW()-3,BookieName[],2,FALSE)),LayTable[BookieInnsats])*-1)</f>
        <v>0</v>
      </c>
      <c r="L115" s="166">
        <f>IF(Data[[#This Row],[Bookie]]="","",SUMIF(LayTable[Lay-bookie],(VLOOKUP(ROW()-3,BookieName[],2,FALSE)),LayTable[LayLiability])*-1)</f>
        <v>0</v>
      </c>
      <c r="M115" s="166">
        <f>IF(Data[[#This Row],[Bookie]]="","",SUMIF(LayTable[Bookmaker],(VLOOKUP(ROW()-3,BookieName[],2,FALSE)),LayTable[WBABack]))</f>
        <v>0</v>
      </c>
      <c r="N115" s="166">
        <f>IF(Data[[#This Row],[Bookie]]="","",SUMIF(LayTable[Lay-bookie],(VLOOKUP(ROW()-3,BookieName[],2,FALSE)),LayTable[WBALay]))</f>
        <v>0</v>
      </c>
      <c r="O115" s="166">
        <f>IF(Data[[#This Row],[Bookie]]="","",SUMIF(DWbonus[Bookie],(VLOOKUP(ROW()-3,BookieName[],2,FALSE)),DWbonus[Sum]))</f>
        <v>0</v>
      </c>
      <c r="P115" s="166">
        <f>IF(Data[[#This Row],[Bookie]]="","",SUM(Data[[#This Row],[Pending 1]:[PendingL2]]))</f>
        <v>0</v>
      </c>
      <c r="Q115" s="166">
        <f>IF(Data[[#This Row],[Bookie]]="","",SUMIFS(BetTable[S1],BetTable[B1],(VLOOKUP(ROW()-3,BookieName[],2,FALSE)),BetTable[AR],""))</f>
        <v>0</v>
      </c>
      <c r="R115" s="166">
        <f>IF(Data[[#This Row],[Bookie]]="","",SUMIFS(BetTable[S2],BetTable[B2],(VLOOKUP(ROW()-3,BookieName[],2,FALSE)),BetTable[AR],""))</f>
        <v>0</v>
      </c>
      <c r="S115" s="166">
        <f>IF(Data[[#This Row],[Bookie]]="","",SUMIFS(BetTable[S3],BetTable[B3],(VLOOKUP(ROW()-3,BookieName[],2,FALSE)),BetTable[AR],""))</f>
        <v>0</v>
      </c>
      <c r="T115" s="166">
        <f>IF(Data[[#This Row],[Bookie]]="","",SUMIFS(LayTable[BookieInnsats],LayTable[Bookmaker],(VLOOKUP(ROW()-3,BookieName[],2,FALSE)),LayTable[Faktisk res],""))</f>
        <v>0</v>
      </c>
      <c r="U115" s="166">
        <f>IF(Data[[#This Row],[Bookie]]="","",SUMIFS(LayTable[LayLiability],LayTable[Lay-bookie],(VLOOKUP(ROW()-3,BookieName[],2,FALSE)),LayTable[Faktisk res],""))</f>
        <v>0</v>
      </c>
    </row>
    <row r="116" spans="1:21">
      <c r="A116" s="165">
        <f t="shared" si="6"/>
        <v>113</v>
      </c>
      <c r="B116" s="166">
        <f>IFERROR(VLOOKUP(ROW()-3,BookieName[],3,FALSE),"")</f>
        <v>0</v>
      </c>
      <c r="C116" s="167">
        <f>IF(Data[[#This Row],[Bookie]]="","",SUM(Data[[#This Row],[D/W]:[Bonus and Adjustments]],))</f>
        <v>0</v>
      </c>
      <c r="D116" s="167">
        <f>IF(Data[[#This Row],[Bookie]]="","",SUMIF(DWbooks[Bookmaker],(VLOOKUP(ROW()-3,BookieName[],2,FALSE)),DWbooks[Sum]))</f>
        <v>0</v>
      </c>
      <c r="E116" s="165">
        <f>IF(Data[[#This Row],[Bookie]]="","",SUMIF(BetTable[B1],(VLOOKUP(ROW()-3,BookieName[],2,FALSE)),BetTable[S1])*-1)</f>
        <v>0</v>
      </c>
      <c r="F116" s="165">
        <f>IF(Data[[#This Row],[Bookie]]="","",SUMIF(BetTable[B2],(VLOOKUP(ROW()-3,BookieName[],2,FALSE)),BetTable[S2])*-1)</f>
        <v>0</v>
      </c>
      <c r="G116" s="165">
        <f>IF(Data[[#This Row],[Bookie]]="","",SUMIF(BetTable[B3],(VLOOKUP(ROW()-3,BookieName[],2,FALSE)),BetTable[S3])*-1)</f>
        <v>0</v>
      </c>
      <c r="H116" s="165">
        <f>IF(Data[[#This Row],[Bookie]]="","",SUMIF(BetTable[B1],(VLOOKUP(ROW()-3,BookieName[],2,FALSE)),BetTable[WBA1]))</f>
        <v>0</v>
      </c>
      <c r="I116" s="165">
        <f>IF(Data[[#This Row],[Bookie]]="","",SUMIF(BetTable[B2],(VLOOKUP(ROW()-3,BookieName[],2,FALSE)),BetTable[WBA2]))</f>
        <v>0</v>
      </c>
      <c r="J116" s="165">
        <f>IF(Data[[#This Row],[Bookie]]="","",SUMIF(BetTable[B3],(VLOOKUP(ROW()-3,BookieName[],2,FALSE)),BetTable[WBA3]))</f>
        <v>0</v>
      </c>
      <c r="K116" s="166">
        <f>IF(Data[[#This Row],[Bookie]]="","",SUMIF(LayTable[Bookmaker],(VLOOKUP(ROW()-3,BookieName[],2,FALSE)),LayTable[BookieInnsats])*-1)</f>
        <v>0</v>
      </c>
      <c r="L116" s="166">
        <f>IF(Data[[#This Row],[Bookie]]="","",SUMIF(LayTable[Lay-bookie],(VLOOKUP(ROW()-3,BookieName[],2,FALSE)),LayTable[LayLiability])*-1)</f>
        <v>0</v>
      </c>
      <c r="M116" s="166">
        <f>IF(Data[[#This Row],[Bookie]]="","",SUMIF(LayTable[Bookmaker],(VLOOKUP(ROW()-3,BookieName[],2,FALSE)),LayTable[WBABack]))</f>
        <v>0</v>
      </c>
      <c r="N116" s="166">
        <f>IF(Data[[#This Row],[Bookie]]="","",SUMIF(LayTable[Lay-bookie],(VLOOKUP(ROW()-3,BookieName[],2,FALSE)),LayTable[WBALay]))</f>
        <v>0</v>
      </c>
      <c r="O116" s="166">
        <f>IF(Data[[#This Row],[Bookie]]="","",SUMIF(DWbonus[Bookie],(VLOOKUP(ROW()-3,BookieName[],2,FALSE)),DWbonus[Sum]))</f>
        <v>0</v>
      </c>
      <c r="P116" s="166">
        <f>IF(Data[[#This Row],[Bookie]]="","",SUM(Data[[#This Row],[Pending 1]:[PendingL2]]))</f>
        <v>0</v>
      </c>
      <c r="Q116" s="166">
        <f>IF(Data[[#This Row],[Bookie]]="","",SUMIFS(BetTable[S1],BetTable[B1],(VLOOKUP(ROW()-3,BookieName[],2,FALSE)),BetTable[AR],""))</f>
        <v>0</v>
      </c>
      <c r="R116" s="166">
        <f>IF(Data[[#This Row],[Bookie]]="","",SUMIFS(BetTable[S2],BetTable[B2],(VLOOKUP(ROW()-3,BookieName[],2,FALSE)),BetTable[AR],""))</f>
        <v>0</v>
      </c>
      <c r="S116" s="166">
        <f>IF(Data[[#This Row],[Bookie]]="","",SUMIFS(BetTable[S3],BetTable[B3],(VLOOKUP(ROW()-3,BookieName[],2,FALSE)),BetTable[AR],""))</f>
        <v>0</v>
      </c>
      <c r="T116" s="166">
        <f>IF(Data[[#This Row],[Bookie]]="","",SUMIFS(LayTable[BookieInnsats],LayTable[Bookmaker],(VLOOKUP(ROW()-3,BookieName[],2,FALSE)),LayTable[Faktisk res],""))</f>
        <v>0</v>
      </c>
      <c r="U116" s="166">
        <f>IF(Data[[#This Row],[Bookie]]="","",SUMIFS(LayTable[LayLiability],LayTable[Lay-bookie],(VLOOKUP(ROW()-3,BookieName[],2,FALSE)),LayTable[Faktisk res],""))</f>
        <v>0</v>
      </c>
    </row>
    <row r="117" spans="1:21">
      <c r="A117" s="165">
        <f t="shared" si="6"/>
        <v>114</v>
      </c>
      <c r="B117" s="166">
        <f>IFERROR(VLOOKUP(ROW()-3,BookieName[],3,FALSE),"")</f>
        <v>0</v>
      </c>
      <c r="C117" s="167">
        <f>IF(Data[[#This Row],[Bookie]]="","",SUM(Data[[#This Row],[D/W]:[Bonus and Adjustments]],))</f>
        <v>0</v>
      </c>
      <c r="D117" s="167">
        <f>IF(Data[[#This Row],[Bookie]]="","",SUMIF(DWbooks[Bookmaker],(VLOOKUP(ROW()-3,BookieName[],2,FALSE)),DWbooks[Sum]))</f>
        <v>0</v>
      </c>
      <c r="E117" s="165">
        <f>IF(Data[[#This Row],[Bookie]]="","",SUMIF(BetTable[B1],(VLOOKUP(ROW()-3,BookieName[],2,FALSE)),BetTable[S1])*-1)</f>
        <v>0</v>
      </c>
      <c r="F117" s="165">
        <f>IF(Data[[#This Row],[Bookie]]="","",SUMIF(BetTable[B2],(VLOOKUP(ROW()-3,BookieName[],2,FALSE)),BetTable[S2])*-1)</f>
        <v>0</v>
      </c>
      <c r="G117" s="165">
        <f>IF(Data[[#This Row],[Bookie]]="","",SUMIF(BetTable[B3],(VLOOKUP(ROW()-3,BookieName[],2,FALSE)),BetTable[S3])*-1)</f>
        <v>0</v>
      </c>
      <c r="H117" s="165">
        <f>IF(Data[[#This Row],[Bookie]]="","",SUMIF(BetTable[B1],(VLOOKUP(ROW()-3,BookieName[],2,FALSE)),BetTable[WBA1]))</f>
        <v>0</v>
      </c>
      <c r="I117" s="165">
        <f>IF(Data[[#This Row],[Bookie]]="","",SUMIF(BetTable[B2],(VLOOKUP(ROW()-3,BookieName[],2,FALSE)),BetTable[WBA2]))</f>
        <v>0</v>
      </c>
      <c r="J117" s="165">
        <f>IF(Data[[#This Row],[Bookie]]="","",SUMIF(BetTable[B3],(VLOOKUP(ROW()-3,BookieName[],2,FALSE)),BetTable[WBA3]))</f>
        <v>0</v>
      </c>
      <c r="K117" s="166">
        <f>IF(Data[[#This Row],[Bookie]]="","",SUMIF(LayTable[Bookmaker],(VLOOKUP(ROW()-3,BookieName[],2,FALSE)),LayTable[BookieInnsats])*-1)</f>
        <v>0</v>
      </c>
      <c r="L117" s="166">
        <f>IF(Data[[#This Row],[Bookie]]="","",SUMIF(LayTable[Lay-bookie],(VLOOKUP(ROW()-3,BookieName[],2,FALSE)),LayTable[LayLiability])*-1)</f>
        <v>0</v>
      </c>
      <c r="M117" s="166">
        <f>IF(Data[[#This Row],[Bookie]]="","",SUMIF(LayTable[Bookmaker],(VLOOKUP(ROW()-3,BookieName[],2,FALSE)),LayTable[WBABack]))</f>
        <v>0</v>
      </c>
      <c r="N117" s="166">
        <f>IF(Data[[#This Row],[Bookie]]="","",SUMIF(LayTable[Lay-bookie],(VLOOKUP(ROW()-3,BookieName[],2,FALSE)),LayTable[WBALay]))</f>
        <v>0</v>
      </c>
      <c r="O117" s="166">
        <f>IF(Data[[#This Row],[Bookie]]="","",SUMIF(DWbonus[Bookie],(VLOOKUP(ROW()-3,BookieName[],2,FALSE)),DWbonus[Sum]))</f>
        <v>0</v>
      </c>
      <c r="P117" s="166">
        <f>IF(Data[[#This Row],[Bookie]]="","",SUM(Data[[#This Row],[Pending 1]:[PendingL2]]))</f>
        <v>0</v>
      </c>
      <c r="Q117" s="166">
        <f>IF(Data[[#This Row],[Bookie]]="","",SUMIFS(BetTable[S1],BetTable[B1],(VLOOKUP(ROW()-3,BookieName[],2,FALSE)),BetTable[AR],""))</f>
        <v>0</v>
      </c>
      <c r="R117" s="166">
        <f>IF(Data[[#This Row],[Bookie]]="","",SUMIFS(BetTable[S2],BetTable[B2],(VLOOKUP(ROW()-3,BookieName[],2,FALSE)),BetTable[AR],""))</f>
        <v>0</v>
      </c>
      <c r="S117" s="166">
        <f>IF(Data[[#This Row],[Bookie]]="","",SUMIFS(BetTable[S3],BetTable[B3],(VLOOKUP(ROW()-3,BookieName[],2,FALSE)),BetTable[AR],""))</f>
        <v>0</v>
      </c>
      <c r="T117" s="166">
        <f>IF(Data[[#This Row],[Bookie]]="","",SUMIFS(LayTable[BookieInnsats],LayTable[Bookmaker],(VLOOKUP(ROW()-3,BookieName[],2,FALSE)),LayTable[Faktisk res],""))</f>
        <v>0</v>
      </c>
      <c r="U117" s="166">
        <f>IF(Data[[#This Row],[Bookie]]="","",SUMIFS(LayTable[LayLiability],LayTable[Lay-bookie],(VLOOKUP(ROW()-3,BookieName[],2,FALSE)),LayTable[Faktisk res],""))</f>
        <v>0</v>
      </c>
    </row>
    <row r="118" spans="1:21">
      <c r="A118" s="165">
        <f t="shared" si="6"/>
        <v>115</v>
      </c>
      <c r="B118" s="166">
        <f>IFERROR(VLOOKUP(ROW()-3,BookieName[],3,FALSE),"")</f>
        <v>0</v>
      </c>
      <c r="C118" s="167">
        <f>IF(Data[[#This Row],[Bookie]]="","",SUM(Data[[#This Row],[D/W]:[Bonus and Adjustments]],))</f>
        <v>0</v>
      </c>
      <c r="D118" s="167">
        <f>IF(Data[[#This Row],[Bookie]]="","",SUMIF(DWbooks[Bookmaker],(VLOOKUP(ROW()-3,BookieName[],2,FALSE)),DWbooks[Sum]))</f>
        <v>0</v>
      </c>
      <c r="E118" s="165">
        <f>IF(Data[[#This Row],[Bookie]]="","",SUMIF(BetTable[B1],(VLOOKUP(ROW()-3,BookieName[],2,FALSE)),BetTable[S1])*-1)</f>
        <v>0</v>
      </c>
      <c r="F118" s="165">
        <f>IF(Data[[#This Row],[Bookie]]="","",SUMIF(BetTable[B2],(VLOOKUP(ROW()-3,BookieName[],2,FALSE)),BetTable[S2])*-1)</f>
        <v>0</v>
      </c>
      <c r="G118" s="165">
        <f>IF(Data[[#This Row],[Bookie]]="","",SUMIF(BetTable[B3],(VLOOKUP(ROW()-3,BookieName[],2,FALSE)),BetTable[S3])*-1)</f>
        <v>0</v>
      </c>
      <c r="H118" s="165">
        <f>IF(Data[[#This Row],[Bookie]]="","",SUMIF(BetTable[B1],(VLOOKUP(ROW()-3,BookieName[],2,FALSE)),BetTable[WBA1]))</f>
        <v>0</v>
      </c>
      <c r="I118" s="165">
        <f>IF(Data[[#This Row],[Bookie]]="","",SUMIF(BetTable[B2],(VLOOKUP(ROW()-3,BookieName[],2,FALSE)),BetTable[WBA2]))</f>
        <v>0</v>
      </c>
      <c r="J118" s="165">
        <f>IF(Data[[#This Row],[Bookie]]="","",SUMIF(BetTable[B3],(VLOOKUP(ROW()-3,BookieName[],2,FALSE)),BetTable[WBA3]))</f>
        <v>0</v>
      </c>
      <c r="K118" s="166">
        <f>IF(Data[[#This Row],[Bookie]]="","",SUMIF(LayTable[Bookmaker],(VLOOKUP(ROW()-3,BookieName[],2,FALSE)),LayTable[BookieInnsats])*-1)</f>
        <v>0</v>
      </c>
      <c r="L118" s="166">
        <f>IF(Data[[#This Row],[Bookie]]="","",SUMIF(LayTable[Lay-bookie],(VLOOKUP(ROW()-3,BookieName[],2,FALSE)),LayTable[LayLiability])*-1)</f>
        <v>0</v>
      </c>
      <c r="M118" s="166">
        <f>IF(Data[[#This Row],[Bookie]]="","",SUMIF(LayTable[Bookmaker],(VLOOKUP(ROW()-3,BookieName[],2,FALSE)),LayTable[WBABack]))</f>
        <v>0</v>
      </c>
      <c r="N118" s="166">
        <f>IF(Data[[#This Row],[Bookie]]="","",SUMIF(LayTable[Lay-bookie],(VLOOKUP(ROW()-3,BookieName[],2,FALSE)),LayTable[WBALay]))</f>
        <v>0</v>
      </c>
      <c r="O118" s="166">
        <f>IF(Data[[#This Row],[Bookie]]="","",SUMIF(DWbonus[Bookie],(VLOOKUP(ROW()-3,BookieName[],2,FALSE)),DWbonus[Sum]))</f>
        <v>0</v>
      </c>
      <c r="P118" s="166">
        <f>IF(Data[[#This Row],[Bookie]]="","",SUM(Data[[#This Row],[Pending 1]:[PendingL2]]))</f>
        <v>0</v>
      </c>
      <c r="Q118" s="166">
        <f>IF(Data[[#This Row],[Bookie]]="","",SUMIFS(BetTable[S1],BetTable[B1],(VLOOKUP(ROW()-3,BookieName[],2,FALSE)),BetTable[AR],""))</f>
        <v>0</v>
      </c>
      <c r="R118" s="166">
        <f>IF(Data[[#This Row],[Bookie]]="","",SUMIFS(BetTable[S2],BetTable[B2],(VLOOKUP(ROW()-3,BookieName[],2,FALSE)),BetTable[AR],""))</f>
        <v>0</v>
      </c>
      <c r="S118" s="166">
        <f>IF(Data[[#This Row],[Bookie]]="","",SUMIFS(BetTable[S3],BetTable[B3],(VLOOKUP(ROW()-3,BookieName[],2,FALSE)),BetTable[AR],""))</f>
        <v>0</v>
      </c>
      <c r="T118" s="166">
        <f>IF(Data[[#This Row],[Bookie]]="","",SUMIFS(LayTable[BookieInnsats],LayTable[Bookmaker],(VLOOKUP(ROW()-3,BookieName[],2,FALSE)),LayTable[Faktisk res],""))</f>
        <v>0</v>
      </c>
      <c r="U118" s="166">
        <f>IF(Data[[#This Row],[Bookie]]="","",SUMIFS(LayTable[LayLiability],LayTable[Lay-bookie],(VLOOKUP(ROW()-3,BookieName[],2,FALSE)),LayTable[Faktisk res],""))</f>
        <v>0</v>
      </c>
    </row>
    <row r="119" spans="1:21">
      <c r="A119" s="165">
        <f t="shared" si="6"/>
        <v>116</v>
      </c>
      <c r="B119" s="166">
        <f>IFERROR(VLOOKUP(ROW()-3,BookieName[],3,FALSE),"")</f>
        <v>0</v>
      </c>
      <c r="C119" s="167">
        <f>IF(Data[[#This Row],[Bookie]]="","",SUM(Data[[#This Row],[D/W]:[Bonus and Adjustments]],))</f>
        <v>0</v>
      </c>
      <c r="D119" s="167">
        <f>IF(Data[[#This Row],[Bookie]]="","",SUMIF(DWbooks[Bookmaker],(VLOOKUP(ROW()-3,BookieName[],2,FALSE)),DWbooks[Sum]))</f>
        <v>0</v>
      </c>
      <c r="E119" s="165">
        <f>IF(Data[[#This Row],[Bookie]]="","",SUMIF(BetTable[B1],(VLOOKUP(ROW()-3,BookieName[],2,FALSE)),BetTable[S1])*-1)</f>
        <v>0</v>
      </c>
      <c r="F119" s="165">
        <f>IF(Data[[#This Row],[Bookie]]="","",SUMIF(BetTable[B2],(VLOOKUP(ROW()-3,BookieName[],2,FALSE)),BetTable[S2])*-1)</f>
        <v>0</v>
      </c>
      <c r="G119" s="165">
        <f>IF(Data[[#This Row],[Bookie]]="","",SUMIF(BetTable[B3],(VLOOKUP(ROW()-3,BookieName[],2,FALSE)),BetTable[S3])*-1)</f>
        <v>0</v>
      </c>
      <c r="H119" s="165">
        <f>IF(Data[[#This Row],[Bookie]]="","",SUMIF(BetTable[B1],(VLOOKUP(ROW()-3,BookieName[],2,FALSE)),BetTable[WBA1]))</f>
        <v>0</v>
      </c>
      <c r="I119" s="165">
        <f>IF(Data[[#This Row],[Bookie]]="","",SUMIF(BetTable[B2],(VLOOKUP(ROW()-3,BookieName[],2,FALSE)),BetTable[WBA2]))</f>
        <v>0</v>
      </c>
      <c r="J119" s="165">
        <f>IF(Data[[#This Row],[Bookie]]="","",SUMIF(BetTable[B3],(VLOOKUP(ROW()-3,BookieName[],2,FALSE)),BetTable[WBA3]))</f>
        <v>0</v>
      </c>
      <c r="K119" s="166">
        <f>IF(Data[[#This Row],[Bookie]]="","",SUMIF(LayTable[Bookmaker],(VLOOKUP(ROW()-3,BookieName[],2,FALSE)),LayTable[BookieInnsats])*-1)</f>
        <v>0</v>
      </c>
      <c r="L119" s="166">
        <f>IF(Data[[#This Row],[Bookie]]="","",SUMIF(LayTable[Lay-bookie],(VLOOKUP(ROW()-3,BookieName[],2,FALSE)),LayTable[LayLiability])*-1)</f>
        <v>0</v>
      </c>
      <c r="M119" s="166">
        <f>IF(Data[[#This Row],[Bookie]]="","",SUMIF(LayTable[Bookmaker],(VLOOKUP(ROW()-3,BookieName[],2,FALSE)),LayTable[WBABack]))</f>
        <v>0</v>
      </c>
      <c r="N119" s="166">
        <f>IF(Data[[#This Row],[Bookie]]="","",SUMIF(LayTable[Lay-bookie],(VLOOKUP(ROW()-3,BookieName[],2,FALSE)),LayTable[WBALay]))</f>
        <v>0</v>
      </c>
      <c r="O119" s="166">
        <f>IF(Data[[#This Row],[Bookie]]="","",SUMIF(DWbonus[Bookie],(VLOOKUP(ROW()-3,BookieName[],2,FALSE)),DWbonus[Sum]))</f>
        <v>0</v>
      </c>
      <c r="P119" s="166">
        <f>IF(Data[[#This Row],[Bookie]]="","",SUM(Data[[#This Row],[Pending 1]:[PendingL2]]))</f>
        <v>0</v>
      </c>
      <c r="Q119" s="166">
        <f>IF(Data[[#This Row],[Bookie]]="","",SUMIFS(BetTable[S1],BetTable[B1],(VLOOKUP(ROW()-3,BookieName[],2,FALSE)),BetTable[AR],""))</f>
        <v>0</v>
      </c>
      <c r="R119" s="166">
        <f>IF(Data[[#This Row],[Bookie]]="","",SUMIFS(BetTable[S2],BetTable[B2],(VLOOKUP(ROW()-3,BookieName[],2,FALSE)),BetTable[AR],""))</f>
        <v>0</v>
      </c>
      <c r="S119" s="166">
        <f>IF(Data[[#This Row],[Bookie]]="","",SUMIFS(BetTable[S3],BetTable[B3],(VLOOKUP(ROW()-3,BookieName[],2,FALSE)),BetTable[AR],""))</f>
        <v>0</v>
      </c>
      <c r="T119" s="166">
        <f>IF(Data[[#This Row],[Bookie]]="","",SUMIFS(LayTable[BookieInnsats],LayTable[Bookmaker],(VLOOKUP(ROW()-3,BookieName[],2,FALSE)),LayTable[Faktisk res],""))</f>
        <v>0</v>
      </c>
      <c r="U119" s="166">
        <f>IF(Data[[#This Row],[Bookie]]="","",SUMIFS(LayTable[LayLiability],LayTable[Lay-bookie],(VLOOKUP(ROW()-3,BookieName[],2,FALSE)),LayTable[Faktisk res],""))</f>
        <v>0</v>
      </c>
    </row>
    <row r="120" spans="1:21">
      <c r="A120" s="165">
        <f t="shared" si="6"/>
        <v>117</v>
      </c>
      <c r="B120" s="166">
        <f>IFERROR(VLOOKUP(ROW()-3,BookieName[],3,FALSE),"")</f>
        <v>0</v>
      </c>
      <c r="C120" s="167">
        <f>IF(Data[[#This Row],[Bookie]]="","",SUM(Data[[#This Row],[D/W]:[Bonus and Adjustments]],))</f>
        <v>0</v>
      </c>
      <c r="D120" s="167">
        <f>IF(Data[[#This Row],[Bookie]]="","",SUMIF(DWbooks[Bookmaker],(VLOOKUP(ROW()-3,BookieName[],2,FALSE)),DWbooks[Sum]))</f>
        <v>0</v>
      </c>
      <c r="E120" s="165">
        <f>IF(Data[[#This Row],[Bookie]]="","",SUMIF(BetTable[B1],(VLOOKUP(ROW()-3,BookieName[],2,FALSE)),BetTable[S1])*-1)</f>
        <v>0</v>
      </c>
      <c r="F120" s="165">
        <f>IF(Data[[#This Row],[Bookie]]="","",SUMIF(BetTable[B2],(VLOOKUP(ROW()-3,BookieName[],2,FALSE)),BetTable[S2])*-1)</f>
        <v>0</v>
      </c>
      <c r="G120" s="165">
        <f>IF(Data[[#This Row],[Bookie]]="","",SUMIF(BetTable[B3],(VLOOKUP(ROW()-3,BookieName[],2,FALSE)),BetTable[S3])*-1)</f>
        <v>0</v>
      </c>
      <c r="H120" s="165">
        <f>IF(Data[[#This Row],[Bookie]]="","",SUMIF(BetTable[B1],(VLOOKUP(ROW()-3,BookieName[],2,FALSE)),BetTable[WBA1]))</f>
        <v>0</v>
      </c>
      <c r="I120" s="165">
        <f>IF(Data[[#This Row],[Bookie]]="","",SUMIF(BetTable[B2],(VLOOKUP(ROW()-3,BookieName[],2,FALSE)),BetTable[WBA2]))</f>
        <v>0</v>
      </c>
      <c r="J120" s="165">
        <f>IF(Data[[#This Row],[Bookie]]="","",SUMIF(BetTable[B3],(VLOOKUP(ROW()-3,BookieName[],2,FALSE)),BetTable[WBA3]))</f>
        <v>0</v>
      </c>
      <c r="K120" s="166">
        <f>IF(Data[[#This Row],[Bookie]]="","",SUMIF(LayTable[Bookmaker],(VLOOKUP(ROW()-3,BookieName[],2,FALSE)),LayTable[BookieInnsats])*-1)</f>
        <v>0</v>
      </c>
      <c r="L120" s="166">
        <f>IF(Data[[#This Row],[Bookie]]="","",SUMIF(LayTable[Lay-bookie],(VLOOKUP(ROW()-3,BookieName[],2,FALSE)),LayTable[LayLiability])*-1)</f>
        <v>0</v>
      </c>
      <c r="M120" s="166">
        <f>IF(Data[[#This Row],[Bookie]]="","",SUMIF(LayTable[Bookmaker],(VLOOKUP(ROW()-3,BookieName[],2,FALSE)),LayTable[WBABack]))</f>
        <v>0</v>
      </c>
      <c r="N120" s="166">
        <f>IF(Data[[#This Row],[Bookie]]="","",SUMIF(LayTable[Lay-bookie],(VLOOKUP(ROW()-3,BookieName[],2,FALSE)),LayTable[WBALay]))</f>
        <v>0</v>
      </c>
      <c r="O120" s="166">
        <f>IF(Data[[#This Row],[Bookie]]="","",SUMIF(DWbonus[Bookie],(VLOOKUP(ROW()-3,BookieName[],2,FALSE)),DWbonus[Sum]))</f>
        <v>0</v>
      </c>
      <c r="P120" s="166">
        <f>IF(Data[[#This Row],[Bookie]]="","",SUM(Data[[#This Row],[Pending 1]:[PendingL2]]))</f>
        <v>0</v>
      </c>
      <c r="Q120" s="166">
        <f>IF(Data[[#This Row],[Bookie]]="","",SUMIFS(BetTable[S1],BetTable[B1],(VLOOKUP(ROW()-3,BookieName[],2,FALSE)),BetTable[AR],""))</f>
        <v>0</v>
      </c>
      <c r="R120" s="166">
        <f>IF(Data[[#This Row],[Bookie]]="","",SUMIFS(BetTable[S2],BetTable[B2],(VLOOKUP(ROW()-3,BookieName[],2,FALSE)),BetTable[AR],""))</f>
        <v>0</v>
      </c>
      <c r="S120" s="166">
        <f>IF(Data[[#This Row],[Bookie]]="","",SUMIFS(BetTable[S3],BetTable[B3],(VLOOKUP(ROW()-3,BookieName[],2,FALSE)),BetTable[AR],""))</f>
        <v>0</v>
      </c>
      <c r="T120" s="166">
        <f>IF(Data[[#This Row],[Bookie]]="","",SUMIFS(LayTable[BookieInnsats],LayTable[Bookmaker],(VLOOKUP(ROW()-3,BookieName[],2,FALSE)),LayTable[Faktisk res],""))</f>
        <v>0</v>
      </c>
      <c r="U120" s="166">
        <f>IF(Data[[#This Row],[Bookie]]="","",SUMIFS(LayTable[LayLiability],LayTable[Lay-bookie],(VLOOKUP(ROW()-3,BookieName[],2,FALSE)),LayTable[Faktisk res],""))</f>
        <v>0</v>
      </c>
    </row>
    <row r="121" spans="1:21">
      <c r="A121" s="165">
        <f t="shared" ref="A121:A128" si="7">ROW()-3</f>
        <v>118</v>
      </c>
      <c r="B121" s="166">
        <f>IFERROR(VLOOKUP(ROW()-3,BookieName[],3,FALSE),"")</f>
        <v>0</v>
      </c>
      <c r="C121" s="167">
        <f>IF(Data[[#This Row],[Bookie]]="","",SUM(Data[[#This Row],[D/W]:[Bonus and Adjustments]],))</f>
        <v>0</v>
      </c>
      <c r="D121" s="167">
        <f>IF(Data[[#This Row],[Bookie]]="","",SUMIF(DWbooks[Bookmaker],(VLOOKUP(ROW()-3,BookieName[],2,FALSE)),DWbooks[Sum]))</f>
        <v>0</v>
      </c>
      <c r="E121" s="165">
        <f>IF(Data[[#This Row],[Bookie]]="","",SUMIF(BetTable[B1],(VLOOKUP(ROW()-3,BookieName[],2,FALSE)),BetTable[S1])*-1)</f>
        <v>0</v>
      </c>
      <c r="F121" s="165">
        <f>IF(Data[[#This Row],[Bookie]]="","",SUMIF(BetTable[B2],(VLOOKUP(ROW()-3,BookieName[],2,FALSE)),BetTable[S2])*-1)</f>
        <v>0</v>
      </c>
      <c r="G121" s="165">
        <f>IF(Data[[#This Row],[Bookie]]="","",SUMIF(BetTable[B3],(VLOOKUP(ROW()-3,BookieName[],2,FALSE)),BetTable[S3])*-1)</f>
        <v>0</v>
      </c>
      <c r="H121" s="165">
        <f>IF(Data[[#This Row],[Bookie]]="","",SUMIF(BetTable[B1],(VLOOKUP(ROW()-3,BookieName[],2,FALSE)),BetTable[WBA1]))</f>
        <v>0</v>
      </c>
      <c r="I121" s="165">
        <f>IF(Data[[#This Row],[Bookie]]="","",SUMIF(BetTable[B2],(VLOOKUP(ROW()-3,BookieName[],2,FALSE)),BetTable[WBA2]))</f>
        <v>0</v>
      </c>
      <c r="J121" s="165">
        <f>IF(Data[[#This Row],[Bookie]]="","",SUMIF(BetTable[B3],(VLOOKUP(ROW()-3,BookieName[],2,FALSE)),BetTable[WBA3]))</f>
        <v>0</v>
      </c>
      <c r="K121" s="166">
        <f>IF(Data[[#This Row],[Bookie]]="","",SUMIF(LayTable[Bookmaker],(VLOOKUP(ROW()-3,BookieName[],2,FALSE)),LayTable[BookieInnsats])*-1)</f>
        <v>0</v>
      </c>
      <c r="L121" s="166">
        <f>IF(Data[[#This Row],[Bookie]]="","",SUMIF(LayTable[Lay-bookie],(VLOOKUP(ROW()-3,BookieName[],2,FALSE)),LayTable[LayLiability])*-1)</f>
        <v>0</v>
      </c>
      <c r="M121" s="166">
        <f>IF(Data[[#This Row],[Bookie]]="","",SUMIF(LayTable[Bookmaker],(VLOOKUP(ROW()-3,BookieName[],2,FALSE)),LayTable[WBABack]))</f>
        <v>0</v>
      </c>
      <c r="N121" s="166">
        <f>IF(Data[[#This Row],[Bookie]]="","",SUMIF(LayTable[Lay-bookie],(VLOOKUP(ROW()-3,BookieName[],2,FALSE)),LayTable[WBALay]))</f>
        <v>0</v>
      </c>
      <c r="O121" s="166">
        <f>IF(Data[[#This Row],[Bookie]]="","",SUMIF(DWbonus[Bookie],(VLOOKUP(ROW()-3,BookieName[],2,FALSE)),DWbonus[Sum]))</f>
        <v>0</v>
      </c>
      <c r="P121" s="166">
        <f>IF(Data[[#This Row],[Bookie]]="","",SUM(Data[[#This Row],[Pending 1]:[PendingL2]]))</f>
        <v>0</v>
      </c>
      <c r="Q121" s="166">
        <f>IF(Data[[#This Row],[Bookie]]="","",SUMIFS(BetTable[S1],BetTable[B1],(VLOOKUP(ROW()-3,BookieName[],2,FALSE)),BetTable[AR],""))</f>
        <v>0</v>
      </c>
      <c r="R121" s="166">
        <f>IF(Data[[#This Row],[Bookie]]="","",SUMIFS(BetTable[S2],BetTable[B2],(VLOOKUP(ROW()-3,BookieName[],2,FALSE)),BetTable[AR],""))</f>
        <v>0</v>
      </c>
      <c r="S121" s="166">
        <f>IF(Data[[#This Row],[Bookie]]="","",SUMIFS(BetTable[S3],BetTable[B3],(VLOOKUP(ROW()-3,BookieName[],2,FALSE)),BetTable[AR],""))</f>
        <v>0</v>
      </c>
      <c r="T121" s="166">
        <f>IF(Data[[#This Row],[Bookie]]="","",SUMIFS(LayTable[BookieInnsats],LayTable[Bookmaker],(VLOOKUP(ROW()-3,BookieName[],2,FALSE)),LayTable[Faktisk res],""))</f>
        <v>0</v>
      </c>
      <c r="U121" s="166">
        <f>IF(Data[[#This Row],[Bookie]]="","",SUMIFS(LayTable[LayLiability],LayTable[Lay-bookie],(VLOOKUP(ROW()-3,BookieName[],2,FALSE)),LayTable[Faktisk res],""))</f>
        <v>0</v>
      </c>
    </row>
    <row r="122" spans="1:21">
      <c r="A122" s="165">
        <f t="shared" si="7"/>
        <v>119</v>
      </c>
      <c r="B122" s="166">
        <f>IFERROR(VLOOKUP(ROW()-3,BookieName[],3,FALSE),"")</f>
        <v>0</v>
      </c>
      <c r="C122" s="167">
        <f>IF(Data[[#This Row],[Bookie]]="","",SUM(Data[[#This Row],[D/W]:[Bonus and Adjustments]],))</f>
        <v>0</v>
      </c>
      <c r="D122" s="167">
        <f>IF(Data[[#This Row],[Bookie]]="","",SUMIF(DWbooks[Bookmaker],(VLOOKUP(ROW()-3,BookieName[],2,FALSE)),DWbooks[Sum]))</f>
        <v>0</v>
      </c>
      <c r="E122" s="165">
        <f>IF(Data[[#This Row],[Bookie]]="","",SUMIF(BetTable[B1],(VLOOKUP(ROW()-3,BookieName[],2,FALSE)),BetTable[S1])*-1)</f>
        <v>0</v>
      </c>
      <c r="F122" s="165">
        <f>IF(Data[[#This Row],[Bookie]]="","",SUMIF(BetTable[B2],(VLOOKUP(ROW()-3,BookieName[],2,FALSE)),BetTable[S2])*-1)</f>
        <v>0</v>
      </c>
      <c r="G122" s="165">
        <f>IF(Data[[#This Row],[Bookie]]="","",SUMIF(BetTable[B3],(VLOOKUP(ROW()-3,BookieName[],2,FALSE)),BetTable[S3])*-1)</f>
        <v>0</v>
      </c>
      <c r="H122" s="165">
        <f>IF(Data[[#This Row],[Bookie]]="","",SUMIF(BetTable[B1],(VLOOKUP(ROW()-3,BookieName[],2,FALSE)),BetTable[WBA1]))</f>
        <v>0</v>
      </c>
      <c r="I122" s="165">
        <f>IF(Data[[#This Row],[Bookie]]="","",SUMIF(BetTable[B2],(VLOOKUP(ROW()-3,BookieName[],2,FALSE)),BetTable[WBA2]))</f>
        <v>0</v>
      </c>
      <c r="J122" s="165">
        <f>IF(Data[[#This Row],[Bookie]]="","",SUMIF(BetTable[B3],(VLOOKUP(ROW()-3,BookieName[],2,FALSE)),BetTable[WBA3]))</f>
        <v>0</v>
      </c>
      <c r="K122" s="166">
        <f>IF(Data[[#This Row],[Bookie]]="","",SUMIF(LayTable[Bookmaker],(VLOOKUP(ROW()-3,BookieName[],2,FALSE)),LayTable[BookieInnsats])*-1)</f>
        <v>0</v>
      </c>
      <c r="L122" s="166">
        <f>IF(Data[[#This Row],[Bookie]]="","",SUMIF(LayTable[Lay-bookie],(VLOOKUP(ROW()-3,BookieName[],2,FALSE)),LayTable[LayLiability])*-1)</f>
        <v>0</v>
      </c>
      <c r="M122" s="166">
        <f>IF(Data[[#This Row],[Bookie]]="","",SUMIF(LayTable[Bookmaker],(VLOOKUP(ROW()-3,BookieName[],2,FALSE)),LayTable[WBABack]))</f>
        <v>0</v>
      </c>
      <c r="N122" s="166">
        <f>IF(Data[[#This Row],[Bookie]]="","",SUMIF(LayTable[Lay-bookie],(VLOOKUP(ROW()-3,BookieName[],2,FALSE)),LayTable[WBALay]))</f>
        <v>0</v>
      </c>
      <c r="O122" s="166">
        <f>IF(Data[[#This Row],[Bookie]]="","",SUMIF(DWbonus[Bookie],(VLOOKUP(ROW()-3,BookieName[],2,FALSE)),DWbonus[Sum]))</f>
        <v>0</v>
      </c>
      <c r="P122" s="166">
        <f>IF(Data[[#This Row],[Bookie]]="","",SUM(Data[[#This Row],[Pending 1]:[PendingL2]]))</f>
        <v>0</v>
      </c>
      <c r="Q122" s="166">
        <f>IF(Data[[#This Row],[Bookie]]="","",SUMIFS(BetTable[S1],BetTable[B1],(VLOOKUP(ROW()-3,BookieName[],2,FALSE)),BetTable[AR],""))</f>
        <v>0</v>
      </c>
      <c r="R122" s="166">
        <f>IF(Data[[#This Row],[Bookie]]="","",SUMIFS(BetTable[S2],BetTable[B2],(VLOOKUP(ROW()-3,BookieName[],2,FALSE)),BetTable[AR],""))</f>
        <v>0</v>
      </c>
      <c r="S122" s="166">
        <f>IF(Data[[#This Row],[Bookie]]="","",SUMIFS(BetTable[S3],BetTable[B3],(VLOOKUP(ROW()-3,BookieName[],2,FALSE)),BetTable[AR],""))</f>
        <v>0</v>
      </c>
      <c r="T122" s="166">
        <f>IF(Data[[#This Row],[Bookie]]="","",SUMIFS(LayTable[BookieInnsats],LayTable[Bookmaker],(VLOOKUP(ROW()-3,BookieName[],2,FALSE)),LayTable[Faktisk res],""))</f>
        <v>0</v>
      </c>
      <c r="U122" s="166">
        <f>IF(Data[[#This Row],[Bookie]]="","",SUMIFS(LayTable[LayLiability],LayTable[Lay-bookie],(VLOOKUP(ROW()-3,BookieName[],2,FALSE)),LayTable[Faktisk res],""))</f>
        <v>0</v>
      </c>
    </row>
    <row r="123" spans="1:21">
      <c r="A123" s="165">
        <f t="shared" si="7"/>
        <v>120</v>
      </c>
      <c r="B123" s="166">
        <f>IFERROR(VLOOKUP(ROW()-3,BookieName[],3,FALSE),"")</f>
        <v>0</v>
      </c>
      <c r="C123" s="167">
        <f>IF(Data[[#This Row],[Bookie]]="","",SUM(Data[[#This Row],[D/W]:[Bonus and Adjustments]],))</f>
        <v>0</v>
      </c>
      <c r="D123" s="167">
        <f>IF(Data[[#This Row],[Bookie]]="","",SUMIF(DWbooks[Bookmaker],(VLOOKUP(ROW()-3,BookieName[],2,FALSE)),DWbooks[Sum]))</f>
        <v>0</v>
      </c>
      <c r="E123" s="165">
        <f>IF(Data[[#This Row],[Bookie]]="","",SUMIF(BetTable[B1],(VLOOKUP(ROW()-3,BookieName[],2,FALSE)),BetTable[S1])*-1)</f>
        <v>0</v>
      </c>
      <c r="F123" s="165">
        <f>IF(Data[[#This Row],[Bookie]]="","",SUMIF(BetTable[B2],(VLOOKUP(ROW()-3,BookieName[],2,FALSE)),BetTable[S2])*-1)</f>
        <v>0</v>
      </c>
      <c r="G123" s="165">
        <f>IF(Data[[#This Row],[Bookie]]="","",SUMIF(BetTable[B3],(VLOOKUP(ROW()-3,BookieName[],2,FALSE)),BetTable[S3])*-1)</f>
        <v>0</v>
      </c>
      <c r="H123" s="165">
        <f>IF(Data[[#This Row],[Bookie]]="","",SUMIF(BetTable[B1],(VLOOKUP(ROW()-3,BookieName[],2,FALSE)),BetTable[WBA1]))</f>
        <v>0</v>
      </c>
      <c r="I123" s="165">
        <f>IF(Data[[#This Row],[Bookie]]="","",SUMIF(BetTable[B2],(VLOOKUP(ROW()-3,BookieName[],2,FALSE)),BetTable[WBA2]))</f>
        <v>0</v>
      </c>
      <c r="J123" s="165">
        <f>IF(Data[[#This Row],[Bookie]]="","",SUMIF(BetTable[B3],(VLOOKUP(ROW()-3,BookieName[],2,FALSE)),BetTable[WBA3]))</f>
        <v>0</v>
      </c>
      <c r="K123" s="166">
        <f>IF(Data[[#This Row],[Bookie]]="","",SUMIF(LayTable[Bookmaker],(VLOOKUP(ROW()-3,BookieName[],2,FALSE)),LayTable[BookieInnsats])*-1)</f>
        <v>0</v>
      </c>
      <c r="L123" s="166">
        <f>IF(Data[[#This Row],[Bookie]]="","",SUMIF(LayTable[Lay-bookie],(VLOOKUP(ROW()-3,BookieName[],2,FALSE)),LayTable[LayLiability])*-1)</f>
        <v>0</v>
      </c>
      <c r="M123" s="166">
        <f>IF(Data[[#This Row],[Bookie]]="","",SUMIF(LayTable[Bookmaker],(VLOOKUP(ROW()-3,BookieName[],2,FALSE)),LayTable[WBABack]))</f>
        <v>0</v>
      </c>
      <c r="N123" s="166">
        <f>IF(Data[[#This Row],[Bookie]]="","",SUMIF(LayTable[Lay-bookie],(VLOOKUP(ROW()-3,BookieName[],2,FALSE)),LayTable[WBALay]))</f>
        <v>0</v>
      </c>
      <c r="O123" s="166">
        <f>IF(Data[[#This Row],[Bookie]]="","",SUMIF(DWbonus[Bookie],(VLOOKUP(ROW()-3,BookieName[],2,FALSE)),DWbonus[Sum]))</f>
        <v>0</v>
      </c>
      <c r="P123" s="166">
        <f>IF(Data[[#This Row],[Bookie]]="","",SUM(Data[[#This Row],[Pending 1]:[PendingL2]]))</f>
        <v>0</v>
      </c>
      <c r="Q123" s="166">
        <f>IF(Data[[#This Row],[Bookie]]="","",SUMIFS(BetTable[S1],BetTable[B1],(VLOOKUP(ROW()-3,BookieName[],2,FALSE)),BetTable[AR],""))</f>
        <v>0</v>
      </c>
      <c r="R123" s="166">
        <f>IF(Data[[#This Row],[Bookie]]="","",SUMIFS(BetTable[S2],BetTable[B2],(VLOOKUP(ROW()-3,BookieName[],2,FALSE)),BetTable[AR],""))</f>
        <v>0</v>
      </c>
      <c r="S123" s="166">
        <f>IF(Data[[#This Row],[Bookie]]="","",SUMIFS(BetTable[S3],BetTable[B3],(VLOOKUP(ROW()-3,BookieName[],2,FALSE)),BetTable[AR],""))</f>
        <v>0</v>
      </c>
      <c r="T123" s="166">
        <f>IF(Data[[#This Row],[Bookie]]="","",SUMIFS(LayTable[BookieInnsats],LayTable[Bookmaker],(VLOOKUP(ROW()-3,BookieName[],2,FALSE)),LayTable[Faktisk res],""))</f>
        <v>0</v>
      </c>
      <c r="U123" s="166">
        <f>IF(Data[[#This Row],[Bookie]]="","",SUMIFS(LayTable[LayLiability],LayTable[Lay-bookie],(VLOOKUP(ROW()-3,BookieName[],2,FALSE)),LayTable[Faktisk res],""))</f>
        <v>0</v>
      </c>
    </row>
    <row r="124" spans="1:21">
      <c r="A124" s="165">
        <f t="shared" si="7"/>
        <v>121</v>
      </c>
      <c r="B124" s="166">
        <f>IFERROR(VLOOKUP(ROW()-3,BookieName[],3,FALSE),"")</f>
        <v>0</v>
      </c>
      <c r="C124" s="167">
        <f>IF(Data[[#This Row],[Bookie]]="","",SUM(Data[[#This Row],[D/W]:[Bonus and Adjustments]],))</f>
        <v>0</v>
      </c>
      <c r="D124" s="167">
        <f>IF(Data[[#This Row],[Bookie]]="","",SUMIF(DWbooks[Bookmaker],(VLOOKUP(ROW()-3,BookieName[],2,FALSE)),DWbooks[Sum]))</f>
        <v>0</v>
      </c>
      <c r="E124" s="165">
        <f>IF(Data[[#This Row],[Bookie]]="","",SUMIF(BetTable[B1],(VLOOKUP(ROW()-3,BookieName[],2,FALSE)),BetTable[S1])*-1)</f>
        <v>0</v>
      </c>
      <c r="F124" s="165">
        <f>IF(Data[[#This Row],[Bookie]]="","",SUMIF(BetTable[B2],(VLOOKUP(ROW()-3,BookieName[],2,FALSE)),BetTable[S2])*-1)</f>
        <v>0</v>
      </c>
      <c r="G124" s="165">
        <f>IF(Data[[#This Row],[Bookie]]="","",SUMIF(BetTable[B3],(VLOOKUP(ROW()-3,BookieName[],2,FALSE)),BetTable[S3])*-1)</f>
        <v>0</v>
      </c>
      <c r="H124" s="165">
        <f>IF(Data[[#This Row],[Bookie]]="","",SUMIF(BetTable[B1],(VLOOKUP(ROW()-3,BookieName[],2,FALSE)),BetTable[WBA1]))</f>
        <v>0</v>
      </c>
      <c r="I124" s="165">
        <f>IF(Data[[#This Row],[Bookie]]="","",SUMIF(BetTable[B2],(VLOOKUP(ROW()-3,BookieName[],2,FALSE)),BetTable[WBA2]))</f>
        <v>0</v>
      </c>
      <c r="J124" s="165">
        <f>IF(Data[[#This Row],[Bookie]]="","",SUMIF(BetTable[B3],(VLOOKUP(ROW()-3,BookieName[],2,FALSE)),BetTable[WBA3]))</f>
        <v>0</v>
      </c>
      <c r="K124" s="166">
        <f>IF(Data[[#This Row],[Bookie]]="","",SUMIF(LayTable[Bookmaker],(VLOOKUP(ROW()-3,BookieName[],2,FALSE)),LayTable[BookieInnsats])*-1)</f>
        <v>0</v>
      </c>
      <c r="L124" s="166">
        <f>IF(Data[[#This Row],[Bookie]]="","",SUMIF(LayTable[Lay-bookie],(VLOOKUP(ROW()-3,BookieName[],2,FALSE)),LayTable[LayLiability])*-1)</f>
        <v>0</v>
      </c>
      <c r="M124" s="166">
        <f>IF(Data[[#This Row],[Bookie]]="","",SUMIF(LayTable[Bookmaker],(VLOOKUP(ROW()-3,BookieName[],2,FALSE)),LayTable[WBABack]))</f>
        <v>0</v>
      </c>
      <c r="N124" s="166">
        <f>IF(Data[[#This Row],[Bookie]]="","",SUMIF(LayTable[Lay-bookie],(VLOOKUP(ROW()-3,BookieName[],2,FALSE)),LayTable[WBALay]))</f>
        <v>0</v>
      </c>
      <c r="O124" s="166">
        <f>IF(Data[[#This Row],[Bookie]]="","",SUMIF(DWbonus[Bookie],(VLOOKUP(ROW()-3,BookieName[],2,FALSE)),DWbonus[Sum]))</f>
        <v>0</v>
      </c>
      <c r="P124" s="166">
        <f>IF(Data[[#This Row],[Bookie]]="","",SUM(Data[[#This Row],[Pending 1]:[PendingL2]]))</f>
        <v>0</v>
      </c>
      <c r="Q124" s="166">
        <f>IF(Data[[#This Row],[Bookie]]="","",SUMIFS(BetTable[S1],BetTable[B1],(VLOOKUP(ROW()-3,BookieName[],2,FALSE)),BetTable[AR],""))</f>
        <v>0</v>
      </c>
      <c r="R124" s="166">
        <f>IF(Data[[#This Row],[Bookie]]="","",SUMIFS(BetTable[S2],BetTable[B2],(VLOOKUP(ROW()-3,BookieName[],2,FALSE)),BetTable[AR],""))</f>
        <v>0</v>
      </c>
      <c r="S124" s="166">
        <f>IF(Data[[#This Row],[Bookie]]="","",SUMIFS(BetTable[S3],BetTable[B3],(VLOOKUP(ROW()-3,BookieName[],2,FALSE)),BetTable[AR],""))</f>
        <v>0</v>
      </c>
      <c r="T124" s="166">
        <f>IF(Data[[#This Row],[Bookie]]="","",SUMIFS(LayTable[BookieInnsats],LayTable[Bookmaker],(VLOOKUP(ROW()-3,BookieName[],2,FALSE)),LayTable[Faktisk res],""))</f>
        <v>0</v>
      </c>
      <c r="U124" s="166">
        <f>IF(Data[[#This Row],[Bookie]]="","",SUMIFS(LayTable[LayLiability],LayTable[Lay-bookie],(VLOOKUP(ROW()-3,BookieName[],2,FALSE)),LayTable[Faktisk res],""))</f>
        <v>0</v>
      </c>
    </row>
    <row r="125" spans="1:21">
      <c r="A125" s="165">
        <f t="shared" si="7"/>
        <v>122</v>
      </c>
      <c r="B125" s="166">
        <f>IFERROR(VLOOKUP(ROW()-3,BookieName[],3,FALSE),"")</f>
        <v>0</v>
      </c>
      <c r="C125" s="167">
        <f>IF(Data[[#This Row],[Bookie]]="","",SUM(Data[[#This Row],[D/W]:[Bonus and Adjustments]],))</f>
        <v>0</v>
      </c>
      <c r="D125" s="167">
        <f>IF(Data[[#This Row],[Bookie]]="","",SUMIF(DWbooks[Bookmaker],(VLOOKUP(ROW()-3,BookieName[],2,FALSE)),DWbooks[Sum]))</f>
        <v>0</v>
      </c>
      <c r="E125" s="165">
        <f>IF(Data[[#This Row],[Bookie]]="","",SUMIF(BetTable[B1],(VLOOKUP(ROW()-3,BookieName[],2,FALSE)),BetTable[S1])*-1)</f>
        <v>0</v>
      </c>
      <c r="F125" s="165">
        <f>IF(Data[[#This Row],[Bookie]]="","",SUMIF(BetTable[B2],(VLOOKUP(ROW()-3,BookieName[],2,FALSE)),BetTable[S2])*-1)</f>
        <v>0</v>
      </c>
      <c r="G125" s="165">
        <f>IF(Data[[#This Row],[Bookie]]="","",SUMIF(BetTable[B3],(VLOOKUP(ROW()-3,BookieName[],2,FALSE)),BetTable[S3])*-1)</f>
        <v>0</v>
      </c>
      <c r="H125" s="165">
        <f>IF(Data[[#This Row],[Bookie]]="","",SUMIF(BetTable[B1],(VLOOKUP(ROW()-3,BookieName[],2,FALSE)),BetTable[WBA1]))</f>
        <v>0</v>
      </c>
      <c r="I125" s="165">
        <f>IF(Data[[#This Row],[Bookie]]="","",SUMIF(BetTable[B2],(VLOOKUP(ROW()-3,BookieName[],2,FALSE)),BetTable[WBA2]))</f>
        <v>0</v>
      </c>
      <c r="J125" s="165">
        <f>IF(Data[[#This Row],[Bookie]]="","",SUMIF(BetTable[B3],(VLOOKUP(ROW()-3,BookieName[],2,FALSE)),BetTable[WBA3]))</f>
        <v>0</v>
      </c>
      <c r="K125" s="166">
        <f>IF(Data[[#This Row],[Bookie]]="","",SUMIF(LayTable[Bookmaker],(VLOOKUP(ROW()-3,BookieName[],2,FALSE)),LayTable[BookieInnsats])*-1)</f>
        <v>0</v>
      </c>
      <c r="L125" s="166">
        <f>IF(Data[[#This Row],[Bookie]]="","",SUMIF(LayTable[Lay-bookie],(VLOOKUP(ROW()-3,BookieName[],2,FALSE)),LayTable[LayLiability])*-1)</f>
        <v>0</v>
      </c>
      <c r="M125" s="166">
        <f>IF(Data[[#This Row],[Bookie]]="","",SUMIF(LayTable[Bookmaker],(VLOOKUP(ROW()-3,BookieName[],2,FALSE)),LayTable[WBABack]))</f>
        <v>0</v>
      </c>
      <c r="N125" s="166">
        <f>IF(Data[[#This Row],[Bookie]]="","",SUMIF(LayTable[Lay-bookie],(VLOOKUP(ROW()-3,BookieName[],2,FALSE)),LayTable[WBALay]))</f>
        <v>0</v>
      </c>
      <c r="O125" s="166">
        <f>IF(Data[[#This Row],[Bookie]]="","",SUMIF(DWbonus[Bookie],(VLOOKUP(ROW()-3,BookieName[],2,FALSE)),DWbonus[Sum]))</f>
        <v>0</v>
      </c>
      <c r="P125" s="166">
        <f>IF(Data[[#This Row],[Bookie]]="","",SUM(Data[[#This Row],[Pending 1]:[PendingL2]]))</f>
        <v>0</v>
      </c>
      <c r="Q125" s="166">
        <f>IF(Data[[#This Row],[Bookie]]="","",SUMIFS(BetTable[S1],BetTable[B1],(VLOOKUP(ROW()-3,BookieName[],2,FALSE)),BetTable[AR],""))</f>
        <v>0</v>
      </c>
      <c r="R125" s="166">
        <f>IF(Data[[#This Row],[Bookie]]="","",SUMIFS(BetTable[S2],BetTable[B2],(VLOOKUP(ROW()-3,BookieName[],2,FALSE)),BetTable[AR],""))</f>
        <v>0</v>
      </c>
      <c r="S125" s="166">
        <f>IF(Data[[#This Row],[Bookie]]="","",SUMIFS(BetTable[S3],BetTable[B3],(VLOOKUP(ROW()-3,BookieName[],2,FALSE)),BetTable[AR],""))</f>
        <v>0</v>
      </c>
      <c r="T125" s="166">
        <f>IF(Data[[#This Row],[Bookie]]="","",SUMIFS(LayTable[BookieInnsats],LayTable[Bookmaker],(VLOOKUP(ROW()-3,BookieName[],2,FALSE)),LayTable[Faktisk res],""))</f>
        <v>0</v>
      </c>
      <c r="U125" s="166">
        <f>IF(Data[[#This Row],[Bookie]]="","",SUMIFS(LayTable[LayLiability],LayTable[Lay-bookie],(VLOOKUP(ROW()-3,BookieName[],2,FALSE)),LayTable[Faktisk res],""))</f>
        <v>0</v>
      </c>
    </row>
    <row r="126" spans="1:21">
      <c r="A126" s="165">
        <f t="shared" si="7"/>
        <v>123</v>
      </c>
      <c r="B126" s="166">
        <f>IFERROR(VLOOKUP(ROW()-3,BookieName[],3,FALSE),"")</f>
        <v>0</v>
      </c>
      <c r="C126" s="167">
        <f>IF(Data[[#This Row],[Bookie]]="","",SUM(Data[[#This Row],[D/W]:[Bonus and Adjustments]],))</f>
        <v>0</v>
      </c>
      <c r="D126" s="167">
        <f>IF(Data[[#This Row],[Bookie]]="","",SUMIF(DWbooks[Bookmaker],(VLOOKUP(ROW()-3,BookieName[],2,FALSE)),DWbooks[Sum]))</f>
        <v>0</v>
      </c>
      <c r="E126" s="165">
        <f>IF(Data[[#This Row],[Bookie]]="","",SUMIF(BetTable[B1],(VLOOKUP(ROW()-3,BookieName[],2,FALSE)),BetTable[S1])*-1)</f>
        <v>0</v>
      </c>
      <c r="F126" s="165">
        <f>IF(Data[[#This Row],[Bookie]]="","",SUMIF(BetTable[B2],(VLOOKUP(ROW()-3,BookieName[],2,FALSE)),BetTable[S2])*-1)</f>
        <v>0</v>
      </c>
      <c r="G126" s="165">
        <f>IF(Data[[#This Row],[Bookie]]="","",SUMIF(BetTable[B3],(VLOOKUP(ROW()-3,BookieName[],2,FALSE)),BetTable[S3])*-1)</f>
        <v>0</v>
      </c>
      <c r="H126" s="165">
        <f>IF(Data[[#This Row],[Bookie]]="","",SUMIF(BetTable[B1],(VLOOKUP(ROW()-3,BookieName[],2,FALSE)),BetTable[WBA1]))</f>
        <v>0</v>
      </c>
      <c r="I126" s="165">
        <f>IF(Data[[#This Row],[Bookie]]="","",SUMIF(BetTable[B2],(VLOOKUP(ROW()-3,BookieName[],2,FALSE)),BetTable[WBA2]))</f>
        <v>0</v>
      </c>
      <c r="J126" s="165">
        <f>IF(Data[[#This Row],[Bookie]]="","",SUMIF(BetTable[B3],(VLOOKUP(ROW()-3,BookieName[],2,FALSE)),BetTable[WBA3]))</f>
        <v>0</v>
      </c>
      <c r="K126" s="166">
        <f>IF(Data[[#This Row],[Bookie]]="","",SUMIF(LayTable[Bookmaker],(VLOOKUP(ROW()-3,BookieName[],2,FALSE)),LayTable[BookieInnsats])*-1)</f>
        <v>0</v>
      </c>
      <c r="L126" s="166">
        <f>IF(Data[[#This Row],[Bookie]]="","",SUMIF(LayTable[Lay-bookie],(VLOOKUP(ROW()-3,BookieName[],2,FALSE)),LayTable[LayLiability])*-1)</f>
        <v>0</v>
      </c>
      <c r="M126" s="166">
        <f>IF(Data[[#This Row],[Bookie]]="","",SUMIF(LayTable[Bookmaker],(VLOOKUP(ROW()-3,BookieName[],2,FALSE)),LayTable[WBABack]))</f>
        <v>0</v>
      </c>
      <c r="N126" s="166">
        <f>IF(Data[[#This Row],[Bookie]]="","",SUMIF(LayTable[Lay-bookie],(VLOOKUP(ROW()-3,BookieName[],2,FALSE)),LayTable[WBALay]))</f>
        <v>0</v>
      </c>
      <c r="O126" s="166">
        <f>IF(Data[[#This Row],[Bookie]]="","",SUMIF(DWbonus[Bookie],(VLOOKUP(ROW()-3,BookieName[],2,FALSE)),DWbonus[Sum]))</f>
        <v>0</v>
      </c>
      <c r="P126" s="166">
        <f>IF(Data[[#This Row],[Bookie]]="","",SUM(Data[[#This Row],[Pending 1]:[PendingL2]]))</f>
        <v>0</v>
      </c>
      <c r="Q126" s="166">
        <f>IF(Data[[#This Row],[Bookie]]="","",SUMIFS(BetTable[S1],BetTable[B1],(VLOOKUP(ROW()-3,BookieName[],2,FALSE)),BetTable[AR],""))</f>
        <v>0</v>
      </c>
      <c r="R126" s="166">
        <f>IF(Data[[#This Row],[Bookie]]="","",SUMIFS(BetTable[S2],BetTable[B2],(VLOOKUP(ROW()-3,BookieName[],2,FALSE)),BetTable[AR],""))</f>
        <v>0</v>
      </c>
      <c r="S126" s="166">
        <f>IF(Data[[#This Row],[Bookie]]="","",SUMIFS(BetTable[S3],BetTable[B3],(VLOOKUP(ROW()-3,BookieName[],2,FALSE)),BetTable[AR],""))</f>
        <v>0</v>
      </c>
      <c r="T126" s="166">
        <f>IF(Data[[#This Row],[Bookie]]="","",SUMIFS(LayTable[BookieInnsats],LayTable[Bookmaker],(VLOOKUP(ROW()-3,BookieName[],2,FALSE)),LayTable[Faktisk res],""))</f>
        <v>0</v>
      </c>
      <c r="U126" s="166">
        <f>IF(Data[[#This Row],[Bookie]]="","",SUMIFS(LayTable[LayLiability],LayTable[Lay-bookie],(VLOOKUP(ROW()-3,BookieName[],2,FALSE)),LayTable[Faktisk res],""))</f>
        <v>0</v>
      </c>
    </row>
    <row r="127" spans="1:21">
      <c r="A127" s="165">
        <f t="shared" si="7"/>
        <v>124</v>
      </c>
      <c r="B127" s="166">
        <f>IFERROR(VLOOKUP(ROW()-3,BookieName[],3,FALSE),"")</f>
        <v>0</v>
      </c>
      <c r="C127" s="167">
        <f>IF(Data[[#This Row],[Bookie]]="","",SUM(Data[[#This Row],[D/W]:[Bonus and Adjustments]],))</f>
        <v>0</v>
      </c>
      <c r="D127" s="167">
        <f>IF(Data[[#This Row],[Bookie]]="","",SUMIF(DWbooks[Bookmaker],(VLOOKUP(ROW()-3,BookieName[],2,FALSE)),DWbooks[Sum]))</f>
        <v>0</v>
      </c>
      <c r="E127" s="165">
        <f>IF(Data[[#This Row],[Bookie]]="","",SUMIF(BetTable[B1],(VLOOKUP(ROW()-3,BookieName[],2,FALSE)),BetTable[S1])*-1)</f>
        <v>0</v>
      </c>
      <c r="F127" s="165">
        <f>IF(Data[[#This Row],[Bookie]]="","",SUMIF(BetTable[B2],(VLOOKUP(ROW()-3,BookieName[],2,FALSE)),BetTable[S2])*-1)</f>
        <v>0</v>
      </c>
      <c r="G127" s="165">
        <f>IF(Data[[#This Row],[Bookie]]="","",SUMIF(BetTable[B3],(VLOOKUP(ROW()-3,BookieName[],2,FALSE)),BetTable[S3])*-1)</f>
        <v>0</v>
      </c>
      <c r="H127" s="165">
        <f>IF(Data[[#This Row],[Bookie]]="","",SUMIF(BetTable[B1],(VLOOKUP(ROW()-3,BookieName[],2,FALSE)),BetTable[WBA1]))</f>
        <v>0</v>
      </c>
      <c r="I127" s="165">
        <f>IF(Data[[#This Row],[Bookie]]="","",SUMIF(BetTable[B2],(VLOOKUP(ROW()-3,BookieName[],2,FALSE)),BetTable[WBA2]))</f>
        <v>0</v>
      </c>
      <c r="J127" s="165">
        <f>IF(Data[[#This Row],[Bookie]]="","",SUMIF(BetTable[B3],(VLOOKUP(ROW()-3,BookieName[],2,FALSE)),BetTable[WBA3]))</f>
        <v>0</v>
      </c>
      <c r="K127" s="166">
        <f>IF(Data[[#This Row],[Bookie]]="","",SUMIF(LayTable[Bookmaker],(VLOOKUP(ROW()-3,BookieName[],2,FALSE)),LayTable[BookieInnsats])*-1)</f>
        <v>0</v>
      </c>
      <c r="L127" s="166">
        <f>IF(Data[[#This Row],[Bookie]]="","",SUMIF(LayTable[Lay-bookie],(VLOOKUP(ROW()-3,BookieName[],2,FALSE)),LayTable[LayLiability])*-1)</f>
        <v>0</v>
      </c>
      <c r="M127" s="166">
        <f>IF(Data[[#This Row],[Bookie]]="","",SUMIF(LayTable[Bookmaker],(VLOOKUP(ROW()-3,BookieName[],2,FALSE)),LayTable[WBABack]))</f>
        <v>0</v>
      </c>
      <c r="N127" s="166">
        <f>IF(Data[[#This Row],[Bookie]]="","",SUMIF(LayTable[Lay-bookie],(VLOOKUP(ROW()-3,BookieName[],2,FALSE)),LayTable[WBALay]))</f>
        <v>0</v>
      </c>
      <c r="O127" s="166">
        <f>IF(Data[[#This Row],[Bookie]]="","",SUMIF(DWbonus[Bookie],(VLOOKUP(ROW()-3,BookieName[],2,FALSE)),DWbonus[Sum]))</f>
        <v>0</v>
      </c>
      <c r="P127" s="166">
        <f>IF(Data[[#This Row],[Bookie]]="","",SUM(Data[[#This Row],[Pending 1]:[PendingL2]]))</f>
        <v>0</v>
      </c>
      <c r="Q127" s="166">
        <f>IF(Data[[#This Row],[Bookie]]="","",SUMIFS(BetTable[S1],BetTable[B1],(VLOOKUP(ROW()-3,BookieName[],2,FALSE)),BetTable[AR],""))</f>
        <v>0</v>
      </c>
      <c r="R127" s="166">
        <f>IF(Data[[#This Row],[Bookie]]="","",SUMIFS(BetTable[S2],BetTable[B2],(VLOOKUP(ROW()-3,BookieName[],2,FALSE)),BetTable[AR],""))</f>
        <v>0</v>
      </c>
      <c r="S127" s="166">
        <f>IF(Data[[#This Row],[Bookie]]="","",SUMIFS(BetTable[S3],BetTable[B3],(VLOOKUP(ROW()-3,BookieName[],2,FALSE)),BetTable[AR],""))</f>
        <v>0</v>
      </c>
      <c r="T127" s="166">
        <f>IF(Data[[#This Row],[Bookie]]="","",SUMIFS(LayTable[BookieInnsats],LayTable[Bookmaker],(VLOOKUP(ROW()-3,BookieName[],2,FALSE)),LayTable[Faktisk res],""))</f>
        <v>0</v>
      </c>
      <c r="U127" s="166">
        <f>IF(Data[[#This Row],[Bookie]]="","",SUMIFS(LayTable[LayLiability],LayTable[Lay-bookie],(VLOOKUP(ROW()-3,BookieName[],2,FALSE)),LayTable[Faktisk res],""))</f>
        <v>0</v>
      </c>
    </row>
    <row r="128" spans="1:21">
      <c r="A128" s="165">
        <f t="shared" si="7"/>
        <v>125</v>
      </c>
      <c r="B128" s="166">
        <f>IFERROR(VLOOKUP(ROW()-3,BookieName[],3,FALSE),"")</f>
        <v>0</v>
      </c>
      <c r="C128" s="167">
        <f>IF(Data[[#This Row],[Bookie]]="","",SUM(Data[[#This Row],[D/W]:[Bonus and Adjustments]],))</f>
        <v>0</v>
      </c>
      <c r="D128" s="167">
        <f>IF(Data[[#This Row],[Bookie]]="","",SUMIF(DWbooks[Bookmaker],(VLOOKUP(ROW()-3,BookieName[],2,FALSE)),DWbooks[Sum]))</f>
        <v>0</v>
      </c>
      <c r="E128" s="165">
        <f>IF(Data[[#This Row],[Bookie]]="","",SUMIF(BetTable[B1],(VLOOKUP(ROW()-3,BookieName[],2,FALSE)),BetTable[S1])*-1)</f>
        <v>0</v>
      </c>
      <c r="F128" s="165">
        <f>IF(Data[[#This Row],[Bookie]]="","",SUMIF(BetTable[B2],(VLOOKUP(ROW()-3,BookieName[],2,FALSE)),BetTable[S2])*-1)</f>
        <v>0</v>
      </c>
      <c r="G128" s="165">
        <f>IF(Data[[#This Row],[Bookie]]="","",SUMIF(BetTable[B3],(VLOOKUP(ROW()-3,BookieName[],2,FALSE)),BetTable[S3])*-1)</f>
        <v>0</v>
      </c>
      <c r="H128" s="165">
        <f>IF(Data[[#This Row],[Bookie]]="","",SUMIF(BetTable[B1],(VLOOKUP(ROW()-3,BookieName[],2,FALSE)),BetTable[WBA1]))</f>
        <v>0</v>
      </c>
      <c r="I128" s="165">
        <f>IF(Data[[#This Row],[Bookie]]="","",SUMIF(BetTable[B2],(VLOOKUP(ROW()-3,BookieName[],2,FALSE)),BetTable[WBA2]))</f>
        <v>0</v>
      </c>
      <c r="J128" s="165">
        <f>IF(Data[[#This Row],[Bookie]]="","",SUMIF(BetTable[B3],(VLOOKUP(ROW()-3,BookieName[],2,FALSE)),BetTable[WBA3]))</f>
        <v>0</v>
      </c>
      <c r="K128" s="166">
        <f>IF(Data[[#This Row],[Bookie]]="","",SUMIF(LayTable[Bookmaker],(VLOOKUP(ROW()-3,BookieName[],2,FALSE)),LayTable[BookieInnsats])*-1)</f>
        <v>0</v>
      </c>
      <c r="L128" s="166">
        <f>IF(Data[[#This Row],[Bookie]]="","",SUMIF(LayTable[Lay-bookie],(VLOOKUP(ROW()-3,BookieName[],2,FALSE)),LayTable[LayLiability])*-1)</f>
        <v>0</v>
      </c>
      <c r="M128" s="166">
        <f>IF(Data[[#This Row],[Bookie]]="","",SUMIF(LayTable[Bookmaker],(VLOOKUP(ROW()-3,BookieName[],2,FALSE)),LayTable[WBABack]))</f>
        <v>0</v>
      </c>
      <c r="N128" s="166">
        <f>IF(Data[[#This Row],[Bookie]]="","",SUMIF(LayTable[Lay-bookie],(VLOOKUP(ROW()-3,BookieName[],2,FALSE)),LayTable[WBALay]))</f>
        <v>0</v>
      </c>
      <c r="O128" s="166">
        <f>IF(Data[[#This Row],[Bookie]]="","",SUMIF(DWbonus[Bookie],(VLOOKUP(ROW()-3,BookieName[],2,FALSE)),DWbonus[Sum]))</f>
        <v>0</v>
      </c>
      <c r="P128" s="166">
        <f>IF(Data[[#This Row],[Bookie]]="","",SUM(Data[[#This Row],[Pending 1]:[PendingL2]]))</f>
        <v>0</v>
      </c>
      <c r="Q128" s="166">
        <f>IF(Data[[#This Row],[Bookie]]="","",SUMIFS(BetTable[S1],BetTable[B1],(VLOOKUP(ROW()-3,BookieName[],2,FALSE)),BetTable[AR],""))</f>
        <v>0</v>
      </c>
      <c r="R128" s="166">
        <f>IF(Data[[#This Row],[Bookie]]="","",SUMIFS(BetTable[S2],BetTable[B2],(VLOOKUP(ROW()-3,BookieName[],2,FALSE)),BetTable[AR],""))</f>
        <v>0</v>
      </c>
      <c r="S128" s="166">
        <f>IF(Data[[#This Row],[Bookie]]="","",SUMIFS(BetTable[S3],BetTable[B3],(VLOOKUP(ROW()-3,BookieName[],2,FALSE)),BetTable[AR],""))</f>
        <v>0</v>
      </c>
      <c r="T128" s="166">
        <f>IF(Data[[#This Row],[Bookie]]="","",SUMIFS(LayTable[BookieInnsats],LayTable[Bookmaker],(VLOOKUP(ROW()-3,BookieName[],2,FALSE)),LayTable[Faktisk res],""))</f>
        <v>0</v>
      </c>
      <c r="U128" s="166">
        <f>IF(Data[[#This Row],[Bookie]]="","",SUMIFS(LayTable[LayLiability],LayTable[Lay-bookie],(VLOOKUP(ROW()-3,BookieName[],2,FALSE)),LayTable[Faktisk res],""))</f>
        <v>0</v>
      </c>
    </row>
    <row r="129" spans="1:21">
      <c r="A129" s="165">
        <f t="shared" ref="A129:A160" si="8">ROW()-3</f>
        <v>126</v>
      </c>
      <c r="B129" s="166">
        <f>IFERROR(VLOOKUP(ROW()-3,BookieName[],3,FALSE),"")</f>
        <v>0</v>
      </c>
      <c r="C129" s="167">
        <f>IF(Data[[#This Row],[Bookie]]="","",SUM(Data[[#This Row],[D/W]:[Bonus and Adjustments]],))</f>
        <v>0</v>
      </c>
      <c r="D129" s="167">
        <f>IF(Data[[#This Row],[Bookie]]="","",SUMIF(DWbooks[Bookmaker],(VLOOKUP(ROW()-3,BookieName[],2,FALSE)),DWbooks[Sum]))</f>
        <v>0</v>
      </c>
      <c r="E129" s="165">
        <f>IF(Data[[#This Row],[Bookie]]="","",SUMIF(BetTable[B1],(VLOOKUP(ROW()-3,BookieName[],2,FALSE)),BetTable[S1])*-1)</f>
        <v>0</v>
      </c>
      <c r="F129" s="165">
        <f>IF(Data[[#This Row],[Bookie]]="","",SUMIF(BetTable[B2],(VLOOKUP(ROW()-3,BookieName[],2,FALSE)),BetTable[S2])*-1)</f>
        <v>0</v>
      </c>
      <c r="G129" s="165">
        <f>IF(Data[[#This Row],[Bookie]]="","",SUMIF(BetTable[B3],(VLOOKUP(ROW()-3,BookieName[],2,FALSE)),BetTable[S3])*-1)</f>
        <v>0</v>
      </c>
      <c r="H129" s="165">
        <f>IF(Data[[#This Row],[Bookie]]="","",SUMIF(BetTable[B1],(VLOOKUP(ROW()-3,BookieName[],2,FALSE)),BetTable[WBA1]))</f>
        <v>0</v>
      </c>
      <c r="I129" s="165">
        <f>IF(Data[[#This Row],[Bookie]]="","",SUMIF(BetTable[B2],(VLOOKUP(ROW()-3,BookieName[],2,FALSE)),BetTable[WBA2]))</f>
        <v>0</v>
      </c>
      <c r="J129" s="165">
        <f>IF(Data[[#This Row],[Bookie]]="","",SUMIF(BetTable[B3],(VLOOKUP(ROW()-3,BookieName[],2,FALSE)),BetTable[WBA3]))</f>
        <v>0</v>
      </c>
      <c r="K129" s="166">
        <f>IF(Data[[#This Row],[Bookie]]="","",SUMIF(LayTable[Bookmaker],(VLOOKUP(ROW()-3,BookieName[],2,FALSE)),LayTable[BookieInnsats])*-1)</f>
        <v>0</v>
      </c>
      <c r="L129" s="166">
        <f>IF(Data[[#This Row],[Bookie]]="","",SUMIF(LayTable[Lay-bookie],(VLOOKUP(ROW()-3,BookieName[],2,FALSE)),LayTable[LayLiability])*-1)</f>
        <v>0</v>
      </c>
      <c r="M129" s="166">
        <f>IF(Data[[#This Row],[Bookie]]="","",SUMIF(LayTable[Bookmaker],(VLOOKUP(ROW()-3,BookieName[],2,FALSE)),LayTable[WBABack]))</f>
        <v>0</v>
      </c>
      <c r="N129" s="166">
        <f>IF(Data[[#This Row],[Bookie]]="","",SUMIF(LayTable[Lay-bookie],(VLOOKUP(ROW()-3,BookieName[],2,FALSE)),LayTable[WBALay]))</f>
        <v>0</v>
      </c>
      <c r="O129" s="166">
        <f>IF(Data[[#This Row],[Bookie]]="","",SUMIF(DWbonus[Bookie],(VLOOKUP(ROW()-3,BookieName[],2,FALSE)),DWbonus[Sum]))</f>
        <v>0</v>
      </c>
      <c r="P129" s="166">
        <f>IF(Data[[#This Row],[Bookie]]="","",SUM(Data[[#This Row],[Pending 1]:[PendingL2]]))</f>
        <v>0</v>
      </c>
      <c r="Q129" s="166">
        <f>IF(Data[[#This Row],[Bookie]]="","",SUMIFS(BetTable[S1],BetTable[B1],(VLOOKUP(ROW()-3,BookieName[],2,FALSE)),BetTable[AR],""))</f>
        <v>0</v>
      </c>
      <c r="R129" s="166">
        <f>IF(Data[[#This Row],[Bookie]]="","",SUMIFS(BetTable[S2],BetTable[B2],(VLOOKUP(ROW()-3,BookieName[],2,FALSE)),BetTable[AR],""))</f>
        <v>0</v>
      </c>
      <c r="S129" s="166">
        <f>IF(Data[[#This Row],[Bookie]]="","",SUMIFS(BetTable[S3],BetTable[B3],(VLOOKUP(ROW()-3,BookieName[],2,FALSE)),BetTable[AR],""))</f>
        <v>0</v>
      </c>
      <c r="T129" s="166">
        <f>IF(Data[[#This Row],[Bookie]]="","",SUMIFS(LayTable[BookieInnsats],LayTable[Bookmaker],(VLOOKUP(ROW()-3,BookieName[],2,FALSE)),LayTable[Faktisk res],""))</f>
        <v>0</v>
      </c>
      <c r="U129" s="166">
        <f>IF(Data[[#This Row],[Bookie]]="","",SUMIFS(LayTable[LayLiability],LayTable[Lay-bookie],(VLOOKUP(ROW()-3,BookieName[],2,FALSE)),LayTable[Faktisk res],""))</f>
        <v>0</v>
      </c>
    </row>
    <row r="130" spans="1:21">
      <c r="A130" s="165">
        <f t="shared" si="8"/>
        <v>127</v>
      </c>
      <c r="B130" s="166">
        <f>IFERROR(VLOOKUP(ROW()-3,BookieName[],3,FALSE),"")</f>
        <v>0</v>
      </c>
      <c r="C130" s="167">
        <f>IF(Data[[#This Row],[Bookie]]="","",SUM(Data[[#This Row],[D/W]:[Bonus and Adjustments]],))</f>
        <v>0</v>
      </c>
      <c r="D130" s="167">
        <f>IF(Data[[#This Row],[Bookie]]="","",SUMIF(DWbooks[Bookmaker],(VLOOKUP(ROW()-3,BookieName[],2,FALSE)),DWbooks[Sum]))</f>
        <v>0</v>
      </c>
      <c r="E130" s="165">
        <f>IF(Data[[#This Row],[Bookie]]="","",SUMIF(BetTable[B1],(VLOOKUP(ROW()-3,BookieName[],2,FALSE)),BetTable[S1])*-1)</f>
        <v>0</v>
      </c>
      <c r="F130" s="165">
        <f>IF(Data[[#This Row],[Bookie]]="","",SUMIF(BetTable[B2],(VLOOKUP(ROW()-3,BookieName[],2,FALSE)),BetTable[S2])*-1)</f>
        <v>0</v>
      </c>
      <c r="G130" s="165">
        <f>IF(Data[[#This Row],[Bookie]]="","",SUMIF(BetTable[B3],(VLOOKUP(ROW()-3,BookieName[],2,FALSE)),BetTable[S3])*-1)</f>
        <v>0</v>
      </c>
      <c r="H130" s="165">
        <f>IF(Data[[#This Row],[Bookie]]="","",SUMIF(BetTable[B1],(VLOOKUP(ROW()-3,BookieName[],2,FALSE)),BetTable[WBA1]))</f>
        <v>0</v>
      </c>
      <c r="I130" s="165">
        <f>IF(Data[[#This Row],[Bookie]]="","",SUMIF(BetTable[B2],(VLOOKUP(ROW()-3,BookieName[],2,FALSE)),BetTable[WBA2]))</f>
        <v>0</v>
      </c>
      <c r="J130" s="165">
        <f>IF(Data[[#This Row],[Bookie]]="","",SUMIF(BetTable[B3],(VLOOKUP(ROW()-3,BookieName[],2,FALSE)),BetTable[WBA3]))</f>
        <v>0</v>
      </c>
      <c r="K130" s="166">
        <f>IF(Data[[#This Row],[Bookie]]="","",SUMIF(LayTable[Bookmaker],(VLOOKUP(ROW()-3,BookieName[],2,FALSE)),LayTable[BookieInnsats])*-1)</f>
        <v>0</v>
      </c>
      <c r="L130" s="166">
        <f>IF(Data[[#This Row],[Bookie]]="","",SUMIF(LayTable[Lay-bookie],(VLOOKUP(ROW()-3,BookieName[],2,FALSE)),LayTable[LayLiability])*-1)</f>
        <v>0</v>
      </c>
      <c r="M130" s="166">
        <f>IF(Data[[#This Row],[Bookie]]="","",SUMIF(LayTable[Bookmaker],(VLOOKUP(ROW()-3,BookieName[],2,FALSE)),LayTable[WBABack]))</f>
        <v>0</v>
      </c>
      <c r="N130" s="166">
        <f>IF(Data[[#This Row],[Bookie]]="","",SUMIF(LayTable[Lay-bookie],(VLOOKUP(ROW()-3,BookieName[],2,FALSE)),LayTable[WBALay]))</f>
        <v>0</v>
      </c>
      <c r="O130" s="166">
        <f>IF(Data[[#This Row],[Bookie]]="","",SUMIF(DWbonus[Bookie],(VLOOKUP(ROW()-3,BookieName[],2,FALSE)),DWbonus[Sum]))</f>
        <v>0</v>
      </c>
      <c r="P130" s="166">
        <f>IF(Data[[#This Row],[Bookie]]="","",SUM(Data[[#This Row],[Pending 1]:[PendingL2]]))</f>
        <v>0</v>
      </c>
      <c r="Q130" s="166">
        <f>IF(Data[[#This Row],[Bookie]]="","",SUMIFS(BetTable[S1],BetTable[B1],(VLOOKUP(ROW()-3,BookieName[],2,FALSE)),BetTable[AR],""))</f>
        <v>0</v>
      </c>
      <c r="R130" s="166">
        <f>IF(Data[[#This Row],[Bookie]]="","",SUMIFS(BetTable[S2],BetTable[B2],(VLOOKUP(ROW()-3,BookieName[],2,FALSE)),BetTable[AR],""))</f>
        <v>0</v>
      </c>
      <c r="S130" s="166">
        <f>IF(Data[[#This Row],[Bookie]]="","",SUMIFS(BetTable[S3],BetTable[B3],(VLOOKUP(ROW()-3,BookieName[],2,FALSE)),BetTable[AR],""))</f>
        <v>0</v>
      </c>
      <c r="T130" s="166">
        <f>IF(Data[[#This Row],[Bookie]]="","",SUMIFS(LayTable[BookieInnsats],LayTable[Bookmaker],(VLOOKUP(ROW()-3,BookieName[],2,FALSE)),LayTable[Faktisk res],""))</f>
        <v>0</v>
      </c>
      <c r="U130" s="166">
        <f>IF(Data[[#This Row],[Bookie]]="","",SUMIFS(LayTable[LayLiability],LayTable[Lay-bookie],(VLOOKUP(ROW()-3,BookieName[],2,FALSE)),LayTable[Faktisk res],""))</f>
        <v>0</v>
      </c>
    </row>
    <row r="131" spans="1:21">
      <c r="A131" s="165">
        <f t="shared" si="8"/>
        <v>128</v>
      </c>
      <c r="B131" s="166">
        <f>IFERROR(VLOOKUP(ROW()-3,BookieName[],3,FALSE),"")</f>
        <v>0</v>
      </c>
      <c r="C131" s="167">
        <f>IF(Data[[#This Row],[Bookie]]="","",SUM(Data[[#This Row],[D/W]:[Bonus and Adjustments]],))</f>
        <v>0</v>
      </c>
      <c r="D131" s="167">
        <f>IF(Data[[#This Row],[Bookie]]="","",SUMIF(DWbooks[Bookmaker],(VLOOKUP(ROW()-3,BookieName[],2,FALSE)),DWbooks[Sum]))</f>
        <v>0</v>
      </c>
      <c r="E131" s="165">
        <f>IF(Data[[#This Row],[Bookie]]="","",SUMIF(BetTable[B1],(VLOOKUP(ROW()-3,BookieName[],2,FALSE)),BetTable[S1])*-1)</f>
        <v>0</v>
      </c>
      <c r="F131" s="165">
        <f>IF(Data[[#This Row],[Bookie]]="","",SUMIF(BetTable[B2],(VLOOKUP(ROW()-3,BookieName[],2,FALSE)),BetTable[S2])*-1)</f>
        <v>0</v>
      </c>
      <c r="G131" s="165">
        <f>IF(Data[[#This Row],[Bookie]]="","",SUMIF(BetTable[B3],(VLOOKUP(ROW()-3,BookieName[],2,FALSE)),BetTable[S3])*-1)</f>
        <v>0</v>
      </c>
      <c r="H131" s="165">
        <f>IF(Data[[#This Row],[Bookie]]="","",SUMIF(BetTable[B1],(VLOOKUP(ROW()-3,BookieName[],2,FALSE)),BetTable[WBA1]))</f>
        <v>0</v>
      </c>
      <c r="I131" s="165">
        <f>IF(Data[[#This Row],[Bookie]]="","",SUMIF(BetTable[B2],(VLOOKUP(ROW()-3,BookieName[],2,FALSE)),BetTable[WBA2]))</f>
        <v>0</v>
      </c>
      <c r="J131" s="165">
        <f>IF(Data[[#This Row],[Bookie]]="","",SUMIF(BetTable[B3],(VLOOKUP(ROW()-3,BookieName[],2,FALSE)),BetTable[WBA3]))</f>
        <v>0</v>
      </c>
      <c r="K131" s="166">
        <f>IF(Data[[#This Row],[Bookie]]="","",SUMIF(LayTable[Bookmaker],(VLOOKUP(ROW()-3,BookieName[],2,FALSE)),LayTable[BookieInnsats])*-1)</f>
        <v>0</v>
      </c>
      <c r="L131" s="166">
        <f>IF(Data[[#This Row],[Bookie]]="","",SUMIF(LayTable[Lay-bookie],(VLOOKUP(ROW()-3,BookieName[],2,FALSE)),LayTable[LayLiability])*-1)</f>
        <v>0</v>
      </c>
      <c r="M131" s="166">
        <f>IF(Data[[#This Row],[Bookie]]="","",SUMIF(LayTable[Bookmaker],(VLOOKUP(ROW()-3,BookieName[],2,FALSE)),LayTable[WBABack]))</f>
        <v>0</v>
      </c>
      <c r="N131" s="166">
        <f>IF(Data[[#This Row],[Bookie]]="","",SUMIF(LayTable[Lay-bookie],(VLOOKUP(ROW()-3,BookieName[],2,FALSE)),LayTable[WBALay]))</f>
        <v>0</v>
      </c>
      <c r="O131" s="166">
        <f>IF(Data[[#This Row],[Bookie]]="","",SUMIF(DWbonus[Bookie],(VLOOKUP(ROW()-3,BookieName[],2,FALSE)),DWbonus[Sum]))</f>
        <v>0</v>
      </c>
      <c r="P131" s="166">
        <f>IF(Data[[#This Row],[Bookie]]="","",SUM(Data[[#This Row],[Pending 1]:[PendingL2]]))</f>
        <v>0</v>
      </c>
      <c r="Q131" s="166">
        <f>IF(Data[[#This Row],[Bookie]]="","",SUMIFS(BetTable[S1],BetTable[B1],(VLOOKUP(ROW()-3,BookieName[],2,FALSE)),BetTable[AR],""))</f>
        <v>0</v>
      </c>
      <c r="R131" s="166">
        <f>IF(Data[[#This Row],[Bookie]]="","",SUMIFS(BetTable[S2],BetTable[B2],(VLOOKUP(ROW()-3,BookieName[],2,FALSE)),BetTable[AR],""))</f>
        <v>0</v>
      </c>
      <c r="S131" s="166">
        <f>IF(Data[[#This Row],[Bookie]]="","",SUMIFS(BetTable[S3],BetTable[B3],(VLOOKUP(ROW()-3,BookieName[],2,FALSE)),BetTable[AR],""))</f>
        <v>0</v>
      </c>
      <c r="T131" s="166">
        <f>IF(Data[[#This Row],[Bookie]]="","",SUMIFS(LayTable[BookieInnsats],LayTable[Bookmaker],(VLOOKUP(ROW()-3,BookieName[],2,FALSE)),LayTable[Faktisk res],""))</f>
        <v>0</v>
      </c>
      <c r="U131" s="166">
        <f>IF(Data[[#This Row],[Bookie]]="","",SUMIFS(LayTable[LayLiability],LayTable[Lay-bookie],(VLOOKUP(ROW()-3,BookieName[],2,FALSE)),LayTable[Faktisk res],""))</f>
        <v>0</v>
      </c>
    </row>
    <row r="132" spans="1:21">
      <c r="A132" s="165">
        <f t="shared" si="8"/>
        <v>129</v>
      </c>
      <c r="B132" s="166">
        <f>IFERROR(VLOOKUP(ROW()-3,BookieName[],3,FALSE),"")</f>
        <v>0</v>
      </c>
      <c r="C132" s="167">
        <f>IF(Data[[#This Row],[Bookie]]="","",SUM(Data[[#This Row],[D/W]:[Bonus and Adjustments]],))</f>
        <v>0</v>
      </c>
      <c r="D132" s="167">
        <f>IF(Data[[#This Row],[Bookie]]="","",SUMIF(DWbooks[Bookmaker],(VLOOKUP(ROW()-3,BookieName[],2,FALSE)),DWbooks[Sum]))</f>
        <v>0</v>
      </c>
      <c r="E132" s="165">
        <f>IF(Data[[#This Row],[Bookie]]="","",SUMIF(BetTable[B1],(VLOOKUP(ROW()-3,BookieName[],2,FALSE)),BetTable[S1])*-1)</f>
        <v>0</v>
      </c>
      <c r="F132" s="165">
        <f>IF(Data[[#This Row],[Bookie]]="","",SUMIF(BetTable[B2],(VLOOKUP(ROW()-3,BookieName[],2,FALSE)),BetTable[S2])*-1)</f>
        <v>0</v>
      </c>
      <c r="G132" s="165">
        <f>IF(Data[[#This Row],[Bookie]]="","",SUMIF(BetTable[B3],(VLOOKUP(ROW()-3,BookieName[],2,FALSE)),BetTable[S3])*-1)</f>
        <v>0</v>
      </c>
      <c r="H132" s="165">
        <f>IF(Data[[#This Row],[Bookie]]="","",SUMIF(BetTable[B1],(VLOOKUP(ROW()-3,BookieName[],2,FALSE)),BetTable[WBA1]))</f>
        <v>0</v>
      </c>
      <c r="I132" s="165">
        <f>IF(Data[[#This Row],[Bookie]]="","",SUMIF(BetTable[B2],(VLOOKUP(ROW()-3,BookieName[],2,FALSE)),BetTable[WBA2]))</f>
        <v>0</v>
      </c>
      <c r="J132" s="165">
        <f>IF(Data[[#This Row],[Bookie]]="","",SUMIF(BetTable[B3],(VLOOKUP(ROW()-3,BookieName[],2,FALSE)),BetTable[WBA3]))</f>
        <v>0</v>
      </c>
      <c r="K132" s="166">
        <f>IF(Data[[#This Row],[Bookie]]="","",SUMIF(LayTable[Bookmaker],(VLOOKUP(ROW()-3,BookieName[],2,FALSE)),LayTable[BookieInnsats])*-1)</f>
        <v>0</v>
      </c>
      <c r="L132" s="166">
        <f>IF(Data[[#This Row],[Bookie]]="","",SUMIF(LayTable[Lay-bookie],(VLOOKUP(ROW()-3,BookieName[],2,FALSE)),LayTable[LayLiability])*-1)</f>
        <v>0</v>
      </c>
      <c r="M132" s="166">
        <f>IF(Data[[#This Row],[Bookie]]="","",SUMIF(LayTable[Bookmaker],(VLOOKUP(ROW()-3,BookieName[],2,FALSE)),LayTable[WBABack]))</f>
        <v>0</v>
      </c>
      <c r="N132" s="166">
        <f>IF(Data[[#This Row],[Bookie]]="","",SUMIF(LayTable[Lay-bookie],(VLOOKUP(ROW()-3,BookieName[],2,FALSE)),LayTable[WBALay]))</f>
        <v>0</v>
      </c>
      <c r="O132" s="166">
        <f>IF(Data[[#This Row],[Bookie]]="","",SUMIF(DWbonus[Bookie],(VLOOKUP(ROW()-3,BookieName[],2,FALSE)),DWbonus[Sum]))</f>
        <v>0</v>
      </c>
      <c r="P132" s="166">
        <f>IF(Data[[#This Row],[Bookie]]="","",SUM(Data[[#This Row],[Pending 1]:[PendingL2]]))</f>
        <v>0</v>
      </c>
      <c r="Q132" s="166">
        <f>IF(Data[[#This Row],[Bookie]]="","",SUMIFS(BetTable[S1],BetTable[B1],(VLOOKUP(ROW()-3,BookieName[],2,FALSE)),BetTable[AR],""))</f>
        <v>0</v>
      </c>
      <c r="R132" s="166">
        <f>IF(Data[[#This Row],[Bookie]]="","",SUMIFS(BetTable[S2],BetTable[B2],(VLOOKUP(ROW()-3,BookieName[],2,FALSE)),BetTable[AR],""))</f>
        <v>0</v>
      </c>
      <c r="S132" s="166">
        <f>IF(Data[[#This Row],[Bookie]]="","",SUMIFS(BetTable[S3],BetTable[B3],(VLOOKUP(ROW()-3,BookieName[],2,FALSE)),BetTable[AR],""))</f>
        <v>0</v>
      </c>
      <c r="T132" s="166">
        <f>IF(Data[[#This Row],[Bookie]]="","",SUMIFS(LayTable[BookieInnsats],LayTable[Bookmaker],(VLOOKUP(ROW()-3,BookieName[],2,FALSE)),LayTable[Faktisk res],""))</f>
        <v>0</v>
      </c>
      <c r="U132" s="166">
        <f>IF(Data[[#This Row],[Bookie]]="","",SUMIFS(LayTable[LayLiability],LayTable[Lay-bookie],(VLOOKUP(ROW()-3,BookieName[],2,FALSE)),LayTable[Faktisk res],""))</f>
        <v>0</v>
      </c>
    </row>
    <row r="133" spans="1:21">
      <c r="A133" s="165">
        <f t="shared" si="8"/>
        <v>130</v>
      </c>
      <c r="B133" s="166">
        <f>IFERROR(VLOOKUP(ROW()-3,BookieName[],3,FALSE),"")</f>
        <v>0</v>
      </c>
      <c r="C133" s="167">
        <f>IF(Data[[#This Row],[Bookie]]="","",SUM(Data[[#This Row],[D/W]:[Bonus and Adjustments]],))</f>
        <v>0</v>
      </c>
      <c r="D133" s="167">
        <f>IF(Data[[#This Row],[Bookie]]="","",SUMIF(DWbooks[Bookmaker],(VLOOKUP(ROW()-3,BookieName[],2,FALSE)),DWbooks[Sum]))</f>
        <v>0</v>
      </c>
      <c r="E133" s="165">
        <f>IF(Data[[#This Row],[Bookie]]="","",SUMIF(BetTable[B1],(VLOOKUP(ROW()-3,BookieName[],2,FALSE)),BetTable[S1])*-1)</f>
        <v>0</v>
      </c>
      <c r="F133" s="165">
        <f>IF(Data[[#This Row],[Bookie]]="","",SUMIF(BetTable[B2],(VLOOKUP(ROW()-3,BookieName[],2,FALSE)),BetTable[S2])*-1)</f>
        <v>0</v>
      </c>
      <c r="G133" s="165">
        <f>IF(Data[[#This Row],[Bookie]]="","",SUMIF(BetTable[B3],(VLOOKUP(ROW()-3,BookieName[],2,FALSE)),BetTable[S3])*-1)</f>
        <v>0</v>
      </c>
      <c r="H133" s="165">
        <f>IF(Data[[#This Row],[Bookie]]="","",SUMIF(BetTable[B1],(VLOOKUP(ROW()-3,BookieName[],2,FALSE)),BetTable[WBA1]))</f>
        <v>0</v>
      </c>
      <c r="I133" s="165">
        <f>IF(Data[[#This Row],[Bookie]]="","",SUMIF(BetTable[B2],(VLOOKUP(ROW()-3,BookieName[],2,FALSE)),BetTable[WBA2]))</f>
        <v>0</v>
      </c>
      <c r="J133" s="165">
        <f>IF(Data[[#This Row],[Bookie]]="","",SUMIF(BetTable[B3],(VLOOKUP(ROW()-3,BookieName[],2,FALSE)),BetTable[WBA3]))</f>
        <v>0</v>
      </c>
      <c r="K133" s="166">
        <f>IF(Data[[#This Row],[Bookie]]="","",SUMIF(LayTable[Bookmaker],(VLOOKUP(ROW()-3,BookieName[],2,FALSE)),LayTable[BookieInnsats])*-1)</f>
        <v>0</v>
      </c>
      <c r="L133" s="166">
        <f>IF(Data[[#This Row],[Bookie]]="","",SUMIF(LayTable[Lay-bookie],(VLOOKUP(ROW()-3,BookieName[],2,FALSE)),LayTable[LayLiability])*-1)</f>
        <v>0</v>
      </c>
      <c r="M133" s="166">
        <f>IF(Data[[#This Row],[Bookie]]="","",SUMIF(LayTable[Bookmaker],(VLOOKUP(ROW()-3,BookieName[],2,FALSE)),LayTable[WBABack]))</f>
        <v>0</v>
      </c>
      <c r="N133" s="166">
        <f>IF(Data[[#This Row],[Bookie]]="","",SUMIF(LayTable[Lay-bookie],(VLOOKUP(ROW()-3,BookieName[],2,FALSE)),LayTable[WBALay]))</f>
        <v>0</v>
      </c>
      <c r="O133" s="166">
        <f>IF(Data[[#This Row],[Bookie]]="","",SUMIF(DWbonus[Bookie],(VLOOKUP(ROW()-3,BookieName[],2,FALSE)),DWbonus[Sum]))</f>
        <v>0</v>
      </c>
      <c r="P133" s="166">
        <f>IF(Data[[#This Row],[Bookie]]="","",SUM(Data[[#This Row],[Pending 1]:[PendingL2]]))</f>
        <v>0</v>
      </c>
      <c r="Q133" s="166">
        <f>IF(Data[[#This Row],[Bookie]]="","",SUMIFS(BetTable[S1],BetTable[B1],(VLOOKUP(ROW()-3,BookieName[],2,FALSE)),BetTable[AR],""))</f>
        <v>0</v>
      </c>
      <c r="R133" s="166">
        <f>IF(Data[[#This Row],[Bookie]]="","",SUMIFS(BetTable[S2],BetTable[B2],(VLOOKUP(ROW()-3,BookieName[],2,FALSE)),BetTable[AR],""))</f>
        <v>0</v>
      </c>
      <c r="S133" s="166">
        <f>IF(Data[[#This Row],[Bookie]]="","",SUMIFS(BetTable[S3],BetTable[B3],(VLOOKUP(ROW()-3,BookieName[],2,FALSE)),BetTable[AR],""))</f>
        <v>0</v>
      </c>
      <c r="T133" s="166">
        <f>IF(Data[[#This Row],[Bookie]]="","",SUMIFS(LayTable[BookieInnsats],LayTable[Bookmaker],(VLOOKUP(ROW()-3,BookieName[],2,FALSE)),LayTable[Faktisk res],""))</f>
        <v>0</v>
      </c>
      <c r="U133" s="166">
        <f>IF(Data[[#This Row],[Bookie]]="","",SUMIFS(LayTable[LayLiability],LayTable[Lay-bookie],(VLOOKUP(ROW()-3,BookieName[],2,FALSE)),LayTable[Faktisk res],""))</f>
        <v>0</v>
      </c>
    </row>
    <row r="134" spans="1:21">
      <c r="A134" s="165">
        <f t="shared" si="8"/>
        <v>131</v>
      </c>
      <c r="B134" s="166">
        <f>IFERROR(VLOOKUP(ROW()-3,BookieName[],3,FALSE),"")</f>
        <v>0</v>
      </c>
      <c r="C134" s="167">
        <f>IF(Data[[#This Row],[Bookie]]="","",SUM(Data[[#This Row],[D/W]:[Bonus and Adjustments]],))</f>
        <v>0</v>
      </c>
      <c r="D134" s="167">
        <f>IF(Data[[#This Row],[Bookie]]="","",SUMIF(DWbooks[Bookmaker],(VLOOKUP(ROW()-3,BookieName[],2,FALSE)),DWbooks[Sum]))</f>
        <v>0</v>
      </c>
      <c r="E134" s="165">
        <f>IF(Data[[#This Row],[Bookie]]="","",SUMIF(BetTable[B1],(VLOOKUP(ROW()-3,BookieName[],2,FALSE)),BetTable[S1])*-1)</f>
        <v>0</v>
      </c>
      <c r="F134" s="165">
        <f>IF(Data[[#This Row],[Bookie]]="","",SUMIF(BetTable[B2],(VLOOKUP(ROW()-3,BookieName[],2,FALSE)),BetTable[S2])*-1)</f>
        <v>0</v>
      </c>
      <c r="G134" s="165">
        <f>IF(Data[[#This Row],[Bookie]]="","",SUMIF(BetTable[B3],(VLOOKUP(ROW()-3,BookieName[],2,FALSE)),BetTable[S3])*-1)</f>
        <v>0</v>
      </c>
      <c r="H134" s="165">
        <f>IF(Data[[#This Row],[Bookie]]="","",SUMIF(BetTable[B1],(VLOOKUP(ROW()-3,BookieName[],2,FALSE)),BetTable[WBA1]))</f>
        <v>0</v>
      </c>
      <c r="I134" s="165">
        <f>IF(Data[[#This Row],[Bookie]]="","",SUMIF(BetTable[B2],(VLOOKUP(ROW()-3,BookieName[],2,FALSE)),BetTable[WBA2]))</f>
        <v>0</v>
      </c>
      <c r="J134" s="165">
        <f>IF(Data[[#This Row],[Bookie]]="","",SUMIF(BetTable[B3],(VLOOKUP(ROW()-3,BookieName[],2,FALSE)),BetTable[WBA3]))</f>
        <v>0</v>
      </c>
      <c r="K134" s="166">
        <f>IF(Data[[#This Row],[Bookie]]="","",SUMIF(LayTable[Bookmaker],(VLOOKUP(ROW()-3,BookieName[],2,FALSE)),LayTable[BookieInnsats])*-1)</f>
        <v>0</v>
      </c>
      <c r="L134" s="166">
        <f>IF(Data[[#This Row],[Bookie]]="","",SUMIF(LayTable[Lay-bookie],(VLOOKUP(ROW()-3,BookieName[],2,FALSE)),LayTable[LayLiability])*-1)</f>
        <v>0</v>
      </c>
      <c r="M134" s="166">
        <f>IF(Data[[#This Row],[Bookie]]="","",SUMIF(LayTable[Bookmaker],(VLOOKUP(ROW()-3,BookieName[],2,FALSE)),LayTable[WBABack]))</f>
        <v>0</v>
      </c>
      <c r="N134" s="166">
        <f>IF(Data[[#This Row],[Bookie]]="","",SUMIF(LayTable[Lay-bookie],(VLOOKUP(ROW()-3,BookieName[],2,FALSE)),LayTable[WBALay]))</f>
        <v>0</v>
      </c>
      <c r="O134" s="166">
        <f>IF(Data[[#This Row],[Bookie]]="","",SUMIF(DWbonus[Bookie],(VLOOKUP(ROW()-3,BookieName[],2,FALSE)),DWbonus[Sum]))</f>
        <v>0</v>
      </c>
      <c r="P134" s="166">
        <f>IF(Data[[#This Row],[Bookie]]="","",SUM(Data[[#This Row],[Pending 1]:[PendingL2]]))</f>
        <v>0</v>
      </c>
      <c r="Q134" s="166">
        <f>IF(Data[[#This Row],[Bookie]]="","",SUMIFS(BetTable[S1],BetTable[B1],(VLOOKUP(ROW()-3,BookieName[],2,FALSE)),BetTable[AR],""))</f>
        <v>0</v>
      </c>
      <c r="R134" s="166">
        <f>IF(Data[[#This Row],[Bookie]]="","",SUMIFS(BetTable[S2],BetTable[B2],(VLOOKUP(ROW()-3,BookieName[],2,FALSE)),BetTable[AR],""))</f>
        <v>0</v>
      </c>
      <c r="S134" s="166">
        <f>IF(Data[[#This Row],[Bookie]]="","",SUMIFS(BetTable[S3],BetTable[B3],(VLOOKUP(ROW()-3,BookieName[],2,FALSE)),BetTable[AR],""))</f>
        <v>0</v>
      </c>
      <c r="T134" s="166">
        <f>IF(Data[[#This Row],[Bookie]]="","",SUMIFS(LayTable[BookieInnsats],LayTable[Bookmaker],(VLOOKUP(ROW()-3,BookieName[],2,FALSE)),LayTable[Faktisk res],""))</f>
        <v>0</v>
      </c>
      <c r="U134" s="166">
        <f>IF(Data[[#This Row],[Bookie]]="","",SUMIFS(LayTable[LayLiability],LayTable[Lay-bookie],(VLOOKUP(ROW()-3,BookieName[],2,FALSE)),LayTable[Faktisk res],""))</f>
        <v>0</v>
      </c>
    </row>
    <row r="135" spans="1:21">
      <c r="A135" s="165">
        <f t="shared" si="8"/>
        <v>132</v>
      </c>
      <c r="B135" s="166">
        <f>IFERROR(VLOOKUP(ROW()-3,BookieName[],3,FALSE),"")</f>
        <v>0</v>
      </c>
      <c r="C135" s="167">
        <f>IF(Data[[#This Row],[Bookie]]="","",SUM(Data[[#This Row],[D/W]:[Bonus and Adjustments]],))</f>
        <v>0</v>
      </c>
      <c r="D135" s="167">
        <f>IF(Data[[#This Row],[Bookie]]="","",SUMIF(DWbooks[Bookmaker],(VLOOKUP(ROW()-3,BookieName[],2,FALSE)),DWbooks[Sum]))</f>
        <v>0</v>
      </c>
      <c r="E135" s="165">
        <f>IF(Data[[#This Row],[Bookie]]="","",SUMIF(BetTable[B1],(VLOOKUP(ROW()-3,BookieName[],2,FALSE)),BetTable[S1])*-1)</f>
        <v>0</v>
      </c>
      <c r="F135" s="165">
        <f>IF(Data[[#This Row],[Bookie]]="","",SUMIF(BetTable[B2],(VLOOKUP(ROW()-3,BookieName[],2,FALSE)),BetTable[S2])*-1)</f>
        <v>0</v>
      </c>
      <c r="G135" s="165">
        <f>IF(Data[[#This Row],[Bookie]]="","",SUMIF(BetTable[B3],(VLOOKUP(ROW()-3,BookieName[],2,FALSE)),BetTable[S3])*-1)</f>
        <v>0</v>
      </c>
      <c r="H135" s="165">
        <f>IF(Data[[#This Row],[Bookie]]="","",SUMIF(BetTable[B1],(VLOOKUP(ROW()-3,BookieName[],2,FALSE)),BetTable[WBA1]))</f>
        <v>0</v>
      </c>
      <c r="I135" s="165">
        <f>IF(Data[[#This Row],[Bookie]]="","",SUMIF(BetTable[B2],(VLOOKUP(ROW()-3,BookieName[],2,FALSE)),BetTable[WBA2]))</f>
        <v>0</v>
      </c>
      <c r="J135" s="165">
        <f>IF(Data[[#This Row],[Bookie]]="","",SUMIF(BetTable[B3],(VLOOKUP(ROW()-3,BookieName[],2,FALSE)),BetTable[WBA3]))</f>
        <v>0</v>
      </c>
      <c r="K135" s="166">
        <f>IF(Data[[#This Row],[Bookie]]="","",SUMIF(LayTable[Bookmaker],(VLOOKUP(ROW()-3,BookieName[],2,FALSE)),LayTable[BookieInnsats])*-1)</f>
        <v>0</v>
      </c>
      <c r="L135" s="166">
        <f>IF(Data[[#This Row],[Bookie]]="","",SUMIF(LayTable[Lay-bookie],(VLOOKUP(ROW()-3,BookieName[],2,FALSE)),LayTable[LayLiability])*-1)</f>
        <v>0</v>
      </c>
      <c r="M135" s="166">
        <f>IF(Data[[#This Row],[Bookie]]="","",SUMIF(LayTable[Bookmaker],(VLOOKUP(ROW()-3,BookieName[],2,FALSE)),LayTable[WBABack]))</f>
        <v>0</v>
      </c>
      <c r="N135" s="166">
        <f>IF(Data[[#This Row],[Bookie]]="","",SUMIF(LayTable[Lay-bookie],(VLOOKUP(ROW()-3,BookieName[],2,FALSE)),LayTable[WBALay]))</f>
        <v>0</v>
      </c>
      <c r="O135" s="166">
        <f>IF(Data[[#This Row],[Bookie]]="","",SUMIF(DWbonus[Bookie],(VLOOKUP(ROW()-3,BookieName[],2,FALSE)),DWbonus[Sum]))</f>
        <v>0</v>
      </c>
      <c r="P135" s="166">
        <f>IF(Data[[#This Row],[Bookie]]="","",SUM(Data[[#This Row],[Pending 1]:[PendingL2]]))</f>
        <v>0</v>
      </c>
      <c r="Q135" s="166">
        <f>IF(Data[[#This Row],[Bookie]]="","",SUMIFS(BetTable[S1],BetTable[B1],(VLOOKUP(ROW()-3,BookieName[],2,FALSE)),BetTable[AR],""))</f>
        <v>0</v>
      </c>
      <c r="R135" s="166">
        <f>IF(Data[[#This Row],[Bookie]]="","",SUMIFS(BetTable[S2],BetTable[B2],(VLOOKUP(ROW()-3,BookieName[],2,FALSE)),BetTable[AR],""))</f>
        <v>0</v>
      </c>
      <c r="S135" s="166">
        <f>IF(Data[[#This Row],[Bookie]]="","",SUMIFS(BetTable[S3],BetTable[B3],(VLOOKUP(ROW()-3,BookieName[],2,FALSE)),BetTable[AR],""))</f>
        <v>0</v>
      </c>
      <c r="T135" s="166">
        <f>IF(Data[[#This Row],[Bookie]]="","",SUMIFS(LayTable[BookieInnsats],LayTable[Bookmaker],(VLOOKUP(ROW()-3,BookieName[],2,FALSE)),LayTable[Faktisk res],""))</f>
        <v>0</v>
      </c>
      <c r="U135" s="166">
        <f>IF(Data[[#This Row],[Bookie]]="","",SUMIFS(LayTable[LayLiability],LayTable[Lay-bookie],(VLOOKUP(ROW()-3,BookieName[],2,FALSE)),LayTable[Faktisk res],""))</f>
        <v>0</v>
      </c>
    </row>
    <row r="136" spans="1:21">
      <c r="A136" s="165">
        <f t="shared" si="8"/>
        <v>133</v>
      </c>
      <c r="B136" s="166" t="str">
        <f>IFERROR(VLOOKUP(ROW()-3,BookieName[],3,FALSE),"")</f>
        <v/>
      </c>
      <c r="C136" s="167" t="str">
        <f>IF(Data[[#This Row],[Bookie]]="","",SUM(Data[[#This Row],[D/W]:[Bonus and Adjustments]],))</f>
        <v/>
      </c>
      <c r="D136" s="167" t="str">
        <f>IF(Data[[#This Row],[Bookie]]="","",SUMIF(DWbooks[Bookmaker],(VLOOKUP(ROW()-3,BookieName[],2,FALSE)),DWbooks[Sum]))</f>
        <v/>
      </c>
      <c r="E136" s="165" t="str">
        <f>IF(Data[[#This Row],[Bookie]]="","",SUMIF(BetTable[B1],(VLOOKUP(ROW()-3,BookieName[],2,FALSE)),BetTable[S1])*-1)</f>
        <v/>
      </c>
      <c r="F136" s="165" t="str">
        <f>IF(Data[[#This Row],[Bookie]]="","",SUMIF(BetTable[B2],(VLOOKUP(ROW()-3,BookieName[],2,FALSE)),BetTable[S2])*-1)</f>
        <v/>
      </c>
      <c r="G136" s="165" t="str">
        <f>IF(Data[[#This Row],[Bookie]]="","",SUMIF(BetTable[B3],(VLOOKUP(ROW()-3,BookieName[],2,FALSE)),BetTable[S3])*-1)</f>
        <v/>
      </c>
      <c r="H136" s="165" t="str">
        <f>IF(Data[[#This Row],[Bookie]]="","",SUMIF(BetTable[B1],(VLOOKUP(ROW()-3,BookieName[],2,FALSE)),BetTable[WBA1]))</f>
        <v/>
      </c>
      <c r="I136" s="165" t="str">
        <f>IF(Data[[#This Row],[Bookie]]="","",SUMIF(BetTable[B2],(VLOOKUP(ROW()-3,BookieName[],2,FALSE)),BetTable[WBA2]))</f>
        <v/>
      </c>
      <c r="J136" s="165" t="str">
        <f>IF(Data[[#This Row],[Bookie]]="","",SUMIF(BetTable[B3],(VLOOKUP(ROW()-3,BookieName[],2,FALSE)),BetTable[WBA3]))</f>
        <v/>
      </c>
      <c r="K136" s="166" t="str">
        <f>IF(Data[[#This Row],[Bookie]]="","",SUMIF(LayTable[Bookmaker],(VLOOKUP(ROW()-3,BookieName[],2,FALSE)),LayTable[BookieInnsats])*-1)</f>
        <v/>
      </c>
      <c r="L136" s="166" t="str">
        <f>IF(Data[[#This Row],[Bookie]]="","",SUMIF(LayTable[Lay-bookie],(VLOOKUP(ROW()-3,BookieName[],2,FALSE)),LayTable[LayLiability])*-1)</f>
        <v/>
      </c>
      <c r="M136" s="166" t="str">
        <f>IF(Data[[#This Row],[Bookie]]="","",SUMIF(LayTable[Bookmaker],(VLOOKUP(ROW()-3,BookieName[],2,FALSE)),LayTable[WBABack]))</f>
        <v/>
      </c>
      <c r="N136" s="166" t="str">
        <f>IF(Data[[#This Row],[Bookie]]="","",SUMIF(LayTable[Lay-bookie],(VLOOKUP(ROW()-3,BookieName[],2,FALSE)),LayTable[WBALay]))</f>
        <v/>
      </c>
      <c r="O136" s="166" t="str">
        <f>IF(Data[[#This Row],[Bookie]]="","",SUMIF(DWbonus[Bookie],(VLOOKUP(ROW()-3,BookieName[],2,FALSE)),DWbonus[Sum]))</f>
        <v/>
      </c>
      <c r="P136" s="166" t="str">
        <f>IF(Data[[#This Row],[Bookie]]="","",SUM(Data[[#This Row],[Pending 1]:[PendingL2]]))</f>
        <v/>
      </c>
      <c r="Q136" s="166" t="str">
        <f>IF(Data[[#This Row],[Bookie]]="","",SUMIFS(BetTable[S1],BetTable[B1],(VLOOKUP(ROW()-3,BookieName[],2,FALSE)),BetTable[AR],""))</f>
        <v/>
      </c>
      <c r="R136" s="166" t="str">
        <f>IF(Data[[#This Row],[Bookie]]="","",SUMIFS(BetTable[S2],BetTable[B2],(VLOOKUP(ROW()-3,BookieName[],2,FALSE)),BetTable[AR],""))</f>
        <v/>
      </c>
      <c r="S136" s="166" t="str">
        <f>IF(Data[[#This Row],[Bookie]]="","",SUMIFS(BetTable[S3],BetTable[B3],(VLOOKUP(ROW()-3,BookieName[],2,FALSE)),BetTable[AR],""))</f>
        <v/>
      </c>
      <c r="T136" s="166" t="str">
        <f>IF(Data[[#This Row],[Bookie]]="","",SUMIFS(LayTable[BookieInnsats],LayTable[Bookmaker],(VLOOKUP(ROW()-3,BookieName[],2,FALSE)),LayTable[Faktisk res],""))</f>
        <v/>
      </c>
      <c r="U136" s="166" t="str">
        <f>IF(Data[[#This Row],[Bookie]]="","",SUMIFS(LayTable[LayLiability],LayTable[Lay-bookie],(VLOOKUP(ROW()-3,BookieName[],2,FALSE)),LayTable[Faktisk res],""))</f>
        <v/>
      </c>
    </row>
    <row r="137" spans="1:21">
      <c r="A137" s="165">
        <f t="shared" si="8"/>
        <v>134</v>
      </c>
      <c r="B137" s="166" t="str">
        <f>IFERROR(VLOOKUP(ROW()-3,BookieName[],3,FALSE),"")</f>
        <v/>
      </c>
      <c r="C137" s="167" t="str">
        <f>IF(Data[[#This Row],[Bookie]]="","",SUM(Data[[#This Row],[D/W]:[Bonus and Adjustments]],))</f>
        <v/>
      </c>
      <c r="D137" s="167" t="str">
        <f>IF(Data[[#This Row],[Bookie]]="","",SUMIF(DWbooks[Bookmaker],(VLOOKUP(ROW()-3,BookieName[],2,FALSE)),DWbooks[Sum]))</f>
        <v/>
      </c>
      <c r="E137" s="165" t="str">
        <f>IF(Data[[#This Row],[Bookie]]="","",SUMIF(BetTable[B1],(VLOOKUP(ROW()-3,BookieName[],2,FALSE)),BetTable[S1])*-1)</f>
        <v/>
      </c>
      <c r="F137" s="165" t="str">
        <f>IF(Data[[#This Row],[Bookie]]="","",SUMIF(BetTable[B2],(VLOOKUP(ROW()-3,BookieName[],2,FALSE)),BetTable[S2])*-1)</f>
        <v/>
      </c>
      <c r="G137" s="165" t="str">
        <f>IF(Data[[#This Row],[Bookie]]="","",SUMIF(BetTable[B3],(VLOOKUP(ROW()-3,BookieName[],2,FALSE)),BetTable[S3])*-1)</f>
        <v/>
      </c>
      <c r="H137" s="165" t="str">
        <f>IF(Data[[#This Row],[Bookie]]="","",SUMIF(BetTable[B1],(VLOOKUP(ROW()-3,BookieName[],2,FALSE)),BetTable[WBA1]))</f>
        <v/>
      </c>
      <c r="I137" s="165" t="str">
        <f>IF(Data[[#This Row],[Bookie]]="","",SUMIF(BetTable[B2],(VLOOKUP(ROW()-3,BookieName[],2,FALSE)),BetTable[WBA2]))</f>
        <v/>
      </c>
      <c r="J137" s="165" t="str">
        <f>IF(Data[[#This Row],[Bookie]]="","",SUMIF(BetTable[B3],(VLOOKUP(ROW()-3,BookieName[],2,FALSE)),BetTable[WBA3]))</f>
        <v/>
      </c>
      <c r="K137" s="166" t="str">
        <f>IF(Data[[#This Row],[Bookie]]="","",SUMIF(LayTable[Bookmaker],(VLOOKUP(ROW()-3,BookieName[],2,FALSE)),LayTable[BookieInnsats])*-1)</f>
        <v/>
      </c>
      <c r="L137" s="166" t="str">
        <f>IF(Data[[#This Row],[Bookie]]="","",SUMIF(LayTable[Lay-bookie],(VLOOKUP(ROW()-3,BookieName[],2,FALSE)),LayTable[LayLiability])*-1)</f>
        <v/>
      </c>
      <c r="M137" s="166" t="str">
        <f>IF(Data[[#This Row],[Bookie]]="","",SUMIF(LayTable[Bookmaker],(VLOOKUP(ROW()-3,BookieName[],2,FALSE)),LayTable[WBABack]))</f>
        <v/>
      </c>
      <c r="N137" s="166" t="str">
        <f>IF(Data[[#This Row],[Bookie]]="","",SUMIF(LayTable[Lay-bookie],(VLOOKUP(ROW()-3,BookieName[],2,FALSE)),LayTable[WBALay]))</f>
        <v/>
      </c>
      <c r="O137" s="166" t="str">
        <f>IF(Data[[#This Row],[Bookie]]="","",SUMIF(DWbonus[Bookie],(VLOOKUP(ROW()-3,BookieName[],2,FALSE)),DWbonus[Sum]))</f>
        <v/>
      </c>
      <c r="P137" s="166" t="str">
        <f>IF(Data[[#This Row],[Bookie]]="","",SUM(Data[[#This Row],[Pending 1]:[PendingL2]]))</f>
        <v/>
      </c>
      <c r="Q137" s="166" t="str">
        <f>IF(Data[[#This Row],[Bookie]]="","",SUMIFS(BetTable[S1],BetTable[B1],(VLOOKUP(ROW()-3,BookieName[],2,FALSE)),BetTable[AR],""))</f>
        <v/>
      </c>
      <c r="R137" s="166" t="str">
        <f>IF(Data[[#This Row],[Bookie]]="","",SUMIFS(BetTable[S2],BetTable[B2],(VLOOKUP(ROW()-3,BookieName[],2,FALSE)),BetTable[AR],""))</f>
        <v/>
      </c>
      <c r="S137" s="166" t="str">
        <f>IF(Data[[#This Row],[Bookie]]="","",SUMIFS(BetTable[S3],BetTable[B3],(VLOOKUP(ROW()-3,BookieName[],2,FALSE)),BetTable[AR],""))</f>
        <v/>
      </c>
      <c r="T137" s="166" t="str">
        <f>IF(Data[[#This Row],[Bookie]]="","",SUMIFS(LayTable[BookieInnsats],LayTable[Bookmaker],(VLOOKUP(ROW()-3,BookieName[],2,FALSE)),LayTable[Faktisk res],""))</f>
        <v/>
      </c>
      <c r="U137" s="166" t="str">
        <f>IF(Data[[#This Row],[Bookie]]="","",SUMIFS(LayTable[LayLiability],LayTable[Lay-bookie],(VLOOKUP(ROW()-3,BookieName[],2,FALSE)),LayTable[Faktisk res],""))</f>
        <v/>
      </c>
    </row>
    <row r="138" spans="1:21">
      <c r="A138" s="165">
        <f t="shared" si="8"/>
        <v>135</v>
      </c>
      <c r="B138" s="166" t="str">
        <f>IFERROR(VLOOKUP(ROW()-3,BookieName[],3,FALSE),"")</f>
        <v/>
      </c>
      <c r="C138" s="167" t="str">
        <f>IF(Data[[#This Row],[Bookie]]="","",SUM(Data[[#This Row],[D/W]:[Bonus and Adjustments]],))</f>
        <v/>
      </c>
      <c r="D138" s="167" t="str">
        <f>IF(Data[[#This Row],[Bookie]]="","",SUMIF(DWbooks[Bookmaker],(VLOOKUP(ROW()-3,BookieName[],2,FALSE)),DWbooks[Sum]))</f>
        <v/>
      </c>
      <c r="E138" s="165" t="str">
        <f>IF(Data[[#This Row],[Bookie]]="","",SUMIF(BetTable[B1],(VLOOKUP(ROW()-3,BookieName[],2,FALSE)),BetTable[S1])*-1)</f>
        <v/>
      </c>
      <c r="F138" s="165" t="str">
        <f>IF(Data[[#This Row],[Bookie]]="","",SUMIF(BetTable[B2],(VLOOKUP(ROW()-3,BookieName[],2,FALSE)),BetTable[S2])*-1)</f>
        <v/>
      </c>
      <c r="G138" s="165" t="str">
        <f>IF(Data[[#This Row],[Bookie]]="","",SUMIF(BetTable[B3],(VLOOKUP(ROW()-3,BookieName[],2,FALSE)),BetTable[S3])*-1)</f>
        <v/>
      </c>
      <c r="H138" s="165" t="str">
        <f>IF(Data[[#This Row],[Bookie]]="","",SUMIF(BetTable[B1],(VLOOKUP(ROW()-3,BookieName[],2,FALSE)),BetTable[WBA1]))</f>
        <v/>
      </c>
      <c r="I138" s="165" t="str">
        <f>IF(Data[[#This Row],[Bookie]]="","",SUMIF(BetTable[B2],(VLOOKUP(ROW()-3,BookieName[],2,FALSE)),BetTable[WBA2]))</f>
        <v/>
      </c>
      <c r="J138" s="165" t="str">
        <f>IF(Data[[#This Row],[Bookie]]="","",SUMIF(BetTable[B3],(VLOOKUP(ROW()-3,BookieName[],2,FALSE)),BetTable[WBA3]))</f>
        <v/>
      </c>
      <c r="K138" s="166" t="str">
        <f>IF(Data[[#This Row],[Bookie]]="","",SUMIF(LayTable[Bookmaker],(VLOOKUP(ROW()-3,BookieName[],2,FALSE)),LayTable[BookieInnsats])*-1)</f>
        <v/>
      </c>
      <c r="L138" s="166" t="str">
        <f>IF(Data[[#This Row],[Bookie]]="","",SUMIF(LayTable[Lay-bookie],(VLOOKUP(ROW()-3,BookieName[],2,FALSE)),LayTable[LayLiability])*-1)</f>
        <v/>
      </c>
      <c r="M138" s="166" t="str">
        <f>IF(Data[[#This Row],[Bookie]]="","",SUMIF(LayTable[Bookmaker],(VLOOKUP(ROW()-3,BookieName[],2,FALSE)),LayTable[WBABack]))</f>
        <v/>
      </c>
      <c r="N138" s="166" t="str">
        <f>IF(Data[[#This Row],[Bookie]]="","",SUMIF(LayTable[Lay-bookie],(VLOOKUP(ROW()-3,BookieName[],2,FALSE)),LayTable[WBALay]))</f>
        <v/>
      </c>
      <c r="O138" s="166" t="str">
        <f>IF(Data[[#This Row],[Bookie]]="","",SUMIF(DWbonus[Bookie],(VLOOKUP(ROW()-3,BookieName[],2,FALSE)),DWbonus[Sum]))</f>
        <v/>
      </c>
      <c r="P138" s="166" t="str">
        <f>IF(Data[[#This Row],[Bookie]]="","",SUM(Data[[#This Row],[Pending 1]:[PendingL2]]))</f>
        <v/>
      </c>
      <c r="Q138" s="166" t="str">
        <f>IF(Data[[#This Row],[Bookie]]="","",SUMIFS(BetTable[S1],BetTable[B1],(VLOOKUP(ROW()-3,BookieName[],2,FALSE)),BetTable[AR],""))</f>
        <v/>
      </c>
      <c r="R138" s="166" t="str">
        <f>IF(Data[[#This Row],[Bookie]]="","",SUMIFS(BetTable[S2],BetTable[B2],(VLOOKUP(ROW()-3,BookieName[],2,FALSE)),BetTable[AR],""))</f>
        <v/>
      </c>
      <c r="S138" s="166" t="str">
        <f>IF(Data[[#This Row],[Bookie]]="","",SUMIFS(BetTable[S3],BetTable[B3],(VLOOKUP(ROW()-3,BookieName[],2,FALSE)),BetTable[AR],""))</f>
        <v/>
      </c>
      <c r="T138" s="166" t="str">
        <f>IF(Data[[#This Row],[Bookie]]="","",SUMIFS(LayTable[BookieInnsats],LayTable[Bookmaker],(VLOOKUP(ROW()-3,BookieName[],2,FALSE)),LayTable[Faktisk res],""))</f>
        <v/>
      </c>
      <c r="U138" s="166" t="str">
        <f>IF(Data[[#This Row],[Bookie]]="","",SUMIFS(LayTable[LayLiability],LayTable[Lay-bookie],(VLOOKUP(ROW()-3,BookieName[],2,FALSE)),LayTable[Faktisk res],""))</f>
        <v/>
      </c>
    </row>
    <row r="139" spans="1:21">
      <c r="A139" s="165">
        <f t="shared" si="8"/>
        <v>136</v>
      </c>
      <c r="B139" s="166" t="str">
        <f>IFERROR(VLOOKUP(ROW()-3,BookieName[],3,FALSE),"")</f>
        <v/>
      </c>
      <c r="C139" s="167" t="str">
        <f>IF(Data[[#This Row],[Bookie]]="","",SUM(Data[[#This Row],[D/W]:[Bonus and Adjustments]],))</f>
        <v/>
      </c>
      <c r="D139" s="167" t="str">
        <f>IF(Data[[#This Row],[Bookie]]="","",SUMIF(DWbooks[Bookmaker],(VLOOKUP(ROW()-3,BookieName[],2,FALSE)),DWbooks[Sum]))</f>
        <v/>
      </c>
      <c r="E139" s="165" t="str">
        <f>IF(Data[[#This Row],[Bookie]]="","",SUMIF(BetTable[B1],(VLOOKUP(ROW()-3,BookieName[],2,FALSE)),BetTable[S1])*-1)</f>
        <v/>
      </c>
      <c r="F139" s="165" t="str">
        <f>IF(Data[[#This Row],[Bookie]]="","",SUMIF(BetTable[B2],(VLOOKUP(ROW()-3,BookieName[],2,FALSE)),BetTable[S2])*-1)</f>
        <v/>
      </c>
      <c r="G139" s="165" t="str">
        <f>IF(Data[[#This Row],[Bookie]]="","",SUMIF(BetTable[B3],(VLOOKUP(ROW()-3,BookieName[],2,FALSE)),BetTable[S3])*-1)</f>
        <v/>
      </c>
      <c r="H139" s="165" t="str">
        <f>IF(Data[[#This Row],[Bookie]]="","",SUMIF(BetTable[B1],(VLOOKUP(ROW()-3,BookieName[],2,FALSE)),BetTable[WBA1]))</f>
        <v/>
      </c>
      <c r="I139" s="165" t="str">
        <f>IF(Data[[#This Row],[Bookie]]="","",SUMIF(BetTable[B2],(VLOOKUP(ROW()-3,BookieName[],2,FALSE)),BetTable[WBA2]))</f>
        <v/>
      </c>
      <c r="J139" s="165" t="str">
        <f>IF(Data[[#This Row],[Bookie]]="","",SUMIF(BetTable[B3],(VLOOKUP(ROW()-3,BookieName[],2,FALSE)),BetTable[WBA3]))</f>
        <v/>
      </c>
      <c r="K139" s="166" t="str">
        <f>IF(Data[[#This Row],[Bookie]]="","",SUMIF(LayTable[Bookmaker],(VLOOKUP(ROW()-3,BookieName[],2,FALSE)),LayTable[BookieInnsats])*-1)</f>
        <v/>
      </c>
      <c r="L139" s="166" t="str">
        <f>IF(Data[[#This Row],[Bookie]]="","",SUMIF(LayTable[Lay-bookie],(VLOOKUP(ROW()-3,BookieName[],2,FALSE)),LayTable[LayLiability])*-1)</f>
        <v/>
      </c>
      <c r="M139" s="166" t="str">
        <f>IF(Data[[#This Row],[Bookie]]="","",SUMIF(LayTable[Bookmaker],(VLOOKUP(ROW()-3,BookieName[],2,FALSE)),LayTable[WBABack]))</f>
        <v/>
      </c>
      <c r="N139" s="166" t="str">
        <f>IF(Data[[#This Row],[Bookie]]="","",SUMIF(LayTable[Lay-bookie],(VLOOKUP(ROW()-3,BookieName[],2,FALSE)),LayTable[WBALay]))</f>
        <v/>
      </c>
      <c r="O139" s="166" t="str">
        <f>IF(Data[[#This Row],[Bookie]]="","",SUMIF(DWbonus[Bookie],(VLOOKUP(ROW()-3,BookieName[],2,FALSE)),DWbonus[Sum]))</f>
        <v/>
      </c>
      <c r="P139" s="166" t="str">
        <f>IF(Data[[#This Row],[Bookie]]="","",SUM(Data[[#This Row],[Pending 1]:[PendingL2]]))</f>
        <v/>
      </c>
      <c r="Q139" s="166" t="str">
        <f>IF(Data[[#This Row],[Bookie]]="","",SUMIFS(BetTable[S1],BetTable[B1],(VLOOKUP(ROW()-3,BookieName[],2,FALSE)),BetTable[AR],""))</f>
        <v/>
      </c>
      <c r="R139" s="166" t="str">
        <f>IF(Data[[#This Row],[Bookie]]="","",SUMIFS(BetTable[S2],BetTable[B2],(VLOOKUP(ROW()-3,BookieName[],2,FALSE)),BetTable[AR],""))</f>
        <v/>
      </c>
      <c r="S139" s="166" t="str">
        <f>IF(Data[[#This Row],[Bookie]]="","",SUMIFS(BetTable[S3],BetTable[B3],(VLOOKUP(ROW()-3,BookieName[],2,FALSE)),BetTable[AR],""))</f>
        <v/>
      </c>
      <c r="T139" s="166" t="str">
        <f>IF(Data[[#This Row],[Bookie]]="","",SUMIFS(LayTable[BookieInnsats],LayTable[Bookmaker],(VLOOKUP(ROW()-3,BookieName[],2,FALSE)),LayTable[Faktisk res],""))</f>
        <v/>
      </c>
      <c r="U139" s="166" t="str">
        <f>IF(Data[[#This Row],[Bookie]]="","",SUMIFS(LayTable[LayLiability],LayTable[Lay-bookie],(VLOOKUP(ROW()-3,BookieName[],2,FALSE)),LayTable[Faktisk res],""))</f>
        <v/>
      </c>
    </row>
    <row r="140" spans="1:21">
      <c r="A140" s="165">
        <f t="shared" si="8"/>
        <v>137</v>
      </c>
      <c r="B140" s="166" t="str">
        <f>IFERROR(VLOOKUP(ROW()-3,BookieName[],3,FALSE),"")</f>
        <v/>
      </c>
      <c r="C140" s="167" t="str">
        <f>IF(Data[[#This Row],[Bookie]]="","",SUM(Data[[#This Row],[D/W]:[Bonus and Adjustments]],))</f>
        <v/>
      </c>
      <c r="D140" s="167" t="str">
        <f>IF(Data[[#This Row],[Bookie]]="","",SUMIF(DWbooks[Bookmaker],(VLOOKUP(ROW()-3,BookieName[],2,FALSE)),DWbooks[Sum]))</f>
        <v/>
      </c>
      <c r="E140" s="165" t="str">
        <f>IF(Data[[#This Row],[Bookie]]="","",SUMIF(BetTable[B1],(VLOOKUP(ROW()-3,BookieName[],2,FALSE)),BetTable[S1])*-1)</f>
        <v/>
      </c>
      <c r="F140" s="165" t="str">
        <f>IF(Data[[#This Row],[Bookie]]="","",SUMIF(BetTable[B2],(VLOOKUP(ROW()-3,BookieName[],2,FALSE)),BetTable[S2])*-1)</f>
        <v/>
      </c>
      <c r="G140" s="165" t="str">
        <f>IF(Data[[#This Row],[Bookie]]="","",SUMIF(BetTable[B3],(VLOOKUP(ROW()-3,BookieName[],2,FALSE)),BetTable[S3])*-1)</f>
        <v/>
      </c>
      <c r="H140" s="165" t="str">
        <f>IF(Data[[#This Row],[Bookie]]="","",SUMIF(BetTable[B1],(VLOOKUP(ROW()-3,BookieName[],2,FALSE)),BetTable[WBA1]))</f>
        <v/>
      </c>
      <c r="I140" s="165" t="str">
        <f>IF(Data[[#This Row],[Bookie]]="","",SUMIF(BetTable[B2],(VLOOKUP(ROW()-3,BookieName[],2,FALSE)),BetTable[WBA2]))</f>
        <v/>
      </c>
      <c r="J140" s="165" t="str">
        <f>IF(Data[[#This Row],[Bookie]]="","",SUMIF(BetTable[B3],(VLOOKUP(ROW()-3,BookieName[],2,FALSE)),BetTable[WBA3]))</f>
        <v/>
      </c>
      <c r="K140" s="166" t="str">
        <f>IF(Data[[#This Row],[Bookie]]="","",SUMIF(LayTable[Bookmaker],(VLOOKUP(ROW()-3,BookieName[],2,FALSE)),LayTable[BookieInnsats])*-1)</f>
        <v/>
      </c>
      <c r="L140" s="166" t="str">
        <f>IF(Data[[#This Row],[Bookie]]="","",SUMIF(LayTable[Lay-bookie],(VLOOKUP(ROW()-3,BookieName[],2,FALSE)),LayTable[LayLiability])*-1)</f>
        <v/>
      </c>
      <c r="M140" s="166" t="str">
        <f>IF(Data[[#This Row],[Bookie]]="","",SUMIF(LayTable[Bookmaker],(VLOOKUP(ROW()-3,BookieName[],2,FALSE)),LayTable[WBABack]))</f>
        <v/>
      </c>
      <c r="N140" s="166" t="str">
        <f>IF(Data[[#This Row],[Bookie]]="","",SUMIF(LayTable[Lay-bookie],(VLOOKUP(ROW()-3,BookieName[],2,FALSE)),LayTable[WBALay]))</f>
        <v/>
      </c>
      <c r="O140" s="166" t="str">
        <f>IF(Data[[#This Row],[Bookie]]="","",SUMIF(DWbonus[Bookie],(VLOOKUP(ROW()-3,BookieName[],2,FALSE)),DWbonus[Sum]))</f>
        <v/>
      </c>
      <c r="P140" s="166" t="str">
        <f>IF(Data[[#This Row],[Bookie]]="","",SUM(Data[[#This Row],[Pending 1]:[PendingL2]]))</f>
        <v/>
      </c>
      <c r="Q140" s="166" t="str">
        <f>IF(Data[[#This Row],[Bookie]]="","",SUMIFS(BetTable[S1],BetTable[B1],(VLOOKUP(ROW()-3,BookieName[],2,FALSE)),BetTable[AR],""))</f>
        <v/>
      </c>
      <c r="R140" s="166" t="str">
        <f>IF(Data[[#This Row],[Bookie]]="","",SUMIFS(BetTable[S2],BetTable[B2],(VLOOKUP(ROW()-3,BookieName[],2,FALSE)),BetTable[AR],""))</f>
        <v/>
      </c>
      <c r="S140" s="166" t="str">
        <f>IF(Data[[#This Row],[Bookie]]="","",SUMIFS(BetTable[S3],BetTable[B3],(VLOOKUP(ROW()-3,BookieName[],2,FALSE)),BetTable[AR],""))</f>
        <v/>
      </c>
      <c r="T140" s="166" t="str">
        <f>IF(Data[[#This Row],[Bookie]]="","",SUMIFS(LayTable[BookieInnsats],LayTable[Bookmaker],(VLOOKUP(ROW()-3,BookieName[],2,FALSE)),LayTable[Faktisk res],""))</f>
        <v/>
      </c>
      <c r="U140" s="166" t="str">
        <f>IF(Data[[#This Row],[Bookie]]="","",SUMIFS(LayTable[LayLiability],LayTable[Lay-bookie],(VLOOKUP(ROW()-3,BookieName[],2,FALSE)),LayTable[Faktisk res],""))</f>
        <v/>
      </c>
    </row>
    <row r="141" spans="1:21">
      <c r="A141" s="165">
        <f t="shared" si="8"/>
        <v>138</v>
      </c>
      <c r="B141" s="166" t="str">
        <f>IFERROR(VLOOKUP(ROW()-3,BookieName[],3,FALSE),"")</f>
        <v/>
      </c>
      <c r="C141" s="167" t="str">
        <f>IF(Data[[#This Row],[Bookie]]="","",SUM(Data[[#This Row],[D/W]:[Bonus and Adjustments]],))</f>
        <v/>
      </c>
      <c r="D141" s="167" t="str">
        <f>IF(Data[[#This Row],[Bookie]]="","",SUMIF(DWbooks[Bookmaker],(VLOOKUP(ROW()-3,BookieName[],2,FALSE)),DWbooks[Sum]))</f>
        <v/>
      </c>
      <c r="E141" s="165" t="str">
        <f>IF(Data[[#This Row],[Bookie]]="","",SUMIF(BetTable[B1],(VLOOKUP(ROW()-3,BookieName[],2,FALSE)),BetTable[S1])*-1)</f>
        <v/>
      </c>
      <c r="F141" s="165" t="str">
        <f>IF(Data[[#This Row],[Bookie]]="","",SUMIF(BetTable[B2],(VLOOKUP(ROW()-3,BookieName[],2,FALSE)),BetTable[S2])*-1)</f>
        <v/>
      </c>
      <c r="G141" s="165" t="str">
        <f>IF(Data[[#This Row],[Bookie]]="","",SUMIF(BetTable[B3],(VLOOKUP(ROW()-3,BookieName[],2,FALSE)),BetTable[S3])*-1)</f>
        <v/>
      </c>
      <c r="H141" s="165" t="str">
        <f>IF(Data[[#This Row],[Bookie]]="","",SUMIF(BetTable[B1],(VLOOKUP(ROW()-3,BookieName[],2,FALSE)),BetTable[WBA1]))</f>
        <v/>
      </c>
      <c r="I141" s="165" t="str">
        <f>IF(Data[[#This Row],[Bookie]]="","",SUMIF(BetTable[B2],(VLOOKUP(ROW()-3,BookieName[],2,FALSE)),BetTable[WBA2]))</f>
        <v/>
      </c>
      <c r="J141" s="165" t="str">
        <f>IF(Data[[#This Row],[Bookie]]="","",SUMIF(BetTable[B3],(VLOOKUP(ROW()-3,BookieName[],2,FALSE)),BetTable[WBA3]))</f>
        <v/>
      </c>
      <c r="K141" s="166" t="str">
        <f>IF(Data[[#This Row],[Bookie]]="","",SUMIF(LayTable[Bookmaker],(VLOOKUP(ROW()-3,BookieName[],2,FALSE)),LayTable[BookieInnsats])*-1)</f>
        <v/>
      </c>
      <c r="L141" s="166" t="str">
        <f>IF(Data[[#This Row],[Bookie]]="","",SUMIF(LayTable[Lay-bookie],(VLOOKUP(ROW()-3,BookieName[],2,FALSE)),LayTable[LayLiability])*-1)</f>
        <v/>
      </c>
      <c r="M141" s="166" t="str">
        <f>IF(Data[[#This Row],[Bookie]]="","",SUMIF(LayTable[Bookmaker],(VLOOKUP(ROW()-3,BookieName[],2,FALSE)),LayTable[WBABack]))</f>
        <v/>
      </c>
      <c r="N141" s="166" t="str">
        <f>IF(Data[[#This Row],[Bookie]]="","",SUMIF(LayTable[Lay-bookie],(VLOOKUP(ROW()-3,BookieName[],2,FALSE)),LayTable[WBALay]))</f>
        <v/>
      </c>
      <c r="O141" s="166" t="str">
        <f>IF(Data[[#This Row],[Bookie]]="","",SUMIF(DWbonus[Bookie],(VLOOKUP(ROW()-3,BookieName[],2,FALSE)),DWbonus[Sum]))</f>
        <v/>
      </c>
      <c r="P141" s="166" t="str">
        <f>IF(Data[[#This Row],[Bookie]]="","",SUM(Data[[#This Row],[Pending 1]:[PendingL2]]))</f>
        <v/>
      </c>
      <c r="Q141" s="166" t="str">
        <f>IF(Data[[#This Row],[Bookie]]="","",SUMIFS(BetTable[S1],BetTable[B1],(VLOOKUP(ROW()-3,BookieName[],2,FALSE)),BetTable[AR],""))</f>
        <v/>
      </c>
      <c r="R141" s="166" t="str">
        <f>IF(Data[[#This Row],[Bookie]]="","",SUMIFS(BetTable[S2],BetTable[B2],(VLOOKUP(ROW()-3,BookieName[],2,FALSE)),BetTable[AR],""))</f>
        <v/>
      </c>
      <c r="S141" s="166" t="str">
        <f>IF(Data[[#This Row],[Bookie]]="","",SUMIFS(BetTable[S3],BetTable[B3],(VLOOKUP(ROW()-3,BookieName[],2,FALSE)),BetTable[AR],""))</f>
        <v/>
      </c>
      <c r="T141" s="166" t="str">
        <f>IF(Data[[#This Row],[Bookie]]="","",SUMIFS(LayTable[BookieInnsats],LayTable[Bookmaker],(VLOOKUP(ROW()-3,BookieName[],2,FALSE)),LayTable[Faktisk res],""))</f>
        <v/>
      </c>
      <c r="U141" s="166" t="str">
        <f>IF(Data[[#This Row],[Bookie]]="","",SUMIFS(LayTable[LayLiability],LayTable[Lay-bookie],(VLOOKUP(ROW()-3,BookieName[],2,FALSE)),LayTable[Faktisk res],""))</f>
        <v/>
      </c>
    </row>
    <row r="142" spans="1:21">
      <c r="A142" s="165">
        <f t="shared" si="8"/>
        <v>139</v>
      </c>
      <c r="B142" s="166" t="str">
        <f>IFERROR(VLOOKUP(ROW()-3,BookieName[],3,FALSE),"")</f>
        <v/>
      </c>
      <c r="C142" s="167" t="str">
        <f>IF(Data[[#This Row],[Bookie]]="","",SUM(Data[[#This Row],[D/W]:[Bonus and Adjustments]],))</f>
        <v/>
      </c>
      <c r="D142" s="167" t="str">
        <f>IF(Data[[#This Row],[Bookie]]="","",SUMIF(DWbooks[Bookmaker],(VLOOKUP(ROW()-3,BookieName[],2,FALSE)),DWbooks[Sum]))</f>
        <v/>
      </c>
      <c r="E142" s="165" t="str">
        <f>IF(Data[[#This Row],[Bookie]]="","",SUMIF(BetTable[B1],(VLOOKUP(ROW()-3,BookieName[],2,FALSE)),BetTable[S1])*-1)</f>
        <v/>
      </c>
      <c r="F142" s="165" t="str">
        <f>IF(Data[[#This Row],[Bookie]]="","",SUMIF(BetTable[B2],(VLOOKUP(ROW()-3,BookieName[],2,FALSE)),BetTable[S2])*-1)</f>
        <v/>
      </c>
      <c r="G142" s="165" t="str">
        <f>IF(Data[[#This Row],[Bookie]]="","",SUMIF(BetTable[B3],(VLOOKUP(ROW()-3,BookieName[],2,FALSE)),BetTable[S3])*-1)</f>
        <v/>
      </c>
      <c r="H142" s="165" t="str">
        <f>IF(Data[[#This Row],[Bookie]]="","",SUMIF(BetTable[B1],(VLOOKUP(ROW()-3,BookieName[],2,FALSE)),BetTable[WBA1]))</f>
        <v/>
      </c>
      <c r="I142" s="165" t="str">
        <f>IF(Data[[#This Row],[Bookie]]="","",SUMIF(BetTable[B2],(VLOOKUP(ROW()-3,BookieName[],2,FALSE)),BetTable[WBA2]))</f>
        <v/>
      </c>
      <c r="J142" s="165" t="str">
        <f>IF(Data[[#This Row],[Bookie]]="","",SUMIF(BetTable[B3],(VLOOKUP(ROW()-3,BookieName[],2,FALSE)),BetTable[WBA3]))</f>
        <v/>
      </c>
      <c r="K142" s="166" t="str">
        <f>IF(Data[[#This Row],[Bookie]]="","",SUMIF(LayTable[Bookmaker],(VLOOKUP(ROW()-3,BookieName[],2,FALSE)),LayTable[BookieInnsats])*-1)</f>
        <v/>
      </c>
      <c r="L142" s="166" t="str">
        <f>IF(Data[[#This Row],[Bookie]]="","",SUMIF(LayTable[Lay-bookie],(VLOOKUP(ROW()-3,BookieName[],2,FALSE)),LayTable[LayLiability])*-1)</f>
        <v/>
      </c>
      <c r="M142" s="166" t="str">
        <f>IF(Data[[#This Row],[Bookie]]="","",SUMIF(LayTable[Bookmaker],(VLOOKUP(ROW()-3,BookieName[],2,FALSE)),LayTable[WBABack]))</f>
        <v/>
      </c>
      <c r="N142" s="166" t="str">
        <f>IF(Data[[#This Row],[Bookie]]="","",SUMIF(LayTable[Lay-bookie],(VLOOKUP(ROW()-3,BookieName[],2,FALSE)),LayTable[WBALay]))</f>
        <v/>
      </c>
      <c r="O142" s="166" t="str">
        <f>IF(Data[[#This Row],[Bookie]]="","",SUMIF(DWbonus[Bookie],(VLOOKUP(ROW()-3,BookieName[],2,FALSE)),DWbonus[Sum]))</f>
        <v/>
      </c>
      <c r="P142" s="166" t="str">
        <f>IF(Data[[#This Row],[Bookie]]="","",SUM(Data[[#This Row],[Pending 1]:[PendingL2]]))</f>
        <v/>
      </c>
      <c r="Q142" s="166" t="str">
        <f>IF(Data[[#This Row],[Bookie]]="","",SUMIFS(BetTable[S1],BetTable[B1],(VLOOKUP(ROW()-3,BookieName[],2,FALSE)),BetTable[AR],""))</f>
        <v/>
      </c>
      <c r="R142" s="166" t="str">
        <f>IF(Data[[#This Row],[Bookie]]="","",SUMIFS(BetTable[S2],BetTable[B2],(VLOOKUP(ROW()-3,BookieName[],2,FALSE)),BetTable[AR],""))</f>
        <v/>
      </c>
      <c r="S142" s="166" t="str">
        <f>IF(Data[[#This Row],[Bookie]]="","",SUMIFS(BetTable[S3],BetTable[B3],(VLOOKUP(ROW()-3,BookieName[],2,FALSE)),BetTable[AR],""))</f>
        <v/>
      </c>
      <c r="T142" s="166" t="str">
        <f>IF(Data[[#This Row],[Bookie]]="","",SUMIFS(LayTable[BookieInnsats],LayTable[Bookmaker],(VLOOKUP(ROW()-3,BookieName[],2,FALSE)),LayTable[Faktisk res],""))</f>
        <v/>
      </c>
      <c r="U142" s="166" t="str">
        <f>IF(Data[[#This Row],[Bookie]]="","",SUMIFS(LayTable[LayLiability],LayTable[Lay-bookie],(VLOOKUP(ROW()-3,BookieName[],2,FALSE)),LayTable[Faktisk res],""))</f>
        <v/>
      </c>
    </row>
    <row r="143" spans="1:21">
      <c r="A143" s="165">
        <f t="shared" si="8"/>
        <v>140</v>
      </c>
      <c r="B143" s="166" t="str">
        <f>IFERROR(VLOOKUP(ROW()-3,BookieName[],3,FALSE),"")</f>
        <v/>
      </c>
      <c r="C143" s="167" t="str">
        <f>IF(Data[[#This Row],[Bookie]]="","",SUM(Data[[#This Row],[D/W]:[Bonus and Adjustments]],))</f>
        <v/>
      </c>
      <c r="D143" s="167" t="str">
        <f>IF(Data[[#This Row],[Bookie]]="","",SUMIF(DWbooks[Bookmaker],(VLOOKUP(ROW()-3,BookieName[],2,FALSE)),DWbooks[Sum]))</f>
        <v/>
      </c>
      <c r="E143" s="165" t="str">
        <f>IF(Data[[#This Row],[Bookie]]="","",SUMIF(BetTable[B1],(VLOOKUP(ROW()-3,BookieName[],2,FALSE)),BetTable[S1])*-1)</f>
        <v/>
      </c>
      <c r="F143" s="165" t="str">
        <f>IF(Data[[#This Row],[Bookie]]="","",SUMIF(BetTable[B2],(VLOOKUP(ROW()-3,BookieName[],2,FALSE)),BetTable[S2])*-1)</f>
        <v/>
      </c>
      <c r="G143" s="165" t="str">
        <f>IF(Data[[#This Row],[Bookie]]="","",SUMIF(BetTable[B3],(VLOOKUP(ROW()-3,BookieName[],2,FALSE)),BetTable[S3])*-1)</f>
        <v/>
      </c>
      <c r="H143" s="165" t="str">
        <f>IF(Data[[#This Row],[Bookie]]="","",SUMIF(BetTable[B1],(VLOOKUP(ROW()-3,BookieName[],2,FALSE)),BetTable[WBA1]))</f>
        <v/>
      </c>
      <c r="I143" s="165" t="str">
        <f>IF(Data[[#This Row],[Bookie]]="","",SUMIF(BetTable[B2],(VLOOKUP(ROW()-3,BookieName[],2,FALSE)),BetTable[WBA2]))</f>
        <v/>
      </c>
      <c r="J143" s="165" t="str">
        <f>IF(Data[[#This Row],[Bookie]]="","",SUMIF(BetTable[B3],(VLOOKUP(ROW()-3,BookieName[],2,FALSE)),BetTable[WBA3]))</f>
        <v/>
      </c>
      <c r="K143" s="166" t="str">
        <f>IF(Data[[#This Row],[Bookie]]="","",SUMIF(LayTable[Bookmaker],(VLOOKUP(ROW()-3,BookieName[],2,FALSE)),LayTable[BookieInnsats])*-1)</f>
        <v/>
      </c>
      <c r="L143" s="166" t="str">
        <f>IF(Data[[#This Row],[Bookie]]="","",SUMIF(LayTable[Lay-bookie],(VLOOKUP(ROW()-3,BookieName[],2,FALSE)),LayTable[LayLiability])*-1)</f>
        <v/>
      </c>
      <c r="M143" s="166" t="str">
        <f>IF(Data[[#This Row],[Bookie]]="","",SUMIF(LayTable[Bookmaker],(VLOOKUP(ROW()-3,BookieName[],2,FALSE)),LayTable[WBABack]))</f>
        <v/>
      </c>
      <c r="N143" s="166" t="str">
        <f>IF(Data[[#This Row],[Bookie]]="","",SUMIF(LayTable[Lay-bookie],(VLOOKUP(ROW()-3,BookieName[],2,FALSE)),LayTable[WBALay]))</f>
        <v/>
      </c>
      <c r="O143" s="166" t="str">
        <f>IF(Data[[#This Row],[Bookie]]="","",SUMIF(DWbonus[Bookie],(VLOOKUP(ROW()-3,BookieName[],2,FALSE)),DWbonus[Sum]))</f>
        <v/>
      </c>
      <c r="P143" s="166" t="str">
        <f>IF(Data[[#This Row],[Bookie]]="","",SUM(Data[[#This Row],[Pending 1]:[PendingL2]]))</f>
        <v/>
      </c>
      <c r="Q143" s="166" t="str">
        <f>IF(Data[[#This Row],[Bookie]]="","",SUMIFS(BetTable[S1],BetTable[B1],(VLOOKUP(ROW()-3,BookieName[],2,FALSE)),BetTable[AR],""))</f>
        <v/>
      </c>
      <c r="R143" s="166" t="str">
        <f>IF(Data[[#This Row],[Bookie]]="","",SUMIFS(BetTable[S2],BetTable[B2],(VLOOKUP(ROW()-3,BookieName[],2,FALSE)),BetTable[AR],""))</f>
        <v/>
      </c>
      <c r="S143" s="166" t="str">
        <f>IF(Data[[#This Row],[Bookie]]="","",SUMIFS(BetTable[S3],BetTable[B3],(VLOOKUP(ROW()-3,BookieName[],2,FALSE)),BetTable[AR],""))</f>
        <v/>
      </c>
      <c r="T143" s="166" t="str">
        <f>IF(Data[[#This Row],[Bookie]]="","",SUMIFS(LayTable[BookieInnsats],LayTable[Bookmaker],(VLOOKUP(ROW()-3,BookieName[],2,FALSE)),LayTable[Faktisk res],""))</f>
        <v/>
      </c>
      <c r="U143" s="166" t="str">
        <f>IF(Data[[#This Row],[Bookie]]="","",SUMIFS(LayTable[LayLiability],LayTable[Lay-bookie],(VLOOKUP(ROW()-3,BookieName[],2,FALSE)),LayTable[Faktisk res],""))</f>
        <v/>
      </c>
    </row>
    <row r="144" spans="1:21">
      <c r="A144" s="165">
        <f t="shared" si="8"/>
        <v>141</v>
      </c>
      <c r="B144" s="166" t="str">
        <f>IFERROR(VLOOKUP(ROW()-3,BookieName[],3,FALSE),"")</f>
        <v/>
      </c>
      <c r="C144" s="167" t="str">
        <f>IF(Data[[#This Row],[Bookie]]="","",SUM(Data[[#This Row],[D/W]:[Bonus and Adjustments]],))</f>
        <v/>
      </c>
      <c r="D144" s="167" t="str">
        <f>IF(Data[[#This Row],[Bookie]]="","",SUMIF(DWbooks[Bookmaker],(VLOOKUP(ROW()-3,BookieName[],2,FALSE)),DWbooks[Sum]))</f>
        <v/>
      </c>
      <c r="E144" s="165" t="str">
        <f>IF(Data[[#This Row],[Bookie]]="","",SUMIF(BetTable[B1],(VLOOKUP(ROW()-3,BookieName[],2,FALSE)),BetTable[S1])*-1)</f>
        <v/>
      </c>
      <c r="F144" s="165" t="str">
        <f>IF(Data[[#This Row],[Bookie]]="","",SUMIF(BetTable[B2],(VLOOKUP(ROW()-3,BookieName[],2,FALSE)),BetTable[S2])*-1)</f>
        <v/>
      </c>
      <c r="G144" s="165" t="str">
        <f>IF(Data[[#This Row],[Bookie]]="","",SUMIF(BetTable[B3],(VLOOKUP(ROW()-3,BookieName[],2,FALSE)),BetTable[S3])*-1)</f>
        <v/>
      </c>
      <c r="H144" s="165" t="str">
        <f>IF(Data[[#This Row],[Bookie]]="","",SUMIF(BetTable[B1],(VLOOKUP(ROW()-3,BookieName[],2,FALSE)),BetTable[WBA1]))</f>
        <v/>
      </c>
      <c r="I144" s="165" t="str">
        <f>IF(Data[[#This Row],[Bookie]]="","",SUMIF(BetTable[B2],(VLOOKUP(ROW()-3,BookieName[],2,FALSE)),BetTable[WBA2]))</f>
        <v/>
      </c>
      <c r="J144" s="165" t="str">
        <f>IF(Data[[#This Row],[Bookie]]="","",SUMIF(BetTable[B3],(VLOOKUP(ROW()-3,BookieName[],2,FALSE)),BetTable[WBA3]))</f>
        <v/>
      </c>
      <c r="K144" s="166" t="str">
        <f>IF(Data[[#This Row],[Bookie]]="","",SUMIF(LayTable[Bookmaker],(VLOOKUP(ROW()-3,BookieName[],2,FALSE)),LayTable[BookieInnsats])*-1)</f>
        <v/>
      </c>
      <c r="L144" s="166" t="str">
        <f>IF(Data[[#This Row],[Bookie]]="","",SUMIF(LayTable[Lay-bookie],(VLOOKUP(ROW()-3,BookieName[],2,FALSE)),LayTable[LayLiability])*-1)</f>
        <v/>
      </c>
      <c r="M144" s="166" t="str">
        <f>IF(Data[[#This Row],[Bookie]]="","",SUMIF(LayTable[Bookmaker],(VLOOKUP(ROW()-3,BookieName[],2,FALSE)),LayTable[WBABack]))</f>
        <v/>
      </c>
      <c r="N144" s="166" t="str">
        <f>IF(Data[[#This Row],[Bookie]]="","",SUMIF(LayTable[Lay-bookie],(VLOOKUP(ROW()-3,BookieName[],2,FALSE)),LayTable[WBALay]))</f>
        <v/>
      </c>
      <c r="O144" s="166" t="str">
        <f>IF(Data[[#This Row],[Bookie]]="","",SUMIF(DWbonus[Bookie],(VLOOKUP(ROW()-3,BookieName[],2,FALSE)),DWbonus[Sum]))</f>
        <v/>
      </c>
      <c r="P144" s="166" t="str">
        <f>IF(Data[[#This Row],[Bookie]]="","",SUM(Data[[#This Row],[Pending 1]:[PendingL2]]))</f>
        <v/>
      </c>
      <c r="Q144" s="166" t="str">
        <f>IF(Data[[#This Row],[Bookie]]="","",SUMIFS(BetTable[S1],BetTable[B1],(VLOOKUP(ROW()-3,BookieName[],2,FALSE)),BetTable[AR],""))</f>
        <v/>
      </c>
      <c r="R144" s="166" t="str">
        <f>IF(Data[[#This Row],[Bookie]]="","",SUMIFS(BetTable[S2],BetTable[B2],(VLOOKUP(ROW()-3,BookieName[],2,FALSE)),BetTable[AR],""))</f>
        <v/>
      </c>
      <c r="S144" s="166" t="str">
        <f>IF(Data[[#This Row],[Bookie]]="","",SUMIFS(BetTable[S3],BetTable[B3],(VLOOKUP(ROW()-3,BookieName[],2,FALSE)),BetTable[AR],""))</f>
        <v/>
      </c>
      <c r="T144" s="166" t="str">
        <f>IF(Data[[#This Row],[Bookie]]="","",SUMIFS(LayTable[BookieInnsats],LayTable[Bookmaker],(VLOOKUP(ROW()-3,BookieName[],2,FALSE)),LayTable[Faktisk res],""))</f>
        <v/>
      </c>
      <c r="U144" s="166" t="str">
        <f>IF(Data[[#This Row],[Bookie]]="","",SUMIFS(LayTable[LayLiability],LayTable[Lay-bookie],(VLOOKUP(ROW()-3,BookieName[],2,FALSE)),LayTable[Faktisk res],""))</f>
        <v/>
      </c>
    </row>
    <row r="145" spans="1:21">
      <c r="A145" s="165">
        <f t="shared" si="8"/>
        <v>142</v>
      </c>
      <c r="B145" s="166" t="str">
        <f>IFERROR(VLOOKUP(ROW()-3,BookieName[],3,FALSE),"")</f>
        <v/>
      </c>
      <c r="C145" s="167" t="str">
        <f>IF(Data[[#This Row],[Bookie]]="","",SUM(Data[[#This Row],[D/W]:[Bonus and Adjustments]],))</f>
        <v/>
      </c>
      <c r="D145" s="167" t="str">
        <f>IF(Data[[#This Row],[Bookie]]="","",SUMIF(DWbooks[Bookmaker],(VLOOKUP(ROW()-3,BookieName[],2,FALSE)),DWbooks[Sum]))</f>
        <v/>
      </c>
      <c r="E145" s="165" t="str">
        <f>IF(Data[[#This Row],[Bookie]]="","",SUMIF(BetTable[B1],(VLOOKUP(ROW()-3,BookieName[],2,FALSE)),BetTable[S1])*-1)</f>
        <v/>
      </c>
      <c r="F145" s="165" t="str">
        <f>IF(Data[[#This Row],[Bookie]]="","",SUMIF(BetTable[B2],(VLOOKUP(ROW()-3,BookieName[],2,FALSE)),BetTable[S2])*-1)</f>
        <v/>
      </c>
      <c r="G145" s="165" t="str">
        <f>IF(Data[[#This Row],[Bookie]]="","",SUMIF(BetTable[B3],(VLOOKUP(ROW()-3,BookieName[],2,FALSE)),BetTable[S3])*-1)</f>
        <v/>
      </c>
      <c r="H145" s="165" t="str">
        <f>IF(Data[[#This Row],[Bookie]]="","",SUMIF(BetTable[B1],(VLOOKUP(ROW()-3,BookieName[],2,FALSE)),BetTable[WBA1]))</f>
        <v/>
      </c>
      <c r="I145" s="165" t="str">
        <f>IF(Data[[#This Row],[Bookie]]="","",SUMIF(BetTable[B2],(VLOOKUP(ROW()-3,BookieName[],2,FALSE)),BetTable[WBA2]))</f>
        <v/>
      </c>
      <c r="J145" s="165" t="str">
        <f>IF(Data[[#This Row],[Bookie]]="","",SUMIF(BetTable[B3],(VLOOKUP(ROW()-3,BookieName[],2,FALSE)),BetTable[WBA3]))</f>
        <v/>
      </c>
      <c r="K145" s="166" t="str">
        <f>IF(Data[[#This Row],[Bookie]]="","",SUMIF(LayTable[Bookmaker],(VLOOKUP(ROW()-3,BookieName[],2,FALSE)),LayTable[BookieInnsats])*-1)</f>
        <v/>
      </c>
      <c r="L145" s="166" t="str">
        <f>IF(Data[[#This Row],[Bookie]]="","",SUMIF(LayTable[Lay-bookie],(VLOOKUP(ROW()-3,BookieName[],2,FALSE)),LayTable[LayLiability])*-1)</f>
        <v/>
      </c>
      <c r="M145" s="166" t="str">
        <f>IF(Data[[#This Row],[Bookie]]="","",SUMIF(LayTable[Bookmaker],(VLOOKUP(ROW()-3,BookieName[],2,FALSE)),LayTable[WBABack]))</f>
        <v/>
      </c>
      <c r="N145" s="166" t="str">
        <f>IF(Data[[#This Row],[Bookie]]="","",SUMIF(LayTable[Lay-bookie],(VLOOKUP(ROW()-3,BookieName[],2,FALSE)),LayTable[WBALay]))</f>
        <v/>
      </c>
      <c r="O145" s="166" t="str">
        <f>IF(Data[[#This Row],[Bookie]]="","",SUMIF(DWbonus[Bookie],(VLOOKUP(ROW()-3,BookieName[],2,FALSE)),DWbonus[Sum]))</f>
        <v/>
      </c>
      <c r="P145" s="166" t="str">
        <f>IF(Data[[#This Row],[Bookie]]="","",SUM(Data[[#This Row],[Pending 1]:[PendingL2]]))</f>
        <v/>
      </c>
      <c r="Q145" s="166" t="str">
        <f>IF(Data[[#This Row],[Bookie]]="","",SUMIFS(BetTable[S1],BetTable[B1],(VLOOKUP(ROW()-3,BookieName[],2,FALSE)),BetTable[AR],""))</f>
        <v/>
      </c>
      <c r="R145" s="166" t="str">
        <f>IF(Data[[#This Row],[Bookie]]="","",SUMIFS(BetTable[S2],BetTable[B2],(VLOOKUP(ROW()-3,BookieName[],2,FALSE)),BetTable[AR],""))</f>
        <v/>
      </c>
      <c r="S145" s="166" t="str">
        <f>IF(Data[[#This Row],[Bookie]]="","",SUMIFS(BetTable[S3],BetTable[B3],(VLOOKUP(ROW()-3,BookieName[],2,FALSE)),BetTable[AR],""))</f>
        <v/>
      </c>
      <c r="T145" s="166" t="str">
        <f>IF(Data[[#This Row],[Bookie]]="","",SUMIFS(LayTable[BookieInnsats],LayTable[Bookmaker],(VLOOKUP(ROW()-3,BookieName[],2,FALSE)),LayTable[Faktisk res],""))</f>
        <v/>
      </c>
      <c r="U145" s="166" t="str">
        <f>IF(Data[[#This Row],[Bookie]]="","",SUMIFS(LayTable[LayLiability],LayTable[Lay-bookie],(VLOOKUP(ROW()-3,BookieName[],2,FALSE)),LayTable[Faktisk res],""))</f>
        <v/>
      </c>
    </row>
    <row r="146" spans="1:21">
      <c r="A146" s="165">
        <f t="shared" si="8"/>
        <v>143</v>
      </c>
      <c r="B146" s="166" t="str">
        <f>IFERROR(VLOOKUP(ROW()-3,BookieName[],3,FALSE),"")</f>
        <v/>
      </c>
      <c r="C146" s="167" t="str">
        <f>IF(Data[[#This Row],[Bookie]]="","",SUM(Data[[#This Row],[D/W]:[Bonus and Adjustments]],))</f>
        <v/>
      </c>
      <c r="D146" s="167" t="str">
        <f>IF(Data[[#This Row],[Bookie]]="","",SUMIF(DWbooks[Bookmaker],(VLOOKUP(ROW()-3,BookieName[],2,FALSE)),DWbooks[Sum]))</f>
        <v/>
      </c>
      <c r="E146" s="165" t="str">
        <f>IF(Data[[#This Row],[Bookie]]="","",SUMIF(BetTable[B1],(VLOOKUP(ROW()-3,BookieName[],2,FALSE)),BetTable[S1])*-1)</f>
        <v/>
      </c>
      <c r="F146" s="165" t="str">
        <f>IF(Data[[#This Row],[Bookie]]="","",SUMIF(BetTable[B2],(VLOOKUP(ROW()-3,BookieName[],2,FALSE)),BetTable[S2])*-1)</f>
        <v/>
      </c>
      <c r="G146" s="165" t="str">
        <f>IF(Data[[#This Row],[Bookie]]="","",SUMIF(BetTable[B3],(VLOOKUP(ROW()-3,BookieName[],2,FALSE)),BetTable[S3])*-1)</f>
        <v/>
      </c>
      <c r="H146" s="165" t="str">
        <f>IF(Data[[#This Row],[Bookie]]="","",SUMIF(BetTable[B1],(VLOOKUP(ROW()-3,BookieName[],2,FALSE)),BetTable[WBA1]))</f>
        <v/>
      </c>
      <c r="I146" s="165" t="str">
        <f>IF(Data[[#This Row],[Bookie]]="","",SUMIF(BetTable[B2],(VLOOKUP(ROW()-3,BookieName[],2,FALSE)),BetTable[WBA2]))</f>
        <v/>
      </c>
      <c r="J146" s="165" t="str">
        <f>IF(Data[[#This Row],[Bookie]]="","",SUMIF(BetTable[B3],(VLOOKUP(ROW()-3,BookieName[],2,FALSE)),BetTable[WBA3]))</f>
        <v/>
      </c>
      <c r="K146" s="166" t="str">
        <f>IF(Data[[#This Row],[Bookie]]="","",SUMIF(LayTable[Bookmaker],(VLOOKUP(ROW()-3,BookieName[],2,FALSE)),LayTable[BookieInnsats])*-1)</f>
        <v/>
      </c>
      <c r="L146" s="166" t="str">
        <f>IF(Data[[#This Row],[Bookie]]="","",SUMIF(LayTable[Lay-bookie],(VLOOKUP(ROW()-3,BookieName[],2,FALSE)),LayTable[LayLiability])*-1)</f>
        <v/>
      </c>
      <c r="M146" s="166" t="str">
        <f>IF(Data[[#This Row],[Bookie]]="","",SUMIF(LayTable[Bookmaker],(VLOOKUP(ROW()-3,BookieName[],2,FALSE)),LayTable[WBABack]))</f>
        <v/>
      </c>
      <c r="N146" s="166" t="str">
        <f>IF(Data[[#This Row],[Bookie]]="","",SUMIF(LayTable[Lay-bookie],(VLOOKUP(ROW()-3,BookieName[],2,FALSE)),LayTable[WBALay]))</f>
        <v/>
      </c>
      <c r="O146" s="166" t="str">
        <f>IF(Data[[#This Row],[Bookie]]="","",SUMIF(DWbonus[Bookie],(VLOOKUP(ROW()-3,BookieName[],2,FALSE)),DWbonus[Sum]))</f>
        <v/>
      </c>
      <c r="P146" s="166" t="str">
        <f>IF(Data[[#This Row],[Bookie]]="","",SUM(Data[[#This Row],[Pending 1]:[PendingL2]]))</f>
        <v/>
      </c>
      <c r="Q146" s="166" t="str">
        <f>IF(Data[[#This Row],[Bookie]]="","",SUMIFS(BetTable[S1],BetTable[B1],(VLOOKUP(ROW()-3,BookieName[],2,FALSE)),BetTable[AR],""))</f>
        <v/>
      </c>
      <c r="R146" s="166" t="str">
        <f>IF(Data[[#This Row],[Bookie]]="","",SUMIFS(BetTable[S2],BetTable[B2],(VLOOKUP(ROW()-3,BookieName[],2,FALSE)),BetTable[AR],""))</f>
        <v/>
      </c>
      <c r="S146" s="166" t="str">
        <f>IF(Data[[#This Row],[Bookie]]="","",SUMIFS(BetTable[S3],BetTable[B3],(VLOOKUP(ROW()-3,BookieName[],2,FALSE)),BetTable[AR],""))</f>
        <v/>
      </c>
      <c r="T146" s="166" t="str">
        <f>IF(Data[[#This Row],[Bookie]]="","",SUMIFS(LayTable[BookieInnsats],LayTable[Bookmaker],(VLOOKUP(ROW()-3,BookieName[],2,FALSE)),LayTable[Faktisk res],""))</f>
        <v/>
      </c>
      <c r="U146" s="166" t="str">
        <f>IF(Data[[#This Row],[Bookie]]="","",SUMIFS(LayTable[LayLiability],LayTable[Lay-bookie],(VLOOKUP(ROW()-3,BookieName[],2,FALSE)),LayTable[Faktisk res],""))</f>
        <v/>
      </c>
    </row>
    <row r="147" spans="1:21">
      <c r="A147" s="165">
        <f t="shared" si="8"/>
        <v>144</v>
      </c>
      <c r="B147" s="166" t="str">
        <f>IFERROR(VLOOKUP(ROW()-3,BookieName[],3,FALSE),"")</f>
        <v/>
      </c>
      <c r="C147" s="167" t="str">
        <f>IF(Data[[#This Row],[Bookie]]="","",SUM(Data[[#This Row],[D/W]:[Bonus and Adjustments]],))</f>
        <v/>
      </c>
      <c r="D147" s="167" t="str">
        <f>IF(Data[[#This Row],[Bookie]]="","",SUMIF(DWbooks[Bookmaker],(VLOOKUP(ROW()-3,BookieName[],2,FALSE)),DWbooks[Sum]))</f>
        <v/>
      </c>
      <c r="E147" s="165" t="str">
        <f>IF(Data[[#This Row],[Bookie]]="","",SUMIF(BetTable[B1],(VLOOKUP(ROW()-3,BookieName[],2,FALSE)),BetTable[S1])*-1)</f>
        <v/>
      </c>
      <c r="F147" s="165" t="str">
        <f>IF(Data[[#This Row],[Bookie]]="","",SUMIF(BetTable[B2],(VLOOKUP(ROW()-3,BookieName[],2,FALSE)),BetTable[S2])*-1)</f>
        <v/>
      </c>
      <c r="G147" s="165" t="str">
        <f>IF(Data[[#This Row],[Bookie]]="","",SUMIF(BetTable[B3],(VLOOKUP(ROW()-3,BookieName[],2,FALSE)),BetTable[S3])*-1)</f>
        <v/>
      </c>
      <c r="H147" s="165" t="str">
        <f>IF(Data[[#This Row],[Bookie]]="","",SUMIF(BetTable[B1],(VLOOKUP(ROW()-3,BookieName[],2,FALSE)),BetTable[WBA1]))</f>
        <v/>
      </c>
      <c r="I147" s="165" t="str">
        <f>IF(Data[[#This Row],[Bookie]]="","",SUMIF(BetTable[B2],(VLOOKUP(ROW()-3,BookieName[],2,FALSE)),BetTable[WBA2]))</f>
        <v/>
      </c>
      <c r="J147" s="165" t="str">
        <f>IF(Data[[#This Row],[Bookie]]="","",SUMIF(BetTable[B3],(VLOOKUP(ROW()-3,BookieName[],2,FALSE)),BetTable[WBA3]))</f>
        <v/>
      </c>
      <c r="K147" s="166" t="str">
        <f>IF(Data[[#This Row],[Bookie]]="","",SUMIF(LayTable[Bookmaker],(VLOOKUP(ROW()-3,BookieName[],2,FALSE)),LayTable[BookieInnsats])*-1)</f>
        <v/>
      </c>
      <c r="L147" s="166" t="str">
        <f>IF(Data[[#This Row],[Bookie]]="","",SUMIF(LayTable[Lay-bookie],(VLOOKUP(ROW()-3,BookieName[],2,FALSE)),LayTable[LayLiability])*-1)</f>
        <v/>
      </c>
      <c r="M147" s="166" t="str">
        <f>IF(Data[[#This Row],[Bookie]]="","",SUMIF(LayTable[Bookmaker],(VLOOKUP(ROW()-3,BookieName[],2,FALSE)),LayTable[WBABack]))</f>
        <v/>
      </c>
      <c r="N147" s="166" t="str">
        <f>IF(Data[[#This Row],[Bookie]]="","",SUMIF(LayTable[Lay-bookie],(VLOOKUP(ROW()-3,BookieName[],2,FALSE)),LayTable[WBALay]))</f>
        <v/>
      </c>
      <c r="O147" s="166" t="str">
        <f>IF(Data[[#This Row],[Bookie]]="","",SUMIF(DWbonus[Bookie],(VLOOKUP(ROW()-3,BookieName[],2,FALSE)),DWbonus[Sum]))</f>
        <v/>
      </c>
      <c r="P147" s="166" t="str">
        <f>IF(Data[[#This Row],[Bookie]]="","",SUM(Data[[#This Row],[Pending 1]:[PendingL2]]))</f>
        <v/>
      </c>
      <c r="Q147" s="166" t="str">
        <f>IF(Data[[#This Row],[Bookie]]="","",SUMIFS(BetTable[S1],BetTable[B1],(VLOOKUP(ROW()-3,BookieName[],2,FALSE)),BetTable[AR],""))</f>
        <v/>
      </c>
      <c r="R147" s="166" t="str">
        <f>IF(Data[[#This Row],[Bookie]]="","",SUMIFS(BetTable[S2],BetTable[B2],(VLOOKUP(ROW()-3,BookieName[],2,FALSE)),BetTable[AR],""))</f>
        <v/>
      </c>
      <c r="S147" s="166" t="str">
        <f>IF(Data[[#This Row],[Bookie]]="","",SUMIFS(BetTable[S3],BetTable[B3],(VLOOKUP(ROW()-3,BookieName[],2,FALSE)),BetTable[AR],""))</f>
        <v/>
      </c>
      <c r="T147" s="166" t="str">
        <f>IF(Data[[#This Row],[Bookie]]="","",SUMIFS(LayTable[BookieInnsats],LayTable[Bookmaker],(VLOOKUP(ROW()-3,BookieName[],2,FALSE)),LayTable[Faktisk res],""))</f>
        <v/>
      </c>
      <c r="U147" s="166" t="str">
        <f>IF(Data[[#This Row],[Bookie]]="","",SUMIFS(LayTable[LayLiability],LayTable[Lay-bookie],(VLOOKUP(ROW()-3,BookieName[],2,FALSE)),LayTable[Faktisk res],""))</f>
        <v/>
      </c>
    </row>
    <row r="148" spans="1:21">
      <c r="A148" s="165">
        <f t="shared" si="8"/>
        <v>145</v>
      </c>
      <c r="B148" s="166" t="str">
        <f>IFERROR(VLOOKUP(ROW()-3,BookieName[],3,FALSE),"")</f>
        <v/>
      </c>
      <c r="C148" s="167" t="str">
        <f>IF(Data[[#This Row],[Bookie]]="","",SUM(Data[[#This Row],[D/W]:[Bonus and Adjustments]],))</f>
        <v/>
      </c>
      <c r="D148" s="167" t="str">
        <f>IF(Data[[#This Row],[Bookie]]="","",SUMIF(DWbooks[Bookmaker],(VLOOKUP(ROW()-3,BookieName[],2,FALSE)),DWbooks[Sum]))</f>
        <v/>
      </c>
      <c r="E148" s="165" t="str">
        <f>IF(Data[[#This Row],[Bookie]]="","",SUMIF(BetTable[B1],(VLOOKUP(ROW()-3,BookieName[],2,FALSE)),BetTable[S1])*-1)</f>
        <v/>
      </c>
      <c r="F148" s="165" t="str">
        <f>IF(Data[[#This Row],[Bookie]]="","",SUMIF(BetTable[B2],(VLOOKUP(ROW()-3,BookieName[],2,FALSE)),BetTable[S2])*-1)</f>
        <v/>
      </c>
      <c r="G148" s="165" t="str">
        <f>IF(Data[[#This Row],[Bookie]]="","",SUMIF(BetTable[B3],(VLOOKUP(ROW()-3,BookieName[],2,FALSE)),BetTable[S3])*-1)</f>
        <v/>
      </c>
      <c r="H148" s="165" t="str">
        <f>IF(Data[[#This Row],[Bookie]]="","",SUMIF(BetTable[B1],(VLOOKUP(ROW()-3,BookieName[],2,FALSE)),BetTable[WBA1]))</f>
        <v/>
      </c>
      <c r="I148" s="165" t="str">
        <f>IF(Data[[#This Row],[Bookie]]="","",SUMIF(BetTable[B2],(VLOOKUP(ROW()-3,BookieName[],2,FALSE)),BetTable[WBA2]))</f>
        <v/>
      </c>
      <c r="J148" s="165" t="str">
        <f>IF(Data[[#This Row],[Bookie]]="","",SUMIF(BetTable[B3],(VLOOKUP(ROW()-3,BookieName[],2,FALSE)),BetTable[WBA3]))</f>
        <v/>
      </c>
      <c r="K148" s="166" t="str">
        <f>IF(Data[[#This Row],[Bookie]]="","",SUMIF(LayTable[Bookmaker],(VLOOKUP(ROW()-3,BookieName[],2,FALSE)),LayTable[BookieInnsats])*-1)</f>
        <v/>
      </c>
      <c r="L148" s="166" t="str">
        <f>IF(Data[[#This Row],[Bookie]]="","",SUMIF(LayTable[Lay-bookie],(VLOOKUP(ROW()-3,BookieName[],2,FALSE)),LayTable[LayLiability])*-1)</f>
        <v/>
      </c>
      <c r="M148" s="166" t="str">
        <f>IF(Data[[#This Row],[Bookie]]="","",SUMIF(LayTable[Bookmaker],(VLOOKUP(ROW()-3,BookieName[],2,FALSE)),LayTable[WBABack]))</f>
        <v/>
      </c>
      <c r="N148" s="166" t="str">
        <f>IF(Data[[#This Row],[Bookie]]="","",SUMIF(LayTable[Lay-bookie],(VLOOKUP(ROW()-3,BookieName[],2,FALSE)),LayTable[WBALay]))</f>
        <v/>
      </c>
      <c r="O148" s="166" t="str">
        <f>IF(Data[[#This Row],[Bookie]]="","",SUMIF(DWbonus[Bookie],(VLOOKUP(ROW()-3,BookieName[],2,FALSE)),DWbonus[Sum]))</f>
        <v/>
      </c>
      <c r="P148" s="166" t="str">
        <f>IF(Data[[#This Row],[Bookie]]="","",SUM(Data[[#This Row],[Pending 1]:[PendingL2]]))</f>
        <v/>
      </c>
      <c r="Q148" s="166" t="str">
        <f>IF(Data[[#This Row],[Bookie]]="","",SUMIFS(BetTable[S1],BetTable[B1],(VLOOKUP(ROW()-3,BookieName[],2,FALSE)),BetTable[AR],""))</f>
        <v/>
      </c>
      <c r="R148" s="166" t="str">
        <f>IF(Data[[#This Row],[Bookie]]="","",SUMIFS(BetTable[S2],BetTable[B2],(VLOOKUP(ROW()-3,BookieName[],2,FALSE)),BetTable[AR],""))</f>
        <v/>
      </c>
      <c r="S148" s="166" t="str">
        <f>IF(Data[[#This Row],[Bookie]]="","",SUMIFS(BetTable[S3],BetTable[B3],(VLOOKUP(ROW()-3,BookieName[],2,FALSE)),BetTable[AR],""))</f>
        <v/>
      </c>
      <c r="T148" s="166" t="str">
        <f>IF(Data[[#This Row],[Bookie]]="","",SUMIFS(LayTable[BookieInnsats],LayTable[Bookmaker],(VLOOKUP(ROW()-3,BookieName[],2,FALSE)),LayTable[Faktisk res],""))</f>
        <v/>
      </c>
      <c r="U148" s="166" t="str">
        <f>IF(Data[[#This Row],[Bookie]]="","",SUMIFS(LayTable[LayLiability],LayTable[Lay-bookie],(VLOOKUP(ROW()-3,BookieName[],2,FALSE)),LayTable[Faktisk res],""))</f>
        <v/>
      </c>
    </row>
    <row r="149" spans="1:21">
      <c r="A149" s="165">
        <f t="shared" si="8"/>
        <v>146</v>
      </c>
      <c r="B149" s="166" t="str">
        <f>IFERROR(VLOOKUP(ROW()-3,BookieName[],3,FALSE),"")</f>
        <v/>
      </c>
      <c r="C149" s="167" t="str">
        <f>IF(Data[[#This Row],[Bookie]]="","",SUM(Data[[#This Row],[D/W]:[Bonus and Adjustments]],))</f>
        <v/>
      </c>
      <c r="D149" s="167" t="str">
        <f>IF(Data[[#This Row],[Bookie]]="","",SUMIF(DWbooks[Bookmaker],(VLOOKUP(ROW()-3,BookieName[],2,FALSE)),DWbooks[Sum]))</f>
        <v/>
      </c>
      <c r="E149" s="165" t="str">
        <f>IF(Data[[#This Row],[Bookie]]="","",SUMIF(BetTable[B1],(VLOOKUP(ROW()-3,BookieName[],2,FALSE)),BetTable[S1])*-1)</f>
        <v/>
      </c>
      <c r="F149" s="165" t="str">
        <f>IF(Data[[#This Row],[Bookie]]="","",SUMIF(BetTable[B2],(VLOOKUP(ROW()-3,BookieName[],2,FALSE)),BetTable[S2])*-1)</f>
        <v/>
      </c>
      <c r="G149" s="165" t="str">
        <f>IF(Data[[#This Row],[Bookie]]="","",SUMIF(BetTable[B3],(VLOOKUP(ROW()-3,BookieName[],2,FALSE)),BetTable[S3])*-1)</f>
        <v/>
      </c>
      <c r="H149" s="165" t="str">
        <f>IF(Data[[#This Row],[Bookie]]="","",SUMIF(BetTable[B1],(VLOOKUP(ROW()-3,BookieName[],2,FALSE)),BetTable[WBA1]))</f>
        <v/>
      </c>
      <c r="I149" s="165" t="str">
        <f>IF(Data[[#This Row],[Bookie]]="","",SUMIF(BetTable[B2],(VLOOKUP(ROW()-3,BookieName[],2,FALSE)),BetTable[WBA2]))</f>
        <v/>
      </c>
      <c r="J149" s="165" t="str">
        <f>IF(Data[[#This Row],[Bookie]]="","",SUMIF(BetTable[B3],(VLOOKUP(ROW()-3,BookieName[],2,FALSE)),BetTable[WBA3]))</f>
        <v/>
      </c>
      <c r="K149" s="166" t="str">
        <f>IF(Data[[#This Row],[Bookie]]="","",SUMIF(LayTable[Bookmaker],(VLOOKUP(ROW()-3,BookieName[],2,FALSE)),LayTable[BookieInnsats])*-1)</f>
        <v/>
      </c>
      <c r="L149" s="166" t="str">
        <f>IF(Data[[#This Row],[Bookie]]="","",SUMIF(LayTable[Lay-bookie],(VLOOKUP(ROW()-3,BookieName[],2,FALSE)),LayTable[LayLiability])*-1)</f>
        <v/>
      </c>
      <c r="M149" s="166" t="str">
        <f>IF(Data[[#This Row],[Bookie]]="","",SUMIF(LayTable[Bookmaker],(VLOOKUP(ROW()-3,BookieName[],2,FALSE)),LayTable[WBABack]))</f>
        <v/>
      </c>
      <c r="N149" s="166" t="str">
        <f>IF(Data[[#This Row],[Bookie]]="","",SUMIF(LayTable[Lay-bookie],(VLOOKUP(ROW()-3,BookieName[],2,FALSE)),LayTable[WBALay]))</f>
        <v/>
      </c>
      <c r="O149" s="166" t="str">
        <f>IF(Data[[#This Row],[Bookie]]="","",SUMIF(DWbonus[Bookie],(VLOOKUP(ROW()-3,BookieName[],2,FALSE)),DWbonus[Sum]))</f>
        <v/>
      </c>
      <c r="P149" s="166" t="str">
        <f>IF(Data[[#This Row],[Bookie]]="","",SUM(Data[[#This Row],[Pending 1]:[PendingL2]]))</f>
        <v/>
      </c>
      <c r="Q149" s="166" t="str">
        <f>IF(Data[[#This Row],[Bookie]]="","",SUMIFS(BetTable[S1],BetTable[B1],(VLOOKUP(ROW()-3,BookieName[],2,FALSE)),BetTable[AR],""))</f>
        <v/>
      </c>
      <c r="R149" s="166" t="str">
        <f>IF(Data[[#This Row],[Bookie]]="","",SUMIFS(BetTable[S2],BetTable[B2],(VLOOKUP(ROW()-3,BookieName[],2,FALSE)),BetTable[AR],""))</f>
        <v/>
      </c>
      <c r="S149" s="166" t="str">
        <f>IF(Data[[#This Row],[Bookie]]="","",SUMIFS(BetTable[S3],BetTable[B3],(VLOOKUP(ROW()-3,BookieName[],2,FALSE)),BetTable[AR],""))</f>
        <v/>
      </c>
      <c r="T149" s="166" t="str">
        <f>IF(Data[[#This Row],[Bookie]]="","",SUMIFS(LayTable[BookieInnsats],LayTable[Bookmaker],(VLOOKUP(ROW()-3,BookieName[],2,FALSE)),LayTable[Faktisk res],""))</f>
        <v/>
      </c>
      <c r="U149" s="166" t="str">
        <f>IF(Data[[#This Row],[Bookie]]="","",SUMIFS(LayTable[LayLiability],LayTable[Lay-bookie],(VLOOKUP(ROW()-3,BookieName[],2,FALSE)),LayTable[Faktisk res],""))</f>
        <v/>
      </c>
    </row>
    <row r="150" spans="1:21">
      <c r="A150" s="165">
        <f t="shared" si="8"/>
        <v>147</v>
      </c>
      <c r="B150" s="166" t="str">
        <f>IFERROR(VLOOKUP(ROW()-3,BookieName[],3,FALSE),"")</f>
        <v/>
      </c>
      <c r="C150" s="167" t="str">
        <f>IF(Data[[#This Row],[Bookie]]="","",SUM(Data[[#This Row],[D/W]:[Bonus and Adjustments]],))</f>
        <v/>
      </c>
      <c r="D150" s="167" t="str">
        <f>IF(Data[[#This Row],[Bookie]]="","",SUMIF(DWbooks[Bookmaker],(VLOOKUP(ROW()-3,BookieName[],2,FALSE)),DWbooks[Sum]))</f>
        <v/>
      </c>
      <c r="E150" s="165" t="str">
        <f>IF(Data[[#This Row],[Bookie]]="","",SUMIF(BetTable[B1],(VLOOKUP(ROW()-3,BookieName[],2,FALSE)),BetTable[S1])*-1)</f>
        <v/>
      </c>
      <c r="F150" s="165" t="str">
        <f>IF(Data[[#This Row],[Bookie]]="","",SUMIF(BetTable[B2],(VLOOKUP(ROW()-3,BookieName[],2,FALSE)),BetTable[S2])*-1)</f>
        <v/>
      </c>
      <c r="G150" s="165" t="str">
        <f>IF(Data[[#This Row],[Bookie]]="","",SUMIF(BetTable[B3],(VLOOKUP(ROW()-3,BookieName[],2,FALSE)),BetTable[S3])*-1)</f>
        <v/>
      </c>
      <c r="H150" s="165" t="str">
        <f>IF(Data[[#This Row],[Bookie]]="","",SUMIF(BetTable[B1],(VLOOKUP(ROW()-3,BookieName[],2,FALSE)),BetTable[WBA1]))</f>
        <v/>
      </c>
      <c r="I150" s="165" t="str">
        <f>IF(Data[[#This Row],[Bookie]]="","",SUMIF(BetTable[B2],(VLOOKUP(ROW()-3,BookieName[],2,FALSE)),BetTable[WBA2]))</f>
        <v/>
      </c>
      <c r="J150" s="165" t="str">
        <f>IF(Data[[#This Row],[Bookie]]="","",SUMIF(BetTable[B3],(VLOOKUP(ROW()-3,BookieName[],2,FALSE)),BetTable[WBA3]))</f>
        <v/>
      </c>
      <c r="K150" s="166" t="str">
        <f>IF(Data[[#This Row],[Bookie]]="","",SUMIF(LayTable[Bookmaker],(VLOOKUP(ROW()-3,BookieName[],2,FALSE)),LayTable[BookieInnsats])*-1)</f>
        <v/>
      </c>
      <c r="L150" s="166" t="str">
        <f>IF(Data[[#This Row],[Bookie]]="","",SUMIF(LayTable[Lay-bookie],(VLOOKUP(ROW()-3,BookieName[],2,FALSE)),LayTable[LayLiability])*-1)</f>
        <v/>
      </c>
      <c r="M150" s="166" t="str">
        <f>IF(Data[[#This Row],[Bookie]]="","",SUMIF(LayTable[Bookmaker],(VLOOKUP(ROW()-3,BookieName[],2,FALSE)),LayTable[WBABack]))</f>
        <v/>
      </c>
      <c r="N150" s="166" t="str">
        <f>IF(Data[[#This Row],[Bookie]]="","",SUMIF(LayTable[Lay-bookie],(VLOOKUP(ROW()-3,BookieName[],2,FALSE)),LayTable[WBALay]))</f>
        <v/>
      </c>
      <c r="O150" s="166" t="str">
        <f>IF(Data[[#This Row],[Bookie]]="","",SUMIF(DWbonus[Bookie],(VLOOKUP(ROW()-3,BookieName[],2,FALSE)),DWbonus[Sum]))</f>
        <v/>
      </c>
      <c r="P150" s="166" t="str">
        <f>IF(Data[[#This Row],[Bookie]]="","",SUM(Data[[#This Row],[Pending 1]:[PendingL2]]))</f>
        <v/>
      </c>
      <c r="Q150" s="166" t="str">
        <f>IF(Data[[#This Row],[Bookie]]="","",SUMIFS(BetTable[S1],BetTable[B1],(VLOOKUP(ROW()-3,BookieName[],2,FALSE)),BetTable[AR],""))</f>
        <v/>
      </c>
      <c r="R150" s="166" t="str">
        <f>IF(Data[[#This Row],[Bookie]]="","",SUMIFS(BetTable[S2],BetTable[B2],(VLOOKUP(ROW()-3,BookieName[],2,FALSE)),BetTable[AR],""))</f>
        <v/>
      </c>
      <c r="S150" s="166" t="str">
        <f>IF(Data[[#This Row],[Bookie]]="","",SUMIFS(BetTable[S3],BetTable[B3],(VLOOKUP(ROW()-3,BookieName[],2,FALSE)),BetTable[AR],""))</f>
        <v/>
      </c>
      <c r="T150" s="166" t="str">
        <f>IF(Data[[#This Row],[Bookie]]="","",SUMIFS(LayTable[BookieInnsats],LayTable[Bookmaker],(VLOOKUP(ROW()-3,BookieName[],2,FALSE)),LayTable[Faktisk res],""))</f>
        <v/>
      </c>
      <c r="U150" s="166" t="str">
        <f>IF(Data[[#This Row],[Bookie]]="","",SUMIFS(LayTable[LayLiability],LayTable[Lay-bookie],(VLOOKUP(ROW()-3,BookieName[],2,FALSE)),LayTable[Faktisk res],""))</f>
        <v/>
      </c>
    </row>
    <row r="151" spans="1:21">
      <c r="A151" s="165">
        <f t="shared" si="8"/>
        <v>148</v>
      </c>
      <c r="B151" s="166" t="str">
        <f>IFERROR(VLOOKUP(ROW()-3,BookieName[],3,FALSE),"")</f>
        <v/>
      </c>
      <c r="C151" s="167" t="str">
        <f>IF(Data[[#This Row],[Bookie]]="","",SUM(Data[[#This Row],[D/W]:[Bonus and Adjustments]],))</f>
        <v/>
      </c>
      <c r="D151" s="167" t="str">
        <f>IF(Data[[#This Row],[Bookie]]="","",SUMIF(DWbooks[Bookmaker],(VLOOKUP(ROW()-3,BookieName[],2,FALSE)),DWbooks[Sum]))</f>
        <v/>
      </c>
      <c r="E151" s="165" t="str">
        <f>IF(Data[[#This Row],[Bookie]]="","",SUMIF(BetTable[B1],(VLOOKUP(ROW()-3,BookieName[],2,FALSE)),BetTable[S1])*-1)</f>
        <v/>
      </c>
      <c r="F151" s="165" t="str">
        <f>IF(Data[[#This Row],[Bookie]]="","",SUMIF(BetTable[B2],(VLOOKUP(ROW()-3,BookieName[],2,FALSE)),BetTable[S2])*-1)</f>
        <v/>
      </c>
      <c r="G151" s="165" t="str">
        <f>IF(Data[[#This Row],[Bookie]]="","",SUMIF(BetTable[B3],(VLOOKUP(ROW()-3,BookieName[],2,FALSE)),BetTable[S3])*-1)</f>
        <v/>
      </c>
      <c r="H151" s="165" t="str">
        <f>IF(Data[[#This Row],[Bookie]]="","",SUMIF(BetTable[B1],(VLOOKUP(ROW()-3,BookieName[],2,FALSE)),BetTable[WBA1]))</f>
        <v/>
      </c>
      <c r="I151" s="165" t="str">
        <f>IF(Data[[#This Row],[Bookie]]="","",SUMIF(BetTable[B2],(VLOOKUP(ROW()-3,BookieName[],2,FALSE)),BetTable[WBA2]))</f>
        <v/>
      </c>
      <c r="J151" s="165" t="str">
        <f>IF(Data[[#This Row],[Bookie]]="","",SUMIF(BetTable[B3],(VLOOKUP(ROW()-3,BookieName[],2,FALSE)),BetTable[WBA3]))</f>
        <v/>
      </c>
      <c r="K151" s="166" t="str">
        <f>IF(Data[[#This Row],[Bookie]]="","",SUMIF(LayTable[Bookmaker],(VLOOKUP(ROW()-3,BookieName[],2,FALSE)),LayTable[BookieInnsats])*-1)</f>
        <v/>
      </c>
      <c r="L151" s="166" t="str">
        <f>IF(Data[[#This Row],[Bookie]]="","",SUMIF(LayTable[Lay-bookie],(VLOOKUP(ROW()-3,BookieName[],2,FALSE)),LayTable[LayLiability])*-1)</f>
        <v/>
      </c>
      <c r="M151" s="166" t="str">
        <f>IF(Data[[#This Row],[Bookie]]="","",SUMIF(LayTable[Bookmaker],(VLOOKUP(ROW()-3,BookieName[],2,FALSE)),LayTable[WBABack]))</f>
        <v/>
      </c>
      <c r="N151" s="166" t="str">
        <f>IF(Data[[#This Row],[Bookie]]="","",SUMIF(LayTable[Lay-bookie],(VLOOKUP(ROW()-3,BookieName[],2,FALSE)),LayTable[WBALay]))</f>
        <v/>
      </c>
      <c r="O151" s="166" t="str">
        <f>IF(Data[[#This Row],[Bookie]]="","",SUMIF(DWbonus[Bookie],(VLOOKUP(ROW()-3,BookieName[],2,FALSE)),DWbonus[Sum]))</f>
        <v/>
      </c>
      <c r="P151" s="166" t="str">
        <f>IF(Data[[#This Row],[Bookie]]="","",SUM(Data[[#This Row],[Pending 1]:[PendingL2]]))</f>
        <v/>
      </c>
      <c r="Q151" s="166" t="str">
        <f>IF(Data[[#This Row],[Bookie]]="","",SUMIFS(BetTable[S1],BetTable[B1],(VLOOKUP(ROW()-3,BookieName[],2,FALSE)),BetTable[AR],""))</f>
        <v/>
      </c>
      <c r="R151" s="166" t="str">
        <f>IF(Data[[#This Row],[Bookie]]="","",SUMIFS(BetTable[S2],BetTable[B2],(VLOOKUP(ROW()-3,BookieName[],2,FALSE)),BetTable[AR],""))</f>
        <v/>
      </c>
      <c r="S151" s="166" t="str">
        <f>IF(Data[[#This Row],[Bookie]]="","",SUMIFS(BetTable[S3],BetTable[B3],(VLOOKUP(ROW()-3,BookieName[],2,FALSE)),BetTable[AR],""))</f>
        <v/>
      </c>
      <c r="T151" s="166" t="str">
        <f>IF(Data[[#This Row],[Bookie]]="","",SUMIFS(LayTable[BookieInnsats],LayTable[Bookmaker],(VLOOKUP(ROW()-3,BookieName[],2,FALSE)),LayTable[Faktisk res],""))</f>
        <v/>
      </c>
      <c r="U151" s="166" t="str">
        <f>IF(Data[[#This Row],[Bookie]]="","",SUMIFS(LayTable[LayLiability],LayTable[Lay-bookie],(VLOOKUP(ROW()-3,BookieName[],2,FALSE)),LayTable[Faktisk res],""))</f>
        <v/>
      </c>
    </row>
    <row r="152" spans="1:21">
      <c r="A152" s="165">
        <f t="shared" si="8"/>
        <v>149</v>
      </c>
      <c r="B152" s="166" t="str">
        <f>IFERROR(VLOOKUP(ROW()-3,BookieName[],3,FALSE),"")</f>
        <v/>
      </c>
      <c r="C152" s="167" t="str">
        <f>IF(Data[[#This Row],[Bookie]]="","",SUM(Data[[#This Row],[D/W]:[Bonus and Adjustments]],))</f>
        <v/>
      </c>
      <c r="D152" s="167" t="str">
        <f>IF(Data[[#This Row],[Bookie]]="","",SUMIF(DWbooks[Bookmaker],(VLOOKUP(ROW()-3,BookieName[],2,FALSE)),DWbooks[Sum]))</f>
        <v/>
      </c>
      <c r="E152" s="165" t="str">
        <f>IF(Data[[#This Row],[Bookie]]="","",SUMIF(BetTable[B1],(VLOOKUP(ROW()-3,BookieName[],2,FALSE)),BetTable[S1])*-1)</f>
        <v/>
      </c>
      <c r="F152" s="165" t="str">
        <f>IF(Data[[#This Row],[Bookie]]="","",SUMIF(BetTable[B2],(VLOOKUP(ROW()-3,BookieName[],2,FALSE)),BetTable[S2])*-1)</f>
        <v/>
      </c>
      <c r="G152" s="165" t="str">
        <f>IF(Data[[#This Row],[Bookie]]="","",SUMIF(BetTable[B3],(VLOOKUP(ROW()-3,BookieName[],2,FALSE)),BetTable[S3])*-1)</f>
        <v/>
      </c>
      <c r="H152" s="165" t="str">
        <f>IF(Data[[#This Row],[Bookie]]="","",SUMIF(BetTable[B1],(VLOOKUP(ROW()-3,BookieName[],2,FALSE)),BetTable[WBA1]))</f>
        <v/>
      </c>
      <c r="I152" s="165" t="str">
        <f>IF(Data[[#This Row],[Bookie]]="","",SUMIF(BetTable[B2],(VLOOKUP(ROW()-3,BookieName[],2,FALSE)),BetTable[WBA2]))</f>
        <v/>
      </c>
      <c r="J152" s="165" t="str">
        <f>IF(Data[[#This Row],[Bookie]]="","",SUMIF(BetTable[B3],(VLOOKUP(ROW()-3,BookieName[],2,FALSE)),BetTable[WBA3]))</f>
        <v/>
      </c>
      <c r="K152" s="166" t="str">
        <f>IF(Data[[#This Row],[Bookie]]="","",SUMIF(LayTable[Bookmaker],(VLOOKUP(ROW()-3,BookieName[],2,FALSE)),LayTable[BookieInnsats])*-1)</f>
        <v/>
      </c>
      <c r="L152" s="166" t="str">
        <f>IF(Data[[#This Row],[Bookie]]="","",SUMIF(LayTable[Lay-bookie],(VLOOKUP(ROW()-3,BookieName[],2,FALSE)),LayTable[LayLiability])*-1)</f>
        <v/>
      </c>
      <c r="M152" s="166" t="str">
        <f>IF(Data[[#This Row],[Bookie]]="","",SUMIF(LayTable[Bookmaker],(VLOOKUP(ROW()-3,BookieName[],2,FALSE)),LayTable[WBABack]))</f>
        <v/>
      </c>
      <c r="N152" s="166" t="str">
        <f>IF(Data[[#This Row],[Bookie]]="","",SUMIF(LayTable[Lay-bookie],(VLOOKUP(ROW()-3,BookieName[],2,FALSE)),LayTable[WBALay]))</f>
        <v/>
      </c>
      <c r="O152" s="166" t="str">
        <f>IF(Data[[#This Row],[Bookie]]="","",SUMIF(DWbonus[Bookie],(VLOOKUP(ROW()-3,BookieName[],2,FALSE)),DWbonus[Sum]))</f>
        <v/>
      </c>
      <c r="P152" s="166" t="str">
        <f>IF(Data[[#This Row],[Bookie]]="","",SUM(Data[[#This Row],[Pending 1]:[PendingL2]]))</f>
        <v/>
      </c>
      <c r="Q152" s="166" t="str">
        <f>IF(Data[[#This Row],[Bookie]]="","",SUMIFS(BetTable[S1],BetTable[B1],(VLOOKUP(ROW()-3,BookieName[],2,FALSE)),BetTable[AR],""))</f>
        <v/>
      </c>
      <c r="R152" s="166" t="str">
        <f>IF(Data[[#This Row],[Bookie]]="","",SUMIFS(BetTable[S2],BetTable[B2],(VLOOKUP(ROW()-3,BookieName[],2,FALSE)),BetTable[AR],""))</f>
        <v/>
      </c>
      <c r="S152" s="166" t="str">
        <f>IF(Data[[#This Row],[Bookie]]="","",SUMIFS(BetTable[S3],BetTable[B3],(VLOOKUP(ROW()-3,BookieName[],2,FALSE)),BetTable[AR],""))</f>
        <v/>
      </c>
      <c r="T152" s="166" t="str">
        <f>IF(Data[[#This Row],[Bookie]]="","",SUMIFS(LayTable[BookieInnsats],LayTable[Bookmaker],(VLOOKUP(ROW()-3,BookieName[],2,FALSE)),LayTable[Faktisk res],""))</f>
        <v/>
      </c>
      <c r="U152" s="166" t="str">
        <f>IF(Data[[#This Row],[Bookie]]="","",SUMIFS(LayTable[LayLiability],LayTable[Lay-bookie],(VLOOKUP(ROW()-3,BookieName[],2,FALSE)),LayTable[Faktisk res],""))</f>
        <v/>
      </c>
    </row>
    <row r="153" spans="1:21">
      <c r="A153" s="165">
        <f t="shared" si="8"/>
        <v>150</v>
      </c>
      <c r="B153" s="166" t="str">
        <f>IFERROR(VLOOKUP(ROW()-3,BookieName[],3,FALSE),"")</f>
        <v/>
      </c>
      <c r="C153" s="167" t="str">
        <f>IF(Data[[#This Row],[Bookie]]="","",SUM(Data[[#This Row],[D/W]:[Bonus and Adjustments]],))</f>
        <v/>
      </c>
      <c r="D153" s="167" t="str">
        <f>IF(Data[[#This Row],[Bookie]]="","",SUMIF(DWbooks[Bookmaker],(VLOOKUP(ROW()-3,BookieName[],2,FALSE)),DWbooks[Sum]))</f>
        <v/>
      </c>
      <c r="E153" s="165" t="str">
        <f>IF(Data[[#This Row],[Bookie]]="","",SUMIF(BetTable[B1],(VLOOKUP(ROW()-3,BookieName[],2,FALSE)),BetTable[S1])*-1)</f>
        <v/>
      </c>
      <c r="F153" s="165" t="str">
        <f>IF(Data[[#This Row],[Bookie]]="","",SUMIF(BetTable[B2],(VLOOKUP(ROW()-3,BookieName[],2,FALSE)),BetTable[S2])*-1)</f>
        <v/>
      </c>
      <c r="G153" s="165" t="str">
        <f>IF(Data[[#This Row],[Bookie]]="","",SUMIF(BetTable[B3],(VLOOKUP(ROW()-3,BookieName[],2,FALSE)),BetTable[S3])*-1)</f>
        <v/>
      </c>
      <c r="H153" s="165" t="str">
        <f>IF(Data[[#This Row],[Bookie]]="","",SUMIF(BetTable[B1],(VLOOKUP(ROW()-3,BookieName[],2,FALSE)),BetTable[WBA1]))</f>
        <v/>
      </c>
      <c r="I153" s="165" t="str">
        <f>IF(Data[[#This Row],[Bookie]]="","",SUMIF(BetTable[B2],(VLOOKUP(ROW()-3,BookieName[],2,FALSE)),BetTable[WBA2]))</f>
        <v/>
      </c>
      <c r="J153" s="165" t="str">
        <f>IF(Data[[#This Row],[Bookie]]="","",SUMIF(BetTable[B3],(VLOOKUP(ROW()-3,BookieName[],2,FALSE)),BetTable[WBA3]))</f>
        <v/>
      </c>
      <c r="K153" s="166" t="str">
        <f>IF(Data[[#This Row],[Bookie]]="","",SUMIF(LayTable[Bookmaker],(VLOOKUP(ROW()-3,BookieName[],2,FALSE)),LayTable[BookieInnsats])*-1)</f>
        <v/>
      </c>
      <c r="L153" s="166" t="str">
        <f>IF(Data[[#This Row],[Bookie]]="","",SUMIF(LayTable[Lay-bookie],(VLOOKUP(ROW()-3,BookieName[],2,FALSE)),LayTable[LayLiability])*-1)</f>
        <v/>
      </c>
      <c r="M153" s="166" t="str">
        <f>IF(Data[[#This Row],[Bookie]]="","",SUMIF(LayTable[Bookmaker],(VLOOKUP(ROW()-3,BookieName[],2,FALSE)),LayTable[WBABack]))</f>
        <v/>
      </c>
      <c r="N153" s="166" t="str">
        <f>IF(Data[[#This Row],[Bookie]]="","",SUMIF(LayTable[Lay-bookie],(VLOOKUP(ROW()-3,BookieName[],2,FALSE)),LayTable[WBALay]))</f>
        <v/>
      </c>
      <c r="O153" s="166" t="str">
        <f>IF(Data[[#This Row],[Bookie]]="","",SUMIF(DWbonus[Bookie],(VLOOKUP(ROW()-3,BookieName[],2,FALSE)),DWbonus[Sum]))</f>
        <v/>
      </c>
      <c r="P153" s="166" t="str">
        <f>IF(Data[[#This Row],[Bookie]]="","",SUM(Data[[#This Row],[Pending 1]:[PendingL2]]))</f>
        <v/>
      </c>
      <c r="Q153" s="166" t="str">
        <f>IF(Data[[#This Row],[Bookie]]="","",SUMIFS(BetTable[S1],BetTable[B1],(VLOOKUP(ROW()-3,BookieName[],2,FALSE)),BetTable[AR],""))</f>
        <v/>
      </c>
      <c r="R153" s="166" t="str">
        <f>IF(Data[[#This Row],[Bookie]]="","",SUMIFS(BetTable[S2],BetTable[B2],(VLOOKUP(ROW()-3,BookieName[],2,FALSE)),BetTable[AR],""))</f>
        <v/>
      </c>
      <c r="S153" s="166" t="str">
        <f>IF(Data[[#This Row],[Bookie]]="","",SUMIFS(BetTable[S3],BetTable[B3],(VLOOKUP(ROW()-3,BookieName[],2,FALSE)),BetTable[AR],""))</f>
        <v/>
      </c>
      <c r="T153" s="166" t="str">
        <f>IF(Data[[#This Row],[Bookie]]="","",SUMIFS(LayTable[BookieInnsats],LayTable[Bookmaker],(VLOOKUP(ROW()-3,BookieName[],2,FALSE)),LayTable[Faktisk res],""))</f>
        <v/>
      </c>
      <c r="U153" s="166" t="str">
        <f>IF(Data[[#This Row],[Bookie]]="","",SUMIFS(LayTable[LayLiability],LayTable[Lay-bookie],(VLOOKUP(ROW()-3,BookieName[],2,FALSE)),LayTable[Faktisk res],""))</f>
        <v/>
      </c>
    </row>
    <row r="154" spans="1:21">
      <c r="A154" s="165">
        <f t="shared" si="8"/>
        <v>151</v>
      </c>
      <c r="B154" s="166" t="str">
        <f>IFERROR(VLOOKUP(ROW()-3,BookieName[],3,FALSE),"")</f>
        <v/>
      </c>
      <c r="C154" s="167" t="str">
        <f>IF(Data[[#This Row],[Bookie]]="","",SUM(Data[[#This Row],[D/W]:[Bonus and Adjustments]],))</f>
        <v/>
      </c>
      <c r="D154" s="167" t="str">
        <f>IF(Data[[#This Row],[Bookie]]="","",SUMIF(DWbooks[Bookmaker],(VLOOKUP(ROW()-3,BookieName[],2,FALSE)),DWbooks[Sum]))</f>
        <v/>
      </c>
      <c r="E154" s="165" t="str">
        <f>IF(Data[[#This Row],[Bookie]]="","",SUMIF(BetTable[B1],(VLOOKUP(ROW()-3,BookieName[],2,FALSE)),BetTable[S1])*-1)</f>
        <v/>
      </c>
      <c r="F154" s="165" t="str">
        <f>IF(Data[[#This Row],[Bookie]]="","",SUMIF(BetTable[B2],(VLOOKUP(ROW()-3,BookieName[],2,FALSE)),BetTable[S2])*-1)</f>
        <v/>
      </c>
      <c r="G154" s="165" t="str">
        <f>IF(Data[[#This Row],[Bookie]]="","",SUMIF(BetTable[B3],(VLOOKUP(ROW()-3,BookieName[],2,FALSE)),BetTable[S3])*-1)</f>
        <v/>
      </c>
      <c r="H154" s="165" t="str">
        <f>IF(Data[[#This Row],[Bookie]]="","",SUMIF(BetTable[B1],(VLOOKUP(ROW()-3,BookieName[],2,FALSE)),BetTable[WBA1]))</f>
        <v/>
      </c>
      <c r="I154" s="165" t="str">
        <f>IF(Data[[#This Row],[Bookie]]="","",SUMIF(BetTable[B2],(VLOOKUP(ROW()-3,BookieName[],2,FALSE)),BetTable[WBA2]))</f>
        <v/>
      </c>
      <c r="J154" s="165" t="str">
        <f>IF(Data[[#This Row],[Bookie]]="","",SUMIF(BetTable[B3],(VLOOKUP(ROW()-3,BookieName[],2,FALSE)),BetTable[WBA3]))</f>
        <v/>
      </c>
      <c r="K154" s="166" t="str">
        <f>IF(Data[[#This Row],[Bookie]]="","",SUMIF(LayTable[Bookmaker],(VLOOKUP(ROW()-3,BookieName[],2,FALSE)),LayTable[BookieInnsats])*-1)</f>
        <v/>
      </c>
      <c r="L154" s="166" t="str">
        <f>IF(Data[[#This Row],[Bookie]]="","",SUMIF(LayTable[Lay-bookie],(VLOOKUP(ROW()-3,BookieName[],2,FALSE)),LayTable[LayLiability])*-1)</f>
        <v/>
      </c>
      <c r="M154" s="166" t="str">
        <f>IF(Data[[#This Row],[Bookie]]="","",SUMIF(LayTable[Bookmaker],(VLOOKUP(ROW()-3,BookieName[],2,FALSE)),LayTable[WBABack]))</f>
        <v/>
      </c>
      <c r="N154" s="166" t="str">
        <f>IF(Data[[#This Row],[Bookie]]="","",SUMIF(LayTable[Lay-bookie],(VLOOKUP(ROW()-3,BookieName[],2,FALSE)),LayTable[WBALay]))</f>
        <v/>
      </c>
      <c r="O154" s="166" t="str">
        <f>IF(Data[[#This Row],[Bookie]]="","",SUMIF(DWbonus[Bookie],(VLOOKUP(ROW()-3,BookieName[],2,FALSE)),DWbonus[Sum]))</f>
        <v/>
      </c>
      <c r="P154" s="166" t="str">
        <f>IF(Data[[#This Row],[Bookie]]="","",SUM(Data[[#This Row],[Pending 1]:[PendingL2]]))</f>
        <v/>
      </c>
      <c r="Q154" s="166" t="str">
        <f>IF(Data[[#This Row],[Bookie]]="","",SUMIFS(BetTable[S1],BetTable[B1],(VLOOKUP(ROW()-3,BookieName[],2,FALSE)),BetTable[AR],""))</f>
        <v/>
      </c>
      <c r="R154" s="166" t="str">
        <f>IF(Data[[#This Row],[Bookie]]="","",SUMIFS(BetTable[S2],BetTable[B2],(VLOOKUP(ROW()-3,BookieName[],2,FALSE)),BetTable[AR],""))</f>
        <v/>
      </c>
      <c r="S154" s="166" t="str">
        <f>IF(Data[[#This Row],[Bookie]]="","",SUMIFS(BetTable[S3],BetTable[B3],(VLOOKUP(ROW()-3,BookieName[],2,FALSE)),BetTable[AR],""))</f>
        <v/>
      </c>
      <c r="T154" s="166" t="str">
        <f>IF(Data[[#This Row],[Bookie]]="","",SUMIFS(LayTable[BookieInnsats],LayTable[Bookmaker],(VLOOKUP(ROW()-3,BookieName[],2,FALSE)),LayTable[Faktisk res],""))</f>
        <v/>
      </c>
      <c r="U154" s="166" t="str">
        <f>IF(Data[[#This Row],[Bookie]]="","",SUMIFS(LayTable[LayLiability],LayTable[Lay-bookie],(VLOOKUP(ROW()-3,BookieName[],2,FALSE)),LayTable[Faktisk res],""))</f>
        <v/>
      </c>
    </row>
    <row r="155" spans="1:21">
      <c r="A155" s="165">
        <f t="shared" si="8"/>
        <v>152</v>
      </c>
      <c r="B155" s="166" t="str">
        <f>IFERROR(VLOOKUP(ROW()-3,BookieName[],3,FALSE),"")</f>
        <v/>
      </c>
      <c r="C155" s="167" t="str">
        <f>IF(Data[[#This Row],[Bookie]]="","",SUM(Data[[#This Row],[D/W]:[Bonus and Adjustments]],))</f>
        <v/>
      </c>
      <c r="D155" s="167" t="str">
        <f>IF(Data[[#This Row],[Bookie]]="","",SUMIF(DWbooks[Bookmaker],(VLOOKUP(ROW()-3,BookieName[],2,FALSE)),DWbooks[Sum]))</f>
        <v/>
      </c>
      <c r="E155" s="165" t="str">
        <f>IF(Data[[#This Row],[Bookie]]="","",SUMIF(BetTable[B1],(VLOOKUP(ROW()-3,BookieName[],2,FALSE)),BetTable[S1])*-1)</f>
        <v/>
      </c>
      <c r="F155" s="165" t="str">
        <f>IF(Data[[#This Row],[Bookie]]="","",SUMIF(BetTable[B2],(VLOOKUP(ROW()-3,BookieName[],2,FALSE)),BetTable[S2])*-1)</f>
        <v/>
      </c>
      <c r="G155" s="165" t="str">
        <f>IF(Data[[#This Row],[Bookie]]="","",SUMIF(BetTable[B3],(VLOOKUP(ROW()-3,BookieName[],2,FALSE)),BetTable[S3])*-1)</f>
        <v/>
      </c>
      <c r="H155" s="165" t="str">
        <f>IF(Data[[#This Row],[Bookie]]="","",SUMIF(BetTable[B1],(VLOOKUP(ROW()-3,BookieName[],2,FALSE)),BetTable[WBA1]))</f>
        <v/>
      </c>
      <c r="I155" s="165" t="str">
        <f>IF(Data[[#This Row],[Bookie]]="","",SUMIF(BetTable[B2],(VLOOKUP(ROW()-3,BookieName[],2,FALSE)),BetTable[WBA2]))</f>
        <v/>
      </c>
      <c r="J155" s="165" t="str">
        <f>IF(Data[[#This Row],[Bookie]]="","",SUMIF(BetTable[B3],(VLOOKUP(ROW()-3,BookieName[],2,FALSE)),BetTable[WBA3]))</f>
        <v/>
      </c>
      <c r="K155" s="166" t="str">
        <f>IF(Data[[#This Row],[Bookie]]="","",SUMIF(LayTable[Bookmaker],(VLOOKUP(ROW()-3,BookieName[],2,FALSE)),LayTable[BookieInnsats])*-1)</f>
        <v/>
      </c>
      <c r="L155" s="166" t="str">
        <f>IF(Data[[#This Row],[Bookie]]="","",SUMIF(LayTable[Lay-bookie],(VLOOKUP(ROW()-3,BookieName[],2,FALSE)),LayTable[LayLiability])*-1)</f>
        <v/>
      </c>
      <c r="M155" s="166" t="str">
        <f>IF(Data[[#This Row],[Bookie]]="","",SUMIF(LayTable[Bookmaker],(VLOOKUP(ROW()-3,BookieName[],2,FALSE)),LayTable[WBABack]))</f>
        <v/>
      </c>
      <c r="N155" s="166" t="str">
        <f>IF(Data[[#This Row],[Bookie]]="","",SUMIF(LayTable[Lay-bookie],(VLOOKUP(ROW()-3,BookieName[],2,FALSE)),LayTable[WBALay]))</f>
        <v/>
      </c>
      <c r="O155" s="166" t="str">
        <f>IF(Data[[#This Row],[Bookie]]="","",SUMIF(DWbonus[Bookie],(VLOOKUP(ROW()-3,BookieName[],2,FALSE)),DWbonus[Sum]))</f>
        <v/>
      </c>
      <c r="P155" s="166" t="str">
        <f>IF(Data[[#This Row],[Bookie]]="","",SUM(Data[[#This Row],[Pending 1]:[PendingL2]]))</f>
        <v/>
      </c>
      <c r="Q155" s="166" t="str">
        <f>IF(Data[[#This Row],[Bookie]]="","",SUMIFS(BetTable[S1],BetTable[B1],(VLOOKUP(ROW()-3,BookieName[],2,FALSE)),BetTable[AR],""))</f>
        <v/>
      </c>
      <c r="R155" s="166" t="str">
        <f>IF(Data[[#This Row],[Bookie]]="","",SUMIFS(BetTable[S2],BetTable[B2],(VLOOKUP(ROW()-3,BookieName[],2,FALSE)),BetTable[AR],""))</f>
        <v/>
      </c>
      <c r="S155" s="166" t="str">
        <f>IF(Data[[#This Row],[Bookie]]="","",SUMIFS(BetTable[S3],BetTable[B3],(VLOOKUP(ROW()-3,BookieName[],2,FALSE)),BetTable[AR],""))</f>
        <v/>
      </c>
      <c r="T155" s="166" t="str">
        <f>IF(Data[[#This Row],[Bookie]]="","",SUMIFS(LayTable[BookieInnsats],LayTable[Bookmaker],(VLOOKUP(ROW()-3,BookieName[],2,FALSE)),LayTable[Faktisk res],""))</f>
        <v/>
      </c>
      <c r="U155" s="166" t="str">
        <f>IF(Data[[#This Row],[Bookie]]="","",SUMIFS(LayTable[LayLiability],LayTable[Lay-bookie],(VLOOKUP(ROW()-3,BookieName[],2,FALSE)),LayTable[Faktisk res],""))</f>
        <v/>
      </c>
    </row>
    <row r="156" spans="1:21">
      <c r="A156" s="165">
        <f t="shared" si="8"/>
        <v>153</v>
      </c>
      <c r="B156" s="166" t="str">
        <f>IFERROR(VLOOKUP(ROW()-3,BookieName[],3,FALSE),"")</f>
        <v/>
      </c>
      <c r="C156" s="167" t="str">
        <f>IF(Data[[#This Row],[Bookie]]="","",SUM(Data[[#This Row],[D/W]:[Bonus and Adjustments]],))</f>
        <v/>
      </c>
      <c r="D156" s="167" t="str">
        <f>IF(Data[[#This Row],[Bookie]]="","",SUMIF(DWbooks[Bookmaker],(VLOOKUP(ROW()-3,BookieName[],2,FALSE)),DWbooks[Sum]))</f>
        <v/>
      </c>
      <c r="E156" s="165" t="str">
        <f>IF(Data[[#This Row],[Bookie]]="","",SUMIF(BetTable[B1],(VLOOKUP(ROW()-3,BookieName[],2,FALSE)),BetTable[S1])*-1)</f>
        <v/>
      </c>
      <c r="F156" s="165" t="str">
        <f>IF(Data[[#This Row],[Bookie]]="","",SUMIF(BetTable[B2],(VLOOKUP(ROW()-3,BookieName[],2,FALSE)),BetTable[S2])*-1)</f>
        <v/>
      </c>
      <c r="G156" s="165" t="str">
        <f>IF(Data[[#This Row],[Bookie]]="","",SUMIF(BetTable[B3],(VLOOKUP(ROW()-3,BookieName[],2,FALSE)),BetTable[S3])*-1)</f>
        <v/>
      </c>
      <c r="H156" s="165" t="str">
        <f>IF(Data[[#This Row],[Bookie]]="","",SUMIF(BetTable[B1],(VLOOKUP(ROW()-3,BookieName[],2,FALSE)),BetTable[WBA1]))</f>
        <v/>
      </c>
      <c r="I156" s="165" t="str">
        <f>IF(Data[[#This Row],[Bookie]]="","",SUMIF(BetTable[B2],(VLOOKUP(ROW()-3,BookieName[],2,FALSE)),BetTable[WBA2]))</f>
        <v/>
      </c>
      <c r="J156" s="165" t="str">
        <f>IF(Data[[#This Row],[Bookie]]="","",SUMIF(BetTable[B3],(VLOOKUP(ROW()-3,BookieName[],2,FALSE)),BetTable[WBA3]))</f>
        <v/>
      </c>
      <c r="K156" s="166" t="str">
        <f>IF(Data[[#This Row],[Bookie]]="","",SUMIF(LayTable[Bookmaker],(VLOOKUP(ROW()-3,BookieName[],2,FALSE)),LayTable[BookieInnsats])*-1)</f>
        <v/>
      </c>
      <c r="L156" s="166" t="str">
        <f>IF(Data[[#This Row],[Bookie]]="","",SUMIF(LayTable[Lay-bookie],(VLOOKUP(ROW()-3,BookieName[],2,FALSE)),LayTable[LayLiability])*-1)</f>
        <v/>
      </c>
      <c r="M156" s="166" t="str">
        <f>IF(Data[[#This Row],[Bookie]]="","",SUMIF(LayTable[Bookmaker],(VLOOKUP(ROW()-3,BookieName[],2,FALSE)),LayTable[WBABack]))</f>
        <v/>
      </c>
      <c r="N156" s="166" t="str">
        <f>IF(Data[[#This Row],[Bookie]]="","",SUMIF(LayTable[Lay-bookie],(VLOOKUP(ROW()-3,BookieName[],2,FALSE)),LayTable[WBALay]))</f>
        <v/>
      </c>
      <c r="O156" s="166" t="str">
        <f>IF(Data[[#This Row],[Bookie]]="","",SUMIF(DWbonus[Bookie],(VLOOKUP(ROW()-3,BookieName[],2,FALSE)),DWbonus[Sum]))</f>
        <v/>
      </c>
      <c r="P156" s="166" t="str">
        <f>IF(Data[[#This Row],[Bookie]]="","",SUM(Data[[#This Row],[Pending 1]:[PendingL2]]))</f>
        <v/>
      </c>
      <c r="Q156" s="166" t="str">
        <f>IF(Data[[#This Row],[Bookie]]="","",SUMIFS(BetTable[S1],BetTable[B1],(VLOOKUP(ROW()-3,BookieName[],2,FALSE)),BetTable[AR],""))</f>
        <v/>
      </c>
      <c r="R156" s="166" t="str">
        <f>IF(Data[[#This Row],[Bookie]]="","",SUMIFS(BetTable[S2],BetTable[B2],(VLOOKUP(ROW()-3,BookieName[],2,FALSE)),BetTable[AR],""))</f>
        <v/>
      </c>
      <c r="S156" s="166" t="str">
        <f>IF(Data[[#This Row],[Bookie]]="","",SUMIFS(BetTable[S3],BetTable[B3],(VLOOKUP(ROW()-3,BookieName[],2,FALSE)),BetTable[AR],""))</f>
        <v/>
      </c>
      <c r="T156" s="166" t="str">
        <f>IF(Data[[#This Row],[Bookie]]="","",SUMIFS(LayTable[BookieInnsats],LayTable[Bookmaker],(VLOOKUP(ROW()-3,BookieName[],2,FALSE)),LayTable[Faktisk res],""))</f>
        <v/>
      </c>
      <c r="U156" s="166" t="str">
        <f>IF(Data[[#This Row],[Bookie]]="","",SUMIFS(LayTable[LayLiability],LayTable[Lay-bookie],(VLOOKUP(ROW()-3,BookieName[],2,FALSE)),LayTable[Faktisk res],""))</f>
        <v/>
      </c>
    </row>
    <row r="157" spans="1:21">
      <c r="A157" s="165">
        <f t="shared" si="8"/>
        <v>154</v>
      </c>
      <c r="B157" s="166" t="str">
        <f>IFERROR(VLOOKUP(ROW()-3,BookieName[],3,FALSE),"")</f>
        <v/>
      </c>
      <c r="C157" s="167" t="str">
        <f>IF(Data[[#This Row],[Bookie]]="","",SUM(Data[[#This Row],[D/W]:[Bonus and Adjustments]],))</f>
        <v/>
      </c>
      <c r="D157" s="167" t="str">
        <f>IF(Data[[#This Row],[Bookie]]="","",SUMIF(DWbooks[Bookmaker],(VLOOKUP(ROW()-3,BookieName[],2,FALSE)),DWbooks[Sum]))</f>
        <v/>
      </c>
      <c r="E157" s="165" t="str">
        <f>IF(Data[[#This Row],[Bookie]]="","",SUMIF(BetTable[B1],(VLOOKUP(ROW()-3,BookieName[],2,FALSE)),BetTable[S1])*-1)</f>
        <v/>
      </c>
      <c r="F157" s="165" t="str">
        <f>IF(Data[[#This Row],[Bookie]]="","",SUMIF(BetTable[B2],(VLOOKUP(ROW()-3,BookieName[],2,FALSE)),BetTable[S2])*-1)</f>
        <v/>
      </c>
      <c r="G157" s="165" t="str">
        <f>IF(Data[[#This Row],[Bookie]]="","",SUMIF(BetTable[B3],(VLOOKUP(ROW()-3,BookieName[],2,FALSE)),BetTable[S3])*-1)</f>
        <v/>
      </c>
      <c r="H157" s="165" t="str">
        <f>IF(Data[[#This Row],[Bookie]]="","",SUMIF(BetTable[B1],(VLOOKUP(ROW()-3,BookieName[],2,FALSE)),BetTable[WBA1]))</f>
        <v/>
      </c>
      <c r="I157" s="165" t="str">
        <f>IF(Data[[#This Row],[Bookie]]="","",SUMIF(BetTable[B2],(VLOOKUP(ROW()-3,BookieName[],2,FALSE)),BetTable[WBA2]))</f>
        <v/>
      </c>
      <c r="J157" s="165" t="str">
        <f>IF(Data[[#This Row],[Bookie]]="","",SUMIF(BetTable[B3],(VLOOKUP(ROW()-3,BookieName[],2,FALSE)),BetTable[WBA3]))</f>
        <v/>
      </c>
      <c r="K157" s="166" t="str">
        <f>IF(Data[[#This Row],[Bookie]]="","",SUMIF(LayTable[Bookmaker],(VLOOKUP(ROW()-3,BookieName[],2,FALSE)),LayTable[BookieInnsats])*-1)</f>
        <v/>
      </c>
      <c r="L157" s="166" t="str">
        <f>IF(Data[[#This Row],[Bookie]]="","",SUMIF(LayTable[Lay-bookie],(VLOOKUP(ROW()-3,BookieName[],2,FALSE)),LayTable[LayLiability])*-1)</f>
        <v/>
      </c>
      <c r="M157" s="166" t="str">
        <f>IF(Data[[#This Row],[Bookie]]="","",SUMIF(LayTable[Bookmaker],(VLOOKUP(ROW()-3,BookieName[],2,FALSE)),LayTable[WBABack]))</f>
        <v/>
      </c>
      <c r="N157" s="166" t="str">
        <f>IF(Data[[#This Row],[Bookie]]="","",SUMIF(LayTable[Lay-bookie],(VLOOKUP(ROW()-3,BookieName[],2,FALSE)),LayTable[WBALay]))</f>
        <v/>
      </c>
      <c r="O157" s="166" t="str">
        <f>IF(Data[[#This Row],[Bookie]]="","",SUMIF(DWbonus[Bookie],(VLOOKUP(ROW()-3,BookieName[],2,FALSE)),DWbonus[Sum]))</f>
        <v/>
      </c>
      <c r="P157" s="166" t="str">
        <f>IF(Data[[#This Row],[Bookie]]="","",SUM(Data[[#This Row],[Pending 1]:[PendingL2]]))</f>
        <v/>
      </c>
      <c r="Q157" s="166" t="str">
        <f>IF(Data[[#This Row],[Bookie]]="","",SUMIFS(BetTable[S1],BetTable[B1],(VLOOKUP(ROW()-3,BookieName[],2,FALSE)),BetTable[AR],""))</f>
        <v/>
      </c>
      <c r="R157" s="166" t="str">
        <f>IF(Data[[#This Row],[Bookie]]="","",SUMIFS(BetTable[S2],BetTable[B2],(VLOOKUP(ROW()-3,BookieName[],2,FALSE)),BetTable[AR],""))</f>
        <v/>
      </c>
      <c r="S157" s="166" t="str">
        <f>IF(Data[[#This Row],[Bookie]]="","",SUMIFS(BetTable[S3],BetTable[B3],(VLOOKUP(ROW()-3,BookieName[],2,FALSE)),BetTable[AR],""))</f>
        <v/>
      </c>
      <c r="T157" s="166" t="str">
        <f>IF(Data[[#This Row],[Bookie]]="","",SUMIFS(LayTable[BookieInnsats],LayTable[Bookmaker],(VLOOKUP(ROW()-3,BookieName[],2,FALSE)),LayTable[Faktisk res],""))</f>
        <v/>
      </c>
      <c r="U157" s="166" t="str">
        <f>IF(Data[[#This Row],[Bookie]]="","",SUMIFS(LayTable[LayLiability],LayTable[Lay-bookie],(VLOOKUP(ROW()-3,BookieName[],2,FALSE)),LayTable[Faktisk res],""))</f>
        <v/>
      </c>
    </row>
    <row r="158" spans="1:21">
      <c r="A158" s="165">
        <f t="shared" si="8"/>
        <v>155</v>
      </c>
      <c r="B158" s="166" t="str">
        <f>IFERROR(VLOOKUP(ROW()-3,BookieName[],3,FALSE),"")</f>
        <v/>
      </c>
      <c r="C158" s="167" t="str">
        <f>IF(Data[[#This Row],[Bookie]]="","",SUM(Data[[#This Row],[D/W]:[Bonus and Adjustments]],))</f>
        <v/>
      </c>
      <c r="D158" s="167" t="str">
        <f>IF(Data[[#This Row],[Bookie]]="","",SUMIF(DWbooks[Bookmaker],(VLOOKUP(ROW()-3,BookieName[],2,FALSE)),DWbooks[Sum]))</f>
        <v/>
      </c>
      <c r="E158" s="165" t="str">
        <f>IF(Data[[#This Row],[Bookie]]="","",SUMIF(BetTable[B1],(VLOOKUP(ROW()-3,BookieName[],2,FALSE)),BetTable[S1])*-1)</f>
        <v/>
      </c>
      <c r="F158" s="165" t="str">
        <f>IF(Data[[#This Row],[Bookie]]="","",SUMIF(BetTable[B2],(VLOOKUP(ROW()-3,BookieName[],2,FALSE)),BetTable[S2])*-1)</f>
        <v/>
      </c>
      <c r="G158" s="165" t="str">
        <f>IF(Data[[#This Row],[Bookie]]="","",SUMIF(BetTable[B3],(VLOOKUP(ROW()-3,BookieName[],2,FALSE)),BetTable[S3])*-1)</f>
        <v/>
      </c>
      <c r="H158" s="165" t="str">
        <f>IF(Data[[#This Row],[Bookie]]="","",SUMIF(BetTable[B1],(VLOOKUP(ROW()-3,BookieName[],2,FALSE)),BetTable[WBA1]))</f>
        <v/>
      </c>
      <c r="I158" s="165" t="str">
        <f>IF(Data[[#This Row],[Bookie]]="","",SUMIF(BetTable[B2],(VLOOKUP(ROW()-3,BookieName[],2,FALSE)),BetTable[WBA2]))</f>
        <v/>
      </c>
      <c r="J158" s="165" t="str">
        <f>IF(Data[[#This Row],[Bookie]]="","",SUMIF(BetTable[B3],(VLOOKUP(ROW()-3,BookieName[],2,FALSE)),BetTable[WBA3]))</f>
        <v/>
      </c>
      <c r="K158" s="166" t="str">
        <f>IF(Data[[#This Row],[Bookie]]="","",SUMIF(LayTable[Bookmaker],(VLOOKUP(ROW()-3,BookieName[],2,FALSE)),LayTable[BookieInnsats])*-1)</f>
        <v/>
      </c>
      <c r="L158" s="166" t="str">
        <f>IF(Data[[#This Row],[Bookie]]="","",SUMIF(LayTable[Lay-bookie],(VLOOKUP(ROW()-3,BookieName[],2,FALSE)),LayTable[LayLiability])*-1)</f>
        <v/>
      </c>
      <c r="M158" s="166" t="str">
        <f>IF(Data[[#This Row],[Bookie]]="","",SUMIF(LayTable[Bookmaker],(VLOOKUP(ROW()-3,BookieName[],2,FALSE)),LayTable[WBABack]))</f>
        <v/>
      </c>
      <c r="N158" s="166" t="str">
        <f>IF(Data[[#This Row],[Bookie]]="","",SUMIF(LayTable[Lay-bookie],(VLOOKUP(ROW()-3,BookieName[],2,FALSE)),LayTable[WBALay]))</f>
        <v/>
      </c>
      <c r="O158" s="166" t="str">
        <f>IF(Data[[#This Row],[Bookie]]="","",SUMIF(DWbonus[Bookie],(VLOOKUP(ROW()-3,BookieName[],2,FALSE)),DWbonus[Sum]))</f>
        <v/>
      </c>
      <c r="P158" s="166" t="str">
        <f>IF(Data[[#This Row],[Bookie]]="","",SUM(Data[[#This Row],[Pending 1]:[PendingL2]]))</f>
        <v/>
      </c>
      <c r="Q158" s="166" t="str">
        <f>IF(Data[[#This Row],[Bookie]]="","",SUMIFS(BetTable[S1],BetTable[B1],(VLOOKUP(ROW()-3,BookieName[],2,FALSE)),BetTable[AR],""))</f>
        <v/>
      </c>
      <c r="R158" s="166" t="str">
        <f>IF(Data[[#This Row],[Bookie]]="","",SUMIFS(BetTable[S2],BetTable[B2],(VLOOKUP(ROW()-3,BookieName[],2,FALSE)),BetTable[AR],""))</f>
        <v/>
      </c>
      <c r="S158" s="166" t="str">
        <f>IF(Data[[#This Row],[Bookie]]="","",SUMIFS(BetTable[S3],BetTable[B3],(VLOOKUP(ROW()-3,BookieName[],2,FALSE)),BetTable[AR],""))</f>
        <v/>
      </c>
      <c r="T158" s="166" t="str">
        <f>IF(Data[[#This Row],[Bookie]]="","",SUMIFS(LayTable[BookieInnsats],LayTable[Bookmaker],(VLOOKUP(ROW()-3,BookieName[],2,FALSE)),LayTable[Faktisk res],""))</f>
        <v/>
      </c>
      <c r="U158" s="166" t="str">
        <f>IF(Data[[#This Row],[Bookie]]="","",SUMIFS(LayTable[LayLiability],LayTable[Lay-bookie],(VLOOKUP(ROW()-3,BookieName[],2,FALSE)),LayTable[Faktisk res],""))</f>
        <v/>
      </c>
    </row>
    <row r="159" spans="1:21">
      <c r="A159" s="165">
        <f t="shared" si="8"/>
        <v>156</v>
      </c>
      <c r="B159" s="166" t="str">
        <f>IFERROR(VLOOKUP(ROW()-3,BookieName[],3,FALSE),"")</f>
        <v/>
      </c>
      <c r="C159" s="167" t="str">
        <f>IF(Data[[#This Row],[Bookie]]="","",SUM(Data[[#This Row],[D/W]:[Bonus and Adjustments]],))</f>
        <v/>
      </c>
      <c r="D159" s="167" t="str">
        <f>IF(Data[[#This Row],[Bookie]]="","",SUMIF(DWbooks[Bookmaker],(VLOOKUP(ROW()-3,BookieName[],2,FALSE)),DWbooks[Sum]))</f>
        <v/>
      </c>
      <c r="E159" s="165" t="str">
        <f>IF(Data[[#This Row],[Bookie]]="","",SUMIF(BetTable[B1],(VLOOKUP(ROW()-3,BookieName[],2,FALSE)),BetTable[S1])*-1)</f>
        <v/>
      </c>
      <c r="F159" s="165" t="str">
        <f>IF(Data[[#This Row],[Bookie]]="","",SUMIF(BetTable[B2],(VLOOKUP(ROW()-3,BookieName[],2,FALSE)),BetTable[S2])*-1)</f>
        <v/>
      </c>
      <c r="G159" s="165" t="str">
        <f>IF(Data[[#This Row],[Bookie]]="","",SUMIF(BetTable[B3],(VLOOKUP(ROW()-3,BookieName[],2,FALSE)),BetTable[S3])*-1)</f>
        <v/>
      </c>
      <c r="H159" s="165" t="str">
        <f>IF(Data[[#This Row],[Bookie]]="","",SUMIF(BetTable[B1],(VLOOKUP(ROW()-3,BookieName[],2,FALSE)),BetTable[WBA1]))</f>
        <v/>
      </c>
      <c r="I159" s="165" t="str">
        <f>IF(Data[[#This Row],[Bookie]]="","",SUMIF(BetTable[B2],(VLOOKUP(ROW()-3,BookieName[],2,FALSE)),BetTable[WBA2]))</f>
        <v/>
      </c>
      <c r="J159" s="165" t="str">
        <f>IF(Data[[#This Row],[Bookie]]="","",SUMIF(BetTable[B3],(VLOOKUP(ROW()-3,BookieName[],2,FALSE)),BetTable[WBA3]))</f>
        <v/>
      </c>
      <c r="K159" s="166" t="str">
        <f>IF(Data[[#This Row],[Bookie]]="","",SUMIF(LayTable[Bookmaker],(VLOOKUP(ROW()-3,BookieName[],2,FALSE)),LayTable[BookieInnsats])*-1)</f>
        <v/>
      </c>
      <c r="L159" s="166" t="str">
        <f>IF(Data[[#This Row],[Bookie]]="","",SUMIF(LayTable[Lay-bookie],(VLOOKUP(ROW()-3,BookieName[],2,FALSE)),LayTable[LayLiability])*-1)</f>
        <v/>
      </c>
      <c r="M159" s="166" t="str">
        <f>IF(Data[[#This Row],[Bookie]]="","",SUMIF(LayTable[Bookmaker],(VLOOKUP(ROW()-3,BookieName[],2,FALSE)),LayTable[WBABack]))</f>
        <v/>
      </c>
      <c r="N159" s="166" t="str">
        <f>IF(Data[[#This Row],[Bookie]]="","",SUMIF(LayTable[Lay-bookie],(VLOOKUP(ROW()-3,BookieName[],2,FALSE)),LayTable[WBALay]))</f>
        <v/>
      </c>
      <c r="O159" s="166" t="str">
        <f>IF(Data[[#This Row],[Bookie]]="","",SUMIF(DWbonus[Bookie],(VLOOKUP(ROW()-3,BookieName[],2,FALSE)),DWbonus[Sum]))</f>
        <v/>
      </c>
      <c r="P159" s="166" t="str">
        <f>IF(Data[[#This Row],[Bookie]]="","",SUM(Data[[#This Row],[Pending 1]:[PendingL2]]))</f>
        <v/>
      </c>
      <c r="Q159" s="166" t="str">
        <f>IF(Data[[#This Row],[Bookie]]="","",SUMIFS(BetTable[S1],BetTable[B1],(VLOOKUP(ROW()-3,BookieName[],2,FALSE)),BetTable[AR],""))</f>
        <v/>
      </c>
      <c r="R159" s="166" t="str">
        <f>IF(Data[[#This Row],[Bookie]]="","",SUMIFS(BetTable[S2],BetTable[B2],(VLOOKUP(ROW()-3,BookieName[],2,FALSE)),BetTable[AR],""))</f>
        <v/>
      </c>
      <c r="S159" s="166" t="str">
        <f>IF(Data[[#This Row],[Bookie]]="","",SUMIFS(BetTable[S3],BetTable[B3],(VLOOKUP(ROW()-3,BookieName[],2,FALSE)),BetTable[AR],""))</f>
        <v/>
      </c>
      <c r="T159" s="166" t="str">
        <f>IF(Data[[#This Row],[Bookie]]="","",SUMIFS(LayTable[BookieInnsats],LayTable[Bookmaker],(VLOOKUP(ROW()-3,BookieName[],2,FALSE)),LayTable[Faktisk res],""))</f>
        <v/>
      </c>
      <c r="U159" s="166" t="str">
        <f>IF(Data[[#This Row],[Bookie]]="","",SUMIFS(LayTable[LayLiability],LayTable[Lay-bookie],(VLOOKUP(ROW()-3,BookieName[],2,FALSE)),LayTable[Faktisk res],""))</f>
        <v/>
      </c>
    </row>
    <row r="160" spans="1:21">
      <c r="A160" s="165">
        <f t="shared" si="8"/>
        <v>157</v>
      </c>
      <c r="B160" s="166" t="str">
        <f>IFERROR(VLOOKUP(ROW()-3,BookieName[],3,FALSE),"")</f>
        <v/>
      </c>
      <c r="C160" s="167" t="str">
        <f>IF(Data[[#This Row],[Bookie]]="","",SUM(Data[[#This Row],[D/W]:[Bonus and Adjustments]],))</f>
        <v/>
      </c>
      <c r="D160" s="167" t="str">
        <f>IF(Data[[#This Row],[Bookie]]="","",SUMIF(DWbooks[Bookmaker],(VLOOKUP(ROW()-3,BookieName[],2,FALSE)),DWbooks[Sum]))</f>
        <v/>
      </c>
      <c r="E160" s="165" t="str">
        <f>IF(Data[[#This Row],[Bookie]]="","",SUMIF(BetTable[B1],(VLOOKUP(ROW()-3,BookieName[],2,FALSE)),BetTable[S1])*-1)</f>
        <v/>
      </c>
      <c r="F160" s="165" t="str">
        <f>IF(Data[[#This Row],[Bookie]]="","",SUMIF(BetTable[B2],(VLOOKUP(ROW()-3,BookieName[],2,FALSE)),BetTable[S2])*-1)</f>
        <v/>
      </c>
      <c r="G160" s="165" t="str">
        <f>IF(Data[[#This Row],[Bookie]]="","",SUMIF(BetTable[B3],(VLOOKUP(ROW()-3,BookieName[],2,FALSE)),BetTable[S3])*-1)</f>
        <v/>
      </c>
      <c r="H160" s="165" t="str">
        <f>IF(Data[[#This Row],[Bookie]]="","",SUMIF(BetTable[B1],(VLOOKUP(ROW()-3,BookieName[],2,FALSE)),BetTable[WBA1]))</f>
        <v/>
      </c>
      <c r="I160" s="165" t="str">
        <f>IF(Data[[#This Row],[Bookie]]="","",SUMIF(BetTable[B2],(VLOOKUP(ROW()-3,BookieName[],2,FALSE)),BetTable[WBA2]))</f>
        <v/>
      </c>
      <c r="J160" s="165" t="str">
        <f>IF(Data[[#This Row],[Bookie]]="","",SUMIF(BetTable[B3],(VLOOKUP(ROW()-3,BookieName[],2,FALSE)),BetTable[WBA3]))</f>
        <v/>
      </c>
      <c r="K160" s="166" t="str">
        <f>IF(Data[[#This Row],[Bookie]]="","",SUMIF(LayTable[Bookmaker],(VLOOKUP(ROW()-3,BookieName[],2,FALSE)),LayTable[BookieInnsats])*-1)</f>
        <v/>
      </c>
      <c r="L160" s="166" t="str">
        <f>IF(Data[[#This Row],[Bookie]]="","",SUMIF(LayTable[Lay-bookie],(VLOOKUP(ROW()-3,BookieName[],2,FALSE)),LayTable[LayLiability])*-1)</f>
        <v/>
      </c>
      <c r="M160" s="166" t="str">
        <f>IF(Data[[#This Row],[Bookie]]="","",SUMIF(LayTable[Bookmaker],(VLOOKUP(ROW()-3,BookieName[],2,FALSE)),LayTable[WBABack]))</f>
        <v/>
      </c>
      <c r="N160" s="166" t="str">
        <f>IF(Data[[#This Row],[Bookie]]="","",SUMIF(LayTable[Lay-bookie],(VLOOKUP(ROW()-3,BookieName[],2,FALSE)),LayTable[WBALay]))</f>
        <v/>
      </c>
      <c r="O160" s="166" t="str">
        <f>IF(Data[[#This Row],[Bookie]]="","",SUMIF(DWbonus[Bookie],(VLOOKUP(ROW()-3,BookieName[],2,FALSE)),DWbonus[Sum]))</f>
        <v/>
      </c>
      <c r="P160" s="166" t="str">
        <f>IF(Data[[#This Row],[Bookie]]="","",SUM(Data[[#This Row],[Pending 1]:[PendingL2]]))</f>
        <v/>
      </c>
      <c r="Q160" s="166" t="str">
        <f>IF(Data[[#This Row],[Bookie]]="","",SUMIFS(BetTable[S1],BetTable[B1],(VLOOKUP(ROW()-3,BookieName[],2,FALSE)),BetTable[AR],""))</f>
        <v/>
      </c>
      <c r="R160" s="166" t="str">
        <f>IF(Data[[#This Row],[Bookie]]="","",SUMIFS(BetTable[S2],BetTable[B2],(VLOOKUP(ROW()-3,BookieName[],2,FALSE)),BetTable[AR],""))</f>
        <v/>
      </c>
      <c r="S160" s="166" t="str">
        <f>IF(Data[[#This Row],[Bookie]]="","",SUMIFS(BetTable[S3],BetTable[B3],(VLOOKUP(ROW()-3,BookieName[],2,FALSE)),BetTable[AR],""))</f>
        <v/>
      </c>
      <c r="T160" s="166" t="str">
        <f>IF(Data[[#This Row],[Bookie]]="","",SUMIFS(LayTable[BookieInnsats],LayTable[Bookmaker],(VLOOKUP(ROW()-3,BookieName[],2,FALSE)),LayTable[Faktisk res],""))</f>
        <v/>
      </c>
      <c r="U160" s="166" t="str">
        <f>IF(Data[[#This Row],[Bookie]]="","",SUMIFS(LayTable[LayLiability],LayTable[Lay-bookie],(VLOOKUP(ROW()-3,BookieName[],2,FALSE)),LayTable[Faktisk res],""))</f>
        <v/>
      </c>
    </row>
    <row r="161" spans="1:21">
      <c r="A161" s="165">
        <f t="shared" ref="A161:A183" si="9">ROW()-3</f>
        <v>158</v>
      </c>
      <c r="B161" s="166" t="str">
        <f>IFERROR(VLOOKUP(ROW()-3,BookieName[],3,FALSE),"")</f>
        <v/>
      </c>
      <c r="C161" s="167" t="str">
        <f>IF(Data[[#This Row],[Bookie]]="","",SUM(Data[[#This Row],[D/W]:[Bonus and Adjustments]],))</f>
        <v/>
      </c>
      <c r="D161" s="167" t="str">
        <f>IF(Data[[#This Row],[Bookie]]="","",SUMIF(DWbooks[Bookmaker],(VLOOKUP(ROW()-3,BookieName[],2,FALSE)),DWbooks[Sum]))</f>
        <v/>
      </c>
      <c r="E161" s="165" t="str">
        <f>IF(Data[[#This Row],[Bookie]]="","",SUMIF(BetTable[B1],(VLOOKUP(ROW()-3,BookieName[],2,FALSE)),BetTable[S1])*-1)</f>
        <v/>
      </c>
      <c r="F161" s="165" t="str">
        <f>IF(Data[[#This Row],[Bookie]]="","",SUMIF(BetTable[B2],(VLOOKUP(ROW()-3,BookieName[],2,FALSE)),BetTable[S2])*-1)</f>
        <v/>
      </c>
      <c r="G161" s="165" t="str">
        <f>IF(Data[[#This Row],[Bookie]]="","",SUMIF(BetTable[B3],(VLOOKUP(ROW()-3,BookieName[],2,FALSE)),BetTable[S3])*-1)</f>
        <v/>
      </c>
      <c r="H161" s="165" t="str">
        <f>IF(Data[[#This Row],[Bookie]]="","",SUMIF(BetTable[B1],(VLOOKUP(ROW()-3,BookieName[],2,FALSE)),BetTable[WBA1]))</f>
        <v/>
      </c>
      <c r="I161" s="165" t="str">
        <f>IF(Data[[#This Row],[Bookie]]="","",SUMIF(BetTable[B2],(VLOOKUP(ROW()-3,BookieName[],2,FALSE)),BetTable[WBA2]))</f>
        <v/>
      </c>
      <c r="J161" s="165" t="str">
        <f>IF(Data[[#This Row],[Bookie]]="","",SUMIF(BetTable[B3],(VLOOKUP(ROW()-3,BookieName[],2,FALSE)),BetTable[WBA3]))</f>
        <v/>
      </c>
      <c r="K161" s="166" t="str">
        <f>IF(Data[[#This Row],[Bookie]]="","",SUMIF(LayTable[Bookmaker],(VLOOKUP(ROW()-3,BookieName[],2,FALSE)),LayTable[BookieInnsats])*-1)</f>
        <v/>
      </c>
      <c r="L161" s="166" t="str">
        <f>IF(Data[[#This Row],[Bookie]]="","",SUMIF(LayTable[Lay-bookie],(VLOOKUP(ROW()-3,BookieName[],2,FALSE)),LayTable[LayLiability])*-1)</f>
        <v/>
      </c>
      <c r="M161" s="166" t="str">
        <f>IF(Data[[#This Row],[Bookie]]="","",SUMIF(LayTable[Bookmaker],(VLOOKUP(ROW()-3,BookieName[],2,FALSE)),LayTable[WBABack]))</f>
        <v/>
      </c>
      <c r="N161" s="166" t="str">
        <f>IF(Data[[#This Row],[Bookie]]="","",SUMIF(LayTable[Lay-bookie],(VLOOKUP(ROW()-3,BookieName[],2,FALSE)),LayTable[WBALay]))</f>
        <v/>
      </c>
      <c r="O161" s="166" t="str">
        <f>IF(Data[[#This Row],[Bookie]]="","",SUMIF(DWbonus[Bookie],(VLOOKUP(ROW()-3,BookieName[],2,FALSE)),DWbonus[Sum]))</f>
        <v/>
      </c>
      <c r="P161" s="166" t="str">
        <f>IF(Data[[#This Row],[Bookie]]="","",SUM(Data[[#This Row],[Pending 1]:[PendingL2]]))</f>
        <v/>
      </c>
      <c r="Q161" s="166" t="str">
        <f>IF(Data[[#This Row],[Bookie]]="","",SUMIFS(BetTable[S1],BetTable[B1],(VLOOKUP(ROW()-3,BookieName[],2,FALSE)),BetTable[AR],""))</f>
        <v/>
      </c>
      <c r="R161" s="166" t="str">
        <f>IF(Data[[#This Row],[Bookie]]="","",SUMIFS(BetTable[S2],BetTable[B2],(VLOOKUP(ROW()-3,BookieName[],2,FALSE)),BetTable[AR],""))</f>
        <v/>
      </c>
      <c r="S161" s="166" t="str">
        <f>IF(Data[[#This Row],[Bookie]]="","",SUMIFS(BetTable[S3],BetTable[B3],(VLOOKUP(ROW()-3,BookieName[],2,FALSE)),BetTable[AR],""))</f>
        <v/>
      </c>
      <c r="T161" s="166" t="str">
        <f>IF(Data[[#This Row],[Bookie]]="","",SUMIFS(LayTable[BookieInnsats],LayTable[Bookmaker],(VLOOKUP(ROW()-3,BookieName[],2,FALSE)),LayTable[Faktisk res],""))</f>
        <v/>
      </c>
      <c r="U161" s="166" t="str">
        <f>IF(Data[[#This Row],[Bookie]]="","",SUMIFS(LayTable[LayLiability],LayTable[Lay-bookie],(VLOOKUP(ROW()-3,BookieName[],2,FALSE)),LayTable[Faktisk res],""))</f>
        <v/>
      </c>
    </row>
    <row r="162" spans="1:21">
      <c r="A162" s="165">
        <f t="shared" si="9"/>
        <v>159</v>
      </c>
      <c r="B162" s="166" t="str">
        <f>IFERROR(VLOOKUP(ROW()-3,BookieName[],3,FALSE),"")</f>
        <v/>
      </c>
      <c r="C162" s="167" t="str">
        <f>IF(Data[[#This Row],[Bookie]]="","",SUM(Data[[#This Row],[D/W]:[Bonus and Adjustments]],))</f>
        <v/>
      </c>
      <c r="D162" s="167" t="str">
        <f>IF(Data[[#This Row],[Bookie]]="","",SUMIF(DWbooks[Bookmaker],(VLOOKUP(ROW()-3,BookieName[],2,FALSE)),DWbooks[Sum]))</f>
        <v/>
      </c>
      <c r="E162" s="165" t="str">
        <f>IF(Data[[#This Row],[Bookie]]="","",SUMIF(BetTable[B1],(VLOOKUP(ROW()-3,BookieName[],2,FALSE)),BetTable[S1])*-1)</f>
        <v/>
      </c>
      <c r="F162" s="165" t="str">
        <f>IF(Data[[#This Row],[Bookie]]="","",SUMIF(BetTable[B2],(VLOOKUP(ROW()-3,BookieName[],2,FALSE)),BetTable[S2])*-1)</f>
        <v/>
      </c>
      <c r="G162" s="165" t="str">
        <f>IF(Data[[#This Row],[Bookie]]="","",SUMIF(BetTable[B3],(VLOOKUP(ROW()-3,BookieName[],2,FALSE)),BetTable[S3])*-1)</f>
        <v/>
      </c>
      <c r="H162" s="165" t="str">
        <f>IF(Data[[#This Row],[Bookie]]="","",SUMIF(BetTable[B1],(VLOOKUP(ROW()-3,BookieName[],2,FALSE)),BetTable[WBA1]))</f>
        <v/>
      </c>
      <c r="I162" s="165" t="str">
        <f>IF(Data[[#This Row],[Bookie]]="","",SUMIF(BetTable[B2],(VLOOKUP(ROW()-3,BookieName[],2,FALSE)),BetTable[WBA2]))</f>
        <v/>
      </c>
      <c r="J162" s="165" t="str">
        <f>IF(Data[[#This Row],[Bookie]]="","",SUMIF(BetTable[B3],(VLOOKUP(ROW()-3,BookieName[],2,FALSE)),BetTable[WBA3]))</f>
        <v/>
      </c>
      <c r="K162" s="166" t="str">
        <f>IF(Data[[#This Row],[Bookie]]="","",SUMIF(LayTable[Bookmaker],(VLOOKUP(ROW()-3,BookieName[],2,FALSE)),LayTable[BookieInnsats])*-1)</f>
        <v/>
      </c>
      <c r="L162" s="166" t="str">
        <f>IF(Data[[#This Row],[Bookie]]="","",SUMIF(LayTable[Lay-bookie],(VLOOKUP(ROW()-3,BookieName[],2,FALSE)),LayTable[LayLiability])*-1)</f>
        <v/>
      </c>
      <c r="M162" s="166" t="str">
        <f>IF(Data[[#This Row],[Bookie]]="","",SUMIF(LayTable[Bookmaker],(VLOOKUP(ROW()-3,BookieName[],2,FALSE)),LayTable[WBABack]))</f>
        <v/>
      </c>
      <c r="N162" s="166" t="str">
        <f>IF(Data[[#This Row],[Bookie]]="","",SUMIF(LayTable[Lay-bookie],(VLOOKUP(ROW()-3,BookieName[],2,FALSE)),LayTable[WBALay]))</f>
        <v/>
      </c>
      <c r="O162" s="166" t="str">
        <f>IF(Data[[#This Row],[Bookie]]="","",SUMIF(DWbonus[Bookie],(VLOOKUP(ROW()-3,BookieName[],2,FALSE)),DWbonus[Sum]))</f>
        <v/>
      </c>
      <c r="P162" s="166" t="str">
        <f>IF(Data[[#This Row],[Bookie]]="","",SUM(Data[[#This Row],[Pending 1]:[PendingL2]]))</f>
        <v/>
      </c>
      <c r="Q162" s="166" t="str">
        <f>IF(Data[[#This Row],[Bookie]]="","",SUMIFS(BetTable[S1],BetTable[B1],(VLOOKUP(ROW()-3,BookieName[],2,FALSE)),BetTable[AR],""))</f>
        <v/>
      </c>
      <c r="R162" s="166" t="str">
        <f>IF(Data[[#This Row],[Bookie]]="","",SUMIFS(BetTable[S2],BetTable[B2],(VLOOKUP(ROW()-3,BookieName[],2,FALSE)),BetTable[AR],""))</f>
        <v/>
      </c>
      <c r="S162" s="166" t="str">
        <f>IF(Data[[#This Row],[Bookie]]="","",SUMIFS(BetTable[S3],BetTable[B3],(VLOOKUP(ROW()-3,BookieName[],2,FALSE)),BetTable[AR],""))</f>
        <v/>
      </c>
      <c r="T162" s="166" t="str">
        <f>IF(Data[[#This Row],[Bookie]]="","",SUMIFS(LayTable[BookieInnsats],LayTable[Bookmaker],(VLOOKUP(ROW()-3,BookieName[],2,FALSE)),LayTable[Faktisk res],""))</f>
        <v/>
      </c>
      <c r="U162" s="166" t="str">
        <f>IF(Data[[#This Row],[Bookie]]="","",SUMIFS(LayTable[LayLiability],LayTable[Lay-bookie],(VLOOKUP(ROW()-3,BookieName[],2,FALSE)),LayTable[Faktisk res],""))</f>
        <v/>
      </c>
    </row>
    <row r="163" spans="1:21">
      <c r="A163" s="165">
        <f t="shared" si="9"/>
        <v>160</v>
      </c>
      <c r="B163" s="166" t="str">
        <f>IFERROR(VLOOKUP(ROW()-3,BookieName[],3,FALSE),"")</f>
        <v/>
      </c>
      <c r="C163" s="167" t="str">
        <f>IF(Data[[#This Row],[Bookie]]="","",SUM(Data[[#This Row],[D/W]:[Bonus and Adjustments]],))</f>
        <v/>
      </c>
      <c r="D163" s="167" t="str">
        <f>IF(Data[[#This Row],[Bookie]]="","",SUMIF(DWbooks[Bookmaker],(VLOOKUP(ROW()-3,BookieName[],2,FALSE)),DWbooks[Sum]))</f>
        <v/>
      </c>
      <c r="E163" s="165" t="str">
        <f>IF(Data[[#This Row],[Bookie]]="","",SUMIF(BetTable[B1],(VLOOKUP(ROW()-3,BookieName[],2,FALSE)),BetTable[S1])*-1)</f>
        <v/>
      </c>
      <c r="F163" s="165" t="str">
        <f>IF(Data[[#This Row],[Bookie]]="","",SUMIF(BetTable[B2],(VLOOKUP(ROW()-3,BookieName[],2,FALSE)),BetTable[S2])*-1)</f>
        <v/>
      </c>
      <c r="G163" s="165" t="str">
        <f>IF(Data[[#This Row],[Bookie]]="","",SUMIF(BetTable[B3],(VLOOKUP(ROW()-3,BookieName[],2,FALSE)),BetTable[S3])*-1)</f>
        <v/>
      </c>
      <c r="H163" s="165" t="str">
        <f>IF(Data[[#This Row],[Bookie]]="","",SUMIF(BetTable[B1],(VLOOKUP(ROW()-3,BookieName[],2,FALSE)),BetTable[WBA1]))</f>
        <v/>
      </c>
      <c r="I163" s="165" t="str">
        <f>IF(Data[[#This Row],[Bookie]]="","",SUMIF(BetTable[B2],(VLOOKUP(ROW()-3,BookieName[],2,FALSE)),BetTable[WBA2]))</f>
        <v/>
      </c>
      <c r="J163" s="165" t="str">
        <f>IF(Data[[#This Row],[Bookie]]="","",SUMIF(BetTable[B3],(VLOOKUP(ROW()-3,BookieName[],2,FALSE)),BetTable[WBA3]))</f>
        <v/>
      </c>
      <c r="K163" s="166" t="str">
        <f>IF(Data[[#This Row],[Bookie]]="","",SUMIF(LayTable[Bookmaker],(VLOOKUP(ROW()-3,BookieName[],2,FALSE)),LayTable[BookieInnsats])*-1)</f>
        <v/>
      </c>
      <c r="L163" s="166" t="str">
        <f>IF(Data[[#This Row],[Bookie]]="","",SUMIF(LayTable[Lay-bookie],(VLOOKUP(ROW()-3,BookieName[],2,FALSE)),LayTable[LayLiability])*-1)</f>
        <v/>
      </c>
      <c r="M163" s="166" t="str">
        <f>IF(Data[[#This Row],[Bookie]]="","",SUMIF(LayTable[Bookmaker],(VLOOKUP(ROW()-3,BookieName[],2,FALSE)),LayTable[WBABack]))</f>
        <v/>
      </c>
      <c r="N163" s="166" t="str">
        <f>IF(Data[[#This Row],[Bookie]]="","",SUMIF(LayTable[Lay-bookie],(VLOOKUP(ROW()-3,BookieName[],2,FALSE)),LayTable[WBALay]))</f>
        <v/>
      </c>
      <c r="O163" s="166" t="str">
        <f>IF(Data[[#This Row],[Bookie]]="","",SUMIF(DWbonus[Bookie],(VLOOKUP(ROW()-3,BookieName[],2,FALSE)),DWbonus[Sum]))</f>
        <v/>
      </c>
      <c r="P163" s="166" t="str">
        <f>IF(Data[[#This Row],[Bookie]]="","",SUM(Data[[#This Row],[Pending 1]:[PendingL2]]))</f>
        <v/>
      </c>
      <c r="Q163" s="166" t="str">
        <f>IF(Data[[#This Row],[Bookie]]="","",SUMIFS(BetTable[S1],BetTable[B1],(VLOOKUP(ROW()-3,BookieName[],2,FALSE)),BetTable[AR],""))</f>
        <v/>
      </c>
      <c r="R163" s="166" t="str">
        <f>IF(Data[[#This Row],[Bookie]]="","",SUMIFS(BetTable[S2],BetTable[B2],(VLOOKUP(ROW()-3,BookieName[],2,FALSE)),BetTable[AR],""))</f>
        <v/>
      </c>
      <c r="S163" s="166" t="str">
        <f>IF(Data[[#This Row],[Bookie]]="","",SUMIFS(BetTable[S3],BetTable[B3],(VLOOKUP(ROW()-3,BookieName[],2,FALSE)),BetTable[AR],""))</f>
        <v/>
      </c>
      <c r="T163" s="166" t="str">
        <f>IF(Data[[#This Row],[Bookie]]="","",SUMIFS(LayTable[BookieInnsats],LayTable[Bookmaker],(VLOOKUP(ROW()-3,BookieName[],2,FALSE)),LayTable[Faktisk res],""))</f>
        <v/>
      </c>
      <c r="U163" s="166" t="str">
        <f>IF(Data[[#This Row],[Bookie]]="","",SUMIFS(LayTable[LayLiability],LayTable[Lay-bookie],(VLOOKUP(ROW()-3,BookieName[],2,FALSE)),LayTable[Faktisk res],""))</f>
        <v/>
      </c>
    </row>
    <row r="164" spans="1:21">
      <c r="A164" s="165">
        <f t="shared" si="9"/>
        <v>161</v>
      </c>
      <c r="B164" s="166" t="str">
        <f>IFERROR(VLOOKUP(ROW()-3,BookieName[],3,FALSE),"")</f>
        <v/>
      </c>
      <c r="C164" s="167" t="str">
        <f>IF(Data[[#This Row],[Bookie]]="","",SUM(Data[[#This Row],[D/W]:[Bonus and Adjustments]],))</f>
        <v/>
      </c>
      <c r="D164" s="167" t="str">
        <f>IF(Data[[#This Row],[Bookie]]="","",SUMIF(DWbooks[Bookmaker],(VLOOKUP(ROW()-3,BookieName[],2,FALSE)),DWbooks[Sum]))</f>
        <v/>
      </c>
      <c r="E164" s="165" t="str">
        <f>IF(Data[[#This Row],[Bookie]]="","",SUMIF(BetTable[B1],(VLOOKUP(ROW()-3,BookieName[],2,FALSE)),BetTable[S1])*-1)</f>
        <v/>
      </c>
      <c r="F164" s="165" t="str">
        <f>IF(Data[[#This Row],[Bookie]]="","",SUMIF(BetTable[B2],(VLOOKUP(ROW()-3,BookieName[],2,FALSE)),BetTable[S2])*-1)</f>
        <v/>
      </c>
      <c r="G164" s="165" t="str">
        <f>IF(Data[[#This Row],[Bookie]]="","",SUMIF(BetTable[B3],(VLOOKUP(ROW()-3,BookieName[],2,FALSE)),BetTable[S3])*-1)</f>
        <v/>
      </c>
      <c r="H164" s="165" t="str">
        <f>IF(Data[[#This Row],[Bookie]]="","",SUMIF(BetTable[B1],(VLOOKUP(ROW()-3,BookieName[],2,FALSE)),BetTable[WBA1]))</f>
        <v/>
      </c>
      <c r="I164" s="165" t="str">
        <f>IF(Data[[#This Row],[Bookie]]="","",SUMIF(BetTable[B2],(VLOOKUP(ROW()-3,BookieName[],2,FALSE)),BetTable[WBA2]))</f>
        <v/>
      </c>
      <c r="J164" s="165" t="str">
        <f>IF(Data[[#This Row],[Bookie]]="","",SUMIF(BetTable[B3],(VLOOKUP(ROW()-3,BookieName[],2,FALSE)),BetTable[WBA3]))</f>
        <v/>
      </c>
      <c r="K164" s="166" t="str">
        <f>IF(Data[[#This Row],[Bookie]]="","",SUMIF(LayTable[Bookmaker],(VLOOKUP(ROW()-3,BookieName[],2,FALSE)),LayTable[BookieInnsats])*-1)</f>
        <v/>
      </c>
      <c r="L164" s="166" t="str">
        <f>IF(Data[[#This Row],[Bookie]]="","",SUMIF(LayTable[Lay-bookie],(VLOOKUP(ROW()-3,BookieName[],2,FALSE)),LayTable[LayLiability])*-1)</f>
        <v/>
      </c>
      <c r="M164" s="166" t="str">
        <f>IF(Data[[#This Row],[Bookie]]="","",SUMIF(LayTable[Bookmaker],(VLOOKUP(ROW()-3,BookieName[],2,FALSE)),LayTable[WBABack]))</f>
        <v/>
      </c>
      <c r="N164" s="166" t="str">
        <f>IF(Data[[#This Row],[Bookie]]="","",SUMIF(LayTable[Lay-bookie],(VLOOKUP(ROW()-3,BookieName[],2,FALSE)),LayTable[WBALay]))</f>
        <v/>
      </c>
      <c r="O164" s="166" t="str">
        <f>IF(Data[[#This Row],[Bookie]]="","",SUMIF(DWbonus[Bookie],(VLOOKUP(ROW()-3,BookieName[],2,FALSE)),DWbonus[Sum]))</f>
        <v/>
      </c>
      <c r="P164" s="166" t="str">
        <f>IF(Data[[#This Row],[Bookie]]="","",SUM(Data[[#This Row],[Pending 1]:[PendingL2]]))</f>
        <v/>
      </c>
      <c r="Q164" s="166" t="str">
        <f>IF(Data[[#This Row],[Bookie]]="","",SUMIFS(BetTable[S1],BetTable[B1],(VLOOKUP(ROW()-3,BookieName[],2,FALSE)),BetTable[AR],""))</f>
        <v/>
      </c>
      <c r="R164" s="166" t="str">
        <f>IF(Data[[#This Row],[Bookie]]="","",SUMIFS(BetTable[S2],BetTable[B2],(VLOOKUP(ROW()-3,BookieName[],2,FALSE)),BetTable[AR],""))</f>
        <v/>
      </c>
      <c r="S164" s="166" t="str">
        <f>IF(Data[[#This Row],[Bookie]]="","",SUMIFS(BetTable[S3],BetTable[B3],(VLOOKUP(ROW()-3,BookieName[],2,FALSE)),BetTable[AR],""))</f>
        <v/>
      </c>
      <c r="T164" s="166" t="str">
        <f>IF(Data[[#This Row],[Bookie]]="","",SUMIFS(LayTable[BookieInnsats],LayTable[Bookmaker],(VLOOKUP(ROW()-3,BookieName[],2,FALSE)),LayTable[Faktisk res],""))</f>
        <v/>
      </c>
      <c r="U164" s="166" t="str">
        <f>IF(Data[[#This Row],[Bookie]]="","",SUMIFS(LayTable[LayLiability],LayTable[Lay-bookie],(VLOOKUP(ROW()-3,BookieName[],2,FALSE)),LayTable[Faktisk res],""))</f>
        <v/>
      </c>
    </row>
    <row r="165" spans="1:21">
      <c r="A165" s="165">
        <f t="shared" si="9"/>
        <v>162</v>
      </c>
      <c r="B165" s="166" t="str">
        <f>IFERROR(VLOOKUP(ROW()-3,BookieName[],3,FALSE),"")</f>
        <v/>
      </c>
      <c r="C165" s="167" t="str">
        <f>IF(Data[[#This Row],[Bookie]]="","",SUM(Data[[#This Row],[D/W]:[Bonus and Adjustments]],))</f>
        <v/>
      </c>
      <c r="D165" s="167" t="str">
        <f>IF(Data[[#This Row],[Bookie]]="","",SUMIF(DWbooks[Bookmaker],(VLOOKUP(ROW()-3,BookieName[],2,FALSE)),DWbooks[Sum]))</f>
        <v/>
      </c>
      <c r="E165" s="165" t="str">
        <f>IF(Data[[#This Row],[Bookie]]="","",SUMIF(BetTable[B1],(VLOOKUP(ROW()-3,BookieName[],2,FALSE)),BetTable[S1])*-1)</f>
        <v/>
      </c>
      <c r="F165" s="165" t="str">
        <f>IF(Data[[#This Row],[Bookie]]="","",SUMIF(BetTable[B2],(VLOOKUP(ROW()-3,BookieName[],2,FALSE)),BetTable[S2])*-1)</f>
        <v/>
      </c>
      <c r="G165" s="165" t="str">
        <f>IF(Data[[#This Row],[Bookie]]="","",SUMIF(BetTable[B3],(VLOOKUP(ROW()-3,BookieName[],2,FALSE)),BetTable[S3])*-1)</f>
        <v/>
      </c>
      <c r="H165" s="165" t="str">
        <f>IF(Data[[#This Row],[Bookie]]="","",SUMIF(BetTable[B1],(VLOOKUP(ROW()-3,BookieName[],2,FALSE)),BetTable[WBA1]))</f>
        <v/>
      </c>
      <c r="I165" s="165" t="str">
        <f>IF(Data[[#This Row],[Bookie]]="","",SUMIF(BetTable[B2],(VLOOKUP(ROW()-3,BookieName[],2,FALSE)),BetTable[WBA2]))</f>
        <v/>
      </c>
      <c r="J165" s="165" t="str">
        <f>IF(Data[[#This Row],[Bookie]]="","",SUMIF(BetTable[B3],(VLOOKUP(ROW()-3,BookieName[],2,FALSE)),BetTable[WBA3]))</f>
        <v/>
      </c>
      <c r="K165" s="166" t="str">
        <f>IF(Data[[#This Row],[Bookie]]="","",SUMIF(LayTable[Bookmaker],(VLOOKUP(ROW()-3,BookieName[],2,FALSE)),LayTable[BookieInnsats])*-1)</f>
        <v/>
      </c>
      <c r="L165" s="166" t="str">
        <f>IF(Data[[#This Row],[Bookie]]="","",SUMIF(LayTable[Lay-bookie],(VLOOKUP(ROW()-3,BookieName[],2,FALSE)),LayTable[LayLiability])*-1)</f>
        <v/>
      </c>
      <c r="M165" s="166" t="str">
        <f>IF(Data[[#This Row],[Bookie]]="","",SUMIF(LayTable[Bookmaker],(VLOOKUP(ROW()-3,BookieName[],2,FALSE)),LayTable[WBABack]))</f>
        <v/>
      </c>
      <c r="N165" s="166" t="str">
        <f>IF(Data[[#This Row],[Bookie]]="","",SUMIF(LayTable[Lay-bookie],(VLOOKUP(ROW()-3,BookieName[],2,FALSE)),LayTable[WBALay]))</f>
        <v/>
      </c>
      <c r="O165" s="166" t="str">
        <f>IF(Data[[#This Row],[Bookie]]="","",SUMIF(DWbonus[Bookie],(VLOOKUP(ROW()-3,BookieName[],2,FALSE)),DWbonus[Sum]))</f>
        <v/>
      </c>
      <c r="P165" s="166" t="str">
        <f>IF(Data[[#This Row],[Bookie]]="","",SUM(Data[[#This Row],[Pending 1]:[PendingL2]]))</f>
        <v/>
      </c>
      <c r="Q165" s="166" t="str">
        <f>IF(Data[[#This Row],[Bookie]]="","",SUMIFS(BetTable[S1],BetTable[B1],(VLOOKUP(ROW()-3,BookieName[],2,FALSE)),BetTable[AR],""))</f>
        <v/>
      </c>
      <c r="R165" s="166" t="str">
        <f>IF(Data[[#This Row],[Bookie]]="","",SUMIFS(BetTable[S2],BetTable[B2],(VLOOKUP(ROW()-3,BookieName[],2,FALSE)),BetTable[AR],""))</f>
        <v/>
      </c>
      <c r="S165" s="166" t="str">
        <f>IF(Data[[#This Row],[Bookie]]="","",SUMIFS(BetTable[S3],BetTable[B3],(VLOOKUP(ROW()-3,BookieName[],2,FALSE)),BetTable[AR],""))</f>
        <v/>
      </c>
      <c r="T165" s="166" t="str">
        <f>IF(Data[[#This Row],[Bookie]]="","",SUMIFS(LayTable[BookieInnsats],LayTable[Bookmaker],(VLOOKUP(ROW()-3,BookieName[],2,FALSE)),LayTable[Faktisk res],""))</f>
        <v/>
      </c>
      <c r="U165" s="166" t="str">
        <f>IF(Data[[#This Row],[Bookie]]="","",SUMIFS(LayTable[LayLiability],LayTable[Lay-bookie],(VLOOKUP(ROW()-3,BookieName[],2,FALSE)),LayTable[Faktisk res],""))</f>
        <v/>
      </c>
    </row>
    <row r="166" spans="1:21">
      <c r="A166" s="165">
        <f t="shared" si="9"/>
        <v>163</v>
      </c>
      <c r="B166" s="166" t="str">
        <f>IFERROR(VLOOKUP(ROW()-3,BookieName[],3,FALSE),"")</f>
        <v/>
      </c>
      <c r="C166" s="167" t="str">
        <f>IF(Data[[#This Row],[Bookie]]="","",SUM(Data[[#This Row],[D/W]:[Bonus and Adjustments]],))</f>
        <v/>
      </c>
      <c r="D166" s="167" t="str">
        <f>IF(Data[[#This Row],[Bookie]]="","",SUMIF(DWbooks[Bookmaker],(VLOOKUP(ROW()-3,BookieName[],2,FALSE)),DWbooks[Sum]))</f>
        <v/>
      </c>
      <c r="E166" s="165" t="str">
        <f>IF(Data[[#This Row],[Bookie]]="","",SUMIF(BetTable[B1],(VLOOKUP(ROW()-3,BookieName[],2,FALSE)),BetTable[S1])*-1)</f>
        <v/>
      </c>
      <c r="F166" s="165" t="str">
        <f>IF(Data[[#This Row],[Bookie]]="","",SUMIF(BetTable[B2],(VLOOKUP(ROW()-3,BookieName[],2,FALSE)),BetTable[S2])*-1)</f>
        <v/>
      </c>
      <c r="G166" s="165" t="str">
        <f>IF(Data[[#This Row],[Bookie]]="","",SUMIF(BetTable[B3],(VLOOKUP(ROW()-3,BookieName[],2,FALSE)),BetTable[S3])*-1)</f>
        <v/>
      </c>
      <c r="H166" s="165" t="str">
        <f>IF(Data[[#This Row],[Bookie]]="","",SUMIF(BetTable[B1],(VLOOKUP(ROW()-3,BookieName[],2,FALSE)),BetTable[WBA1]))</f>
        <v/>
      </c>
      <c r="I166" s="165" t="str">
        <f>IF(Data[[#This Row],[Bookie]]="","",SUMIF(BetTable[B2],(VLOOKUP(ROW()-3,BookieName[],2,FALSE)),BetTable[WBA2]))</f>
        <v/>
      </c>
      <c r="J166" s="165" t="str">
        <f>IF(Data[[#This Row],[Bookie]]="","",SUMIF(BetTable[B3],(VLOOKUP(ROW()-3,BookieName[],2,FALSE)),BetTable[WBA3]))</f>
        <v/>
      </c>
      <c r="K166" s="166" t="str">
        <f>IF(Data[[#This Row],[Bookie]]="","",SUMIF(LayTable[Bookmaker],(VLOOKUP(ROW()-3,BookieName[],2,FALSE)),LayTable[BookieInnsats])*-1)</f>
        <v/>
      </c>
      <c r="L166" s="166" t="str">
        <f>IF(Data[[#This Row],[Bookie]]="","",SUMIF(LayTable[Lay-bookie],(VLOOKUP(ROW()-3,BookieName[],2,FALSE)),LayTable[LayLiability])*-1)</f>
        <v/>
      </c>
      <c r="M166" s="166" t="str">
        <f>IF(Data[[#This Row],[Bookie]]="","",SUMIF(LayTable[Bookmaker],(VLOOKUP(ROW()-3,BookieName[],2,FALSE)),LayTable[WBABack]))</f>
        <v/>
      </c>
      <c r="N166" s="166" t="str">
        <f>IF(Data[[#This Row],[Bookie]]="","",SUMIF(LayTable[Lay-bookie],(VLOOKUP(ROW()-3,BookieName[],2,FALSE)),LayTable[WBALay]))</f>
        <v/>
      </c>
      <c r="O166" s="166" t="str">
        <f>IF(Data[[#This Row],[Bookie]]="","",SUMIF(DWbonus[Bookie],(VLOOKUP(ROW()-3,BookieName[],2,FALSE)),DWbonus[Sum]))</f>
        <v/>
      </c>
      <c r="P166" s="166" t="str">
        <f>IF(Data[[#This Row],[Bookie]]="","",SUM(Data[[#This Row],[Pending 1]:[PendingL2]]))</f>
        <v/>
      </c>
      <c r="Q166" s="166" t="str">
        <f>IF(Data[[#This Row],[Bookie]]="","",SUMIFS(BetTable[S1],BetTable[B1],(VLOOKUP(ROW()-3,BookieName[],2,FALSE)),BetTable[AR],""))</f>
        <v/>
      </c>
      <c r="R166" s="166" t="str">
        <f>IF(Data[[#This Row],[Bookie]]="","",SUMIFS(BetTable[S2],BetTable[B2],(VLOOKUP(ROW()-3,BookieName[],2,FALSE)),BetTable[AR],""))</f>
        <v/>
      </c>
      <c r="S166" s="166" t="str">
        <f>IF(Data[[#This Row],[Bookie]]="","",SUMIFS(BetTable[S3],BetTable[B3],(VLOOKUP(ROW()-3,BookieName[],2,FALSE)),BetTable[AR],""))</f>
        <v/>
      </c>
      <c r="T166" s="166" t="str">
        <f>IF(Data[[#This Row],[Bookie]]="","",SUMIFS(LayTable[BookieInnsats],LayTable[Bookmaker],(VLOOKUP(ROW()-3,BookieName[],2,FALSE)),LayTable[Faktisk res],""))</f>
        <v/>
      </c>
      <c r="U166" s="166" t="str">
        <f>IF(Data[[#This Row],[Bookie]]="","",SUMIFS(LayTable[LayLiability],LayTable[Lay-bookie],(VLOOKUP(ROW()-3,BookieName[],2,FALSE)),LayTable[Faktisk res],""))</f>
        <v/>
      </c>
    </row>
    <row r="167" spans="1:21">
      <c r="A167" s="165">
        <f t="shared" si="9"/>
        <v>164</v>
      </c>
      <c r="B167" s="166" t="str">
        <f>IFERROR(VLOOKUP(ROW()-3,BookieName[],3,FALSE),"")</f>
        <v/>
      </c>
      <c r="C167" s="167" t="str">
        <f>IF(Data[[#This Row],[Bookie]]="","",SUM(Data[[#This Row],[D/W]:[Bonus and Adjustments]],))</f>
        <v/>
      </c>
      <c r="D167" s="167" t="str">
        <f>IF(Data[[#This Row],[Bookie]]="","",SUMIF(DWbooks[Bookmaker],(VLOOKUP(ROW()-3,BookieName[],2,FALSE)),DWbooks[Sum]))</f>
        <v/>
      </c>
      <c r="E167" s="165" t="str">
        <f>IF(Data[[#This Row],[Bookie]]="","",SUMIF(BetTable[B1],(VLOOKUP(ROW()-3,BookieName[],2,FALSE)),BetTable[S1])*-1)</f>
        <v/>
      </c>
      <c r="F167" s="165" t="str">
        <f>IF(Data[[#This Row],[Bookie]]="","",SUMIF(BetTable[B2],(VLOOKUP(ROW()-3,BookieName[],2,FALSE)),BetTable[S2])*-1)</f>
        <v/>
      </c>
      <c r="G167" s="165" t="str">
        <f>IF(Data[[#This Row],[Bookie]]="","",SUMIF(BetTable[B3],(VLOOKUP(ROW()-3,BookieName[],2,FALSE)),BetTable[S3])*-1)</f>
        <v/>
      </c>
      <c r="H167" s="165" t="str">
        <f>IF(Data[[#This Row],[Bookie]]="","",SUMIF(BetTable[B1],(VLOOKUP(ROW()-3,BookieName[],2,FALSE)),BetTable[WBA1]))</f>
        <v/>
      </c>
      <c r="I167" s="165" t="str">
        <f>IF(Data[[#This Row],[Bookie]]="","",SUMIF(BetTable[B2],(VLOOKUP(ROW()-3,BookieName[],2,FALSE)),BetTable[WBA2]))</f>
        <v/>
      </c>
      <c r="J167" s="165" t="str">
        <f>IF(Data[[#This Row],[Bookie]]="","",SUMIF(BetTable[B3],(VLOOKUP(ROW()-3,BookieName[],2,FALSE)),BetTable[WBA3]))</f>
        <v/>
      </c>
      <c r="K167" s="166" t="str">
        <f>IF(Data[[#This Row],[Bookie]]="","",SUMIF(LayTable[Bookmaker],(VLOOKUP(ROW()-3,BookieName[],2,FALSE)),LayTable[BookieInnsats])*-1)</f>
        <v/>
      </c>
      <c r="L167" s="166" t="str">
        <f>IF(Data[[#This Row],[Bookie]]="","",SUMIF(LayTable[Lay-bookie],(VLOOKUP(ROW()-3,BookieName[],2,FALSE)),LayTable[LayLiability])*-1)</f>
        <v/>
      </c>
      <c r="M167" s="166" t="str">
        <f>IF(Data[[#This Row],[Bookie]]="","",SUMIF(LayTable[Bookmaker],(VLOOKUP(ROW()-3,BookieName[],2,FALSE)),LayTable[WBABack]))</f>
        <v/>
      </c>
      <c r="N167" s="166" t="str">
        <f>IF(Data[[#This Row],[Bookie]]="","",SUMIF(LayTable[Lay-bookie],(VLOOKUP(ROW()-3,BookieName[],2,FALSE)),LayTable[WBALay]))</f>
        <v/>
      </c>
      <c r="O167" s="166" t="str">
        <f>IF(Data[[#This Row],[Bookie]]="","",SUMIF(DWbonus[Bookie],(VLOOKUP(ROW()-3,BookieName[],2,FALSE)),DWbonus[Sum]))</f>
        <v/>
      </c>
      <c r="P167" s="166" t="str">
        <f>IF(Data[[#This Row],[Bookie]]="","",SUM(Data[[#This Row],[Pending 1]:[PendingL2]]))</f>
        <v/>
      </c>
      <c r="Q167" s="166" t="str">
        <f>IF(Data[[#This Row],[Bookie]]="","",SUMIFS(BetTable[S1],BetTable[B1],(VLOOKUP(ROW()-3,BookieName[],2,FALSE)),BetTable[AR],""))</f>
        <v/>
      </c>
      <c r="R167" s="166" t="str">
        <f>IF(Data[[#This Row],[Bookie]]="","",SUMIFS(BetTable[S2],BetTable[B2],(VLOOKUP(ROW()-3,BookieName[],2,FALSE)),BetTable[AR],""))</f>
        <v/>
      </c>
      <c r="S167" s="166" t="str">
        <f>IF(Data[[#This Row],[Bookie]]="","",SUMIFS(BetTable[S3],BetTable[B3],(VLOOKUP(ROW()-3,BookieName[],2,FALSE)),BetTable[AR],""))</f>
        <v/>
      </c>
      <c r="T167" s="166" t="str">
        <f>IF(Data[[#This Row],[Bookie]]="","",SUMIFS(LayTable[BookieInnsats],LayTable[Bookmaker],(VLOOKUP(ROW()-3,BookieName[],2,FALSE)),LayTable[Faktisk res],""))</f>
        <v/>
      </c>
      <c r="U167" s="166" t="str">
        <f>IF(Data[[#This Row],[Bookie]]="","",SUMIFS(LayTable[LayLiability],LayTable[Lay-bookie],(VLOOKUP(ROW()-3,BookieName[],2,FALSE)),LayTable[Faktisk res],""))</f>
        <v/>
      </c>
    </row>
    <row r="168" spans="1:21">
      <c r="A168" s="165">
        <f t="shared" si="9"/>
        <v>165</v>
      </c>
      <c r="B168" s="166" t="str">
        <f>IFERROR(VLOOKUP(ROW()-3,BookieName[],3,FALSE),"")</f>
        <v/>
      </c>
      <c r="C168" s="167" t="str">
        <f>IF(Data[[#This Row],[Bookie]]="","",SUM(Data[[#This Row],[D/W]:[Bonus and Adjustments]],))</f>
        <v/>
      </c>
      <c r="D168" s="167" t="str">
        <f>IF(Data[[#This Row],[Bookie]]="","",SUMIF(DWbooks[Bookmaker],(VLOOKUP(ROW()-3,BookieName[],2,FALSE)),DWbooks[Sum]))</f>
        <v/>
      </c>
      <c r="E168" s="165" t="str">
        <f>IF(Data[[#This Row],[Bookie]]="","",SUMIF(BetTable[B1],(VLOOKUP(ROW()-3,BookieName[],2,FALSE)),BetTable[S1])*-1)</f>
        <v/>
      </c>
      <c r="F168" s="165" t="str">
        <f>IF(Data[[#This Row],[Bookie]]="","",SUMIF(BetTable[B2],(VLOOKUP(ROW()-3,BookieName[],2,FALSE)),BetTable[S2])*-1)</f>
        <v/>
      </c>
      <c r="G168" s="165" t="str">
        <f>IF(Data[[#This Row],[Bookie]]="","",SUMIF(BetTable[B3],(VLOOKUP(ROW()-3,BookieName[],2,FALSE)),BetTable[S3])*-1)</f>
        <v/>
      </c>
      <c r="H168" s="165" t="str">
        <f>IF(Data[[#This Row],[Bookie]]="","",SUMIF(BetTable[B1],(VLOOKUP(ROW()-3,BookieName[],2,FALSE)),BetTable[WBA1]))</f>
        <v/>
      </c>
      <c r="I168" s="165" t="str">
        <f>IF(Data[[#This Row],[Bookie]]="","",SUMIF(BetTable[B2],(VLOOKUP(ROW()-3,BookieName[],2,FALSE)),BetTable[WBA2]))</f>
        <v/>
      </c>
      <c r="J168" s="165" t="str">
        <f>IF(Data[[#This Row],[Bookie]]="","",SUMIF(BetTable[B3],(VLOOKUP(ROW()-3,BookieName[],2,FALSE)),BetTable[WBA3]))</f>
        <v/>
      </c>
      <c r="K168" s="166" t="str">
        <f>IF(Data[[#This Row],[Bookie]]="","",SUMIF(LayTable[Bookmaker],(VLOOKUP(ROW()-3,BookieName[],2,FALSE)),LayTable[BookieInnsats])*-1)</f>
        <v/>
      </c>
      <c r="L168" s="166" t="str">
        <f>IF(Data[[#This Row],[Bookie]]="","",SUMIF(LayTable[Lay-bookie],(VLOOKUP(ROW()-3,BookieName[],2,FALSE)),LayTable[LayLiability])*-1)</f>
        <v/>
      </c>
      <c r="M168" s="166" t="str">
        <f>IF(Data[[#This Row],[Bookie]]="","",SUMIF(LayTable[Bookmaker],(VLOOKUP(ROW()-3,BookieName[],2,FALSE)),LayTable[WBABack]))</f>
        <v/>
      </c>
      <c r="N168" s="166" t="str">
        <f>IF(Data[[#This Row],[Bookie]]="","",SUMIF(LayTable[Lay-bookie],(VLOOKUP(ROW()-3,BookieName[],2,FALSE)),LayTable[WBALay]))</f>
        <v/>
      </c>
      <c r="O168" s="166" t="str">
        <f>IF(Data[[#This Row],[Bookie]]="","",SUMIF(DWbonus[Bookie],(VLOOKUP(ROW()-3,BookieName[],2,FALSE)),DWbonus[Sum]))</f>
        <v/>
      </c>
      <c r="P168" s="166" t="str">
        <f>IF(Data[[#This Row],[Bookie]]="","",SUM(Data[[#This Row],[Pending 1]:[PendingL2]]))</f>
        <v/>
      </c>
      <c r="Q168" s="166" t="str">
        <f>IF(Data[[#This Row],[Bookie]]="","",SUMIFS(BetTable[S1],BetTable[B1],(VLOOKUP(ROW()-3,BookieName[],2,FALSE)),BetTable[AR],""))</f>
        <v/>
      </c>
      <c r="R168" s="166" t="str">
        <f>IF(Data[[#This Row],[Bookie]]="","",SUMIFS(BetTable[S2],BetTable[B2],(VLOOKUP(ROW()-3,BookieName[],2,FALSE)),BetTable[AR],""))</f>
        <v/>
      </c>
      <c r="S168" s="166" t="str">
        <f>IF(Data[[#This Row],[Bookie]]="","",SUMIFS(BetTable[S3],BetTable[B3],(VLOOKUP(ROW()-3,BookieName[],2,FALSE)),BetTable[AR],""))</f>
        <v/>
      </c>
      <c r="T168" s="166" t="str">
        <f>IF(Data[[#This Row],[Bookie]]="","",SUMIFS(LayTable[BookieInnsats],LayTable[Bookmaker],(VLOOKUP(ROW()-3,BookieName[],2,FALSE)),LayTable[Faktisk res],""))</f>
        <v/>
      </c>
      <c r="U168" s="166" t="str">
        <f>IF(Data[[#This Row],[Bookie]]="","",SUMIFS(LayTable[LayLiability],LayTable[Lay-bookie],(VLOOKUP(ROW()-3,BookieName[],2,FALSE)),LayTable[Faktisk res],""))</f>
        <v/>
      </c>
    </row>
    <row r="169" spans="1:21">
      <c r="A169" s="165">
        <f t="shared" si="9"/>
        <v>166</v>
      </c>
      <c r="B169" s="166" t="str">
        <f>IFERROR(VLOOKUP(ROW()-3,BookieName[],3,FALSE),"")</f>
        <v/>
      </c>
      <c r="C169" s="167" t="str">
        <f>IF(Data[[#This Row],[Bookie]]="","",SUM(Data[[#This Row],[D/W]:[Bonus and Adjustments]],))</f>
        <v/>
      </c>
      <c r="D169" s="167" t="str">
        <f>IF(Data[[#This Row],[Bookie]]="","",SUMIF(DWbooks[Bookmaker],(VLOOKUP(ROW()-3,BookieName[],2,FALSE)),DWbooks[Sum]))</f>
        <v/>
      </c>
      <c r="E169" s="165" t="str">
        <f>IF(Data[[#This Row],[Bookie]]="","",SUMIF(BetTable[B1],(VLOOKUP(ROW()-3,BookieName[],2,FALSE)),BetTable[S1])*-1)</f>
        <v/>
      </c>
      <c r="F169" s="165" t="str">
        <f>IF(Data[[#This Row],[Bookie]]="","",SUMIF(BetTable[B2],(VLOOKUP(ROW()-3,BookieName[],2,FALSE)),BetTable[S2])*-1)</f>
        <v/>
      </c>
      <c r="G169" s="165" t="str">
        <f>IF(Data[[#This Row],[Bookie]]="","",SUMIF(BetTable[B3],(VLOOKUP(ROW()-3,BookieName[],2,FALSE)),BetTable[S3])*-1)</f>
        <v/>
      </c>
      <c r="H169" s="165" t="str">
        <f>IF(Data[[#This Row],[Bookie]]="","",SUMIF(BetTable[B1],(VLOOKUP(ROW()-3,BookieName[],2,FALSE)),BetTable[WBA1]))</f>
        <v/>
      </c>
      <c r="I169" s="165" t="str">
        <f>IF(Data[[#This Row],[Bookie]]="","",SUMIF(BetTable[B2],(VLOOKUP(ROW()-3,BookieName[],2,FALSE)),BetTable[WBA2]))</f>
        <v/>
      </c>
      <c r="J169" s="165" t="str">
        <f>IF(Data[[#This Row],[Bookie]]="","",SUMIF(BetTable[B3],(VLOOKUP(ROW()-3,BookieName[],2,FALSE)),BetTable[WBA3]))</f>
        <v/>
      </c>
      <c r="K169" s="166" t="str">
        <f>IF(Data[[#This Row],[Bookie]]="","",SUMIF(LayTable[Bookmaker],(VLOOKUP(ROW()-3,BookieName[],2,FALSE)),LayTable[BookieInnsats])*-1)</f>
        <v/>
      </c>
      <c r="L169" s="166" t="str">
        <f>IF(Data[[#This Row],[Bookie]]="","",SUMIF(LayTable[Lay-bookie],(VLOOKUP(ROW()-3,BookieName[],2,FALSE)),LayTable[LayLiability])*-1)</f>
        <v/>
      </c>
      <c r="M169" s="166" t="str">
        <f>IF(Data[[#This Row],[Bookie]]="","",SUMIF(LayTable[Bookmaker],(VLOOKUP(ROW()-3,BookieName[],2,FALSE)),LayTable[WBABack]))</f>
        <v/>
      </c>
      <c r="N169" s="166" t="str">
        <f>IF(Data[[#This Row],[Bookie]]="","",SUMIF(LayTable[Lay-bookie],(VLOOKUP(ROW()-3,BookieName[],2,FALSE)),LayTable[WBALay]))</f>
        <v/>
      </c>
      <c r="O169" s="166" t="str">
        <f>IF(Data[[#This Row],[Bookie]]="","",SUMIF(DWbonus[Bookie],(VLOOKUP(ROW()-3,BookieName[],2,FALSE)),DWbonus[Sum]))</f>
        <v/>
      </c>
      <c r="P169" s="166" t="str">
        <f>IF(Data[[#This Row],[Bookie]]="","",SUM(Data[[#This Row],[Pending 1]:[PendingL2]]))</f>
        <v/>
      </c>
      <c r="Q169" s="166" t="str">
        <f>IF(Data[[#This Row],[Bookie]]="","",SUMIFS(BetTable[S1],BetTable[B1],(VLOOKUP(ROW()-3,BookieName[],2,FALSE)),BetTable[AR],""))</f>
        <v/>
      </c>
      <c r="R169" s="166" t="str">
        <f>IF(Data[[#This Row],[Bookie]]="","",SUMIFS(BetTable[S2],BetTable[B2],(VLOOKUP(ROW()-3,BookieName[],2,FALSE)),BetTable[AR],""))</f>
        <v/>
      </c>
      <c r="S169" s="166" t="str">
        <f>IF(Data[[#This Row],[Bookie]]="","",SUMIFS(BetTable[S3],BetTable[B3],(VLOOKUP(ROW()-3,BookieName[],2,FALSE)),BetTable[AR],""))</f>
        <v/>
      </c>
      <c r="T169" s="166" t="str">
        <f>IF(Data[[#This Row],[Bookie]]="","",SUMIFS(LayTable[BookieInnsats],LayTable[Bookmaker],(VLOOKUP(ROW()-3,BookieName[],2,FALSE)),LayTable[Faktisk res],""))</f>
        <v/>
      </c>
      <c r="U169" s="166" t="str">
        <f>IF(Data[[#This Row],[Bookie]]="","",SUMIFS(LayTable[LayLiability],LayTable[Lay-bookie],(VLOOKUP(ROW()-3,BookieName[],2,FALSE)),LayTable[Faktisk res],""))</f>
        <v/>
      </c>
    </row>
    <row r="170" spans="1:21">
      <c r="A170" s="165">
        <f t="shared" si="9"/>
        <v>167</v>
      </c>
      <c r="B170" s="166" t="str">
        <f>IFERROR(VLOOKUP(ROW()-3,BookieName[],3,FALSE),"")</f>
        <v/>
      </c>
      <c r="C170" s="167" t="str">
        <f>IF(Data[[#This Row],[Bookie]]="","",SUM(Data[[#This Row],[D/W]:[Bonus and Adjustments]],))</f>
        <v/>
      </c>
      <c r="D170" s="167" t="str">
        <f>IF(Data[[#This Row],[Bookie]]="","",SUMIF(DWbooks[Bookmaker],(VLOOKUP(ROW()-3,BookieName[],2,FALSE)),DWbooks[Sum]))</f>
        <v/>
      </c>
      <c r="E170" s="165" t="str">
        <f>IF(Data[[#This Row],[Bookie]]="","",SUMIF(BetTable[B1],(VLOOKUP(ROW()-3,BookieName[],2,FALSE)),BetTable[S1])*-1)</f>
        <v/>
      </c>
      <c r="F170" s="165" t="str">
        <f>IF(Data[[#This Row],[Bookie]]="","",SUMIF(BetTable[B2],(VLOOKUP(ROW()-3,BookieName[],2,FALSE)),BetTable[S2])*-1)</f>
        <v/>
      </c>
      <c r="G170" s="165" t="str">
        <f>IF(Data[[#This Row],[Bookie]]="","",SUMIF(BetTable[B3],(VLOOKUP(ROW()-3,BookieName[],2,FALSE)),BetTable[S3])*-1)</f>
        <v/>
      </c>
      <c r="H170" s="165" t="str">
        <f>IF(Data[[#This Row],[Bookie]]="","",SUMIF(BetTable[B1],(VLOOKUP(ROW()-3,BookieName[],2,FALSE)),BetTable[WBA1]))</f>
        <v/>
      </c>
      <c r="I170" s="165" t="str">
        <f>IF(Data[[#This Row],[Bookie]]="","",SUMIF(BetTable[B2],(VLOOKUP(ROW()-3,BookieName[],2,FALSE)),BetTable[WBA2]))</f>
        <v/>
      </c>
      <c r="J170" s="165" t="str">
        <f>IF(Data[[#This Row],[Bookie]]="","",SUMIF(BetTable[B3],(VLOOKUP(ROW()-3,BookieName[],2,FALSE)),BetTable[WBA3]))</f>
        <v/>
      </c>
      <c r="K170" s="166" t="str">
        <f>IF(Data[[#This Row],[Bookie]]="","",SUMIF(LayTable[Bookmaker],(VLOOKUP(ROW()-3,BookieName[],2,FALSE)),LayTable[BookieInnsats])*-1)</f>
        <v/>
      </c>
      <c r="L170" s="166" t="str">
        <f>IF(Data[[#This Row],[Bookie]]="","",SUMIF(LayTable[Lay-bookie],(VLOOKUP(ROW()-3,BookieName[],2,FALSE)),LayTable[LayLiability])*-1)</f>
        <v/>
      </c>
      <c r="M170" s="166" t="str">
        <f>IF(Data[[#This Row],[Bookie]]="","",SUMIF(LayTable[Bookmaker],(VLOOKUP(ROW()-3,BookieName[],2,FALSE)),LayTable[WBABack]))</f>
        <v/>
      </c>
      <c r="N170" s="166" t="str">
        <f>IF(Data[[#This Row],[Bookie]]="","",SUMIF(LayTable[Lay-bookie],(VLOOKUP(ROW()-3,BookieName[],2,FALSE)),LayTable[WBALay]))</f>
        <v/>
      </c>
      <c r="O170" s="166" t="str">
        <f>IF(Data[[#This Row],[Bookie]]="","",SUMIF(DWbonus[Bookie],(VLOOKUP(ROW()-3,BookieName[],2,FALSE)),DWbonus[Sum]))</f>
        <v/>
      </c>
      <c r="P170" s="166" t="str">
        <f>IF(Data[[#This Row],[Bookie]]="","",SUM(Data[[#This Row],[Pending 1]:[PendingL2]]))</f>
        <v/>
      </c>
      <c r="Q170" s="166" t="str">
        <f>IF(Data[[#This Row],[Bookie]]="","",SUMIFS(BetTable[S1],BetTable[B1],(VLOOKUP(ROW()-3,BookieName[],2,FALSE)),BetTable[AR],""))</f>
        <v/>
      </c>
      <c r="R170" s="166" t="str">
        <f>IF(Data[[#This Row],[Bookie]]="","",SUMIFS(BetTable[S2],BetTable[B2],(VLOOKUP(ROW()-3,BookieName[],2,FALSE)),BetTable[AR],""))</f>
        <v/>
      </c>
      <c r="S170" s="166" t="str">
        <f>IF(Data[[#This Row],[Bookie]]="","",SUMIFS(BetTable[S3],BetTable[B3],(VLOOKUP(ROW()-3,BookieName[],2,FALSE)),BetTable[AR],""))</f>
        <v/>
      </c>
      <c r="T170" s="166" t="str">
        <f>IF(Data[[#This Row],[Bookie]]="","",SUMIFS(LayTable[BookieInnsats],LayTable[Bookmaker],(VLOOKUP(ROW()-3,BookieName[],2,FALSE)),LayTable[Faktisk res],""))</f>
        <v/>
      </c>
      <c r="U170" s="166" t="str">
        <f>IF(Data[[#This Row],[Bookie]]="","",SUMIFS(LayTable[LayLiability],LayTable[Lay-bookie],(VLOOKUP(ROW()-3,BookieName[],2,FALSE)),LayTable[Faktisk res],""))</f>
        <v/>
      </c>
    </row>
    <row r="171" spans="1:21">
      <c r="A171" s="165">
        <f t="shared" si="9"/>
        <v>168</v>
      </c>
      <c r="B171" s="166" t="str">
        <f>IFERROR(VLOOKUP(ROW()-3,BookieName[],3,FALSE),"")</f>
        <v/>
      </c>
      <c r="C171" s="167" t="str">
        <f>IF(Data[[#This Row],[Bookie]]="","",SUM(Data[[#This Row],[D/W]:[Bonus and Adjustments]],))</f>
        <v/>
      </c>
      <c r="D171" s="167" t="str">
        <f>IF(Data[[#This Row],[Bookie]]="","",SUMIF(DWbooks[Bookmaker],(VLOOKUP(ROW()-3,BookieName[],2,FALSE)),DWbooks[Sum]))</f>
        <v/>
      </c>
      <c r="E171" s="165" t="str">
        <f>IF(Data[[#This Row],[Bookie]]="","",SUMIF(BetTable[B1],(VLOOKUP(ROW()-3,BookieName[],2,FALSE)),BetTable[S1])*-1)</f>
        <v/>
      </c>
      <c r="F171" s="165" t="str">
        <f>IF(Data[[#This Row],[Bookie]]="","",SUMIF(BetTable[B2],(VLOOKUP(ROW()-3,BookieName[],2,FALSE)),BetTable[S2])*-1)</f>
        <v/>
      </c>
      <c r="G171" s="165" t="str">
        <f>IF(Data[[#This Row],[Bookie]]="","",SUMIF(BetTable[B3],(VLOOKUP(ROW()-3,BookieName[],2,FALSE)),BetTable[S3])*-1)</f>
        <v/>
      </c>
      <c r="H171" s="165" t="str">
        <f>IF(Data[[#This Row],[Bookie]]="","",SUMIF(BetTable[B1],(VLOOKUP(ROW()-3,BookieName[],2,FALSE)),BetTable[WBA1]))</f>
        <v/>
      </c>
      <c r="I171" s="165" t="str">
        <f>IF(Data[[#This Row],[Bookie]]="","",SUMIF(BetTable[B2],(VLOOKUP(ROW()-3,BookieName[],2,FALSE)),BetTable[WBA2]))</f>
        <v/>
      </c>
      <c r="J171" s="165" t="str">
        <f>IF(Data[[#This Row],[Bookie]]="","",SUMIF(BetTable[B3],(VLOOKUP(ROW()-3,BookieName[],2,FALSE)),BetTable[WBA3]))</f>
        <v/>
      </c>
      <c r="K171" s="166" t="str">
        <f>IF(Data[[#This Row],[Bookie]]="","",SUMIF(LayTable[Bookmaker],(VLOOKUP(ROW()-3,BookieName[],2,FALSE)),LayTable[BookieInnsats])*-1)</f>
        <v/>
      </c>
      <c r="L171" s="166" t="str">
        <f>IF(Data[[#This Row],[Bookie]]="","",SUMIF(LayTable[Lay-bookie],(VLOOKUP(ROW()-3,BookieName[],2,FALSE)),LayTable[LayLiability])*-1)</f>
        <v/>
      </c>
      <c r="M171" s="166" t="str">
        <f>IF(Data[[#This Row],[Bookie]]="","",SUMIF(LayTable[Bookmaker],(VLOOKUP(ROW()-3,BookieName[],2,FALSE)),LayTable[WBABack]))</f>
        <v/>
      </c>
      <c r="N171" s="166" t="str">
        <f>IF(Data[[#This Row],[Bookie]]="","",SUMIF(LayTable[Lay-bookie],(VLOOKUP(ROW()-3,BookieName[],2,FALSE)),LayTable[WBALay]))</f>
        <v/>
      </c>
      <c r="O171" s="166" t="str">
        <f>IF(Data[[#This Row],[Bookie]]="","",SUMIF(DWbonus[Bookie],(VLOOKUP(ROW()-3,BookieName[],2,FALSE)),DWbonus[Sum]))</f>
        <v/>
      </c>
      <c r="P171" s="166" t="str">
        <f>IF(Data[[#This Row],[Bookie]]="","",SUM(Data[[#This Row],[Pending 1]:[PendingL2]]))</f>
        <v/>
      </c>
      <c r="Q171" s="166" t="str">
        <f>IF(Data[[#This Row],[Bookie]]="","",SUMIFS(BetTable[S1],BetTable[B1],(VLOOKUP(ROW()-3,BookieName[],2,FALSE)),BetTable[AR],""))</f>
        <v/>
      </c>
      <c r="R171" s="166" t="str">
        <f>IF(Data[[#This Row],[Bookie]]="","",SUMIFS(BetTable[S2],BetTable[B2],(VLOOKUP(ROW()-3,BookieName[],2,FALSE)),BetTable[AR],""))</f>
        <v/>
      </c>
      <c r="S171" s="166" t="str">
        <f>IF(Data[[#This Row],[Bookie]]="","",SUMIFS(BetTable[S3],BetTable[B3],(VLOOKUP(ROW()-3,BookieName[],2,FALSE)),BetTable[AR],""))</f>
        <v/>
      </c>
      <c r="T171" s="166" t="str">
        <f>IF(Data[[#This Row],[Bookie]]="","",SUMIFS(LayTable[BookieInnsats],LayTable[Bookmaker],(VLOOKUP(ROW()-3,BookieName[],2,FALSE)),LayTable[Faktisk res],""))</f>
        <v/>
      </c>
      <c r="U171" s="166" t="str">
        <f>IF(Data[[#This Row],[Bookie]]="","",SUMIFS(LayTable[LayLiability],LayTable[Lay-bookie],(VLOOKUP(ROW()-3,BookieName[],2,FALSE)),LayTable[Faktisk res],""))</f>
        <v/>
      </c>
    </row>
    <row r="172" spans="1:21">
      <c r="A172" s="165">
        <f t="shared" si="9"/>
        <v>169</v>
      </c>
      <c r="B172" s="166" t="str">
        <f>IFERROR(VLOOKUP(ROW()-3,BookieName[],3,FALSE),"")</f>
        <v/>
      </c>
      <c r="C172" s="167" t="str">
        <f>IF(Data[[#This Row],[Bookie]]="","",SUM(Data[[#This Row],[D/W]:[Bonus and Adjustments]],))</f>
        <v/>
      </c>
      <c r="D172" s="167" t="str">
        <f>IF(Data[[#This Row],[Bookie]]="","",SUMIF(DWbooks[Bookmaker],(VLOOKUP(ROW()-3,BookieName[],2,FALSE)),DWbooks[Sum]))</f>
        <v/>
      </c>
      <c r="E172" s="165" t="str">
        <f>IF(Data[[#This Row],[Bookie]]="","",SUMIF(BetTable[B1],(VLOOKUP(ROW()-3,BookieName[],2,FALSE)),BetTable[S1])*-1)</f>
        <v/>
      </c>
      <c r="F172" s="165" t="str">
        <f>IF(Data[[#This Row],[Bookie]]="","",SUMIF(BetTable[B2],(VLOOKUP(ROW()-3,BookieName[],2,FALSE)),BetTable[S2])*-1)</f>
        <v/>
      </c>
      <c r="G172" s="165" t="str">
        <f>IF(Data[[#This Row],[Bookie]]="","",SUMIF(BetTable[B3],(VLOOKUP(ROW()-3,BookieName[],2,FALSE)),BetTable[S3])*-1)</f>
        <v/>
      </c>
      <c r="H172" s="165" t="str">
        <f>IF(Data[[#This Row],[Bookie]]="","",SUMIF(BetTable[B1],(VLOOKUP(ROW()-3,BookieName[],2,FALSE)),BetTable[WBA1]))</f>
        <v/>
      </c>
      <c r="I172" s="165" t="str">
        <f>IF(Data[[#This Row],[Bookie]]="","",SUMIF(BetTable[B2],(VLOOKUP(ROW()-3,BookieName[],2,FALSE)),BetTable[WBA2]))</f>
        <v/>
      </c>
      <c r="J172" s="165" t="str">
        <f>IF(Data[[#This Row],[Bookie]]="","",SUMIF(BetTable[B3],(VLOOKUP(ROW()-3,BookieName[],2,FALSE)),BetTable[WBA3]))</f>
        <v/>
      </c>
      <c r="K172" s="166" t="str">
        <f>IF(Data[[#This Row],[Bookie]]="","",SUMIF(LayTable[Bookmaker],(VLOOKUP(ROW()-3,BookieName[],2,FALSE)),LayTable[BookieInnsats])*-1)</f>
        <v/>
      </c>
      <c r="L172" s="166" t="str">
        <f>IF(Data[[#This Row],[Bookie]]="","",SUMIF(LayTable[Lay-bookie],(VLOOKUP(ROW()-3,BookieName[],2,FALSE)),LayTable[LayLiability])*-1)</f>
        <v/>
      </c>
      <c r="M172" s="166" t="str">
        <f>IF(Data[[#This Row],[Bookie]]="","",SUMIF(LayTable[Bookmaker],(VLOOKUP(ROW()-3,BookieName[],2,FALSE)),LayTable[WBABack]))</f>
        <v/>
      </c>
      <c r="N172" s="166" t="str">
        <f>IF(Data[[#This Row],[Bookie]]="","",SUMIF(LayTable[Lay-bookie],(VLOOKUP(ROW()-3,BookieName[],2,FALSE)),LayTable[WBALay]))</f>
        <v/>
      </c>
      <c r="O172" s="166" t="str">
        <f>IF(Data[[#This Row],[Bookie]]="","",SUMIF(DWbonus[Bookie],(VLOOKUP(ROW()-3,BookieName[],2,FALSE)),DWbonus[Sum]))</f>
        <v/>
      </c>
      <c r="P172" s="166" t="str">
        <f>IF(Data[[#This Row],[Bookie]]="","",SUM(Data[[#This Row],[Pending 1]:[PendingL2]]))</f>
        <v/>
      </c>
      <c r="Q172" s="166" t="str">
        <f>IF(Data[[#This Row],[Bookie]]="","",SUMIFS(BetTable[S1],BetTable[B1],(VLOOKUP(ROW()-3,BookieName[],2,FALSE)),BetTable[AR],""))</f>
        <v/>
      </c>
      <c r="R172" s="166" t="str">
        <f>IF(Data[[#This Row],[Bookie]]="","",SUMIFS(BetTable[S2],BetTable[B2],(VLOOKUP(ROW()-3,BookieName[],2,FALSE)),BetTable[AR],""))</f>
        <v/>
      </c>
      <c r="S172" s="166" t="str">
        <f>IF(Data[[#This Row],[Bookie]]="","",SUMIFS(BetTable[S3],BetTable[B3],(VLOOKUP(ROW()-3,BookieName[],2,FALSE)),BetTable[AR],""))</f>
        <v/>
      </c>
      <c r="T172" s="166" t="str">
        <f>IF(Data[[#This Row],[Bookie]]="","",SUMIFS(LayTable[BookieInnsats],LayTable[Bookmaker],(VLOOKUP(ROW()-3,BookieName[],2,FALSE)),LayTable[Faktisk res],""))</f>
        <v/>
      </c>
      <c r="U172" s="166" t="str">
        <f>IF(Data[[#This Row],[Bookie]]="","",SUMIFS(LayTable[LayLiability],LayTable[Lay-bookie],(VLOOKUP(ROW()-3,BookieName[],2,FALSE)),LayTable[Faktisk res],""))</f>
        <v/>
      </c>
    </row>
    <row r="173" spans="1:21">
      <c r="A173" s="165">
        <f t="shared" si="9"/>
        <v>170</v>
      </c>
      <c r="B173" s="166" t="str">
        <f>IFERROR(VLOOKUP(ROW()-3,BookieName[],3,FALSE),"")</f>
        <v/>
      </c>
      <c r="C173" s="167" t="str">
        <f>IF(Data[[#This Row],[Bookie]]="","",SUM(Data[[#This Row],[D/W]:[Bonus and Adjustments]],))</f>
        <v/>
      </c>
      <c r="D173" s="167" t="str">
        <f>IF(Data[[#This Row],[Bookie]]="","",SUMIF(DWbooks[Bookmaker],(VLOOKUP(ROW()-3,BookieName[],2,FALSE)),DWbooks[Sum]))</f>
        <v/>
      </c>
      <c r="E173" s="165" t="str">
        <f>IF(Data[[#This Row],[Bookie]]="","",SUMIF(BetTable[B1],(VLOOKUP(ROW()-3,BookieName[],2,FALSE)),BetTable[S1])*-1)</f>
        <v/>
      </c>
      <c r="F173" s="165" t="str">
        <f>IF(Data[[#This Row],[Bookie]]="","",SUMIF(BetTable[B2],(VLOOKUP(ROW()-3,BookieName[],2,FALSE)),BetTable[S2])*-1)</f>
        <v/>
      </c>
      <c r="G173" s="165" t="str">
        <f>IF(Data[[#This Row],[Bookie]]="","",SUMIF(BetTable[B3],(VLOOKUP(ROW()-3,BookieName[],2,FALSE)),BetTable[S3])*-1)</f>
        <v/>
      </c>
      <c r="H173" s="165" t="str">
        <f>IF(Data[[#This Row],[Bookie]]="","",SUMIF(BetTable[B1],(VLOOKUP(ROW()-3,BookieName[],2,FALSE)),BetTable[WBA1]))</f>
        <v/>
      </c>
      <c r="I173" s="165" t="str">
        <f>IF(Data[[#This Row],[Bookie]]="","",SUMIF(BetTable[B2],(VLOOKUP(ROW()-3,BookieName[],2,FALSE)),BetTable[WBA2]))</f>
        <v/>
      </c>
      <c r="J173" s="165" t="str">
        <f>IF(Data[[#This Row],[Bookie]]="","",SUMIF(BetTable[B3],(VLOOKUP(ROW()-3,BookieName[],2,FALSE)),BetTable[WBA3]))</f>
        <v/>
      </c>
      <c r="K173" s="166" t="str">
        <f>IF(Data[[#This Row],[Bookie]]="","",SUMIF(LayTable[Bookmaker],(VLOOKUP(ROW()-3,BookieName[],2,FALSE)),LayTable[BookieInnsats])*-1)</f>
        <v/>
      </c>
      <c r="L173" s="166" t="str">
        <f>IF(Data[[#This Row],[Bookie]]="","",SUMIF(LayTable[Lay-bookie],(VLOOKUP(ROW()-3,BookieName[],2,FALSE)),LayTable[LayLiability])*-1)</f>
        <v/>
      </c>
      <c r="M173" s="166" t="str">
        <f>IF(Data[[#This Row],[Bookie]]="","",SUMIF(LayTable[Bookmaker],(VLOOKUP(ROW()-3,BookieName[],2,FALSE)),LayTable[WBABack]))</f>
        <v/>
      </c>
      <c r="N173" s="166" t="str">
        <f>IF(Data[[#This Row],[Bookie]]="","",SUMIF(LayTable[Lay-bookie],(VLOOKUP(ROW()-3,BookieName[],2,FALSE)),LayTable[WBALay]))</f>
        <v/>
      </c>
      <c r="O173" s="166" t="str">
        <f>IF(Data[[#This Row],[Bookie]]="","",SUMIF(DWbonus[Bookie],(VLOOKUP(ROW()-3,BookieName[],2,FALSE)),DWbonus[Sum]))</f>
        <v/>
      </c>
      <c r="P173" s="166" t="str">
        <f>IF(Data[[#This Row],[Bookie]]="","",SUM(Data[[#This Row],[Pending 1]:[PendingL2]]))</f>
        <v/>
      </c>
      <c r="Q173" s="166" t="str">
        <f>IF(Data[[#This Row],[Bookie]]="","",SUMIFS(BetTable[S1],BetTable[B1],(VLOOKUP(ROW()-3,BookieName[],2,FALSE)),BetTable[AR],""))</f>
        <v/>
      </c>
      <c r="R173" s="166" t="str">
        <f>IF(Data[[#This Row],[Bookie]]="","",SUMIFS(BetTable[S2],BetTable[B2],(VLOOKUP(ROW()-3,BookieName[],2,FALSE)),BetTable[AR],""))</f>
        <v/>
      </c>
      <c r="S173" s="166" t="str">
        <f>IF(Data[[#This Row],[Bookie]]="","",SUMIFS(BetTable[S3],BetTable[B3],(VLOOKUP(ROW()-3,BookieName[],2,FALSE)),BetTable[AR],""))</f>
        <v/>
      </c>
      <c r="T173" s="166" t="str">
        <f>IF(Data[[#This Row],[Bookie]]="","",SUMIFS(LayTable[BookieInnsats],LayTable[Bookmaker],(VLOOKUP(ROW()-3,BookieName[],2,FALSE)),LayTable[Faktisk res],""))</f>
        <v/>
      </c>
      <c r="U173" s="166" t="str">
        <f>IF(Data[[#This Row],[Bookie]]="","",SUMIFS(LayTable[LayLiability],LayTable[Lay-bookie],(VLOOKUP(ROW()-3,BookieName[],2,FALSE)),LayTable[Faktisk res],""))</f>
        <v/>
      </c>
    </row>
    <row r="174" spans="1:21">
      <c r="A174" s="165">
        <f t="shared" si="9"/>
        <v>171</v>
      </c>
      <c r="B174" s="166" t="str">
        <f>IFERROR(VLOOKUP(ROW()-3,BookieName[],3,FALSE),"")</f>
        <v/>
      </c>
      <c r="C174" s="167" t="str">
        <f>IF(Data[[#This Row],[Bookie]]="","",SUM(Data[[#This Row],[D/W]:[Bonus and Adjustments]],))</f>
        <v/>
      </c>
      <c r="D174" s="167" t="str">
        <f>IF(Data[[#This Row],[Bookie]]="","",SUMIF(DWbooks[Bookmaker],(VLOOKUP(ROW()-3,BookieName[],2,FALSE)),DWbooks[Sum]))</f>
        <v/>
      </c>
      <c r="E174" s="165" t="str">
        <f>IF(Data[[#This Row],[Bookie]]="","",SUMIF(BetTable[B1],(VLOOKUP(ROW()-3,BookieName[],2,FALSE)),BetTable[S1])*-1)</f>
        <v/>
      </c>
      <c r="F174" s="165" t="str">
        <f>IF(Data[[#This Row],[Bookie]]="","",SUMIF(BetTable[B2],(VLOOKUP(ROW()-3,BookieName[],2,FALSE)),BetTable[S2])*-1)</f>
        <v/>
      </c>
      <c r="G174" s="165" t="str">
        <f>IF(Data[[#This Row],[Bookie]]="","",SUMIF(BetTable[B3],(VLOOKUP(ROW()-3,BookieName[],2,FALSE)),BetTable[S3])*-1)</f>
        <v/>
      </c>
      <c r="H174" s="165" t="str">
        <f>IF(Data[[#This Row],[Bookie]]="","",SUMIF(BetTable[B1],(VLOOKUP(ROW()-3,BookieName[],2,FALSE)),BetTable[WBA1]))</f>
        <v/>
      </c>
      <c r="I174" s="165" t="str">
        <f>IF(Data[[#This Row],[Bookie]]="","",SUMIF(BetTable[B2],(VLOOKUP(ROW()-3,BookieName[],2,FALSE)),BetTable[WBA2]))</f>
        <v/>
      </c>
      <c r="J174" s="165" t="str">
        <f>IF(Data[[#This Row],[Bookie]]="","",SUMIF(BetTable[B3],(VLOOKUP(ROW()-3,BookieName[],2,FALSE)),BetTable[WBA3]))</f>
        <v/>
      </c>
      <c r="K174" s="166" t="str">
        <f>IF(Data[[#This Row],[Bookie]]="","",SUMIF(LayTable[Bookmaker],(VLOOKUP(ROW()-3,BookieName[],2,FALSE)),LayTable[BookieInnsats])*-1)</f>
        <v/>
      </c>
      <c r="L174" s="166" t="str">
        <f>IF(Data[[#This Row],[Bookie]]="","",SUMIF(LayTable[Lay-bookie],(VLOOKUP(ROW()-3,BookieName[],2,FALSE)),LayTable[LayLiability])*-1)</f>
        <v/>
      </c>
      <c r="M174" s="166" t="str">
        <f>IF(Data[[#This Row],[Bookie]]="","",SUMIF(LayTable[Bookmaker],(VLOOKUP(ROW()-3,BookieName[],2,FALSE)),LayTable[WBABack]))</f>
        <v/>
      </c>
      <c r="N174" s="166" t="str">
        <f>IF(Data[[#This Row],[Bookie]]="","",SUMIF(LayTable[Lay-bookie],(VLOOKUP(ROW()-3,BookieName[],2,FALSE)),LayTable[WBALay]))</f>
        <v/>
      </c>
      <c r="O174" s="166" t="str">
        <f>IF(Data[[#This Row],[Bookie]]="","",SUMIF(DWbonus[Bookie],(VLOOKUP(ROW()-3,BookieName[],2,FALSE)),DWbonus[Sum]))</f>
        <v/>
      </c>
      <c r="P174" s="166" t="str">
        <f>IF(Data[[#This Row],[Bookie]]="","",SUM(Data[[#This Row],[Pending 1]:[PendingL2]]))</f>
        <v/>
      </c>
      <c r="Q174" s="166" t="str">
        <f>IF(Data[[#This Row],[Bookie]]="","",SUMIFS(BetTable[S1],BetTable[B1],(VLOOKUP(ROW()-3,BookieName[],2,FALSE)),BetTable[AR],""))</f>
        <v/>
      </c>
      <c r="R174" s="166" t="str">
        <f>IF(Data[[#This Row],[Bookie]]="","",SUMIFS(BetTable[S2],BetTable[B2],(VLOOKUP(ROW()-3,BookieName[],2,FALSE)),BetTable[AR],""))</f>
        <v/>
      </c>
      <c r="S174" s="166" t="str">
        <f>IF(Data[[#This Row],[Bookie]]="","",SUMIFS(BetTable[S3],BetTable[B3],(VLOOKUP(ROW()-3,BookieName[],2,FALSE)),BetTable[AR],""))</f>
        <v/>
      </c>
      <c r="T174" s="166" t="str">
        <f>IF(Data[[#This Row],[Bookie]]="","",SUMIFS(LayTable[BookieInnsats],LayTable[Bookmaker],(VLOOKUP(ROW()-3,BookieName[],2,FALSE)),LayTable[Faktisk res],""))</f>
        <v/>
      </c>
      <c r="U174" s="166" t="str">
        <f>IF(Data[[#This Row],[Bookie]]="","",SUMIFS(LayTable[LayLiability],LayTable[Lay-bookie],(VLOOKUP(ROW()-3,BookieName[],2,FALSE)),LayTable[Faktisk res],""))</f>
        <v/>
      </c>
    </row>
    <row r="175" spans="1:21">
      <c r="A175" s="165">
        <f t="shared" si="9"/>
        <v>172</v>
      </c>
      <c r="B175" s="166" t="str">
        <f>IFERROR(VLOOKUP(ROW()-3,BookieName[],3,FALSE),"")</f>
        <v/>
      </c>
      <c r="C175" s="167" t="str">
        <f>IF(Data[[#This Row],[Bookie]]="","",SUM(Data[[#This Row],[D/W]:[Bonus and Adjustments]],))</f>
        <v/>
      </c>
      <c r="D175" s="167" t="str">
        <f>IF(Data[[#This Row],[Bookie]]="","",SUMIF(DWbooks[Bookmaker],(VLOOKUP(ROW()-3,BookieName[],2,FALSE)),DWbooks[Sum]))</f>
        <v/>
      </c>
      <c r="E175" s="165" t="str">
        <f>IF(Data[[#This Row],[Bookie]]="","",SUMIF(BetTable[B1],(VLOOKUP(ROW()-3,BookieName[],2,FALSE)),BetTable[S1])*-1)</f>
        <v/>
      </c>
      <c r="F175" s="165" t="str">
        <f>IF(Data[[#This Row],[Bookie]]="","",SUMIF(BetTable[B2],(VLOOKUP(ROW()-3,BookieName[],2,FALSE)),BetTable[S2])*-1)</f>
        <v/>
      </c>
      <c r="G175" s="165" t="str">
        <f>IF(Data[[#This Row],[Bookie]]="","",SUMIF(BetTable[B3],(VLOOKUP(ROW()-3,BookieName[],2,FALSE)),BetTable[S3])*-1)</f>
        <v/>
      </c>
      <c r="H175" s="165" t="str">
        <f>IF(Data[[#This Row],[Bookie]]="","",SUMIF(BetTable[B1],(VLOOKUP(ROW()-3,BookieName[],2,FALSE)),BetTable[WBA1]))</f>
        <v/>
      </c>
      <c r="I175" s="165" t="str">
        <f>IF(Data[[#This Row],[Bookie]]="","",SUMIF(BetTable[B2],(VLOOKUP(ROW()-3,BookieName[],2,FALSE)),BetTable[WBA2]))</f>
        <v/>
      </c>
      <c r="J175" s="165" t="str">
        <f>IF(Data[[#This Row],[Bookie]]="","",SUMIF(BetTable[B3],(VLOOKUP(ROW()-3,BookieName[],2,FALSE)),BetTable[WBA3]))</f>
        <v/>
      </c>
      <c r="K175" s="166" t="str">
        <f>IF(Data[[#This Row],[Bookie]]="","",SUMIF(LayTable[Bookmaker],(VLOOKUP(ROW()-3,BookieName[],2,FALSE)),LayTable[BookieInnsats])*-1)</f>
        <v/>
      </c>
      <c r="L175" s="166" t="str">
        <f>IF(Data[[#This Row],[Bookie]]="","",SUMIF(LayTable[Lay-bookie],(VLOOKUP(ROW()-3,BookieName[],2,FALSE)),LayTable[LayLiability])*-1)</f>
        <v/>
      </c>
      <c r="M175" s="166" t="str">
        <f>IF(Data[[#This Row],[Bookie]]="","",SUMIF(LayTable[Bookmaker],(VLOOKUP(ROW()-3,BookieName[],2,FALSE)),LayTable[WBABack]))</f>
        <v/>
      </c>
      <c r="N175" s="166" t="str">
        <f>IF(Data[[#This Row],[Bookie]]="","",SUMIF(LayTable[Lay-bookie],(VLOOKUP(ROW()-3,BookieName[],2,FALSE)),LayTable[WBALay]))</f>
        <v/>
      </c>
      <c r="O175" s="166" t="str">
        <f>IF(Data[[#This Row],[Bookie]]="","",SUMIF(DWbonus[Bookie],(VLOOKUP(ROW()-3,BookieName[],2,FALSE)),DWbonus[Sum]))</f>
        <v/>
      </c>
      <c r="P175" s="166" t="str">
        <f>IF(Data[[#This Row],[Bookie]]="","",SUM(Data[[#This Row],[Pending 1]:[PendingL2]]))</f>
        <v/>
      </c>
      <c r="Q175" s="166" t="str">
        <f>IF(Data[[#This Row],[Bookie]]="","",SUMIFS(BetTable[S1],BetTable[B1],(VLOOKUP(ROW()-3,BookieName[],2,FALSE)),BetTable[AR],""))</f>
        <v/>
      </c>
      <c r="R175" s="166" t="str">
        <f>IF(Data[[#This Row],[Bookie]]="","",SUMIFS(BetTable[S2],BetTable[B2],(VLOOKUP(ROW()-3,BookieName[],2,FALSE)),BetTable[AR],""))</f>
        <v/>
      </c>
      <c r="S175" s="166" t="str">
        <f>IF(Data[[#This Row],[Bookie]]="","",SUMIFS(BetTable[S3],BetTable[B3],(VLOOKUP(ROW()-3,BookieName[],2,FALSE)),BetTable[AR],""))</f>
        <v/>
      </c>
      <c r="T175" s="166" t="str">
        <f>IF(Data[[#This Row],[Bookie]]="","",SUMIFS(LayTable[BookieInnsats],LayTable[Bookmaker],(VLOOKUP(ROW()-3,BookieName[],2,FALSE)),LayTable[Faktisk res],""))</f>
        <v/>
      </c>
      <c r="U175" s="166" t="str">
        <f>IF(Data[[#This Row],[Bookie]]="","",SUMIFS(LayTable[LayLiability],LayTable[Lay-bookie],(VLOOKUP(ROW()-3,BookieName[],2,FALSE)),LayTable[Faktisk res],""))</f>
        <v/>
      </c>
    </row>
    <row r="176" spans="1:21">
      <c r="A176" s="165">
        <f t="shared" si="9"/>
        <v>173</v>
      </c>
      <c r="B176" s="166" t="str">
        <f>IFERROR(VLOOKUP(ROW()-3,BookieName[],3,FALSE),"")</f>
        <v/>
      </c>
      <c r="C176" s="167" t="str">
        <f>IF(Data[[#This Row],[Bookie]]="","",SUM(Data[[#This Row],[D/W]:[Bonus and Adjustments]],))</f>
        <v/>
      </c>
      <c r="D176" s="167" t="str">
        <f>IF(Data[[#This Row],[Bookie]]="","",SUMIF(DWbooks[Bookmaker],(VLOOKUP(ROW()-3,BookieName[],2,FALSE)),DWbooks[Sum]))</f>
        <v/>
      </c>
      <c r="E176" s="165" t="str">
        <f>IF(Data[[#This Row],[Bookie]]="","",SUMIF(BetTable[B1],(VLOOKUP(ROW()-3,BookieName[],2,FALSE)),BetTable[S1])*-1)</f>
        <v/>
      </c>
      <c r="F176" s="165" t="str">
        <f>IF(Data[[#This Row],[Bookie]]="","",SUMIF(BetTable[B2],(VLOOKUP(ROW()-3,BookieName[],2,FALSE)),BetTable[S2])*-1)</f>
        <v/>
      </c>
      <c r="G176" s="165" t="str">
        <f>IF(Data[[#This Row],[Bookie]]="","",SUMIF(BetTable[B3],(VLOOKUP(ROW()-3,BookieName[],2,FALSE)),BetTable[S3])*-1)</f>
        <v/>
      </c>
      <c r="H176" s="165" t="str">
        <f>IF(Data[[#This Row],[Bookie]]="","",SUMIF(BetTable[B1],(VLOOKUP(ROW()-3,BookieName[],2,FALSE)),BetTable[WBA1]))</f>
        <v/>
      </c>
      <c r="I176" s="165" t="str">
        <f>IF(Data[[#This Row],[Bookie]]="","",SUMIF(BetTable[B2],(VLOOKUP(ROW()-3,BookieName[],2,FALSE)),BetTable[WBA2]))</f>
        <v/>
      </c>
      <c r="J176" s="165" t="str">
        <f>IF(Data[[#This Row],[Bookie]]="","",SUMIF(BetTable[B3],(VLOOKUP(ROW()-3,BookieName[],2,FALSE)),BetTable[WBA3]))</f>
        <v/>
      </c>
      <c r="K176" s="166" t="str">
        <f>IF(Data[[#This Row],[Bookie]]="","",SUMIF(LayTable[Bookmaker],(VLOOKUP(ROW()-3,BookieName[],2,FALSE)),LayTable[BookieInnsats])*-1)</f>
        <v/>
      </c>
      <c r="L176" s="166" t="str">
        <f>IF(Data[[#This Row],[Bookie]]="","",SUMIF(LayTable[Lay-bookie],(VLOOKUP(ROW()-3,BookieName[],2,FALSE)),LayTable[LayLiability])*-1)</f>
        <v/>
      </c>
      <c r="M176" s="166" t="str">
        <f>IF(Data[[#This Row],[Bookie]]="","",SUMIF(LayTable[Bookmaker],(VLOOKUP(ROW()-3,BookieName[],2,FALSE)),LayTable[WBABack]))</f>
        <v/>
      </c>
      <c r="N176" s="166" t="str">
        <f>IF(Data[[#This Row],[Bookie]]="","",SUMIF(LayTable[Lay-bookie],(VLOOKUP(ROW()-3,BookieName[],2,FALSE)),LayTable[WBALay]))</f>
        <v/>
      </c>
      <c r="O176" s="166" t="str">
        <f>IF(Data[[#This Row],[Bookie]]="","",SUMIF(DWbonus[Bookie],(VLOOKUP(ROW()-3,BookieName[],2,FALSE)),DWbonus[Sum]))</f>
        <v/>
      </c>
      <c r="P176" s="166" t="str">
        <f>IF(Data[[#This Row],[Bookie]]="","",SUM(Data[[#This Row],[Pending 1]:[PendingL2]]))</f>
        <v/>
      </c>
      <c r="Q176" s="166" t="str">
        <f>IF(Data[[#This Row],[Bookie]]="","",SUMIFS(BetTable[S1],BetTable[B1],(VLOOKUP(ROW()-3,BookieName[],2,FALSE)),BetTable[AR],""))</f>
        <v/>
      </c>
      <c r="R176" s="166" t="str">
        <f>IF(Data[[#This Row],[Bookie]]="","",SUMIFS(BetTable[S2],BetTable[B2],(VLOOKUP(ROW()-3,BookieName[],2,FALSE)),BetTable[AR],""))</f>
        <v/>
      </c>
      <c r="S176" s="166" t="str">
        <f>IF(Data[[#This Row],[Bookie]]="","",SUMIFS(BetTable[S3],BetTable[B3],(VLOOKUP(ROW()-3,BookieName[],2,FALSE)),BetTable[AR],""))</f>
        <v/>
      </c>
      <c r="T176" s="166" t="str">
        <f>IF(Data[[#This Row],[Bookie]]="","",SUMIFS(LayTable[BookieInnsats],LayTable[Bookmaker],(VLOOKUP(ROW()-3,BookieName[],2,FALSE)),LayTable[Faktisk res],""))</f>
        <v/>
      </c>
      <c r="U176" s="166" t="str">
        <f>IF(Data[[#This Row],[Bookie]]="","",SUMIFS(LayTable[LayLiability],LayTable[Lay-bookie],(VLOOKUP(ROW()-3,BookieName[],2,FALSE)),LayTable[Faktisk res],""))</f>
        <v/>
      </c>
    </row>
    <row r="177" spans="1:21">
      <c r="A177" s="165">
        <f t="shared" si="9"/>
        <v>174</v>
      </c>
      <c r="B177" s="166" t="str">
        <f>IFERROR(VLOOKUP(ROW()-3,BookieName[],3,FALSE),"")</f>
        <v/>
      </c>
      <c r="C177" s="167" t="str">
        <f>IF(Data[[#This Row],[Bookie]]="","",SUM(Data[[#This Row],[D/W]:[Bonus and Adjustments]],))</f>
        <v/>
      </c>
      <c r="D177" s="167" t="str">
        <f>IF(Data[[#This Row],[Bookie]]="","",SUMIF(DWbooks[Bookmaker],(VLOOKUP(ROW()-3,BookieName[],2,FALSE)),DWbooks[Sum]))</f>
        <v/>
      </c>
      <c r="E177" s="165" t="str">
        <f>IF(Data[[#This Row],[Bookie]]="","",SUMIF(BetTable[B1],(VLOOKUP(ROW()-3,BookieName[],2,FALSE)),BetTable[S1])*-1)</f>
        <v/>
      </c>
      <c r="F177" s="165" t="str">
        <f>IF(Data[[#This Row],[Bookie]]="","",SUMIF(BetTable[B2],(VLOOKUP(ROW()-3,BookieName[],2,FALSE)),BetTable[S2])*-1)</f>
        <v/>
      </c>
      <c r="G177" s="165" t="str">
        <f>IF(Data[[#This Row],[Bookie]]="","",SUMIF(BetTable[B3],(VLOOKUP(ROW()-3,BookieName[],2,FALSE)),BetTable[S3])*-1)</f>
        <v/>
      </c>
      <c r="H177" s="165" t="str">
        <f>IF(Data[[#This Row],[Bookie]]="","",SUMIF(BetTable[B1],(VLOOKUP(ROW()-3,BookieName[],2,FALSE)),BetTable[WBA1]))</f>
        <v/>
      </c>
      <c r="I177" s="165" t="str">
        <f>IF(Data[[#This Row],[Bookie]]="","",SUMIF(BetTable[B2],(VLOOKUP(ROW()-3,BookieName[],2,FALSE)),BetTable[WBA2]))</f>
        <v/>
      </c>
      <c r="J177" s="165" t="str">
        <f>IF(Data[[#This Row],[Bookie]]="","",SUMIF(BetTable[B3],(VLOOKUP(ROW()-3,BookieName[],2,FALSE)),BetTable[WBA3]))</f>
        <v/>
      </c>
      <c r="K177" s="166" t="str">
        <f>IF(Data[[#This Row],[Bookie]]="","",SUMIF(LayTable[Bookmaker],(VLOOKUP(ROW()-3,BookieName[],2,FALSE)),LayTable[BookieInnsats])*-1)</f>
        <v/>
      </c>
      <c r="L177" s="166" t="str">
        <f>IF(Data[[#This Row],[Bookie]]="","",SUMIF(LayTable[Lay-bookie],(VLOOKUP(ROW()-3,BookieName[],2,FALSE)),LayTable[LayLiability])*-1)</f>
        <v/>
      </c>
      <c r="M177" s="166" t="str">
        <f>IF(Data[[#This Row],[Bookie]]="","",SUMIF(LayTable[Bookmaker],(VLOOKUP(ROW()-3,BookieName[],2,FALSE)),LayTable[WBABack]))</f>
        <v/>
      </c>
      <c r="N177" s="166" t="str">
        <f>IF(Data[[#This Row],[Bookie]]="","",SUMIF(LayTable[Lay-bookie],(VLOOKUP(ROW()-3,BookieName[],2,FALSE)),LayTable[WBALay]))</f>
        <v/>
      </c>
      <c r="O177" s="166" t="str">
        <f>IF(Data[[#This Row],[Bookie]]="","",SUMIF(DWbonus[Bookie],(VLOOKUP(ROW()-3,BookieName[],2,FALSE)),DWbonus[Sum]))</f>
        <v/>
      </c>
      <c r="P177" s="166" t="str">
        <f>IF(Data[[#This Row],[Bookie]]="","",SUM(Data[[#This Row],[Pending 1]:[PendingL2]]))</f>
        <v/>
      </c>
      <c r="Q177" s="166" t="str">
        <f>IF(Data[[#This Row],[Bookie]]="","",SUMIFS(BetTable[S1],BetTable[B1],(VLOOKUP(ROW()-3,BookieName[],2,FALSE)),BetTable[AR],""))</f>
        <v/>
      </c>
      <c r="R177" s="166" t="str">
        <f>IF(Data[[#This Row],[Bookie]]="","",SUMIFS(BetTable[S2],BetTable[B2],(VLOOKUP(ROW()-3,BookieName[],2,FALSE)),BetTable[AR],""))</f>
        <v/>
      </c>
      <c r="S177" s="166" t="str">
        <f>IF(Data[[#This Row],[Bookie]]="","",SUMIFS(BetTable[S3],BetTable[B3],(VLOOKUP(ROW()-3,BookieName[],2,FALSE)),BetTable[AR],""))</f>
        <v/>
      </c>
      <c r="T177" s="166" t="str">
        <f>IF(Data[[#This Row],[Bookie]]="","",SUMIFS(LayTable[BookieInnsats],LayTable[Bookmaker],(VLOOKUP(ROW()-3,BookieName[],2,FALSE)),LayTable[Faktisk res],""))</f>
        <v/>
      </c>
      <c r="U177" s="166" t="str">
        <f>IF(Data[[#This Row],[Bookie]]="","",SUMIFS(LayTable[LayLiability],LayTable[Lay-bookie],(VLOOKUP(ROW()-3,BookieName[],2,FALSE)),LayTable[Faktisk res],""))</f>
        <v/>
      </c>
    </row>
    <row r="178" spans="1:21">
      <c r="A178" s="165">
        <f t="shared" si="9"/>
        <v>175</v>
      </c>
      <c r="B178" s="166" t="str">
        <f>IFERROR(VLOOKUP(ROW()-3,BookieName[],3,FALSE),"")</f>
        <v/>
      </c>
      <c r="C178" s="167" t="str">
        <f>IF(Data[[#This Row],[Bookie]]="","",SUM(Data[[#This Row],[D/W]:[Bonus and Adjustments]],))</f>
        <v/>
      </c>
      <c r="D178" s="167" t="str">
        <f>IF(Data[[#This Row],[Bookie]]="","",SUMIF(DWbooks[Bookmaker],(VLOOKUP(ROW()-3,BookieName[],2,FALSE)),DWbooks[Sum]))</f>
        <v/>
      </c>
      <c r="E178" s="165" t="str">
        <f>IF(Data[[#This Row],[Bookie]]="","",SUMIF(BetTable[B1],(VLOOKUP(ROW()-3,BookieName[],2,FALSE)),BetTable[S1])*-1)</f>
        <v/>
      </c>
      <c r="F178" s="165" t="str">
        <f>IF(Data[[#This Row],[Bookie]]="","",SUMIF(BetTable[B2],(VLOOKUP(ROW()-3,BookieName[],2,FALSE)),BetTable[S2])*-1)</f>
        <v/>
      </c>
      <c r="G178" s="165" t="str">
        <f>IF(Data[[#This Row],[Bookie]]="","",SUMIF(BetTable[B3],(VLOOKUP(ROW()-3,BookieName[],2,FALSE)),BetTable[S3])*-1)</f>
        <v/>
      </c>
      <c r="H178" s="165" t="str">
        <f>IF(Data[[#This Row],[Bookie]]="","",SUMIF(BetTable[B1],(VLOOKUP(ROW()-3,BookieName[],2,FALSE)),BetTable[WBA1]))</f>
        <v/>
      </c>
      <c r="I178" s="165" t="str">
        <f>IF(Data[[#This Row],[Bookie]]="","",SUMIF(BetTable[B2],(VLOOKUP(ROW()-3,BookieName[],2,FALSE)),BetTable[WBA2]))</f>
        <v/>
      </c>
      <c r="J178" s="165" t="str">
        <f>IF(Data[[#This Row],[Bookie]]="","",SUMIF(BetTable[B3],(VLOOKUP(ROW()-3,BookieName[],2,FALSE)),BetTable[WBA3]))</f>
        <v/>
      </c>
      <c r="K178" s="166" t="str">
        <f>IF(Data[[#This Row],[Bookie]]="","",SUMIF(LayTable[Bookmaker],(VLOOKUP(ROW()-3,BookieName[],2,FALSE)),LayTable[BookieInnsats])*-1)</f>
        <v/>
      </c>
      <c r="L178" s="166" t="str">
        <f>IF(Data[[#This Row],[Bookie]]="","",SUMIF(LayTable[Lay-bookie],(VLOOKUP(ROW()-3,BookieName[],2,FALSE)),LayTable[LayLiability])*-1)</f>
        <v/>
      </c>
      <c r="M178" s="166" t="str">
        <f>IF(Data[[#This Row],[Bookie]]="","",SUMIF(LayTable[Bookmaker],(VLOOKUP(ROW()-3,BookieName[],2,FALSE)),LayTable[WBABack]))</f>
        <v/>
      </c>
      <c r="N178" s="166" t="str">
        <f>IF(Data[[#This Row],[Bookie]]="","",SUMIF(LayTable[Lay-bookie],(VLOOKUP(ROW()-3,BookieName[],2,FALSE)),LayTable[WBALay]))</f>
        <v/>
      </c>
      <c r="O178" s="166" t="str">
        <f>IF(Data[[#This Row],[Bookie]]="","",SUMIF(DWbonus[Bookie],(VLOOKUP(ROW()-3,BookieName[],2,FALSE)),DWbonus[Sum]))</f>
        <v/>
      </c>
      <c r="P178" s="166" t="str">
        <f>IF(Data[[#This Row],[Bookie]]="","",SUM(Data[[#This Row],[Pending 1]:[PendingL2]]))</f>
        <v/>
      </c>
      <c r="Q178" s="166" t="str">
        <f>IF(Data[[#This Row],[Bookie]]="","",SUMIFS(BetTable[S1],BetTable[B1],(VLOOKUP(ROW()-3,BookieName[],2,FALSE)),BetTable[AR],""))</f>
        <v/>
      </c>
      <c r="R178" s="166" t="str">
        <f>IF(Data[[#This Row],[Bookie]]="","",SUMIFS(BetTable[S2],BetTable[B2],(VLOOKUP(ROW()-3,BookieName[],2,FALSE)),BetTable[AR],""))</f>
        <v/>
      </c>
      <c r="S178" s="166" t="str">
        <f>IF(Data[[#This Row],[Bookie]]="","",SUMIFS(BetTable[S3],BetTable[B3],(VLOOKUP(ROW()-3,BookieName[],2,FALSE)),BetTable[AR],""))</f>
        <v/>
      </c>
      <c r="T178" s="166" t="str">
        <f>IF(Data[[#This Row],[Bookie]]="","",SUMIFS(LayTable[BookieInnsats],LayTable[Bookmaker],(VLOOKUP(ROW()-3,BookieName[],2,FALSE)),LayTable[Faktisk res],""))</f>
        <v/>
      </c>
      <c r="U178" s="166" t="str">
        <f>IF(Data[[#This Row],[Bookie]]="","",SUMIFS(LayTable[LayLiability],LayTable[Lay-bookie],(VLOOKUP(ROW()-3,BookieName[],2,FALSE)),LayTable[Faktisk res],""))</f>
        <v/>
      </c>
    </row>
    <row r="179" spans="1:21">
      <c r="A179" s="165">
        <f t="shared" si="9"/>
        <v>176</v>
      </c>
      <c r="B179" s="166" t="str">
        <f>IFERROR(VLOOKUP(ROW()-3,BookieName[],3,FALSE),"")</f>
        <v/>
      </c>
      <c r="C179" s="167" t="str">
        <f>IF(Data[[#This Row],[Bookie]]="","",SUM(Data[[#This Row],[D/W]:[Bonus and Adjustments]],))</f>
        <v/>
      </c>
      <c r="D179" s="167" t="str">
        <f>IF(Data[[#This Row],[Bookie]]="","",SUMIF(DWbooks[Bookmaker],(VLOOKUP(ROW()-3,BookieName[],2,FALSE)),DWbooks[Sum]))</f>
        <v/>
      </c>
      <c r="E179" s="165" t="str">
        <f>IF(Data[[#This Row],[Bookie]]="","",SUMIF(BetTable[B1],(VLOOKUP(ROW()-3,BookieName[],2,FALSE)),BetTable[S1])*-1)</f>
        <v/>
      </c>
      <c r="F179" s="165" t="str">
        <f>IF(Data[[#This Row],[Bookie]]="","",SUMIF(BetTable[B2],(VLOOKUP(ROW()-3,BookieName[],2,FALSE)),BetTable[S2])*-1)</f>
        <v/>
      </c>
      <c r="G179" s="165" t="str">
        <f>IF(Data[[#This Row],[Bookie]]="","",SUMIF(BetTable[B3],(VLOOKUP(ROW()-3,BookieName[],2,FALSE)),BetTable[S3])*-1)</f>
        <v/>
      </c>
      <c r="H179" s="165" t="str">
        <f>IF(Data[[#This Row],[Bookie]]="","",SUMIF(BetTable[B1],(VLOOKUP(ROW()-3,BookieName[],2,FALSE)),BetTable[WBA1]))</f>
        <v/>
      </c>
      <c r="I179" s="165" t="str">
        <f>IF(Data[[#This Row],[Bookie]]="","",SUMIF(BetTable[B2],(VLOOKUP(ROW()-3,BookieName[],2,FALSE)),BetTable[WBA2]))</f>
        <v/>
      </c>
      <c r="J179" s="165" t="str">
        <f>IF(Data[[#This Row],[Bookie]]="","",SUMIF(BetTable[B3],(VLOOKUP(ROW()-3,BookieName[],2,FALSE)),BetTable[WBA3]))</f>
        <v/>
      </c>
      <c r="K179" s="166" t="str">
        <f>IF(Data[[#This Row],[Bookie]]="","",SUMIF(LayTable[Bookmaker],(VLOOKUP(ROW()-3,BookieName[],2,FALSE)),LayTable[BookieInnsats])*-1)</f>
        <v/>
      </c>
      <c r="L179" s="166" t="str">
        <f>IF(Data[[#This Row],[Bookie]]="","",SUMIF(LayTable[Lay-bookie],(VLOOKUP(ROW()-3,BookieName[],2,FALSE)),LayTable[LayLiability])*-1)</f>
        <v/>
      </c>
      <c r="M179" s="166" t="str">
        <f>IF(Data[[#This Row],[Bookie]]="","",SUMIF(LayTable[Bookmaker],(VLOOKUP(ROW()-3,BookieName[],2,FALSE)),LayTable[WBABack]))</f>
        <v/>
      </c>
      <c r="N179" s="166" t="str">
        <f>IF(Data[[#This Row],[Bookie]]="","",SUMIF(LayTable[Lay-bookie],(VLOOKUP(ROW()-3,BookieName[],2,FALSE)),LayTable[WBALay]))</f>
        <v/>
      </c>
      <c r="O179" s="166" t="str">
        <f>IF(Data[[#This Row],[Bookie]]="","",SUMIF(DWbonus[Bookie],(VLOOKUP(ROW()-3,BookieName[],2,FALSE)),DWbonus[Sum]))</f>
        <v/>
      </c>
      <c r="P179" s="166" t="str">
        <f>IF(Data[[#This Row],[Bookie]]="","",SUM(Data[[#This Row],[Pending 1]:[PendingL2]]))</f>
        <v/>
      </c>
      <c r="Q179" s="166" t="str">
        <f>IF(Data[[#This Row],[Bookie]]="","",SUMIFS(BetTable[S1],BetTable[B1],(VLOOKUP(ROW()-3,BookieName[],2,FALSE)),BetTable[AR],""))</f>
        <v/>
      </c>
      <c r="R179" s="166" t="str">
        <f>IF(Data[[#This Row],[Bookie]]="","",SUMIFS(BetTable[S2],BetTable[B2],(VLOOKUP(ROW()-3,BookieName[],2,FALSE)),BetTable[AR],""))</f>
        <v/>
      </c>
      <c r="S179" s="166" t="str">
        <f>IF(Data[[#This Row],[Bookie]]="","",SUMIFS(BetTable[S3],BetTable[B3],(VLOOKUP(ROW()-3,BookieName[],2,FALSE)),BetTable[AR],""))</f>
        <v/>
      </c>
      <c r="T179" s="166" t="str">
        <f>IF(Data[[#This Row],[Bookie]]="","",SUMIFS(LayTable[BookieInnsats],LayTable[Bookmaker],(VLOOKUP(ROW()-3,BookieName[],2,FALSE)),LayTable[Faktisk res],""))</f>
        <v/>
      </c>
      <c r="U179" s="166" t="str">
        <f>IF(Data[[#This Row],[Bookie]]="","",SUMIFS(LayTable[LayLiability],LayTable[Lay-bookie],(VLOOKUP(ROW()-3,BookieName[],2,FALSE)),LayTable[Faktisk res],""))</f>
        <v/>
      </c>
    </row>
    <row r="180" spans="1:21">
      <c r="A180" s="165">
        <f t="shared" si="9"/>
        <v>177</v>
      </c>
      <c r="B180" s="166" t="str">
        <f>IFERROR(VLOOKUP(ROW()-3,BookieName[],3,FALSE),"")</f>
        <v/>
      </c>
      <c r="C180" s="167" t="str">
        <f>IF(Data[[#This Row],[Bookie]]="","",SUM(Data[[#This Row],[D/W]:[Bonus and Adjustments]],))</f>
        <v/>
      </c>
      <c r="D180" s="167" t="str">
        <f>IF(Data[[#This Row],[Bookie]]="","",SUMIF(DWbooks[Bookmaker],(VLOOKUP(ROW()-3,BookieName[],2,FALSE)),DWbooks[Sum]))</f>
        <v/>
      </c>
      <c r="E180" s="165" t="str">
        <f>IF(Data[[#This Row],[Bookie]]="","",SUMIF(BetTable[B1],(VLOOKUP(ROW()-3,BookieName[],2,FALSE)),BetTable[S1])*-1)</f>
        <v/>
      </c>
      <c r="F180" s="165" t="str">
        <f>IF(Data[[#This Row],[Bookie]]="","",SUMIF(BetTable[B2],(VLOOKUP(ROW()-3,BookieName[],2,FALSE)),BetTable[S2])*-1)</f>
        <v/>
      </c>
      <c r="G180" s="165" t="str">
        <f>IF(Data[[#This Row],[Bookie]]="","",SUMIF(BetTable[B3],(VLOOKUP(ROW()-3,BookieName[],2,FALSE)),BetTable[S3])*-1)</f>
        <v/>
      </c>
      <c r="H180" s="165" t="str">
        <f>IF(Data[[#This Row],[Bookie]]="","",SUMIF(BetTable[B1],(VLOOKUP(ROW()-3,BookieName[],2,FALSE)),BetTable[WBA1]))</f>
        <v/>
      </c>
      <c r="I180" s="165" t="str">
        <f>IF(Data[[#This Row],[Bookie]]="","",SUMIF(BetTable[B2],(VLOOKUP(ROW()-3,BookieName[],2,FALSE)),BetTable[WBA2]))</f>
        <v/>
      </c>
      <c r="J180" s="165" t="str">
        <f>IF(Data[[#This Row],[Bookie]]="","",SUMIF(BetTable[B3],(VLOOKUP(ROW()-3,BookieName[],2,FALSE)),BetTable[WBA3]))</f>
        <v/>
      </c>
      <c r="K180" s="166" t="str">
        <f>IF(Data[[#This Row],[Bookie]]="","",SUMIF(LayTable[Bookmaker],(VLOOKUP(ROW()-3,BookieName[],2,FALSE)),LayTable[BookieInnsats])*-1)</f>
        <v/>
      </c>
      <c r="L180" s="166" t="str">
        <f>IF(Data[[#This Row],[Bookie]]="","",SUMIF(LayTable[Lay-bookie],(VLOOKUP(ROW()-3,BookieName[],2,FALSE)),LayTable[LayLiability])*-1)</f>
        <v/>
      </c>
      <c r="M180" s="166" t="str">
        <f>IF(Data[[#This Row],[Bookie]]="","",SUMIF(LayTable[Bookmaker],(VLOOKUP(ROW()-3,BookieName[],2,FALSE)),LayTable[WBABack]))</f>
        <v/>
      </c>
      <c r="N180" s="166" t="str">
        <f>IF(Data[[#This Row],[Bookie]]="","",SUMIF(LayTable[Lay-bookie],(VLOOKUP(ROW()-3,BookieName[],2,FALSE)),LayTable[WBALay]))</f>
        <v/>
      </c>
      <c r="O180" s="166" t="str">
        <f>IF(Data[[#This Row],[Bookie]]="","",SUMIF(DWbonus[Bookie],(VLOOKUP(ROW()-3,BookieName[],2,FALSE)),DWbonus[Sum]))</f>
        <v/>
      </c>
      <c r="P180" s="166" t="str">
        <f>IF(Data[[#This Row],[Bookie]]="","",SUM(Data[[#This Row],[Pending 1]:[PendingL2]]))</f>
        <v/>
      </c>
      <c r="Q180" s="166" t="str">
        <f>IF(Data[[#This Row],[Bookie]]="","",SUMIFS(BetTable[S1],BetTable[B1],(VLOOKUP(ROW()-3,BookieName[],2,FALSE)),BetTable[AR],""))</f>
        <v/>
      </c>
      <c r="R180" s="166" t="str">
        <f>IF(Data[[#This Row],[Bookie]]="","",SUMIFS(BetTable[S2],BetTable[B2],(VLOOKUP(ROW()-3,BookieName[],2,FALSE)),BetTable[AR],""))</f>
        <v/>
      </c>
      <c r="S180" s="166" t="str">
        <f>IF(Data[[#This Row],[Bookie]]="","",SUMIFS(BetTable[S3],BetTable[B3],(VLOOKUP(ROW()-3,BookieName[],2,FALSE)),BetTable[AR],""))</f>
        <v/>
      </c>
      <c r="T180" s="166" t="str">
        <f>IF(Data[[#This Row],[Bookie]]="","",SUMIFS(LayTable[BookieInnsats],LayTable[Bookmaker],(VLOOKUP(ROW()-3,BookieName[],2,FALSE)),LayTable[Faktisk res],""))</f>
        <v/>
      </c>
      <c r="U180" s="166" t="str">
        <f>IF(Data[[#This Row],[Bookie]]="","",SUMIFS(LayTable[LayLiability],LayTable[Lay-bookie],(VLOOKUP(ROW()-3,BookieName[],2,FALSE)),LayTable[Faktisk res],""))</f>
        <v/>
      </c>
    </row>
    <row r="181" spans="1:21">
      <c r="A181" s="165">
        <f t="shared" si="9"/>
        <v>178</v>
      </c>
      <c r="B181" s="166" t="str">
        <f>IFERROR(VLOOKUP(ROW()-3,BookieName[],3,FALSE),"")</f>
        <v/>
      </c>
      <c r="C181" s="167" t="str">
        <f>IF(Data[[#This Row],[Bookie]]="","",SUM(Data[[#This Row],[D/W]:[Bonus and Adjustments]],))</f>
        <v/>
      </c>
      <c r="D181" s="167" t="str">
        <f>IF(Data[[#This Row],[Bookie]]="","",SUMIF(DWbooks[Bookmaker],(VLOOKUP(ROW()-3,BookieName[],2,FALSE)),DWbooks[Sum]))</f>
        <v/>
      </c>
      <c r="E181" s="165" t="str">
        <f>IF(Data[[#This Row],[Bookie]]="","",SUMIF(BetTable[B1],(VLOOKUP(ROW()-3,BookieName[],2,FALSE)),BetTable[S1])*-1)</f>
        <v/>
      </c>
      <c r="F181" s="165" t="str">
        <f>IF(Data[[#This Row],[Bookie]]="","",SUMIF(BetTable[B2],(VLOOKUP(ROW()-3,BookieName[],2,FALSE)),BetTable[S2])*-1)</f>
        <v/>
      </c>
      <c r="G181" s="165" t="str">
        <f>IF(Data[[#This Row],[Bookie]]="","",SUMIF(BetTable[B3],(VLOOKUP(ROW()-3,BookieName[],2,FALSE)),BetTable[S3])*-1)</f>
        <v/>
      </c>
      <c r="H181" s="165" t="str">
        <f>IF(Data[[#This Row],[Bookie]]="","",SUMIF(BetTable[B1],(VLOOKUP(ROW()-3,BookieName[],2,FALSE)),BetTable[WBA1]))</f>
        <v/>
      </c>
      <c r="I181" s="165" t="str">
        <f>IF(Data[[#This Row],[Bookie]]="","",SUMIF(BetTable[B2],(VLOOKUP(ROW()-3,BookieName[],2,FALSE)),BetTable[WBA2]))</f>
        <v/>
      </c>
      <c r="J181" s="165" t="str">
        <f>IF(Data[[#This Row],[Bookie]]="","",SUMIF(BetTable[B3],(VLOOKUP(ROW()-3,BookieName[],2,FALSE)),BetTable[WBA3]))</f>
        <v/>
      </c>
      <c r="K181" s="166" t="str">
        <f>IF(Data[[#This Row],[Bookie]]="","",SUMIF(LayTable[Bookmaker],(VLOOKUP(ROW()-3,BookieName[],2,FALSE)),LayTable[BookieInnsats])*-1)</f>
        <v/>
      </c>
      <c r="L181" s="166" t="str">
        <f>IF(Data[[#This Row],[Bookie]]="","",SUMIF(LayTable[Lay-bookie],(VLOOKUP(ROW()-3,BookieName[],2,FALSE)),LayTable[LayLiability])*-1)</f>
        <v/>
      </c>
      <c r="M181" s="166" t="str">
        <f>IF(Data[[#This Row],[Bookie]]="","",SUMIF(LayTable[Bookmaker],(VLOOKUP(ROW()-3,BookieName[],2,FALSE)),LayTable[WBABack]))</f>
        <v/>
      </c>
      <c r="N181" s="166" t="str">
        <f>IF(Data[[#This Row],[Bookie]]="","",SUMIF(LayTable[Lay-bookie],(VLOOKUP(ROW()-3,BookieName[],2,FALSE)),LayTable[WBALay]))</f>
        <v/>
      </c>
      <c r="O181" s="166" t="str">
        <f>IF(Data[[#This Row],[Bookie]]="","",SUMIF(DWbonus[Bookie],(VLOOKUP(ROW()-3,BookieName[],2,FALSE)),DWbonus[Sum]))</f>
        <v/>
      </c>
      <c r="P181" s="166" t="str">
        <f>IF(Data[[#This Row],[Bookie]]="","",SUM(Data[[#This Row],[Pending 1]:[PendingL2]]))</f>
        <v/>
      </c>
      <c r="Q181" s="166" t="str">
        <f>IF(Data[[#This Row],[Bookie]]="","",SUMIFS(BetTable[S1],BetTable[B1],(VLOOKUP(ROW()-3,BookieName[],2,FALSE)),BetTable[AR],""))</f>
        <v/>
      </c>
      <c r="R181" s="166" t="str">
        <f>IF(Data[[#This Row],[Bookie]]="","",SUMIFS(BetTable[S2],BetTable[B2],(VLOOKUP(ROW()-3,BookieName[],2,FALSE)),BetTable[AR],""))</f>
        <v/>
      </c>
      <c r="S181" s="166" t="str">
        <f>IF(Data[[#This Row],[Bookie]]="","",SUMIFS(BetTable[S3],BetTable[B3],(VLOOKUP(ROW()-3,BookieName[],2,FALSE)),BetTable[AR],""))</f>
        <v/>
      </c>
      <c r="T181" s="166" t="str">
        <f>IF(Data[[#This Row],[Bookie]]="","",SUMIFS(LayTable[BookieInnsats],LayTable[Bookmaker],(VLOOKUP(ROW()-3,BookieName[],2,FALSE)),LayTable[Faktisk res],""))</f>
        <v/>
      </c>
      <c r="U181" s="166" t="str">
        <f>IF(Data[[#This Row],[Bookie]]="","",SUMIFS(LayTable[LayLiability],LayTable[Lay-bookie],(VLOOKUP(ROW()-3,BookieName[],2,FALSE)),LayTable[Faktisk res],""))</f>
        <v/>
      </c>
    </row>
    <row r="182" spans="1:21">
      <c r="A182" s="165">
        <f t="shared" si="9"/>
        <v>179</v>
      </c>
      <c r="B182" s="166" t="str">
        <f>IFERROR(VLOOKUP(ROW()-3,BookieName[],3,FALSE),"")</f>
        <v/>
      </c>
      <c r="C182" s="167" t="str">
        <f>IF(Data[[#This Row],[Bookie]]="","",SUM(Data[[#This Row],[D/W]:[Bonus and Adjustments]],))</f>
        <v/>
      </c>
      <c r="D182" s="167" t="str">
        <f>IF(Data[[#This Row],[Bookie]]="","",SUMIF(DWbooks[Bookmaker],(VLOOKUP(ROW()-3,BookieName[],2,FALSE)),DWbooks[Sum]))</f>
        <v/>
      </c>
      <c r="E182" s="165" t="str">
        <f>IF(Data[[#This Row],[Bookie]]="","",SUMIF(BetTable[B1],(VLOOKUP(ROW()-3,BookieName[],2,FALSE)),BetTable[S1])*-1)</f>
        <v/>
      </c>
      <c r="F182" s="165" t="str">
        <f>IF(Data[[#This Row],[Bookie]]="","",SUMIF(BetTable[B2],(VLOOKUP(ROW()-3,BookieName[],2,FALSE)),BetTable[S2])*-1)</f>
        <v/>
      </c>
      <c r="G182" s="165" t="str">
        <f>IF(Data[[#This Row],[Bookie]]="","",SUMIF(BetTable[B3],(VLOOKUP(ROW()-3,BookieName[],2,FALSE)),BetTable[S3])*-1)</f>
        <v/>
      </c>
      <c r="H182" s="165" t="str">
        <f>IF(Data[[#This Row],[Bookie]]="","",SUMIF(BetTable[B1],(VLOOKUP(ROW()-3,BookieName[],2,FALSE)),BetTable[WBA1]))</f>
        <v/>
      </c>
      <c r="I182" s="165" t="str">
        <f>IF(Data[[#This Row],[Bookie]]="","",SUMIF(BetTable[B2],(VLOOKUP(ROW()-3,BookieName[],2,FALSE)),BetTable[WBA2]))</f>
        <v/>
      </c>
      <c r="J182" s="165" t="str">
        <f>IF(Data[[#This Row],[Bookie]]="","",SUMIF(BetTable[B3],(VLOOKUP(ROW()-3,BookieName[],2,FALSE)),BetTable[WBA3]))</f>
        <v/>
      </c>
      <c r="K182" s="166" t="str">
        <f>IF(Data[[#This Row],[Bookie]]="","",SUMIF(LayTable[Bookmaker],(VLOOKUP(ROW()-3,BookieName[],2,FALSE)),LayTable[BookieInnsats])*-1)</f>
        <v/>
      </c>
      <c r="L182" s="166" t="str">
        <f>IF(Data[[#This Row],[Bookie]]="","",SUMIF(LayTable[Lay-bookie],(VLOOKUP(ROW()-3,BookieName[],2,FALSE)),LayTable[LayLiability])*-1)</f>
        <v/>
      </c>
      <c r="M182" s="166" t="str">
        <f>IF(Data[[#This Row],[Bookie]]="","",SUMIF(LayTable[Bookmaker],(VLOOKUP(ROW()-3,BookieName[],2,FALSE)),LayTable[WBABack]))</f>
        <v/>
      </c>
      <c r="N182" s="166" t="str">
        <f>IF(Data[[#This Row],[Bookie]]="","",SUMIF(LayTable[Lay-bookie],(VLOOKUP(ROW()-3,BookieName[],2,FALSE)),LayTable[WBALay]))</f>
        <v/>
      </c>
      <c r="O182" s="166" t="str">
        <f>IF(Data[[#This Row],[Bookie]]="","",SUMIF(DWbonus[Bookie],(VLOOKUP(ROW()-3,BookieName[],2,FALSE)),DWbonus[Sum]))</f>
        <v/>
      </c>
      <c r="P182" s="166" t="str">
        <f>IF(Data[[#This Row],[Bookie]]="","",SUM(Data[[#This Row],[Pending 1]:[PendingL2]]))</f>
        <v/>
      </c>
      <c r="Q182" s="166" t="str">
        <f>IF(Data[[#This Row],[Bookie]]="","",SUMIFS(BetTable[S1],BetTable[B1],(VLOOKUP(ROW()-3,BookieName[],2,FALSE)),BetTable[AR],""))</f>
        <v/>
      </c>
      <c r="R182" s="166" t="str">
        <f>IF(Data[[#This Row],[Bookie]]="","",SUMIFS(BetTable[S2],BetTable[B2],(VLOOKUP(ROW()-3,BookieName[],2,FALSE)),BetTable[AR],""))</f>
        <v/>
      </c>
      <c r="S182" s="166" t="str">
        <f>IF(Data[[#This Row],[Bookie]]="","",SUMIFS(BetTable[S3],BetTable[B3],(VLOOKUP(ROW()-3,BookieName[],2,FALSE)),BetTable[AR],""))</f>
        <v/>
      </c>
      <c r="T182" s="166" t="str">
        <f>IF(Data[[#This Row],[Bookie]]="","",SUMIFS(LayTable[BookieInnsats],LayTable[Bookmaker],(VLOOKUP(ROW()-3,BookieName[],2,FALSE)),LayTable[Faktisk res],""))</f>
        <v/>
      </c>
      <c r="U182" s="166" t="str">
        <f>IF(Data[[#This Row],[Bookie]]="","",SUMIFS(LayTable[LayLiability],LayTable[Lay-bookie],(VLOOKUP(ROW()-3,BookieName[],2,FALSE)),LayTable[Faktisk res],""))</f>
        <v/>
      </c>
    </row>
    <row r="183" spans="1:21">
      <c r="A183" s="165">
        <f t="shared" si="9"/>
        <v>180</v>
      </c>
      <c r="B183" s="166" t="str">
        <f>IFERROR(VLOOKUP(ROW()-3,BookieName[],3,FALSE),"")</f>
        <v/>
      </c>
      <c r="C183" s="167" t="str">
        <f>IF(Data[[#This Row],[Bookie]]="","",SUM(Data[[#This Row],[D/W]:[Bonus and Adjustments]],))</f>
        <v/>
      </c>
      <c r="D183" s="167" t="str">
        <f>IF(Data[[#This Row],[Bookie]]="","",SUMIF(DWbooks[Bookmaker],(VLOOKUP(ROW()-3,BookieName[],2,FALSE)),DWbooks[Sum]))</f>
        <v/>
      </c>
      <c r="E183" s="165" t="str">
        <f>IF(Data[[#This Row],[Bookie]]="","",SUMIF(BetTable[B1],(VLOOKUP(ROW()-3,BookieName[],2,FALSE)),BetTable[S1])*-1)</f>
        <v/>
      </c>
      <c r="F183" s="165" t="str">
        <f>IF(Data[[#This Row],[Bookie]]="","",SUMIF(BetTable[B2],(VLOOKUP(ROW()-3,BookieName[],2,FALSE)),BetTable[S2])*-1)</f>
        <v/>
      </c>
      <c r="G183" s="165" t="str">
        <f>IF(Data[[#This Row],[Bookie]]="","",SUMIF(BetTable[B3],(VLOOKUP(ROW()-3,BookieName[],2,FALSE)),BetTable[S3])*-1)</f>
        <v/>
      </c>
      <c r="H183" s="165" t="str">
        <f>IF(Data[[#This Row],[Bookie]]="","",SUMIF(BetTable[B1],(VLOOKUP(ROW()-3,BookieName[],2,FALSE)),BetTable[WBA1]))</f>
        <v/>
      </c>
      <c r="I183" s="165" t="str">
        <f>IF(Data[[#This Row],[Bookie]]="","",SUMIF(BetTable[B2],(VLOOKUP(ROW()-3,BookieName[],2,FALSE)),BetTable[WBA2]))</f>
        <v/>
      </c>
      <c r="J183" s="165" t="str">
        <f>IF(Data[[#This Row],[Bookie]]="","",SUMIF(BetTable[B3],(VLOOKUP(ROW()-3,BookieName[],2,FALSE)),BetTable[WBA3]))</f>
        <v/>
      </c>
      <c r="K183" s="166" t="str">
        <f>IF(Data[[#This Row],[Bookie]]="","",SUMIF(LayTable[Bookmaker],(VLOOKUP(ROW()-3,BookieName[],2,FALSE)),LayTable[BookieInnsats])*-1)</f>
        <v/>
      </c>
      <c r="L183" s="166" t="str">
        <f>IF(Data[[#This Row],[Bookie]]="","",SUMIF(LayTable[Lay-bookie],(VLOOKUP(ROW()-3,BookieName[],2,FALSE)),LayTable[LayLiability])*-1)</f>
        <v/>
      </c>
      <c r="M183" s="166" t="str">
        <f>IF(Data[[#This Row],[Bookie]]="","",SUMIF(LayTable[Bookmaker],(VLOOKUP(ROW()-3,BookieName[],2,FALSE)),LayTable[WBABack]))</f>
        <v/>
      </c>
      <c r="N183" s="166" t="str">
        <f>IF(Data[[#This Row],[Bookie]]="","",SUMIF(LayTable[Lay-bookie],(VLOOKUP(ROW()-3,BookieName[],2,FALSE)),LayTable[WBALay]))</f>
        <v/>
      </c>
      <c r="O183" s="166" t="str">
        <f>IF(Data[[#This Row],[Bookie]]="","",SUMIF(DWbonus[Bookie],(VLOOKUP(ROW()-3,BookieName[],2,FALSE)),DWbonus[Sum]))</f>
        <v/>
      </c>
      <c r="P183" s="166" t="str">
        <f>IF(Data[[#This Row],[Bookie]]="","",SUM(Data[[#This Row],[Pending 1]:[PendingL2]]))</f>
        <v/>
      </c>
      <c r="Q183" s="166" t="str">
        <f>IF(Data[[#This Row],[Bookie]]="","",SUMIFS(BetTable[S1],BetTable[B1],(VLOOKUP(ROW()-3,BookieName[],2,FALSE)),BetTable[AR],""))</f>
        <v/>
      </c>
      <c r="R183" s="166" t="str">
        <f>IF(Data[[#This Row],[Bookie]]="","",SUMIFS(BetTable[S2],BetTable[B2],(VLOOKUP(ROW()-3,BookieName[],2,FALSE)),BetTable[AR],""))</f>
        <v/>
      </c>
      <c r="S183" s="166" t="str">
        <f>IF(Data[[#This Row],[Bookie]]="","",SUMIFS(BetTable[S3],BetTable[B3],(VLOOKUP(ROW()-3,BookieName[],2,FALSE)),BetTable[AR],""))</f>
        <v/>
      </c>
      <c r="T183" s="166" t="str">
        <f>IF(Data[[#This Row],[Bookie]]="","",SUMIFS(LayTable[BookieInnsats],LayTable[Bookmaker],(VLOOKUP(ROW()-3,BookieName[],2,FALSE)),LayTable[Faktisk res],""))</f>
        <v/>
      </c>
      <c r="U183" s="166" t="str">
        <f>IF(Data[[#This Row],[Bookie]]="","",SUMIFS(LayTable[LayLiability],LayTable[Lay-bookie],(VLOOKUP(ROW()-3,BookieName[],2,FALSE)),LayTable[Faktisk res],""))</f>
        <v/>
      </c>
    </row>
  </sheetData>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AK233"/>
  <sheetViews>
    <sheetView showRowColHeaders="0" zoomScale="120" zoomScaleNormal="120" zoomScalePageLayoutView="125" workbookViewId="0">
      <selection activeCell="P2" sqref="P2"/>
    </sheetView>
  </sheetViews>
  <sheetFormatPr baseColWidth="10" defaultColWidth="8.83203125" defaultRowHeight="11"/>
  <cols>
    <col min="1" max="1" width="7" style="37" bestFit="1" customWidth="1"/>
    <col min="2" max="2" width="3" style="37" bestFit="1" customWidth="1"/>
    <col min="3" max="3" width="9.6640625" style="37" bestFit="1" customWidth="1"/>
    <col min="4" max="4" width="9.83203125" style="37" bestFit="1" customWidth="1"/>
    <col min="5" max="5" width="9.6640625" style="37" bestFit="1" customWidth="1"/>
    <col min="6" max="6" width="5.5" style="37" bestFit="1" customWidth="1"/>
    <col min="7" max="7" width="6.83203125" style="37" bestFit="1" customWidth="1"/>
    <col min="8" max="8" width="5.5" style="37" bestFit="1" customWidth="1"/>
    <col min="9" max="9" width="29.33203125" style="37" bestFit="1" customWidth="1"/>
    <col min="10" max="12" width="5.6640625" style="37" bestFit="1" customWidth="1"/>
    <col min="13" max="13" width="7.5" style="37" bestFit="1" customWidth="1"/>
    <col min="14" max="15" width="6.5" style="37" bestFit="1" customWidth="1"/>
    <col min="16" max="16" width="11.1640625" style="37" bestFit="1" customWidth="1"/>
    <col min="17" max="17" width="10.6640625" style="37" bestFit="1" customWidth="1"/>
    <col min="18" max="18" width="10.33203125" style="37" customWidth="1"/>
    <col min="19" max="19" width="4.83203125" style="37" customWidth="1"/>
    <col min="20" max="20" width="6.83203125" style="37" customWidth="1"/>
    <col min="21" max="21" width="7.33203125" style="37" customWidth="1"/>
    <col min="22" max="22" width="6.5" style="37" customWidth="1"/>
    <col min="23" max="23" width="0.33203125" style="37" hidden="1" customWidth="1"/>
    <col min="24" max="24" width="7" style="37" bestFit="1" customWidth="1"/>
    <col min="25" max="25" width="11.1640625" style="37" bestFit="1" customWidth="1"/>
    <col min="26" max="27" width="0.1640625" style="37" hidden="1" customWidth="1"/>
    <col min="28" max="28" width="13.5" style="37" hidden="1" customWidth="1"/>
    <col min="29" max="29" width="7.83203125" style="37" hidden="1" customWidth="1"/>
    <col min="30" max="30" width="0.5" style="37" hidden="1" customWidth="1"/>
    <col min="31" max="31" width="7.33203125" style="37" hidden="1" customWidth="1"/>
    <col min="32" max="32" width="7.6640625" style="37" customWidth="1"/>
    <col min="33" max="33" width="6.5" style="37" hidden="1" customWidth="1"/>
    <col min="34" max="34" width="6.6640625" style="37" hidden="1" customWidth="1"/>
    <col min="35" max="35" width="6.5" style="37" hidden="1" customWidth="1"/>
    <col min="36" max="36" width="0.5" style="37" hidden="1" customWidth="1"/>
    <col min="37" max="37" width="27.83203125" style="37" customWidth="1"/>
    <col min="38" max="16384" width="8.83203125" style="37"/>
  </cols>
  <sheetData>
    <row r="1" spans="1:37">
      <c r="A1" s="26" t="s">
        <v>7</v>
      </c>
      <c r="B1" s="49" t="s">
        <v>6</v>
      </c>
      <c r="C1" s="49" t="s">
        <v>0</v>
      </c>
      <c r="D1" s="49" t="s">
        <v>1</v>
      </c>
      <c r="E1" s="49" t="s">
        <v>51</v>
      </c>
      <c r="F1" s="50" t="s">
        <v>44</v>
      </c>
      <c r="G1" s="50" t="s">
        <v>45</v>
      </c>
      <c r="H1" s="50" t="s">
        <v>52</v>
      </c>
      <c r="I1" s="49" t="s">
        <v>32</v>
      </c>
      <c r="J1" s="51" t="s">
        <v>2</v>
      </c>
      <c r="K1" s="51" t="s">
        <v>3</v>
      </c>
      <c r="L1" s="51" t="s">
        <v>53</v>
      </c>
      <c r="M1" s="49" t="s">
        <v>8</v>
      </c>
      <c r="N1" s="49" t="s">
        <v>9</v>
      </c>
      <c r="O1" s="49" t="s">
        <v>54</v>
      </c>
      <c r="P1" s="49" t="s">
        <v>48</v>
      </c>
      <c r="Q1" s="49" t="s">
        <v>49</v>
      </c>
      <c r="R1" s="49" t="s">
        <v>50</v>
      </c>
      <c r="S1" s="29" t="s">
        <v>11</v>
      </c>
      <c r="T1" s="29" t="s">
        <v>4</v>
      </c>
      <c r="U1" s="29" t="s">
        <v>5</v>
      </c>
      <c r="V1" s="29" t="s">
        <v>56</v>
      </c>
      <c r="W1" s="52" t="s">
        <v>293</v>
      </c>
      <c r="X1" s="29" t="s">
        <v>20</v>
      </c>
      <c r="Y1" s="29" t="s">
        <v>294</v>
      </c>
      <c r="Z1" s="52" t="s">
        <v>76</v>
      </c>
      <c r="AA1" s="52" t="s">
        <v>77</v>
      </c>
      <c r="AB1" s="52" t="s">
        <v>78</v>
      </c>
      <c r="AC1" s="32" t="s">
        <v>13</v>
      </c>
      <c r="AD1" s="52" t="s">
        <v>14</v>
      </c>
      <c r="AE1" s="32" t="s">
        <v>55</v>
      </c>
      <c r="AF1" s="33" t="s">
        <v>19</v>
      </c>
      <c r="AG1" s="32" t="s">
        <v>57</v>
      </c>
      <c r="AH1" s="32" t="s">
        <v>58</v>
      </c>
      <c r="AI1" s="32" t="s">
        <v>59</v>
      </c>
      <c r="AJ1" s="52" t="s">
        <v>26</v>
      </c>
      <c r="AK1" s="53" t="s">
        <v>10</v>
      </c>
    </row>
    <row r="2" spans="1:37">
      <c r="A2" s="144"/>
      <c r="B2" s="39"/>
      <c r="C2" s="40"/>
      <c r="D2" s="40"/>
      <c r="E2" s="40"/>
      <c r="F2" s="152"/>
      <c r="G2" s="152"/>
      <c r="H2" s="152"/>
      <c r="I2" s="39"/>
      <c r="J2" s="54"/>
      <c r="K2" s="54"/>
      <c r="L2" s="54"/>
      <c r="M2" s="57"/>
      <c r="N2" s="57"/>
      <c r="O2" s="57"/>
      <c r="P2" s="55"/>
      <c r="Q2" s="55"/>
      <c r="R2" s="55"/>
      <c r="S2" s="146" t="str">
        <f>IF(BetTable[[#This Row],[Sp]]="","",BetTable[[#This Row],[S1]]+BetTable[[#This Row],[S2]]+BetTable[[#This Row],[S3]])</f>
        <v/>
      </c>
      <c r="T2" s="143" t="str">
        <f>IF(BetTable[[#This Row],[O1]]="","",(BetTable[[#This Row],[WBA1-Commission]])-BetTable[[#This Row],[TS]])</f>
        <v/>
      </c>
      <c r="U2" s="143" t="str">
        <f>IF(BetTable[[#This Row],[O2]]="","",(BetTable[[#This Row],[WBA2-Commission]])-BetTable[[#This Row],[TS]])</f>
        <v/>
      </c>
      <c r="V2" s="143" t="str">
        <f>IF(BetTable[[#This Row],[O3]]="","",(BetTable[[#This Row],[WBA3-Commission]])-BetTable[[#This Row],[TS]])</f>
        <v/>
      </c>
      <c r="W2" s="143">
        <f>IF(NOT(ISBLANK(BetTable[[#This Row],[B1]])),1,0)+IF(NOT(ISBLANK(BetTable[[#This Row],[B2]])),1,0)+IF(NOT(ISBLANK(BetTable[[#This Row],[B3]])),1,0)</f>
        <v>0</v>
      </c>
      <c r="X2" s="143" t="str">
        <f>IF(BetTable[[#This Row],[Outcome1]]="","",BetTable[[#This Row],[WBA1]]+BetTable[[#This Row],[WBA2]]+BetTable[[#This Row],[WBA3]]-BetTable[[#This Row],[TS]])</f>
        <v/>
      </c>
      <c r="Y2" s="143" t="str">
        <f>IF(BetTable[[#This Row],[AR]]="","",BetTable[[#This Row],[AR]]/BetTable[[#This Row],[NumBookies]])</f>
        <v/>
      </c>
      <c r="Z2" s="143">
        <f>(((BetTable[[#This Row],[O1]]-1)*BetTable[[#This Row],[S1]])*(1-(BetTable[[#This Row],[C% 1]]))+BetTable[[#This Row],[S1]])</f>
        <v>0</v>
      </c>
      <c r="AA2" s="143">
        <f>(((BetTable[[#This Row],[O2]]-1)*BetTable[[#This Row],[S2]])*(1-(BetTable[[#This Row],[C% 2]]))+BetTable[[#This Row],[S2]])</f>
        <v>0</v>
      </c>
      <c r="AB2" s="143">
        <f>(((BetTable[[#This Row],[O3]]-1)*BetTable[[#This Row],[S3]])*(1-(BetTable[[#This Row],[C% 3]]))+BetTable[[#This Row],[S3]])</f>
        <v>0</v>
      </c>
      <c r="AC2" s="147" t="str">
        <f>IFERROR(IF(BetTable[[#This Row],[Sp]]="","",BetTable[[#This Row],[R1]]/BetTable[[#This Row],[TS]]),"")</f>
        <v/>
      </c>
      <c r="AD2" s="147" t="str">
        <f>IF(BetTable[[#This Row],[O2]]="","",BetTable[[#This Row],[R2]]/BetTable[[#This Row],[TS]])</f>
        <v/>
      </c>
      <c r="AE2" s="147" t="str">
        <f>IFERROR(IF(BetTable[[#This Row],[Sp]]="","",BetTable[[#This Row],[R3]]/BetTable[[#This Row],[TS]]),"")</f>
        <v/>
      </c>
      <c r="AF2" s="147" t="str">
        <f>IFERROR(IF(BetTable[[#This Row],[Outcome1]]="","",BetTable[[#This Row],[AR]]/BetTable[[#This Row],[TS]]),"")</f>
        <v/>
      </c>
      <c r="AG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 s="57" t="e">
        <f>IF(BetTable[[#This Row],[Outcome1]]="",#REF!,BetTable[[#This Row],[AR]]+#REF!)</f>
        <v>#REF!</v>
      </c>
      <c r="AK2" s="39"/>
    </row>
    <row r="3" spans="1:37">
      <c r="A3" s="144"/>
      <c r="B3" s="39"/>
      <c r="C3" s="40"/>
      <c r="D3" s="40"/>
      <c r="E3" s="40"/>
      <c r="F3" s="152"/>
      <c r="G3" s="152"/>
      <c r="H3" s="152"/>
      <c r="I3" s="39"/>
      <c r="J3" s="54"/>
      <c r="K3" s="54"/>
      <c r="L3" s="54"/>
      <c r="M3" s="57"/>
      <c r="N3" s="57"/>
      <c r="O3" s="57"/>
      <c r="P3" s="55"/>
      <c r="Q3" s="55"/>
      <c r="R3" s="55"/>
      <c r="S3" s="146" t="str">
        <f>IF(BetTable[[#This Row],[Sp]]="","",BetTable[[#This Row],[S1]]+BetTable[[#This Row],[S2]]+BetTable[[#This Row],[S3]])</f>
        <v/>
      </c>
      <c r="T3" s="143" t="str">
        <f>IF(BetTable[[#This Row],[O1]]="","",(BetTable[[#This Row],[WBA1-Commission]])-BetTable[[#This Row],[TS]])</f>
        <v/>
      </c>
      <c r="U3" s="143" t="str">
        <f>IF(BetTable[[#This Row],[O2]]="","",(BetTable[[#This Row],[WBA2-Commission]])-BetTable[[#This Row],[TS]])</f>
        <v/>
      </c>
      <c r="V3" s="143" t="str">
        <f>IF(BetTable[[#This Row],[O3]]="","",(BetTable[[#This Row],[WBA3-Commission]])-BetTable[[#This Row],[TS]])</f>
        <v/>
      </c>
      <c r="W3" s="143">
        <f>IF(NOT(ISBLANK(BetTable[[#This Row],[B1]])),1,0)+IF(NOT(ISBLANK(BetTable[[#This Row],[B2]])),1,0)+IF(NOT(ISBLANK(BetTable[[#This Row],[B3]])),1,0)</f>
        <v>0</v>
      </c>
      <c r="X3" s="143" t="str">
        <f>IF(BetTable[[#This Row],[Outcome1]]="","",BetTable[[#This Row],[WBA1]]+BetTable[[#This Row],[WBA2]]+BetTable[[#This Row],[WBA3]]-BetTable[[#This Row],[TS]])</f>
        <v/>
      </c>
      <c r="Y3" s="143" t="str">
        <f>IF(BetTable[[#This Row],[AR]]="","",BetTable[[#This Row],[AR]]/BetTable[[#This Row],[NumBookies]])</f>
        <v/>
      </c>
      <c r="Z3" s="143">
        <f>(((BetTable[[#This Row],[O1]]-1)*BetTable[[#This Row],[S1]])*(1-(BetTable[[#This Row],[C% 1]]))+BetTable[[#This Row],[S1]])</f>
        <v>0</v>
      </c>
      <c r="AA3" s="143">
        <f>(((BetTable[[#This Row],[O2]]-1)*BetTable[[#This Row],[S2]])*(1-(BetTable[[#This Row],[C% 2]]))+BetTable[[#This Row],[S2]])</f>
        <v>0</v>
      </c>
      <c r="AB3" s="143">
        <f>(((BetTable[[#This Row],[O3]]-1)*BetTable[[#This Row],[S3]])*(1-(BetTable[[#This Row],[C% 3]]))+BetTable[[#This Row],[S3]])</f>
        <v>0</v>
      </c>
      <c r="AC3" s="147" t="str">
        <f>IFERROR(IF(BetTable[[#This Row],[Sp]]="","",BetTable[[#This Row],[R1]]/BetTable[[#This Row],[TS]]),"")</f>
        <v/>
      </c>
      <c r="AD3" s="147" t="str">
        <f>IF(BetTable[[#This Row],[O2]]="","",BetTable[[#This Row],[R2]]/BetTable[[#This Row],[TS]])</f>
        <v/>
      </c>
      <c r="AE3" s="147" t="str">
        <f>IFERROR(IF(BetTable[[#This Row],[Sp]]="","",BetTable[[#This Row],[R3]]/BetTable[[#This Row],[TS]]),"")</f>
        <v/>
      </c>
      <c r="AF3" s="147" t="str">
        <f>IFERROR(IF(BetTable[[#This Row],[Outcome1]]="","",BetTable[[#This Row],[AR]]/BetTable[[#This Row],[TS]]),"")</f>
        <v/>
      </c>
      <c r="AG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 s="57" t="str">
        <f>IF(BetTable[[#This Row],[Outcome1]]="",AJ25,BetTable[[#This Row],[AR]]+AJ25)</f>
        <v>0</v>
      </c>
      <c r="AK3" s="39"/>
    </row>
    <row r="4" spans="1:37">
      <c r="A4" s="144"/>
      <c r="B4" s="39"/>
      <c r="C4" s="40"/>
      <c r="D4" s="40"/>
      <c r="E4" s="40"/>
      <c r="F4" s="152"/>
      <c r="G4" s="152"/>
      <c r="H4" s="152"/>
      <c r="I4" s="39"/>
      <c r="J4" s="54"/>
      <c r="K4" s="54"/>
      <c r="L4" s="54"/>
      <c r="M4" s="57"/>
      <c r="N4" s="57"/>
      <c r="O4" s="57"/>
      <c r="P4" s="55"/>
      <c r="Q4" s="55"/>
      <c r="R4" s="55"/>
      <c r="S4" s="146" t="str">
        <f>IF(BetTable[[#This Row],[Sp]]="","",BetTable[[#This Row],[S1]]+BetTable[[#This Row],[S2]]+BetTable[[#This Row],[S3]])</f>
        <v/>
      </c>
      <c r="T4" s="143" t="str">
        <f>IF(BetTable[[#This Row],[O1]]="","",(BetTable[[#This Row],[WBA1-Commission]])-BetTable[[#This Row],[TS]])</f>
        <v/>
      </c>
      <c r="U4" s="143" t="str">
        <f>IF(BetTable[[#This Row],[O2]]="","",(BetTable[[#This Row],[WBA2-Commission]])-BetTable[[#This Row],[TS]])</f>
        <v/>
      </c>
      <c r="V4" s="143" t="str">
        <f>IF(BetTable[[#This Row],[O3]]="","",(BetTable[[#This Row],[WBA3-Commission]])-BetTable[[#This Row],[TS]])</f>
        <v/>
      </c>
      <c r="W4" s="143">
        <f>IF(NOT(ISBLANK(BetTable[[#This Row],[B1]])),1,0)+IF(NOT(ISBLANK(BetTable[[#This Row],[B2]])),1,0)+IF(NOT(ISBLANK(BetTable[[#This Row],[B3]])),1,0)</f>
        <v>0</v>
      </c>
      <c r="X4" s="143" t="str">
        <f>IF(BetTable[[#This Row],[Outcome1]]="","",BetTable[[#This Row],[WBA1]]+BetTable[[#This Row],[WBA2]]+BetTable[[#This Row],[WBA3]]-BetTable[[#This Row],[TS]])</f>
        <v/>
      </c>
      <c r="Y4" s="143" t="str">
        <f>IF(BetTable[[#This Row],[AR]]="","",BetTable[[#This Row],[AR]]/BetTable[[#This Row],[NumBookies]])</f>
        <v/>
      </c>
      <c r="Z4" s="143">
        <f>(((BetTable[[#This Row],[O1]]-1)*BetTable[[#This Row],[S1]])*(1-(BetTable[[#This Row],[C% 1]]))+BetTable[[#This Row],[S1]])</f>
        <v>0</v>
      </c>
      <c r="AA4" s="143">
        <f>(((BetTable[[#This Row],[O2]]-1)*BetTable[[#This Row],[S2]])*(1-(BetTable[[#This Row],[C% 2]]))+BetTable[[#This Row],[S2]])</f>
        <v>0</v>
      </c>
      <c r="AB4" s="143">
        <f>(((BetTable[[#This Row],[O3]]-1)*BetTable[[#This Row],[S3]])*(1-(BetTable[[#This Row],[C% 3]]))+BetTable[[#This Row],[S3]])</f>
        <v>0</v>
      </c>
      <c r="AC4" s="147" t="str">
        <f>IFERROR(IF(BetTable[[#This Row],[Sp]]="","",BetTable[[#This Row],[R1]]/BetTable[[#This Row],[TS]]),"")</f>
        <v/>
      </c>
      <c r="AD4" s="147" t="str">
        <f>IF(BetTable[[#This Row],[O2]]="","",BetTable[[#This Row],[R2]]/BetTable[[#This Row],[TS]])</f>
        <v/>
      </c>
      <c r="AE4" s="147" t="str">
        <f>IFERROR(IF(BetTable[[#This Row],[Sp]]="","",BetTable[[#This Row],[R3]]/BetTable[[#This Row],[TS]]),"")</f>
        <v/>
      </c>
      <c r="AF4" s="147" t="str">
        <f>IFERROR(IF(BetTable[[#This Row],[Outcome1]]="","",BetTable[[#This Row],[AR]]/BetTable[[#This Row],[TS]]),"")</f>
        <v/>
      </c>
      <c r="AG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 s="57" t="str">
        <f>IF(BetTable[[#This Row],[Outcome1]]="",AJ59,BetTable[[#This Row],[AR]]+AJ59)</f>
        <v>0</v>
      </c>
      <c r="AK4" s="39"/>
    </row>
    <row r="5" spans="1:37">
      <c r="A5" s="144"/>
      <c r="B5" s="39"/>
      <c r="C5" s="40"/>
      <c r="D5" s="40"/>
      <c r="E5" s="40"/>
      <c r="F5" s="152"/>
      <c r="G5" s="152"/>
      <c r="H5" s="152"/>
      <c r="I5" s="39"/>
      <c r="J5" s="54"/>
      <c r="K5" s="54"/>
      <c r="L5" s="54"/>
      <c r="M5" s="57"/>
      <c r="N5" s="57"/>
      <c r="O5" s="57"/>
      <c r="P5" s="55"/>
      <c r="Q5" s="55"/>
      <c r="R5" s="55"/>
      <c r="S5" s="146" t="str">
        <f>IF(BetTable[[#This Row],[Sp]]="","",BetTable[[#This Row],[S1]]+BetTable[[#This Row],[S2]]+BetTable[[#This Row],[S3]])</f>
        <v/>
      </c>
      <c r="T5" s="143" t="str">
        <f>IF(BetTable[[#This Row],[O1]]="","",(BetTable[[#This Row],[WBA1-Commission]])-BetTable[[#This Row],[TS]])</f>
        <v/>
      </c>
      <c r="U5" s="143" t="str">
        <f>IF(BetTable[[#This Row],[O2]]="","",(BetTable[[#This Row],[WBA2-Commission]])-BetTable[[#This Row],[TS]])</f>
        <v/>
      </c>
      <c r="V5" s="143" t="str">
        <f>IF(BetTable[[#This Row],[O3]]="","",(BetTable[[#This Row],[WBA3-Commission]])-BetTable[[#This Row],[TS]])</f>
        <v/>
      </c>
      <c r="W5" s="143">
        <f>IF(NOT(ISBLANK(BetTable[[#This Row],[B1]])),1,0)+IF(NOT(ISBLANK(BetTable[[#This Row],[B2]])),1,0)+IF(NOT(ISBLANK(BetTable[[#This Row],[B3]])),1,0)</f>
        <v>0</v>
      </c>
      <c r="X5" s="143" t="str">
        <f>IF(BetTable[[#This Row],[Outcome1]]="","",BetTable[[#This Row],[WBA1]]+BetTable[[#This Row],[WBA2]]+BetTable[[#This Row],[WBA3]]-BetTable[[#This Row],[TS]])</f>
        <v/>
      </c>
      <c r="Y5" s="143" t="str">
        <f>IF(BetTable[[#This Row],[AR]]="","",BetTable[[#This Row],[AR]]/BetTable[[#This Row],[NumBookies]])</f>
        <v/>
      </c>
      <c r="Z5" s="143">
        <f>(((BetTable[[#This Row],[O1]]-1)*BetTable[[#This Row],[S1]])*(1-(BetTable[[#This Row],[C% 1]]))+BetTable[[#This Row],[S1]])</f>
        <v>0</v>
      </c>
      <c r="AA5" s="143">
        <f>(((BetTable[[#This Row],[O2]]-1)*BetTable[[#This Row],[S2]])*(1-(BetTable[[#This Row],[C% 2]]))+BetTable[[#This Row],[S2]])</f>
        <v>0</v>
      </c>
      <c r="AB5" s="143">
        <f>(((BetTable[[#This Row],[O3]]-1)*BetTable[[#This Row],[S3]])*(1-(BetTable[[#This Row],[C% 3]]))+BetTable[[#This Row],[S3]])</f>
        <v>0</v>
      </c>
      <c r="AC5" s="147" t="str">
        <f>IFERROR(IF(BetTable[[#This Row],[Sp]]="","",BetTable[[#This Row],[R1]]/BetTable[[#This Row],[TS]]),"")</f>
        <v/>
      </c>
      <c r="AD5" s="147" t="str">
        <f>IF(BetTable[[#This Row],[O2]]="","",BetTable[[#This Row],[R2]]/BetTable[[#This Row],[TS]])</f>
        <v/>
      </c>
      <c r="AE5" s="147" t="str">
        <f>IFERROR(IF(BetTable[[#This Row],[Sp]]="","",BetTable[[#This Row],[R3]]/BetTable[[#This Row],[TS]]),"")</f>
        <v/>
      </c>
      <c r="AF5" s="147" t="str">
        <f>IFERROR(IF(BetTable[[#This Row],[Outcome1]]="","",BetTable[[#This Row],[AR]]/BetTable[[#This Row],[TS]]),"")</f>
        <v/>
      </c>
      <c r="AG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 s="57" t="str">
        <f>IF(BetTable[[#This Row],[Outcome1]]="",AJ60,BetTable[[#This Row],[AR]]+AJ60)</f>
        <v>0</v>
      </c>
      <c r="AK5" s="39"/>
    </row>
    <row r="6" spans="1:37">
      <c r="A6" s="144"/>
      <c r="B6" s="39"/>
      <c r="C6" s="40"/>
      <c r="D6" s="40"/>
      <c r="E6" s="40"/>
      <c r="F6" s="152"/>
      <c r="G6" s="152"/>
      <c r="H6" s="152"/>
      <c r="I6" s="39"/>
      <c r="J6" s="54"/>
      <c r="K6" s="54"/>
      <c r="L6" s="54"/>
      <c r="M6" s="57"/>
      <c r="N6" s="57"/>
      <c r="O6" s="57"/>
      <c r="P6" s="55"/>
      <c r="Q6" s="55"/>
      <c r="R6" s="55"/>
      <c r="S6" s="146" t="str">
        <f>IF(BetTable[[#This Row],[Sp]]="","",BetTable[[#This Row],[S1]]+BetTable[[#This Row],[S2]]+BetTable[[#This Row],[S3]])</f>
        <v/>
      </c>
      <c r="T6" s="143" t="str">
        <f>IF(BetTable[[#This Row],[O1]]="","",(BetTable[[#This Row],[WBA1-Commission]])-BetTable[[#This Row],[TS]])</f>
        <v/>
      </c>
      <c r="U6" s="143" t="str">
        <f>IF(BetTable[[#This Row],[O2]]="","",(BetTable[[#This Row],[WBA2-Commission]])-BetTable[[#This Row],[TS]])</f>
        <v/>
      </c>
      <c r="V6" s="143" t="str">
        <f>IF(BetTable[[#This Row],[O3]]="","",(BetTable[[#This Row],[WBA3-Commission]])-BetTable[[#This Row],[TS]])</f>
        <v/>
      </c>
      <c r="W6" s="143">
        <f>IF(NOT(ISBLANK(BetTable[[#This Row],[B1]])),1,0)+IF(NOT(ISBLANK(BetTable[[#This Row],[B2]])),1,0)+IF(NOT(ISBLANK(BetTable[[#This Row],[B3]])),1,0)</f>
        <v>0</v>
      </c>
      <c r="X6" s="143" t="str">
        <f>IF(BetTable[[#This Row],[Outcome1]]="","",BetTable[[#This Row],[WBA1]]+BetTable[[#This Row],[WBA2]]+BetTable[[#This Row],[WBA3]]-BetTable[[#This Row],[TS]])</f>
        <v/>
      </c>
      <c r="Y6" s="143" t="str">
        <f>IF(BetTable[[#This Row],[AR]]="","",BetTable[[#This Row],[AR]]/BetTable[[#This Row],[NumBookies]])</f>
        <v/>
      </c>
      <c r="Z6" s="143">
        <f>(((BetTable[[#This Row],[O1]]-1)*BetTable[[#This Row],[S1]])*(1-(BetTable[[#This Row],[C% 1]]))+BetTable[[#This Row],[S1]])</f>
        <v>0</v>
      </c>
      <c r="AA6" s="143">
        <f>(((BetTable[[#This Row],[O2]]-1)*BetTable[[#This Row],[S2]])*(1-(BetTable[[#This Row],[C% 2]]))+BetTable[[#This Row],[S2]])</f>
        <v>0</v>
      </c>
      <c r="AB6" s="143">
        <f>(((BetTable[[#This Row],[O3]]-1)*BetTable[[#This Row],[S3]])*(1-(BetTable[[#This Row],[C% 3]]))+BetTable[[#This Row],[S3]])</f>
        <v>0</v>
      </c>
      <c r="AC6" s="147" t="str">
        <f>IFERROR(IF(BetTable[[#This Row],[Sp]]="","",BetTable[[#This Row],[R1]]/BetTable[[#This Row],[TS]]),"")</f>
        <v/>
      </c>
      <c r="AD6" s="147" t="str">
        <f>IF(BetTable[[#This Row],[O2]]="","",BetTable[[#This Row],[R2]]/BetTable[[#This Row],[TS]])</f>
        <v/>
      </c>
      <c r="AE6" s="147" t="str">
        <f>IFERROR(IF(BetTable[[#This Row],[Sp]]="","",BetTable[[#This Row],[R3]]/BetTable[[#This Row],[TS]]),"")</f>
        <v/>
      </c>
      <c r="AF6" s="147" t="str">
        <f>IFERROR(IF(BetTable[[#This Row],[Outcome1]]="","",BetTable[[#This Row],[AR]]/BetTable[[#This Row],[TS]]),"")</f>
        <v/>
      </c>
      <c r="AG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 s="57" t="str">
        <f>IF(BetTable[[#This Row],[Outcome1]]="",AJ61,BetTable[[#This Row],[AR]]+AJ61)</f>
        <v>0</v>
      </c>
      <c r="AK6" s="39"/>
    </row>
    <row r="7" spans="1:37">
      <c r="A7" s="144"/>
      <c r="B7" s="39"/>
      <c r="C7" s="40"/>
      <c r="D7" s="40"/>
      <c r="E7" s="40"/>
      <c r="F7" s="152"/>
      <c r="G7" s="152"/>
      <c r="H7" s="152"/>
      <c r="I7" s="39"/>
      <c r="J7" s="54"/>
      <c r="K7" s="54"/>
      <c r="L7" s="54"/>
      <c r="M7" s="57"/>
      <c r="N7" s="57"/>
      <c r="O7" s="57"/>
      <c r="P7" s="55"/>
      <c r="Q7" s="55"/>
      <c r="R7" s="55"/>
      <c r="S7" s="146" t="str">
        <f>IF(BetTable[[#This Row],[Sp]]="","",BetTable[[#This Row],[S1]]+BetTable[[#This Row],[S2]]+BetTable[[#This Row],[S3]])</f>
        <v/>
      </c>
      <c r="T7" s="143" t="str">
        <f>IF(BetTable[[#This Row],[O1]]="","",(BetTable[[#This Row],[WBA1-Commission]])-BetTable[[#This Row],[TS]])</f>
        <v/>
      </c>
      <c r="U7" s="143" t="str">
        <f>IF(BetTable[[#This Row],[O2]]="","",(BetTable[[#This Row],[WBA2-Commission]])-BetTable[[#This Row],[TS]])</f>
        <v/>
      </c>
      <c r="V7" s="143" t="str">
        <f>IF(BetTable[[#This Row],[O3]]="","",(BetTable[[#This Row],[WBA3-Commission]])-BetTable[[#This Row],[TS]])</f>
        <v/>
      </c>
      <c r="W7" s="143">
        <f>IF(NOT(ISBLANK(BetTable[[#This Row],[B1]])),1,0)+IF(NOT(ISBLANK(BetTable[[#This Row],[B2]])),1,0)+IF(NOT(ISBLANK(BetTable[[#This Row],[B3]])),1,0)</f>
        <v>0</v>
      </c>
      <c r="X7" s="143" t="str">
        <f>IF(BetTable[[#This Row],[Outcome1]]="","",BetTable[[#This Row],[WBA1]]+BetTable[[#This Row],[WBA2]]+BetTable[[#This Row],[WBA3]]-BetTable[[#This Row],[TS]])</f>
        <v/>
      </c>
      <c r="Y7" s="143" t="str">
        <f>IF(BetTable[[#This Row],[AR]]="","",BetTable[[#This Row],[AR]]/BetTable[[#This Row],[NumBookies]])</f>
        <v/>
      </c>
      <c r="Z7" s="143">
        <f>(((BetTable[[#This Row],[O1]]-1)*BetTable[[#This Row],[S1]])*(1-(BetTable[[#This Row],[C% 1]]))+BetTable[[#This Row],[S1]])</f>
        <v>0</v>
      </c>
      <c r="AA7" s="143">
        <f>(((BetTable[[#This Row],[O2]]-1)*BetTable[[#This Row],[S2]])*(1-(BetTable[[#This Row],[C% 2]]))+BetTable[[#This Row],[S2]])</f>
        <v>0</v>
      </c>
      <c r="AB7" s="143">
        <f>(((BetTable[[#This Row],[O3]]-1)*BetTable[[#This Row],[S3]])*(1-(BetTable[[#This Row],[C% 3]]))+BetTable[[#This Row],[S3]])</f>
        <v>0</v>
      </c>
      <c r="AC7" s="147" t="str">
        <f>IFERROR(IF(BetTable[[#This Row],[Sp]]="","",BetTable[[#This Row],[R1]]/BetTable[[#This Row],[TS]]),"")</f>
        <v/>
      </c>
      <c r="AD7" s="147" t="str">
        <f>IF(BetTable[[#This Row],[O2]]="","",BetTable[[#This Row],[R2]]/BetTable[[#This Row],[TS]])</f>
        <v/>
      </c>
      <c r="AE7" s="147" t="str">
        <f>IFERROR(IF(BetTable[[#This Row],[Sp]]="","",BetTable[[#This Row],[R3]]/BetTable[[#This Row],[TS]]),"")</f>
        <v/>
      </c>
      <c r="AF7" s="147" t="str">
        <f>IFERROR(IF(BetTable[[#This Row],[Outcome1]]="","",BetTable[[#This Row],[AR]]/BetTable[[#This Row],[TS]]),"")</f>
        <v/>
      </c>
      <c r="AG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 s="57" t="str">
        <f>IF(BetTable[[#This Row],[Outcome1]]="",AJ62,BetTable[[#This Row],[AR]]+AJ62)</f>
        <v>0</v>
      </c>
      <c r="AK7" s="39"/>
    </row>
    <row r="8" spans="1:37">
      <c r="A8" s="144"/>
      <c r="B8" s="39"/>
      <c r="C8" s="40"/>
      <c r="D8" s="40"/>
      <c r="E8" s="40"/>
      <c r="F8" s="152"/>
      <c r="G8" s="152"/>
      <c r="H8" s="152"/>
      <c r="I8" s="39"/>
      <c r="J8" s="54"/>
      <c r="K8" s="54"/>
      <c r="L8" s="54"/>
      <c r="M8" s="57"/>
      <c r="N8" s="57"/>
      <c r="O8" s="57"/>
      <c r="P8" s="55"/>
      <c r="Q8" s="55"/>
      <c r="R8" s="55"/>
      <c r="S8" s="146" t="str">
        <f>IF(BetTable[[#This Row],[Sp]]="","",BetTable[[#This Row],[S1]]+BetTable[[#This Row],[S2]]+BetTable[[#This Row],[S3]])</f>
        <v/>
      </c>
      <c r="T8" s="143" t="str">
        <f>IF(BetTable[[#This Row],[O1]]="","",(BetTable[[#This Row],[WBA1-Commission]])-BetTable[[#This Row],[TS]])</f>
        <v/>
      </c>
      <c r="U8" s="143" t="str">
        <f>IF(BetTable[[#This Row],[O2]]="","",(BetTable[[#This Row],[WBA2-Commission]])-BetTable[[#This Row],[TS]])</f>
        <v/>
      </c>
      <c r="V8" s="143" t="str">
        <f>IF(BetTable[[#This Row],[O3]]="","",(BetTable[[#This Row],[WBA3-Commission]])-BetTable[[#This Row],[TS]])</f>
        <v/>
      </c>
      <c r="W8" s="143">
        <f>IF(NOT(ISBLANK(BetTable[[#This Row],[B1]])),1,0)+IF(NOT(ISBLANK(BetTable[[#This Row],[B2]])),1,0)+IF(NOT(ISBLANK(BetTable[[#This Row],[B3]])),1,0)</f>
        <v>0</v>
      </c>
      <c r="X8" s="143" t="str">
        <f>IF(BetTable[[#This Row],[Outcome1]]="","",BetTable[[#This Row],[WBA1]]+BetTable[[#This Row],[WBA2]]+BetTable[[#This Row],[WBA3]]-BetTable[[#This Row],[TS]])</f>
        <v/>
      </c>
      <c r="Y8" s="143" t="str">
        <f>IF(BetTable[[#This Row],[AR]]="","",BetTable[[#This Row],[AR]]/BetTable[[#This Row],[NumBookies]])</f>
        <v/>
      </c>
      <c r="Z8" s="143">
        <f>(((BetTable[[#This Row],[O1]]-1)*BetTable[[#This Row],[S1]])*(1-(BetTable[[#This Row],[C% 1]]))+BetTable[[#This Row],[S1]])</f>
        <v>0</v>
      </c>
      <c r="AA8" s="143">
        <f>(((BetTable[[#This Row],[O2]]-1)*BetTable[[#This Row],[S2]])*(1-(BetTable[[#This Row],[C% 2]]))+BetTable[[#This Row],[S2]])</f>
        <v>0</v>
      </c>
      <c r="AB8" s="143">
        <f>(((BetTable[[#This Row],[O3]]-1)*BetTable[[#This Row],[S3]])*(1-(BetTable[[#This Row],[C% 3]]))+BetTable[[#This Row],[S3]])</f>
        <v>0</v>
      </c>
      <c r="AC8" s="147" t="str">
        <f>IFERROR(IF(BetTable[[#This Row],[Sp]]="","",BetTable[[#This Row],[R1]]/BetTable[[#This Row],[TS]]),"")</f>
        <v/>
      </c>
      <c r="AD8" s="147" t="str">
        <f>IF(BetTable[[#This Row],[O2]]="","",BetTable[[#This Row],[R2]]/BetTable[[#This Row],[TS]])</f>
        <v/>
      </c>
      <c r="AE8" s="147" t="str">
        <f>IFERROR(IF(BetTable[[#This Row],[Sp]]="","",BetTable[[#This Row],[R3]]/BetTable[[#This Row],[TS]]),"")</f>
        <v/>
      </c>
      <c r="AF8" s="147" t="str">
        <f>IFERROR(IF(BetTable[[#This Row],[Outcome1]]="","",BetTable[[#This Row],[AR]]/BetTable[[#This Row],[TS]]),"")</f>
        <v/>
      </c>
      <c r="AG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 s="57" t="str">
        <f>IF(BetTable[[#This Row],[Outcome1]]="",AJ63,BetTable[[#This Row],[AR]]+AJ63)</f>
        <v>0</v>
      </c>
      <c r="AK8" s="39"/>
    </row>
    <row r="9" spans="1:37">
      <c r="A9" s="144"/>
      <c r="B9" s="39"/>
      <c r="C9" s="40"/>
      <c r="D9" s="40"/>
      <c r="E9" s="40"/>
      <c r="F9" s="152"/>
      <c r="G9" s="152"/>
      <c r="H9" s="152"/>
      <c r="I9" s="39"/>
      <c r="J9" s="54"/>
      <c r="K9" s="54"/>
      <c r="L9" s="54"/>
      <c r="M9" s="57"/>
      <c r="N9" s="57"/>
      <c r="O9" s="57"/>
      <c r="P9" s="55"/>
      <c r="Q9" s="55"/>
      <c r="R9" s="55"/>
      <c r="S9" s="146" t="str">
        <f>IF(BetTable[[#This Row],[Sp]]="","",BetTable[[#This Row],[S1]]+BetTable[[#This Row],[S2]]+BetTable[[#This Row],[S3]])</f>
        <v/>
      </c>
      <c r="T9" s="143" t="str">
        <f>IF(BetTable[[#This Row],[O1]]="","",(BetTable[[#This Row],[WBA1-Commission]])-BetTable[[#This Row],[TS]])</f>
        <v/>
      </c>
      <c r="U9" s="143" t="str">
        <f>IF(BetTable[[#This Row],[O2]]="","",(BetTable[[#This Row],[WBA2-Commission]])-BetTable[[#This Row],[TS]])</f>
        <v/>
      </c>
      <c r="V9" s="143" t="str">
        <f>IF(BetTable[[#This Row],[O3]]="","",(BetTable[[#This Row],[WBA3-Commission]])-BetTable[[#This Row],[TS]])</f>
        <v/>
      </c>
      <c r="W9" s="143">
        <f>IF(NOT(ISBLANK(BetTable[[#This Row],[B1]])),1,0)+IF(NOT(ISBLANK(BetTable[[#This Row],[B2]])),1,0)+IF(NOT(ISBLANK(BetTable[[#This Row],[B3]])),1,0)</f>
        <v>0</v>
      </c>
      <c r="X9" s="143" t="str">
        <f>IF(BetTable[[#This Row],[Outcome1]]="","",BetTable[[#This Row],[WBA1]]+BetTable[[#This Row],[WBA2]]+BetTable[[#This Row],[WBA3]]-BetTable[[#This Row],[TS]])</f>
        <v/>
      </c>
      <c r="Y9" s="143" t="str">
        <f>IF(BetTable[[#This Row],[AR]]="","",BetTable[[#This Row],[AR]]/BetTable[[#This Row],[NumBookies]])</f>
        <v/>
      </c>
      <c r="Z9" s="143">
        <f>(((BetTable[[#This Row],[O1]]-1)*BetTable[[#This Row],[S1]])*(1-(BetTable[[#This Row],[C% 1]]))+BetTable[[#This Row],[S1]])</f>
        <v>0</v>
      </c>
      <c r="AA9" s="143">
        <f>(((BetTable[[#This Row],[O2]]-1)*BetTable[[#This Row],[S2]])*(1-(BetTable[[#This Row],[C% 2]]))+BetTable[[#This Row],[S2]])</f>
        <v>0</v>
      </c>
      <c r="AB9" s="143">
        <f>(((BetTable[[#This Row],[O3]]-1)*BetTable[[#This Row],[S3]])*(1-(BetTable[[#This Row],[C% 3]]))+BetTable[[#This Row],[S3]])</f>
        <v>0</v>
      </c>
      <c r="AC9" s="147" t="str">
        <f>IFERROR(IF(BetTable[[#This Row],[Sp]]="","",BetTable[[#This Row],[R1]]/BetTable[[#This Row],[TS]]),"")</f>
        <v/>
      </c>
      <c r="AD9" s="147" t="str">
        <f>IF(BetTable[[#This Row],[O2]]="","",BetTable[[#This Row],[R2]]/BetTable[[#This Row],[TS]])</f>
        <v/>
      </c>
      <c r="AE9" s="147" t="str">
        <f>IFERROR(IF(BetTable[[#This Row],[Sp]]="","",BetTable[[#This Row],[R3]]/BetTable[[#This Row],[TS]]),"")</f>
        <v/>
      </c>
      <c r="AF9" s="147" t="str">
        <f>IFERROR(IF(BetTable[[#This Row],[Outcome1]]="","",BetTable[[#This Row],[AR]]/BetTable[[#This Row],[TS]]),"")</f>
        <v/>
      </c>
      <c r="AG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 s="57" t="str">
        <f>IF(BetTable[[#This Row],[Outcome1]]="",AJ64,BetTable[[#This Row],[AR]]+AJ64)</f>
        <v>0</v>
      </c>
      <c r="AK9" s="39"/>
    </row>
    <row r="10" spans="1:37">
      <c r="A10" s="144"/>
      <c r="B10" s="39"/>
      <c r="C10" s="40"/>
      <c r="D10" s="40"/>
      <c r="E10" s="40"/>
      <c r="F10" s="152"/>
      <c r="G10" s="152"/>
      <c r="H10" s="152"/>
      <c r="I10" s="39"/>
      <c r="J10" s="54"/>
      <c r="K10" s="54"/>
      <c r="L10" s="54"/>
      <c r="M10" s="57"/>
      <c r="N10" s="57"/>
      <c r="O10" s="57"/>
      <c r="P10" s="55"/>
      <c r="Q10" s="55"/>
      <c r="R10" s="55"/>
      <c r="S10" s="146" t="str">
        <f>IF(BetTable[[#This Row],[Sp]]="","",BetTable[[#This Row],[S1]]+BetTable[[#This Row],[S2]]+BetTable[[#This Row],[S3]])</f>
        <v/>
      </c>
      <c r="T10" s="143" t="str">
        <f>IF(BetTable[[#This Row],[O1]]="","",(BetTable[[#This Row],[WBA1-Commission]])-BetTable[[#This Row],[TS]])</f>
        <v/>
      </c>
      <c r="U10" s="143" t="str">
        <f>IF(BetTable[[#This Row],[O2]]="","",(BetTable[[#This Row],[WBA2-Commission]])-BetTable[[#This Row],[TS]])</f>
        <v/>
      </c>
      <c r="V10" s="143" t="str">
        <f>IF(BetTable[[#This Row],[O3]]="","",(BetTable[[#This Row],[WBA3-Commission]])-BetTable[[#This Row],[TS]])</f>
        <v/>
      </c>
      <c r="W10" s="143">
        <f>IF(NOT(ISBLANK(BetTable[[#This Row],[B1]])),1,0)+IF(NOT(ISBLANK(BetTable[[#This Row],[B2]])),1,0)+IF(NOT(ISBLANK(BetTable[[#This Row],[B3]])),1,0)</f>
        <v>0</v>
      </c>
      <c r="X10" s="143" t="str">
        <f>IF(BetTable[[#This Row],[Outcome1]]="","",BetTable[[#This Row],[WBA1]]+BetTable[[#This Row],[WBA2]]+BetTable[[#This Row],[WBA3]]-BetTable[[#This Row],[TS]])</f>
        <v/>
      </c>
      <c r="Y10" s="143" t="str">
        <f>IF(BetTable[[#This Row],[AR]]="","",BetTable[[#This Row],[AR]]/BetTable[[#This Row],[NumBookies]])</f>
        <v/>
      </c>
      <c r="Z10" s="143">
        <f>(((BetTable[[#This Row],[O1]]-1)*BetTable[[#This Row],[S1]])*(1-(BetTable[[#This Row],[C% 1]]))+BetTable[[#This Row],[S1]])</f>
        <v>0</v>
      </c>
      <c r="AA10" s="143">
        <f>(((BetTable[[#This Row],[O2]]-1)*BetTable[[#This Row],[S2]])*(1-(BetTable[[#This Row],[C% 2]]))+BetTable[[#This Row],[S2]])</f>
        <v>0</v>
      </c>
      <c r="AB10" s="143">
        <f>(((BetTable[[#This Row],[O3]]-1)*BetTable[[#This Row],[S3]])*(1-(BetTable[[#This Row],[C% 3]]))+BetTable[[#This Row],[S3]])</f>
        <v>0</v>
      </c>
      <c r="AC10" s="147" t="str">
        <f>IFERROR(IF(BetTable[[#This Row],[Sp]]="","",BetTable[[#This Row],[R1]]/BetTable[[#This Row],[TS]]),"")</f>
        <v/>
      </c>
      <c r="AD10" s="147" t="str">
        <f>IF(BetTable[[#This Row],[O2]]="","",BetTable[[#This Row],[R2]]/BetTable[[#This Row],[TS]])</f>
        <v/>
      </c>
      <c r="AE10" s="147" t="str">
        <f>IFERROR(IF(BetTable[[#This Row],[Sp]]="","",BetTable[[#This Row],[R3]]/BetTable[[#This Row],[TS]]),"")</f>
        <v/>
      </c>
      <c r="AF10" s="147" t="str">
        <f>IFERROR(IF(BetTable[[#This Row],[Outcome1]]="","",BetTable[[#This Row],[AR]]/BetTable[[#This Row],[TS]]),"")</f>
        <v/>
      </c>
      <c r="AG1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 s="57" t="str">
        <f>IF(BetTable[[#This Row],[Outcome1]]="",AJ65,BetTable[[#This Row],[AR]]+AJ65)</f>
        <v>0</v>
      </c>
      <c r="AK10" s="39"/>
    </row>
    <row r="11" spans="1:37">
      <c r="A11" s="144"/>
      <c r="B11" s="39"/>
      <c r="C11" s="40"/>
      <c r="D11" s="40"/>
      <c r="E11" s="40"/>
      <c r="F11" s="152"/>
      <c r="G11" s="152"/>
      <c r="H11" s="152"/>
      <c r="I11" s="39"/>
      <c r="J11" s="54"/>
      <c r="K11" s="54"/>
      <c r="L11" s="54"/>
      <c r="M11" s="57"/>
      <c r="N11" s="57"/>
      <c r="O11" s="57"/>
      <c r="P11" s="55"/>
      <c r="Q11" s="55"/>
      <c r="R11" s="55"/>
      <c r="S11" s="146" t="str">
        <f>IF(BetTable[[#This Row],[Sp]]="","",BetTable[[#This Row],[S1]]+BetTable[[#This Row],[S2]]+BetTable[[#This Row],[S3]])</f>
        <v/>
      </c>
      <c r="T11" s="143" t="str">
        <f>IF(BetTable[[#This Row],[O1]]="","",(BetTable[[#This Row],[WBA1-Commission]])-BetTable[[#This Row],[TS]])</f>
        <v/>
      </c>
      <c r="U11" s="143" t="str">
        <f>IF(BetTable[[#This Row],[O2]]="","",(BetTable[[#This Row],[WBA2-Commission]])-BetTable[[#This Row],[TS]])</f>
        <v/>
      </c>
      <c r="V11" s="143" t="str">
        <f>IF(BetTable[[#This Row],[O3]]="","",(BetTable[[#This Row],[WBA3-Commission]])-BetTable[[#This Row],[TS]])</f>
        <v/>
      </c>
      <c r="W11" s="143">
        <f>IF(NOT(ISBLANK(BetTable[[#This Row],[B1]])),1,0)+IF(NOT(ISBLANK(BetTable[[#This Row],[B2]])),1,0)+IF(NOT(ISBLANK(BetTable[[#This Row],[B3]])),1,0)</f>
        <v>0</v>
      </c>
      <c r="X11" s="143" t="str">
        <f>IF(BetTable[[#This Row],[Outcome1]]="","",BetTable[[#This Row],[WBA1]]+BetTable[[#This Row],[WBA2]]+BetTable[[#This Row],[WBA3]]-BetTable[[#This Row],[TS]])</f>
        <v/>
      </c>
      <c r="Y11" s="143" t="str">
        <f>IF(BetTable[[#This Row],[AR]]="","",BetTable[[#This Row],[AR]]/BetTable[[#This Row],[NumBookies]])</f>
        <v/>
      </c>
      <c r="Z11" s="143">
        <f>(((BetTable[[#This Row],[O1]]-1)*BetTable[[#This Row],[S1]])*(1-(BetTable[[#This Row],[C% 1]]))+BetTable[[#This Row],[S1]])</f>
        <v>0</v>
      </c>
      <c r="AA11" s="143">
        <f>(((BetTable[[#This Row],[O2]]-1)*BetTable[[#This Row],[S2]])*(1-(BetTable[[#This Row],[C% 2]]))+BetTable[[#This Row],[S2]])</f>
        <v>0</v>
      </c>
      <c r="AB11" s="143">
        <f>(((BetTable[[#This Row],[O3]]-1)*BetTable[[#This Row],[S3]])*(1-(BetTable[[#This Row],[C% 3]]))+BetTable[[#This Row],[S3]])</f>
        <v>0</v>
      </c>
      <c r="AC11" s="147" t="str">
        <f>IFERROR(IF(BetTable[[#This Row],[Sp]]="","",BetTable[[#This Row],[R1]]/BetTable[[#This Row],[TS]]),"")</f>
        <v/>
      </c>
      <c r="AD11" s="147" t="str">
        <f>IF(BetTable[[#This Row],[O2]]="","",BetTable[[#This Row],[R2]]/BetTable[[#This Row],[TS]])</f>
        <v/>
      </c>
      <c r="AE11" s="147" t="str">
        <f>IFERROR(IF(BetTable[[#This Row],[Sp]]="","",BetTable[[#This Row],[R3]]/BetTable[[#This Row],[TS]]),"")</f>
        <v/>
      </c>
      <c r="AF11" s="147" t="str">
        <f>IFERROR(IF(BetTable[[#This Row],[Outcome1]]="","",BetTable[[#This Row],[AR]]/BetTable[[#This Row],[TS]]),"")</f>
        <v/>
      </c>
      <c r="AG1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 s="57" t="str">
        <f>IF(BetTable[[#This Row],[Outcome1]]="",AJ10,BetTable[[#This Row],[AR]]+AJ10)</f>
        <v>0</v>
      </c>
      <c r="AK11" s="39"/>
    </row>
    <row r="12" spans="1:37">
      <c r="A12" s="144"/>
      <c r="B12" s="39"/>
      <c r="C12" s="40"/>
      <c r="D12" s="40"/>
      <c r="E12" s="40"/>
      <c r="F12" s="152"/>
      <c r="G12" s="152"/>
      <c r="H12" s="152"/>
      <c r="I12" s="39"/>
      <c r="J12" s="54"/>
      <c r="K12" s="54"/>
      <c r="L12" s="54"/>
      <c r="M12" s="57"/>
      <c r="N12" s="57"/>
      <c r="O12" s="57"/>
      <c r="P12" s="55"/>
      <c r="Q12" s="55"/>
      <c r="R12" s="55"/>
      <c r="S12" s="146" t="str">
        <f>IF(BetTable[[#This Row],[Sp]]="","",BetTable[[#This Row],[S1]]+BetTable[[#This Row],[S2]]+BetTable[[#This Row],[S3]])</f>
        <v/>
      </c>
      <c r="T12" s="143" t="str">
        <f>IF(BetTable[[#This Row],[O1]]="","",(BetTable[[#This Row],[WBA1-Commission]])-BetTable[[#This Row],[TS]])</f>
        <v/>
      </c>
      <c r="U12" s="143" t="str">
        <f>IF(BetTable[[#This Row],[O2]]="","",(BetTable[[#This Row],[WBA2-Commission]])-BetTable[[#This Row],[TS]])</f>
        <v/>
      </c>
      <c r="V12" s="143" t="str">
        <f>IF(BetTable[[#This Row],[O3]]="","",(BetTable[[#This Row],[WBA3-Commission]])-BetTable[[#This Row],[TS]])</f>
        <v/>
      </c>
      <c r="W12" s="143">
        <f>IF(NOT(ISBLANK(BetTable[[#This Row],[B1]])),1,0)+IF(NOT(ISBLANK(BetTable[[#This Row],[B2]])),1,0)+IF(NOT(ISBLANK(BetTable[[#This Row],[B3]])),1,0)</f>
        <v>0</v>
      </c>
      <c r="X12" s="143" t="str">
        <f>IF(BetTable[[#This Row],[Outcome1]]="","",BetTable[[#This Row],[WBA1]]+BetTable[[#This Row],[WBA2]]+BetTable[[#This Row],[WBA3]]-BetTable[[#This Row],[TS]])</f>
        <v/>
      </c>
      <c r="Y12" s="143" t="str">
        <f>IF(BetTable[[#This Row],[AR]]="","",BetTable[[#This Row],[AR]]/BetTable[[#This Row],[NumBookies]])</f>
        <v/>
      </c>
      <c r="Z12" s="143">
        <f>(((BetTable[[#This Row],[O1]]-1)*BetTable[[#This Row],[S1]])*(1-(BetTable[[#This Row],[C% 1]]))+BetTable[[#This Row],[S1]])</f>
        <v>0</v>
      </c>
      <c r="AA12" s="143">
        <f>(((BetTable[[#This Row],[O2]]-1)*BetTable[[#This Row],[S2]])*(1-(BetTable[[#This Row],[C% 2]]))+BetTable[[#This Row],[S2]])</f>
        <v>0</v>
      </c>
      <c r="AB12" s="143">
        <f>(((BetTable[[#This Row],[O3]]-1)*BetTable[[#This Row],[S3]])*(1-(BetTable[[#This Row],[C% 3]]))+BetTable[[#This Row],[S3]])</f>
        <v>0</v>
      </c>
      <c r="AC12" s="147" t="str">
        <f>IFERROR(IF(BetTable[[#This Row],[Sp]]="","",BetTable[[#This Row],[R1]]/BetTable[[#This Row],[TS]]),"")</f>
        <v/>
      </c>
      <c r="AD12" s="147" t="str">
        <f>IF(BetTable[[#This Row],[O2]]="","",BetTable[[#This Row],[R2]]/BetTable[[#This Row],[TS]])</f>
        <v/>
      </c>
      <c r="AE12" s="147" t="str">
        <f>IFERROR(IF(BetTable[[#This Row],[Sp]]="","",BetTable[[#This Row],[R3]]/BetTable[[#This Row],[TS]]),"")</f>
        <v/>
      </c>
      <c r="AF12" s="147" t="str">
        <f>IFERROR(IF(BetTable[[#This Row],[Outcome1]]="","",BetTable[[#This Row],[AR]]/BetTable[[#This Row],[TS]]),"")</f>
        <v/>
      </c>
      <c r="AG1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 s="57" t="str">
        <f>IF(BetTable[[#This Row],[Outcome1]]="",AJ11,BetTable[[#This Row],[AR]]+AJ11)</f>
        <v>0</v>
      </c>
      <c r="AK12" s="39"/>
    </row>
    <row r="13" spans="1:37">
      <c r="A13" s="144"/>
      <c r="B13" s="39"/>
      <c r="C13" s="40"/>
      <c r="D13" s="40"/>
      <c r="E13" s="40"/>
      <c r="F13" s="152"/>
      <c r="G13" s="152"/>
      <c r="H13" s="152"/>
      <c r="I13" s="39"/>
      <c r="J13" s="54"/>
      <c r="K13" s="54"/>
      <c r="L13" s="54"/>
      <c r="M13" s="57"/>
      <c r="N13" s="57"/>
      <c r="O13" s="57"/>
      <c r="P13" s="55"/>
      <c r="Q13" s="55"/>
      <c r="R13" s="55"/>
      <c r="S13" s="146" t="str">
        <f>IF(BetTable[[#This Row],[Sp]]="","",BetTable[[#This Row],[S1]]+BetTable[[#This Row],[S2]]+BetTable[[#This Row],[S3]])</f>
        <v/>
      </c>
      <c r="T13" s="143" t="str">
        <f>IF(BetTable[[#This Row],[O1]]="","",(BetTable[[#This Row],[WBA1-Commission]])-BetTable[[#This Row],[TS]])</f>
        <v/>
      </c>
      <c r="U13" s="143" t="str">
        <f>IF(BetTable[[#This Row],[O2]]="","",(BetTable[[#This Row],[WBA2-Commission]])-BetTable[[#This Row],[TS]])</f>
        <v/>
      </c>
      <c r="V13" s="143" t="str">
        <f>IF(BetTable[[#This Row],[O3]]="","",(BetTable[[#This Row],[WBA3-Commission]])-BetTable[[#This Row],[TS]])</f>
        <v/>
      </c>
      <c r="W13" s="143">
        <f>IF(NOT(ISBLANK(BetTable[[#This Row],[B1]])),1,0)+IF(NOT(ISBLANK(BetTable[[#This Row],[B2]])),1,0)+IF(NOT(ISBLANK(BetTable[[#This Row],[B3]])),1,0)</f>
        <v>0</v>
      </c>
      <c r="X13" s="143" t="str">
        <f>IF(BetTable[[#This Row],[Outcome1]]="","",BetTable[[#This Row],[WBA1]]+BetTable[[#This Row],[WBA2]]+BetTable[[#This Row],[WBA3]]-BetTable[[#This Row],[TS]])</f>
        <v/>
      </c>
      <c r="Y13" s="143" t="str">
        <f>IF(BetTable[[#This Row],[AR]]="","",BetTable[[#This Row],[AR]]/BetTable[[#This Row],[NumBookies]])</f>
        <v/>
      </c>
      <c r="Z13" s="143">
        <f>(((BetTable[[#This Row],[O1]]-1)*BetTable[[#This Row],[S1]])*(1-(BetTable[[#This Row],[C% 1]]))+BetTable[[#This Row],[S1]])</f>
        <v>0</v>
      </c>
      <c r="AA13" s="143">
        <f>(((BetTable[[#This Row],[O2]]-1)*BetTable[[#This Row],[S2]])*(1-(BetTable[[#This Row],[C% 2]]))+BetTable[[#This Row],[S2]])</f>
        <v>0</v>
      </c>
      <c r="AB13" s="143">
        <f>(((BetTable[[#This Row],[O3]]-1)*BetTable[[#This Row],[S3]])*(1-(BetTable[[#This Row],[C% 3]]))+BetTable[[#This Row],[S3]])</f>
        <v>0</v>
      </c>
      <c r="AC13" s="147" t="str">
        <f>IFERROR(IF(BetTable[[#This Row],[Sp]]="","",BetTable[[#This Row],[R1]]/BetTable[[#This Row],[TS]]),"")</f>
        <v/>
      </c>
      <c r="AD13" s="147" t="str">
        <f>IF(BetTable[[#This Row],[O2]]="","",BetTable[[#This Row],[R2]]/BetTable[[#This Row],[TS]])</f>
        <v/>
      </c>
      <c r="AE13" s="147" t="str">
        <f>IFERROR(IF(BetTable[[#This Row],[Sp]]="","",BetTable[[#This Row],[R3]]/BetTable[[#This Row],[TS]]),"")</f>
        <v/>
      </c>
      <c r="AF13" s="147" t="str">
        <f>IFERROR(IF(BetTable[[#This Row],[Outcome1]]="","",BetTable[[#This Row],[AR]]/BetTable[[#This Row],[TS]]),"")</f>
        <v/>
      </c>
      <c r="AG1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 s="57" t="str">
        <f>IF(BetTable[[#This Row],[Outcome1]]="",AJ12,BetTable[[#This Row],[AR]]+AJ12)</f>
        <v>0</v>
      </c>
      <c r="AK13" s="39"/>
    </row>
    <row r="14" spans="1:37">
      <c r="A14" s="144"/>
      <c r="B14" s="39"/>
      <c r="C14" s="40"/>
      <c r="D14" s="40"/>
      <c r="E14" s="40"/>
      <c r="F14" s="152"/>
      <c r="G14" s="152"/>
      <c r="H14" s="152"/>
      <c r="I14" s="39"/>
      <c r="J14" s="54"/>
      <c r="K14" s="54"/>
      <c r="L14" s="54"/>
      <c r="M14" s="57"/>
      <c r="N14" s="57"/>
      <c r="O14" s="57"/>
      <c r="P14" s="55"/>
      <c r="Q14" s="55"/>
      <c r="R14" s="55"/>
      <c r="S14" s="146" t="str">
        <f>IF(BetTable[[#This Row],[Sp]]="","",BetTable[[#This Row],[S1]]+BetTable[[#This Row],[S2]]+BetTable[[#This Row],[S3]])</f>
        <v/>
      </c>
      <c r="T14" s="143" t="str">
        <f>IF(BetTable[[#This Row],[O1]]="","",(BetTable[[#This Row],[WBA1-Commission]])-BetTable[[#This Row],[TS]])</f>
        <v/>
      </c>
      <c r="U14" s="143" t="str">
        <f>IF(BetTable[[#This Row],[O2]]="","",(BetTable[[#This Row],[WBA2-Commission]])-BetTable[[#This Row],[TS]])</f>
        <v/>
      </c>
      <c r="V14" s="143" t="str">
        <f>IF(BetTable[[#This Row],[O3]]="","",(BetTable[[#This Row],[WBA3-Commission]])-BetTable[[#This Row],[TS]])</f>
        <v/>
      </c>
      <c r="W14" s="143">
        <f>IF(NOT(ISBLANK(BetTable[[#This Row],[B1]])),1,0)+IF(NOT(ISBLANK(BetTable[[#This Row],[B2]])),1,0)+IF(NOT(ISBLANK(BetTable[[#This Row],[B3]])),1,0)</f>
        <v>0</v>
      </c>
      <c r="X14" s="143" t="str">
        <f>IF(BetTable[[#This Row],[Outcome1]]="","",BetTable[[#This Row],[WBA1]]+BetTable[[#This Row],[WBA2]]+BetTable[[#This Row],[WBA3]]-BetTable[[#This Row],[TS]])</f>
        <v/>
      </c>
      <c r="Y14" s="143" t="str">
        <f>IF(BetTable[[#This Row],[AR]]="","",BetTable[[#This Row],[AR]]/BetTable[[#This Row],[NumBookies]])</f>
        <v/>
      </c>
      <c r="Z14" s="143">
        <f>(((BetTable[[#This Row],[O1]]-1)*BetTable[[#This Row],[S1]])*(1-(BetTable[[#This Row],[C% 1]]))+BetTable[[#This Row],[S1]])</f>
        <v>0</v>
      </c>
      <c r="AA14" s="143">
        <f>(((BetTable[[#This Row],[O2]]-1)*BetTable[[#This Row],[S2]])*(1-(BetTable[[#This Row],[C% 2]]))+BetTable[[#This Row],[S2]])</f>
        <v>0</v>
      </c>
      <c r="AB14" s="143">
        <f>(((BetTable[[#This Row],[O3]]-1)*BetTable[[#This Row],[S3]])*(1-(BetTable[[#This Row],[C% 3]]))+BetTable[[#This Row],[S3]])</f>
        <v>0</v>
      </c>
      <c r="AC14" s="147" t="str">
        <f>IFERROR(IF(BetTable[[#This Row],[Sp]]="","",BetTable[[#This Row],[R1]]/BetTable[[#This Row],[TS]]),"")</f>
        <v/>
      </c>
      <c r="AD14" s="147" t="str">
        <f>IF(BetTable[[#This Row],[O2]]="","",BetTable[[#This Row],[R2]]/BetTable[[#This Row],[TS]])</f>
        <v/>
      </c>
      <c r="AE14" s="147" t="str">
        <f>IFERROR(IF(BetTable[[#This Row],[Sp]]="","",BetTable[[#This Row],[R3]]/BetTable[[#This Row],[TS]]),"")</f>
        <v/>
      </c>
      <c r="AF14" s="147" t="str">
        <f>IFERROR(IF(BetTable[[#This Row],[Outcome1]]="","",BetTable[[#This Row],[AR]]/BetTable[[#This Row],[TS]]),"")</f>
        <v/>
      </c>
      <c r="AG1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 s="57" t="str">
        <f>IF(BetTable[[#This Row],[Outcome1]]="",AJ13,BetTable[[#This Row],[AR]]+AJ13)</f>
        <v>0</v>
      </c>
      <c r="AK14" s="39"/>
    </row>
    <row r="15" spans="1:37">
      <c r="A15" s="144"/>
      <c r="B15" s="39"/>
      <c r="C15" s="40"/>
      <c r="D15" s="40"/>
      <c r="E15" s="40"/>
      <c r="F15" s="152"/>
      <c r="G15" s="152"/>
      <c r="H15" s="152"/>
      <c r="I15" s="39"/>
      <c r="J15" s="54"/>
      <c r="K15" s="54"/>
      <c r="L15" s="54"/>
      <c r="M15" s="57"/>
      <c r="N15" s="57"/>
      <c r="O15" s="57"/>
      <c r="P15" s="55"/>
      <c r="Q15" s="55"/>
      <c r="R15" s="55"/>
      <c r="S15" s="146" t="str">
        <f>IF(BetTable[[#This Row],[Sp]]="","",BetTable[[#This Row],[S1]]+BetTable[[#This Row],[S2]]+BetTable[[#This Row],[S3]])</f>
        <v/>
      </c>
      <c r="T15" s="143" t="str">
        <f>IF(BetTable[[#This Row],[O1]]="","",(BetTable[[#This Row],[WBA1-Commission]])-BetTable[[#This Row],[TS]])</f>
        <v/>
      </c>
      <c r="U15" s="143" t="str">
        <f>IF(BetTable[[#This Row],[O2]]="","",(BetTable[[#This Row],[WBA2-Commission]])-BetTable[[#This Row],[TS]])</f>
        <v/>
      </c>
      <c r="V15" s="143" t="str">
        <f>IF(BetTable[[#This Row],[O3]]="","",(BetTable[[#This Row],[WBA3-Commission]])-BetTable[[#This Row],[TS]])</f>
        <v/>
      </c>
      <c r="W15" s="143">
        <f>IF(NOT(ISBLANK(BetTable[[#This Row],[B1]])),1,0)+IF(NOT(ISBLANK(BetTable[[#This Row],[B2]])),1,0)+IF(NOT(ISBLANK(BetTable[[#This Row],[B3]])),1,0)</f>
        <v>0</v>
      </c>
      <c r="X15" s="143" t="str">
        <f>IF(BetTable[[#This Row],[Outcome1]]="","",BetTable[[#This Row],[WBA1]]+BetTable[[#This Row],[WBA2]]+BetTable[[#This Row],[WBA3]]-BetTable[[#This Row],[TS]])</f>
        <v/>
      </c>
      <c r="Y15" s="143" t="str">
        <f>IF(BetTable[[#This Row],[AR]]="","",BetTable[[#This Row],[AR]]/BetTable[[#This Row],[NumBookies]])</f>
        <v/>
      </c>
      <c r="Z15" s="143">
        <f>(((BetTable[[#This Row],[O1]]-1)*BetTable[[#This Row],[S1]])*(1-(BetTable[[#This Row],[C% 1]]))+BetTable[[#This Row],[S1]])</f>
        <v>0</v>
      </c>
      <c r="AA15" s="143">
        <f>(((BetTable[[#This Row],[O2]]-1)*BetTable[[#This Row],[S2]])*(1-(BetTable[[#This Row],[C% 2]]))+BetTable[[#This Row],[S2]])</f>
        <v>0</v>
      </c>
      <c r="AB15" s="143">
        <f>(((BetTable[[#This Row],[O3]]-1)*BetTable[[#This Row],[S3]])*(1-(BetTable[[#This Row],[C% 3]]))+BetTable[[#This Row],[S3]])</f>
        <v>0</v>
      </c>
      <c r="AC15" s="147" t="str">
        <f>IFERROR(IF(BetTable[[#This Row],[Sp]]="","",BetTable[[#This Row],[R1]]/BetTable[[#This Row],[TS]]),"")</f>
        <v/>
      </c>
      <c r="AD15" s="147" t="str">
        <f>IF(BetTable[[#This Row],[O2]]="","",BetTable[[#This Row],[R2]]/BetTable[[#This Row],[TS]])</f>
        <v/>
      </c>
      <c r="AE15" s="147" t="str">
        <f>IFERROR(IF(BetTable[[#This Row],[Sp]]="","",BetTable[[#This Row],[R3]]/BetTable[[#This Row],[TS]]),"")</f>
        <v/>
      </c>
      <c r="AF15" s="147" t="str">
        <f>IFERROR(IF(BetTable[[#This Row],[Outcome1]]="","",BetTable[[#This Row],[AR]]/BetTable[[#This Row],[TS]]),"")</f>
        <v/>
      </c>
      <c r="AG1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 s="57" t="str">
        <f>IF(BetTable[[#This Row],[Outcome1]]="",AJ14,BetTable[[#This Row],[AR]]+AJ14)</f>
        <v>0</v>
      </c>
      <c r="AK15" s="39"/>
    </row>
    <row r="16" spans="1:37">
      <c r="A16" s="144"/>
      <c r="B16" s="39"/>
      <c r="C16" s="40"/>
      <c r="D16" s="40"/>
      <c r="E16" s="40"/>
      <c r="F16" s="152"/>
      <c r="G16" s="152"/>
      <c r="H16" s="152"/>
      <c r="I16" s="39"/>
      <c r="J16" s="54"/>
      <c r="K16" s="54"/>
      <c r="L16" s="54"/>
      <c r="M16" s="57"/>
      <c r="N16" s="57"/>
      <c r="O16" s="57"/>
      <c r="P16" s="55"/>
      <c r="Q16" s="55"/>
      <c r="R16" s="55"/>
      <c r="S16" s="146" t="str">
        <f>IF(BetTable[[#This Row],[Sp]]="","",BetTable[[#This Row],[S1]]+BetTable[[#This Row],[S2]]+BetTable[[#This Row],[S3]])</f>
        <v/>
      </c>
      <c r="T16" s="143" t="str">
        <f>IF(BetTable[[#This Row],[O1]]="","",(BetTable[[#This Row],[WBA1-Commission]])-BetTable[[#This Row],[TS]])</f>
        <v/>
      </c>
      <c r="U16" s="143" t="str">
        <f>IF(BetTable[[#This Row],[O2]]="","",(BetTable[[#This Row],[WBA2-Commission]])-BetTable[[#This Row],[TS]])</f>
        <v/>
      </c>
      <c r="V16" s="143" t="str">
        <f>IF(BetTable[[#This Row],[O3]]="","",(BetTable[[#This Row],[WBA3-Commission]])-BetTable[[#This Row],[TS]])</f>
        <v/>
      </c>
      <c r="W16" s="143">
        <f>IF(NOT(ISBLANK(BetTable[[#This Row],[B1]])),1,0)+IF(NOT(ISBLANK(BetTable[[#This Row],[B2]])),1,0)+IF(NOT(ISBLANK(BetTable[[#This Row],[B3]])),1,0)</f>
        <v>0</v>
      </c>
      <c r="X16" s="143" t="str">
        <f>IF(BetTable[[#This Row],[Outcome1]]="","",BetTable[[#This Row],[WBA1]]+BetTable[[#This Row],[WBA2]]+BetTable[[#This Row],[WBA3]]-BetTable[[#This Row],[TS]])</f>
        <v/>
      </c>
      <c r="Y16" s="143" t="str">
        <f>IF(BetTable[[#This Row],[AR]]="","",BetTable[[#This Row],[AR]]/BetTable[[#This Row],[NumBookies]])</f>
        <v/>
      </c>
      <c r="Z16" s="143">
        <f>(((BetTable[[#This Row],[O1]]-1)*BetTable[[#This Row],[S1]])*(1-(BetTable[[#This Row],[C% 1]]))+BetTable[[#This Row],[S1]])</f>
        <v>0</v>
      </c>
      <c r="AA16" s="143">
        <f>(((BetTable[[#This Row],[O2]]-1)*BetTable[[#This Row],[S2]])*(1-(BetTable[[#This Row],[C% 2]]))+BetTable[[#This Row],[S2]])</f>
        <v>0</v>
      </c>
      <c r="AB16" s="143">
        <f>(((BetTable[[#This Row],[O3]]-1)*BetTable[[#This Row],[S3]])*(1-(BetTable[[#This Row],[C% 3]]))+BetTable[[#This Row],[S3]])</f>
        <v>0</v>
      </c>
      <c r="AC16" s="147" t="str">
        <f>IFERROR(IF(BetTable[[#This Row],[Sp]]="","",BetTable[[#This Row],[R1]]/BetTable[[#This Row],[TS]]),"")</f>
        <v/>
      </c>
      <c r="AD16" s="147" t="str">
        <f>IF(BetTable[[#This Row],[O2]]="","",BetTable[[#This Row],[R2]]/BetTable[[#This Row],[TS]])</f>
        <v/>
      </c>
      <c r="AE16" s="147" t="str">
        <f>IFERROR(IF(BetTable[[#This Row],[Sp]]="","",BetTable[[#This Row],[R3]]/BetTable[[#This Row],[TS]]),"")</f>
        <v/>
      </c>
      <c r="AF16" s="147" t="str">
        <f>IFERROR(IF(BetTable[[#This Row],[Outcome1]]="","",BetTable[[#This Row],[AR]]/BetTable[[#This Row],[TS]]),"")</f>
        <v/>
      </c>
      <c r="AG1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 s="57" t="str">
        <f>IF(BetTable[[#This Row],[Outcome1]]="",AJ15,BetTable[[#This Row],[AR]]+AJ15)</f>
        <v>0</v>
      </c>
      <c r="AK16" s="39"/>
    </row>
    <row r="17" spans="1:37">
      <c r="A17" s="144"/>
      <c r="B17" s="39"/>
      <c r="C17" s="40"/>
      <c r="D17" s="40"/>
      <c r="E17" s="40"/>
      <c r="F17" s="152"/>
      <c r="G17" s="152"/>
      <c r="H17" s="152"/>
      <c r="I17" s="39"/>
      <c r="J17" s="54"/>
      <c r="K17" s="54"/>
      <c r="L17" s="54"/>
      <c r="M17" s="57"/>
      <c r="N17" s="57"/>
      <c r="O17" s="57"/>
      <c r="P17" s="55"/>
      <c r="Q17" s="55"/>
      <c r="R17" s="55"/>
      <c r="S17" s="146" t="str">
        <f>IF(BetTable[[#This Row],[Sp]]="","",BetTable[[#This Row],[S1]]+BetTable[[#This Row],[S2]]+BetTable[[#This Row],[S3]])</f>
        <v/>
      </c>
      <c r="T17" s="143" t="str">
        <f>IF(BetTable[[#This Row],[O1]]="","",(BetTable[[#This Row],[WBA1-Commission]])-BetTable[[#This Row],[TS]])</f>
        <v/>
      </c>
      <c r="U17" s="143" t="str">
        <f>IF(BetTable[[#This Row],[O2]]="","",(BetTable[[#This Row],[WBA2-Commission]])-BetTable[[#This Row],[TS]])</f>
        <v/>
      </c>
      <c r="V17" s="143" t="str">
        <f>IF(BetTable[[#This Row],[O3]]="","",(BetTable[[#This Row],[WBA3-Commission]])-BetTable[[#This Row],[TS]])</f>
        <v/>
      </c>
      <c r="W17" s="143">
        <f>IF(NOT(ISBLANK(BetTable[[#This Row],[B1]])),1,0)+IF(NOT(ISBLANK(BetTable[[#This Row],[B2]])),1,0)+IF(NOT(ISBLANK(BetTable[[#This Row],[B3]])),1,0)</f>
        <v>0</v>
      </c>
      <c r="X17" s="143" t="str">
        <f>IF(BetTable[[#This Row],[Outcome1]]="","",BetTable[[#This Row],[WBA1]]+BetTable[[#This Row],[WBA2]]+BetTable[[#This Row],[WBA3]]-BetTable[[#This Row],[TS]])</f>
        <v/>
      </c>
      <c r="Y17" s="143" t="str">
        <f>IF(BetTable[[#This Row],[AR]]="","",BetTable[[#This Row],[AR]]/BetTable[[#This Row],[NumBookies]])</f>
        <v/>
      </c>
      <c r="Z17" s="143">
        <f>(((BetTable[[#This Row],[O1]]-1)*BetTable[[#This Row],[S1]])*(1-(BetTable[[#This Row],[C% 1]]))+BetTable[[#This Row],[S1]])</f>
        <v>0</v>
      </c>
      <c r="AA17" s="143">
        <f>(((BetTable[[#This Row],[O2]]-1)*BetTable[[#This Row],[S2]])*(1-(BetTable[[#This Row],[C% 2]]))+BetTable[[#This Row],[S2]])</f>
        <v>0</v>
      </c>
      <c r="AB17" s="143">
        <f>(((BetTable[[#This Row],[O3]]-1)*BetTable[[#This Row],[S3]])*(1-(BetTable[[#This Row],[C% 3]]))+BetTable[[#This Row],[S3]])</f>
        <v>0</v>
      </c>
      <c r="AC17" s="147" t="str">
        <f>IFERROR(IF(BetTable[[#This Row],[Sp]]="","",BetTable[[#This Row],[R1]]/BetTable[[#This Row],[TS]]),"")</f>
        <v/>
      </c>
      <c r="AD17" s="147" t="str">
        <f>IF(BetTable[[#This Row],[O2]]="","",BetTable[[#This Row],[R2]]/BetTable[[#This Row],[TS]])</f>
        <v/>
      </c>
      <c r="AE17" s="147" t="str">
        <f>IFERROR(IF(BetTable[[#This Row],[Sp]]="","",BetTable[[#This Row],[R3]]/BetTable[[#This Row],[TS]]),"")</f>
        <v/>
      </c>
      <c r="AF17" s="147" t="str">
        <f>IFERROR(IF(BetTable[[#This Row],[Outcome1]]="","",BetTable[[#This Row],[AR]]/BetTable[[#This Row],[TS]]),"")</f>
        <v/>
      </c>
      <c r="AG1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 s="57" t="str">
        <f>IF(BetTable[[#This Row],[Outcome1]]="",AJ16,BetTable[[#This Row],[AR]]+AJ16)</f>
        <v>0</v>
      </c>
      <c r="AK17" s="39"/>
    </row>
    <row r="18" spans="1:37">
      <c r="A18" s="144"/>
      <c r="B18" s="39"/>
      <c r="C18" s="40"/>
      <c r="D18" s="40"/>
      <c r="E18" s="40"/>
      <c r="F18" s="152"/>
      <c r="G18" s="152"/>
      <c r="H18" s="152"/>
      <c r="I18" s="39"/>
      <c r="J18" s="54"/>
      <c r="K18" s="54"/>
      <c r="L18" s="54"/>
      <c r="M18" s="57"/>
      <c r="N18" s="57"/>
      <c r="O18" s="57"/>
      <c r="P18" s="55"/>
      <c r="Q18" s="55"/>
      <c r="R18" s="55"/>
      <c r="S18" s="146" t="str">
        <f>IF(BetTable[[#This Row],[Sp]]="","",BetTable[[#This Row],[S1]]+BetTable[[#This Row],[S2]]+BetTable[[#This Row],[S3]])</f>
        <v/>
      </c>
      <c r="T18" s="143" t="str">
        <f>IF(BetTable[[#This Row],[O1]]="","",(BetTable[[#This Row],[WBA1-Commission]])-BetTable[[#This Row],[TS]])</f>
        <v/>
      </c>
      <c r="U18" s="143" t="str">
        <f>IF(BetTable[[#This Row],[O2]]="","",(BetTable[[#This Row],[WBA2-Commission]])-BetTable[[#This Row],[TS]])</f>
        <v/>
      </c>
      <c r="V18" s="143" t="str">
        <f>IF(BetTable[[#This Row],[O3]]="","",(BetTable[[#This Row],[WBA3-Commission]])-BetTable[[#This Row],[TS]])</f>
        <v/>
      </c>
      <c r="W18" s="143">
        <f>IF(NOT(ISBLANK(BetTable[[#This Row],[B1]])),1,0)+IF(NOT(ISBLANK(BetTable[[#This Row],[B2]])),1,0)+IF(NOT(ISBLANK(BetTable[[#This Row],[B3]])),1,0)</f>
        <v>0</v>
      </c>
      <c r="X18" s="143" t="str">
        <f>IF(BetTable[[#This Row],[Outcome1]]="","",BetTable[[#This Row],[WBA1]]+BetTable[[#This Row],[WBA2]]+BetTable[[#This Row],[WBA3]]-BetTable[[#This Row],[TS]])</f>
        <v/>
      </c>
      <c r="Y18" s="143" t="str">
        <f>IF(BetTable[[#This Row],[AR]]="","",BetTable[[#This Row],[AR]]/BetTable[[#This Row],[NumBookies]])</f>
        <v/>
      </c>
      <c r="Z18" s="143">
        <f>(((BetTable[[#This Row],[O1]]-1)*BetTable[[#This Row],[S1]])*(1-(BetTable[[#This Row],[C% 1]]))+BetTable[[#This Row],[S1]])</f>
        <v>0</v>
      </c>
      <c r="AA18" s="143">
        <f>(((BetTable[[#This Row],[O2]]-1)*BetTable[[#This Row],[S2]])*(1-(BetTable[[#This Row],[C% 2]]))+BetTable[[#This Row],[S2]])</f>
        <v>0</v>
      </c>
      <c r="AB18" s="143">
        <f>(((BetTable[[#This Row],[O3]]-1)*BetTable[[#This Row],[S3]])*(1-(BetTable[[#This Row],[C% 3]]))+BetTable[[#This Row],[S3]])</f>
        <v>0</v>
      </c>
      <c r="AC18" s="147" t="str">
        <f>IFERROR(IF(BetTable[[#This Row],[Sp]]="","",BetTable[[#This Row],[R1]]/BetTable[[#This Row],[TS]]),"")</f>
        <v/>
      </c>
      <c r="AD18" s="147" t="str">
        <f>IF(BetTable[[#This Row],[O2]]="","",BetTable[[#This Row],[R2]]/BetTable[[#This Row],[TS]])</f>
        <v/>
      </c>
      <c r="AE18" s="147" t="str">
        <f>IFERROR(IF(BetTable[[#This Row],[Sp]]="","",BetTable[[#This Row],[R3]]/BetTable[[#This Row],[TS]]),"")</f>
        <v/>
      </c>
      <c r="AF18" s="147" t="str">
        <f>IFERROR(IF(BetTable[[#This Row],[Outcome1]]="","",BetTable[[#This Row],[AR]]/BetTable[[#This Row],[TS]]),"")</f>
        <v/>
      </c>
      <c r="AG1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 s="57" t="str">
        <f>IF(BetTable[[#This Row],[Outcome1]]="",AJ17,BetTable[[#This Row],[AR]]+AJ17)</f>
        <v>0</v>
      </c>
      <c r="AK18" s="39"/>
    </row>
    <row r="19" spans="1:37">
      <c r="A19" s="144"/>
      <c r="B19" s="39"/>
      <c r="C19" s="40"/>
      <c r="D19" s="40"/>
      <c r="E19" s="40"/>
      <c r="F19" s="152"/>
      <c r="G19" s="152"/>
      <c r="H19" s="152"/>
      <c r="I19" s="39"/>
      <c r="J19" s="54"/>
      <c r="K19" s="54"/>
      <c r="L19" s="54"/>
      <c r="M19" s="57"/>
      <c r="N19" s="57"/>
      <c r="O19" s="57"/>
      <c r="P19" s="55"/>
      <c r="Q19" s="55"/>
      <c r="R19" s="55"/>
      <c r="S19" s="146" t="str">
        <f>IF(BetTable[[#This Row],[Sp]]="","",BetTable[[#This Row],[S1]]+BetTable[[#This Row],[S2]]+BetTable[[#This Row],[S3]])</f>
        <v/>
      </c>
      <c r="T19" s="143" t="str">
        <f>IF(BetTable[[#This Row],[O1]]="","",(BetTable[[#This Row],[WBA1-Commission]])-BetTable[[#This Row],[TS]])</f>
        <v/>
      </c>
      <c r="U19" s="143" t="str">
        <f>IF(BetTable[[#This Row],[O2]]="","",(BetTable[[#This Row],[WBA2-Commission]])-BetTable[[#This Row],[TS]])</f>
        <v/>
      </c>
      <c r="V19" s="143" t="str">
        <f>IF(BetTable[[#This Row],[O3]]="","",(BetTable[[#This Row],[WBA3-Commission]])-BetTable[[#This Row],[TS]])</f>
        <v/>
      </c>
      <c r="W19" s="143">
        <f>IF(NOT(ISBLANK(BetTable[[#This Row],[B1]])),1,0)+IF(NOT(ISBLANK(BetTable[[#This Row],[B2]])),1,0)+IF(NOT(ISBLANK(BetTable[[#This Row],[B3]])),1,0)</f>
        <v>0</v>
      </c>
      <c r="X19" s="143" t="str">
        <f>IF(BetTable[[#This Row],[Outcome1]]="","",BetTable[[#This Row],[WBA1]]+BetTable[[#This Row],[WBA2]]+BetTable[[#This Row],[WBA3]]-BetTable[[#This Row],[TS]])</f>
        <v/>
      </c>
      <c r="Y19" s="143" t="str">
        <f>IF(BetTable[[#This Row],[AR]]="","",BetTable[[#This Row],[AR]]/BetTable[[#This Row],[NumBookies]])</f>
        <v/>
      </c>
      <c r="Z19" s="143">
        <f>(((BetTable[[#This Row],[O1]]-1)*BetTable[[#This Row],[S1]])*(1-(BetTable[[#This Row],[C% 1]]))+BetTable[[#This Row],[S1]])</f>
        <v>0</v>
      </c>
      <c r="AA19" s="143">
        <f>(((BetTable[[#This Row],[O2]]-1)*BetTable[[#This Row],[S2]])*(1-(BetTable[[#This Row],[C% 2]]))+BetTable[[#This Row],[S2]])</f>
        <v>0</v>
      </c>
      <c r="AB19" s="143">
        <f>(((BetTable[[#This Row],[O3]]-1)*BetTable[[#This Row],[S3]])*(1-(BetTable[[#This Row],[C% 3]]))+BetTable[[#This Row],[S3]])</f>
        <v>0</v>
      </c>
      <c r="AC19" s="147" t="str">
        <f>IFERROR(IF(BetTable[[#This Row],[Sp]]="","",BetTable[[#This Row],[R1]]/BetTable[[#This Row],[TS]]),"")</f>
        <v/>
      </c>
      <c r="AD19" s="147" t="str">
        <f>IF(BetTable[[#This Row],[O2]]="","",BetTable[[#This Row],[R2]]/BetTable[[#This Row],[TS]])</f>
        <v/>
      </c>
      <c r="AE19" s="147" t="str">
        <f>IFERROR(IF(BetTable[[#This Row],[Sp]]="","",BetTable[[#This Row],[R3]]/BetTable[[#This Row],[TS]]),"")</f>
        <v/>
      </c>
      <c r="AF19" s="147" t="str">
        <f>IFERROR(IF(BetTable[[#This Row],[Outcome1]]="","",BetTable[[#This Row],[AR]]/BetTable[[#This Row],[TS]]),"")</f>
        <v/>
      </c>
      <c r="AG1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 s="57" t="str">
        <f>IF(BetTable[[#This Row],[Outcome1]]="",AJ66,BetTable[[#This Row],[AR]]+AJ66)</f>
        <v>0</v>
      </c>
      <c r="AK19" s="39"/>
    </row>
    <row r="20" spans="1:37">
      <c r="A20" s="144"/>
      <c r="B20" s="39"/>
      <c r="C20" s="40"/>
      <c r="D20" s="40"/>
      <c r="E20" s="40"/>
      <c r="F20" s="152"/>
      <c r="G20" s="152"/>
      <c r="H20" s="152"/>
      <c r="I20" s="145"/>
      <c r="J20" s="54"/>
      <c r="K20" s="54"/>
      <c r="L20" s="54"/>
      <c r="M20" s="57"/>
      <c r="N20" s="57"/>
      <c r="O20" s="57"/>
      <c r="P20" s="55"/>
      <c r="Q20" s="55"/>
      <c r="R20" s="55"/>
      <c r="S20" s="146" t="str">
        <f>IF(BetTable[[#This Row],[Sp]]="","",BetTable[[#This Row],[S1]]+BetTable[[#This Row],[S2]]+BetTable[[#This Row],[S3]])</f>
        <v/>
      </c>
      <c r="T20" s="143" t="str">
        <f>IF(BetTable[[#This Row],[O1]]="","",(BetTable[[#This Row],[WBA1-Commission]])-BetTable[[#This Row],[TS]])</f>
        <v/>
      </c>
      <c r="U20" s="143" t="str">
        <f>IF(BetTable[[#This Row],[O2]]="","",(BetTable[[#This Row],[WBA2-Commission]])-BetTable[[#This Row],[TS]])</f>
        <v/>
      </c>
      <c r="V20" s="143" t="str">
        <f>IF(BetTable[[#This Row],[O3]]="","",(BetTable[[#This Row],[WBA3-Commission]])-BetTable[[#This Row],[TS]])</f>
        <v/>
      </c>
      <c r="W20" s="143">
        <f>IF(NOT(ISBLANK(BetTable[[#This Row],[B1]])),1,0)+IF(NOT(ISBLANK(BetTable[[#This Row],[B2]])),1,0)+IF(NOT(ISBLANK(BetTable[[#This Row],[B3]])),1,0)</f>
        <v>0</v>
      </c>
      <c r="X20" s="143" t="str">
        <f>IF(BetTable[[#This Row],[Outcome1]]="","",BetTable[[#This Row],[WBA1]]+BetTable[[#This Row],[WBA2]]+BetTable[[#This Row],[WBA3]]-BetTable[[#This Row],[TS]])</f>
        <v/>
      </c>
      <c r="Y20" s="143" t="str">
        <f>IF(BetTable[[#This Row],[AR]]="","",BetTable[[#This Row],[AR]]/BetTable[[#This Row],[NumBookies]])</f>
        <v/>
      </c>
      <c r="Z20" s="143">
        <f>(((BetTable[[#This Row],[O1]]-1)*BetTable[[#This Row],[S1]])*(1-(BetTable[[#This Row],[C% 1]]))+BetTable[[#This Row],[S1]])</f>
        <v>0</v>
      </c>
      <c r="AA20" s="143">
        <f>(((BetTable[[#This Row],[O2]]-1)*BetTable[[#This Row],[S2]])*(1-(BetTable[[#This Row],[C% 2]]))+BetTable[[#This Row],[S2]])</f>
        <v>0</v>
      </c>
      <c r="AB20" s="143">
        <f>(((BetTable[[#This Row],[O3]]-1)*BetTable[[#This Row],[S3]])*(1-(BetTable[[#This Row],[C% 3]]))+BetTable[[#This Row],[S3]])</f>
        <v>0</v>
      </c>
      <c r="AC20" s="147" t="str">
        <f>IFERROR(IF(BetTable[[#This Row],[Sp]]="","",BetTable[[#This Row],[R1]]/BetTable[[#This Row],[TS]]),"")</f>
        <v/>
      </c>
      <c r="AD20" s="147" t="str">
        <f>IF(BetTable[[#This Row],[O2]]="","",BetTable[[#This Row],[R2]]/BetTable[[#This Row],[TS]])</f>
        <v/>
      </c>
      <c r="AE20" s="147" t="str">
        <f>IFERROR(IF(BetTable[[#This Row],[Sp]]="","",BetTable[[#This Row],[R3]]/BetTable[[#This Row],[TS]]),"")</f>
        <v/>
      </c>
      <c r="AF20" s="147" t="str">
        <f>IFERROR(IF(BetTable[[#This Row],[Outcome1]]="","",BetTable[[#This Row],[AR]]/BetTable[[#This Row],[TS]]),"")</f>
        <v/>
      </c>
      <c r="AG2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 s="57" t="str">
        <f>IF(BetTable[[#This Row],[Outcome1]]="",AJ19,BetTable[[#This Row],[AR]]+AJ19)</f>
        <v>0</v>
      </c>
      <c r="AK20" s="39"/>
    </row>
    <row r="21" spans="1:37">
      <c r="A21" s="144"/>
      <c r="B21" s="39"/>
      <c r="C21" s="40"/>
      <c r="D21" s="40"/>
      <c r="E21" s="40"/>
      <c r="F21" s="152"/>
      <c r="G21" s="152"/>
      <c r="H21" s="152"/>
      <c r="I21" s="39"/>
      <c r="J21" s="54"/>
      <c r="K21" s="54"/>
      <c r="L21" s="54"/>
      <c r="M21" s="57"/>
      <c r="N21" s="57"/>
      <c r="O21" s="57"/>
      <c r="P21" s="55"/>
      <c r="Q21" s="55"/>
      <c r="R21" s="55"/>
      <c r="S21" s="146" t="str">
        <f>IF(BetTable[[#This Row],[Sp]]="","",BetTable[[#This Row],[S1]]+BetTable[[#This Row],[S2]]+BetTable[[#This Row],[S3]])</f>
        <v/>
      </c>
      <c r="T21" s="143" t="str">
        <f>IF(BetTable[[#This Row],[O1]]="","",(BetTable[[#This Row],[WBA1-Commission]])-BetTable[[#This Row],[TS]])</f>
        <v/>
      </c>
      <c r="U21" s="143" t="str">
        <f>IF(BetTable[[#This Row],[O2]]="","",(BetTable[[#This Row],[WBA2-Commission]])-BetTable[[#This Row],[TS]])</f>
        <v/>
      </c>
      <c r="V21" s="143" t="str">
        <f>IF(BetTable[[#This Row],[O3]]="","",(BetTable[[#This Row],[WBA3-Commission]])-BetTable[[#This Row],[TS]])</f>
        <v/>
      </c>
      <c r="W21" s="143">
        <f>IF(NOT(ISBLANK(BetTable[[#This Row],[B1]])),1,0)+IF(NOT(ISBLANK(BetTable[[#This Row],[B2]])),1,0)+IF(NOT(ISBLANK(BetTable[[#This Row],[B3]])),1,0)</f>
        <v>0</v>
      </c>
      <c r="X21" s="143" t="str">
        <f>IF(BetTable[[#This Row],[Outcome1]]="","",BetTable[[#This Row],[WBA1]]+BetTable[[#This Row],[WBA2]]+BetTable[[#This Row],[WBA3]]-BetTable[[#This Row],[TS]])</f>
        <v/>
      </c>
      <c r="Y21" s="143" t="str">
        <f>IF(BetTable[[#This Row],[AR]]="","",BetTable[[#This Row],[AR]]/BetTable[[#This Row],[NumBookies]])</f>
        <v/>
      </c>
      <c r="Z21" s="143">
        <f>(((BetTable[[#This Row],[O1]]-1)*BetTable[[#This Row],[S1]])*(1-(BetTable[[#This Row],[C% 1]]))+BetTable[[#This Row],[S1]])</f>
        <v>0</v>
      </c>
      <c r="AA21" s="143">
        <f>(((BetTable[[#This Row],[O2]]-1)*BetTable[[#This Row],[S2]])*(1-(BetTable[[#This Row],[C% 2]]))+BetTable[[#This Row],[S2]])</f>
        <v>0</v>
      </c>
      <c r="AB21" s="143">
        <f>(((BetTable[[#This Row],[O3]]-1)*BetTable[[#This Row],[S3]])*(1-(BetTable[[#This Row],[C% 3]]))+BetTable[[#This Row],[S3]])</f>
        <v>0</v>
      </c>
      <c r="AC21" s="147" t="str">
        <f>IFERROR(IF(BetTable[[#This Row],[Sp]]="","",BetTable[[#This Row],[R1]]/BetTable[[#This Row],[TS]]),"")</f>
        <v/>
      </c>
      <c r="AD21" s="147" t="str">
        <f>IF(BetTable[[#This Row],[O2]]="","",BetTable[[#This Row],[R2]]/BetTable[[#This Row],[TS]])</f>
        <v/>
      </c>
      <c r="AE21" s="147" t="str">
        <f>IFERROR(IF(BetTable[[#This Row],[Sp]]="","",BetTable[[#This Row],[R3]]/BetTable[[#This Row],[TS]]),"")</f>
        <v/>
      </c>
      <c r="AF21" s="147" t="str">
        <f>IFERROR(IF(BetTable[[#This Row],[Outcome1]]="","",BetTable[[#This Row],[AR]]/BetTable[[#This Row],[TS]]),"")</f>
        <v/>
      </c>
      <c r="AG2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 s="57" t="str">
        <f>IF(BetTable[[#This Row],[Outcome1]]="",AJ20,BetTable[[#This Row],[AR]]+AJ20)</f>
        <v>0</v>
      </c>
      <c r="AK21" s="39"/>
    </row>
    <row r="22" spans="1:37">
      <c r="A22" s="144"/>
      <c r="B22" s="39"/>
      <c r="C22" s="40"/>
      <c r="D22" s="40"/>
      <c r="E22" s="40"/>
      <c r="F22" s="152"/>
      <c r="G22" s="152"/>
      <c r="H22" s="152"/>
      <c r="I22" s="39"/>
      <c r="J22" s="54"/>
      <c r="K22" s="54"/>
      <c r="L22" s="54"/>
      <c r="M22" s="57"/>
      <c r="N22" s="57"/>
      <c r="O22" s="57"/>
      <c r="P22" s="55"/>
      <c r="Q22" s="55"/>
      <c r="R22" s="55"/>
      <c r="S22" s="146" t="str">
        <f>IF(BetTable[[#This Row],[Sp]]="","",BetTable[[#This Row],[S1]]+BetTable[[#This Row],[S2]]+BetTable[[#This Row],[S3]])</f>
        <v/>
      </c>
      <c r="T22" s="143" t="str">
        <f>IF(BetTable[[#This Row],[O1]]="","",(BetTable[[#This Row],[WBA1-Commission]])-BetTable[[#This Row],[TS]])</f>
        <v/>
      </c>
      <c r="U22" s="143" t="str">
        <f>IF(BetTable[[#This Row],[O2]]="","",(BetTable[[#This Row],[WBA2-Commission]])-BetTable[[#This Row],[TS]])</f>
        <v/>
      </c>
      <c r="V22" s="143" t="str">
        <f>IF(BetTable[[#This Row],[O3]]="","",(BetTable[[#This Row],[WBA3-Commission]])-BetTable[[#This Row],[TS]])</f>
        <v/>
      </c>
      <c r="W22" s="143">
        <f>IF(NOT(ISBLANK(BetTable[[#This Row],[B1]])),1,0)+IF(NOT(ISBLANK(BetTable[[#This Row],[B2]])),1,0)+IF(NOT(ISBLANK(BetTable[[#This Row],[B3]])),1,0)</f>
        <v>0</v>
      </c>
      <c r="X22" s="143" t="str">
        <f>IF(BetTable[[#This Row],[Outcome1]]="","",BetTable[[#This Row],[WBA1]]+BetTable[[#This Row],[WBA2]]+BetTable[[#This Row],[WBA3]]-BetTable[[#This Row],[TS]])</f>
        <v/>
      </c>
      <c r="Y22" s="143" t="str">
        <f>IF(BetTable[[#This Row],[AR]]="","",BetTable[[#This Row],[AR]]/BetTable[[#This Row],[NumBookies]])</f>
        <v/>
      </c>
      <c r="Z22" s="143">
        <f>(((BetTable[[#This Row],[O1]]-1)*BetTable[[#This Row],[S1]])*(1-(BetTable[[#This Row],[C% 1]]))+BetTable[[#This Row],[S1]])</f>
        <v>0</v>
      </c>
      <c r="AA22" s="143">
        <f>(((BetTable[[#This Row],[O2]]-1)*BetTable[[#This Row],[S2]])*(1-(BetTable[[#This Row],[C% 2]]))+BetTable[[#This Row],[S2]])</f>
        <v>0</v>
      </c>
      <c r="AB22" s="143">
        <f>(((BetTable[[#This Row],[O3]]-1)*BetTable[[#This Row],[S3]])*(1-(BetTable[[#This Row],[C% 3]]))+BetTable[[#This Row],[S3]])</f>
        <v>0</v>
      </c>
      <c r="AC22" s="147" t="str">
        <f>IFERROR(IF(BetTable[[#This Row],[Sp]]="","",BetTable[[#This Row],[R1]]/BetTable[[#This Row],[TS]]),"")</f>
        <v/>
      </c>
      <c r="AD22" s="147" t="str">
        <f>IF(BetTable[[#This Row],[O2]]="","",BetTable[[#This Row],[R2]]/BetTable[[#This Row],[TS]])</f>
        <v/>
      </c>
      <c r="AE22" s="147" t="str">
        <f>IFERROR(IF(BetTable[[#This Row],[Sp]]="","",BetTable[[#This Row],[R3]]/BetTable[[#This Row],[TS]]),"")</f>
        <v/>
      </c>
      <c r="AF22" s="147" t="str">
        <f>IFERROR(IF(BetTable[[#This Row],[Outcome1]]="","",BetTable[[#This Row],[AR]]/BetTable[[#This Row],[TS]]),"")</f>
        <v/>
      </c>
      <c r="AG2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 s="57" t="str">
        <f>IF(BetTable[[#This Row],[Outcome1]]="",AJ21,BetTable[[#This Row],[AR]]+AJ21)</f>
        <v>0</v>
      </c>
      <c r="AK22" s="39"/>
    </row>
    <row r="23" spans="1:37">
      <c r="A23" s="144"/>
      <c r="B23" s="39"/>
      <c r="C23" s="40"/>
      <c r="D23" s="40"/>
      <c r="E23" s="40"/>
      <c r="F23" s="152"/>
      <c r="G23" s="152"/>
      <c r="H23" s="152"/>
      <c r="I23" s="39"/>
      <c r="J23" s="54"/>
      <c r="K23" s="54"/>
      <c r="L23" s="54"/>
      <c r="M23" s="57"/>
      <c r="N23" s="57"/>
      <c r="O23" s="57"/>
      <c r="P23" s="55"/>
      <c r="Q23" s="55"/>
      <c r="R23" s="55"/>
      <c r="S23" s="146" t="str">
        <f>IF(BetTable[[#This Row],[Sp]]="","",BetTable[[#This Row],[S1]]+BetTable[[#This Row],[S2]]+BetTable[[#This Row],[S3]])</f>
        <v/>
      </c>
      <c r="T23" s="143" t="str">
        <f>IF(BetTable[[#This Row],[O1]]="","",(BetTable[[#This Row],[WBA1-Commission]])-BetTable[[#This Row],[TS]])</f>
        <v/>
      </c>
      <c r="U23" s="143" t="str">
        <f>IF(BetTable[[#This Row],[O2]]="","",(BetTable[[#This Row],[WBA2-Commission]])-BetTable[[#This Row],[TS]])</f>
        <v/>
      </c>
      <c r="V23" s="143" t="str">
        <f>IF(BetTable[[#This Row],[O3]]="","",(BetTable[[#This Row],[WBA3-Commission]])-BetTable[[#This Row],[TS]])</f>
        <v/>
      </c>
      <c r="W23" s="143">
        <f>IF(NOT(ISBLANK(BetTable[[#This Row],[B1]])),1,0)+IF(NOT(ISBLANK(BetTable[[#This Row],[B2]])),1,0)+IF(NOT(ISBLANK(BetTable[[#This Row],[B3]])),1,0)</f>
        <v>0</v>
      </c>
      <c r="X23" s="143" t="str">
        <f>IF(BetTable[[#This Row],[Outcome1]]="","",BetTable[[#This Row],[WBA1]]+BetTable[[#This Row],[WBA2]]+BetTable[[#This Row],[WBA3]]-BetTable[[#This Row],[TS]])</f>
        <v/>
      </c>
      <c r="Y23" s="143" t="str">
        <f>IF(BetTable[[#This Row],[AR]]="","",BetTable[[#This Row],[AR]]/BetTable[[#This Row],[NumBookies]])</f>
        <v/>
      </c>
      <c r="Z23" s="143">
        <f>(((BetTable[[#This Row],[O1]]-1)*BetTable[[#This Row],[S1]])*(1-(BetTable[[#This Row],[C% 1]]))+BetTable[[#This Row],[S1]])</f>
        <v>0</v>
      </c>
      <c r="AA23" s="143">
        <f>(((BetTable[[#This Row],[O2]]-1)*BetTable[[#This Row],[S2]])*(1-(BetTable[[#This Row],[C% 2]]))+BetTable[[#This Row],[S2]])</f>
        <v>0</v>
      </c>
      <c r="AB23" s="143">
        <f>(((BetTable[[#This Row],[O3]]-1)*BetTable[[#This Row],[S3]])*(1-(BetTable[[#This Row],[C% 3]]))+BetTable[[#This Row],[S3]])</f>
        <v>0</v>
      </c>
      <c r="AC23" s="147" t="str">
        <f>IFERROR(IF(BetTable[[#This Row],[Sp]]="","",BetTable[[#This Row],[R1]]/BetTable[[#This Row],[TS]]),"")</f>
        <v/>
      </c>
      <c r="AD23" s="147" t="str">
        <f>IF(BetTable[[#This Row],[O2]]="","",BetTable[[#This Row],[R2]]/BetTable[[#This Row],[TS]])</f>
        <v/>
      </c>
      <c r="AE23" s="147" t="str">
        <f>IFERROR(IF(BetTable[[#This Row],[Sp]]="","",BetTable[[#This Row],[R3]]/BetTable[[#This Row],[TS]]),"")</f>
        <v/>
      </c>
      <c r="AF23" s="147" t="str">
        <f>IFERROR(IF(BetTable[[#This Row],[Outcome1]]="","",BetTable[[#This Row],[AR]]/BetTable[[#This Row],[TS]]),"")</f>
        <v/>
      </c>
      <c r="AG2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3" s="57" t="str">
        <f>IF(BetTable[[#This Row],[Outcome1]]="",AJ22,BetTable[[#This Row],[AR]]+AJ22)</f>
        <v>0</v>
      </c>
      <c r="AK23" s="39"/>
    </row>
    <row r="24" spans="1:37">
      <c r="A24" s="144"/>
      <c r="B24" s="39"/>
      <c r="C24" s="40"/>
      <c r="D24" s="40"/>
      <c r="E24" s="40"/>
      <c r="F24" s="152"/>
      <c r="G24" s="152"/>
      <c r="H24" s="152"/>
      <c r="I24" s="39"/>
      <c r="J24" s="54"/>
      <c r="K24" s="54"/>
      <c r="L24" s="54"/>
      <c r="M24" s="57"/>
      <c r="N24" s="57"/>
      <c r="O24" s="57"/>
      <c r="P24" s="55"/>
      <c r="Q24" s="55"/>
      <c r="R24" s="55"/>
      <c r="S24" s="146" t="str">
        <f>IF(BetTable[[#This Row],[Sp]]="","",BetTable[[#This Row],[S1]]+BetTable[[#This Row],[S2]]+BetTable[[#This Row],[S3]])</f>
        <v/>
      </c>
      <c r="T24" s="143" t="str">
        <f>IF(BetTable[[#This Row],[O1]]="","",(BetTable[[#This Row],[WBA1-Commission]])-BetTable[[#This Row],[TS]])</f>
        <v/>
      </c>
      <c r="U24" s="143" t="str">
        <f>IF(BetTable[[#This Row],[O2]]="","",(BetTable[[#This Row],[WBA2-Commission]])-BetTable[[#This Row],[TS]])</f>
        <v/>
      </c>
      <c r="V24" s="143" t="str">
        <f>IF(BetTable[[#This Row],[O3]]="","",(BetTable[[#This Row],[WBA3-Commission]])-BetTable[[#This Row],[TS]])</f>
        <v/>
      </c>
      <c r="W24" s="143">
        <f>IF(NOT(ISBLANK(BetTable[[#This Row],[B1]])),1,0)+IF(NOT(ISBLANK(BetTable[[#This Row],[B2]])),1,0)+IF(NOT(ISBLANK(BetTable[[#This Row],[B3]])),1,0)</f>
        <v>0</v>
      </c>
      <c r="X24" s="143" t="str">
        <f>IF(BetTable[[#This Row],[Outcome1]]="","",BetTable[[#This Row],[WBA1]]+BetTable[[#This Row],[WBA2]]+BetTable[[#This Row],[WBA3]]-BetTable[[#This Row],[TS]])</f>
        <v/>
      </c>
      <c r="Y24" s="143" t="str">
        <f>IF(BetTable[[#This Row],[AR]]="","",BetTable[[#This Row],[AR]]/BetTable[[#This Row],[NumBookies]])</f>
        <v/>
      </c>
      <c r="Z24" s="143">
        <f>(((BetTable[[#This Row],[O1]]-1)*BetTable[[#This Row],[S1]])*(1-(BetTable[[#This Row],[C% 1]]))+BetTable[[#This Row],[S1]])</f>
        <v>0</v>
      </c>
      <c r="AA24" s="143">
        <f>(((BetTable[[#This Row],[O2]]-1)*BetTable[[#This Row],[S2]])*(1-(BetTable[[#This Row],[C% 2]]))+BetTable[[#This Row],[S2]])</f>
        <v>0</v>
      </c>
      <c r="AB24" s="143">
        <f>(((BetTable[[#This Row],[O3]]-1)*BetTable[[#This Row],[S3]])*(1-(BetTable[[#This Row],[C% 3]]))+BetTable[[#This Row],[S3]])</f>
        <v>0</v>
      </c>
      <c r="AC24" s="147" t="str">
        <f>IFERROR(IF(BetTable[[#This Row],[Sp]]="","",BetTable[[#This Row],[R1]]/BetTable[[#This Row],[TS]]),"")</f>
        <v/>
      </c>
      <c r="AD24" s="147" t="str">
        <f>IF(BetTable[[#This Row],[O2]]="","",BetTable[[#This Row],[R2]]/BetTable[[#This Row],[TS]])</f>
        <v/>
      </c>
      <c r="AE24" s="147" t="str">
        <f>IFERROR(IF(BetTable[[#This Row],[Sp]]="","",BetTable[[#This Row],[R3]]/BetTable[[#This Row],[TS]]),"")</f>
        <v/>
      </c>
      <c r="AF24" s="147" t="str">
        <f>IFERROR(IF(BetTable[[#This Row],[Outcome1]]="","",BetTable[[#This Row],[AR]]/BetTable[[#This Row],[TS]]),"")</f>
        <v/>
      </c>
      <c r="AG2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4" s="57" t="str">
        <f>IF(BetTable[[#This Row],[Outcome1]]="",AJ23,BetTable[[#This Row],[AR]]+AJ23)</f>
        <v>0</v>
      </c>
      <c r="AK24" s="39"/>
    </row>
    <row r="25" spans="1:37">
      <c r="A25" s="84"/>
      <c r="B25" s="39"/>
      <c r="C25" s="40"/>
      <c r="D25" s="41"/>
      <c r="E25" s="40"/>
      <c r="F25" s="152"/>
      <c r="G25" s="151"/>
      <c r="H25" s="152"/>
      <c r="I25" s="101"/>
      <c r="J25" s="54"/>
      <c r="K25" s="54"/>
      <c r="L25" s="54"/>
      <c r="M25" s="57"/>
      <c r="N25" s="57"/>
      <c r="O25" s="57"/>
      <c r="P25" s="55"/>
      <c r="Q25" s="55"/>
      <c r="R25" s="55"/>
      <c r="S25" s="56" t="str">
        <f>IF(BetTable[[#This Row],[Sp]]="","",BetTable[[#This Row],[S1]]+BetTable[[#This Row],[S2]]+BetTable[[#This Row],[S3]])</f>
        <v/>
      </c>
      <c r="T25" s="57" t="str">
        <f>IF(BetTable[[#This Row],[O1]]="","",(BetTable[[#This Row],[WBA1-Commission]])-BetTable[[#This Row],[TS]])</f>
        <v/>
      </c>
      <c r="U25" s="57" t="str">
        <f>IF(BetTable[[#This Row],[O2]]="","",(BetTable[[#This Row],[WBA2-Commission]])-BetTable[[#This Row],[TS]])</f>
        <v/>
      </c>
      <c r="V25" s="57" t="str">
        <f>IF(BetTable[[#This Row],[O3]]="","",(BetTable[[#This Row],[WBA3-Commission]])-BetTable[[#This Row],[TS]])</f>
        <v/>
      </c>
      <c r="W25" s="143">
        <f>IF(NOT(ISBLANK(BetTable[[#This Row],[B1]])),1,0)+IF(NOT(ISBLANK(BetTable[[#This Row],[B2]])),1,0)+IF(NOT(ISBLANK(BetTable[[#This Row],[B3]])),1,0)</f>
        <v>0</v>
      </c>
      <c r="X25" s="57" t="str">
        <f>IF(BetTable[[#This Row],[Outcome1]]="","",BetTable[[#This Row],[WBA1]]+BetTable[[#This Row],[WBA2]]+BetTable[[#This Row],[WBA3]]-BetTable[[#This Row],[TS]])</f>
        <v/>
      </c>
      <c r="Y25" s="143" t="str">
        <f>IF(BetTable[[#This Row],[AR]]="","",BetTable[[#This Row],[AR]]/BetTable[[#This Row],[NumBookies]])</f>
        <v/>
      </c>
      <c r="Z25" s="57">
        <f>(((BetTable[[#This Row],[O1]]-1)*BetTable[[#This Row],[S1]])*(1-(BetTable[[#This Row],[C% 1]]))+BetTable[[#This Row],[S1]])</f>
        <v>0</v>
      </c>
      <c r="AA25" s="57">
        <f>(((BetTable[[#This Row],[O2]]-1)*BetTable[[#This Row],[S2]])*(1-(BetTable[[#This Row],[C% 2]]))+BetTable[[#This Row],[S2]])</f>
        <v>0</v>
      </c>
      <c r="AB25" s="57">
        <f>(((BetTable[[#This Row],[O3]]-1)*BetTable[[#This Row],[S3]])*(1-(BetTable[[#This Row],[C% 3]]))+BetTable[[#This Row],[S3]])</f>
        <v>0</v>
      </c>
      <c r="AC25" s="58" t="str">
        <f>IFERROR(IF(BetTable[[#This Row],[Sp]]="","",BetTable[[#This Row],[R1]]/BetTable[[#This Row],[TS]]),"")</f>
        <v/>
      </c>
      <c r="AD25" s="58" t="str">
        <f>IF(BetTable[[#This Row],[O2]]="","",BetTable[[#This Row],[R2]]/BetTable[[#This Row],[TS]])</f>
        <v/>
      </c>
      <c r="AE25" s="58" t="str">
        <f>IFERROR(IF(BetTable[[#This Row],[Sp]]="","",BetTable[[#This Row],[R3]]/BetTable[[#This Row],[TS]]),"")</f>
        <v/>
      </c>
      <c r="AF25" s="58" t="str">
        <f>IFERROR(IF(BetTable[[#This Row],[Outcome1]]="","",BetTable[[#This Row],[AR]]/BetTable[[#This Row],[TS]]),"")</f>
        <v/>
      </c>
      <c r="AG2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5" s="57" t="str">
        <f>IF(BetTable[[#This Row],[Outcome1]]="",AJ1,BetTable[[#This Row],[AR]]+AJ1)</f>
        <v>0</v>
      </c>
      <c r="AK25" s="39"/>
    </row>
    <row r="26" spans="1:37">
      <c r="A26" s="159"/>
      <c r="B26" s="39"/>
      <c r="C26" s="40"/>
      <c r="D26" s="41"/>
      <c r="E26" s="40"/>
      <c r="F26" s="151"/>
      <c r="G26" s="151"/>
      <c r="H26" s="151"/>
      <c r="I26" s="160"/>
      <c r="J26" s="155"/>
      <c r="K26" s="155"/>
      <c r="L26" s="155"/>
      <c r="M26" s="149"/>
      <c r="N26" s="149"/>
      <c r="O26" s="149"/>
      <c r="P26" s="55"/>
      <c r="Q26" s="55"/>
      <c r="R26" s="55"/>
      <c r="S26" s="157" t="str">
        <f>IF(BetTable[[#This Row],[Sp]]="","",BetTable[[#This Row],[S1]]+BetTable[[#This Row],[S2]]+BetTable[[#This Row],[S3]])</f>
        <v/>
      </c>
      <c r="T26" s="149" t="str">
        <f>IF(BetTable[[#This Row],[O1]]="","",(BetTable[[#This Row],[WBA1-Commission]])-BetTable[[#This Row],[TS]])</f>
        <v/>
      </c>
      <c r="U26" s="149" t="str">
        <f>IF(BetTable[[#This Row],[O2]]="","",(BetTable[[#This Row],[WBA2-Commission]])-BetTable[[#This Row],[TS]])</f>
        <v/>
      </c>
      <c r="V26" s="149" t="str">
        <f>IF(BetTable[[#This Row],[O3]]="","",(BetTable[[#This Row],[WBA3-Commission]])-BetTable[[#This Row],[TS]])</f>
        <v/>
      </c>
      <c r="W26" s="57">
        <f>IF(NOT(ISBLANK(BetTable[[#This Row],[B1]])),1,0)+IF(NOT(ISBLANK(BetTable[[#This Row],[B2]])),1,0)+IF(NOT(ISBLANK(BetTable[[#This Row],[B3]])),1,0)</f>
        <v>0</v>
      </c>
      <c r="X26" s="149" t="str">
        <f>IF(BetTable[[#This Row],[Outcome1]]="","",BetTable[[#This Row],[WBA1]]+BetTable[[#This Row],[WBA2]]+BetTable[[#This Row],[WBA3]]-BetTable[[#This Row],[TS]])</f>
        <v/>
      </c>
      <c r="Y26" s="57" t="str">
        <f>IF(BetTable[[#This Row],[AR]]="","",BetTable[[#This Row],[AR]]/BetTable[[#This Row],[NumBookies]])</f>
        <v/>
      </c>
      <c r="Z26" s="149">
        <f>(((BetTable[[#This Row],[O1]]-1)*BetTable[[#This Row],[S1]])*(1-(BetTable[[#This Row],[C% 1]]))+BetTable[[#This Row],[S1]])</f>
        <v>0</v>
      </c>
      <c r="AA26" s="149">
        <f>(((BetTable[[#This Row],[O2]]-1)*BetTable[[#This Row],[S2]])*(1-(BetTable[[#This Row],[C% 2]]))+BetTable[[#This Row],[S2]])</f>
        <v>0</v>
      </c>
      <c r="AB26" s="149">
        <f>(((BetTable[[#This Row],[O3]]-1)*BetTable[[#This Row],[S3]])*(1-(BetTable[[#This Row],[C% 3]]))+BetTable[[#This Row],[S3]])</f>
        <v>0</v>
      </c>
      <c r="AC26" s="158" t="str">
        <f>IFERROR(IF(BetTable[[#This Row],[Sp]]="","",BetTable[[#This Row],[R1]]/BetTable[[#This Row],[TS]]),"")</f>
        <v/>
      </c>
      <c r="AD26" s="158" t="str">
        <f>IF(BetTable[[#This Row],[O2]]="","",BetTable[[#This Row],[R2]]/BetTable[[#This Row],[TS]])</f>
        <v/>
      </c>
      <c r="AE26" s="158" t="str">
        <f>IFERROR(IF(BetTable[[#This Row],[Sp]]="","",BetTable[[#This Row],[R3]]/BetTable[[#This Row],[TS]]),"")</f>
        <v/>
      </c>
      <c r="AF26" s="158" t="str">
        <f>IFERROR(IF(BetTable[[#This Row],[Outcome1]]="","",BetTable[[#This Row],[AR]]/BetTable[[#This Row],[TS]]),"")</f>
        <v/>
      </c>
      <c r="AG26"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6"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6"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6" s="149" t="str">
        <f>IF(BetTable[[#This Row],[Outcome1]]="",AJ25,BetTable[[#This Row],[AR]]+AJ25)</f>
        <v>0</v>
      </c>
      <c r="AK26" s="153"/>
    </row>
    <row r="27" spans="1:37">
      <c r="A27" s="144"/>
      <c r="B27" s="39"/>
      <c r="C27" s="40"/>
      <c r="D27" s="41"/>
      <c r="E27" s="154"/>
      <c r="F27" s="151"/>
      <c r="G27" s="151"/>
      <c r="H27" s="151"/>
      <c r="I27" s="160"/>
      <c r="J27" s="155"/>
      <c r="K27" s="155"/>
      <c r="L27" s="155"/>
      <c r="M27" s="149"/>
      <c r="N27" s="149"/>
      <c r="O27" s="149"/>
      <c r="P27" s="55"/>
      <c r="Q27" s="55"/>
      <c r="R27" s="156"/>
      <c r="S27" s="157" t="str">
        <f>IF(BetTable[[#This Row],[Sp]]="","",BetTable[[#This Row],[S1]]+BetTable[[#This Row],[S2]]+BetTable[[#This Row],[S3]])</f>
        <v/>
      </c>
      <c r="T27" s="149" t="str">
        <f>IF(BetTable[[#This Row],[O1]]="","",(BetTable[[#This Row],[WBA1-Commission]])-BetTable[[#This Row],[TS]])</f>
        <v/>
      </c>
      <c r="U27" s="149" t="str">
        <f>IF(BetTable[[#This Row],[O2]]="","",(BetTable[[#This Row],[WBA2-Commission]])-BetTable[[#This Row],[TS]])</f>
        <v/>
      </c>
      <c r="V27" s="149" t="str">
        <f>IF(BetTable[[#This Row],[O3]]="","",(BetTable[[#This Row],[WBA3-Commission]])-BetTable[[#This Row],[TS]])</f>
        <v/>
      </c>
      <c r="W27" s="57">
        <f>IF(NOT(ISBLANK(BetTable[[#This Row],[B1]])),1,0)+IF(NOT(ISBLANK(BetTable[[#This Row],[B2]])),1,0)+IF(NOT(ISBLANK(BetTable[[#This Row],[B3]])),1,0)</f>
        <v>0</v>
      </c>
      <c r="X27" s="149" t="str">
        <f>IF(BetTable[[#This Row],[Outcome1]]="","",BetTable[[#This Row],[WBA1]]+BetTable[[#This Row],[WBA2]]+BetTable[[#This Row],[WBA3]]-BetTable[[#This Row],[TS]])</f>
        <v/>
      </c>
      <c r="Y27" s="57" t="str">
        <f>IF(BetTable[[#This Row],[AR]]="","",BetTable[[#This Row],[AR]]/BetTable[[#This Row],[NumBookies]])</f>
        <v/>
      </c>
      <c r="Z27" s="149">
        <f>(((BetTable[[#This Row],[O1]]-1)*BetTable[[#This Row],[S1]])*(1-(BetTable[[#This Row],[C% 1]]))+BetTable[[#This Row],[S1]])</f>
        <v>0</v>
      </c>
      <c r="AA27" s="149">
        <f>(((BetTable[[#This Row],[O2]]-1)*BetTable[[#This Row],[S2]])*(1-(BetTable[[#This Row],[C% 2]]))+BetTable[[#This Row],[S2]])</f>
        <v>0</v>
      </c>
      <c r="AB27" s="149">
        <f>(((BetTable[[#This Row],[O3]]-1)*BetTable[[#This Row],[S3]])*(1-(BetTable[[#This Row],[C% 3]]))+BetTable[[#This Row],[S3]])</f>
        <v>0</v>
      </c>
      <c r="AC27" s="158" t="str">
        <f>IFERROR(IF(BetTable[[#This Row],[Sp]]="","",BetTable[[#This Row],[R1]]/BetTable[[#This Row],[TS]]),"")</f>
        <v/>
      </c>
      <c r="AD27" s="158" t="str">
        <f>IF(BetTable[[#This Row],[O2]]="","",BetTable[[#This Row],[R2]]/BetTable[[#This Row],[TS]])</f>
        <v/>
      </c>
      <c r="AE27" s="158" t="str">
        <f>IFERROR(IF(BetTable[[#This Row],[Sp]]="","",BetTable[[#This Row],[R3]]/BetTable[[#This Row],[TS]]),"")</f>
        <v/>
      </c>
      <c r="AF27" s="158" t="str">
        <f>IFERROR(IF(BetTable[[#This Row],[Outcome1]]="","",BetTable[[#This Row],[AR]]/BetTable[[#This Row],[TS]]),"")</f>
        <v/>
      </c>
      <c r="AG27"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7"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7"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7" s="149" t="str">
        <f>IF(BetTable[[#This Row],[Outcome1]]="",AJ26,BetTable[[#This Row],[AR]]+AJ26)</f>
        <v>0</v>
      </c>
      <c r="AK27" s="153"/>
    </row>
    <row r="28" spans="1:37">
      <c r="A28" s="159"/>
      <c r="B28" s="39"/>
      <c r="C28" s="40"/>
      <c r="D28" s="41"/>
      <c r="E28" s="40"/>
      <c r="F28" s="151"/>
      <c r="G28" s="151"/>
      <c r="H28" s="151"/>
      <c r="I28" s="160"/>
      <c r="J28" s="155"/>
      <c r="K28" s="155"/>
      <c r="L28" s="155"/>
      <c r="M28" s="149"/>
      <c r="N28" s="149"/>
      <c r="O28" s="149"/>
      <c r="P28" s="55"/>
      <c r="Q28" s="55"/>
      <c r="R28" s="55"/>
      <c r="S28" s="157" t="str">
        <f>IF(BetTable[[#This Row],[Sp]]="","",BetTable[[#This Row],[S1]]+BetTable[[#This Row],[S2]]+BetTable[[#This Row],[S3]])</f>
        <v/>
      </c>
      <c r="T28" s="149" t="str">
        <f>IF(BetTable[[#This Row],[O1]]="","",(BetTable[[#This Row],[WBA1-Commission]])-BetTable[[#This Row],[TS]])</f>
        <v/>
      </c>
      <c r="U28" s="149" t="str">
        <f>IF(BetTable[[#This Row],[O2]]="","",(BetTable[[#This Row],[WBA2-Commission]])-BetTable[[#This Row],[TS]])</f>
        <v/>
      </c>
      <c r="V28" s="149" t="str">
        <f>IF(BetTable[[#This Row],[O3]]="","",(BetTable[[#This Row],[WBA3-Commission]])-BetTable[[#This Row],[TS]])</f>
        <v/>
      </c>
      <c r="W28" s="57">
        <f>IF(NOT(ISBLANK(BetTable[[#This Row],[B1]])),1,0)+IF(NOT(ISBLANK(BetTable[[#This Row],[B2]])),1,0)+IF(NOT(ISBLANK(BetTable[[#This Row],[B3]])),1,0)</f>
        <v>0</v>
      </c>
      <c r="X28" s="149" t="str">
        <f>IF(BetTable[[#This Row],[Outcome1]]="","",BetTable[[#This Row],[WBA1]]+BetTable[[#This Row],[WBA2]]+BetTable[[#This Row],[WBA3]]-BetTable[[#This Row],[TS]])</f>
        <v/>
      </c>
      <c r="Y28" s="57" t="str">
        <f>IF(BetTable[[#This Row],[AR]]="","",BetTable[[#This Row],[AR]]/BetTable[[#This Row],[NumBookies]])</f>
        <v/>
      </c>
      <c r="Z28" s="149">
        <f>(((BetTable[[#This Row],[O1]]-1)*BetTable[[#This Row],[S1]])*(1-(BetTable[[#This Row],[C% 1]]))+BetTable[[#This Row],[S1]])</f>
        <v>0</v>
      </c>
      <c r="AA28" s="149">
        <f>(((BetTable[[#This Row],[O2]]-1)*BetTable[[#This Row],[S2]])*(1-(BetTable[[#This Row],[C% 2]]))+BetTable[[#This Row],[S2]])</f>
        <v>0</v>
      </c>
      <c r="AB28" s="149">
        <f>(((BetTable[[#This Row],[O3]]-1)*BetTable[[#This Row],[S3]])*(1-(BetTable[[#This Row],[C% 3]]))+BetTable[[#This Row],[S3]])</f>
        <v>0</v>
      </c>
      <c r="AC28" s="158" t="str">
        <f>IFERROR(IF(BetTable[[#This Row],[Sp]]="","",BetTable[[#This Row],[R1]]/BetTable[[#This Row],[TS]]),"")</f>
        <v/>
      </c>
      <c r="AD28" s="158" t="str">
        <f>IF(BetTable[[#This Row],[O2]]="","",BetTable[[#This Row],[R2]]/BetTable[[#This Row],[TS]])</f>
        <v/>
      </c>
      <c r="AE28" s="158" t="str">
        <f>IFERROR(IF(BetTable[[#This Row],[Sp]]="","",BetTable[[#This Row],[R3]]/BetTable[[#This Row],[TS]]),"")</f>
        <v/>
      </c>
      <c r="AF28" s="158" t="str">
        <f>IFERROR(IF(BetTable[[#This Row],[Outcome1]]="","",BetTable[[#This Row],[AR]]/BetTable[[#This Row],[TS]]),"")</f>
        <v/>
      </c>
      <c r="AG28"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8"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8"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8" s="149" t="str">
        <f>IF(BetTable[[#This Row],[Outcome1]]="",AJ27,BetTable[[#This Row],[AR]]+AJ27)</f>
        <v>0</v>
      </c>
      <c r="AK28" s="153"/>
    </row>
    <row r="29" spans="1:37">
      <c r="A29" s="159"/>
      <c r="B29" s="39"/>
      <c r="C29" s="40"/>
      <c r="D29" s="41"/>
      <c r="E29" s="154"/>
      <c r="F29" s="151"/>
      <c r="G29" s="151"/>
      <c r="H29" s="151"/>
      <c r="I29" s="160"/>
      <c r="J29" s="155"/>
      <c r="K29" s="155"/>
      <c r="L29" s="155"/>
      <c r="M29" s="149"/>
      <c r="N29" s="149"/>
      <c r="O29" s="149"/>
      <c r="P29" s="55"/>
      <c r="Q29" s="55"/>
      <c r="R29" s="156"/>
      <c r="S29" s="157" t="str">
        <f>IF(BetTable[[#This Row],[Sp]]="","",BetTable[[#This Row],[S1]]+BetTable[[#This Row],[S2]]+BetTable[[#This Row],[S3]])</f>
        <v/>
      </c>
      <c r="T29" s="149" t="str">
        <f>IF(BetTable[[#This Row],[O1]]="","",(BetTable[[#This Row],[WBA1-Commission]])-BetTable[[#This Row],[TS]])</f>
        <v/>
      </c>
      <c r="U29" s="149" t="str">
        <f>IF(BetTable[[#This Row],[O2]]="","",(BetTable[[#This Row],[WBA2-Commission]])-BetTable[[#This Row],[TS]])</f>
        <v/>
      </c>
      <c r="V29" s="149" t="str">
        <f>IF(BetTable[[#This Row],[O3]]="","",(BetTable[[#This Row],[WBA3-Commission]])-BetTable[[#This Row],[TS]])</f>
        <v/>
      </c>
      <c r="W29" s="57">
        <f>IF(NOT(ISBLANK(BetTable[[#This Row],[B1]])),1,0)+IF(NOT(ISBLANK(BetTable[[#This Row],[B2]])),1,0)+IF(NOT(ISBLANK(BetTable[[#This Row],[B3]])),1,0)</f>
        <v>0</v>
      </c>
      <c r="X29" s="149" t="str">
        <f>IF(BetTable[[#This Row],[Outcome1]]="","",BetTable[[#This Row],[WBA1]]+BetTable[[#This Row],[WBA2]]+BetTable[[#This Row],[WBA3]]-BetTable[[#This Row],[TS]])</f>
        <v/>
      </c>
      <c r="Y29" s="57" t="str">
        <f>IF(BetTable[[#This Row],[AR]]="","",BetTable[[#This Row],[AR]]/BetTable[[#This Row],[NumBookies]])</f>
        <v/>
      </c>
      <c r="Z29" s="149">
        <f>(((BetTable[[#This Row],[O1]]-1)*BetTable[[#This Row],[S1]])*(1-(BetTable[[#This Row],[C% 1]]))+BetTable[[#This Row],[S1]])</f>
        <v>0</v>
      </c>
      <c r="AA29" s="149">
        <f>(((BetTable[[#This Row],[O2]]-1)*BetTable[[#This Row],[S2]])*(1-(BetTable[[#This Row],[C% 2]]))+BetTable[[#This Row],[S2]])</f>
        <v>0</v>
      </c>
      <c r="AB29" s="149">
        <f>(((BetTable[[#This Row],[O3]]-1)*BetTable[[#This Row],[S3]])*(1-(BetTable[[#This Row],[C% 3]]))+BetTable[[#This Row],[S3]])</f>
        <v>0</v>
      </c>
      <c r="AC29" s="158" t="str">
        <f>IFERROR(IF(BetTable[[#This Row],[Sp]]="","",BetTable[[#This Row],[R1]]/BetTable[[#This Row],[TS]]),"")</f>
        <v/>
      </c>
      <c r="AD29" s="158" t="str">
        <f>IF(BetTable[[#This Row],[O2]]="","",BetTable[[#This Row],[R2]]/BetTable[[#This Row],[TS]])</f>
        <v/>
      </c>
      <c r="AE29" s="158" t="str">
        <f>IFERROR(IF(BetTable[[#This Row],[Sp]]="","",BetTable[[#This Row],[R3]]/BetTable[[#This Row],[TS]]),"")</f>
        <v/>
      </c>
      <c r="AF29" s="158" t="str">
        <f>IFERROR(IF(BetTable[[#This Row],[Outcome1]]="","",BetTable[[#This Row],[AR]]/BetTable[[#This Row],[TS]]),"")</f>
        <v/>
      </c>
      <c r="AG29"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9"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9"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9" s="149" t="str">
        <f>IF(BetTable[[#This Row],[Outcome1]]="",AJ28,BetTable[[#This Row],[AR]]+AJ28)</f>
        <v>0</v>
      </c>
      <c r="AK29" s="153"/>
    </row>
    <row r="30" spans="1:37">
      <c r="A30" s="159"/>
      <c r="B30" s="39"/>
      <c r="C30" s="40"/>
      <c r="D30" s="41"/>
      <c r="E30" s="40"/>
      <c r="F30" s="151"/>
      <c r="G30" s="151"/>
      <c r="H30" s="151"/>
      <c r="I30" s="101"/>
      <c r="J30" s="155"/>
      <c r="K30" s="155"/>
      <c r="L30" s="155"/>
      <c r="M30" s="149"/>
      <c r="N30" s="149"/>
      <c r="O30" s="149"/>
      <c r="P30" s="55"/>
      <c r="Q30" s="55"/>
      <c r="R30" s="55"/>
      <c r="S30" s="157" t="str">
        <f>IF(BetTable[[#This Row],[Sp]]="","",BetTable[[#This Row],[S1]]+BetTable[[#This Row],[S2]]+BetTable[[#This Row],[S3]])</f>
        <v/>
      </c>
      <c r="T30" s="149" t="str">
        <f>IF(BetTable[[#This Row],[O1]]="","",(BetTable[[#This Row],[WBA1-Commission]])-BetTable[[#This Row],[TS]])</f>
        <v/>
      </c>
      <c r="U30" s="149" t="str">
        <f>IF(BetTable[[#This Row],[O2]]="","",(BetTable[[#This Row],[WBA2-Commission]])-BetTable[[#This Row],[TS]])</f>
        <v/>
      </c>
      <c r="V30" s="149" t="str">
        <f>IF(BetTable[[#This Row],[O3]]="","",(BetTable[[#This Row],[WBA3-Commission]])-BetTable[[#This Row],[TS]])</f>
        <v/>
      </c>
      <c r="W30" s="57">
        <f>IF(NOT(ISBLANK(BetTable[[#This Row],[B1]])),1,0)+IF(NOT(ISBLANK(BetTable[[#This Row],[B2]])),1,0)+IF(NOT(ISBLANK(BetTable[[#This Row],[B3]])),1,0)</f>
        <v>0</v>
      </c>
      <c r="X30" s="149" t="str">
        <f>IF(BetTable[[#This Row],[Outcome1]]="","",BetTable[[#This Row],[WBA1]]+BetTable[[#This Row],[WBA2]]+BetTable[[#This Row],[WBA3]]-BetTable[[#This Row],[TS]])</f>
        <v/>
      </c>
      <c r="Y30" s="57" t="str">
        <f>IF(BetTable[[#This Row],[AR]]="","",BetTable[[#This Row],[AR]]/BetTable[[#This Row],[NumBookies]])</f>
        <v/>
      </c>
      <c r="Z30" s="149">
        <f>(((BetTable[[#This Row],[O1]]-1)*BetTable[[#This Row],[S1]])*(1-(BetTable[[#This Row],[C% 1]]))+BetTable[[#This Row],[S1]])</f>
        <v>0</v>
      </c>
      <c r="AA30" s="149">
        <f>(((BetTable[[#This Row],[O2]]-1)*BetTable[[#This Row],[S2]])*(1-(BetTable[[#This Row],[C% 2]]))+BetTable[[#This Row],[S2]])</f>
        <v>0</v>
      </c>
      <c r="AB30" s="149">
        <f>(((BetTable[[#This Row],[O3]]-1)*BetTable[[#This Row],[S3]])*(1-(BetTable[[#This Row],[C% 3]]))+BetTable[[#This Row],[S3]])</f>
        <v>0</v>
      </c>
      <c r="AC30" s="158" t="str">
        <f>IFERROR(IF(BetTable[[#This Row],[Sp]]="","",BetTable[[#This Row],[R1]]/BetTable[[#This Row],[TS]]),"")</f>
        <v/>
      </c>
      <c r="AD30" s="158" t="str">
        <f>IF(BetTable[[#This Row],[O2]]="","",BetTable[[#This Row],[R2]]/BetTable[[#This Row],[TS]])</f>
        <v/>
      </c>
      <c r="AE30" s="158" t="str">
        <f>IFERROR(IF(BetTable[[#This Row],[Sp]]="","",BetTable[[#This Row],[R3]]/BetTable[[#This Row],[TS]]),"")</f>
        <v/>
      </c>
      <c r="AF30" s="158" t="str">
        <f>IFERROR(IF(BetTable[[#This Row],[Outcome1]]="","",BetTable[[#This Row],[AR]]/BetTable[[#This Row],[TS]]),"")</f>
        <v/>
      </c>
      <c r="AG30"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0"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0"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0" s="149" t="str">
        <f>IF(BetTable[[#This Row],[Outcome1]]="",AJ29,BetTable[[#This Row],[AR]]+AJ29)</f>
        <v>0</v>
      </c>
      <c r="AK30" s="153"/>
    </row>
    <row r="31" spans="1:37">
      <c r="A31" s="159"/>
      <c r="B31" s="39"/>
      <c r="C31" s="40"/>
      <c r="D31" s="41"/>
      <c r="E31" s="40"/>
      <c r="F31" s="151"/>
      <c r="G31" s="151"/>
      <c r="H31" s="151"/>
      <c r="I31" s="101"/>
      <c r="J31" s="155"/>
      <c r="K31" s="155"/>
      <c r="L31" s="155"/>
      <c r="M31" s="149"/>
      <c r="N31" s="149"/>
      <c r="O31" s="149"/>
      <c r="P31" s="55"/>
      <c r="Q31" s="55"/>
      <c r="R31" s="55"/>
      <c r="S31" s="157" t="str">
        <f>IF(BetTable[[#This Row],[Sp]]="","",BetTable[[#This Row],[S1]]+BetTable[[#This Row],[S2]]+BetTable[[#This Row],[S3]])</f>
        <v/>
      </c>
      <c r="T31" s="149" t="str">
        <f>IF(BetTable[[#This Row],[O1]]="","",(BetTable[[#This Row],[WBA1-Commission]])-BetTable[[#This Row],[TS]])</f>
        <v/>
      </c>
      <c r="U31" s="149" t="str">
        <f>IF(BetTable[[#This Row],[O2]]="","",(BetTable[[#This Row],[WBA2-Commission]])-BetTable[[#This Row],[TS]])</f>
        <v/>
      </c>
      <c r="V31" s="149" t="str">
        <f>IF(BetTable[[#This Row],[O3]]="","",(BetTable[[#This Row],[WBA3-Commission]])-BetTable[[#This Row],[TS]])</f>
        <v/>
      </c>
      <c r="W31" s="57">
        <f>IF(NOT(ISBLANK(BetTable[[#This Row],[B1]])),1,0)+IF(NOT(ISBLANK(BetTable[[#This Row],[B2]])),1,0)+IF(NOT(ISBLANK(BetTable[[#This Row],[B3]])),1,0)</f>
        <v>0</v>
      </c>
      <c r="X31" s="149" t="str">
        <f>IF(BetTable[[#This Row],[Outcome1]]="","",BetTable[[#This Row],[WBA1]]+BetTable[[#This Row],[WBA2]]+BetTable[[#This Row],[WBA3]]-BetTable[[#This Row],[TS]])</f>
        <v/>
      </c>
      <c r="Y31" s="57" t="str">
        <f>IF(BetTable[[#This Row],[AR]]="","",BetTable[[#This Row],[AR]]/BetTable[[#This Row],[NumBookies]])</f>
        <v/>
      </c>
      <c r="Z31" s="149">
        <f>(((BetTable[[#This Row],[O1]]-1)*BetTable[[#This Row],[S1]])*(1-(BetTable[[#This Row],[C% 1]]))+BetTable[[#This Row],[S1]])</f>
        <v>0</v>
      </c>
      <c r="AA31" s="149">
        <f>(((BetTable[[#This Row],[O2]]-1)*BetTable[[#This Row],[S2]])*(1-(BetTable[[#This Row],[C% 2]]))+BetTable[[#This Row],[S2]])</f>
        <v>0</v>
      </c>
      <c r="AB31" s="149">
        <f>(((BetTable[[#This Row],[O3]]-1)*BetTable[[#This Row],[S3]])*(1-(BetTable[[#This Row],[C% 3]]))+BetTable[[#This Row],[S3]])</f>
        <v>0</v>
      </c>
      <c r="AC31" s="158" t="str">
        <f>IFERROR(IF(BetTable[[#This Row],[Sp]]="","",BetTable[[#This Row],[R1]]/BetTable[[#This Row],[TS]]),"")</f>
        <v/>
      </c>
      <c r="AD31" s="158" t="str">
        <f>IF(BetTable[[#This Row],[O2]]="","",BetTable[[#This Row],[R2]]/BetTable[[#This Row],[TS]])</f>
        <v/>
      </c>
      <c r="AE31" s="158" t="str">
        <f>IFERROR(IF(BetTable[[#This Row],[Sp]]="","",BetTable[[#This Row],[R3]]/BetTable[[#This Row],[TS]]),"")</f>
        <v/>
      </c>
      <c r="AF31" s="158" t="str">
        <f>IFERROR(IF(BetTable[[#This Row],[Outcome1]]="","",BetTable[[#This Row],[AR]]/BetTable[[#This Row],[TS]]),"")</f>
        <v/>
      </c>
      <c r="AG31"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1"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1"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1" s="149" t="str">
        <f>IF(BetTable[[#This Row],[Outcome1]]="",AJ30,BetTable[[#This Row],[AR]]+AJ30)</f>
        <v>0</v>
      </c>
      <c r="AK31" s="153"/>
    </row>
    <row r="32" spans="1:37">
      <c r="A32" s="159"/>
      <c r="B32" s="39"/>
      <c r="C32" s="40"/>
      <c r="D32" s="41"/>
      <c r="E32" s="40"/>
      <c r="F32" s="151"/>
      <c r="G32" s="151"/>
      <c r="H32" s="151"/>
      <c r="I32" s="101"/>
      <c r="J32" s="155"/>
      <c r="K32" s="155"/>
      <c r="L32" s="155"/>
      <c r="M32" s="149"/>
      <c r="N32" s="149"/>
      <c r="O32" s="149"/>
      <c r="P32" s="55"/>
      <c r="Q32" s="55"/>
      <c r="R32" s="55"/>
      <c r="S32" s="157" t="str">
        <f>IF(BetTable[[#This Row],[Sp]]="","",BetTable[[#This Row],[S1]]+BetTable[[#This Row],[S2]]+BetTable[[#This Row],[S3]])</f>
        <v/>
      </c>
      <c r="T32" s="149" t="str">
        <f>IF(BetTable[[#This Row],[O1]]="","",(BetTable[[#This Row],[WBA1-Commission]])-BetTable[[#This Row],[TS]])</f>
        <v/>
      </c>
      <c r="U32" s="149" t="str">
        <f>IF(BetTable[[#This Row],[O2]]="","",(BetTable[[#This Row],[WBA2-Commission]])-BetTable[[#This Row],[TS]])</f>
        <v/>
      </c>
      <c r="V32" s="149" t="str">
        <f>IF(BetTable[[#This Row],[O3]]="","",(BetTable[[#This Row],[WBA3-Commission]])-BetTable[[#This Row],[TS]])</f>
        <v/>
      </c>
      <c r="W32" s="57">
        <f>IF(NOT(ISBLANK(BetTable[[#This Row],[B1]])),1,0)+IF(NOT(ISBLANK(BetTable[[#This Row],[B2]])),1,0)+IF(NOT(ISBLANK(BetTable[[#This Row],[B3]])),1,0)</f>
        <v>0</v>
      </c>
      <c r="X32" s="149" t="str">
        <f>IF(BetTable[[#This Row],[Outcome1]]="","",BetTable[[#This Row],[WBA1]]+BetTable[[#This Row],[WBA2]]+BetTable[[#This Row],[WBA3]]-BetTable[[#This Row],[TS]])</f>
        <v/>
      </c>
      <c r="Y32" s="57" t="str">
        <f>IF(BetTable[[#This Row],[AR]]="","",BetTable[[#This Row],[AR]]/BetTable[[#This Row],[NumBookies]])</f>
        <v/>
      </c>
      <c r="Z32" s="149">
        <f>(((BetTable[[#This Row],[O1]]-1)*BetTable[[#This Row],[S1]])*(1-(BetTable[[#This Row],[C% 1]]))+BetTable[[#This Row],[S1]])</f>
        <v>0</v>
      </c>
      <c r="AA32" s="149">
        <f>(((BetTable[[#This Row],[O2]]-1)*BetTable[[#This Row],[S2]])*(1-(BetTable[[#This Row],[C% 2]]))+BetTable[[#This Row],[S2]])</f>
        <v>0</v>
      </c>
      <c r="AB32" s="149">
        <f>(((BetTable[[#This Row],[O3]]-1)*BetTable[[#This Row],[S3]])*(1-(BetTable[[#This Row],[C% 3]]))+BetTable[[#This Row],[S3]])</f>
        <v>0</v>
      </c>
      <c r="AC32" s="158" t="str">
        <f>IFERROR(IF(BetTable[[#This Row],[Sp]]="","",BetTable[[#This Row],[R1]]/BetTable[[#This Row],[TS]]),"")</f>
        <v/>
      </c>
      <c r="AD32" s="158" t="str">
        <f>IF(BetTable[[#This Row],[O2]]="","",BetTable[[#This Row],[R2]]/BetTable[[#This Row],[TS]])</f>
        <v/>
      </c>
      <c r="AE32" s="158" t="str">
        <f>IFERROR(IF(BetTable[[#This Row],[Sp]]="","",BetTable[[#This Row],[R3]]/BetTable[[#This Row],[TS]]),"")</f>
        <v/>
      </c>
      <c r="AF32" s="158" t="str">
        <f>IFERROR(IF(BetTable[[#This Row],[Outcome1]]="","",BetTable[[#This Row],[AR]]/BetTable[[#This Row],[TS]]),"")</f>
        <v/>
      </c>
      <c r="AG32"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2"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2"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2" s="149" t="str">
        <f>IF(BetTable[[#This Row],[Outcome1]]="",AJ31,BetTable[[#This Row],[AR]]+AJ31)</f>
        <v>0</v>
      </c>
      <c r="AK32" s="153"/>
    </row>
    <row r="33" spans="1:37">
      <c r="A33" s="159"/>
      <c r="B33" s="39"/>
      <c r="C33" s="40"/>
      <c r="D33" s="41"/>
      <c r="E33" s="40"/>
      <c r="F33" s="151"/>
      <c r="G33" s="151"/>
      <c r="H33" s="151"/>
      <c r="I33" s="160"/>
      <c r="J33" s="155"/>
      <c r="K33" s="155"/>
      <c r="L33" s="155"/>
      <c r="M33" s="149"/>
      <c r="N33" s="149"/>
      <c r="O33" s="149"/>
      <c r="P33" s="55"/>
      <c r="Q33" s="55"/>
      <c r="R33" s="55"/>
      <c r="S33" s="157" t="str">
        <f>IF(BetTable[[#This Row],[Sp]]="","",BetTable[[#This Row],[S1]]+BetTable[[#This Row],[S2]]+BetTable[[#This Row],[S3]])</f>
        <v/>
      </c>
      <c r="T33" s="149" t="str">
        <f>IF(BetTable[[#This Row],[O1]]="","",(BetTable[[#This Row],[WBA1-Commission]])-BetTable[[#This Row],[TS]])</f>
        <v/>
      </c>
      <c r="U33" s="149" t="str">
        <f>IF(BetTable[[#This Row],[O2]]="","",(BetTable[[#This Row],[WBA2-Commission]])-BetTable[[#This Row],[TS]])</f>
        <v/>
      </c>
      <c r="V33" s="149" t="str">
        <f>IF(BetTable[[#This Row],[O3]]="","",(BetTable[[#This Row],[WBA3-Commission]])-BetTable[[#This Row],[TS]])</f>
        <v/>
      </c>
      <c r="W33" s="57">
        <f>IF(NOT(ISBLANK(BetTable[[#This Row],[B1]])),1,0)+IF(NOT(ISBLANK(BetTable[[#This Row],[B2]])),1,0)+IF(NOT(ISBLANK(BetTable[[#This Row],[B3]])),1,0)</f>
        <v>0</v>
      </c>
      <c r="X33" s="149" t="str">
        <f>IF(BetTable[[#This Row],[Outcome1]]="","",BetTable[[#This Row],[WBA1]]+BetTable[[#This Row],[WBA2]]+BetTable[[#This Row],[WBA3]]-BetTable[[#This Row],[TS]])</f>
        <v/>
      </c>
      <c r="Y33" s="57" t="str">
        <f>IF(BetTable[[#This Row],[AR]]="","",BetTable[[#This Row],[AR]]/BetTable[[#This Row],[NumBookies]])</f>
        <v/>
      </c>
      <c r="Z33" s="149">
        <f>(((BetTable[[#This Row],[O1]]-1)*BetTable[[#This Row],[S1]])*(1-(BetTable[[#This Row],[C% 1]]))+BetTable[[#This Row],[S1]])</f>
        <v>0</v>
      </c>
      <c r="AA33" s="149">
        <f>(((BetTable[[#This Row],[O2]]-1)*BetTable[[#This Row],[S2]])*(1-(BetTable[[#This Row],[C% 2]]))+BetTable[[#This Row],[S2]])</f>
        <v>0</v>
      </c>
      <c r="AB33" s="149">
        <f>(((BetTable[[#This Row],[O3]]-1)*BetTable[[#This Row],[S3]])*(1-(BetTable[[#This Row],[C% 3]]))+BetTable[[#This Row],[S3]])</f>
        <v>0</v>
      </c>
      <c r="AC33" s="158" t="str">
        <f>IFERROR(IF(BetTable[[#This Row],[Sp]]="","",BetTable[[#This Row],[R1]]/BetTable[[#This Row],[TS]]),"")</f>
        <v/>
      </c>
      <c r="AD33" s="158" t="str">
        <f>IF(BetTable[[#This Row],[O2]]="","",BetTable[[#This Row],[R2]]/BetTable[[#This Row],[TS]])</f>
        <v/>
      </c>
      <c r="AE33" s="158" t="str">
        <f>IFERROR(IF(BetTable[[#This Row],[Sp]]="","",BetTable[[#This Row],[R3]]/BetTable[[#This Row],[TS]]),"")</f>
        <v/>
      </c>
      <c r="AF33" s="158" t="str">
        <f>IFERROR(IF(BetTable[[#This Row],[Outcome1]]="","",BetTable[[#This Row],[AR]]/BetTable[[#This Row],[TS]]),"")</f>
        <v/>
      </c>
      <c r="AG33"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3"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3"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3" s="149" t="str">
        <f>IF(BetTable[[#This Row],[Outcome1]]="",AJ28,BetTable[[#This Row],[AR]]+AJ28)</f>
        <v>0</v>
      </c>
      <c r="AK33" s="153"/>
    </row>
    <row r="34" spans="1:37">
      <c r="A34" s="144"/>
      <c r="B34" s="39"/>
      <c r="C34" s="40"/>
      <c r="D34" s="41"/>
      <c r="E34" s="40"/>
      <c r="F34" s="151"/>
      <c r="G34" s="151"/>
      <c r="H34" s="151"/>
      <c r="I34" s="160"/>
      <c r="J34" s="155"/>
      <c r="K34" s="155"/>
      <c r="L34" s="155"/>
      <c r="M34" s="149"/>
      <c r="N34" s="149"/>
      <c r="O34" s="149"/>
      <c r="P34" s="55"/>
      <c r="Q34" s="55"/>
      <c r="R34" s="55"/>
      <c r="S34" s="157" t="str">
        <f>IF(BetTable[[#This Row],[Sp]]="","",BetTable[[#This Row],[S1]]+BetTable[[#This Row],[S2]]+BetTable[[#This Row],[S3]])</f>
        <v/>
      </c>
      <c r="T34" s="149" t="str">
        <f>IF(BetTable[[#This Row],[O1]]="","",(BetTable[[#This Row],[WBA1-Commission]])-BetTable[[#This Row],[TS]])</f>
        <v/>
      </c>
      <c r="U34" s="149" t="str">
        <f>IF(BetTable[[#This Row],[O2]]="","",(BetTable[[#This Row],[WBA2-Commission]])-BetTable[[#This Row],[TS]])</f>
        <v/>
      </c>
      <c r="V34" s="149" t="str">
        <f>IF(BetTable[[#This Row],[O3]]="","",(BetTable[[#This Row],[WBA3-Commission]])-BetTable[[#This Row],[TS]])</f>
        <v/>
      </c>
      <c r="W34" s="57">
        <f>IF(NOT(ISBLANK(BetTable[[#This Row],[B1]])),1,0)+IF(NOT(ISBLANK(BetTable[[#This Row],[B2]])),1,0)+IF(NOT(ISBLANK(BetTable[[#This Row],[B3]])),1,0)</f>
        <v>0</v>
      </c>
      <c r="X34" s="149" t="str">
        <f>IF(BetTable[[#This Row],[Outcome1]]="","",BetTable[[#This Row],[WBA1]]+BetTable[[#This Row],[WBA2]]+BetTable[[#This Row],[WBA3]]-BetTable[[#This Row],[TS]])</f>
        <v/>
      </c>
      <c r="Y34" s="57" t="str">
        <f>IF(BetTable[[#This Row],[AR]]="","",BetTable[[#This Row],[AR]]/BetTable[[#This Row],[NumBookies]])</f>
        <v/>
      </c>
      <c r="Z34" s="149">
        <f>(((BetTable[[#This Row],[O1]]-1)*BetTable[[#This Row],[S1]])*(1-(BetTable[[#This Row],[C% 1]]))+BetTable[[#This Row],[S1]])</f>
        <v>0</v>
      </c>
      <c r="AA34" s="149">
        <f>(((BetTable[[#This Row],[O2]]-1)*BetTable[[#This Row],[S2]])*(1-(BetTable[[#This Row],[C% 2]]))+BetTable[[#This Row],[S2]])</f>
        <v>0</v>
      </c>
      <c r="AB34" s="149">
        <f>(((BetTable[[#This Row],[O3]]-1)*BetTable[[#This Row],[S3]])*(1-(BetTable[[#This Row],[C% 3]]))+BetTable[[#This Row],[S3]])</f>
        <v>0</v>
      </c>
      <c r="AC34" s="158" t="str">
        <f>IFERROR(IF(BetTable[[#This Row],[Sp]]="","",BetTable[[#This Row],[R1]]/BetTable[[#This Row],[TS]]),"")</f>
        <v/>
      </c>
      <c r="AD34" s="158" t="str">
        <f>IF(BetTable[[#This Row],[O2]]="","",BetTable[[#This Row],[R2]]/BetTable[[#This Row],[TS]])</f>
        <v/>
      </c>
      <c r="AE34" s="158" t="str">
        <f>IFERROR(IF(BetTable[[#This Row],[Sp]]="","",BetTable[[#This Row],[R3]]/BetTable[[#This Row],[TS]]),"")</f>
        <v/>
      </c>
      <c r="AF34" s="158" t="str">
        <f>IFERROR(IF(BetTable[[#This Row],[Outcome1]]="","",BetTable[[#This Row],[AR]]/BetTable[[#This Row],[TS]]),"")</f>
        <v/>
      </c>
      <c r="AG34"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4"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4"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4" s="149" t="str">
        <f>IF(BetTable[[#This Row],[Outcome1]]="",AJ33,BetTable[[#This Row],[AR]]+AJ33)</f>
        <v>0</v>
      </c>
      <c r="AK34" s="153"/>
    </row>
    <row r="35" spans="1:37">
      <c r="A35" s="144"/>
      <c r="B35" s="39"/>
      <c r="C35" s="40"/>
      <c r="D35" s="41"/>
      <c r="E35" s="40"/>
      <c r="F35" s="151"/>
      <c r="G35" s="151"/>
      <c r="H35" s="151"/>
      <c r="I35" s="160"/>
      <c r="J35" s="155"/>
      <c r="K35" s="155"/>
      <c r="L35" s="155"/>
      <c r="M35" s="149"/>
      <c r="N35" s="149"/>
      <c r="O35" s="149"/>
      <c r="P35" s="55"/>
      <c r="Q35" s="55"/>
      <c r="R35" s="55"/>
      <c r="S35" s="157" t="str">
        <f>IF(BetTable[[#This Row],[Sp]]="","",BetTable[[#This Row],[S1]]+BetTable[[#This Row],[S2]]+BetTable[[#This Row],[S3]])</f>
        <v/>
      </c>
      <c r="T35" s="149" t="str">
        <f>IF(BetTable[[#This Row],[O1]]="","",(BetTable[[#This Row],[WBA1-Commission]])-BetTable[[#This Row],[TS]])</f>
        <v/>
      </c>
      <c r="U35" s="149" t="str">
        <f>IF(BetTable[[#This Row],[O2]]="","",(BetTable[[#This Row],[WBA2-Commission]])-BetTable[[#This Row],[TS]])</f>
        <v/>
      </c>
      <c r="V35" s="149" t="str">
        <f>IF(BetTable[[#This Row],[O3]]="","",(BetTable[[#This Row],[WBA3-Commission]])-BetTable[[#This Row],[TS]])</f>
        <v/>
      </c>
      <c r="W35" s="57">
        <f>IF(NOT(ISBLANK(BetTable[[#This Row],[B1]])),1,0)+IF(NOT(ISBLANK(BetTable[[#This Row],[B2]])),1,0)+IF(NOT(ISBLANK(BetTable[[#This Row],[B3]])),1,0)</f>
        <v>0</v>
      </c>
      <c r="X35" s="149" t="str">
        <f>IF(BetTable[[#This Row],[Outcome1]]="","",BetTable[[#This Row],[WBA1]]+BetTable[[#This Row],[WBA2]]+BetTable[[#This Row],[WBA3]]-BetTable[[#This Row],[TS]])</f>
        <v/>
      </c>
      <c r="Y35" s="57" t="str">
        <f>IF(BetTable[[#This Row],[AR]]="","",BetTable[[#This Row],[AR]]/BetTable[[#This Row],[NumBookies]])</f>
        <v/>
      </c>
      <c r="Z35" s="149">
        <f>(((BetTable[[#This Row],[O1]]-1)*BetTable[[#This Row],[S1]])*(1-(BetTable[[#This Row],[C% 1]]))+BetTable[[#This Row],[S1]])</f>
        <v>0</v>
      </c>
      <c r="AA35" s="149">
        <f>(((BetTable[[#This Row],[O2]]-1)*BetTable[[#This Row],[S2]])*(1-(BetTable[[#This Row],[C% 2]]))+BetTable[[#This Row],[S2]])</f>
        <v>0</v>
      </c>
      <c r="AB35" s="149">
        <f>(((BetTable[[#This Row],[O3]]-1)*BetTable[[#This Row],[S3]])*(1-(BetTable[[#This Row],[C% 3]]))+BetTable[[#This Row],[S3]])</f>
        <v>0</v>
      </c>
      <c r="AC35" s="158" t="str">
        <f>IFERROR(IF(BetTable[[#This Row],[Sp]]="","",BetTable[[#This Row],[R1]]/BetTable[[#This Row],[TS]]),"")</f>
        <v/>
      </c>
      <c r="AD35" s="158" t="str">
        <f>IF(BetTable[[#This Row],[O2]]="","",BetTable[[#This Row],[R2]]/BetTable[[#This Row],[TS]])</f>
        <v/>
      </c>
      <c r="AE35" s="158" t="str">
        <f>IFERROR(IF(BetTable[[#This Row],[Sp]]="","",BetTable[[#This Row],[R3]]/BetTable[[#This Row],[TS]]),"")</f>
        <v/>
      </c>
      <c r="AF35" s="158" t="str">
        <f>IFERROR(IF(BetTable[[#This Row],[Outcome1]]="","",BetTable[[#This Row],[AR]]/BetTable[[#This Row],[TS]]),"")</f>
        <v/>
      </c>
      <c r="AG35"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5"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5"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5" s="149" t="str">
        <f>IF(BetTable[[#This Row],[Outcome1]]="",AJ33,BetTable[[#This Row],[AR]]+AJ33)</f>
        <v>0</v>
      </c>
      <c r="AK35" s="153"/>
    </row>
    <row r="36" spans="1:37">
      <c r="A36" s="144"/>
      <c r="B36" s="39"/>
      <c r="C36" s="40"/>
      <c r="D36" s="41"/>
      <c r="E36" s="40"/>
      <c r="F36" s="151"/>
      <c r="G36" s="151"/>
      <c r="H36" s="151"/>
      <c r="I36" s="160"/>
      <c r="J36" s="155"/>
      <c r="K36" s="155"/>
      <c r="L36" s="155"/>
      <c r="M36" s="149"/>
      <c r="N36" s="149"/>
      <c r="O36" s="149"/>
      <c r="P36" s="55"/>
      <c r="Q36" s="55"/>
      <c r="R36" s="55"/>
      <c r="S36" s="157" t="str">
        <f>IF(BetTable[[#This Row],[Sp]]="","",BetTable[[#This Row],[S1]]+BetTable[[#This Row],[S2]]+BetTable[[#This Row],[S3]])</f>
        <v/>
      </c>
      <c r="T36" s="149" t="str">
        <f>IF(BetTable[[#This Row],[O1]]="","",(BetTable[[#This Row],[WBA1-Commission]])-BetTable[[#This Row],[TS]])</f>
        <v/>
      </c>
      <c r="U36" s="149" t="str">
        <f>IF(BetTable[[#This Row],[O2]]="","",(BetTable[[#This Row],[WBA2-Commission]])-BetTable[[#This Row],[TS]])</f>
        <v/>
      </c>
      <c r="V36" s="149" t="str">
        <f>IF(BetTable[[#This Row],[O3]]="","",(BetTable[[#This Row],[WBA3-Commission]])-BetTable[[#This Row],[TS]])</f>
        <v/>
      </c>
      <c r="W36" s="57">
        <f>IF(NOT(ISBLANK(BetTable[[#This Row],[B1]])),1,0)+IF(NOT(ISBLANK(BetTable[[#This Row],[B2]])),1,0)+IF(NOT(ISBLANK(BetTable[[#This Row],[B3]])),1,0)</f>
        <v>0</v>
      </c>
      <c r="X36" s="149" t="str">
        <f>IF(BetTable[[#This Row],[Outcome1]]="","",BetTable[[#This Row],[WBA1]]+BetTable[[#This Row],[WBA2]]+BetTable[[#This Row],[WBA3]]-BetTable[[#This Row],[TS]])</f>
        <v/>
      </c>
      <c r="Y36" s="57" t="str">
        <f>IF(BetTable[[#This Row],[AR]]="","",BetTable[[#This Row],[AR]]/BetTable[[#This Row],[NumBookies]])</f>
        <v/>
      </c>
      <c r="Z36" s="149">
        <f>(((BetTable[[#This Row],[O1]]-1)*BetTable[[#This Row],[S1]])*(1-(BetTable[[#This Row],[C% 1]]))+BetTable[[#This Row],[S1]])</f>
        <v>0</v>
      </c>
      <c r="AA36" s="149">
        <f>(((BetTable[[#This Row],[O2]]-1)*BetTable[[#This Row],[S2]])*(1-(BetTable[[#This Row],[C% 2]]))+BetTable[[#This Row],[S2]])</f>
        <v>0</v>
      </c>
      <c r="AB36" s="149">
        <f>(((BetTable[[#This Row],[O3]]-1)*BetTable[[#This Row],[S3]])*(1-(BetTable[[#This Row],[C% 3]]))+BetTable[[#This Row],[S3]])</f>
        <v>0</v>
      </c>
      <c r="AC36" s="158" t="str">
        <f>IFERROR(IF(BetTable[[#This Row],[Sp]]="","",BetTable[[#This Row],[R1]]/BetTable[[#This Row],[TS]]),"")</f>
        <v/>
      </c>
      <c r="AD36" s="158" t="str">
        <f>IF(BetTable[[#This Row],[O2]]="","",BetTable[[#This Row],[R2]]/BetTable[[#This Row],[TS]])</f>
        <v/>
      </c>
      <c r="AE36" s="158" t="str">
        <f>IFERROR(IF(BetTable[[#This Row],[Sp]]="","",BetTable[[#This Row],[R3]]/BetTable[[#This Row],[TS]]),"")</f>
        <v/>
      </c>
      <c r="AF36" s="158" t="str">
        <f>IFERROR(IF(BetTable[[#This Row],[Outcome1]]="","",BetTable[[#This Row],[AR]]/BetTable[[#This Row],[TS]]),"")</f>
        <v/>
      </c>
      <c r="AG36"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6"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6"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6" s="149" t="str">
        <f>IF(BetTable[[#This Row],[Outcome1]]="",AJ33,BetTable[[#This Row],[AR]]+AJ33)</f>
        <v>0</v>
      </c>
      <c r="AK36" s="153"/>
    </row>
    <row r="37" spans="1:37">
      <c r="A37" s="159"/>
      <c r="B37" s="39"/>
      <c r="C37" s="40"/>
      <c r="D37" s="41"/>
      <c r="E37" s="40"/>
      <c r="F37" s="151"/>
      <c r="G37" s="151"/>
      <c r="H37" s="151"/>
      <c r="I37" s="160"/>
      <c r="J37" s="155"/>
      <c r="K37" s="155"/>
      <c r="L37" s="155"/>
      <c r="M37" s="149"/>
      <c r="N37" s="149"/>
      <c r="O37" s="149"/>
      <c r="P37" s="55"/>
      <c r="Q37" s="55"/>
      <c r="R37" s="55"/>
      <c r="S37" s="157" t="str">
        <f>IF(BetTable[[#This Row],[Sp]]="","",BetTable[[#This Row],[S1]]+BetTable[[#This Row],[S2]]+BetTable[[#This Row],[S3]])</f>
        <v/>
      </c>
      <c r="T37" s="149" t="str">
        <f>IF(BetTable[[#This Row],[O1]]="","",(BetTable[[#This Row],[WBA1-Commission]])-BetTable[[#This Row],[TS]])</f>
        <v/>
      </c>
      <c r="U37" s="149" t="str">
        <f>IF(BetTable[[#This Row],[O2]]="","",(BetTable[[#This Row],[WBA2-Commission]])-BetTable[[#This Row],[TS]])</f>
        <v/>
      </c>
      <c r="V37" s="149" t="str">
        <f>IF(BetTable[[#This Row],[O3]]="","",(BetTable[[#This Row],[WBA3-Commission]])-BetTable[[#This Row],[TS]])</f>
        <v/>
      </c>
      <c r="W37" s="57">
        <f>IF(NOT(ISBLANK(BetTable[[#This Row],[B1]])),1,0)+IF(NOT(ISBLANK(BetTable[[#This Row],[B2]])),1,0)+IF(NOT(ISBLANK(BetTable[[#This Row],[B3]])),1,0)</f>
        <v>0</v>
      </c>
      <c r="X37" s="149" t="str">
        <f>IF(BetTable[[#This Row],[Outcome1]]="","",BetTable[[#This Row],[WBA1]]+BetTable[[#This Row],[WBA2]]+BetTable[[#This Row],[WBA3]]-BetTable[[#This Row],[TS]])</f>
        <v/>
      </c>
      <c r="Y37" s="57" t="str">
        <f>IF(BetTable[[#This Row],[AR]]="","",BetTable[[#This Row],[AR]]/BetTable[[#This Row],[NumBookies]])</f>
        <v/>
      </c>
      <c r="Z37" s="149">
        <f>(((BetTable[[#This Row],[O1]]-1)*BetTable[[#This Row],[S1]])*(1-(BetTable[[#This Row],[C% 1]]))+BetTable[[#This Row],[S1]])</f>
        <v>0</v>
      </c>
      <c r="AA37" s="149">
        <f>(((BetTable[[#This Row],[O2]]-1)*BetTable[[#This Row],[S2]])*(1-(BetTable[[#This Row],[C% 2]]))+BetTable[[#This Row],[S2]])</f>
        <v>0</v>
      </c>
      <c r="AB37" s="149">
        <f>(((BetTable[[#This Row],[O3]]-1)*BetTable[[#This Row],[S3]])*(1-(BetTable[[#This Row],[C% 3]]))+BetTable[[#This Row],[S3]])</f>
        <v>0</v>
      </c>
      <c r="AC37" s="158" t="str">
        <f>IFERROR(IF(BetTable[[#This Row],[Sp]]="","",BetTable[[#This Row],[R1]]/BetTable[[#This Row],[TS]]),"")</f>
        <v/>
      </c>
      <c r="AD37" s="158" t="str">
        <f>IF(BetTable[[#This Row],[O2]]="","",BetTable[[#This Row],[R2]]/BetTable[[#This Row],[TS]])</f>
        <v/>
      </c>
      <c r="AE37" s="158" t="str">
        <f>IFERROR(IF(BetTable[[#This Row],[Sp]]="","",BetTable[[#This Row],[R3]]/BetTable[[#This Row],[TS]]),"")</f>
        <v/>
      </c>
      <c r="AF37" s="158" t="str">
        <f>IFERROR(IF(BetTable[[#This Row],[Outcome1]]="","",BetTable[[#This Row],[AR]]/BetTable[[#This Row],[TS]]),"")</f>
        <v/>
      </c>
      <c r="AG37"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7"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7"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7" s="149" t="str">
        <f>IF(BetTable[[#This Row],[Outcome1]]="",AJ36,BetTable[[#This Row],[AR]]+AJ36)</f>
        <v>0</v>
      </c>
      <c r="AK37" s="153"/>
    </row>
    <row r="38" spans="1:37">
      <c r="A38" s="159"/>
      <c r="B38" s="39"/>
      <c r="C38" s="40"/>
      <c r="D38" s="41"/>
      <c r="E38" s="40"/>
      <c r="F38" s="151"/>
      <c r="G38" s="151"/>
      <c r="H38" s="151"/>
      <c r="I38" s="160"/>
      <c r="J38" s="155"/>
      <c r="K38" s="155"/>
      <c r="L38" s="155"/>
      <c r="M38" s="149"/>
      <c r="N38" s="149"/>
      <c r="O38" s="149"/>
      <c r="P38" s="55"/>
      <c r="Q38" s="55"/>
      <c r="R38" s="55"/>
      <c r="S38" s="157" t="str">
        <f>IF(BetTable[[#This Row],[Sp]]="","",BetTable[[#This Row],[S1]]+BetTable[[#This Row],[S2]]+BetTable[[#This Row],[S3]])</f>
        <v/>
      </c>
      <c r="T38" s="149" t="str">
        <f>IF(BetTable[[#This Row],[O1]]="","",(BetTable[[#This Row],[WBA1-Commission]])-BetTable[[#This Row],[TS]])</f>
        <v/>
      </c>
      <c r="U38" s="149" t="str">
        <f>IF(BetTable[[#This Row],[O2]]="","",(BetTable[[#This Row],[WBA2-Commission]])-BetTable[[#This Row],[TS]])</f>
        <v/>
      </c>
      <c r="V38" s="149" t="str">
        <f>IF(BetTable[[#This Row],[O3]]="","",(BetTable[[#This Row],[WBA3-Commission]])-BetTable[[#This Row],[TS]])</f>
        <v/>
      </c>
      <c r="W38" s="57">
        <f>IF(NOT(ISBLANK(BetTable[[#This Row],[B1]])),1,0)+IF(NOT(ISBLANK(BetTable[[#This Row],[B2]])),1,0)+IF(NOT(ISBLANK(BetTable[[#This Row],[B3]])),1,0)</f>
        <v>0</v>
      </c>
      <c r="X38" s="149" t="str">
        <f>IF(BetTable[[#This Row],[Outcome1]]="","",BetTable[[#This Row],[WBA1]]+BetTable[[#This Row],[WBA2]]+BetTable[[#This Row],[WBA3]]-BetTable[[#This Row],[TS]])</f>
        <v/>
      </c>
      <c r="Y38" s="57" t="str">
        <f>IF(BetTable[[#This Row],[AR]]="","",BetTable[[#This Row],[AR]]/BetTable[[#This Row],[NumBookies]])</f>
        <v/>
      </c>
      <c r="Z38" s="149">
        <f>(((BetTable[[#This Row],[O1]]-1)*BetTable[[#This Row],[S1]])*(1-(BetTable[[#This Row],[C% 1]]))+BetTable[[#This Row],[S1]])</f>
        <v>0</v>
      </c>
      <c r="AA38" s="149">
        <f>(((BetTable[[#This Row],[O2]]-1)*BetTable[[#This Row],[S2]])*(1-(BetTable[[#This Row],[C% 2]]))+BetTable[[#This Row],[S2]])</f>
        <v>0</v>
      </c>
      <c r="AB38" s="149">
        <f>(((BetTable[[#This Row],[O3]]-1)*BetTable[[#This Row],[S3]])*(1-(BetTable[[#This Row],[C% 3]]))+BetTable[[#This Row],[S3]])</f>
        <v>0</v>
      </c>
      <c r="AC38" s="158" t="str">
        <f>IFERROR(IF(BetTable[[#This Row],[Sp]]="","",BetTable[[#This Row],[R1]]/BetTable[[#This Row],[TS]]),"")</f>
        <v/>
      </c>
      <c r="AD38" s="158" t="str">
        <f>IF(BetTable[[#This Row],[O2]]="","",BetTable[[#This Row],[R2]]/BetTable[[#This Row],[TS]])</f>
        <v/>
      </c>
      <c r="AE38" s="158" t="str">
        <f>IFERROR(IF(BetTable[[#This Row],[Sp]]="","",BetTable[[#This Row],[R3]]/BetTable[[#This Row],[TS]]),"")</f>
        <v/>
      </c>
      <c r="AF38" s="158" t="str">
        <f>IFERROR(IF(BetTable[[#This Row],[Outcome1]]="","",BetTable[[#This Row],[AR]]/BetTable[[#This Row],[TS]]),"")</f>
        <v/>
      </c>
      <c r="AG38"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8"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8"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8" s="149" t="str">
        <f>IF(BetTable[[#This Row],[Outcome1]]="",AJ37,BetTable[[#This Row],[AR]]+AJ37)</f>
        <v>0</v>
      </c>
      <c r="AK38" s="153"/>
    </row>
    <row r="39" spans="1:37">
      <c r="A39" s="159"/>
      <c r="B39" s="39"/>
      <c r="C39" s="40"/>
      <c r="D39" s="41"/>
      <c r="E39" s="154"/>
      <c r="F39" s="151"/>
      <c r="G39" s="151"/>
      <c r="H39" s="151"/>
      <c r="I39" s="160"/>
      <c r="J39" s="155"/>
      <c r="K39" s="155"/>
      <c r="L39" s="155"/>
      <c r="M39" s="149"/>
      <c r="N39" s="149"/>
      <c r="O39" s="149"/>
      <c r="P39" s="55"/>
      <c r="Q39" s="55"/>
      <c r="R39" s="156"/>
      <c r="S39" s="157" t="str">
        <f>IF(BetTable[[#This Row],[Sp]]="","",BetTable[[#This Row],[S1]]+BetTable[[#This Row],[S2]]+BetTable[[#This Row],[S3]])</f>
        <v/>
      </c>
      <c r="T39" s="149" t="str">
        <f>IF(BetTable[[#This Row],[O1]]="","",(BetTable[[#This Row],[WBA1-Commission]])-BetTable[[#This Row],[TS]])</f>
        <v/>
      </c>
      <c r="U39" s="149" t="str">
        <f>IF(BetTable[[#This Row],[O2]]="","",(BetTable[[#This Row],[WBA2-Commission]])-BetTable[[#This Row],[TS]])</f>
        <v/>
      </c>
      <c r="V39" s="149" t="str">
        <f>IF(BetTable[[#This Row],[O3]]="","",(BetTable[[#This Row],[WBA3-Commission]])-BetTable[[#This Row],[TS]])</f>
        <v/>
      </c>
      <c r="W39" s="57">
        <f>IF(NOT(ISBLANK(BetTable[[#This Row],[B1]])),1,0)+IF(NOT(ISBLANK(BetTable[[#This Row],[B2]])),1,0)+IF(NOT(ISBLANK(BetTable[[#This Row],[B3]])),1,0)</f>
        <v>0</v>
      </c>
      <c r="X39" s="149" t="str">
        <f>IF(BetTable[[#This Row],[Outcome1]]="","",BetTable[[#This Row],[WBA1]]+BetTable[[#This Row],[WBA2]]+BetTable[[#This Row],[WBA3]]-BetTable[[#This Row],[TS]])</f>
        <v/>
      </c>
      <c r="Y39" s="57" t="str">
        <f>IF(BetTable[[#This Row],[AR]]="","",BetTable[[#This Row],[AR]]/BetTable[[#This Row],[NumBookies]])</f>
        <v/>
      </c>
      <c r="Z39" s="149">
        <f>(((BetTable[[#This Row],[O1]]-1)*BetTable[[#This Row],[S1]])*(1-(BetTable[[#This Row],[C% 1]]))+BetTable[[#This Row],[S1]])</f>
        <v>0</v>
      </c>
      <c r="AA39" s="149">
        <f>(((BetTable[[#This Row],[O2]]-1)*BetTable[[#This Row],[S2]])*(1-(BetTable[[#This Row],[C% 2]]))+BetTable[[#This Row],[S2]])</f>
        <v>0</v>
      </c>
      <c r="AB39" s="149">
        <f>(((BetTable[[#This Row],[O3]]-1)*BetTable[[#This Row],[S3]])*(1-(BetTable[[#This Row],[C% 3]]))+BetTable[[#This Row],[S3]])</f>
        <v>0</v>
      </c>
      <c r="AC39" s="158" t="str">
        <f>IFERROR(IF(BetTable[[#This Row],[Sp]]="","",BetTable[[#This Row],[R1]]/BetTable[[#This Row],[TS]]),"")</f>
        <v/>
      </c>
      <c r="AD39" s="158" t="str">
        <f>IF(BetTable[[#This Row],[O2]]="","",BetTable[[#This Row],[R2]]/BetTable[[#This Row],[TS]])</f>
        <v/>
      </c>
      <c r="AE39" s="158" t="str">
        <f>IFERROR(IF(BetTable[[#This Row],[Sp]]="","",BetTable[[#This Row],[R3]]/BetTable[[#This Row],[TS]]),"")</f>
        <v/>
      </c>
      <c r="AF39" s="158" t="str">
        <f>IFERROR(IF(BetTable[[#This Row],[Outcome1]]="","",BetTable[[#This Row],[AR]]/BetTable[[#This Row],[TS]]),"")</f>
        <v/>
      </c>
      <c r="AG39"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39"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39"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39" s="149" t="str">
        <f>IF(BetTable[[#This Row],[Outcome1]]="",AJ38,BetTable[[#This Row],[AR]]+AJ38)</f>
        <v>0</v>
      </c>
      <c r="AK39" s="153"/>
    </row>
    <row r="40" spans="1:37">
      <c r="A40" s="159"/>
      <c r="B40" s="39"/>
      <c r="C40" s="40"/>
      <c r="D40" s="41"/>
      <c r="E40" s="40"/>
      <c r="F40" s="151"/>
      <c r="G40" s="151"/>
      <c r="H40" s="151"/>
      <c r="I40" s="160"/>
      <c r="J40" s="155"/>
      <c r="K40" s="155"/>
      <c r="L40" s="155"/>
      <c r="M40" s="149"/>
      <c r="N40" s="149"/>
      <c r="O40" s="149"/>
      <c r="P40" s="55"/>
      <c r="Q40" s="55"/>
      <c r="R40" s="55"/>
      <c r="S40" s="157" t="str">
        <f>IF(BetTable[[#This Row],[Sp]]="","",BetTable[[#This Row],[S1]]+BetTable[[#This Row],[S2]]+BetTable[[#This Row],[S3]])</f>
        <v/>
      </c>
      <c r="T40" s="149" t="str">
        <f>IF(BetTable[[#This Row],[O1]]="","",(BetTable[[#This Row],[WBA1-Commission]])-BetTable[[#This Row],[TS]])</f>
        <v/>
      </c>
      <c r="U40" s="149" t="str">
        <f>IF(BetTable[[#This Row],[O2]]="","",(BetTable[[#This Row],[WBA2-Commission]])-BetTable[[#This Row],[TS]])</f>
        <v/>
      </c>
      <c r="V40" s="149" t="str">
        <f>IF(BetTable[[#This Row],[O3]]="","",(BetTable[[#This Row],[WBA3-Commission]])-BetTable[[#This Row],[TS]])</f>
        <v/>
      </c>
      <c r="W40" s="57">
        <f>IF(NOT(ISBLANK(BetTable[[#This Row],[B1]])),1,0)+IF(NOT(ISBLANK(BetTable[[#This Row],[B2]])),1,0)+IF(NOT(ISBLANK(BetTable[[#This Row],[B3]])),1,0)</f>
        <v>0</v>
      </c>
      <c r="X40" s="149" t="str">
        <f>IF(BetTable[[#This Row],[Outcome1]]="","",BetTable[[#This Row],[WBA1]]+BetTable[[#This Row],[WBA2]]+BetTable[[#This Row],[WBA3]]-BetTable[[#This Row],[TS]])</f>
        <v/>
      </c>
      <c r="Y40" s="57" t="str">
        <f>IF(BetTable[[#This Row],[AR]]="","",BetTable[[#This Row],[AR]]/BetTable[[#This Row],[NumBookies]])</f>
        <v/>
      </c>
      <c r="Z40" s="149">
        <f>(((BetTable[[#This Row],[O1]]-1)*BetTable[[#This Row],[S1]])*(1-(BetTable[[#This Row],[C% 1]]))+BetTable[[#This Row],[S1]])</f>
        <v>0</v>
      </c>
      <c r="AA40" s="149">
        <f>(((BetTable[[#This Row],[O2]]-1)*BetTable[[#This Row],[S2]])*(1-(BetTable[[#This Row],[C% 2]]))+BetTable[[#This Row],[S2]])</f>
        <v>0</v>
      </c>
      <c r="AB40" s="149">
        <f>(((BetTable[[#This Row],[O3]]-1)*BetTable[[#This Row],[S3]])*(1-(BetTable[[#This Row],[C% 3]]))+BetTable[[#This Row],[S3]])</f>
        <v>0</v>
      </c>
      <c r="AC40" s="158" t="str">
        <f>IFERROR(IF(BetTable[[#This Row],[Sp]]="","",BetTable[[#This Row],[R1]]/BetTable[[#This Row],[TS]]),"")</f>
        <v/>
      </c>
      <c r="AD40" s="158" t="str">
        <f>IF(BetTable[[#This Row],[O2]]="","",BetTable[[#This Row],[R2]]/BetTable[[#This Row],[TS]])</f>
        <v/>
      </c>
      <c r="AE40" s="158" t="str">
        <f>IFERROR(IF(BetTable[[#This Row],[Sp]]="","",BetTable[[#This Row],[R3]]/BetTable[[#This Row],[TS]]),"")</f>
        <v/>
      </c>
      <c r="AF40" s="158" t="str">
        <f>IFERROR(IF(BetTable[[#This Row],[Outcome1]]="","",BetTable[[#This Row],[AR]]/BetTable[[#This Row],[TS]]),"")</f>
        <v/>
      </c>
      <c r="AG40"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0"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0"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0" s="149" t="str">
        <f>IF(BetTable[[#This Row],[Outcome1]]="",AJ37,BetTable[[#This Row],[AR]]+AJ37)</f>
        <v>0</v>
      </c>
      <c r="AK40" s="153"/>
    </row>
    <row r="41" spans="1:37">
      <c r="A41" s="159"/>
      <c r="B41" s="39"/>
      <c r="C41" s="40"/>
      <c r="D41" s="41"/>
      <c r="E41" s="40"/>
      <c r="F41" s="151"/>
      <c r="G41" s="151"/>
      <c r="H41" s="151"/>
      <c r="I41" s="160"/>
      <c r="J41" s="155"/>
      <c r="K41" s="155"/>
      <c r="L41" s="155"/>
      <c r="M41" s="149"/>
      <c r="N41" s="149"/>
      <c r="O41" s="149"/>
      <c r="P41" s="55"/>
      <c r="Q41" s="55"/>
      <c r="R41" s="55"/>
      <c r="S41" s="157" t="str">
        <f>IF(BetTable[[#This Row],[Sp]]="","",BetTable[[#This Row],[S1]]+BetTable[[#This Row],[S2]]+BetTable[[#This Row],[S3]])</f>
        <v/>
      </c>
      <c r="T41" s="149" t="str">
        <f>IF(BetTable[[#This Row],[O1]]="","",(BetTable[[#This Row],[WBA1-Commission]])-BetTable[[#This Row],[TS]])</f>
        <v/>
      </c>
      <c r="U41" s="149" t="str">
        <f>IF(BetTable[[#This Row],[O2]]="","",(BetTable[[#This Row],[WBA2-Commission]])-BetTable[[#This Row],[TS]])</f>
        <v/>
      </c>
      <c r="V41" s="149" t="str">
        <f>IF(BetTable[[#This Row],[O3]]="","",(BetTable[[#This Row],[WBA3-Commission]])-BetTable[[#This Row],[TS]])</f>
        <v/>
      </c>
      <c r="W41" s="57">
        <f>IF(NOT(ISBLANK(BetTable[[#This Row],[B1]])),1,0)+IF(NOT(ISBLANK(BetTable[[#This Row],[B2]])),1,0)+IF(NOT(ISBLANK(BetTable[[#This Row],[B3]])),1,0)</f>
        <v>0</v>
      </c>
      <c r="X41" s="149" t="str">
        <f>IF(BetTable[[#This Row],[Outcome1]]="","",BetTable[[#This Row],[WBA1]]+BetTable[[#This Row],[WBA2]]+BetTable[[#This Row],[WBA3]]-BetTable[[#This Row],[TS]])</f>
        <v/>
      </c>
      <c r="Y41" s="57" t="str">
        <f>IF(BetTable[[#This Row],[AR]]="","",BetTable[[#This Row],[AR]]/BetTable[[#This Row],[NumBookies]])</f>
        <v/>
      </c>
      <c r="Z41" s="149">
        <f>(((BetTable[[#This Row],[O1]]-1)*BetTable[[#This Row],[S1]])*(1-(BetTable[[#This Row],[C% 1]]))+BetTable[[#This Row],[S1]])</f>
        <v>0</v>
      </c>
      <c r="AA41" s="149">
        <f>(((BetTable[[#This Row],[O2]]-1)*BetTable[[#This Row],[S2]])*(1-(BetTable[[#This Row],[C% 2]]))+BetTable[[#This Row],[S2]])</f>
        <v>0</v>
      </c>
      <c r="AB41" s="149">
        <f>(((BetTable[[#This Row],[O3]]-1)*BetTable[[#This Row],[S3]])*(1-(BetTable[[#This Row],[C% 3]]))+BetTable[[#This Row],[S3]])</f>
        <v>0</v>
      </c>
      <c r="AC41" s="158" t="str">
        <f>IFERROR(IF(BetTable[[#This Row],[Sp]]="","",BetTable[[#This Row],[R1]]/BetTable[[#This Row],[TS]]),"")</f>
        <v/>
      </c>
      <c r="AD41" s="158" t="str">
        <f>IF(BetTable[[#This Row],[O2]]="","",BetTable[[#This Row],[R2]]/BetTable[[#This Row],[TS]])</f>
        <v/>
      </c>
      <c r="AE41" s="158" t="str">
        <f>IFERROR(IF(BetTable[[#This Row],[Sp]]="","",BetTable[[#This Row],[R3]]/BetTable[[#This Row],[TS]]),"")</f>
        <v/>
      </c>
      <c r="AF41" s="158" t="str">
        <f>IFERROR(IF(BetTable[[#This Row],[Outcome1]]="","",BetTable[[#This Row],[AR]]/BetTable[[#This Row],[TS]]),"")</f>
        <v/>
      </c>
      <c r="AG41"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1"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1"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1" s="149" t="str">
        <f>IF(BetTable[[#This Row],[Outcome1]]="",AJ40,BetTable[[#This Row],[AR]]+AJ40)</f>
        <v>0</v>
      </c>
      <c r="AK41" s="153"/>
    </row>
    <row r="42" spans="1:37">
      <c r="A42" s="159"/>
      <c r="B42" s="39"/>
      <c r="C42" s="40"/>
      <c r="D42" s="41"/>
      <c r="E42" s="40"/>
      <c r="F42" s="151"/>
      <c r="G42" s="151"/>
      <c r="H42" s="151"/>
      <c r="I42" s="160"/>
      <c r="J42" s="155"/>
      <c r="K42" s="155"/>
      <c r="L42" s="155"/>
      <c r="M42" s="149"/>
      <c r="N42" s="149"/>
      <c r="O42" s="149"/>
      <c r="P42" s="55"/>
      <c r="Q42" s="55"/>
      <c r="R42" s="55"/>
      <c r="S42" s="157" t="str">
        <f>IF(BetTable[[#This Row],[Sp]]="","",BetTable[[#This Row],[S1]]+BetTable[[#This Row],[S2]]+BetTable[[#This Row],[S3]])</f>
        <v/>
      </c>
      <c r="T42" s="149" t="str">
        <f>IF(BetTable[[#This Row],[O1]]="","",(BetTable[[#This Row],[WBA1-Commission]])-BetTable[[#This Row],[TS]])</f>
        <v/>
      </c>
      <c r="U42" s="149" t="str">
        <f>IF(BetTable[[#This Row],[O2]]="","",(BetTable[[#This Row],[WBA2-Commission]])-BetTable[[#This Row],[TS]])</f>
        <v/>
      </c>
      <c r="V42" s="149" t="str">
        <f>IF(BetTable[[#This Row],[O3]]="","",(BetTable[[#This Row],[WBA3-Commission]])-BetTable[[#This Row],[TS]])</f>
        <v/>
      </c>
      <c r="W42" s="57">
        <f>IF(NOT(ISBLANK(BetTable[[#This Row],[B1]])),1,0)+IF(NOT(ISBLANK(BetTable[[#This Row],[B2]])),1,0)+IF(NOT(ISBLANK(BetTable[[#This Row],[B3]])),1,0)</f>
        <v>0</v>
      </c>
      <c r="X42" s="149" t="str">
        <f>IF(BetTable[[#This Row],[Outcome1]]="","",BetTable[[#This Row],[WBA1]]+BetTable[[#This Row],[WBA2]]+BetTable[[#This Row],[WBA3]]-BetTable[[#This Row],[TS]])</f>
        <v/>
      </c>
      <c r="Y42" s="57" t="str">
        <f>IF(BetTable[[#This Row],[AR]]="","",BetTable[[#This Row],[AR]]/BetTable[[#This Row],[NumBookies]])</f>
        <v/>
      </c>
      <c r="Z42" s="149">
        <f>(((BetTable[[#This Row],[O1]]-1)*BetTable[[#This Row],[S1]])*(1-(BetTable[[#This Row],[C% 1]]))+BetTable[[#This Row],[S1]])</f>
        <v>0</v>
      </c>
      <c r="AA42" s="149">
        <f>(((BetTable[[#This Row],[O2]]-1)*BetTable[[#This Row],[S2]])*(1-(BetTable[[#This Row],[C% 2]]))+BetTable[[#This Row],[S2]])</f>
        <v>0</v>
      </c>
      <c r="AB42" s="149">
        <f>(((BetTable[[#This Row],[O3]]-1)*BetTable[[#This Row],[S3]])*(1-(BetTable[[#This Row],[C% 3]]))+BetTable[[#This Row],[S3]])</f>
        <v>0</v>
      </c>
      <c r="AC42" s="158" t="str">
        <f>IFERROR(IF(BetTable[[#This Row],[Sp]]="","",BetTable[[#This Row],[R1]]/BetTable[[#This Row],[TS]]),"")</f>
        <v/>
      </c>
      <c r="AD42" s="158" t="str">
        <f>IF(BetTable[[#This Row],[O2]]="","",BetTable[[#This Row],[R2]]/BetTable[[#This Row],[TS]])</f>
        <v/>
      </c>
      <c r="AE42" s="158" t="str">
        <f>IFERROR(IF(BetTable[[#This Row],[Sp]]="","",BetTable[[#This Row],[R3]]/BetTable[[#This Row],[TS]]),"")</f>
        <v/>
      </c>
      <c r="AF42" s="158" t="str">
        <f>IFERROR(IF(BetTable[[#This Row],[Outcome1]]="","",BetTable[[#This Row],[AR]]/BetTable[[#This Row],[TS]]),"")</f>
        <v/>
      </c>
      <c r="AG42"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2"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2"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2" s="149" t="str">
        <f>IF(BetTable[[#This Row],[Outcome1]]="",AJ41,BetTable[[#This Row],[AR]]+AJ41)</f>
        <v>0</v>
      </c>
      <c r="AK42" s="153"/>
    </row>
    <row r="43" spans="1:37">
      <c r="A43" s="159"/>
      <c r="B43" s="39"/>
      <c r="C43" s="40"/>
      <c r="D43" s="41"/>
      <c r="E43" s="40"/>
      <c r="F43" s="151"/>
      <c r="G43" s="151"/>
      <c r="H43" s="151"/>
      <c r="I43" s="160"/>
      <c r="J43" s="155"/>
      <c r="K43" s="155"/>
      <c r="L43" s="155"/>
      <c r="M43" s="149"/>
      <c r="N43" s="149"/>
      <c r="O43" s="149"/>
      <c r="P43" s="55"/>
      <c r="Q43" s="55"/>
      <c r="R43" s="55"/>
      <c r="S43" s="157" t="str">
        <f>IF(BetTable[[#This Row],[Sp]]="","",BetTable[[#This Row],[S1]]+BetTable[[#This Row],[S2]]+BetTable[[#This Row],[S3]])</f>
        <v/>
      </c>
      <c r="T43" s="149" t="str">
        <f>IF(BetTable[[#This Row],[O1]]="","",(BetTable[[#This Row],[WBA1-Commission]])-BetTable[[#This Row],[TS]])</f>
        <v/>
      </c>
      <c r="U43" s="149" t="str">
        <f>IF(BetTable[[#This Row],[O2]]="","",(BetTable[[#This Row],[WBA2-Commission]])-BetTable[[#This Row],[TS]])</f>
        <v/>
      </c>
      <c r="V43" s="149" t="str">
        <f>IF(BetTable[[#This Row],[O3]]="","",(BetTable[[#This Row],[WBA3-Commission]])-BetTable[[#This Row],[TS]])</f>
        <v/>
      </c>
      <c r="W43" s="57">
        <f>IF(NOT(ISBLANK(BetTable[[#This Row],[B1]])),1,0)+IF(NOT(ISBLANK(BetTable[[#This Row],[B2]])),1,0)+IF(NOT(ISBLANK(BetTable[[#This Row],[B3]])),1,0)</f>
        <v>0</v>
      </c>
      <c r="X43" s="149" t="str">
        <f>IF(BetTable[[#This Row],[Outcome1]]="","",BetTable[[#This Row],[WBA1]]+BetTable[[#This Row],[WBA2]]+BetTable[[#This Row],[WBA3]]-BetTable[[#This Row],[TS]])</f>
        <v/>
      </c>
      <c r="Y43" s="57" t="str">
        <f>IF(BetTable[[#This Row],[AR]]="","",BetTable[[#This Row],[AR]]/BetTable[[#This Row],[NumBookies]])</f>
        <v/>
      </c>
      <c r="Z43" s="149">
        <f>(((BetTable[[#This Row],[O1]]-1)*BetTable[[#This Row],[S1]])*(1-(BetTable[[#This Row],[C% 1]]))+BetTable[[#This Row],[S1]])</f>
        <v>0</v>
      </c>
      <c r="AA43" s="149">
        <f>(((BetTable[[#This Row],[O2]]-1)*BetTable[[#This Row],[S2]])*(1-(BetTable[[#This Row],[C% 2]]))+BetTable[[#This Row],[S2]])</f>
        <v>0</v>
      </c>
      <c r="AB43" s="149">
        <f>(((BetTable[[#This Row],[O3]]-1)*BetTable[[#This Row],[S3]])*(1-(BetTable[[#This Row],[C% 3]]))+BetTable[[#This Row],[S3]])</f>
        <v>0</v>
      </c>
      <c r="AC43" s="158" t="str">
        <f>IFERROR(IF(BetTable[[#This Row],[Sp]]="","",BetTable[[#This Row],[R1]]/BetTable[[#This Row],[TS]]),"")</f>
        <v/>
      </c>
      <c r="AD43" s="158" t="str">
        <f>IF(BetTable[[#This Row],[O2]]="","",BetTable[[#This Row],[R2]]/BetTable[[#This Row],[TS]])</f>
        <v/>
      </c>
      <c r="AE43" s="158" t="str">
        <f>IFERROR(IF(BetTable[[#This Row],[Sp]]="","",BetTable[[#This Row],[R3]]/BetTable[[#This Row],[TS]]),"")</f>
        <v/>
      </c>
      <c r="AF43" s="158" t="str">
        <f>IFERROR(IF(BetTable[[#This Row],[Outcome1]]="","",BetTable[[#This Row],[AR]]/BetTable[[#This Row],[TS]]),"")</f>
        <v/>
      </c>
      <c r="AG43"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3"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3"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3" s="149" t="str">
        <f>IF(BetTable[[#This Row],[Outcome1]]="",AJ41,BetTable[[#This Row],[AR]]+AJ41)</f>
        <v>0</v>
      </c>
      <c r="AK43" s="153"/>
    </row>
    <row r="44" spans="1:37">
      <c r="A44" s="159"/>
      <c r="B44" s="39"/>
      <c r="C44" s="40"/>
      <c r="D44" s="41"/>
      <c r="E44" s="40"/>
      <c r="F44" s="151"/>
      <c r="G44" s="151"/>
      <c r="H44" s="151"/>
      <c r="I44" s="160"/>
      <c r="J44" s="155"/>
      <c r="K44" s="155"/>
      <c r="L44" s="155"/>
      <c r="M44" s="149"/>
      <c r="N44" s="149"/>
      <c r="O44" s="149"/>
      <c r="P44" s="55"/>
      <c r="Q44" s="55"/>
      <c r="R44" s="55"/>
      <c r="S44" s="157" t="str">
        <f>IF(BetTable[[#This Row],[Sp]]="","",BetTable[[#This Row],[S1]]+BetTable[[#This Row],[S2]]+BetTable[[#This Row],[S3]])</f>
        <v/>
      </c>
      <c r="T44" s="149" t="str">
        <f>IF(BetTable[[#This Row],[O1]]="","",(BetTable[[#This Row],[WBA1-Commission]])-BetTable[[#This Row],[TS]])</f>
        <v/>
      </c>
      <c r="U44" s="149" t="str">
        <f>IF(BetTable[[#This Row],[O2]]="","",(BetTable[[#This Row],[WBA2-Commission]])-BetTable[[#This Row],[TS]])</f>
        <v/>
      </c>
      <c r="V44" s="149" t="str">
        <f>IF(BetTable[[#This Row],[O3]]="","",(BetTable[[#This Row],[WBA3-Commission]])-BetTable[[#This Row],[TS]])</f>
        <v/>
      </c>
      <c r="W44" s="57">
        <f>IF(NOT(ISBLANK(BetTable[[#This Row],[B1]])),1,0)+IF(NOT(ISBLANK(BetTable[[#This Row],[B2]])),1,0)+IF(NOT(ISBLANK(BetTable[[#This Row],[B3]])),1,0)</f>
        <v>0</v>
      </c>
      <c r="X44" s="149" t="str">
        <f>IF(BetTable[[#This Row],[Outcome1]]="","",BetTable[[#This Row],[WBA1]]+BetTable[[#This Row],[WBA2]]+BetTable[[#This Row],[WBA3]]-BetTable[[#This Row],[TS]])</f>
        <v/>
      </c>
      <c r="Y44" s="57" t="str">
        <f>IF(BetTable[[#This Row],[AR]]="","",BetTable[[#This Row],[AR]]/BetTable[[#This Row],[NumBookies]])</f>
        <v/>
      </c>
      <c r="Z44" s="149">
        <f>(((BetTable[[#This Row],[O1]]-1)*BetTable[[#This Row],[S1]])*(1-(BetTable[[#This Row],[C% 1]]))+BetTable[[#This Row],[S1]])</f>
        <v>0</v>
      </c>
      <c r="AA44" s="149">
        <f>(((BetTable[[#This Row],[O2]]-1)*BetTable[[#This Row],[S2]])*(1-(BetTable[[#This Row],[C% 2]]))+BetTable[[#This Row],[S2]])</f>
        <v>0</v>
      </c>
      <c r="AB44" s="149">
        <f>(((BetTable[[#This Row],[O3]]-1)*BetTable[[#This Row],[S3]])*(1-(BetTable[[#This Row],[C% 3]]))+BetTable[[#This Row],[S3]])</f>
        <v>0</v>
      </c>
      <c r="AC44" s="158" t="str">
        <f>IFERROR(IF(BetTable[[#This Row],[Sp]]="","",BetTable[[#This Row],[R1]]/BetTable[[#This Row],[TS]]),"")</f>
        <v/>
      </c>
      <c r="AD44" s="158" t="str">
        <f>IF(BetTable[[#This Row],[O2]]="","",BetTable[[#This Row],[R2]]/BetTable[[#This Row],[TS]])</f>
        <v/>
      </c>
      <c r="AE44" s="158" t="str">
        <f>IFERROR(IF(BetTable[[#This Row],[Sp]]="","",BetTable[[#This Row],[R3]]/BetTable[[#This Row],[TS]]),"")</f>
        <v/>
      </c>
      <c r="AF44" s="158" t="str">
        <f>IFERROR(IF(BetTable[[#This Row],[Outcome1]]="","",BetTable[[#This Row],[AR]]/BetTable[[#This Row],[TS]]),"")</f>
        <v/>
      </c>
      <c r="AG44"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4"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4"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4" s="149" t="str">
        <f>IF(BetTable[[#This Row],[Outcome1]]="",AJ41,BetTable[[#This Row],[AR]]+AJ41)</f>
        <v>0</v>
      </c>
      <c r="AK44" s="153"/>
    </row>
    <row r="45" spans="1:37">
      <c r="A45" s="159"/>
      <c r="B45" s="39"/>
      <c r="C45" s="40"/>
      <c r="D45" s="41"/>
      <c r="E45" s="40"/>
      <c r="F45" s="151"/>
      <c r="G45" s="151"/>
      <c r="H45" s="151"/>
      <c r="I45" s="160"/>
      <c r="J45" s="155"/>
      <c r="K45" s="155"/>
      <c r="L45" s="155"/>
      <c r="M45" s="149"/>
      <c r="N45" s="149"/>
      <c r="O45" s="149"/>
      <c r="P45" s="55"/>
      <c r="Q45" s="55"/>
      <c r="R45" s="55"/>
      <c r="S45" s="157" t="str">
        <f>IF(BetTable[[#This Row],[Sp]]="","",BetTable[[#This Row],[S1]]+BetTable[[#This Row],[S2]]+BetTable[[#This Row],[S3]])</f>
        <v/>
      </c>
      <c r="T45" s="149" t="str">
        <f>IF(BetTable[[#This Row],[O1]]="","",(BetTable[[#This Row],[WBA1-Commission]])-BetTable[[#This Row],[TS]])</f>
        <v/>
      </c>
      <c r="U45" s="149" t="str">
        <f>IF(BetTable[[#This Row],[O2]]="","",(BetTable[[#This Row],[WBA2-Commission]])-BetTable[[#This Row],[TS]])</f>
        <v/>
      </c>
      <c r="V45" s="149" t="str">
        <f>IF(BetTable[[#This Row],[O3]]="","",(BetTable[[#This Row],[WBA3-Commission]])-BetTable[[#This Row],[TS]])</f>
        <v/>
      </c>
      <c r="W45" s="57">
        <f>IF(NOT(ISBLANK(BetTable[[#This Row],[B1]])),1,0)+IF(NOT(ISBLANK(BetTable[[#This Row],[B2]])),1,0)+IF(NOT(ISBLANK(BetTable[[#This Row],[B3]])),1,0)</f>
        <v>0</v>
      </c>
      <c r="X45" s="149" t="str">
        <f>IF(BetTable[[#This Row],[Outcome1]]="","",BetTable[[#This Row],[WBA1]]+BetTable[[#This Row],[WBA2]]+BetTable[[#This Row],[WBA3]]-BetTable[[#This Row],[TS]])</f>
        <v/>
      </c>
      <c r="Y45" s="57" t="str">
        <f>IF(BetTable[[#This Row],[AR]]="","",BetTable[[#This Row],[AR]]/BetTable[[#This Row],[NumBookies]])</f>
        <v/>
      </c>
      <c r="Z45" s="149">
        <f>(((BetTable[[#This Row],[O1]]-1)*BetTable[[#This Row],[S1]])*(1-(BetTable[[#This Row],[C% 1]]))+BetTable[[#This Row],[S1]])</f>
        <v>0</v>
      </c>
      <c r="AA45" s="149">
        <f>(((BetTable[[#This Row],[O2]]-1)*BetTable[[#This Row],[S2]])*(1-(BetTable[[#This Row],[C% 2]]))+BetTable[[#This Row],[S2]])</f>
        <v>0</v>
      </c>
      <c r="AB45" s="149">
        <f>(((BetTable[[#This Row],[O3]]-1)*BetTable[[#This Row],[S3]])*(1-(BetTable[[#This Row],[C% 3]]))+BetTable[[#This Row],[S3]])</f>
        <v>0</v>
      </c>
      <c r="AC45" s="158" t="str">
        <f>IFERROR(IF(BetTable[[#This Row],[Sp]]="","",BetTable[[#This Row],[R1]]/BetTable[[#This Row],[TS]]),"")</f>
        <v/>
      </c>
      <c r="AD45" s="158" t="str">
        <f>IF(BetTable[[#This Row],[O2]]="","",BetTable[[#This Row],[R2]]/BetTable[[#This Row],[TS]])</f>
        <v/>
      </c>
      <c r="AE45" s="158" t="str">
        <f>IFERROR(IF(BetTable[[#This Row],[Sp]]="","",BetTable[[#This Row],[R3]]/BetTable[[#This Row],[TS]]),"")</f>
        <v/>
      </c>
      <c r="AF45" s="158" t="str">
        <f>IFERROR(IF(BetTable[[#This Row],[Outcome1]]="","",BetTable[[#This Row],[AR]]/BetTable[[#This Row],[TS]]),"")</f>
        <v/>
      </c>
      <c r="AG45"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5"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5"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5" s="149" t="str">
        <f>IF(BetTable[[#This Row],[Outcome1]]="",AJ40,BetTable[[#This Row],[AR]]+AJ40)</f>
        <v>0</v>
      </c>
      <c r="AK45" s="153"/>
    </row>
    <row r="46" spans="1:37">
      <c r="A46" s="159"/>
      <c r="B46" s="39"/>
      <c r="C46" s="40"/>
      <c r="D46" s="41"/>
      <c r="E46" s="40"/>
      <c r="F46" s="151"/>
      <c r="G46" s="151"/>
      <c r="H46" s="151"/>
      <c r="I46" s="160"/>
      <c r="J46" s="155"/>
      <c r="K46" s="155"/>
      <c r="L46" s="155"/>
      <c r="M46" s="149"/>
      <c r="N46" s="149"/>
      <c r="O46" s="149"/>
      <c r="P46" s="55"/>
      <c r="Q46" s="55"/>
      <c r="R46" s="55"/>
      <c r="S46" s="157" t="str">
        <f>IF(BetTable[[#This Row],[Sp]]="","",BetTable[[#This Row],[S1]]+BetTable[[#This Row],[S2]]+BetTable[[#This Row],[S3]])</f>
        <v/>
      </c>
      <c r="T46" s="149" t="str">
        <f>IF(BetTable[[#This Row],[O1]]="","",(BetTable[[#This Row],[WBA1-Commission]])-BetTable[[#This Row],[TS]])</f>
        <v/>
      </c>
      <c r="U46" s="149" t="str">
        <f>IF(BetTable[[#This Row],[O2]]="","",(BetTable[[#This Row],[WBA2-Commission]])-BetTable[[#This Row],[TS]])</f>
        <v/>
      </c>
      <c r="V46" s="149" t="str">
        <f>IF(BetTable[[#This Row],[O3]]="","",(BetTable[[#This Row],[WBA3-Commission]])-BetTable[[#This Row],[TS]])</f>
        <v/>
      </c>
      <c r="W46" s="57">
        <f>IF(NOT(ISBLANK(BetTable[[#This Row],[B1]])),1,0)+IF(NOT(ISBLANK(BetTable[[#This Row],[B2]])),1,0)+IF(NOT(ISBLANK(BetTable[[#This Row],[B3]])),1,0)</f>
        <v>0</v>
      </c>
      <c r="X46" s="149" t="str">
        <f>IF(BetTable[[#This Row],[Outcome1]]="","",BetTable[[#This Row],[WBA1]]+BetTable[[#This Row],[WBA2]]+BetTable[[#This Row],[WBA3]]-BetTable[[#This Row],[TS]])</f>
        <v/>
      </c>
      <c r="Y46" s="57" t="str">
        <f>IF(BetTable[[#This Row],[AR]]="","",BetTable[[#This Row],[AR]]/BetTable[[#This Row],[NumBookies]])</f>
        <v/>
      </c>
      <c r="Z46" s="149">
        <f>(((BetTable[[#This Row],[O1]]-1)*BetTable[[#This Row],[S1]])*(1-(BetTable[[#This Row],[C% 1]]))+BetTable[[#This Row],[S1]])</f>
        <v>0</v>
      </c>
      <c r="AA46" s="149">
        <f>(((BetTable[[#This Row],[O2]]-1)*BetTable[[#This Row],[S2]])*(1-(BetTable[[#This Row],[C% 2]]))+BetTable[[#This Row],[S2]])</f>
        <v>0</v>
      </c>
      <c r="AB46" s="149">
        <f>(((BetTable[[#This Row],[O3]]-1)*BetTable[[#This Row],[S3]])*(1-(BetTable[[#This Row],[C% 3]]))+BetTable[[#This Row],[S3]])</f>
        <v>0</v>
      </c>
      <c r="AC46" s="158" t="str">
        <f>IFERROR(IF(BetTable[[#This Row],[Sp]]="","",BetTable[[#This Row],[R1]]/BetTable[[#This Row],[TS]]),"")</f>
        <v/>
      </c>
      <c r="AD46" s="158" t="str">
        <f>IF(BetTable[[#This Row],[O2]]="","",BetTable[[#This Row],[R2]]/BetTable[[#This Row],[TS]])</f>
        <v/>
      </c>
      <c r="AE46" s="158" t="str">
        <f>IFERROR(IF(BetTable[[#This Row],[Sp]]="","",BetTable[[#This Row],[R3]]/BetTable[[#This Row],[TS]]),"")</f>
        <v/>
      </c>
      <c r="AF46" s="158" t="str">
        <f>IFERROR(IF(BetTable[[#This Row],[Outcome1]]="","",BetTable[[#This Row],[AR]]/BetTable[[#This Row],[TS]]),"")</f>
        <v/>
      </c>
      <c r="AG46"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6"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6"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6" s="149" t="str">
        <f>IF(BetTable[[#This Row],[Outcome1]]="",AJ40,BetTable[[#This Row],[AR]]+AJ40)</f>
        <v>0</v>
      </c>
      <c r="AK46" s="153"/>
    </row>
    <row r="47" spans="1:37">
      <c r="A47" s="159"/>
      <c r="B47" s="39"/>
      <c r="C47" s="40"/>
      <c r="D47" s="41"/>
      <c r="E47" s="40"/>
      <c r="F47" s="151"/>
      <c r="G47" s="151"/>
      <c r="H47" s="151"/>
      <c r="I47" s="160"/>
      <c r="J47" s="155"/>
      <c r="K47" s="155"/>
      <c r="L47" s="155"/>
      <c r="M47" s="149"/>
      <c r="N47" s="149"/>
      <c r="O47" s="149"/>
      <c r="P47" s="55"/>
      <c r="Q47" s="55"/>
      <c r="R47" s="55"/>
      <c r="S47" s="157" t="str">
        <f>IF(BetTable[[#This Row],[Sp]]="","",BetTable[[#This Row],[S1]]+BetTable[[#This Row],[S2]]+BetTable[[#This Row],[S3]])</f>
        <v/>
      </c>
      <c r="T47" s="149" t="str">
        <f>IF(BetTable[[#This Row],[O1]]="","",(BetTable[[#This Row],[WBA1-Commission]])-BetTable[[#This Row],[TS]])</f>
        <v/>
      </c>
      <c r="U47" s="149" t="str">
        <f>IF(BetTable[[#This Row],[O2]]="","",(BetTable[[#This Row],[WBA2-Commission]])-BetTable[[#This Row],[TS]])</f>
        <v/>
      </c>
      <c r="V47" s="149" t="str">
        <f>IF(BetTable[[#This Row],[O3]]="","",(BetTable[[#This Row],[WBA3-Commission]])-BetTable[[#This Row],[TS]])</f>
        <v/>
      </c>
      <c r="W47" s="57">
        <f>IF(NOT(ISBLANK(BetTable[[#This Row],[B1]])),1,0)+IF(NOT(ISBLANK(BetTable[[#This Row],[B2]])),1,0)+IF(NOT(ISBLANK(BetTable[[#This Row],[B3]])),1,0)</f>
        <v>0</v>
      </c>
      <c r="X47" s="149" t="str">
        <f>IF(BetTable[[#This Row],[Outcome1]]="","",BetTable[[#This Row],[WBA1]]+BetTable[[#This Row],[WBA2]]+BetTable[[#This Row],[WBA3]]-BetTable[[#This Row],[TS]])</f>
        <v/>
      </c>
      <c r="Y47" s="57" t="str">
        <f>IF(BetTable[[#This Row],[AR]]="","",BetTable[[#This Row],[AR]]/BetTable[[#This Row],[NumBookies]])</f>
        <v/>
      </c>
      <c r="Z47" s="149">
        <f>(((BetTable[[#This Row],[O1]]-1)*BetTable[[#This Row],[S1]])*(1-(BetTable[[#This Row],[C% 1]]))+BetTable[[#This Row],[S1]])</f>
        <v>0</v>
      </c>
      <c r="AA47" s="149">
        <f>(((BetTable[[#This Row],[O2]]-1)*BetTable[[#This Row],[S2]])*(1-(BetTable[[#This Row],[C% 2]]))+BetTable[[#This Row],[S2]])</f>
        <v>0</v>
      </c>
      <c r="AB47" s="149">
        <f>(((BetTable[[#This Row],[O3]]-1)*BetTable[[#This Row],[S3]])*(1-(BetTable[[#This Row],[C% 3]]))+BetTable[[#This Row],[S3]])</f>
        <v>0</v>
      </c>
      <c r="AC47" s="158" t="str">
        <f>IFERROR(IF(BetTable[[#This Row],[Sp]]="","",BetTable[[#This Row],[R1]]/BetTable[[#This Row],[TS]]),"")</f>
        <v/>
      </c>
      <c r="AD47" s="158" t="str">
        <f>IF(BetTable[[#This Row],[O2]]="","",BetTable[[#This Row],[R2]]/BetTable[[#This Row],[TS]])</f>
        <v/>
      </c>
      <c r="AE47" s="158" t="str">
        <f>IFERROR(IF(BetTable[[#This Row],[Sp]]="","",BetTable[[#This Row],[R3]]/BetTable[[#This Row],[TS]]),"")</f>
        <v/>
      </c>
      <c r="AF47" s="158" t="str">
        <f>IFERROR(IF(BetTable[[#This Row],[Outcome1]]="","",BetTable[[#This Row],[AR]]/BetTable[[#This Row],[TS]]),"")</f>
        <v/>
      </c>
      <c r="AG47"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7"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7"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7" s="149" t="str">
        <f>IF(BetTable[[#This Row],[Outcome1]]="",AJ40,BetTable[[#This Row],[AR]]+AJ40)</f>
        <v>0</v>
      </c>
      <c r="AK47" s="153"/>
    </row>
    <row r="48" spans="1:37">
      <c r="A48" s="159"/>
      <c r="B48" s="39"/>
      <c r="C48" s="40"/>
      <c r="D48" s="41"/>
      <c r="E48" s="40"/>
      <c r="F48" s="151"/>
      <c r="G48" s="151"/>
      <c r="H48" s="151"/>
      <c r="I48" s="160"/>
      <c r="J48" s="155"/>
      <c r="K48" s="155"/>
      <c r="L48" s="155"/>
      <c r="M48" s="57"/>
      <c r="N48" s="149"/>
      <c r="O48" s="149"/>
      <c r="P48" s="55"/>
      <c r="Q48" s="55"/>
      <c r="R48" s="55"/>
      <c r="S48" s="157" t="str">
        <f>IF(BetTable[[#This Row],[Sp]]="","",BetTable[[#This Row],[S1]]+BetTable[[#This Row],[S2]]+BetTable[[#This Row],[S3]])</f>
        <v/>
      </c>
      <c r="T48" s="149" t="str">
        <f>IF(BetTable[[#This Row],[O1]]="","",(BetTable[[#This Row],[WBA1-Commission]])-BetTable[[#This Row],[TS]])</f>
        <v/>
      </c>
      <c r="U48" s="149" t="str">
        <f>IF(BetTable[[#This Row],[O2]]="","",(BetTable[[#This Row],[WBA2-Commission]])-BetTable[[#This Row],[TS]])</f>
        <v/>
      </c>
      <c r="V48" s="149" t="str">
        <f>IF(BetTable[[#This Row],[O3]]="","",(BetTable[[#This Row],[WBA3-Commission]])-BetTable[[#This Row],[TS]])</f>
        <v/>
      </c>
      <c r="W48" s="57">
        <f>IF(NOT(ISBLANK(BetTable[[#This Row],[B1]])),1,0)+IF(NOT(ISBLANK(BetTable[[#This Row],[B2]])),1,0)+IF(NOT(ISBLANK(BetTable[[#This Row],[B3]])),1,0)</f>
        <v>0</v>
      </c>
      <c r="X48" s="149" t="str">
        <f>IF(BetTable[[#This Row],[Outcome1]]="","",BetTable[[#This Row],[WBA1]]+BetTable[[#This Row],[WBA2]]+BetTable[[#This Row],[WBA3]]-BetTable[[#This Row],[TS]])</f>
        <v/>
      </c>
      <c r="Y48" s="57" t="str">
        <f>IF(BetTable[[#This Row],[AR]]="","",BetTable[[#This Row],[AR]]/BetTable[[#This Row],[NumBookies]])</f>
        <v/>
      </c>
      <c r="Z48" s="149">
        <f>(((BetTable[[#This Row],[O1]]-1)*BetTable[[#This Row],[S1]])*(1-(BetTable[[#This Row],[C% 1]]))+BetTable[[#This Row],[S1]])</f>
        <v>0</v>
      </c>
      <c r="AA48" s="149">
        <f>(((BetTable[[#This Row],[O2]]-1)*BetTable[[#This Row],[S2]])*(1-(BetTable[[#This Row],[C% 2]]))+BetTable[[#This Row],[S2]])</f>
        <v>0</v>
      </c>
      <c r="AB48" s="149">
        <f>(((BetTable[[#This Row],[O3]]-1)*BetTable[[#This Row],[S3]])*(1-(BetTable[[#This Row],[C% 3]]))+BetTable[[#This Row],[S3]])</f>
        <v>0</v>
      </c>
      <c r="AC48" s="158" t="str">
        <f>IFERROR(IF(BetTable[[#This Row],[Sp]]="","",BetTable[[#This Row],[R1]]/BetTable[[#This Row],[TS]]),"")</f>
        <v/>
      </c>
      <c r="AD48" s="158" t="str">
        <f>IF(BetTable[[#This Row],[O2]]="","",BetTable[[#This Row],[R2]]/BetTable[[#This Row],[TS]])</f>
        <v/>
      </c>
      <c r="AE48" s="158" t="str">
        <f>IFERROR(IF(BetTable[[#This Row],[Sp]]="","",BetTable[[#This Row],[R3]]/BetTable[[#This Row],[TS]]),"")</f>
        <v/>
      </c>
      <c r="AF48" s="158" t="str">
        <f>IFERROR(IF(BetTable[[#This Row],[Outcome1]]="","",BetTable[[#This Row],[AR]]/BetTable[[#This Row],[TS]]),"")</f>
        <v/>
      </c>
      <c r="AG48"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8"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8"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8" s="149" t="str">
        <f>IF(BetTable[[#This Row],[Outcome1]]="",AJ47,BetTable[[#This Row],[AR]]+AJ47)</f>
        <v>0</v>
      </c>
      <c r="AK48" s="153"/>
    </row>
    <row r="49" spans="1:37">
      <c r="A49" s="159"/>
      <c r="B49" s="39"/>
      <c r="C49" s="40"/>
      <c r="D49" s="41"/>
      <c r="E49" s="40"/>
      <c r="F49" s="151"/>
      <c r="G49" s="151"/>
      <c r="H49" s="151"/>
      <c r="I49" s="160"/>
      <c r="J49" s="155"/>
      <c r="K49" s="155"/>
      <c r="L49" s="155"/>
      <c r="M49" s="149"/>
      <c r="N49" s="149"/>
      <c r="O49" s="149"/>
      <c r="P49" s="55"/>
      <c r="Q49" s="55"/>
      <c r="R49" s="55"/>
      <c r="S49" s="157" t="str">
        <f>IF(BetTable[[#This Row],[Sp]]="","",BetTable[[#This Row],[S1]]+BetTable[[#This Row],[S2]]+BetTable[[#This Row],[S3]])</f>
        <v/>
      </c>
      <c r="T49" s="149" t="str">
        <f>IF(BetTable[[#This Row],[O1]]="","",(BetTable[[#This Row],[WBA1-Commission]])-BetTable[[#This Row],[TS]])</f>
        <v/>
      </c>
      <c r="U49" s="149" t="str">
        <f>IF(BetTable[[#This Row],[O2]]="","",(BetTable[[#This Row],[WBA2-Commission]])-BetTable[[#This Row],[TS]])</f>
        <v/>
      </c>
      <c r="V49" s="149" t="str">
        <f>IF(BetTable[[#This Row],[O3]]="","",(BetTable[[#This Row],[WBA3-Commission]])-BetTable[[#This Row],[TS]])</f>
        <v/>
      </c>
      <c r="W49" s="57">
        <f>IF(NOT(ISBLANK(BetTable[[#This Row],[B1]])),1,0)+IF(NOT(ISBLANK(BetTable[[#This Row],[B2]])),1,0)+IF(NOT(ISBLANK(BetTable[[#This Row],[B3]])),1,0)</f>
        <v>0</v>
      </c>
      <c r="X49" s="149" t="str">
        <f>IF(BetTable[[#This Row],[Outcome1]]="","",BetTable[[#This Row],[WBA1]]+BetTable[[#This Row],[WBA2]]+BetTable[[#This Row],[WBA3]]-BetTable[[#This Row],[TS]])</f>
        <v/>
      </c>
      <c r="Y49" s="57" t="str">
        <f>IF(BetTable[[#This Row],[AR]]="","",BetTable[[#This Row],[AR]]/BetTable[[#This Row],[NumBookies]])</f>
        <v/>
      </c>
      <c r="Z49" s="149">
        <f>(((BetTable[[#This Row],[O1]]-1)*BetTable[[#This Row],[S1]])*(1-(BetTable[[#This Row],[C% 1]]))+BetTable[[#This Row],[S1]])</f>
        <v>0</v>
      </c>
      <c r="AA49" s="149">
        <f>(((BetTable[[#This Row],[O2]]-1)*BetTable[[#This Row],[S2]])*(1-(BetTable[[#This Row],[C% 2]]))+BetTable[[#This Row],[S2]])</f>
        <v>0</v>
      </c>
      <c r="AB49" s="149">
        <f>(((BetTable[[#This Row],[O3]]-1)*BetTable[[#This Row],[S3]])*(1-(BetTable[[#This Row],[C% 3]]))+BetTable[[#This Row],[S3]])</f>
        <v>0</v>
      </c>
      <c r="AC49" s="158" t="str">
        <f>IFERROR(IF(BetTable[[#This Row],[Sp]]="","",BetTable[[#This Row],[R1]]/BetTable[[#This Row],[TS]]),"")</f>
        <v/>
      </c>
      <c r="AD49" s="158" t="str">
        <f>IF(BetTable[[#This Row],[O2]]="","",BetTable[[#This Row],[R2]]/BetTable[[#This Row],[TS]])</f>
        <v/>
      </c>
      <c r="AE49" s="158" t="str">
        <f>IFERROR(IF(BetTable[[#This Row],[Sp]]="","",BetTable[[#This Row],[R3]]/BetTable[[#This Row],[TS]]),"")</f>
        <v/>
      </c>
      <c r="AF49" s="158" t="str">
        <f>IFERROR(IF(BetTable[[#This Row],[Outcome1]]="","",BetTable[[#This Row],[AR]]/BetTable[[#This Row],[TS]]),"")</f>
        <v/>
      </c>
      <c r="AG49"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49"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49"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49" s="149" t="str">
        <f>IF(BetTable[[#This Row],[Outcome1]]="",AJ47,BetTable[[#This Row],[AR]]+AJ47)</f>
        <v>0</v>
      </c>
      <c r="AK49" s="153"/>
    </row>
    <row r="50" spans="1:37">
      <c r="A50" s="159"/>
      <c r="B50" s="39"/>
      <c r="C50" s="40"/>
      <c r="D50" s="41"/>
      <c r="E50" s="154"/>
      <c r="F50" s="151"/>
      <c r="G50" s="151"/>
      <c r="H50" s="151"/>
      <c r="I50" s="160"/>
      <c r="J50" s="155"/>
      <c r="K50" s="155"/>
      <c r="L50" s="155"/>
      <c r="M50" s="149"/>
      <c r="N50" s="149"/>
      <c r="O50" s="149"/>
      <c r="P50" s="55"/>
      <c r="Q50" s="55"/>
      <c r="R50" s="156"/>
      <c r="S50" s="157" t="str">
        <f>IF(BetTable[[#This Row],[Sp]]="","",BetTable[[#This Row],[S1]]+BetTable[[#This Row],[S2]]+BetTable[[#This Row],[S3]])</f>
        <v/>
      </c>
      <c r="T50" s="149" t="str">
        <f>IF(BetTable[[#This Row],[O1]]="","",(BetTable[[#This Row],[WBA1-Commission]])-BetTable[[#This Row],[TS]])</f>
        <v/>
      </c>
      <c r="U50" s="149" t="str">
        <f>IF(BetTable[[#This Row],[O2]]="","",(BetTable[[#This Row],[WBA2-Commission]])-BetTable[[#This Row],[TS]])</f>
        <v/>
      </c>
      <c r="V50" s="149" t="str">
        <f>IF(BetTable[[#This Row],[O3]]="","",(BetTable[[#This Row],[WBA3-Commission]])-BetTable[[#This Row],[TS]])</f>
        <v/>
      </c>
      <c r="W50" s="57">
        <f>IF(NOT(ISBLANK(BetTable[[#This Row],[B1]])),1,0)+IF(NOT(ISBLANK(BetTable[[#This Row],[B2]])),1,0)+IF(NOT(ISBLANK(BetTable[[#This Row],[B3]])),1,0)</f>
        <v>0</v>
      </c>
      <c r="X50" s="149" t="str">
        <f>IF(BetTable[[#This Row],[Outcome1]]="","",BetTable[[#This Row],[WBA1]]+BetTable[[#This Row],[WBA2]]+BetTable[[#This Row],[WBA3]]-BetTable[[#This Row],[TS]])</f>
        <v/>
      </c>
      <c r="Y50" s="57" t="str">
        <f>IF(BetTable[[#This Row],[AR]]="","",BetTable[[#This Row],[AR]]/BetTable[[#This Row],[NumBookies]])</f>
        <v/>
      </c>
      <c r="Z50" s="149">
        <f>(((BetTable[[#This Row],[O1]]-1)*BetTable[[#This Row],[S1]])*(1-(BetTable[[#This Row],[C% 1]]))+BetTable[[#This Row],[S1]])</f>
        <v>0</v>
      </c>
      <c r="AA50" s="149">
        <f>(((BetTable[[#This Row],[O2]]-1)*BetTable[[#This Row],[S2]])*(1-(BetTable[[#This Row],[C% 2]]))+BetTable[[#This Row],[S2]])</f>
        <v>0</v>
      </c>
      <c r="AB50" s="149">
        <f>(((BetTable[[#This Row],[O3]]-1)*BetTable[[#This Row],[S3]])*(1-(BetTable[[#This Row],[C% 3]]))+BetTable[[#This Row],[S3]])</f>
        <v>0</v>
      </c>
      <c r="AC50" s="158" t="str">
        <f>IFERROR(IF(BetTable[[#This Row],[Sp]]="","",BetTable[[#This Row],[R1]]/BetTable[[#This Row],[TS]]),"")</f>
        <v/>
      </c>
      <c r="AD50" s="158" t="str">
        <f>IF(BetTable[[#This Row],[O2]]="","",BetTable[[#This Row],[R2]]/BetTable[[#This Row],[TS]])</f>
        <v/>
      </c>
      <c r="AE50" s="158" t="str">
        <f>IFERROR(IF(BetTable[[#This Row],[Sp]]="","",BetTable[[#This Row],[R3]]/BetTable[[#This Row],[TS]]),"")</f>
        <v/>
      </c>
      <c r="AF50" s="158" t="str">
        <f>IFERROR(IF(BetTable[[#This Row],[Outcome1]]="","",BetTable[[#This Row],[AR]]/BetTable[[#This Row],[TS]]),"")</f>
        <v/>
      </c>
      <c r="AG50"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0"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0"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0" s="149" t="str">
        <f>IF(BetTable[[#This Row],[Outcome1]]="",AJ47,BetTable[[#This Row],[AR]]+AJ47)</f>
        <v>0</v>
      </c>
      <c r="AK50" s="153"/>
    </row>
    <row r="51" spans="1:37">
      <c r="A51" s="159"/>
      <c r="B51" s="39"/>
      <c r="C51" s="40"/>
      <c r="D51" s="41"/>
      <c r="E51" s="154"/>
      <c r="F51" s="151"/>
      <c r="G51" s="151"/>
      <c r="H51" s="151"/>
      <c r="I51" s="160"/>
      <c r="J51" s="155"/>
      <c r="K51" s="155"/>
      <c r="L51" s="155"/>
      <c r="M51" s="149"/>
      <c r="N51" s="149"/>
      <c r="O51" s="149"/>
      <c r="P51" s="55"/>
      <c r="Q51" s="55"/>
      <c r="R51" s="156"/>
      <c r="S51" s="157" t="str">
        <f>IF(BetTable[[#This Row],[Sp]]="","",BetTable[[#This Row],[S1]]+BetTable[[#This Row],[S2]]+BetTable[[#This Row],[S3]])</f>
        <v/>
      </c>
      <c r="T51" s="149" t="str">
        <f>IF(BetTable[[#This Row],[O1]]="","",(BetTable[[#This Row],[WBA1-Commission]])-BetTable[[#This Row],[TS]])</f>
        <v/>
      </c>
      <c r="U51" s="149" t="str">
        <f>IF(BetTable[[#This Row],[O2]]="","",(BetTable[[#This Row],[WBA2-Commission]])-BetTable[[#This Row],[TS]])</f>
        <v/>
      </c>
      <c r="V51" s="149" t="str">
        <f>IF(BetTable[[#This Row],[O3]]="","",(BetTable[[#This Row],[WBA3-Commission]])-BetTable[[#This Row],[TS]])</f>
        <v/>
      </c>
      <c r="W51" s="57">
        <f>IF(NOT(ISBLANK(BetTable[[#This Row],[B1]])),1,0)+IF(NOT(ISBLANK(BetTable[[#This Row],[B2]])),1,0)+IF(NOT(ISBLANK(BetTable[[#This Row],[B3]])),1,0)</f>
        <v>0</v>
      </c>
      <c r="X51" s="149" t="str">
        <f>IF(BetTable[[#This Row],[Outcome1]]="","",BetTable[[#This Row],[WBA1]]+BetTable[[#This Row],[WBA2]]+BetTable[[#This Row],[WBA3]]-BetTable[[#This Row],[TS]])</f>
        <v/>
      </c>
      <c r="Y51" s="57" t="str">
        <f>IF(BetTable[[#This Row],[AR]]="","",BetTable[[#This Row],[AR]]/BetTable[[#This Row],[NumBookies]])</f>
        <v/>
      </c>
      <c r="Z51" s="149">
        <f>(((BetTable[[#This Row],[O1]]-1)*BetTable[[#This Row],[S1]])*(1-(BetTable[[#This Row],[C% 1]]))+BetTable[[#This Row],[S1]])</f>
        <v>0</v>
      </c>
      <c r="AA51" s="149">
        <f>(((BetTable[[#This Row],[O2]]-1)*BetTable[[#This Row],[S2]])*(1-(BetTable[[#This Row],[C% 2]]))+BetTable[[#This Row],[S2]])</f>
        <v>0</v>
      </c>
      <c r="AB51" s="149">
        <f>(((BetTable[[#This Row],[O3]]-1)*BetTable[[#This Row],[S3]])*(1-(BetTable[[#This Row],[C% 3]]))+BetTable[[#This Row],[S3]])</f>
        <v>0</v>
      </c>
      <c r="AC51" s="158" t="str">
        <f>IFERROR(IF(BetTable[[#This Row],[Sp]]="","",BetTable[[#This Row],[R1]]/BetTable[[#This Row],[TS]]),"")</f>
        <v/>
      </c>
      <c r="AD51" s="158" t="str">
        <f>IF(BetTable[[#This Row],[O2]]="","",BetTable[[#This Row],[R2]]/BetTable[[#This Row],[TS]])</f>
        <v/>
      </c>
      <c r="AE51" s="158" t="str">
        <f>IFERROR(IF(BetTable[[#This Row],[Sp]]="","",BetTable[[#This Row],[R3]]/BetTable[[#This Row],[TS]]),"")</f>
        <v/>
      </c>
      <c r="AF51" s="158" t="str">
        <f>IFERROR(IF(BetTable[[#This Row],[Outcome1]]="","",BetTable[[#This Row],[AR]]/BetTable[[#This Row],[TS]]),"")</f>
        <v/>
      </c>
      <c r="AG51"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1"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1"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1" s="149" t="str">
        <f>IF(BetTable[[#This Row],[Outcome1]]="",AJ47,BetTable[[#This Row],[AR]]+AJ47)</f>
        <v>0</v>
      </c>
      <c r="AK51" s="153"/>
    </row>
    <row r="52" spans="1:37">
      <c r="A52" s="159"/>
      <c r="B52" s="39"/>
      <c r="C52" s="40"/>
      <c r="D52" s="41"/>
      <c r="E52" s="40"/>
      <c r="F52" s="151"/>
      <c r="G52" s="151"/>
      <c r="H52" s="151"/>
      <c r="I52" s="160"/>
      <c r="J52" s="155"/>
      <c r="K52" s="155"/>
      <c r="L52" s="155"/>
      <c r="M52" s="149"/>
      <c r="N52" s="149"/>
      <c r="O52" s="149"/>
      <c r="P52" s="55"/>
      <c r="Q52" s="55"/>
      <c r="R52" s="55"/>
      <c r="S52" s="157" t="str">
        <f>IF(BetTable[[#This Row],[Sp]]="","",BetTable[[#This Row],[S1]]+BetTable[[#This Row],[S2]]+BetTable[[#This Row],[S3]])</f>
        <v/>
      </c>
      <c r="T52" s="149" t="str">
        <f>IF(BetTable[[#This Row],[O1]]="","",(BetTable[[#This Row],[WBA1-Commission]])-BetTable[[#This Row],[TS]])</f>
        <v/>
      </c>
      <c r="U52" s="149" t="str">
        <f>IF(BetTable[[#This Row],[O2]]="","",(BetTable[[#This Row],[WBA2-Commission]])-BetTable[[#This Row],[TS]])</f>
        <v/>
      </c>
      <c r="V52" s="149" t="str">
        <f>IF(BetTable[[#This Row],[O3]]="","",(BetTable[[#This Row],[WBA3-Commission]])-BetTable[[#This Row],[TS]])</f>
        <v/>
      </c>
      <c r="W52" s="57">
        <f>IF(NOT(ISBLANK(BetTable[[#This Row],[B1]])),1,0)+IF(NOT(ISBLANK(BetTable[[#This Row],[B2]])),1,0)+IF(NOT(ISBLANK(BetTable[[#This Row],[B3]])),1,0)</f>
        <v>0</v>
      </c>
      <c r="X52" s="149" t="str">
        <f>IF(BetTable[[#This Row],[Outcome1]]="","",BetTable[[#This Row],[WBA1]]+BetTable[[#This Row],[WBA2]]+BetTable[[#This Row],[WBA3]]-BetTable[[#This Row],[TS]])</f>
        <v/>
      </c>
      <c r="Y52" s="57" t="str">
        <f>IF(BetTable[[#This Row],[AR]]="","",BetTable[[#This Row],[AR]]/BetTable[[#This Row],[NumBookies]])</f>
        <v/>
      </c>
      <c r="Z52" s="149">
        <f>(((BetTable[[#This Row],[O1]]-1)*BetTable[[#This Row],[S1]])*(1-(BetTable[[#This Row],[C% 1]]))+BetTable[[#This Row],[S1]])</f>
        <v>0</v>
      </c>
      <c r="AA52" s="149">
        <f>(((BetTable[[#This Row],[O2]]-1)*BetTable[[#This Row],[S2]])*(1-(BetTable[[#This Row],[C% 2]]))+BetTable[[#This Row],[S2]])</f>
        <v>0</v>
      </c>
      <c r="AB52" s="149">
        <f>(((BetTable[[#This Row],[O3]]-1)*BetTable[[#This Row],[S3]])*(1-(BetTable[[#This Row],[C% 3]]))+BetTable[[#This Row],[S3]])</f>
        <v>0</v>
      </c>
      <c r="AC52" s="158" t="str">
        <f>IFERROR(IF(BetTable[[#This Row],[Sp]]="","",BetTable[[#This Row],[R1]]/BetTable[[#This Row],[TS]]),"")</f>
        <v/>
      </c>
      <c r="AD52" s="158" t="str">
        <f>IF(BetTable[[#This Row],[O2]]="","",BetTable[[#This Row],[R2]]/BetTable[[#This Row],[TS]])</f>
        <v/>
      </c>
      <c r="AE52" s="158" t="str">
        <f>IFERROR(IF(BetTable[[#This Row],[Sp]]="","",BetTable[[#This Row],[R3]]/BetTable[[#This Row],[TS]]),"")</f>
        <v/>
      </c>
      <c r="AF52" s="158" t="str">
        <f>IFERROR(IF(BetTable[[#This Row],[Outcome1]]="","",BetTable[[#This Row],[AR]]/BetTable[[#This Row],[TS]]),"")</f>
        <v/>
      </c>
      <c r="AG52"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2"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2"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2" s="149" t="str">
        <f>IF(BetTable[[#This Row],[Outcome1]]="",AJ47,BetTable[[#This Row],[AR]]+AJ47)</f>
        <v>0</v>
      </c>
      <c r="AK52" s="153"/>
    </row>
    <row r="53" spans="1:37">
      <c r="A53" s="159"/>
      <c r="B53" s="39"/>
      <c r="C53" s="40"/>
      <c r="D53" s="41"/>
      <c r="E53" s="154"/>
      <c r="F53" s="151"/>
      <c r="G53" s="151"/>
      <c r="H53" s="151"/>
      <c r="I53" s="160"/>
      <c r="J53" s="155"/>
      <c r="K53" s="155"/>
      <c r="L53" s="155"/>
      <c r="M53" s="149"/>
      <c r="N53" s="149"/>
      <c r="O53" s="149"/>
      <c r="P53" s="55"/>
      <c r="Q53" s="55"/>
      <c r="R53" s="156"/>
      <c r="S53" s="157" t="str">
        <f>IF(BetTable[[#This Row],[Sp]]="","",BetTable[[#This Row],[S1]]+BetTable[[#This Row],[S2]]+BetTable[[#This Row],[S3]])</f>
        <v/>
      </c>
      <c r="T53" s="149" t="str">
        <f>IF(BetTable[[#This Row],[O1]]="","",(BetTable[[#This Row],[WBA1-Commission]])-BetTable[[#This Row],[TS]])</f>
        <v/>
      </c>
      <c r="U53" s="149" t="str">
        <f>IF(BetTable[[#This Row],[O2]]="","",(BetTable[[#This Row],[WBA2-Commission]])-BetTable[[#This Row],[TS]])</f>
        <v/>
      </c>
      <c r="V53" s="149" t="str">
        <f>IF(BetTable[[#This Row],[O3]]="","",(BetTable[[#This Row],[WBA3-Commission]])-BetTable[[#This Row],[TS]])</f>
        <v/>
      </c>
      <c r="W53" s="57">
        <f>IF(NOT(ISBLANK(BetTable[[#This Row],[B1]])),1,0)+IF(NOT(ISBLANK(BetTable[[#This Row],[B2]])),1,0)+IF(NOT(ISBLANK(BetTable[[#This Row],[B3]])),1,0)</f>
        <v>0</v>
      </c>
      <c r="X53" s="149" t="str">
        <f>IF(BetTable[[#This Row],[Outcome1]]="","",BetTable[[#This Row],[WBA1]]+BetTable[[#This Row],[WBA2]]+BetTable[[#This Row],[WBA3]]-BetTable[[#This Row],[TS]])</f>
        <v/>
      </c>
      <c r="Y53" s="57" t="str">
        <f>IF(BetTable[[#This Row],[AR]]="","",BetTable[[#This Row],[AR]]/BetTable[[#This Row],[NumBookies]])</f>
        <v/>
      </c>
      <c r="Z53" s="149">
        <f>(((BetTable[[#This Row],[O1]]-1)*BetTable[[#This Row],[S1]])*(1-(BetTable[[#This Row],[C% 1]]))+BetTable[[#This Row],[S1]])</f>
        <v>0</v>
      </c>
      <c r="AA53" s="149">
        <f>(((BetTable[[#This Row],[O2]]-1)*BetTable[[#This Row],[S2]])*(1-(BetTable[[#This Row],[C% 2]]))+BetTable[[#This Row],[S2]])</f>
        <v>0</v>
      </c>
      <c r="AB53" s="149">
        <f>(((BetTable[[#This Row],[O3]]-1)*BetTable[[#This Row],[S3]])*(1-(BetTable[[#This Row],[C% 3]]))+BetTable[[#This Row],[S3]])</f>
        <v>0</v>
      </c>
      <c r="AC53" s="158" t="str">
        <f>IFERROR(IF(BetTable[[#This Row],[Sp]]="","",BetTable[[#This Row],[R1]]/BetTable[[#This Row],[TS]]),"")</f>
        <v/>
      </c>
      <c r="AD53" s="158" t="str">
        <f>IF(BetTable[[#This Row],[O2]]="","",BetTable[[#This Row],[R2]]/BetTable[[#This Row],[TS]])</f>
        <v/>
      </c>
      <c r="AE53" s="158" t="str">
        <f>IFERROR(IF(BetTable[[#This Row],[Sp]]="","",BetTable[[#This Row],[R3]]/BetTable[[#This Row],[TS]]),"")</f>
        <v/>
      </c>
      <c r="AF53" s="158" t="str">
        <f>IFERROR(IF(BetTable[[#This Row],[Outcome1]]="","",BetTable[[#This Row],[AR]]/BetTable[[#This Row],[TS]]),"")</f>
        <v/>
      </c>
      <c r="AG53"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3"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3"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3" s="149" t="str">
        <f>IF(BetTable[[#This Row],[Outcome1]]="",AJ47,BetTable[[#This Row],[AR]]+AJ47)</f>
        <v>0</v>
      </c>
      <c r="AK53" s="153"/>
    </row>
    <row r="54" spans="1:37">
      <c r="A54" s="159"/>
      <c r="B54" s="39"/>
      <c r="C54" s="40"/>
      <c r="D54" s="41"/>
      <c r="E54" s="154"/>
      <c r="F54" s="151"/>
      <c r="G54" s="151"/>
      <c r="H54" s="151"/>
      <c r="I54" s="160"/>
      <c r="J54" s="155"/>
      <c r="K54" s="155"/>
      <c r="L54" s="155"/>
      <c r="M54" s="149"/>
      <c r="N54" s="149"/>
      <c r="O54" s="149"/>
      <c r="P54" s="55"/>
      <c r="Q54" s="55"/>
      <c r="R54" s="156"/>
      <c r="S54" s="157" t="str">
        <f>IF(BetTable[[#This Row],[Sp]]="","",BetTable[[#This Row],[S1]]+BetTable[[#This Row],[S2]]+BetTable[[#This Row],[S3]])</f>
        <v/>
      </c>
      <c r="T54" s="149" t="str">
        <f>IF(BetTable[[#This Row],[O1]]="","",(BetTable[[#This Row],[WBA1-Commission]])-BetTable[[#This Row],[TS]])</f>
        <v/>
      </c>
      <c r="U54" s="149" t="str">
        <f>IF(BetTable[[#This Row],[O2]]="","",(BetTable[[#This Row],[WBA2-Commission]])-BetTable[[#This Row],[TS]])</f>
        <v/>
      </c>
      <c r="V54" s="149" t="str">
        <f>IF(BetTable[[#This Row],[O3]]="","",(BetTable[[#This Row],[WBA3-Commission]])-BetTable[[#This Row],[TS]])</f>
        <v/>
      </c>
      <c r="W54" s="57">
        <f>IF(NOT(ISBLANK(BetTable[[#This Row],[B1]])),1,0)+IF(NOT(ISBLANK(BetTable[[#This Row],[B2]])),1,0)+IF(NOT(ISBLANK(BetTable[[#This Row],[B3]])),1,0)</f>
        <v>0</v>
      </c>
      <c r="X54" s="149" t="str">
        <f>IF(BetTable[[#This Row],[Outcome1]]="","",BetTable[[#This Row],[WBA1]]+BetTable[[#This Row],[WBA2]]+BetTable[[#This Row],[WBA3]]-BetTable[[#This Row],[TS]])</f>
        <v/>
      </c>
      <c r="Y54" s="57" t="str">
        <f>IF(BetTable[[#This Row],[AR]]="","",BetTable[[#This Row],[AR]]/BetTable[[#This Row],[NumBookies]])</f>
        <v/>
      </c>
      <c r="Z54" s="149">
        <f>(((BetTable[[#This Row],[O1]]-1)*BetTable[[#This Row],[S1]])*(1-(BetTable[[#This Row],[C% 1]]))+BetTable[[#This Row],[S1]])</f>
        <v>0</v>
      </c>
      <c r="AA54" s="149">
        <f>(((BetTable[[#This Row],[O2]]-1)*BetTable[[#This Row],[S2]])*(1-(BetTable[[#This Row],[C% 2]]))+BetTable[[#This Row],[S2]])</f>
        <v>0</v>
      </c>
      <c r="AB54" s="149">
        <f>(((BetTable[[#This Row],[O3]]-1)*BetTable[[#This Row],[S3]])*(1-(BetTable[[#This Row],[C% 3]]))+BetTable[[#This Row],[S3]])</f>
        <v>0</v>
      </c>
      <c r="AC54" s="158" t="str">
        <f>IFERROR(IF(BetTable[[#This Row],[Sp]]="","",BetTable[[#This Row],[R1]]/BetTable[[#This Row],[TS]]),"")</f>
        <v/>
      </c>
      <c r="AD54" s="158" t="str">
        <f>IF(BetTable[[#This Row],[O2]]="","",BetTable[[#This Row],[R2]]/BetTable[[#This Row],[TS]])</f>
        <v/>
      </c>
      <c r="AE54" s="158" t="str">
        <f>IFERROR(IF(BetTable[[#This Row],[Sp]]="","",BetTable[[#This Row],[R3]]/BetTable[[#This Row],[TS]]),"")</f>
        <v/>
      </c>
      <c r="AF54" s="158" t="str">
        <f>IFERROR(IF(BetTable[[#This Row],[Outcome1]]="","",BetTable[[#This Row],[AR]]/BetTable[[#This Row],[TS]]),"")</f>
        <v/>
      </c>
      <c r="AG54"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4"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4"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4" s="149" t="str">
        <f>IF(BetTable[[#This Row],[Outcome1]]="",AJ47,BetTable[[#This Row],[AR]]+AJ47)</f>
        <v>0</v>
      </c>
      <c r="AK54" s="153"/>
    </row>
    <row r="55" spans="1:37">
      <c r="A55" s="144"/>
      <c r="B55" s="39"/>
      <c r="C55" s="40"/>
      <c r="D55" s="41"/>
      <c r="E55" s="40"/>
      <c r="F55" s="151"/>
      <c r="G55" s="151"/>
      <c r="H55" s="151"/>
      <c r="I55" s="160"/>
      <c r="J55" s="155"/>
      <c r="K55" s="155"/>
      <c r="L55" s="155"/>
      <c r="M55" s="149"/>
      <c r="N55" s="149"/>
      <c r="O55" s="149"/>
      <c r="P55" s="55"/>
      <c r="Q55" s="55"/>
      <c r="R55" s="55"/>
      <c r="S55" s="157" t="str">
        <f>IF(BetTable[[#This Row],[Sp]]="","",BetTable[[#This Row],[S1]]+BetTable[[#This Row],[S2]]+BetTable[[#This Row],[S3]])</f>
        <v/>
      </c>
      <c r="T55" s="149" t="str">
        <f>IF(BetTable[[#This Row],[O1]]="","",(BetTable[[#This Row],[WBA1-Commission]])-BetTable[[#This Row],[TS]])</f>
        <v/>
      </c>
      <c r="U55" s="149" t="str">
        <f>IF(BetTable[[#This Row],[O2]]="","",(BetTable[[#This Row],[WBA2-Commission]])-BetTable[[#This Row],[TS]])</f>
        <v/>
      </c>
      <c r="V55" s="149" t="str">
        <f>IF(BetTable[[#This Row],[O3]]="","",(BetTable[[#This Row],[WBA3-Commission]])-BetTable[[#This Row],[TS]])</f>
        <v/>
      </c>
      <c r="W55" s="57">
        <f>IF(NOT(ISBLANK(BetTable[[#This Row],[B1]])),1,0)+IF(NOT(ISBLANK(BetTable[[#This Row],[B2]])),1,0)+IF(NOT(ISBLANK(BetTable[[#This Row],[B3]])),1,0)</f>
        <v>0</v>
      </c>
      <c r="X55" s="149" t="str">
        <f>IF(BetTable[[#This Row],[Outcome1]]="","",BetTable[[#This Row],[WBA1]]+BetTable[[#This Row],[WBA2]]+BetTable[[#This Row],[WBA3]]-BetTable[[#This Row],[TS]])</f>
        <v/>
      </c>
      <c r="Y55" s="57" t="str">
        <f>IF(BetTable[[#This Row],[AR]]="","",BetTable[[#This Row],[AR]]/BetTable[[#This Row],[NumBookies]])</f>
        <v/>
      </c>
      <c r="Z55" s="149">
        <f>(((BetTable[[#This Row],[O1]]-1)*BetTable[[#This Row],[S1]])*(1-(BetTable[[#This Row],[C% 1]]))+BetTable[[#This Row],[S1]])</f>
        <v>0</v>
      </c>
      <c r="AA55" s="149">
        <f>(((BetTable[[#This Row],[O2]]-1)*BetTable[[#This Row],[S2]])*(1-(BetTable[[#This Row],[C% 2]]))+BetTable[[#This Row],[S2]])</f>
        <v>0</v>
      </c>
      <c r="AB55" s="149">
        <f>(((BetTable[[#This Row],[O3]]-1)*BetTable[[#This Row],[S3]])*(1-(BetTable[[#This Row],[C% 3]]))+BetTable[[#This Row],[S3]])</f>
        <v>0</v>
      </c>
      <c r="AC55" s="158" t="str">
        <f>IFERROR(IF(BetTable[[#This Row],[Sp]]="","",BetTable[[#This Row],[R1]]/BetTable[[#This Row],[TS]]),"")</f>
        <v/>
      </c>
      <c r="AD55" s="158" t="str">
        <f>IF(BetTable[[#This Row],[O2]]="","",BetTable[[#This Row],[R2]]/BetTable[[#This Row],[TS]])</f>
        <v/>
      </c>
      <c r="AE55" s="158" t="str">
        <f>IFERROR(IF(BetTable[[#This Row],[Sp]]="","",BetTable[[#This Row],[R3]]/BetTable[[#This Row],[TS]]),"")</f>
        <v/>
      </c>
      <c r="AF55" s="158" t="str">
        <f>IFERROR(IF(BetTable[[#This Row],[Outcome1]]="","",BetTable[[#This Row],[AR]]/BetTable[[#This Row],[TS]]),"")</f>
        <v/>
      </c>
      <c r="AG55"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5"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5"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5" s="149" t="str">
        <f>IF(BetTable[[#This Row],[Outcome1]]="",AJ54,BetTable[[#This Row],[AR]]+AJ54)</f>
        <v>0</v>
      </c>
      <c r="AK55" s="153"/>
    </row>
    <row r="56" spans="1:37">
      <c r="A56" s="159"/>
      <c r="B56" s="39"/>
      <c r="C56" s="40"/>
      <c r="D56" s="41"/>
      <c r="E56" s="40"/>
      <c r="F56" s="151"/>
      <c r="G56" s="151"/>
      <c r="H56" s="151"/>
      <c r="I56" s="160"/>
      <c r="J56" s="155"/>
      <c r="K56" s="155"/>
      <c r="L56" s="155"/>
      <c r="M56" s="149"/>
      <c r="N56" s="149"/>
      <c r="O56" s="149"/>
      <c r="P56" s="55"/>
      <c r="Q56" s="55"/>
      <c r="R56" s="55"/>
      <c r="S56" s="157" t="str">
        <f>IF(BetTable[[#This Row],[Sp]]="","",BetTable[[#This Row],[S1]]+BetTable[[#This Row],[S2]]+BetTable[[#This Row],[S3]])</f>
        <v/>
      </c>
      <c r="T56" s="149" t="str">
        <f>IF(BetTable[[#This Row],[O1]]="","",(BetTable[[#This Row],[WBA1-Commission]])-BetTable[[#This Row],[TS]])</f>
        <v/>
      </c>
      <c r="U56" s="149" t="str">
        <f>IF(BetTable[[#This Row],[O2]]="","",(BetTable[[#This Row],[WBA2-Commission]])-BetTable[[#This Row],[TS]])</f>
        <v/>
      </c>
      <c r="V56" s="149" t="str">
        <f>IF(BetTable[[#This Row],[O3]]="","",(BetTable[[#This Row],[WBA3-Commission]])-BetTable[[#This Row],[TS]])</f>
        <v/>
      </c>
      <c r="W56" s="57">
        <f>IF(NOT(ISBLANK(BetTable[[#This Row],[B1]])),1,0)+IF(NOT(ISBLANK(BetTable[[#This Row],[B2]])),1,0)+IF(NOT(ISBLANK(BetTable[[#This Row],[B3]])),1,0)</f>
        <v>0</v>
      </c>
      <c r="X56" s="149" t="str">
        <f>IF(BetTable[[#This Row],[Outcome1]]="","",BetTable[[#This Row],[WBA1]]+BetTable[[#This Row],[WBA2]]+BetTable[[#This Row],[WBA3]]-BetTable[[#This Row],[TS]])</f>
        <v/>
      </c>
      <c r="Y56" s="57" t="str">
        <f>IF(BetTable[[#This Row],[AR]]="","",BetTable[[#This Row],[AR]]/BetTable[[#This Row],[NumBookies]])</f>
        <v/>
      </c>
      <c r="Z56" s="149">
        <f>(((BetTable[[#This Row],[O1]]-1)*BetTable[[#This Row],[S1]])*(1-(BetTable[[#This Row],[C% 1]]))+BetTable[[#This Row],[S1]])</f>
        <v>0</v>
      </c>
      <c r="AA56" s="149">
        <f>(((BetTable[[#This Row],[O2]]-1)*BetTable[[#This Row],[S2]])*(1-(BetTable[[#This Row],[C% 2]]))+BetTable[[#This Row],[S2]])</f>
        <v>0</v>
      </c>
      <c r="AB56" s="149">
        <f>(((BetTable[[#This Row],[O3]]-1)*BetTable[[#This Row],[S3]])*(1-(BetTable[[#This Row],[C% 3]]))+BetTable[[#This Row],[S3]])</f>
        <v>0</v>
      </c>
      <c r="AC56" s="158" t="str">
        <f>IFERROR(IF(BetTable[[#This Row],[Sp]]="","",BetTable[[#This Row],[R1]]/BetTable[[#This Row],[TS]]),"")</f>
        <v/>
      </c>
      <c r="AD56" s="158" t="str">
        <f>IF(BetTable[[#This Row],[O2]]="","",BetTable[[#This Row],[R2]]/BetTable[[#This Row],[TS]])</f>
        <v/>
      </c>
      <c r="AE56" s="158" t="str">
        <f>IFERROR(IF(BetTable[[#This Row],[Sp]]="","",BetTable[[#This Row],[R3]]/BetTable[[#This Row],[TS]]),"")</f>
        <v/>
      </c>
      <c r="AF56" s="158" t="str">
        <f>IFERROR(IF(BetTable[[#This Row],[Outcome1]]="","",BetTable[[#This Row],[AR]]/BetTable[[#This Row],[TS]]),"")</f>
        <v/>
      </c>
      <c r="AG56"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6"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6"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6" s="149" t="str">
        <f>IF(BetTable[[#This Row],[Outcome1]]="",AJ55,BetTable[[#This Row],[AR]]+AJ55)</f>
        <v>0</v>
      </c>
      <c r="AK56" s="153"/>
    </row>
    <row r="57" spans="1:37">
      <c r="A57" s="159"/>
      <c r="B57" s="39"/>
      <c r="C57" s="40"/>
      <c r="D57" s="41"/>
      <c r="E57" s="40"/>
      <c r="F57" s="151"/>
      <c r="G57" s="151"/>
      <c r="H57" s="151"/>
      <c r="I57" s="160"/>
      <c r="J57" s="155"/>
      <c r="K57" s="155"/>
      <c r="L57" s="155"/>
      <c r="M57" s="149"/>
      <c r="N57" s="149"/>
      <c r="O57" s="149"/>
      <c r="P57" s="55"/>
      <c r="Q57" s="55"/>
      <c r="R57" s="55"/>
      <c r="S57" s="157" t="str">
        <f>IF(BetTable[[#This Row],[Sp]]="","",BetTable[[#This Row],[S1]]+BetTable[[#This Row],[S2]]+BetTable[[#This Row],[S3]])</f>
        <v/>
      </c>
      <c r="T57" s="149" t="str">
        <f>IF(BetTable[[#This Row],[O1]]="","",(BetTable[[#This Row],[WBA1-Commission]])-BetTable[[#This Row],[TS]])</f>
        <v/>
      </c>
      <c r="U57" s="149" t="str">
        <f>IF(BetTable[[#This Row],[O2]]="","",(BetTable[[#This Row],[WBA2-Commission]])-BetTable[[#This Row],[TS]])</f>
        <v/>
      </c>
      <c r="V57" s="149" t="str">
        <f>IF(BetTable[[#This Row],[O3]]="","",(BetTable[[#This Row],[WBA3-Commission]])-BetTable[[#This Row],[TS]])</f>
        <v/>
      </c>
      <c r="W57" s="57">
        <f>IF(NOT(ISBLANK(BetTable[[#This Row],[B1]])),1,0)+IF(NOT(ISBLANK(BetTable[[#This Row],[B2]])),1,0)+IF(NOT(ISBLANK(BetTable[[#This Row],[B3]])),1,0)</f>
        <v>0</v>
      </c>
      <c r="X57" s="149" t="str">
        <f>IF(BetTable[[#This Row],[Outcome1]]="","",BetTable[[#This Row],[WBA1]]+BetTable[[#This Row],[WBA2]]+BetTable[[#This Row],[WBA3]]-BetTable[[#This Row],[TS]])</f>
        <v/>
      </c>
      <c r="Y57" s="57" t="str">
        <f>IF(BetTable[[#This Row],[AR]]="","",BetTable[[#This Row],[AR]]/BetTable[[#This Row],[NumBookies]])</f>
        <v/>
      </c>
      <c r="Z57" s="149">
        <f>(((BetTable[[#This Row],[O1]]-1)*BetTable[[#This Row],[S1]])*(1-(BetTable[[#This Row],[C% 1]]))+BetTable[[#This Row],[S1]])</f>
        <v>0</v>
      </c>
      <c r="AA57" s="149">
        <f>(((BetTable[[#This Row],[O2]]-1)*BetTable[[#This Row],[S2]])*(1-(BetTable[[#This Row],[C% 2]]))+BetTable[[#This Row],[S2]])</f>
        <v>0</v>
      </c>
      <c r="AB57" s="149">
        <f>(((BetTable[[#This Row],[O3]]-1)*BetTable[[#This Row],[S3]])*(1-(BetTable[[#This Row],[C% 3]]))+BetTable[[#This Row],[S3]])</f>
        <v>0</v>
      </c>
      <c r="AC57" s="158" t="str">
        <f>IFERROR(IF(BetTable[[#This Row],[Sp]]="","",BetTable[[#This Row],[R1]]/BetTable[[#This Row],[TS]]),"")</f>
        <v/>
      </c>
      <c r="AD57" s="158" t="str">
        <f>IF(BetTable[[#This Row],[O2]]="","",BetTable[[#This Row],[R2]]/BetTable[[#This Row],[TS]])</f>
        <v/>
      </c>
      <c r="AE57" s="158" t="str">
        <f>IFERROR(IF(BetTable[[#This Row],[Sp]]="","",BetTable[[#This Row],[R3]]/BetTable[[#This Row],[TS]]),"")</f>
        <v/>
      </c>
      <c r="AF57" s="158" t="str">
        <f>IFERROR(IF(BetTable[[#This Row],[Outcome1]]="","",BetTable[[#This Row],[AR]]/BetTable[[#This Row],[TS]]),"")</f>
        <v/>
      </c>
      <c r="AG57"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7"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7"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7" s="149" t="str">
        <f>IF(BetTable[[#This Row],[Outcome1]]="",AJ56,BetTable[[#This Row],[AR]]+AJ56)</f>
        <v>0</v>
      </c>
      <c r="AK57" s="153"/>
    </row>
    <row r="58" spans="1:37">
      <c r="A58" s="159"/>
      <c r="B58" s="39"/>
      <c r="C58" s="40"/>
      <c r="D58" s="41"/>
      <c r="E58" s="40"/>
      <c r="F58" s="151"/>
      <c r="G58" s="151"/>
      <c r="H58" s="151"/>
      <c r="I58" s="101"/>
      <c r="J58" s="155"/>
      <c r="K58" s="155"/>
      <c r="L58" s="155"/>
      <c r="M58" s="149"/>
      <c r="N58" s="149"/>
      <c r="O58" s="149"/>
      <c r="P58" s="55"/>
      <c r="Q58" s="55"/>
      <c r="R58" s="55"/>
      <c r="S58" s="157" t="str">
        <f>IF(BetTable[[#This Row],[Sp]]="","",BetTable[[#This Row],[S1]]+BetTable[[#This Row],[S2]]+BetTable[[#This Row],[S3]])</f>
        <v/>
      </c>
      <c r="T58" s="149" t="str">
        <f>IF(BetTable[[#This Row],[O1]]="","",(BetTable[[#This Row],[WBA1-Commission]])-BetTable[[#This Row],[TS]])</f>
        <v/>
      </c>
      <c r="U58" s="149" t="str">
        <f>IF(BetTable[[#This Row],[O2]]="","",(BetTable[[#This Row],[WBA2-Commission]])-BetTable[[#This Row],[TS]])</f>
        <v/>
      </c>
      <c r="V58" s="149" t="str">
        <f>IF(BetTable[[#This Row],[O3]]="","",(BetTable[[#This Row],[WBA3-Commission]])-BetTable[[#This Row],[TS]])</f>
        <v/>
      </c>
      <c r="W58" s="57">
        <f>IF(NOT(ISBLANK(BetTable[[#This Row],[B1]])),1,0)+IF(NOT(ISBLANK(BetTable[[#This Row],[B2]])),1,0)+IF(NOT(ISBLANK(BetTable[[#This Row],[B3]])),1,0)</f>
        <v>0</v>
      </c>
      <c r="X58" s="149" t="str">
        <f>IF(BetTable[[#This Row],[Outcome1]]="","",BetTable[[#This Row],[WBA1]]+BetTable[[#This Row],[WBA2]]+BetTable[[#This Row],[WBA3]]-BetTable[[#This Row],[TS]])</f>
        <v/>
      </c>
      <c r="Y58" s="57" t="str">
        <f>IF(BetTable[[#This Row],[AR]]="","",BetTable[[#This Row],[AR]]/BetTable[[#This Row],[NumBookies]])</f>
        <v/>
      </c>
      <c r="Z58" s="149">
        <f>(((BetTable[[#This Row],[O1]]-1)*BetTable[[#This Row],[S1]])*(1-(BetTable[[#This Row],[C% 1]]))+BetTable[[#This Row],[S1]])</f>
        <v>0</v>
      </c>
      <c r="AA58" s="149">
        <f>(((BetTable[[#This Row],[O2]]-1)*BetTable[[#This Row],[S2]])*(1-(BetTable[[#This Row],[C% 2]]))+BetTable[[#This Row],[S2]])</f>
        <v>0</v>
      </c>
      <c r="AB58" s="149">
        <f>(((BetTable[[#This Row],[O3]]-1)*BetTable[[#This Row],[S3]])*(1-(BetTable[[#This Row],[C% 3]]))+BetTable[[#This Row],[S3]])</f>
        <v>0</v>
      </c>
      <c r="AC58" s="158" t="str">
        <f>IFERROR(IF(BetTable[[#This Row],[Sp]]="","",BetTable[[#This Row],[R1]]/BetTable[[#This Row],[TS]]),"")</f>
        <v/>
      </c>
      <c r="AD58" s="158" t="str">
        <f>IF(BetTable[[#This Row],[O2]]="","",BetTable[[#This Row],[R2]]/BetTable[[#This Row],[TS]])</f>
        <v/>
      </c>
      <c r="AE58" s="158" t="str">
        <f>IFERROR(IF(BetTable[[#This Row],[Sp]]="","",BetTable[[#This Row],[R3]]/BetTable[[#This Row],[TS]]),"")</f>
        <v/>
      </c>
      <c r="AF58" s="158" t="str">
        <f>IFERROR(IF(BetTable[[#This Row],[Outcome1]]="","",BetTable[[#This Row],[AR]]/BetTable[[#This Row],[TS]]),"")</f>
        <v/>
      </c>
      <c r="AG58" s="149">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8" s="149">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8" s="149">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8" s="149" t="str">
        <f>IF(BetTable[[#This Row],[Outcome1]]="",AJ57,BetTable[[#This Row],[AR]]+AJ57)</f>
        <v>0</v>
      </c>
      <c r="AK58" s="153"/>
    </row>
    <row r="59" spans="1:37">
      <c r="A59" s="84"/>
      <c r="B59" s="39"/>
      <c r="C59" s="40"/>
      <c r="D59" s="41"/>
      <c r="E59" s="40"/>
      <c r="F59" s="152"/>
      <c r="G59" s="151"/>
      <c r="H59" s="152"/>
      <c r="I59" s="101"/>
      <c r="J59" s="54"/>
      <c r="K59" s="54"/>
      <c r="L59" s="54"/>
      <c r="M59" s="149"/>
      <c r="N59" s="149"/>
      <c r="O59" s="149"/>
      <c r="P59" s="55"/>
      <c r="Q59" s="55"/>
      <c r="R59" s="55"/>
      <c r="S59" s="56" t="str">
        <f>IF(BetTable[[#This Row],[Sp]]="","",BetTable[[#This Row],[S1]]+BetTable[[#This Row],[S2]]+BetTable[[#This Row],[S3]])</f>
        <v/>
      </c>
      <c r="T59" s="57" t="str">
        <f>IF(BetTable[[#This Row],[O1]]="","",(BetTable[[#This Row],[WBA1-Commission]])-BetTable[[#This Row],[TS]])</f>
        <v/>
      </c>
      <c r="U59" s="57" t="str">
        <f>IF(BetTable[[#This Row],[O2]]="","",(BetTable[[#This Row],[WBA2-Commission]])-BetTable[[#This Row],[TS]])</f>
        <v/>
      </c>
      <c r="V59" s="57" t="str">
        <f>IF(BetTable[[#This Row],[O3]]="","",(BetTable[[#This Row],[WBA3-Commission]])-BetTable[[#This Row],[TS]])</f>
        <v/>
      </c>
      <c r="W59" s="143">
        <f>IF(NOT(ISBLANK(BetTable[[#This Row],[B1]])),1,0)+IF(NOT(ISBLANK(BetTable[[#This Row],[B2]])),1,0)+IF(NOT(ISBLANK(BetTable[[#This Row],[B3]])),1,0)</f>
        <v>0</v>
      </c>
      <c r="X59" s="57" t="str">
        <f>IF(BetTable[[#This Row],[Outcome1]]="","",BetTable[[#This Row],[WBA1]]+BetTable[[#This Row],[WBA2]]+BetTable[[#This Row],[WBA3]]-BetTable[[#This Row],[TS]])</f>
        <v/>
      </c>
      <c r="Y59" s="143" t="str">
        <f>IF(BetTable[[#This Row],[AR]]="","",BetTable[[#This Row],[AR]]/BetTable[[#This Row],[NumBookies]])</f>
        <v/>
      </c>
      <c r="Z59" s="57">
        <f>(((BetTable[[#This Row],[O1]]-1)*BetTable[[#This Row],[S1]])*(1-(BetTable[[#This Row],[C% 1]]))+BetTable[[#This Row],[S1]])</f>
        <v>0</v>
      </c>
      <c r="AA59" s="57">
        <f>(((BetTable[[#This Row],[O2]]-1)*BetTable[[#This Row],[S2]])*(1-(BetTable[[#This Row],[C% 2]]))+BetTable[[#This Row],[S2]])</f>
        <v>0</v>
      </c>
      <c r="AB59" s="57">
        <f>(((BetTable[[#This Row],[O3]]-1)*BetTable[[#This Row],[S3]])*(1-(BetTable[[#This Row],[C% 3]]))+BetTable[[#This Row],[S3]])</f>
        <v>0</v>
      </c>
      <c r="AC59" s="58" t="str">
        <f>IFERROR(IF(BetTable[[#This Row],[Sp]]="","",BetTable[[#This Row],[R1]]/BetTable[[#This Row],[TS]]),"")</f>
        <v/>
      </c>
      <c r="AD59" s="58" t="str">
        <f>IF(BetTable[[#This Row],[O2]]="","",BetTable[[#This Row],[R2]]/BetTable[[#This Row],[TS]])</f>
        <v/>
      </c>
      <c r="AE59" s="58" t="str">
        <f>IFERROR(IF(BetTable[[#This Row],[Sp]]="","",BetTable[[#This Row],[R3]]/BetTable[[#This Row],[TS]]),"")</f>
        <v/>
      </c>
      <c r="AF59" s="58" t="str">
        <f>IFERROR(IF(BetTable[[#This Row],[Outcome1]]="","",BetTable[[#This Row],[AR]]/BetTable[[#This Row],[TS]]),"")</f>
        <v/>
      </c>
      <c r="AG5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5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5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59" s="57" t="str">
        <f>IF(BetTable[[#This Row],[Outcome1]]="",AJ25,BetTable[[#This Row],[AR]]+AJ25)</f>
        <v>0</v>
      </c>
      <c r="AK59" s="39"/>
    </row>
    <row r="60" spans="1:37">
      <c r="A60" s="144"/>
      <c r="B60" s="39"/>
      <c r="C60" s="40"/>
      <c r="D60" s="40"/>
      <c r="E60" s="40"/>
      <c r="F60" s="152"/>
      <c r="G60" s="152"/>
      <c r="H60" s="152"/>
      <c r="I60" s="39"/>
      <c r="J60" s="54"/>
      <c r="K60" s="54"/>
      <c r="L60" s="54"/>
      <c r="M60" s="149"/>
      <c r="N60" s="149"/>
      <c r="O60" s="149"/>
      <c r="P60" s="55"/>
      <c r="Q60" s="55"/>
      <c r="R60" s="55"/>
      <c r="S60" s="146" t="str">
        <f>IF(BetTable[[#This Row],[Sp]]="","",BetTable[[#This Row],[S1]]+BetTable[[#This Row],[S2]]+BetTable[[#This Row],[S3]])</f>
        <v/>
      </c>
      <c r="T60" s="143" t="str">
        <f>IF(BetTable[[#This Row],[O1]]="","",(BetTable[[#This Row],[WBA1-Commission]])-BetTable[[#This Row],[TS]])</f>
        <v/>
      </c>
      <c r="U60" s="143" t="str">
        <f>IF(BetTable[[#This Row],[O2]]="","",(BetTable[[#This Row],[WBA2-Commission]])-BetTable[[#This Row],[TS]])</f>
        <v/>
      </c>
      <c r="V60" s="143" t="str">
        <f>IF(BetTable[[#This Row],[O3]]="","",(BetTable[[#This Row],[WBA3-Commission]])-BetTable[[#This Row],[TS]])</f>
        <v/>
      </c>
      <c r="W60" s="143">
        <f>IF(NOT(ISBLANK(BetTable[[#This Row],[B1]])),1,0)+IF(NOT(ISBLANK(BetTable[[#This Row],[B2]])),1,0)+IF(NOT(ISBLANK(BetTable[[#This Row],[B3]])),1,0)</f>
        <v>0</v>
      </c>
      <c r="X60" s="143" t="str">
        <f>IF(BetTable[[#This Row],[Outcome1]]="","",BetTable[[#This Row],[WBA1]]+BetTable[[#This Row],[WBA2]]+BetTable[[#This Row],[WBA3]]-BetTable[[#This Row],[TS]])</f>
        <v/>
      </c>
      <c r="Y60" s="143" t="str">
        <f>IF(BetTable[[#This Row],[AR]]="","",BetTable[[#This Row],[AR]]/BetTable[[#This Row],[NumBookies]])</f>
        <v/>
      </c>
      <c r="Z60" s="143">
        <f>(((BetTable[[#This Row],[O1]]-1)*BetTable[[#This Row],[S1]])*(1-(BetTable[[#This Row],[C% 1]]))+BetTable[[#This Row],[S1]])</f>
        <v>0</v>
      </c>
      <c r="AA60" s="143">
        <f>(((BetTable[[#This Row],[O2]]-1)*BetTable[[#This Row],[S2]])*(1-(BetTable[[#This Row],[C% 2]]))+BetTable[[#This Row],[S2]])</f>
        <v>0</v>
      </c>
      <c r="AB60" s="143">
        <f>(((BetTable[[#This Row],[O3]]-1)*BetTable[[#This Row],[S3]])*(1-(BetTable[[#This Row],[C% 3]]))+BetTable[[#This Row],[S3]])</f>
        <v>0</v>
      </c>
      <c r="AC60" s="147" t="str">
        <f>IFERROR(IF(BetTable[[#This Row],[Sp]]="","",BetTable[[#This Row],[R1]]/BetTable[[#This Row],[TS]]),"")</f>
        <v/>
      </c>
      <c r="AD60" s="147" t="str">
        <f>IF(BetTable[[#This Row],[O2]]="","",BetTable[[#This Row],[R2]]/BetTable[[#This Row],[TS]])</f>
        <v/>
      </c>
      <c r="AE60" s="147" t="str">
        <f>IFERROR(IF(BetTable[[#This Row],[Sp]]="","",BetTable[[#This Row],[R3]]/BetTable[[#This Row],[TS]]),"")</f>
        <v/>
      </c>
      <c r="AF60" s="147" t="str">
        <f>IFERROR(IF(BetTable[[#This Row],[Outcome1]]="","",BetTable[[#This Row],[AR]]/BetTable[[#This Row],[TS]]),"")</f>
        <v/>
      </c>
      <c r="AG6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0" s="57" t="str">
        <f>IF(BetTable[[#This Row],[Outcome1]]="",AJ59,BetTable[[#This Row],[AR]]+AJ59)</f>
        <v>0</v>
      </c>
      <c r="AK60" s="39"/>
    </row>
    <row r="61" spans="1:37">
      <c r="A61" s="144"/>
      <c r="B61" s="39"/>
      <c r="C61" s="40"/>
      <c r="D61" s="40"/>
      <c r="E61" s="40"/>
      <c r="F61" s="152"/>
      <c r="G61" s="152"/>
      <c r="H61" s="152"/>
      <c r="I61" s="39"/>
      <c r="J61" s="54"/>
      <c r="K61" s="54"/>
      <c r="L61" s="54"/>
      <c r="M61" s="57"/>
      <c r="N61" s="57"/>
      <c r="O61" s="57"/>
      <c r="P61" s="55"/>
      <c r="Q61" s="55"/>
      <c r="R61" s="55"/>
      <c r="S61" s="146" t="str">
        <f>IF(BetTable[[#This Row],[Sp]]="","",BetTable[[#This Row],[S1]]+BetTable[[#This Row],[S2]]+BetTable[[#This Row],[S3]])</f>
        <v/>
      </c>
      <c r="T61" s="143" t="str">
        <f>IF(BetTable[[#This Row],[O1]]="","",(BetTable[[#This Row],[WBA1-Commission]])-BetTable[[#This Row],[TS]])</f>
        <v/>
      </c>
      <c r="U61" s="143" t="str">
        <f>IF(BetTable[[#This Row],[O2]]="","",(BetTable[[#This Row],[WBA2-Commission]])-BetTable[[#This Row],[TS]])</f>
        <v/>
      </c>
      <c r="V61" s="143" t="str">
        <f>IF(BetTable[[#This Row],[O3]]="","",(BetTable[[#This Row],[WBA3-Commission]])-BetTable[[#This Row],[TS]])</f>
        <v/>
      </c>
      <c r="W61" s="143">
        <f>IF(NOT(ISBLANK(BetTable[[#This Row],[B1]])),1,0)+IF(NOT(ISBLANK(BetTable[[#This Row],[B2]])),1,0)+IF(NOT(ISBLANK(BetTable[[#This Row],[B3]])),1,0)</f>
        <v>0</v>
      </c>
      <c r="X61" s="143" t="str">
        <f>IF(BetTable[[#This Row],[Outcome1]]="","",BetTable[[#This Row],[WBA1]]+BetTable[[#This Row],[WBA2]]+BetTable[[#This Row],[WBA3]]-BetTable[[#This Row],[TS]])</f>
        <v/>
      </c>
      <c r="Y61" s="143" t="str">
        <f>IF(BetTable[[#This Row],[AR]]="","",BetTable[[#This Row],[AR]]/BetTable[[#This Row],[NumBookies]])</f>
        <v/>
      </c>
      <c r="Z61" s="143">
        <f>(((BetTable[[#This Row],[O1]]-1)*BetTable[[#This Row],[S1]])*(1-(BetTable[[#This Row],[C% 1]]))+BetTable[[#This Row],[S1]])</f>
        <v>0</v>
      </c>
      <c r="AA61" s="143">
        <f>(((BetTable[[#This Row],[O2]]-1)*BetTable[[#This Row],[S2]])*(1-(BetTable[[#This Row],[C% 2]]))+BetTable[[#This Row],[S2]])</f>
        <v>0</v>
      </c>
      <c r="AB61" s="143">
        <f>(((BetTable[[#This Row],[O3]]-1)*BetTable[[#This Row],[S3]])*(1-(BetTable[[#This Row],[C% 3]]))+BetTable[[#This Row],[S3]])</f>
        <v>0</v>
      </c>
      <c r="AC61" s="147" t="str">
        <f>IFERROR(IF(BetTable[[#This Row],[Sp]]="","",BetTable[[#This Row],[R1]]/BetTable[[#This Row],[TS]]),"")</f>
        <v/>
      </c>
      <c r="AD61" s="147" t="str">
        <f>IF(BetTable[[#This Row],[O2]]="","",BetTable[[#This Row],[R2]]/BetTable[[#This Row],[TS]])</f>
        <v/>
      </c>
      <c r="AE61" s="147" t="str">
        <f>IFERROR(IF(BetTable[[#This Row],[Sp]]="","",BetTable[[#This Row],[R3]]/BetTable[[#This Row],[TS]]),"")</f>
        <v/>
      </c>
      <c r="AF61" s="147" t="str">
        <f>IFERROR(IF(BetTable[[#This Row],[Outcome1]]="","",BetTable[[#This Row],[AR]]/BetTable[[#This Row],[TS]]),"")</f>
        <v/>
      </c>
      <c r="AG6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1" s="57" t="str">
        <f>IF(BetTable[[#This Row],[Outcome1]]="",AJ60,BetTable[[#This Row],[AR]]+AJ60)</f>
        <v>0</v>
      </c>
      <c r="AK61" s="39"/>
    </row>
    <row r="62" spans="1:37">
      <c r="A62" s="144"/>
      <c r="B62" s="39"/>
      <c r="C62" s="40"/>
      <c r="D62" s="40"/>
      <c r="E62" s="40"/>
      <c r="F62" s="152"/>
      <c r="G62" s="152"/>
      <c r="H62" s="152"/>
      <c r="I62" s="39"/>
      <c r="J62" s="54"/>
      <c r="K62" s="54"/>
      <c r="L62" s="54"/>
      <c r="M62" s="57"/>
      <c r="N62" s="57"/>
      <c r="O62" s="57"/>
      <c r="P62" s="55"/>
      <c r="Q62" s="55"/>
      <c r="R62" s="55"/>
      <c r="S62" s="146" t="str">
        <f>IF(BetTable[[#This Row],[Sp]]="","",BetTable[[#This Row],[S1]]+BetTable[[#This Row],[S2]]+BetTable[[#This Row],[S3]])</f>
        <v/>
      </c>
      <c r="T62" s="143" t="str">
        <f>IF(BetTable[[#This Row],[O1]]="","",(BetTable[[#This Row],[WBA1-Commission]])-BetTable[[#This Row],[TS]])</f>
        <v/>
      </c>
      <c r="U62" s="143" t="str">
        <f>IF(BetTable[[#This Row],[O2]]="","",(BetTable[[#This Row],[WBA2-Commission]])-BetTable[[#This Row],[TS]])</f>
        <v/>
      </c>
      <c r="V62" s="143" t="str">
        <f>IF(BetTable[[#This Row],[O3]]="","",(BetTable[[#This Row],[WBA3-Commission]])-BetTable[[#This Row],[TS]])</f>
        <v/>
      </c>
      <c r="W62" s="143">
        <f>IF(NOT(ISBLANK(BetTable[[#This Row],[B1]])),1,0)+IF(NOT(ISBLANK(BetTable[[#This Row],[B2]])),1,0)+IF(NOT(ISBLANK(BetTable[[#This Row],[B3]])),1,0)</f>
        <v>0</v>
      </c>
      <c r="X62" s="143" t="str">
        <f>IF(BetTable[[#This Row],[Outcome1]]="","",BetTable[[#This Row],[WBA1]]+BetTable[[#This Row],[WBA2]]+BetTable[[#This Row],[WBA3]]-BetTable[[#This Row],[TS]])</f>
        <v/>
      </c>
      <c r="Y62" s="143" t="str">
        <f>IF(BetTable[[#This Row],[AR]]="","",BetTable[[#This Row],[AR]]/BetTable[[#This Row],[NumBookies]])</f>
        <v/>
      </c>
      <c r="Z62" s="143">
        <f>(((BetTable[[#This Row],[O1]]-1)*BetTable[[#This Row],[S1]])*(1-(BetTable[[#This Row],[C% 1]]))+BetTable[[#This Row],[S1]])</f>
        <v>0</v>
      </c>
      <c r="AA62" s="143">
        <f>(((BetTable[[#This Row],[O2]]-1)*BetTable[[#This Row],[S2]])*(1-(BetTable[[#This Row],[C% 2]]))+BetTable[[#This Row],[S2]])</f>
        <v>0</v>
      </c>
      <c r="AB62" s="143">
        <f>(((BetTable[[#This Row],[O3]]-1)*BetTable[[#This Row],[S3]])*(1-(BetTable[[#This Row],[C% 3]]))+BetTable[[#This Row],[S3]])</f>
        <v>0</v>
      </c>
      <c r="AC62" s="147" t="str">
        <f>IFERROR(IF(BetTable[[#This Row],[Sp]]="","",BetTable[[#This Row],[R1]]/BetTable[[#This Row],[TS]]),"")</f>
        <v/>
      </c>
      <c r="AD62" s="147" t="str">
        <f>IF(BetTable[[#This Row],[O2]]="","",BetTable[[#This Row],[R2]]/BetTable[[#This Row],[TS]])</f>
        <v/>
      </c>
      <c r="AE62" s="147" t="str">
        <f>IFERROR(IF(BetTable[[#This Row],[Sp]]="","",BetTable[[#This Row],[R3]]/BetTable[[#This Row],[TS]]),"")</f>
        <v/>
      </c>
      <c r="AF62" s="147" t="str">
        <f>IFERROR(IF(BetTable[[#This Row],[Outcome1]]="","",BetTable[[#This Row],[AR]]/BetTable[[#This Row],[TS]]),"")</f>
        <v/>
      </c>
      <c r="AG6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2" s="57" t="str">
        <f>IF(BetTable[[#This Row],[Outcome1]]="",AJ61,BetTable[[#This Row],[AR]]+AJ61)</f>
        <v>0</v>
      </c>
      <c r="AK62" s="39"/>
    </row>
    <row r="63" spans="1:37">
      <c r="A63" s="84"/>
      <c r="B63" s="39"/>
      <c r="C63" s="40"/>
      <c r="D63" s="41"/>
      <c r="E63" s="40"/>
      <c r="F63" s="152"/>
      <c r="G63" s="151"/>
      <c r="H63" s="152"/>
      <c r="I63" s="101"/>
      <c r="J63" s="54"/>
      <c r="K63" s="54"/>
      <c r="L63" s="54"/>
      <c r="M63" s="149"/>
      <c r="N63" s="149"/>
      <c r="O63" s="149"/>
      <c r="P63" s="55"/>
      <c r="Q63" s="55"/>
      <c r="R63" s="55"/>
      <c r="S63" s="146" t="str">
        <f>IF(BetTable[[#This Row],[Sp]]="","",BetTable[[#This Row],[S1]]+BetTable[[#This Row],[S2]]+BetTable[[#This Row],[S3]])</f>
        <v/>
      </c>
      <c r="T63" s="143" t="str">
        <f>IF(BetTable[[#This Row],[O1]]="","",(BetTable[[#This Row],[WBA1-Commission]])-BetTable[[#This Row],[TS]])</f>
        <v/>
      </c>
      <c r="U63" s="143" t="str">
        <f>IF(BetTable[[#This Row],[O2]]="","",(BetTable[[#This Row],[WBA2-Commission]])-BetTable[[#This Row],[TS]])</f>
        <v/>
      </c>
      <c r="V63" s="143" t="str">
        <f>IF(BetTable[[#This Row],[O3]]="","",(BetTable[[#This Row],[WBA3-Commission]])-BetTable[[#This Row],[TS]])</f>
        <v/>
      </c>
      <c r="W63" s="143">
        <f>IF(NOT(ISBLANK(BetTable[[#This Row],[B1]])),1,0)+IF(NOT(ISBLANK(BetTable[[#This Row],[B2]])),1,0)+IF(NOT(ISBLANK(BetTable[[#This Row],[B3]])),1,0)</f>
        <v>0</v>
      </c>
      <c r="X63" s="143" t="str">
        <f>IF(BetTable[[#This Row],[Outcome1]]="","",BetTable[[#This Row],[WBA1]]+BetTable[[#This Row],[WBA2]]+BetTable[[#This Row],[WBA3]]-BetTable[[#This Row],[TS]])</f>
        <v/>
      </c>
      <c r="Y63" s="143" t="str">
        <f>IF(BetTable[[#This Row],[AR]]="","",BetTable[[#This Row],[AR]]/BetTable[[#This Row],[NumBookies]])</f>
        <v/>
      </c>
      <c r="Z63" s="143">
        <f>(((BetTable[[#This Row],[O1]]-1)*BetTable[[#This Row],[S1]])*(1-(BetTable[[#This Row],[C% 1]]))+BetTable[[#This Row],[S1]])</f>
        <v>0</v>
      </c>
      <c r="AA63" s="143">
        <f>(((BetTable[[#This Row],[O2]]-1)*BetTable[[#This Row],[S2]])*(1-(BetTable[[#This Row],[C% 2]]))+BetTable[[#This Row],[S2]])</f>
        <v>0</v>
      </c>
      <c r="AB63" s="143">
        <f>(((BetTable[[#This Row],[O3]]-1)*BetTable[[#This Row],[S3]])*(1-(BetTable[[#This Row],[C% 3]]))+BetTable[[#This Row],[S3]])</f>
        <v>0</v>
      </c>
      <c r="AC63" s="147" t="str">
        <f>IFERROR(IF(BetTable[[#This Row],[Sp]]="","",BetTable[[#This Row],[R1]]/BetTable[[#This Row],[TS]]),"")</f>
        <v/>
      </c>
      <c r="AD63" s="147" t="str">
        <f>IF(BetTable[[#This Row],[O2]]="","",BetTable[[#This Row],[R2]]/BetTable[[#This Row],[TS]])</f>
        <v/>
      </c>
      <c r="AE63" s="147" t="str">
        <f>IFERROR(IF(BetTable[[#This Row],[Sp]]="","",BetTable[[#This Row],[R3]]/BetTable[[#This Row],[TS]]),"")</f>
        <v/>
      </c>
      <c r="AF63" s="147" t="str">
        <f>IFERROR(IF(BetTable[[#This Row],[Outcome1]]="","",BetTable[[#This Row],[AR]]/BetTable[[#This Row],[TS]]),"")</f>
        <v/>
      </c>
      <c r="AG6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3" s="57" t="str">
        <f>IF(BetTable[[#This Row],[Outcome1]]="",AJ62,BetTable[[#This Row],[AR]]+AJ62)</f>
        <v>0</v>
      </c>
      <c r="AK63" s="39"/>
    </row>
    <row r="64" spans="1:37">
      <c r="A64" s="144"/>
      <c r="B64" s="39"/>
      <c r="C64" s="40"/>
      <c r="D64" s="40"/>
      <c r="E64" s="40"/>
      <c r="F64" s="152"/>
      <c r="G64" s="152"/>
      <c r="H64" s="152"/>
      <c r="I64" s="39"/>
      <c r="J64" s="54"/>
      <c r="K64" s="54"/>
      <c r="L64" s="54"/>
      <c r="M64" s="57"/>
      <c r="N64" s="57"/>
      <c r="O64" s="57"/>
      <c r="P64" s="55"/>
      <c r="Q64" s="55"/>
      <c r="R64" s="55"/>
      <c r="S64" s="146" t="str">
        <f>IF(BetTable[[#This Row],[Sp]]="","",BetTable[[#This Row],[S1]]+BetTable[[#This Row],[S2]]+BetTable[[#This Row],[S3]])</f>
        <v/>
      </c>
      <c r="T64" s="143" t="str">
        <f>IF(BetTable[[#This Row],[O1]]="","",(BetTable[[#This Row],[WBA1-Commission]])-BetTable[[#This Row],[TS]])</f>
        <v/>
      </c>
      <c r="U64" s="143" t="str">
        <f>IF(BetTable[[#This Row],[O2]]="","",(BetTable[[#This Row],[WBA2-Commission]])-BetTable[[#This Row],[TS]])</f>
        <v/>
      </c>
      <c r="V64" s="143" t="str">
        <f>IF(BetTable[[#This Row],[O3]]="","",(BetTable[[#This Row],[WBA3-Commission]])-BetTable[[#This Row],[TS]])</f>
        <v/>
      </c>
      <c r="W64" s="143">
        <f>IF(NOT(ISBLANK(BetTable[[#This Row],[B1]])),1,0)+IF(NOT(ISBLANK(BetTable[[#This Row],[B2]])),1,0)+IF(NOT(ISBLANK(BetTable[[#This Row],[B3]])),1,0)</f>
        <v>0</v>
      </c>
      <c r="X64" s="143" t="str">
        <f>IF(BetTable[[#This Row],[Outcome1]]="","",BetTable[[#This Row],[WBA1]]+BetTable[[#This Row],[WBA2]]+BetTable[[#This Row],[WBA3]]-BetTable[[#This Row],[TS]])</f>
        <v/>
      </c>
      <c r="Y64" s="143" t="str">
        <f>IF(BetTable[[#This Row],[AR]]="","",BetTable[[#This Row],[AR]]/BetTable[[#This Row],[NumBookies]])</f>
        <v/>
      </c>
      <c r="Z64" s="143">
        <f>(((BetTable[[#This Row],[O1]]-1)*BetTable[[#This Row],[S1]])*(1-(BetTable[[#This Row],[C% 1]]))+BetTable[[#This Row],[S1]])</f>
        <v>0</v>
      </c>
      <c r="AA64" s="143">
        <f>(((BetTable[[#This Row],[O2]]-1)*BetTable[[#This Row],[S2]])*(1-(BetTable[[#This Row],[C% 2]]))+BetTable[[#This Row],[S2]])</f>
        <v>0</v>
      </c>
      <c r="AB64" s="143">
        <f>(((BetTable[[#This Row],[O3]]-1)*BetTable[[#This Row],[S3]])*(1-(BetTable[[#This Row],[C% 3]]))+BetTable[[#This Row],[S3]])</f>
        <v>0</v>
      </c>
      <c r="AC64" s="147" t="str">
        <f>IFERROR(IF(BetTable[[#This Row],[Sp]]="","",BetTable[[#This Row],[R1]]/BetTable[[#This Row],[TS]]),"")</f>
        <v/>
      </c>
      <c r="AD64" s="147" t="str">
        <f>IF(BetTable[[#This Row],[O2]]="","",BetTable[[#This Row],[R2]]/BetTable[[#This Row],[TS]])</f>
        <v/>
      </c>
      <c r="AE64" s="147" t="str">
        <f>IFERROR(IF(BetTable[[#This Row],[Sp]]="","",BetTable[[#This Row],[R3]]/BetTable[[#This Row],[TS]]),"")</f>
        <v/>
      </c>
      <c r="AF64" s="147" t="str">
        <f>IFERROR(IF(BetTable[[#This Row],[Outcome1]]="","",BetTable[[#This Row],[AR]]/BetTable[[#This Row],[TS]]),"")</f>
        <v/>
      </c>
      <c r="AG6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4" s="57" t="str">
        <f>IF(BetTable[[#This Row],[Outcome1]]="",AJ63,BetTable[[#This Row],[AR]]+AJ63)</f>
        <v>0</v>
      </c>
      <c r="AK64" s="39"/>
    </row>
    <row r="65" spans="1:37">
      <c r="A65" s="144"/>
      <c r="B65" s="39"/>
      <c r="C65" s="40"/>
      <c r="D65" s="40"/>
      <c r="E65" s="40"/>
      <c r="F65" s="152"/>
      <c r="G65" s="152"/>
      <c r="H65" s="152"/>
      <c r="I65" s="39"/>
      <c r="J65" s="54"/>
      <c r="K65" s="54"/>
      <c r="L65" s="54"/>
      <c r="M65" s="57"/>
      <c r="N65" s="57"/>
      <c r="O65" s="57"/>
      <c r="P65" s="55"/>
      <c r="Q65" s="55"/>
      <c r="R65" s="55"/>
      <c r="S65" s="146" t="str">
        <f>IF(BetTable[[#This Row],[Sp]]="","",BetTable[[#This Row],[S1]]+BetTable[[#This Row],[S2]]+BetTable[[#This Row],[S3]])</f>
        <v/>
      </c>
      <c r="T65" s="143" t="str">
        <f>IF(BetTable[[#This Row],[O1]]="","",(BetTable[[#This Row],[WBA1-Commission]])-BetTable[[#This Row],[TS]])</f>
        <v/>
      </c>
      <c r="U65" s="143" t="str">
        <f>IF(BetTable[[#This Row],[O2]]="","",(BetTable[[#This Row],[WBA2-Commission]])-BetTable[[#This Row],[TS]])</f>
        <v/>
      </c>
      <c r="V65" s="143" t="str">
        <f>IF(BetTable[[#This Row],[O3]]="","",(BetTable[[#This Row],[WBA3-Commission]])-BetTable[[#This Row],[TS]])</f>
        <v/>
      </c>
      <c r="W65" s="143">
        <f>IF(NOT(ISBLANK(BetTable[[#This Row],[B1]])),1,0)+IF(NOT(ISBLANK(BetTable[[#This Row],[B2]])),1,0)+IF(NOT(ISBLANK(BetTable[[#This Row],[B3]])),1,0)</f>
        <v>0</v>
      </c>
      <c r="X65" s="143" t="str">
        <f>IF(BetTable[[#This Row],[Outcome1]]="","",BetTable[[#This Row],[WBA1]]+BetTable[[#This Row],[WBA2]]+BetTable[[#This Row],[WBA3]]-BetTable[[#This Row],[TS]])</f>
        <v/>
      </c>
      <c r="Y65" s="143" t="str">
        <f>IF(BetTable[[#This Row],[AR]]="","",BetTable[[#This Row],[AR]]/BetTable[[#This Row],[NumBookies]])</f>
        <v/>
      </c>
      <c r="Z65" s="143">
        <f>(((BetTable[[#This Row],[O1]]-1)*BetTable[[#This Row],[S1]])*(1-(BetTable[[#This Row],[C% 1]]))+BetTable[[#This Row],[S1]])</f>
        <v>0</v>
      </c>
      <c r="AA65" s="143">
        <f>(((BetTable[[#This Row],[O2]]-1)*BetTable[[#This Row],[S2]])*(1-(BetTable[[#This Row],[C% 2]]))+BetTable[[#This Row],[S2]])</f>
        <v>0</v>
      </c>
      <c r="AB65" s="143">
        <f>(((BetTable[[#This Row],[O3]]-1)*BetTable[[#This Row],[S3]])*(1-(BetTable[[#This Row],[C% 3]]))+BetTable[[#This Row],[S3]])</f>
        <v>0</v>
      </c>
      <c r="AC65" s="147" t="str">
        <f>IFERROR(IF(BetTable[[#This Row],[Sp]]="","",BetTable[[#This Row],[R1]]/BetTable[[#This Row],[TS]]),"")</f>
        <v/>
      </c>
      <c r="AD65" s="147" t="str">
        <f>IF(BetTable[[#This Row],[O2]]="","",BetTable[[#This Row],[R2]]/BetTable[[#This Row],[TS]])</f>
        <v/>
      </c>
      <c r="AE65" s="147" t="str">
        <f>IFERROR(IF(BetTable[[#This Row],[Sp]]="","",BetTable[[#This Row],[R3]]/BetTable[[#This Row],[TS]]),"")</f>
        <v/>
      </c>
      <c r="AF65" s="147" t="str">
        <f>IFERROR(IF(BetTable[[#This Row],[Outcome1]]="","",BetTable[[#This Row],[AR]]/BetTable[[#This Row],[TS]]),"")</f>
        <v/>
      </c>
      <c r="AG6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5" s="57" t="str">
        <f>IF(BetTable[[#This Row],[Outcome1]]="",AJ64,BetTable[[#This Row],[AR]]+AJ64)</f>
        <v>0</v>
      </c>
      <c r="AK65" s="39"/>
    </row>
    <row r="66" spans="1:37">
      <c r="A66" s="144"/>
      <c r="B66" s="39"/>
      <c r="C66" s="40"/>
      <c r="D66" s="40"/>
      <c r="E66" s="40"/>
      <c r="F66" s="152"/>
      <c r="G66" s="152"/>
      <c r="H66" s="152"/>
      <c r="I66" s="39"/>
      <c r="J66" s="54"/>
      <c r="K66" s="54"/>
      <c r="L66" s="54"/>
      <c r="M66" s="57"/>
      <c r="N66" s="57"/>
      <c r="O66" s="57"/>
      <c r="P66" s="55"/>
      <c r="Q66" s="55"/>
      <c r="R66" s="55"/>
      <c r="S66" s="56" t="str">
        <f>IF(BetTable[[#This Row],[Sp]]="","",BetTable[[#This Row],[S1]]+BetTable[[#This Row],[S2]]+BetTable[[#This Row],[S3]])</f>
        <v/>
      </c>
      <c r="T66" s="57" t="str">
        <f>IF(BetTable[[#This Row],[O1]]="","",(BetTable[[#This Row],[WBA1-Commission]])-BetTable[[#This Row],[TS]])</f>
        <v/>
      </c>
      <c r="U66" s="57" t="str">
        <f>IF(BetTable[[#This Row],[O2]]="","",(BetTable[[#This Row],[WBA2-Commission]])-BetTable[[#This Row],[TS]])</f>
        <v/>
      </c>
      <c r="V66" s="57" t="str">
        <f>IF(BetTable[[#This Row],[O3]]="","",(BetTable[[#This Row],[WBA3-Commission]])-BetTable[[#This Row],[TS]])</f>
        <v/>
      </c>
      <c r="W66" s="143">
        <f>IF(NOT(ISBLANK(BetTable[[#This Row],[B1]])),1,0)+IF(NOT(ISBLANK(BetTable[[#This Row],[B2]])),1,0)+IF(NOT(ISBLANK(BetTable[[#This Row],[B3]])),1,0)</f>
        <v>0</v>
      </c>
      <c r="X66" s="57" t="str">
        <f>IF(BetTable[[#This Row],[Outcome1]]="","",BetTable[[#This Row],[WBA1]]+BetTable[[#This Row],[WBA2]]+BetTable[[#This Row],[WBA3]]-BetTable[[#This Row],[TS]])</f>
        <v/>
      </c>
      <c r="Y66" s="143" t="str">
        <f>IF(BetTable[[#This Row],[AR]]="","",BetTable[[#This Row],[AR]]/BetTable[[#This Row],[NumBookies]])</f>
        <v/>
      </c>
      <c r="Z66" s="57">
        <f>(((BetTable[[#This Row],[O1]]-1)*BetTable[[#This Row],[S1]])*(1-(BetTable[[#This Row],[C% 1]]))+BetTable[[#This Row],[S1]])</f>
        <v>0</v>
      </c>
      <c r="AA66" s="57">
        <f>(((BetTable[[#This Row],[O2]]-1)*BetTable[[#This Row],[S2]])*(1-(BetTable[[#This Row],[C% 2]]))+BetTable[[#This Row],[S2]])</f>
        <v>0</v>
      </c>
      <c r="AB66" s="57">
        <f>(((BetTable[[#This Row],[O3]]-1)*BetTable[[#This Row],[S3]])*(1-(BetTable[[#This Row],[C% 3]]))+BetTable[[#This Row],[S3]])</f>
        <v>0</v>
      </c>
      <c r="AC66" s="58" t="str">
        <f>IFERROR(IF(BetTable[[#This Row],[Sp]]="","",BetTable[[#This Row],[R1]]/BetTable[[#This Row],[TS]]),"")</f>
        <v/>
      </c>
      <c r="AD66" s="58" t="str">
        <f>IF(BetTable[[#This Row],[O2]]="","",BetTable[[#This Row],[R2]]/BetTable[[#This Row],[TS]])</f>
        <v/>
      </c>
      <c r="AE66" s="58" t="str">
        <f>IFERROR(IF(BetTable[[#This Row],[Sp]]="","",BetTable[[#This Row],[R3]]/BetTable[[#This Row],[TS]]),"")</f>
        <v/>
      </c>
      <c r="AF66" s="58" t="str">
        <f>IFERROR(IF(BetTable[[#This Row],[Outcome1]]="","",BetTable[[#This Row],[AR]]/BetTable[[#This Row],[TS]]),"")</f>
        <v/>
      </c>
      <c r="AG6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6" s="57" t="str">
        <f>IF(BetTable[[#This Row],[Outcome1]]="",AJ18,BetTable[[#This Row],[AR]]+AJ18)</f>
        <v>0</v>
      </c>
      <c r="AK66" s="39"/>
    </row>
    <row r="67" spans="1:37">
      <c r="A67" s="144"/>
      <c r="B67" s="39"/>
      <c r="C67" s="40"/>
      <c r="D67" s="40"/>
      <c r="E67" s="40"/>
      <c r="F67" s="152"/>
      <c r="G67" s="152"/>
      <c r="H67" s="152"/>
      <c r="I67" s="39"/>
      <c r="J67" s="54"/>
      <c r="K67" s="54"/>
      <c r="L67" s="54"/>
      <c r="M67" s="57"/>
      <c r="N67" s="57"/>
      <c r="O67" s="57"/>
      <c r="P67" s="55"/>
      <c r="Q67" s="55"/>
      <c r="R67" s="55"/>
      <c r="S67" s="146" t="str">
        <f>IF(BetTable[[#This Row],[Sp]]="","",BetTable[[#This Row],[S1]]+BetTable[[#This Row],[S2]]+BetTable[[#This Row],[S3]])</f>
        <v/>
      </c>
      <c r="T67" s="143" t="str">
        <f>IF(BetTable[[#This Row],[O1]]="","",(BetTable[[#This Row],[WBA1-Commission]])-BetTable[[#This Row],[TS]])</f>
        <v/>
      </c>
      <c r="U67" s="143" t="str">
        <f>IF(BetTable[[#This Row],[O2]]="","",(BetTable[[#This Row],[WBA2-Commission]])-BetTable[[#This Row],[TS]])</f>
        <v/>
      </c>
      <c r="V67" s="143" t="str">
        <f>IF(BetTable[[#This Row],[O3]]="","",(BetTable[[#This Row],[WBA3-Commission]])-BetTable[[#This Row],[TS]])</f>
        <v/>
      </c>
      <c r="W67" s="143">
        <f>IF(NOT(ISBLANK(BetTable[[#This Row],[B1]])),1,0)+IF(NOT(ISBLANK(BetTable[[#This Row],[B2]])),1,0)+IF(NOT(ISBLANK(BetTable[[#This Row],[B3]])),1,0)</f>
        <v>0</v>
      </c>
      <c r="X67" s="143" t="str">
        <f>IF(BetTable[[#This Row],[Outcome1]]="","",BetTable[[#This Row],[WBA1]]+BetTable[[#This Row],[WBA2]]+BetTable[[#This Row],[WBA3]]-BetTable[[#This Row],[TS]])</f>
        <v/>
      </c>
      <c r="Y67" s="143" t="str">
        <f>IF(BetTable[[#This Row],[AR]]="","",BetTable[[#This Row],[AR]]/BetTable[[#This Row],[NumBookies]])</f>
        <v/>
      </c>
      <c r="Z67" s="143">
        <f>(((BetTable[[#This Row],[O1]]-1)*BetTable[[#This Row],[S1]])*(1-(BetTable[[#This Row],[C% 1]]))+BetTable[[#This Row],[S1]])</f>
        <v>0</v>
      </c>
      <c r="AA67" s="143">
        <f>(((BetTable[[#This Row],[O2]]-1)*BetTable[[#This Row],[S2]])*(1-(BetTable[[#This Row],[C% 2]]))+BetTable[[#This Row],[S2]])</f>
        <v>0</v>
      </c>
      <c r="AB67" s="143">
        <f>(((BetTable[[#This Row],[O3]]-1)*BetTable[[#This Row],[S3]])*(1-(BetTable[[#This Row],[C% 3]]))+BetTable[[#This Row],[S3]])</f>
        <v>0</v>
      </c>
      <c r="AC67" s="147" t="str">
        <f>IFERROR(IF(BetTable[[#This Row],[Sp]]="","",BetTable[[#This Row],[R1]]/BetTable[[#This Row],[TS]]),"")</f>
        <v/>
      </c>
      <c r="AD67" s="147" t="str">
        <f>IF(BetTable[[#This Row],[O2]]="","",BetTable[[#This Row],[R2]]/BetTable[[#This Row],[TS]])</f>
        <v/>
      </c>
      <c r="AE67" s="147" t="str">
        <f>IFERROR(IF(BetTable[[#This Row],[Sp]]="","",BetTable[[#This Row],[R3]]/BetTable[[#This Row],[TS]]),"")</f>
        <v/>
      </c>
      <c r="AF67" s="147" t="str">
        <f>IFERROR(IF(BetTable[[#This Row],[Outcome1]]="","",BetTable[[#This Row],[AR]]/BetTable[[#This Row],[TS]]),"")</f>
        <v/>
      </c>
      <c r="AG6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7" s="57" t="e">
        <f>IF(BetTable[[#This Row],[Outcome1]]="",#REF!,BetTable[[#This Row],[AR]]+#REF!)</f>
        <v>#REF!</v>
      </c>
      <c r="AK67" s="39"/>
    </row>
    <row r="68" spans="1:37">
      <c r="A68" s="144"/>
      <c r="B68" s="39"/>
      <c r="C68" s="40"/>
      <c r="D68" s="40"/>
      <c r="E68" s="40"/>
      <c r="F68" s="152"/>
      <c r="G68" s="152"/>
      <c r="H68" s="152"/>
      <c r="I68" s="39"/>
      <c r="J68" s="54"/>
      <c r="K68" s="54"/>
      <c r="L68" s="54"/>
      <c r="M68" s="57"/>
      <c r="N68" s="57"/>
      <c r="O68" s="57"/>
      <c r="P68" s="55"/>
      <c r="Q68" s="55"/>
      <c r="R68" s="55"/>
      <c r="S68" s="146" t="str">
        <f>IF(BetTable[[#This Row],[Sp]]="","",BetTable[[#This Row],[S1]]+BetTable[[#This Row],[S2]]+BetTable[[#This Row],[S3]])</f>
        <v/>
      </c>
      <c r="T68" s="143" t="str">
        <f>IF(BetTable[[#This Row],[O1]]="","",(BetTable[[#This Row],[WBA1-Commission]])-BetTable[[#This Row],[TS]])</f>
        <v/>
      </c>
      <c r="U68" s="143" t="str">
        <f>IF(BetTable[[#This Row],[O2]]="","",(BetTable[[#This Row],[WBA2-Commission]])-BetTable[[#This Row],[TS]])</f>
        <v/>
      </c>
      <c r="V68" s="143" t="str">
        <f>IF(BetTable[[#This Row],[O3]]="","",(BetTable[[#This Row],[WBA3-Commission]])-BetTable[[#This Row],[TS]])</f>
        <v/>
      </c>
      <c r="W68" s="143">
        <f>IF(NOT(ISBLANK(BetTable[[#This Row],[B1]])),1,0)+IF(NOT(ISBLANK(BetTable[[#This Row],[B2]])),1,0)+IF(NOT(ISBLANK(BetTable[[#This Row],[B3]])),1,0)</f>
        <v>0</v>
      </c>
      <c r="X68" s="143" t="str">
        <f>IF(BetTable[[#This Row],[Outcome1]]="","",BetTable[[#This Row],[WBA1]]+BetTable[[#This Row],[WBA2]]+BetTable[[#This Row],[WBA3]]-BetTable[[#This Row],[TS]])</f>
        <v/>
      </c>
      <c r="Y68" s="143" t="str">
        <f>IF(BetTable[[#This Row],[AR]]="","",BetTable[[#This Row],[AR]]/BetTable[[#This Row],[NumBookies]])</f>
        <v/>
      </c>
      <c r="Z68" s="143">
        <f>(((BetTable[[#This Row],[O1]]-1)*BetTable[[#This Row],[S1]])*(1-(BetTable[[#This Row],[C% 1]]))+BetTable[[#This Row],[S1]])</f>
        <v>0</v>
      </c>
      <c r="AA68" s="143">
        <f>(((BetTable[[#This Row],[O2]]-1)*BetTable[[#This Row],[S2]])*(1-(BetTable[[#This Row],[C% 2]]))+BetTable[[#This Row],[S2]])</f>
        <v>0</v>
      </c>
      <c r="AB68" s="143">
        <f>(((BetTable[[#This Row],[O3]]-1)*BetTable[[#This Row],[S3]])*(1-(BetTable[[#This Row],[C% 3]]))+BetTable[[#This Row],[S3]])</f>
        <v>0</v>
      </c>
      <c r="AC68" s="147" t="str">
        <f>IFERROR(IF(BetTable[[#This Row],[Sp]]="","",BetTable[[#This Row],[R1]]/BetTable[[#This Row],[TS]]),"")</f>
        <v/>
      </c>
      <c r="AD68" s="147" t="str">
        <f>IF(BetTable[[#This Row],[O2]]="","",BetTable[[#This Row],[R2]]/BetTable[[#This Row],[TS]])</f>
        <v/>
      </c>
      <c r="AE68" s="147" t="str">
        <f>IFERROR(IF(BetTable[[#This Row],[Sp]]="","",BetTable[[#This Row],[R3]]/BetTable[[#This Row],[TS]]),"")</f>
        <v/>
      </c>
      <c r="AF68" s="147" t="str">
        <f>IFERROR(IF(BetTable[[#This Row],[Outcome1]]="","",BetTable[[#This Row],[AR]]/BetTable[[#This Row],[TS]]),"")</f>
        <v/>
      </c>
      <c r="AG6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8" s="57" t="e">
        <f>IF(BetTable[[#This Row],[Outcome1]]="",AJ67,BetTable[[#This Row],[AR]]+AJ67)</f>
        <v>#REF!</v>
      </c>
      <c r="AK68" s="39"/>
    </row>
    <row r="69" spans="1:37">
      <c r="A69" s="144"/>
      <c r="B69" s="39"/>
      <c r="C69" s="40"/>
      <c r="D69" s="40"/>
      <c r="E69" s="40"/>
      <c r="F69" s="152"/>
      <c r="G69" s="152"/>
      <c r="H69" s="152"/>
      <c r="I69" s="39"/>
      <c r="J69" s="54"/>
      <c r="K69" s="54"/>
      <c r="L69" s="54"/>
      <c r="M69" s="57"/>
      <c r="N69" s="57"/>
      <c r="O69" s="57"/>
      <c r="P69" s="55"/>
      <c r="Q69" s="55"/>
      <c r="R69" s="55"/>
      <c r="S69" s="146" t="str">
        <f>IF(BetTable[[#This Row],[Sp]]="","",BetTable[[#This Row],[S1]]+BetTable[[#This Row],[S2]]+BetTable[[#This Row],[S3]])</f>
        <v/>
      </c>
      <c r="T69" s="143" t="str">
        <f>IF(BetTable[[#This Row],[O1]]="","",(BetTable[[#This Row],[WBA1-Commission]])-BetTable[[#This Row],[TS]])</f>
        <v/>
      </c>
      <c r="U69" s="143" t="str">
        <f>IF(BetTable[[#This Row],[O2]]="","",(BetTable[[#This Row],[WBA2-Commission]])-BetTable[[#This Row],[TS]])</f>
        <v/>
      </c>
      <c r="V69" s="143" t="str">
        <f>IF(BetTable[[#This Row],[O3]]="","",(BetTable[[#This Row],[WBA3-Commission]])-BetTable[[#This Row],[TS]])</f>
        <v/>
      </c>
      <c r="W69" s="143">
        <f>IF(NOT(ISBLANK(BetTable[[#This Row],[B1]])),1,0)+IF(NOT(ISBLANK(BetTable[[#This Row],[B2]])),1,0)+IF(NOT(ISBLANK(BetTable[[#This Row],[B3]])),1,0)</f>
        <v>0</v>
      </c>
      <c r="X69" s="143" t="str">
        <f>IF(BetTable[[#This Row],[Outcome1]]="","",BetTable[[#This Row],[WBA1]]+BetTable[[#This Row],[WBA2]]+BetTable[[#This Row],[WBA3]]-BetTable[[#This Row],[TS]])</f>
        <v/>
      </c>
      <c r="Y69" s="143" t="str">
        <f>IF(BetTable[[#This Row],[AR]]="","",BetTable[[#This Row],[AR]]/BetTable[[#This Row],[NumBookies]])</f>
        <v/>
      </c>
      <c r="Z69" s="143">
        <f>(((BetTable[[#This Row],[O1]]-1)*BetTable[[#This Row],[S1]])*(1-(BetTable[[#This Row],[C% 1]]))+BetTable[[#This Row],[S1]])</f>
        <v>0</v>
      </c>
      <c r="AA69" s="143">
        <f>(((BetTable[[#This Row],[O2]]-1)*BetTable[[#This Row],[S2]])*(1-(BetTable[[#This Row],[C% 2]]))+BetTable[[#This Row],[S2]])</f>
        <v>0</v>
      </c>
      <c r="AB69" s="143">
        <f>(((BetTable[[#This Row],[O3]]-1)*BetTable[[#This Row],[S3]])*(1-(BetTable[[#This Row],[C% 3]]))+BetTable[[#This Row],[S3]])</f>
        <v>0</v>
      </c>
      <c r="AC69" s="147" t="str">
        <f>IFERROR(IF(BetTable[[#This Row],[Sp]]="","",BetTable[[#This Row],[R1]]/BetTable[[#This Row],[TS]]),"")</f>
        <v/>
      </c>
      <c r="AD69" s="147" t="str">
        <f>IF(BetTable[[#This Row],[O2]]="","",BetTable[[#This Row],[R2]]/BetTable[[#This Row],[TS]])</f>
        <v/>
      </c>
      <c r="AE69" s="147" t="str">
        <f>IFERROR(IF(BetTable[[#This Row],[Sp]]="","",BetTable[[#This Row],[R3]]/BetTable[[#This Row],[TS]]),"")</f>
        <v/>
      </c>
      <c r="AF69" s="147" t="str">
        <f>IFERROR(IF(BetTable[[#This Row],[Outcome1]]="","",BetTable[[#This Row],[AR]]/BetTable[[#This Row],[TS]]),"")</f>
        <v/>
      </c>
      <c r="AG6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6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6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69" s="57" t="e">
        <f>IF(BetTable[[#This Row],[Outcome1]]="",AJ68,BetTable[[#This Row],[AR]]+AJ68)</f>
        <v>#REF!</v>
      </c>
      <c r="AK69" s="39"/>
    </row>
    <row r="70" spans="1:37">
      <c r="A70" s="144"/>
      <c r="B70" s="39"/>
      <c r="C70" s="40"/>
      <c r="D70" s="40"/>
      <c r="E70" s="40"/>
      <c r="F70" s="152"/>
      <c r="G70" s="152"/>
      <c r="H70" s="152"/>
      <c r="I70" s="39"/>
      <c r="J70" s="54"/>
      <c r="K70" s="54"/>
      <c r="L70" s="54"/>
      <c r="M70" s="57"/>
      <c r="N70" s="57"/>
      <c r="O70" s="57"/>
      <c r="P70" s="55"/>
      <c r="Q70" s="55"/>
      <c r="R70" s="55"/>
      <c r="S70" s="146" t="str">
        <f>IF(BetTable[[#This Row],[Sp]]="","",BetTable[[#This Row],[S1]]+BetTable[[#This Row],[S2]]+BetTable[[#This Row],[S3]])</f>
        <v/>
      </c>
      <c r="T70" s="143" t="str">
        <f>IF(BetTable[[#This Row],[O1]]="","",(BetTable[[#This Row],[WBA1-Commission]])-BetTable[[#This Row],[TS]])</f>
        <v/>
      </c>
      <c r="U70" s="143" t="str">
        <f>IF(BetTable[[#This Row],[O2]]="","",(BetTable[[#This Row],[WBA2-Commission]])-BetTable[[#This Row],[TS]])</f>
        <v/>
      </c>
      <c r="V70" s="143" t="str">
        <f>IF(BetTable[[#This Row],[O3]]="","",(BetTable[[#This Row],[WBA3-Commission]])-BetTable[[#This Row],[TS]])</f>
        <v/>
      </c>
      <c r="W70" s="143">
        <f>IF(NOT(ISBLANK(BetTable[[#This Row],[B1]])),1,0)+IF(NOT(ISBLANK(BetTable[[#This Row],[B2]])),1,0)+IF(NOT(ISBLANK(BetTable[[#This Row],[B3]])),1,0)</f>
        <v>0</v>
      </c>
      <c r="X70" s="143" t="str">
        <f>IF(BetTable[[#This Row],[Outcome1]]="","",BetTable[[#This Row],[WBA1]]+BetTable[[#This Row],[WBA2]]+BetTable[[#This Row],[WBA3]]-BetTable[[#This Row],[TS]])</f>
        <v/>
      </c>
      <c r="Y70" s="143" t="str">
        <f>IF(BetTable[[#This Row],[AR]]="","",BetTable[[#This Row],[AR]]/BetTable[[#This Row],[NumBookies]])</f>
        <v/>
      </c>
      <c r="Z70" s="143">
        <f>(((BetTable[[#This Row],[O1]]-1)*BetTable[[#This Row],[S1]])*(1-(BetTable[[#This Row],[C% 1]]))+BetTable[[#This Row],[S1]])</f>
        <v>0</v>
      </c>
      <c r="AA70" s="143">
        <f>(((BetTable[[#This Row],[O2]]-1)*BetTable[[#This Row],[S2]])*(1-(BetTable[[#This Row],[C% 2]]))+BetTable[[#This Row],[S2]])</f>
        <v>0</v>
      </c>
      <c r="AB70" s="143">
        <f>(((BetTable[[#This Row],[O3]]-1)*BetTable[[#This Row],[S3]])*(1-(BetTable[[#This Row],[C% 3]]))+BetTable[[#This Row],[S3]])</f>
        <v>0</v>
      </c>
      <c r="AC70" s="147" t="str">
        <f>IFERROR(IF(BetTable[[#This Row],[Sp]]="","",BetTable[[#This Row],[R1]]/BetTable[[#This Row],[TS]]),"")</f>
        <v/>
      </c>
      <c r="AD70" s="147" t="str">
        <f>IF(BetTable[[#This Row],[O2]]="","",BetTable[[#This Row],[R2]]/BetTable[[#This Row],[TS]])</f>
        <v/>
      </c>
      <c r="AE70" s="147" t="str">
        <f>IFERROR(IF(BetTable[[#This Row],[Sp]]="","",BetTable[[#This Row],[R3]]/BetTable[[#This Row],[TS]]),"")</f>
        <v/>
      </c>
      <c r="AF70" s="147" t="str">
        <f>IFERROR(IF(BetTable[[#This Row],[Outcome1]]="","",BetTable[[#This Row],[AR]]/BetTable[[#This Row],[TS]]),"")</f>
        <v/>
      </c>
      <c r="AG7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0" s="57" t="e">
        <f>IF(BetTable[[#This Row],[Outcome1]]="",AJ69,BetTable[[#This Row],[AR]]+AJ69)</f>
        <v>#REF!</v>
      </c>
      <c r="AK70" s="39"/>
    </row>
    <row r="71" spans="1:37">
      <c r="A71" s="144"/>
      <c r="B71" s="39"/>
      <c r="C71" s="40"/>
      <c r="D71" s="40"/>
      <c r="E71" s="40"/>
      <c r="F71" s="152"/>
      <c r="G71" s="152"/>
      <c r="H71" s="152"/>
      <c r="I71" s="39"/>
      <c r="J71" s="54"/>
      <c r="K71" s="54"/>
      <c r="L71" s="54"/>
      <c r="M71" s="57"/>
      <c r="N71" s="57"/>
      <c r="O71" s="57"/>
      <c r="P71" s="55"/>
      <c r="Q71" s="55"/>
      <c r="R71" s="55"/>
      <c r="S71" s="146" t="str">
        <f>IF(BetTable[[#This Row],[Sp]]="","",BetTable[[#This Row],[S1]]+BetTable[[#This Row],[S2]]+BetTable[[#This Row],[S3]])</f>
        <v/>
      </c>
      <c r="T71" s="143" t="str">
        <f>IF(BetTable[[#This Row],[O1]]="","",(BetTable[[#This Row],[WBA1-Commission]])-BetTable[[#This Row],[TS]])</f>
        <v/>
      </c>
      <c r="U71" s="143" t="str">
        <f>IF(BetTable[[#This Row],[O2]]="","",(BetTable[[#This Row],[WBA2-Commission]])-BetTable[[#This Row],[TS]])</f>
        <v/>
      </c>
      <c r="V71" s="143" t="str">
        <f>IF(BetTable[[#This Row],[O3]]="","",(BetTable[[#This Row],[WBA3-Commission]])-BetTable[[#This Row],[TS]])</f>
        <v/>
      </c>
      <c r="W71" s="143">
        <f>IF(NOT(ISBLANK(BetTable[[#This Row],[B1]])),1,0)+IF(NOT(ISBLANK(BetTable[[#This Row],[B2]])),1,0)+IF(NOT(ISBLANK(BetTable[[#This Row],[B3]])),1,0)</f>
        <v>0</v>
      </c>
      <c r="X71" s="143" t="str">
        <f>IF(BetTable[[#This Row],[Outcome1]]="","",BetTable[[#This Row],[WBA1]]+BetTable[[#This Row],[WBA2]]+BetTable[[#This Row],[WBA3]]-BetTable[[#This Row],[TS]])</f>
        <v/>
      </c>
      <c r="Y71" s="143" t="str">
        <f>IF(BetTable[[#This Row],[AR]]="","",BetTable[[#This Row],[AR]]/BetTable[[#This Row],[NumBookies]])</f>
        <v/>
      </c>
      <c r="Z71" s="143">
        <f>(((BetTable[[#This Row],[O1]]-1)*BetTable[[#This Row],[S1]])*(1-(BetTable[[#This Row],[C% 1]]))+BetTable[[#This Row],[S1]])</f>
        <v>0</v>
      </c>
      <c r="AA71" s="143">
        <f>(((BetTable[[#This Row],[O2]]-1)*BetTable[[#This Row],[S2]])*(1-(BetTable[[#This Row],[C% 2]]))+BetTable[[#This Row],[S2]])</f>
        <v>0</v>
      </c>
      <c r="AB71" s="143">
        <f>(((BetTable[[#This Row],[O3]]-1)*BetTable[[#This Row],[S3]])*(1-(BetTable[[#This Row],[C% 3]]))+BetTable[[#This Row],[S3]])</f>
        <v>0</v>
      </c>
      <c r="AC71" s="147" t="str">
        <f>IFERROR(IF(BetTable[[#This Row],[Sp]]="","",BetTable[[#This Row],[R1]]/BetTable[[#This Row],[TS]]),"")</f>
        <v/>
      </c>
      <c r="AD71" s="147" t="str">
        <f>IF(BetTable[[#This Row],[O2]]="","",BetTable[[#This Row],[R2]]/BetTable[[#This Row],[TS]])</f>
        <v/>
      </c>
      <c r="AE71" s="147" t="str">
        <f>IFERROR(IF(BetTable[[#This Row],[Sp]]="","",BetTable[[#This Row],[R3]]/BetTable[[#This Row],[TS]]),"")</f>
        <v/>
      </c>
      <c r="AF71" s="147" t="str">
        <f>IFERROR(IF(BetTable[[#This Row],[Outcome1]]="","",BetTable[[#This Row],[AR]]/BetTable[[#This Row],[TS]]),"")</f>
        <v/>
      </c>
      <c r="AG7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1" s="57" t="e">
        <f>IF(BetTable[[#This Row],[Outcome1]]="",AJ70,BetTable[[#This Row],[AR]]+AJ70)</f>
        <v>#REF!</v>
      </c>
      <c r="AK71" s="39"/>
    </row>
    <row r="72" spans="1:37">
      <c r="A72" s="144"/>
      <c r="B72" s="39"/>
      <c r="C72" s="40"/>
      <c r="D72" s="40"/>
      <c r="E72" s="40"/>
      <c r="F72" s="152"/>
      <c r="G72" s="152"/>
      <c r="H72" s="152"/>
      <c r="I72" s="39"/>
      <c r="J72" s="54"/>
      <c r="K72" s="54"/>
      <c r="L72" s="54"/>
      <c r="M72" s="57"/>
      <c r="N72" s="57"/>
      <c r="O72" s="57"/>
      <c r="P72" s="55"/>
      <c r="Q72" s="55"/>
      <c r="R72" s="55"/>
      <c r="S72" s="146" t="str">
        <f>IF(BetTable[[#This Row],[Sp]]="","",BetTable[[#This Row],[S1]]+BetTable[[#This Row],[S2]]+BetTable[[#This Row],[S3]])</f>
        <v/>
      </c>
      <c r="T72" s="143" t="str">
        <f>IF(BetTable[[#This Row],[O1]]="","",(BetTable[[#This Row],[WBA1-Commission]])-BetTable[[#This Row],[TS]])</f>
        <v/>
      </c>
      <c r="U72" s="143" t="str">
        <f>IF(BetTable[[#This Row],[O2]]="","",(BetTable[[#This Row],[WBA2-Commission]])-BetTable[[#This Row],[TS]])</f>
        <v/>
      </c>
      <c r="V72" s="143" t="str">
        <f>IF(BetTable[[#This Row],[O3]]="","",(BetTable[[#This Row],[WBA3-Commission]])-BetTable[[#This Row],[TS]])</f>
        <v/>
      </c>
      <c r="W72" s="143">
        <f>IF(NOT(ISBLANK(BetTable[[#This Row],[B1]])),1,0)+IF(NOT(ISBLANK(BetTable[[#This Row],[B2]])),1,0)+IF(NOT(ISBLANK(BetTable[[#This Row],[B3]])),1,0)</f>
        <v>0</v>
      </c>
      <c r="X72" s="143" t="str">
        <f>IF(BetTable[[#This Row],[Outcome1]]="","",BetTable[[#This Row],[WBA1]]+BetTable[[#This Row],[WBA2]]+BetTable[[#This Row],[WBA3]]-BetTable[[#This Row],[TS]])</f>
        <v/>
      </c>
      <c r="Y72" s="143" t="str">
        <f>IF(BetTable[[#This Row],[AR]]="","",BetTable[[#This Row],[AR]]/BetTable[[#This Row],[NumBookies]])</f>
        <v/>
      </c>
      <c r="Z72" s="143">
        <f>(((BetTable[[#This Row],[O1]]-1)*BetTable[[#This Row],[S1]])*(1-(BetTable[[#This Row],[C% 1]]))+BetTable[[#This Row],[S1]])</f>
        <v>0</v>
      </c>
      <c r="AA72" s="143">
        <f>(((BetTable[[#This Row],[O2]]-1)*BetTable[[#This Row],[S2]])*(1-(BetTable[[#This Row],[C% 2]]))+BetTable[[#This Row],[S2]])</f>
        <v>0</v>
      </c>
      <c r="AB72" s="143">
        <f>(((BetTable[[#This Row],[O3]]-1)*BetTable[[#This Row],[S3]])*(1-(BetTable[[#This Row],[C% 3]]))+BetTable[[#This Row],[S3]])</f>
        <v>0</v>
      </c>
      <c r="AC72" s="147" t="str">
        <f>IFERROR(IF(BetTable[[#This Row],[Sp]]="","",BetTable[[#This Row],[R1]]/BetTable[[#This Row],[TS]]),"")</f>
        <v/>
      </c>
      <c r="AD72" s="147" t="str">
        <f>IF(BetTable[[#This Row],[O2]]="","",BetTable[[#This Row],[R2]]/BetTable[[#This Row],[TS]])</f>
        <v/>
      </c>
      <c r="AE72" s="147" t="str">
        <f>IFERROR(IF(BetTable[[#This Row],[Sp]]="","",BetTable[[#This Row],[R3]]/BetTable[[#This Row],[TS]]),"")</f>
        <v/>
      </c>
      <c r="AF72" s="147" t="str">
        <f>IFERROR(IF(BetTable[[#This Row],[Outcome1]]="","",BetTable[[#This Row],[AR]]/BetTable[[#This Row],[TS]]),"")</f>
        <v/>
      </c>
      <c r="AG7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2" s="57" t="e">
        <f>IF(BetTable[[#This Row],[Outcome1]]="",AJ71,BetTable[[#This Row],[AR]]+AJ71)</f>
        <v>#REF!</v>
      </c>
      <c r="AK72" s="39"/>
    </row>
    <row r="73" spans="1:37">
      <c r="A73" s="144"/>
      <c r="B73" s="39"/>
      <c r="C73" s="40"/>
      <c r="D73" s="40"/>
      <c r="E73" s="40"/>
      <c r="F73" s="152"/>
      <c r="G73" s="152"/>
      <c r="H73" s="152"/>
      <c r="I73" s="39"/>
      <c r="J73" s="54"/>
      <c r="K73" s="54"/>
      <c r="L73" s="54"/>
      <c r="M73" s="57"/>
      <c r="N73" s="57"/>
      <c r="O73" s="57"/>
      <c r="P73" s="55"/>
      <c r="Q73" s="55"/>
      <c r="R73" s="55"/>
      <c r="S73" s="146" t="str">
        <f>IF(BetTable[[#This Row],[Sp]]="","",BetTable[[#This Row],[S1]]+BetTable[[#This Row],[S2]]+BetTable[[#This Row],[S3]])</f>
        <v/>
      </c>
      <c r="T73" s="143" t="str">
        <f>IF(BetTable[[#This Row],[O1]]="","",(BetTable[[#This Row],[WBA1-Commission]])-BetTable[[#This Row],[TS]])</f>
        <v/>
      </c>
      <c r="U73" s="143" t="str">
        <f>IF(BetTable[[#This Row],[O2]]="","",(BetTable[[#This Row],[WBA2-Commission]])-BetTable[[#This Row],[TS]])</f>
        <v/>
      </c>
      <c r="V73" s="143" t="str">
        <f>IF(BetTable[[#This Row],[O3]]="","",(BetTable[[#This Row],[WBA3-Commission]])-BetTable[[#This Row],[TS]])</f>
        <v/>
      </c>
      <c r="W73" s="143">
        <f>IF(NOT(ISBLANK(BetTable[[#This Row],[B1]])),1,0)+IF(NOT(ISBLANK(BetTable[[#This Row],[B2]])),1,0)+IF(NOT(ISBLANK(BetTable[[#This Row],[B3]])),1,0)</f>
        <v>0</v>
      </c>
      <c r="X73" s="143" t="str">
        <f>IF(BetTable[[#This Row],[Outcome1]]="","",BetTable[[#This Row],[WBA1]]+BetTable[[#This Row],[WBA2]]+BetTable[[#This Row],[WBA3]]-BetTable[[#This Row],[TS]])</f>
        <v/>
      </c>
      <c r="Y73" s="143" t="str">
        <f>IF(BetTable[[#This Row],[AR]]="","",BetTable[[#This Row],[AR]]/BetTable[[#This Row],[NumBookies]])</f>
        <v/>
      </c>
      <c r="Z73" s="143">
        <f>(((BetTable[[#This Row],[O1]]-1)*BetTable[[#This Row],[S1]])*(1-(BetTable[[#This Row],[C% 1]]))+BetTable[[#This Row],[S1]])</f>
        <v>0</v>
      </c>
      <c r="AA73" s="143">
        <f>(((BetTable[[#This Row],[O2]]-1)*BetTable[[#This Row],[S2]])*(1-(BetTable[[#This Row],[C% 2]]))+BetTable[[#This Row],[S2]])</f>
        <v>0</v>
      </c>
      <c r="AB73" s="143">
        <f>(((BetTable[[#This Row],[O3]]-1)*BetTable[[#This Row],[S3]])*(1-(BetTable[[#This Row],[C% 3]]))+BetTable[[#This Row],[S3]])</f>
        <v>0</v>
      </c>
      <c r="AC73" s="147" t="str">
        <f>IFERROR(IF(BetTable[[#This Row],[Sp]]="","",BetTable[[#This Row],[R1]]/BetTable[[#This Row],[TS]]),"")</f>
        <v/>
      </c>
      <c r="AD73" s="147" t="str">
        <f>IF(BetTable[[#This Row],[O2]]="","",BetTable[[#This Row],[R2]]/BetTable[[#This Row],[TS]])</f>
        <v/>
      </c>
      <c r="AE73" s="147" t="str">
        <f>IFERROR(IF(BetTable[[#This Row],[Sp]]="","",BetTable[[#This Row],[R3]]/BetTable[[#This Row],[TS]]),"")</f>
        <v/>
      </c>
      <c r="AF73" s="147" t="str">
        <f>IFERROR(IF(BetTable[[#This Row],[Outcome1]]="","",BetTable[[#This Row],[AR]]/BetTable[[#This Row],[TS]]),"")</f>
        <v/>
      </c>
      <c r="AG7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3" s="57" t="e">
        <f>IF(BetTable[[#This Row],[Outcome1]]="",AJ72,BetTable[[#This Row],[AR]]+AJ72)</f>
        <v>#REF!</v>
      </c>
      <c r="AK73" s="39"/>
    </row>
    <row r="74" spans="1:37">
      <c r="A74" s="144"/>
      <c r="B74" s="39"/>
      <c r="C74" s="40"/>
      <c r="D74" s="40"/>
      <c r="E74" s="40"/>
      <c r="F74" s="152"/>
      <c r="G74" s="152"/>
      <c r="H74" s="152"/>
      <c r="I74" s="39"/>
      <c r="J74" s="54"/>
      <c r="K74" s="54"/>
      <c r="L74" s="54"/>
      <c r="M74" s="57"/>
      <c r="N74" s="57"/>
      <c r="O74" s="57"/>
      <c r="P74" s="55"/>
      <c r="Q74" s="55"/>
      <c r="R74" s="55"/>
      <c r="S74" s="146" t="str">
        <f>IF(BetTable[[#This Row],[Sp]]="","",BetTable[[#This Row],[S1]]+BetTable[[#This Row],[S2]]+BetTable[[#This Row],[S3]])</f>
        <v/>
      </c>
      <c r="T74" s="143" t="str">
        <f>IF(BetTable[[#This Row],[O1]]="","",(BetTable[[#This Row],[WBA1-Commission]])-BetTable[[#This Row],[TS]])</f>
        <v/>
      </c>
      <c r="U74" s="143" t="str">
        <f>IF(BetTable[[#This Row],[O2]]="","",(BetTable[[#This Row],[WBA2-Commission]])-BetTable[[#This Row],[TS]])</f>
        <v/>
      </c>
      <c r="V74" s="143" t="str">
        <f>IF(BetTable[[#This Row],[O3]]="","",(BetTable[[#This Row],[WBA3-Commission]])-BetTable[[#This Row],[TS]])</f>
        <v/>
      </c>
      <c r="W74" s="143">
        <f>IF(NOT(ISBLANK(BetTable[[#This Row],[B1]])),1,0)+IF(NOT(ISBLANK(BetTable[[#This Row],[B2]])),1,0)+IF(NOT(ISBLANK(BetTable[[#This Row],[B3]])),1,0)</f>
        <v>0</v>
      </c>
      <c r="X74" s="143" t="str">
        <f>IF(BetTable[[#This Row],[Outcome1]]="","",BetTable[[#This Row],[WBA1]]+BetTable[[#This Row],[WBA2]]+BetTable[[#This Row],[WBA3]]-BetTable[[#This Row],[TS]])</f>
        <v/>
      </c>
      <c r="Y74" s="143" t="str">
        <f>IF(BetTable[[#This Row],[AR]]="","",BetTable[[#This Row],[AR]]/BetTable[[#This Row],[NumBookies]])</f>
        <v/>
      </c>
      <c r="Z74" s="143">
        <f>(((BetTable[[#This Row],[O1]]-1)*BetTable[[#This Row],[S1]])*(1-(BetTable[[#This Row],[C% 1]]))+BetTable[[#This Row],[S1]])</f>
        <v>0</v>
      </c>
      <c r="AA74" s="143">
        <f>(((BetTable[[#This Row],[O2]]-1)*BetTable[[#This Row],[S2]])*(1-(BetTable[[#This Row],[C% 2]]))+BetTable[[#This Row],[S2]])</f>
        <v>0</v>
      </c>
      <c r="AB74" s="143">
        <f>(((BetTable[[#This Row],[O3]]-1)*BetTable[[#This Row],[S3]])*(1-(BetTable[[#This Row],[C% 3]]))+BetTable[[#This Row],[S3]])</f>
        <v>0</v>
      </c>
      <c r="AC74" s="147" t="str">
        <f>IFERROR(IF(BetTable[[#This Row],[Sp]]="","",BetTable[[#This Row],[R1]]/BetTable[[#This Row],[TS]]),"")</f>
        <v/>
      </c>
      <c r="AD74" s="147" t="str">
        <f>IF(BetTable[[#This Row],[O2]]="","",BetTable[[#This Row],[R2]]/BetTable[[#This Row],[TS]])</f>
        <v/>
      </c>
      <c r="AE74" s="147" t="str">
        <f>IFERROR(IF(BetTable[[#This Row],[Sp]]="","",BetTable[[#This Row],[R3]]/BetTable[[#This Row],[TS]]),"")</f>
        <v/>
      </c>
      <c r="AF74" s="147" t="str">
        <f>IFERROR(IF(BetTable[[#This Row],[Outcome1]]="","",BetTable[[#This Row],[AR]]/BetTable[[#This Row],[TS]]),"")</f>
        <v/>
      </c>
      <c r="AG7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4" s="57" t="e">
        <f>IF(BetTable[[#This Row],[Outcome1]]="",AJ73,BetTable[[#This Row],[AR]]+AJ73)</f>
        <v>#REF!</v>
      </c>
      <c r="AK74" s="39"/>
    </row>
    <row r="75" spans="1:37">
      <c r="A75" s="144"/>
      <c r="B75" s="39"/>
      <c r="C75" s="40"/>
      <c r="D75" s="40"/>
      <c r="E75" s="40"/>
      <c r="F75" s="152"/>
      <c r="G75" s="152"/>
      <c r="H75" s="152"/>
      <c r="I75" s="39"/>
      <c r="J75" s="54"/>
      <c r="K75" s="54"/>
      <c r="L75" s="54"/>
      <c r="M75" s="57"/>
      <c r="N75" s="57"/>
      <c r="O75" s="57"/>
      <c r="P75" s="55"/>
      <c r="Q75" s="55"/>
      <c r="R75" s="55"/>
      <c r="S75" s="146" t="str">
        <f>IF(BetTable[[#This Row],[Sp]]="","",BetTable[[#This Row],[S1]]+BetTable[[#This Row],[S2]]+BetTable[[#This Row],[S3]])</f>
        <v/>
      </c>
      <c r="T75" s="143" t="str">
        <f>IF(BetTable[[#This Row],[O1]]="","",(BetTable[[#This Row],[WBA1-Commission]])-BetTable[[#This Row],[TS]])</f>
        <v/>
      </c>
      <c r="U75" s="143" t="str">
        <f>IF(BetTable[[#This Row],[O2]]="","",(BetTable[[#This Row],[WBA2-Commission]])-BetTable[[#This Row],[TS]])</f>
        <v/>
      </c>
      <c r="V75" s="143" t="str">
        <f>IF(BetTable[[#This Row],[O3]]="","",(BetTable[[#This Row],[WBA3-Commission]])-BetTable[[#This Row],[TS]])</f>
        <v/>
      </c>
      <c r="W75" s="143">
        <f>IF(NOT(ISBLANK(BetTable[[#This Row],[B1]])),1,0)+IF(NOT(ISBLANK(BetTable[[#This Row],[B2]])),1,0)+IF(NOT(ISBLANK(BetTable[[#This Row],[B3]])),1,0)</f>
        <v>0</v>
      </c>
      <c r="X75" s="143" t="str">
        <f>IF(BetTable[[#This Row],[Outcome1]]="","",BetTable[[#This Row],[WBA1]]+BetTable[[#This Row],[WBA2]]+BetTable[[#This Row],[WBA3]]-BetTable[[#This Row],[TS]])</f>
        <v/>
      </c>
      <c r="Y75" s="143" t="str">
        <f>IF(BetTable[[#This Row],[AR]]="","",BetTable[[#This Row],[AR]]/BetTable[[#This Row],[NumBookies]])</f>
        <v/>
      </c>
      <c r="Z75" s="143">
        <f>(((BetTable[[#This Row],[O1]]-1)*BetTable[[#This Row],[S1]])*(1-(BetTable[[#This Row],[C% 1]]))+BetTable[[#This Row],[S1]])</f>
        <v>0</v>
      </c>
      <c r="AA75" s="143">
        <f>(((BetTable[[#This Row],[O2]]-1)*BetTable[[#This Row],[S2]])*(1-(BetTable[[#This Row],[C% 2]]))+BetTable[[#This Row],[S2]])</f>
        <v>0</v>
      </c>
      <c r="AB75" s="143">
        <f>(((BetTable[[#This Row],[O3]]-1)*BetTable[[#This Row],[S3]])*(1-(BetTable[[#This Row],[C% 3]]))+BetTable[[#This Row],[S3]])</f>
        <v>0</v>
      </c>
      <c r="AC75" s="147" t="str">
        <f>IFERROR(IF(BetTable[[#This Row],[Sp]]="","",BetTable[[#This Row],[R1]]/BetTable[[#This Row],[TS]]),"")</f>
        <v/>
      </c>
      <c r="AD75" s="147" t="str">
        <f>IF(BetTable[[#This Row],[O2]]="","",BetTable[[#This Row],[R2]]/BetTable[[#This Row],[TS]])</f>
        <v/>
      </c>
      <c r="AE75" s="147" t="str">
        <f>IFERROR(IF(BetTable[[#This Row],[Sp]]="","",BetTable[[#This Row],[R3]]/BetTable[[#This Row],[TS]]),"")</f>
        <v/>
      </c>
      <c r="AF75" s="147" t="str">
        <f>IFERROR(IF(BetTable[[#This Row],[Outcome1]]="","",BetTable[[#This Row],[AR]]/BetTable[[#This Row],[TS]]),"")</f>
        <v/>
      </c>
      <c r="AG7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5" s="57" t="e">
        <f>IF(BetTable[[#This Row],[Outcome1]]="",AJ74,BetTable[[#This Row],[AR]]+AJ74)</f>
        <v>#REF!</v>
      </c>
      <c r="AK75" s="39"/>
    </row>
    <row r="76" spans="1:37">
      <c r="A76" s="144"/>
      <c r="B76" s="39"/>
      <c r="C76" s="40"/>
      <c r="D76" s="40"/>
      <c r="E76" s="40"/>
      <c r="F76" s="152"/>
      <c r="G76" s="152"/>
      <c r="H76" s="152"/>
      <c r="I76" s="39"/>
      <c r="J76" s="54"/>
      <c r="K76" s="54"/>
      <c r="L76" s="54"/>
      <c r="M76" s="57"/>
      <c r="N76" s="57"/>
      <c r="O76" s="57"/>
      <c r="P76" s="55"/>
      <c r="Q76" s="55"/>
      <c r="R76" s="55"/>
      <c r="S76" s="146" t="str">
        <f>IF(BetTable[[#This Row],[Sp]]="","",BetTable[[#This Row],[S1]]+BetTable[[#This Row],[S2]]+BetTable[[#This Row],[S3]])</f>
        <v/>
      </c>
      <c r="T76" s="143" t="str">
        <f>IF(BetTable[[#This Row],[O1]]="","",(BetTable[[#This Row],[WBA1-Commission]])-BetTable[[#This Row],[TS]])</f>
        <v/>
      </c>
      <c r="U76" s="143" t="str">
        <f>IF(BetTable[[#This Row],[O2]]="","",(BetTable[[#This Row],[WBA2-Commission]])-BetTable[[#This Row],[TS]])</f>
        <v/>
      </c>
      <c r="V76" s="143" t="str">
        <f>IF(BetTable[[#This Row],[O3]]="","",(BetTable[[#This Row],[WBA3-Commission]])-BetTable[[#This Row],[TS]])</f>
        <v/>
      </c>
      <c r="W76" s="143">
        <f>IF(NOT(ISBLANK(BetTable[[#This Row],[B1]])),1,0)+IF(NOT(ISBLANK(BetTable[[#This Row],[B2]])),1,0)+IF(NOT(ISBLANK(BetTable[[#This Row],[B3]])),1,0)</f>
        <v>0</v>
      </c>
      <c r="X76" s="143" t="str">
        <f>IF(BetTable[[#This Row],[Outcome1]]="","",BetTable[[#This Row],[WBA1]]+BetTable[[#This Row],[WBA2]]+BetTable[[#This Row],[WBA3]]-BetTable[[#This Row],[TS]])</f>
        <v/>
      </c>
      <c r="Y76" s="143" t="str">
        <f>IF(BetTable[[#This Row],[AR]]="","",BetTable[[#This Row],[AR]]/BetTable[[#This Row],[NumBookies]])</f>
        <v/>
      </c>
      <c r="Z76" s="143">
        <f>(((BetTable[[#This Row],[O1]]-1)*BetTable[[#This Row],[S1]])*(1-(BetTable[[#This Row],[C% 1]]))+BetTable[[#This Row],[S1]])</f>
        <v>0</v>
      </c>
      <c r="AA76" s="143">
        <f>(((BetTable[[#This Row],[O2]]-1)*BetTable[[#This Row],[S2]])*(1-(BetTable[[#This Row],[C% 2]]))+BetTable[[#This Row],[S2]])</f>
        <v>0</v>
      </c>
      <c r="AB76" s="143">
        <f>(((BetTable[[#This Row],[O3]]-1)*BetTable[[#This Row],[S3]])*(1-(BetTable[[#This Row],[C% 3]]))+BetTable[[#This Row],[S3]])</f>
        <v>0</v>
      </c>
      <c r="AC76" s="147" t="str">
        <f>IFERROR(IF(BetTable[[#This Row],[Sp]]="","",BetTable[[#This Row],[R1]]/BetTable[[#This Row],[TS]]),"")</f>
        <v/>
      </c>
      <c r="AD76" s="147" t="str">
        <f>IF(BetTable[[#This Row],[O2]]="","",BetTable[[#This Row],[R2]]/BetTable[[#This Row],[TS]])</f>
        <v/>
      </c>
      <c r="AE76" s="147" t="str">
        <f>IFERROR(IF(BetTable[[#This Row],[Sp]]="","",BetTable[[#This Row],[R3]]/BetTable[[#This Row],[TS]]),"")</f>
        <v/>
      </c>
      <c r="AF76" s="147" t="str">
        <f>IFERROR(IF(BetTable[[#This Row],[Outcome1]]="","",BetTable[[#This Row],[AR]]/BetTable[[#This Row],[TS]]),"")</f>
        <v/>
      </c>
      <c r="AG7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6" s="57" t="e">
        <f>IF(BetTable[[#This Row],[Outcome1]]="",AJ75,BetTable[[#This Row],[AR]]+AJ75)</f>
        <v>#REF!</v>
      </c>
      <c r="AK76" s="39"/>
    </row>
    <row r="77" spans="1:37">
      <c r="A77" s="144"/>
      <c r="B77" s="39"/>
      <c r="C77" s="40"/>
      <c r="D77" s="40"/>
      <c r="E77" s="40"/>
      <c r="F77" s="152"/>
      <c r="G77" s="152"/>
      <c r="H77" s="152"/>
      <c r="I77" s="39"/>
      <c r="J77" s="54"/>
      <c r="K77" s="54"/>
      <c r="L77" s="54"/>
      <c r="M77" s="57"/>
      <c r="N77" s="57"/>
      <c r="O77" s="57"/>
      <c r="P77" s="55"/>
      <c r="Q77" s="55"/>
      <c r="R77" s="55"/>
      <c r="S77" s="146" t="str">
        <f>IF(BetTable[[#This Row],[Sp]]="","",BetTable[[#This Row],[S1]]+BetTable[[#This Row],[S2]]+BetTable[[#This Row],[S3]])</f>
        <v/>
      </c>
      <c r="T77" s="143" t="str">
        <f>IF(BetTable[[#This Row],[O1]]="","",(BetTable[[#This Row],[WBA1-Commission]])-BetTable[[#This Row],[TS]])</f>
        <v/>
      </c>
      <c r="U77" s="143" t="str">
        <f>IF(BetTable[[#This Row],[O2]]="","",(BetTable[[#This Row],[WBA2-Commission]])-BetTable[[#This Row],[TS]])</f>
        <v/>
      </c>
      <c r="V77" s="143" t="str">
        <f>IF(BetTable[[#This Row],[O3]]="","",(BetTable[[#This Row],[WBA3-Commission]])-BetTable[[#This Row],[TS]])</f>
        <v/>
      </c>
      <c r="W77" s="143">
        <f>IF(NOT(ISBLANK(BetTable[[#This Row],[B1]])),1,0)+IF(NOT(ISBLANK(BetTable[[#This Row],[B2]])),1,0)+IF(NOT(ISBLANK(BetTable[[#This Row],[B3]])),1,0)</f>
        <v>0</v>
      </c>
      <c r="X77" s="143" t="str">
        <f>IF(BetTable[[#This Row],[Outcome1]]="","",BetTable[[#This Row],[WBA1]]+BetTable[[#This Row],[WBA2]]+BetTable[[#This Row],[WBA3]]-BetTable[[#This Row],[TS]])</f>
        <v/>
      </c>
      <c r="Y77" s="143" t="str">
        <f>IF(BetTable[[#This Row],[AR]]="","",BetTable[[#This Row],[AR]]/BetTable[[#This Row],[NumBookies]])</f>
        <v/>
      </c>
      <c r="Z77" s="143">
        <f>(((BetTable[[#This Row],[O1]]-1)*BetTable[[#This Row],[S1]])*(1-(BetTable[[#This Row],[C% 1]]))+BetTable[[#This Row],[S1]])</f>
        <v>0</v>
      </c>
      <c r="AA77" s="143">
        <f>(((BetTable[[#This Row],[O2]]-1)*BetTable[[#This Row],[S2]])*(1-(BetTable[[#This Row],[C% 2]]))+BetTable[[#This Row],[S2]])</f>
        <v>0</v>
      </c>
      <c r="AB77" s="143">
        <f>(((BetTable[[#This Row],[O3]]-1)*BetTable[[#This Row],[S3]])*(1-(BetTable[[#This Row],[C% 3]]))+BetTable[[#This Row],[S3]])</f>
        <v>0</v>
      </c>
      <c r="AC77" s="147" t="str">
        <f>IFERROR(IF(BetTable[[#This Row],[Sp]]="","",BetTable[[#This Row],[R1]]/BetTable[[#This Row],[TS]]),"")</f>
        <v/>
      </c>
      <c r="AD77" s="147" t="str">
        <f>IF(BetTable[[#This Row],[O2]]="","",BetTable[[#This Row],[R2]]/BetTable[[#This Row],[TS]])</f>
        <v/>
      </c>
      <c r="AE77" s="147" t="str">
        <f>IFERROR(IF(BetTable[[#This Row],[Sp]]="","",BetTable[[#This Row],[R3]]/BetTable[[#This Row],[TS]]),"")</f>
        <v/>
      </c>
      <c r="AF77" s="147" t="str">
        <f>IFERROR(IF(BetTable[[#This Row],[Outcome1]]="","",BetTable[[#This Row],[AR]]/BetTable[[#This Row],[TS]]),"")</f>
        <v/>
      </c>
      <c r="AG7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7" s="57" t="e">
        <f>IF(BetTable[[#This Row],[Outcome1]]="",AJ76,BetTable[[#This Row],[AR]]+AJ76)</f>
        <v>#REF!</v>
      </c>
      <c r="AK77" s="39"/>
    </row>
    <row r="78" spans="1:37">
      <c r="A78" s="144"/>
      <c r="B78" s="39"/>
      <c r="C78" s="40"/>
      <c r="D78" s="40"/>
      <c r="E78" s="40"/>
      <c r="F78" s="152"/>
      <c r="G78" s="152"/>
      <c r="H78" s="152"/>
      <c r="I78" s="39"/>
      <c r="J78" s="54"/>
      <c r="K78" s="54"/>
      <c r="L78" s="54"/>
      <c r="M78" s="57"/>
      <c r="N78" s="57"/>
      <c r="O78" s="57"/>
      <c r="P78" s="55"/>
      <c r="Q78" s="55"/>
      <c r="R78" s="55"/>
      <c r="S78" s="146" t="str">
        <f>IF(BetTable[[#This Row],[Sp]]="","",BetTable[[#This Row],[S1]]+BetTable[[#This Row],[S2]]+BetTable[[#This Row],[S3]])</f>
        <v/>
      </c>
      <c r="T78" s="143" t="str">
        <f>IF(BetTable[[#This Row],[O1]]="","",(BetTable[[#This Row],[WBA1-Commission]])-BetTable[[#This Row],[TS]])</f>
        <v/>
      </c>
      <c r="U78" s="143" t="str">
        <f>IF(BetTable[[#This Row],[O2]]="","",(BetTable[[#This Row],[WBA2-Commission]])-BetTable[[#This Row],[TS]])</f>
        <v/>
      </c>
      <c r="V78" s="143" t="str">
        <f>IF(BetTable[[#This Row],[O3]]="","",(BetTable[[#This Row],[WBA3-Commission]])-BetTable[[#This Row],[TS]])</f>
        <v/>
      </c>
      <c r="W78" s="143">
        <f>IF(NOT(ISBLANK(BetTable[[#This Row],[B1]])),1,0)+IF(NOT(ISBLANK(BetTable[[#This Row],[B2]])),1,0)+IF(NOT(ISBLANK(BetTable[[#This Row],[B3]])),1,0)</f>
        <v>0</v>
      </c>
      <c r="X78" s="143" t="str">
        <f>IF(BetTable[[#This Row],[Outcome1]]="","",BetTable[[#This Row],[WBA1]]+BetTable[[#This Row],[WBA2]]+BetTable[[#This Row],[WBA3]]-BetTable[[#This Row],[TS]])</f>
        <v/>
      </c>
      <c r="Y78" s="143" t="str">
        <f>IF(BetTable[[#This Row],[AR]]="","",BetTable[[#This Row],[AR]]/BetTable[[#This Row],[NumBookies]])</f>
        <v/>
      </c>
      <c r="Z78" s="143">
        <f>(((BetTable[[#This Row],[O1]]-1)*BetTable[[#This Row],[S1]])*(1-(BetTable[[#This Row],[C% 1]]))+BetTable[[#This Row],[S1]])</f>
        <v>0</v>
      </c>
      <c r="AA78" s="143">
        <f>(((BetTable[[#This Row],[O2]]-1)*BetTable[[#This Row],[S2]])*(1-(BetTable[[#This Row],[C% 2]]))+BetTable[[#This Row],[S2]])</f>
        <v>0</v>
      </c>
      <c r="AB78" s="143">
        <f>(((BetTable[[#This Row],[O3]]-1)*BetTable[[#This Row],[S3]])*(1-(BetTable[[#This Row],[C% 3]]))+BetTable[[#This Row],[S3]])</f>
        <v>0</v>
      </c>
      <c r="AC78" s="147" t="str">
        <f>IFERROR(IF(BetTable[[#This Row],[Sp]]="","",BetTable[[#This Row],[R1]]/BetTable[[#This Row],[TS]]),"")</f>
        <v/>
      </c>
      <c r="AD78" s="147" t="str">
        <f>IF(BetTable[[#This Row],[O2]]="","",BetTable[[#This Row],[R2]]/BetTable[[#This Row],[TS]])</f>
        <v/>
      </c>
      <c r="AE78" s="147" t="str">
        <f>IFERROR(IF(BetTable[[#This Row],[Sp]]="","",BetTable[[#This Row],[R3]]/BetTable[[#This Row],[TS]]),"")</f>
        <v/>
      </c>
      <c r="AF78" s="147" t="str">
        <f>IFERROR(IF(BetTable[[#This Row],[Outcome1]]="","",BetTable[[#This Row],[AR]]/BetTable[[#This Row],[TS]]),"")</f>
        <v/>
      </c>
      <c r="AG7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8" s="57" t="e">
        <f>IF(BetTable[[#This Row],[Outcome1]]="",AJ77,BetTable[[#This Row],[AR]]+AJ77)</f>
        <v>#REF!</v>
      </c>
      <c r="AK78" s="39"/>
    </row>
    <row r="79" spans="1:37">
      <c r="A79" s="144"/>
      <c r="B79" s="39"/>
      <c r="C79" s="40"/>
      <c r="D79" s="40"/>
      <c r="E79" s="40"/>
      <c r="F79" s="152"/>
      <c r="G79" s="152"/>
      <c r="H79" s="152"/>
      <c r="I79" s="39"/>
      <c r="J79" s="54"/>
      <c r="K79" s="54"/>
      <c r="L79" s="54"/>
      <c r="M79" s="57"/>
      <c r="N79" s="57"/>
      <c r="O79" s="57"/>
      <c r="P79" s="55"/>
      <c r="Q79" s="55"/>
      <c r="R79" s="55"/>
      <c r="S79" s="146" t="str">
        <f>IF(BetTable[[#This Row],[Sp]]="","",BetTable[[#This Row],[S1]]+BetTable[[#This Row],[S2]]+BetTable[[#This Row],[S3]])</f>
        <v/>
      </c>
      <c r="T79" s="143" t="str">
        <f>IF(BetTable[[#This Row],[O1]]="","",(BetTable[[#This Row],[WBA1-Commission]])-BetTable[[#This Row],[TS]])</f>
        <v/>
      </c>
      <c r="U79" s="143" t="str">
        <f>IF(BetTable[[#This Row],[O2]]="","",(BetTable[[#This Row],[WBA2-Commission]])-BetTable[[#This Row],[TS]])</f>
        <v/>
      </c>
      <c r="V79" s="143" t="str">
        <f>IF(BetTable[[#This Row],[O3]]="","",(BetTable[[#This Row],[WBA3-Commission]])-BetTable[[#This Row],[TS]])</f>
        <v/>
      </c>
      <c r="W79" s="143">
        <f>IF(NOT(ISBLANK(BetTable[[#This Row],[B1]])),1,0)+IF(NOT(ISBLANK(BetTable[[#This Row],[B2]])),1,0)+IF(NOT(ISBLANK(BetTable[[#This Row],[B3]])),1,0)</f>
        <v>0</v>
      </c>
      <c r="X79" s="143" t="str">
        <f>IF(BetTable[[#This Row],[Outcome1]]="","",BetTable[[#This Row],[WBA1]]+BetTable[[#This Row],[WBA2]]+BetTable[[#This Row],[WBA3]]-BetTable[[#This Row],[TS]])</f>
        <v/>
      </c>
      <c r="Y79" s="143" t="str">
        <f>IF(BetTable[[#This Row],[AR]]="","",BetTable[[#This Row],[AR]]/BetTable[[#This Row],[NumBookies]])</f>
        <v/>
      </c>
      <c r="Z79" s="143">
        <f>(((BetTable[[#This Row],[O1]]-1)*BetTable[[#This Row],[S1]])*(1-(BetTable[[#This Row],[C% 1]]))+BetTable[[#This Row],[S1]])</f>
        <v>0</v>
      </c>
      <c r="AA79" s="143">
        <f>(((BetTable[[#This Row],[O2]]-1)*BetTable[[#This Row],[S2]])*(1-(BetTable[[#This Row],[C% 2]]))+BetTable[[#This Row],[S2]])</f>
        <v>0</v>
      </c>
      <c r="AB79" s="143">
        <f>(((BetTable[[#This Row],[O3]]-1)*BetTable[[#This Row],[S3]])*(1-(BetTable[[#This Row],[C% 3]]))+BetTable[[#This Row],[S3]])</f>
        <v>0</v>
      </c>
      <c r="AC79" s="147" t="str">
        <f>IFERROR(IF(BetTable[[#This Row],[Sp]]="","",BetTable[[#This Row],[R1]]/BetTable[[#This Row],[TS]]),"")</f>
        <v/>
      </c>
      <c r="AD79" s="147" t="str">
        <f>IF(BetTable[[#This Row],[O2]]="","",BetTable[[#This Row],[R2]]/BetTable[[#This Row],[TS]])</f>
        <v/>
      </c>
      <c r="AE79" s="147" t="str">
        <f>IFERROR(IF(BetTable[[#This Row],[Sp]]="","",BetTable[[#This Row],[R3]]/BetTable[[#This Row],[TS]]),"")</f>
        <v/>
      </c>
      <c r="AF79" s="147" t="str">
        <f>IFERROR(IF(BetTable[[#This Row],[Outcome1]]="","",BetTable[[#This Row],[AR]]/BetTable[[#This Row],[TS]]),"")</f>
        <v/>
      </c>
      <c r="AG7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7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7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79" s="57" t="e">
        <f>IF(BetTable[[#This Row],[Outcome1]]="",AJ78,BetTable[[#This Row],[AR]]+AJ78)</f>
        <v>#REF!</v>
      </c>
      <c r="AK79" s="39"/>
    </row>
    <row r="80" spans="1:37">
      <c r="A80" s="144"/>
      <c r="B80" s="39"/>
      <c r="C80" s="40"/>
      <c r="D80" s="40"/>
      <c r="E80" s="40"/>
      <c r="F80" s="152"/>
      <c r="G80" s="152"/>
      <c r="H80" s="152"/>
      <c r="I80" s="39"/>
      <c r="J80" s="54"/>
      <c r="K80" s="54"/>
      <c r="L80" s="54"/>
      <c r="M80" s="57"/>
      <c r="N80" s="57"/>
      <c r="O80" s="57"/>
      <c r="P80" s="55"/>
      <c r="Q80" s="55"/>
      <c r="R80" s="55"/>
      <c r="S80" s="146" t="str">
        <f>IF(BetTable[[#This Row],[Sp]]="","",BetTable[[#This Row],[S1]]+BetTable[[#This Row],[S2]]+BetTable[[#This Row],[S3]])</f>
        <v/>
      </c>
      <c r="T80" s="143" t="str">
        <f>IF(BetTable[[#This Row],[O1]]="","",(BetTable[[#This Row],[WBA1-Commission]])-BetTable[[#This Row],[TS]])</f>
        <v/>
      </c>
      <c r="U80" s="143" t="str">
        <f>IF(BetTable[[#This Row],[O2]]="","",(BetTable[[#This Row],[WBA2-Commission]])-BetTable[[#This Row],[TS]])</f>
        <v/>
      </c>
      <c r="V80" s="143" t="str">
        <f>IF(BetTable[[#This Row],[O3]]="","",(BetTable[[#This Row],[WBA3-Commission]])-BetTable[[#This Row],[TS]])</f>
        <v/>
      </c>
      <c r="W80" s="143">
        <f>IF(NOT(ISBLANK(BetTable[[#This Row],[B1]])),1,0)+IF(NOT(ISBLANK(BetTable[[#This Row],[B2]])),1,0)+IF(NOT(ISBLANK(BetTable[[#This Row],[B3]])),1,0)</f>
        <v>0</v>
      </c>
      <c r="X80" s="143" t="str">
        <f>IF(BetTable[[#This Row],[Outcome1]]="","",BetTable[[#This Row],[WBA1]]+BetTable[[#This Row],[WBA2]]+BetTable[[#This Row],[WBA3]]-BetTable[[#This Row],[TS]])</f>
        <v/>
      </c>
      <c r="Y80" s="143" t="str">
        <f>IF(BetTable[[#This Row],[AR]]="","",BetTable[[#This Row],[AR]]/BetTable[[#This Row],[NumBookies]])</f>
        <v/>
      </c>
      <c r="Z80" s="143">
        <f>(((BetTable[[#This Row],[O1]]-1)*BetTable[[#This Row],[S1]])*(1-(BetTable[[#This Row],[C% 1]]))+BetTable[[#This Row],[S1]])</f>
        <v>0</v>
      </c>
      <c r="AA80" s="143">
        <f>(((BetTable[[#This Row],[O2]]-1)*BetTable[[#This Row],[S2]])*(1-(BetTable[[#This Row],[C% 2]]))+BetTable[[#This Row],[S2]])</f>
        <v>0</v>
      </c>
      <c r="AB80" s="143">
        <f>(((BetTable[[#This Row],[O3]]-1)*BetTable[[#This Row],[S3]])*(1-(BetTable[[#This Row],[C% 3]]))+BetTable[[#This Row],[S3]])</f>
        <v>0</v>
      </c>
      <c r="AC80" s="147" t="str">
        <f>IFERROR(IF(BetTable[[#This Row],[Sp]]="","",BetTable[[#This Row],[R1]]/BetTable[[#This Row],[TS]]),"")</f>
        <v/>
      </c>
      <c r="AD80" s="147" t="str">
        <f>IF(BetTable[[#This Row],[O2]]="","",BetTable[[#This Row],[R2]]/BetTable[[#This Row],[TS]])</f>
        <v/>
      </c>
      <c r="AE80" s="147" t="str">
        <f>IFERROR(IF(BetTable[[#This Row],[Sp]]="","",BetTable[[#This Row],[R3]]/BetTable[[#This Row],[TS]]),"")</f>
        <v/>
      </c>
      <c r="AF80" s="147" t="str">
        <f>IFERROR(IF(BetTable[[#This Row],[Outcome1]]="","",BetTable[[#This Row],[AR]]/BetTable[[#This Row],[TS]]),"")</f>
        <v/>
      </c>
      <c r="AG8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0" s="57" t="e">
        <f>IF(BetTable[[#This Row],[Outcome1]]="",AJ79,BetTable[[#This Row],[AR]]+AJ79)</f>
        <v>#REF!</v>
      </c>
      <c r="AK80" s="39"/>
    </row>
    <row r="81" spans="1:37">
      <c r="A81" s="144"/>
      <c r="B81" s="39"/>
      <c r="C81" s="40"/>
      <c r="D81" s="40"/>
      <c r="E81" s="40"/>
      <c r="F81" s="152"/>
      <c r="G81" s="152"/>
      <c r="H81" s="152"/>
      <c r="I81" s="39"/>
      <c r="J81" s="54"/>
      <c r="K81" s="54"/>
      <c r="L81" s="54"/>
      <c r="M81" s="57"/>
      <c r="N81" s="57"/>
      <c r="O81" s="57"/>
      <c r="P81" s="55"/>
      <c r="Q81" s="55"/>
      <c r="R81" s="55"/>
      <c r="S81" s="146" t="str">
        <f>IF(BetTable[[#This Row],[Sp]]="","",BetTable[[#This Row],[S1]]+BetTable[[#This Row],[S2]]+BetTable[[#This Row],[S3]])</f>
        <v/>
      </c>
      <c r="T81" s="143" t="str">
        <f>IF(BetTable[[#This Row],[O1]]="","",(BetTable[[#This Row],[WBA1-Commission]])-BetTable[[#This Row],[TS]])</f>
        <v/>
      </c>
      <c r="U81" s="143" t="str">
        <f>IF(BetTable[[#This Row],[O2]]="","",(BetTable[[#This Row],[WBA2-Commission]])-BetTable[[#This Row],[TS]])</f>
        <v/>
      </c>
      <c r="V81" s="143" t="str">
        <f>IF(BetTable[[#This Row],[O3]]="","",(BetTable[[#This Row],[WBA3-Commission]])-BetTable[[#This Row],[TS]])</f>
        <v/>
      </c>
      <c r="W81" s="143">
        <f>IF(NOT(ISBLANK(BetTable[[#This Row],[B1]])),1,0)+IF(NOT(ISBLANK(BetTable[[#This Row],[B2]])),1,0)+IF(NOT(ISBLANK(BetTable[[#This Row],[B3]])),1,0)</f>
        <v>0</v>
      </c>
      <c r="X81" s="143" t="str">
        <f>IF(BetTable[[#This Row],[Outcome1]]="","",BetTable[[#This Row],[WBA1]]+BetTable[[#This Row],[WBA2]]+BetTable[[#This Row],[WBA3]]-BetTable[[#This Row],[TS]])</f>
        <v/>
      </c>
      <c r="Y81" s="143" t="str">
        <f>IF(BetTable[[#This Row],[AR]]="","",BetTable[[#This Row],[AR]]/BetTable[[#This Row],[NumBookies]])</f>
        <v/>
      </c>
      <c r="Z81" s="143">
        <f>(((BetTable[[#This Row],[O1]]-1)*BetTable[[#This Row],[S1]])*(1-(BetTable[[#This Row],[C% 1]]))+BetTable[[#This Row],[S1]])</f>
        <v>0</v>
      </c>
      <c r="AA81" s="143">
        <f>(((BetTable[[#This Row],[O2]]-1)*BetTable[[#This Row],[S2]])*(1-(BetTable[[#This Row],[C% 2]]))+BetTable[[#This Row],[S2]])</f>
        <v>0</v>
      </c>
      <c r="AB81" s="143">
        <f>(((BetTable[[#This Row],[O3]]-1)*BetTable[[#This Row],[S3]])*(1-(BetTable[[#This Row],[C% 3]]))+BetTable[[#This Row],[S3]])</f>
        <v>0</v>
      </c>
      <c r="AC81" s="147" t="str">
        <f>IFERROR(IF(BetTable[[#This Row],[Sp]]="","",BetTable[[#This Row],[R1]]/BetTable[[#This Row],[TS]]),"")</f>
        <v/>
      </c>
      <c r="AD81" s="147" t="str">
        <f>IF(BetTable[[#This Row],[O2]]="","",BetTable[[#This Row],[R2]]/BetTable[[#This Row],[TS]])</f>
        <v/>
      </c>
      <c r="AE81" s="147" t="str">
        <f>IFERROR(IF(BetTable[[#This Row],[Sp]]="","",BetTable[[#This Row],[R3]]/BetTable[[#This Row],[TS]]),"")</f>
        <v/>
      </c>
      <c r="AF81" s="147" t="str">
        <f>IFERROR(IF(BetTable[[#This Row],[Outcome1]]="","",BetTable[[#This Row],[AR]]/BetTable[[#This Row],[TS]]),"")</f>
        <v/>
      </c>
      <c r="AG8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1" s="57" t="e">
        <f>IF(BetTable[[#This Row],[Outcome1]]="",AJ80,BetTable[[#This Row],[AR]]+AJ80)</f>
        <v>#REF!</v>
      </c>
      <c r="AK81" s="39"/>
    </row>
    <row r="82" spans="1:37">
      <c r="A82" s="144"/>
      <c r="B82" s="39"/>
      <c r="C82" s="40"/>
      <c r="D82" s="40"/>
      <c r="E82" s="40"/>
      <c r="F82" s="152"/>
      <c r="G82" s="152"/>
      <c r="H82" s="152"/>
      <c r="I82" s="39"/>
      <c r="J82" s="54"/>
      <c r="K82" s="54"/>
      <c r="L82" s="54"/>
      <c r="M82" s="57"/>
      <c r="N82" s="57"/>
      <c r="O82" s="57"/>
      <c r="P82" s="55"/>
      <c r="Q82" s="55"/>
      <c r="R82" s="55"/>
      <c r="S82" s="146" t="str">
        <f>IF(BetTable[[#This Row],[Sp]]="","",BetTable[[#This Row],[S1]]+BetTable[[#This Row],[S2]]+BetTable[[#This Row],[S3]])</f>
        <v/>
      </c>
      <c r="T82" s="143" t="str">
        <f>IF(BetTable[[#This Row],[O1]]="","",(BetTable[[#This Row],[WBA1-Commission]])-BetTable[[#This Row],[TS]])</f>
        <v/>
      </c>
      <c r="U82" s="143" t="str">
        <f>IF(BetTable[[#This Row],[O2]]="","",(BetTable[[#This Row],[WBA2-Commission]])-BetTable[[#This Row],[TS]])</f>
        <v/>
      </c>
      <c r="V82" s="143" t="str">
        <f>IF(BetTable[[#This Row],[O3]]="","",(BetTable[[#This Row],[WBA3-Commission]])-BetTable[[#This Row],[TS]])</f>
        <v/>
      </c>
      <c r="W82" s="143">
        <f>IF(NOT(ISBLANK(BetTable[[#This Row],[B1]])),1,0)+IF(NOT(ISBLANK(BetTable[[#This Row],[B2]])),1,0)+IF(NOT(ISBLANK(BetTable[[#This Row],[B3]])),1,0)</f>
        <v>0</v>
      </c>
      <c r="X82" s="143" t="str">
        <f>IF(BetTable[[#This Row],[Outcome1]]="","",BetTable[[#This Row],[WBA1]]+BetTable[[#This Row],[WBA2]]+BetTable[[#This Row],[WBA3]]-BetTable[[#This Row],[TS]])</f>
        <v/>
      </c>
      <c r="Y82" s="143" t="str">
        <f>IF(BetTable[[#This Row],[AR]]="","",BetTable[[#This Row],[AR]]/BetTable[[#This Row],[NumBookies]])</f>
        <v/>
      </c>
      <c r="Z82" s="143">
        <f>(((BetTable[[#This Row],[O1]]-1)*BetTable[[#This Row],[S1]])*(1-(BetTable[[#This Row],[C% 1]]))+BetTable[[#This Row],[S1]])</f>
        <v>0</v>
      </c>
      <c r="AA82" s="143">
        <f>(((BetTable[[#This Row],[O2]]-1)*BetTable[[#This Row],[S2]])*(1-(BetTable[[#This Row],[C% 2]]))+BetTable[[#This Row],[S2]])</f>
        <v>0</v>
      </c>
      <c r="AB82" s="143">
        <f>(((BetTable[[#This Row],[O3]]-1)*BetTable[[#This Row],[S3]])*(1-(BetTable[[#This Row],[C% 3]]))+BetTable[[#This Row],[S3]])</f>
        <v>0</v>
      </c>
      <c r="AC82" s="147" t="str">
        <f>IFERROR(IF(BetTable[[#This Row],[Sp]]="","",BetTable[[#This Row],[R1]]/BetTable[[#This Row],[TS]]),"")</f>
        <v/>
      </c>
      <c r="AD82" s="147" t="str">
        <f>IF(BetTable[[#This Row],[O2]]="","",BetTable[[#This Row],[R2]]/BetTable[[#This Row],[TS]])</f>
        <v/>
      </c>
      <c r="AE82" s="147" t="str">
        <f>IFERROR(IF(BetTable[[#This Row],[Sp]]="","",BetTable[[#This Row],[R3]]/BetTable[[#This Row],[TS]]),"")</f>
        <v/>
      </c>
      <c r="AF82" s="147" t="str">
        <f>IFERROR(IF(BetTable[[#This Row],[Outcome1]]="","",BetTable[[#This Row],[AR]]/BetTable[[#This Row],[TS]]),"")</f>
        <v/>
      </c>
      <c r="AG8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2" s="57" t="e">
        <f>IF(BetTable[[#This Row],[Outcome1]]="",AJ81,BetTable[[#This Row],[AR]]+AJ81)</f>
        <v>#REF!</v>
      </c>
      <c r="AK82" s="39"/>
    </row>
    <row r="83" spans="1:37">
      <c r="A83" s="144"/>
      <c r="B83" s="39"/>
      <c r="C83" s="40"/>
      <c r="D83" s="40"/>
      <c r="E83" s="40"/>
      <c r="F83" s="152"/>
      <c r="G83" s="152"/>
      <c r="H83" s="152"/>
      <c r="I83" s="39"/>
      <c r="J83" s="54"/>
      <c r="K83" s="54"/>
      <c r="L83" s="54"/>
      <c r="M83" s="57"/>
      <c r="N83" s="57"/>
      <c r="O83" s="57"/>
      <c r="P83" s="55"/>
      <c r="Q83" s="55"/>
      <c r="R83" s="55"/>
      <c r="S83" s="146" t="str">
        <f>IF(BetTable[[#This Row],[Sp]]="","",BetTable[[#This Row],[S1]]+BetTable[[#This Row],[S2]]+BetTable[[#This Row],[S3]])</f>
        <v/>
      </c>
      <c r="T83" s="143" t="str">
        <f>IF(BetTable[[#This Row],[O1]]="","",(BetTable[[#This Row],[WBA1-Commission]])-BetTable[[#This Row],[TS]])</f>
        <v/>
      </c>
      <c r="U83" s="143" t="str">
        <f>IF(BetTable[[#This Row],[O2]]="","",(BetTable[[#This Row],[WBA2-Commission]])-BetTable[[#This Row],[TS]])</f>
        <v/>
      </c>
      <c r="V83" s="143" t="str">
        <f>IF(BetTable[[#This Row],[O3]]="","",(BetTable[[#This Row],[WBA3-Commission]])-BetTable[[#This Row],[TS]])</f>
        <v/>
      </c>
      <c r="W83" s="143">
        <f>IF(NOT(ISBLANK(BetTable[[#This Row],[B1]])),1,0)+IF(NOT(ISBLANK(BetTable[[#This Row],[B2]])),1,0)+IF(NOT(ISBLANK(BetTable[[#This Row],[B3]])),1,0)</f>
        <v>0</v>
      </c>
      <c r="X83" s="143" t="str">
        <f>IF(BetTable[[#This Row],[Outcome1]]="","",BetTable[[#This Row],[WBA1]]+BetTable[[#This Row],[WBA2]]+BetTable[[#This Row],[WBA3]]-BetTable[[#This Row],[TS]])</f>
        <v/>
      </c>
      <c r="Y83" s="143" t="str">
        <f>IF(BetTable[[#This Row],[AR]]="","",BetTable[[#This Row],[AR]]/BetTable[[#This Row],[NumBookies]])</f>
        <v/>
      </c>
      <c r="Z83" s="143">
        <f>(((BetTable[[#This Row],[O1]]-1)*BetTable[[#This Row],[S1]])*(1-(BetTable[[#This Row],[C% 1]]))+BetTable[[#This Row],[S1]])</f>
        <v>0</v>
      </c>
      <c r="AA83" s="143">
        <f>(((BetTable[[#This Row],[O2]]-1)*BetTable[[#This Row],[S2]])*(1-(BetTable[[#This Row],[C% 2]]))+BetTable[[#This Row],[S2]])</f>
        <v>0</v>
      </c>
      <c r="AB83" s="143">
        <f>(((BetTable[[#This Row],[O3]]-1)*BetTable[[#This Row],[S3]])*(1-(BetTable[[#This Row],[C% 3]]))+BetTable[[#This Row],[S3]])</f>
        <v>0</v>
      </c>
      <c r="AC83" s="147" t="str">
        <f>IFERROR(IF(BetTable[[#This Row],[Sp]]="","",BetTable[[#This Row],[R1]]/BetTable[[#This Row],[TS]]),"")</f>
        <v/>
      </c>
      <c r="AD83" s="147" t="str">
        <f>IF(BetTable[[#This Row],[O2]]="","",BetTable[[#This Row],[R2]]/BetTable[[#This Row],[TS]])</f>
        <v/>
      </c>
      <c r="AE83" s="147" t="str">
        <f>IFERROR(IF(BetTable[[#This Row],[Sp]]="","",BetTable[[#This Row],[R3]]/BetTable[[#This Row],[TS]]),"")</f>
        <v/>
      </c>
      <c r="AF83" s="147" t="str">
        <f>IFERROR(IF(BetTable[[#This Row],[Outcome1]]="","",BetTable[[#This Row],[AR]]/BetTable[[#This Row],[TS]]),"")</f>
        <v/>
      </c>
      <c r="AG8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3" s="57" t="e">
        <f>IF(BetTable[[#This Row],[Outcome1]]="",AJ82,BetTable[[#This Row],[AR]]+AJ82)</f>
        <v>#REF!</v>
      </c>
      <c r="AK83" s="39"/>
    </row>
    <row r="84" spans="1:37">
      <c r="A84" s="144"/>
      <c r="B84" s="39"/>
      <c r="C84" s="40"/>
      <c r="D84" s="40"/>
      <c r="E84" s="40"/>
      <c r="F84" s="152"/>
      <c r="G84" s="152"/>
      <c r="H84" s="152"/>
      <c r="I84" s="39"/>
      <c r="J84" s="54"/>
      <c r="K84" s="54"/>
      <c r="L84" s="54"/>
      <c r="M84" s="57"/>
      <c r="N84" s="57"/>
      <c r="O84" s="57"/>
      <c r="P84" s="55"/>
      <c r="Q84" s="55"/>
      <c r="R84" s="55"/>
      <c r="S84" s="146" t="str">
        <f>IF(BetTable[[#This Row],[Sp]]="","",BetTable[[#This Row],[S1]]+BetTable[[#This Row],[S2]]+BetTable[[#This Row],[S3]])</f>
        <v/>
      </c>
      <c r="T84" s="143" t="str">
        <f>IF(BetTable[[#This Row],[O1]]="","",(BetTable[[#This Row],[WBA1-Commission]])-BetTable[[#This Row],[TS]])</f>
        <v/>
      </c>
      <c r="U84" s="143" t="str">
        <f>IF(BetTable[[#This Row],[O2]]="","",(BetTable[[#This Row],[WBA2-Commission]])-BetTable[[#This Row],[TS]])</f>
        <v/>
      </c>
      <c r="V84" s="143" t="str">
        <f>IF(BetTable[[#This Row],[O3]]="","",(BetTable[[#This Row],[WBA3-Commission]])-BetTable[[#This Row],[TS]])</f>
        <v/>
      </c>
      <c r="W84" s="143">
        <f>IF(NOT(ISBLANK(BetTable[[#This Row],[B1]])),1,0)+IF(NOT(ISBLANK(BetTable[[#This Row],[B2]])),1,0)+IF(NOT(ISBLANK(BetTable[[#This Row],[B3]])),1,0)</f>
        <v>0</v>
      </c>
      <c r="X84" s="143" t="str">
        <f>IF(BetTable[[#This Row],[Outcome1]]="","",BetTable[[#This Row],[WBA1]]+BetTable[[#This Row],[WBA2]]+BetTable[[#This Row],[WBA3]]-BetTable[[#This Row],[TS]])</f>
        <v/>
      </c>
      <c r="Y84" s="143" t="str">
        <f>IF(BetTable[[#This Row],[AR]]="","",BetTable[[#This Row],[AR]]/BetTable[[#This Row],[NumBookies]])</f>
        <v/>
      </c>
      <c r="Z84" s="143">
        <f>(((BetTable[[#This Row],[O1]]-1)*BetTable[[#This Row],[S1]])*(1-(BetTable[[#This Row],[C% 1]]))+BetTable[[#This Row],[S1]])</f>
        <v>0</v>
      </c>
      <c r="AA84" s="143">
        <f>(((BetTable[[#This Row],[O2]]-1)*BetTable[[#This Row],[S2]])*(1-(BetTable[[#This Row],[C% 2]]))+BetTable[[#This Row],[S2]])</f>
        <v>0</v>
      </c>
      <c r="AB84" s="143">
        <f>(((BetTable[[#This Row],[O3]]-1)*BetTable[[#This Row],[S3]])*(1-(BetTable[[#This Row],[C% 3]]))+BetTable[[#This Row],[S3]])</f>
        <v>0</v>
      </c>
      <c r="AC84" s="147" t="str">
        <f>IFERROR(IF(BetTable[[#This Row],[Sp]]="","",BetTable[[#This Row],[R1]]/BetTable[[#This Row],[TS]]),"")</f>
        <v/>
      </c>
      <c r="AD84" s="147" t="str">
        <f>IF(BetTable[[#This Row],[O2]]="","",BetTable[[#This Row],[R2]]/BetTable[[#This Row],[TS]])</f>
        <v/>
      </c>
      <c r="AE84" s="147" t="str">
        <f>IFERROR(IF(BetTable[[#This Row],[Sp]]="","",BetTable[[#This Row],[R3]]/BetTable[[#This Row],[TS]]),"")</f>
        <v/>
      </c>
      <c r="AF84" s="147" t="str">
        <f>IFERROR(IF(BetTable[[#This Row],[Outcome1]]="","",BetTable[[#This Row],[AR]]/BetTable[[#This Row],[TS]]),"")</f>
        <v/>
      </c>
      <c r="AG8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4" s="57" t="e">
        <f>IF(BetTable[[#This Row],[Outcome1]]="",AJ83,BetTable[[#This Row],[AR]]+AJ83)</f>
        <v>#REF!</v>
      </c>
      <c r="AK84" s="39"/>
    </row>
    <row r="85" spans="1:37">
      <c r="A85" s="144"/>
      <c r="B85" s="39"/>
      <c r="C85" s="40"/>
      <c r="D85" s="40"/>
      <c r="E85" s="40"/>
      <c r="F85" s="152"/>
      <c r="G85" s="152"/>
      <c r="H85" s="152"/>
      <c r="I85" s="39"/>
      <c r="J85" s="54"/>
      <c r="K85" s="54"/>
      <c r="L85" s="54"/>
      <c r="M85" s="57"/>
      <c r="N85" s="57"/>
      <c r="O85" s="57"/>
      <c r="P85" s="55"/>
      <c r="Q85" s="55"/>
      <c r="R85" s="55"/>
      <c r="S85" s="146" t="str">
        <f>IF(BetTable[[#This Row],[Sp]]="","",BetTable[[#This Row],[S1]]+BetTable[[#This Row],[S2]]+BetTable[[#This Row],[S3]])</f>
        <v/>
      </c>
      <c r="T85" s="143" t="str">
        <f>IF(BetTable[[#This Row],[O1]]="","",(BetTable[[#This Row],[WBA1-Commission]])-BetTable[[#This Row],[TS]])</f>
        <v/>
      </c>
      <c r="U85" s="143" t="str">
        <f>IF(BetTable[[#This Row],[O2]]="","",(BetTable[[#This Row],[WBA2-Commission]])-BetTable[[#This Row],[TS]])</f>
        <v/>
      </c>
      <c r="V85" s="143" t="str">
        <f>IF(BetTable[[#This Row],[O3]]="","",(BetTable[[#This Row],[WBA3-Commission]])-BetTable[[#This Row],[TS]])</f>
        <v/>
      </c>
      <c r="W85" s="143">
        <f>IF(NOT(ISBLANK(BetTable[[#This Row],[B1]])),1,0)+IF(NOT(ISBLANK(BetTable[[#This Row],[B2]])),1,0)+IF(NOT(ISBLANK(BetTable[[#This Row],[B3]])),1,0)</f>
        <v>0</v>
      </c>
      <c r="X85" s="143" t="str">
        <f>IF(BetTable[[#This Row],[Outcome1]]="","",BetTable[[#This Row],[WBA1]]+BetTable[[#This Row],[WBA2]]+BetTable[[#This Row],[WBA3]]-BetTable[[#This Row],[TS]])</f>
        <v/>
      </c>
      <c r="Y85" s="143" t="str">
        <f>IF(BetTable[[#This Row],[AR]]="","",BetTable[[#This Row],[AR]]/BetTable[[#This Row],[NumBookies]])</f>
        <v/>
      </c>
      <c r="Z85" s="143">
        <f>(((BetTable[[#This Row],[O1]]-1)*BetTable[[#This Row],[S1]])*(1-(BetTable[[#This Row],[C% 1]]))+BetTable[[#This Row],[S1]])</f>
        <v>0</v>
      </c>
      <c r="AA85" s="143">
        <f>(((BetTable[[#This Row],[O2]]-1)*BetTable[[#This Row],[S2]])*(1-(BetTable[[#This Row],[C% 2]]))+BetTable[[#This Row],[S2]])</f>
        <v>0</v>
      </c>
      <c r="AB85" s="143">
        <f>(((BetTable[[#This Row],[O3]]-1)*BetTable[[#This Row],[S3]])*(1-(BetTable[[#This Row],[C% 3]]))+BetTable[[#This Row],[S3]])</f>
        <v>0</v>
      </c>
      <c r="AC85" s="147" t="str">
        <f>IFERROR(IF(BetTable[[#This Row],[Sp]]="","",BetTable[[#This Row],[R1]]/BetTable[[#This Row],[TS]]),"")</f>
        <v/>
      </c>
      <c r="AD85" s="147" t="str">
        <f>IF(BetTable[[#This Row],[O2]]="","",BetTable[[#This Row],[R2]]/BetTable[[#This Row],[TS]])</f>
        <v/>
      </c>
      <c r="AE85" s="147" t="str">
        <f>IFERROR(IF(BetTable[[#This Row],[Sp]]="","",BetTable[[#This Row],[R3]]/BetTable[[#This Row],[TS]]),"")</f>
        <v/>
      </c>
      <c r="AF85" s="147" t="str">
        <f>IFERROR(IF(BetTable[[#This Row],[Outcome1]]="","",BetTable[[#This Row],[AR]]/BetTable[[#This Row],[TS]]),"")</f>
        <v/>
      </c>
      <c r="AG8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5" s="57" t="e">
        <f>IF(BetTable[[#This Row],[Outcome1]]="",AJ84,BetTable[[#This Row],[AR]]+AJ84)</f>
        <v>#REF!</v>
      </c>
      <c r="AK85" s="39"/>
    </row>
    <row r="86" spans="1:37">
      <c r="A86" s="144"/>
      <c r="B86" s="39"/>
      <c r="C86" s="40"/>
      <c r="D86" s="40"/>
      <c r="E86" s="40"/>
      <c r="F86" s="152"/>
      <c r="G86" s="152"/>
      <c r="H86" s="152"/>
      <c r="I86" s="39"/>
      <c r="J86" s="54"/>
      <c r="K86" s="54"/>
      <c r="L86" s="54"/>
      <c r="M86" s="57"/>
      <c r="N86" s="57"/>
      <c r="O86" s="57"/>
      <c r="P86" s="55"/>
      <c r="Q86" s="55"/>
      <c r="R86" s="55"/>
      <c r="S86" s="146" t="str">
        <f>IF(BetTable[[#This Row],[Sp]]="","",BetTable[[#This Row],[S1]]+BetTable[[#This Row],[S2]]+BetTable[[#This Row],[S3]])</f>
        <v/>
      </c>
      <c r="T86" s="143" t="str">
        <f>IF(BetTable[[#This Row],[O1]]="","",(BetTable[[#This Row],[WBA1-Commission]])-BetTable[[#This Row],[TS]])</f>
        <v/>
      </c>
      <c r="U86" s="143" t="str">
        <f>IF(BetTable[[#This Row],[O2]]="","",(BetTable[[#This Row],[WBA2-Commission]])-BetTable[[#This Row],[TS]])</f>
        <v/>
      </c>
      <c r="V86" s="143" t="str">
        <f>IF(BetTable[[#This Row],[O3]]="","",(BetTable[[#This Row],[WBA3-Commission]])-BetTable[[#This Row],[TS]])</f>
        <v/>
      </c>
      <c r="W86" s="143">
        <f>IF(NOT(ISBLANK(BetTable[[#This Row],[B1]])),1,0)+IF(NOT(ISBLANK(BetTable[[#This Row],[B2]])),1,0)+IF(NOT(ISBLANK(BetTable[[#This Row],[B3]])),1,0)</f>
        <v>0</v>
      </c>
      <c r="X86" s="143" t="str">
        <f>IF(BetTable[[#This Row],[Outcome1]]="","",BetTable[[#This Row],[WBA1]]+BetTable[[#This Row],[WBA2]]+BetTable[[#This Row],[WBA3]]-BetTable[[#This Row],[TS]])</f>
        <v/>
      </c>
      <c r="Y86" s="143" t="str">
        <f>IF(BetTable[[#This Row],[AR]]="","",BetTable[[#This Row],[AR]]/BetTable[[#This Row],[NumBookies]])</f>
        <v/>
      </c>
      <c r="Z86" s="143">
        <f>(((BetTable[[#This Row],[O1]]-1)*BetTable[[#This Row],[S1]])*(1-(BetTable[[#This Row],[C% 1]]))+BetTable[[#This Row],[S1]])</f>
        <v>0</v>
      </c>
      <c r="AA86" s="143">
        <f>(((BetTable[[#This Row],[O2]]-1)*BetTable[[#This Row],[S2]])*(1-(BetTable[[#This Row],[C% 2]]))+BetTable[[#This Row],[S2]])</f>
        <v>0</v>
      </c>
      <c r="AB86" s="143">
        <f>(((BetTable[[#This Row],[O3]]-1)*BetTable[[#This Row],[S3]])*(1-(BetTable[[#This Row],[C% 3]]))+BetTable[[#This Row],[S3]])</f>
        <v>0</v>
      </c>
      <c r="AC86" s="147" t="str">
        <f>IFERROR(IF(BetTable[[#This Row],[Sp]]="","",BetTable[[#This Row],[R1]]/BetTable[[#This Row],[TS]]),"")</f>
        <v/>
      </c>
      <c r="AD86" s="147" t="str">
        <f>IF(BetTable[[#This Row],[O2]]="","",BetTable[[#This Row],[R2]]/BetTable[[#This Row],[TS]])</f>
        <v/>
      </c>
      <c r="AE86" s="147" t="str">
        <f>IFERROR(IF(BetTable[[#This Row],[Sp]]="","",BetTable[[#This Row],[R3]]/BetTable[[#This Row],[TS]]),"")</f>
        <v/>
      </c>
      <c r="AF86" s="147" t="str">
        <f>IFERROR(IF(BetTable[[#This Row],[Outcome1]]="","",BetTable[[#This Row],[AR]]/BetTable[[#This Row],[TS]]),"")</f>
        <v/>
      </c>
      <c r="AG8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6" s="57" t="e">
        <f>IF(BetTable[[#This Row],[Outcome1]]="",AJ85,BetTable[[#This Row],[AR]]+AJ85)</f>
        <v>#REF!</v>
      </c>
      <c r="AK86" s="39"/>
    </row>
    <row r="87" spans="1:37">
      <c r="A87" s="144"/>
      <c r="B87" s="39"/>
      <c r="C87" s="40"/>
      <c r="D87" s="40"/>
      <c r="E87" s="40"/>
      <c r="F87" s="152"/>
      <c r="G87" s="152"/>
      <c r="H87" s="152"/>
      <c r="I87" s="39"/>
      <c r="J87" s="54"/>
      <c r="K87" s="54"/>
      <c r="L87" s="54"/>
      <c r="M87" s="57"/>
      <c r="N87" s="57"/>
      <c r="O87" s="57"/>
      <c r="P87" s="55"/>
      <c r="Q87" s="55"/>
      <c r="R87" s="55"/>
      <c r="S87" s="146" t="str">
        <f>IF(BetTable[[#This Row],[Sp]]="","",BetTable[[#This Row],[S1]]+BetTable[[#This Row],[S2]]+BetTable[[#This Row],[S3]])</f>
        <v/>
      </c>
      <c r="T87" s="143" t="str">
        <f>IF(BetTable[[#This Row],[O1]]="","",(BetTable[[#This Row],[WBA1-Commission]])-BetTable[[#This Row],[TS]])</f>
        <v/>
      </c>
      <c r="U87" s="143" t="str">
        <f>IF(BetTable[[#This Row],[O2]]="","",(BetTable[[#This Row],[WBA2-Commission]])-BetTable[[#This Row],[TS]])</f>
        <v/>
      </c>
      <c r="V87" s="143" t="str">
        <f>IF(BetTable[[#This Row],[O3]]="","",(BetTable[[#This Row],[WBA3-Commission]])-BetTable[[#This Row],[TS]])</f>
        <v/>
      </c>
      <c r="W87" s="143">
        <f>IF(NOT(ISBLANK(BetTable[[#This Row],[B1]])),1,0)+IF(NOT(ISBLANK(BetTable[[#This Row],[B2]])),1,0)+IF(NOT(ISBLANK(BetTable[[#This Row],[B3]])),1,0)</f>
        <v>0</v>
      </c>
      <c r="X87" s="143" t="str">
        <f>IF(BetTable[[#This Row],[Outcome1]]="","",BetTable[[#This Row],[WBA1]]+BetTable[[#This Row],[WBA2]]+BetTable[[#This Row],[WBA3]]-BetTable[[#This Row],[TS]])</f>
        <v/>
      </c>
      <c r="Y87" s="143" t="str">
        <f>IF(BetTable[[#This Row],[AR]]="","",BetTable[[#This Row],[AR]]/BetTable[[#This Row],[NumBookies]])</f>
        <v/>
      </c>
      <c r="Z87" s="143">
        <f>(((BetTable[[#This Row],[O1]]-1)*BetTable[[#This Row],[S1]])*(1-(BetTable[[#This Row],[C% 1]]))+BetTable[[#This Row],[S1]])</f>
        <v>0</v>
      </c>
      <c r="AA87" s="143">
        <f>(((BetTable[[#This Row],[O2]]-1)*BetTable[[#This Row],[S2]])*(1-(BetTable[[#This Row],[C% 2]]))+BetTable[[#This Row],[S2]])</f>
        <v>0</v>
      </c>
      <c r="AB87" s="143">
        <f>(((BetTable[[#This Row],[O3]]-1)*BetTable[[#This Row],[S3]])*(1-(BetTable[[#This Row],[C% 3]]))+BetTable[[#This Row],[S3]])</f>
        <v>0</v>
      </c>
      <c r="AC87" s="147" t="str">
        <f>IFERROR(IF(BetTable[[#This Row],[Sp]]="","",BetTable[[#This Row],[R1]]/BetTable[[#This Row],[TS]]),"")</f>
        <v/>
      </c>
      <c r="AD87" s="147" t="str">
        <f>IF(BetTable[[#This Row],[O2]]="","",BetTable[[#This Row],[R2]]/BetTable[[#This Row],[TS]])</f>
        <v/>
      </c>
      <c r="AE87" s="147" t="str">
        <f>IFERROR(IF(BetTable[[#This Row],[Sp]]="","",BetTable[[#This Row],[R3]]/BetTable[[#This Row],[TS]]),"")</f>
        <v/>
      </c>
      <c r="AF87" s="147" t="str">
        <f>IFERROR(IF(BetTable[[#This Row],[Outcome1]]="","",BetTable[[#This Row],[AR]]/BetTable[[#This Row],[TS]]),"")</f>
        <v/>
      </c>
      <c r="AG8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7" s="57" t="e">
        <f>IF(BetTable[[#This Row],[Outcome1]]="",AJ86,BetTable[[#This Row],[AR]]+AJ86)</f>
        <v>#REF!</v>
      </c>
      <c r="AK87" s="39"/>
    </row>
    <row r="88" spans="1:37">
      <c r="A88" s="144"/>
      <c r="B88" s="39"/>
      <c r="C88" s="40"/>
      <c r="D88" s="40"/>
      <c r="E88" s="40"/>
      <c r="F88" s="152"/>
      <c r="G88" s="152"/>
      <c r="H88" s="152"/>
      <c r="I88" s="39"/>
      <c r="J88" s="54"/>
      <c r="K88" s="54"/>
      <c r="L88" s="54"/>
      <c r="M88" s="57"/>
      <c r="N88" s="57"/>
      <c r="O88" s="57"/>
      <c r="P88" s="55"/>
      <c r="Q88" s="55"/>
      <c r="R88" s="55"/>
      <c r="S88" s="146" t="str">
        <f>IF(BetTable[[#This Row],[Sp]]="","",BetTable[[#This Row],[S1]]+BetTable[[#This Row],[S2]]+BetTable[[#This Row],[S3]])</f>
        <v/>
      </c>
      <c r="T88" s="143" t="str">
        <f>IF(BetTable[[#This Row],[O1]]="","",(BetTable[[#This Row],[WBA1-Commission]])-BetTable[[#This Row],[TS]])</f>
        <v/>
      </c>
      <c r="U88" s="143" t="str">
        <f>IF(BetTable[[#This Row],[O2]]="","",(BetTable[[#This Row],[WBA2-Commission]])-BetTable[[#This Row],[TS]])</f>
        <v/>
      </c>
      <c r="V88" s="143" t="str">
        <f>IF(BetTable[[#This Row],[O3]]="","",(BetTable[[#This Row],[WBA3-Commission]])-BetTable[[#This Row],[TS]])</f>
        <v/>
      </c>
      <c r="W88" s="143">
        <f>IF(NOT(ISBLANK(BetTable[[#This Row],[B1]])),1,0)+IF(NOT(ISBLANK(BetTable[[#This Row],[B2]])),1,0)+IF(NOT(ISBLANK(BetTable[[#This Row],[B3]])),1,0)</f>
        <v>0</v>
      </c>
      <c r="X88" s="143" t="str">
        <f>IF(BetTable[[#This Row],[Outcome1]]="","",BetTable[[#This Row],[WBA1]]+BetTable[[#This Row],[WBA2]]+BetTable[[#This Row],[WBA3]]-BetTable[[#This Row],[TS]])</f>
        <v/>
      </c>
      <c r="Y88" s="143" t="str">
        <f>IF(BetTable[[#This Row],[AR]]="","",BetTable[[#This Row],[AR]]/BetTable[[#This Row],[NumBookies]])</f>
        <v/>
      </c>
      <c r="Z88" s="143">
        <f>(((BetTable[[#This Row],[O1]]-1)*BetTable[[#This Row],[S1]])*(1-(BetTable[[#This Row],[C% 1]]))+BetTable[[#This Row],[S1]])</f>
        <v>0</v>
      </c>
      <c r="AA88" s="143">
        <f>(((BetTable[[#This Row],[O2]]-1)*BetTable[[#This Row],[S2]])*(1-(BetTable[[#This Row],[C% 2]]))+BetTable[[#This Row],[S2]])</f>
        <v>0</v>
      </c>
      <c r="AB88" s="143">
        <f>(((BetTable[[#This Row],[O3]]-1)*BetTable[[#This Row],[S3]])*(1-(BetTable[[#This Row],[C% 3]]))+BetTable[[#This Row],[S3]])</f>
        <v>0</v>
      </c>
      <c r="AC88" s="147" t="str">
        <f>IFERROR(IF(BetTable[[#This Row],[Sp]]="","",BetTable[[#This Row],[R1]]/BetTable[[#This Row],[TS]]),"")</f>
        <v/>
      </c>
      <c r="AD88" s="147" t="str">
        <f>IF(BetTable[[#This Row],[O2]]="","",BetTable[[#This Row],[R2]]/BetTable[[#This Row],[TS]])</f>
        <v/>
      </c>
      <c r="AE88" s="147" t="str">
        <f>IFERROR(IF(BetTable[[#This Row],[Sp]]="","",BetTable[[#This Row],[R3]]/BetTable[[#This Row],[TS]]),"")</f>
        <v/>
      </c>
      <c r="AF88" s="147" t="str">
        <f>IFERROR(IF(BetTable[[#This Row],[Outcome1]]="","",BetTable[[#This Row],[AR]]/BetTable[[#This Row],[TS]]),"")</f>
        <v/>
      </c>
      <c r="AG8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8" s="57" t="e">
        <f>IF(BetTable[[#This Row],[Outcome1]]="",AJ87,BetTable[[#This Row],[AR]]+AJ87)</f>
        <v>#REF!</v>
      </c>
      <c r="AK88" s="39"/>
    </row>
    <row r="89" spans="1:37">
      <c r="A89" s="144"/>
      <c r="B89" s="39"/>
      <c r="C89" s="40"/>
      <c r="D89" s="40"/>
      <c r="E89" s="40"/>
      <c r="F89" s="152"/>
      <c r="G89" s="152"/>
      <c r="H89" s="152"/>
      <c r="I89" s="39"/>
      <c r="J89" s="54"/>
      <c r="K89" s="54"/>
      <c r="L89" s="54"/>
      <c r="M89" s="57"/>
      <c r="N89" s="57"/>
      <c r="O89" s="57"/>
      <c r="P89" s="55"/>
      <c r="Q89" s="55"/>
      <c r="R89" s="55"/>
      <c r="S89" s="146" t="str">
        <f>IF(BetTable[[#This Row],[Sp]]="","",BetTable[[#This Row],[S1]]+BetTable[[#This Row],[S2]]+BetTable[[#This Row],[S3]])</f>
        <v/>
      </c>
      <c r="T89" s="143" t="str">
        <f>IF(BetTable[[#This Row],[O1]]="","",(BetTable[[#This Row],[WBA1-Commission]])-BetTable[[#This Row],[TS]])</f>
        <v/>
      </c>
      <c r="U89" s="143" t="str">
        <f>IF(BetTable[[#This Row],[O2]]="","",(BetTable[[#This Row],[WBA2-Commission]])-BetTable[[#This Row],[TS]])</f>
        <v/>
      </c>
      <c r="V89" s="143" t="str">
        <f>IF(BetTable[[#This Row],[O3]]="","",(BetTable[[#This Row],[WBA3-Commission]])-BetTable[[#This Row],[TS]])</f>
        <v/>
      </c>
      <c r="W89" s="143">
        <f>IF(NOT(ISBLANK(BetTable[[#This Row],[B1]])),1,0)+IF(NOT(ISBLANK(BetTable[[#This Row],[B2]])),1,0)+IF(NOT(ISBLANK(BetTable[[#This Row],[B3]])),1,0)</f>
        <v>0</v>
      </c>
      <c r="X89" s="143" t="str">
        <f>IF(BetTable[[#This Row],[Outcome1]]="","",BetTable[[#This Row],[WBA1]]+BetTable[[#This Row],[WBA2]]+BetTable[[#This Row],[WBA3]]-BetTable[[#This Row],[TS]])</f>
        <v/>
      </c>
      <c r="Y89" s="143" t="str">
        <f>IF(BetTable[[#This Row],[AR]]="","",BetTable[[#This Row],[AR]]/BetTable[[#This Row],[NumBookies]])</f>
        <v/>
      </c>
      <c r="Z89" s="143">
        <f>(((BetTable[[#This Row],[O1]]-1)*BetTable[[#This Row],[S1]])*(1-(BetTable[[#This Row],[C% 1]]))+BetTable[[#This Row],[S1]])</f>
        <v>0</v>
      </c>
      <c r="AA89" s="143">
        <f>(((BetTable[[#This Row],[O2]]-1)*BetTable[[#This Row],[S2]])*(1-(BetTable[[#This Row],[C% 2]]))+BetTable[[#This Row],[S2]])</f>
        <v>0</v>
      </c>
      <c r="AB89" s="143">
        <f>(((BetTable[[#This Row],[O3]]-1)*BetTable[[#This Row],[S3]])*(1-(BetTable[[#This Row],[C% 3]]))+BetTable[[#This Row],[S3]])</f>
        <v>0</v>
      </c>
      <c r="AC89" s="147" t="str">
        <f>IFERROR(IF(BetTable[[#This Row],[Sp]]="","",BetTable[[#This Row],[R1]]/BetTable[[#This Row],[TS]]),"")</f>
        <v/>
      </c>
      <c r="AD89" s="147" t="str">
        <f>IF(BetTable[[#This Row],[O2]]="","",BetTable[[#This Row],[R2]]/BetTable[[#This Row],[TS]])</f>
        <v/>
      </c>
      <c r="AE89" s="147" t="str">
        <f>IFERROR(IF(BetTable[[#This Row],[Sp]]="","",BetTable[[#This Row],[R3]]/BetTable[[#This Row],[TS]]),"")</f>
        <v/>
      </c>
      <c r="AF89" s="147" t="str">
        <f>IFERROR(IF(BetTable[[#This Row],[Outcome1]]="","",BetTable[[#This Row],[AR]]/BetTable[[#This Row],[TS]]),"")</f>
        <v/>
      </c>
      <c r="AG8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8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8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89" s="57" t="e">
        <f>IF(BetTable[[#This Row],[Outcome1]]="",AJ88,BetTable[[#This Row],[AR]]+AJ88)</f>
        <v>#REF!</v>
      </c>
      <c r="AK89" s="39"/>
    </row>
    <row r="90" spans="1:37">
      <c r="A90" s="144"/>
      <c r="B90" s="39"/>
      <c r="C90" s="40"/>
      <c r="D90" s="40"/>
      <c r="E90" s="40"/>
      <c r="F90" s="152"/>
      <c r="G90" s="152"/>
      <c r="H90" s="152"/>
      <c r="I90" s="39"/>
      <c r="J90" s="54"/>
      <c r="K90" s="54"/>
      <c r="L90" s="54"/>
      <c r="M90" s="57"/>
      <c r="N90" s="57"/>
      <c r="O90" s="57"/>
      <c r="P90" s="55"/>
      <c r="Q90" s="55"/>
      <c r="R90" s="55"/>
      <c r="S90" s="146" t="str">
        <f>IF(BetTable[[#This Row],[Sp]]="","",BetTable[[#This Row],[S1]]+BetTable[[#This Row],[S2]]+BetTable[[#This Row],[S3]])</f>
        <v/>
      </c>
      <c r="T90" s="143" t="str">
        <f>IF(BetTable[[#This Row],[O1]]="","",(BetTable[[#This Row],[WBA1-Commission]])-BetTable[[#This Row],[TS]])</f>
        <v/>
      </c>
      <c r="U90" s="143" t="str">
        <f>IF(BetTable[[#This Row],[O2]]="","",(BetTable[[#This Row],[WBA2-Commission]])-BetTable[[#This Row],[TS]])</f>
        <v/>
      </c>
      <c r="V90" s="143" t="str">
        <f>IF(BetTable[[#This Row],[O3]]="","",(BetTable[[#This Row],[WBA3-Commission]])-BetTable[[#This Row],[TS]])</f>
        <v/>
      </c>
      <c r="W90" s="143">
        <f>IF(NOT(ISBLANK(BetTable[[#This Row],[B1]])),1,0)+IF(NOT(ISBLANK(BetTable[[#This Row],[B2]])),1,0)+IF(NOT(ISBLANK(BetTable[[#This Row],[B3]])),1,0)</f>
        <v>0</v>
      </c>
      <c r="X90" s="143" t="str">
        <f>IF(BetTable[[#This Row],[Outcome1]]="","",BetTable[[#This Row],[WBA1]]+BetTable[[#This Row],[WBA2]]+BetTable[[#This Row],[WBA3]]-BetTable[[#This Row],[TS]])</f>
        <v/>
      </c>
      <c r="Y90" s="143" t="str">
        <f>IF(BetTable[[#This Row],[AR]]="","",BetTable[[#This Row],[AR]]/BetTable[[#This Row],[NumBookies]])</f>
        <v/>
      </c>
      <c r="Z90" s="143">
        <f>(((BetTable[[#This Row],[O1]]-1)*BetTable[[#This Row],[S1]])*(1-(BetTable[[#This Row],[C% 1]]))+BetTable[[#This Row],[S1]])</f>
        <v>0</v>
      </c>
      <c r="AA90" s="143">
        <f>(((BetTable[[#This Row],[O2]]-1)*BetTable[[#This Row],[S2]])*(1-(BetTable[[#This Row],[C% 2]]))+BetTable[[#This Row],[S2]])</f>
        <v>0</v>
      </c>
      <c r="AB90" s="143">
        <f>(((BetTable[[#This Row],[O3]]-1)*BetTable[[#This Row],[S3]])*(1-(BetTable[[#This Row],[C% 3]]))+BetTable[[#This Row],[S3]])</f>
        <v>0</v>
      </c>
      <c r="AC90" s="147" t="str">
        <f>IFERROR(IF(BetTable[[#This Row],[Sp]]="","",BetTable[[#This Row],[R1]]/BetTable[[#This Row],[TS]]),"")</f>
        <v/>
      </c>
      <c r="AD90" s="147" t="str">
        <f>IF(BetTable[[#This Row],[O2]]="","",BetTable[[#This Row],[R2]]/BetTable[[#This Row],[TS]])</f>
        <v/>
      </c>
      <c r="AE90" s="147" t="str">
        <f>IFERROR(IF(BetTable[[#This Row],[Sp]]="","",BetTable[[#This Row],[R3]]/BetTable[[#This Row],[TS]]),"")</f>
        <v/>
      </c>
      <c r="AF90" s="147" t="str">
        <f>IFERROR(IF(BetTable[[#This Row],[Outcome1]]="","",BetTable[[#This Row],[AR]]/BetTable[[#This Row],[TS]]),"")</f>
        <v/>
      </c>
      <c r="AG9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0" s="57" t="e">
        <f>IF(BetTable[[#This Row],[Outcome1]]="",AJ89,BetTable[[#This Row],[AR]]+AJ89)</f>
        <v>#REF!</v>
      </c>
      <c r="AK90" s="39"/>
    </row>
    <row r="91" spans="1:37">
      <c r="A91" s="144"/>
      <c r="B91" s="39"/>
      <c r="C91" s="40"/>
      <c r="D91" s="40"/>
      <c r="E91" s="40"/>
      <c r="F91" s="152"/>
      <c r="G91" s="152"/>
      <c r="H91" s="152"/>
      <c r="I91" s="39"/>
      <c r="J91" s="54"/>
      <c r="K91" s="54"/>
      <c r="L91" s="54"/>
      <c r="M91" s="57"/>
      <c r="N91" s="57"/>
      <c r="O91" s="57"/>
      <c r="P91" s="55"/>
      <c r="Q91" s="55"/>
      <c r="R91" s="55"/>
      <c r="S91" s="146" t="str">
        <f>IF(BetTable[[#This Row],[Sp]]="","",BetTable[[#This Row],[S1]]+BetTable[[#This Row],[S2]]+BetTable[[#This Row],[S3]])</f>
        <v/>
      </c>
      <c r="T91" s="143" t="str">
        <f>IF(BetTable[[#This Row],[O1]]="","",(BetTable[[#This Row],[WBA1-Commission]])-BetTable[[#This Row],[TS]])</f>
        <v/>
      </c>
      <c r="U91" s="143" t="str">
        <f>IF(BetTable[[#This Row],[O2]]="","",(BetTable[[#This Row],[WBA2-Commission]])-BetTable[[#This Row],[TS]])</f>
        <v/>
      </c>
      <c r="V91" s="143" t="str">
        <f>IF(BetTable[[#This Row],[O3]]="","",(BetTable[[#This Row],[WBA3-Commission]])-BetTable[[#This Row],[TS]])</f>
        <v/>
      </c>
      <c r="W91" s="143">
        <f>IF(NOT(ISBLANK(BetTable[[#This Row],[B1]])),1,0)+IF(NOT(ISBLANK(BetTable[[#This Row],[B2]])),1,0)+IF(NOT(ISBLANK(BetTable[[#This Row],[B3]])),1,0)</f>
        <v>0</v>
      </c>
      <c r="X91" s="143" t="str">
        <f>IF(BetTable[[#This Row],[Outcome1]]="","",BetTable[[#This Row],[WBA1]]+BetTable[[#This Row],[WBA2]]+BetTable[[#This Row],[WBA3]]-BetTable[[#This Row],[TS]])</f>
        <v/>
      </c>
      <c r="Y91" s="143" t="str">
        <f>IF(BetTable[[#This Row],[AR]]="","",BetTable[[#This Row],[AR]]/BetTable[[#This Row],[NumBookies]])</f>
        <v/>
      </c>
      <c r="Z91" s="143">
        <f>(((BetTable[[#This Row],[O1]]-1)*BetTable[[#This Row],[S1]])*(1-(BetTable[[#This Row],[C% 1]]))+BetTable[[#This Row],[S1]])</f>
        <v>0</v>
      </c>
      <c r="AA91" s="143">
        <f>(((BetTable[[#This Row],[O2]]-1)*BetTable[[#This Row],[S2]])*(1-(BetTable[[#This Row],[C% 2]]))+BetTable[[#This Row],[S2]])</f>
        <v>0</v>
      </c>
      <c r="AB91" s="143">
        <f>(((BetTable[[#This Row],[O3]]-1)*BetTable[[#This Row],[S3]])*(1-(BetTable[[#This Row],[C% 3]]))+BetTable[[#This Row],[S3]])</f>
        <v>0</v>
      </c>
      <c r="AC91" s="147" t="str">
        <f>IFERROR(IF(BetTable[[#This Row],[Sp]]="","",BetTable[[#This Row],[R1]]/BetTable[[#This Row],[TS]]),"")</f>
        <v/>
      </c>
      <c r="AD91" s="147" t="str">
        <f>IF(BetTable[[#This Row],[O2]]="","",BetTable[[#This Row],[R2]]/BetTable[[#This Row],[TS]])</f>
        <v/>
      </c>
      <c r="AE91" s="147" t="str">
        <f>IFERROR(IF(BetTable[[#This Row],[Sp]]="","",BetTable[[#This Row],[R3]]/BetTable[[#This Row],[TS]]),"")</f>
        <v/>
      </c>
      <c r="AF91" s="147" t="str">
        <f>IFERROR(IF(BetTable[[#This Row],[Outcome1]]="","",BetTable[[#This Row],[AR]]/BetTable[[#This Row],[TS]]),"")</f>
        <v/>
      </c>
      <c r="AG9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1" s="57" t="e">
        <f>IF(BetTable[[#This Row],[Outcome1]]="",AJ90,BetTable[[#This Row],[AR]]+AJ90)</f>
        <v>#REF!</v>
      </c>
      <c r="AK91" s="39"/>
    </row>
    <row r="92" spans="1:37">
      <c r="A92" s="144"/>
      <c r="B92" s="39"/>
      <c r="C92" s="40"/>
      <c r="D92" s="40"/>
      <c r="E92" s="40"/>
      <c r="F92" s="152"/>
      <c r="G92" s="152"/>
      <c r="H92" s="152"/>
      <c r="I92" s="39"/>
      <c r="J92" s="54"/>
      <c r="K92" s="54"/>
      <c r="L92" s="54"/>
      <c r="M92" s="57"/>
      <c r="N92" s="57"/>
      <c r="O92" s="57"/>
      <c r="P92" s="55"/>
      <c r="Q92" s="55"/>
      <c r="R92" s="55"/>
      <c r="S92" s="146" t="str">
        <f>IF(BetTable[[#This Row],[Sp]]="","",BetTable[[#This Row],[S1]]+BetTable[[#This Row],[S2]]+BetTable[[#This Row],[S3]])</f>
        <v/>
      </c>
      <c r="T92" s="143" t="str">
        <f>IF(BetTable[[#This Row],[O1]]="","",(BetTable[[#This Row],[WBA1-Commission]])-BetTable[[#This Row],[TS]])</f>
        <v/>
      </c>
      <c r="U92" s="143" t="str">
        <f>IF(BetTable[[#This Row],[O2]]="","",(BetTable[[#This Row],[WBA2-Commission]])-BetTable[[#This Row],[TS]])</f>
        <v/>
      </c>
      <c r="V92" s="143" t="str">
        <f>IF(BetTable[[#This Row],[O3]]="","",(BetTable[[#This Row],[WBA3-Commission]])-BetTable[[#This Row],[TS]])</f>
        <v/>
      </c>
      <c r="W92" s="143">
        <f>IF(NOT(ISBLANK(BetTable[[#This Row],[B1]])),1,0)+IF(NOT(ISBLANK(BetTable[[#This Row],[B2]])),1,0)+IF(NOT(ISBLANK(BetTable[[#This Row],[B3]])),1,0)</f>
        <v>0</v>
      </c>
      <c r="X92" s="143" t="str">
        <f>IF(BetTable[[#This Row],[Outcome1]]="","",BetTable[[#This Row],[WBA1]]+BetTable[[#This Row],[WBA2]]+BetTable[[#This Row],[WBA3]]-BetTable[[#This Row],[TS]])</f>
        <v/>
      </c>
      <c r="Y92" s="143" t="str">
        <f>IF(BetTable[[#This Row],[AR]]="","",BetTable[[#This Row],[AR]]/BetTable[[#This Row],[NumBookies]])</f>
        <v/>
      </c>
      <c r="Z92" s="143">
        <f>(((BetTable[[#This Row],[O1]]-1)*BetTable[[#This Row],[S1]])*(1-(BetTable[[#This Row],[C% 1]]))+BetTable[[#This Row],[S1]])</f>
        <v>0</v>
      </c>
      <c r="AA92" s="143">
        <f>(((BetTable[[#This Row],[O2]]-1)*BetTable[[#This Row],[S2]])*(1-(BetTable[[#This Row],[C% 2]]))+BetTable[[#This Row],[S2]])</f>
        <v>0</v>
      </c>
      <c r="AB92" s="143">
        <f>(((BetTable[[#This Row],[O3]]-1)*BetTable[[#This Row],[S3]])*(1-(BetTable[[#This Row],[C% 3]]))+BetTable[[#This Row],[S3]])</f>
        <v>0</v>
      </c>
      <c r="AC92" s="147" t="str">
        <f>IFERROR(IF(BetTable[[#This Row],[Sp]]="","",BetTable[[#This Row],[R1]]/BetTable[[#This Row],[TS]]),"")</f>
        <v/>
      </c>
      <c r="AD92" s="147" t="str">
        <f>IF(BetTable[[#This Row],[O2]]="","",BetTable[[#This Row],[R2]]/BetTable[[#This Row],[TS]])</f>
        <v/>
      </c>
      <c r="AE92" s="147" t="str">
        <f>IFERROR(IF(BetTable[[#This Row],[Sp]]="","",BetTable[[#This Row],[R3]]/BetTable[[#This Row],[TS]]),"")</f>
        <v/>
      </c>
      <c r="AF92" s="147" t="str">
        <f>IFERROR(IF(BetTable[[#This Row],[Outcome1]]="","",BetTable[[#This Row],[AR]]/BetTable[[#This Row],[TS]]),"")</f>
        <v/>
      </c>
      <c r="AG9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2" s="57" t="e">
        <f>IF(BetTable[[#This Row],[Outcome1]]="",AJ91,BetTable[[#This Row],[AR]]+AJ91)</f>
        <v>#REF!</v>
      </c>
      <c r="AK92" s="39"/>
    </row>
    <row r="93" spans="1:37">
      <c r="A93" s="144"/>
      <c r="B93" s="39"/>
      <c r="C93" s="40"/>
      <c r="D93" s="40"/>
      <c r="E93" s="40"/>
      <c r="F93" s="152"/>
      <c r="G93" s="152"/>
      <c r="H93" s="152"/>
      <c r="I93" s="39"/>
      <c r="J93" s="54"/>
      <c r="K93" s="54"/>
      <c r="L93" s="54"/>
      <c r="M93" s="57"/>
      <c r="N93" s="57"/>
      <c r="O93" s="57"/>
      <c r="P93" s="55"/>
      <c r="Q93" s="55"/>
      <c r="R93" s="55"/>
      <c r="S93" s="146" t="str">
        <f>IF(BetTable[[#This Row],[Sp]]="","",BetTable[[#This Row],[S1]]+BetTable[[#This Row],[S2]]+BetTable[[#This Row],[S3]])</f>
        <v/>
      </c>
      <c r="T93" s="143" t="str">
        <f>IF(BetTable[[#This Row],[O1]]="","",(BetTable[[#This Row],[WBA1-Commission]])-BetTable[[#This Row],[TS]])</f>
        <v/>
      </c>
      <c r="U93" s="143" t="str">
        <f>IF(BetTable[[#This Row],[O2]]="","",(BetTable[[#This Row],[WBA2-Commission]])-BetTable[[#This Row],[TS]])</f>
        <v/>
      </c>
      <c r="V93" s="143" t="str">
        <f>IF(BetTable[[#This Row],[O3]]="","",(BetTable[[#This Row],[WBA3-Commission]])-BetTable[[#This Row],[TS]])</f>
        <v/>
      </c>
      <c r="W93" s="143">
        <f>IF(NOT(ISBLANK(BetTable[[#This Row],[B1]])),1,0)+IF(NOT(ISBLANK(BetTable[[#This Row],[B2]])),1,0)+IF(NOT(ISBLANK(BetTable[[#This Row],[B3]])),1,0)</f>
        <v>0</v>
      </c>
      <c r="X93" s="143" t="str">
        <f>IF(BetTable[[#This Row],[Outcome1]]="","",BetTable[[#This Row],[WBA1]]+BetTable[[#This Row],[WBA2]]+BetTable[[#This Row],[WBA3]]-BetTable[[#This Row],[TS]])</f>
        <v/>
      </c>
      <c r="Y93" s="143" t="str">
        <f>IF(BetTable[[#This Row],[AR]]="","",BetTable[[#This Row],[AR]]/BetTable[[#This Row],[NumBookies]])</f>
        <v/>
      </c>
      <c r="Z93" s="143">
        <f>(((BetTable[[#This Row],[O1]]-1)*BetTable[[#This Row],[S1]])*(1-(BetTable[[#This Row],[C% 1]]))+BetTable[[#This Row],[S1]])</f>
        <v>0</v>
      </c>
      <c r="AA93" s="143">
        <f>(((BetTable[[#This Row],[O2]]-1)*BetTable[[#This Row],[S2]])*(1-(BetTable[[#This Row],[C% 2]]))+BetTable[[#This Row],[S2]])</f>
        <v>0</v>
      </c>
      <c r="AB93" s="143">
        <f>(((BetTable[[#This Row],[O3]]-1)*BetTable[[#This Row],[S3]])*(1-(BetTable[[#This Row],[C% 3]]))+BetTable[[#This Row],[S3]])</f>
        <v>0</v>
      </c>
      <c r="AC93" s="147" t="str">
        <f>IFERROR(IF(BetTable[[#This Row],[Sp]]="","",BetTable[[#This Row],[R1]]/BetTable[[#This Row],[TS]]),"")</f>
        <v/>
      </c>
      <c r="AD93" s="147" t="str">
        <f>IF(BetTable[[#This Row],[O2]]="","",BetTable[[#This Row],[R2]]/BetTable[[#This Row],[TS]])</f>
        <v/>
      </c>
      <c r="AE93" s="147" t="str">
        <f>IFERROR(IF(BetTable[[#This Row],[Sp]]="","",BetTable[[#This Row],[R3]]/BetTable[[#This Row],[TS]]),"")</f>
        <v/>
      </c>
      <c r="AF93" s="147" t="str">
        <f>IFERROR(IF(BetTable[[#This Row],[Outcome1]]="","",BetTable[[#This Row],[AR]]/BetTable[[#This Row],[TS]]),"")</f>
        <v/>
      </c>
      <c r="AG9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3" s="57" t="e">
        <f>IF(BetTable[[#This Row],[Outcome1]]="",AJ92,BetTable[[#This Row],[AR]]+AJ92)</f>
        <v>#REF!</v>
      </c>
      <c r="AK93" s="39"/>
    </row>
    <row r="94" spans="1:37">
      <c r="A94" s="144"/>
      <c r="B94" s="39"/>
      <c r="C94" s="40"/>
      <c r="D94" s="40"/>
      <c r="E94" s="40"/>
      <c r="F94" s="152"/>
      <c r="G94" s="152"/>
      <c r="H94" s="152"/>
      <c r="I94" s="39"/>
      <c r="J94" s="54"/>
      <c r="K94" s="54"/>
      <c r="L94" s="54"/>
      <c r="M94" s="57"/>
      <c r="N94" s="57"/>
      <c r="O94" s="57"/>
      <c r="P94" s="55"/>
      <c r="Q94" s="55"/>
      <c r="R94" s="55"/>
      <c r="S94" s="146" t="str">
        <f>IF(BetTable[[#This Row],[Sp]]="","",BetTable[[#This Row],[S1]]+BetTable[[#This Row],[S2]]+BetTable[[#This Row],[S3]])</f>
        <v/>
      </c>
      <c r="T94" s="143" t="str">
        <f>IF(BetTable[[#This Row],[O1]]="","",(BetTable[[#This Row],[WBA1-Commission]])-BetTable[[#This Row],[TS]])</f>
        <v/>
      </c>
      <c r="U94" s="143" t="str">
        <f>IF(BetTable[[#This Row],[O2]]="","",(BetTable[[#This Row],[WBA2-Commission]])-BetTable[[#This Row],[TS]])</f>
        <v/>
      </c>
      <c r="V94" s="143" t="str">
        <f>IF(BetTable[[#This Row],[O3]]="","",(BetTable[[#This Row],[WBA3-Commission]])-BetTable[[#This Row],[TS]])</f>
        <v/>
      </c>
      <c r="W94" s="143">
        <f>IF(NOT(ISBLANK(BetTable[[#This Row],[B1]])),1,0)+IF(NOT(ISBLANK(BetTable[[#This Row],[B2]])),1,0)+IF(NOT(ISBLANK(BetTable[[#This Row],[B3]])),1,0)</f>
        <v>0</v>
      </c>
      <c r="X94" s="143" t="str">
        <f>IF(BetTable[[#This Row],[Outcome1]]="","",BetTable[[#This Row],[WBA1]]+BetTable[[#This Row],[WBA2]]+BetTable[[#This Row],[WBA3]]-BetTable[[#This Row],[TS]])</f>
        <v/>
      </c>
      <c r="Y94" s="143" t="str">
        <f>IF(BetTable[[#This Row],[AR]]="","",BetTable[[#This Row],[AR]]/BetTable[[#This Row],[NumBookies]])</f>
        <v/>
      </c>
      <c r="Z94" s="143">
        <f>(((BetTable[[#This Row],[O1]]-1)*BetTable[[#This Row],[S1]])*(1-(BetTable[[#This Row],[C% 1]]))+BetTable[[#This Row],[S1]])</f>
        <v>0</v>
      </c>
      <c r="AA94" s="143">
        <f>(((BetTable[[#This Row],[O2]]-1)*BetTable[[#This Row],[S2]])*(1-(BetTable[[#This Row],[C% 2]]))+BetTable[[#This Row],[S2]])</f>
        <v>0</v>
      </c>
      <c r="AB94" s="143">
        <f>(((BetTable[[#This Row],[O3]]-1)*BetTable[[#This Row],[S3]])*(1-(BetTable[[#This Row],[C% 3]]))+BetTable[[#This Row],[S3]])</f>
        <v>0</v>
      </c>
      <c r="AC94" s="147" t="str">
        <f>IFERROR(IF(BetTable[[#This Row],[Sp]]="","",BetTable[[#This Row],[R1]]/BetTable[[#This Row],[TS]]),"")</f>
        <v/>
      </c>
      <c r="AD94" s="147" t="str">
        <f>IF(BetTable[[#This Row],[O2]]="","",BetTable[[#This Row],[R2]]/BetTable[[#This Row],[TS]])</f>
        <v/>
      </c>
      <c r="AE94" s="147" t="str">
        <f>IFERROR(IF(BetTable[[#This Row],[Sp]]="","",BetTable[[#This Row],[R3]]/BetTable[[#This Row],[TS]]),"")</f>
        <v/>
      </c>
      <c r="AF94" s="147" t="str">
        <f>IFERROR(IF(BetTable[[#This Row],[Outcome1]]="","",BetTable[[#This Row],[AR]]/BetTable[[#This Row],[TS]]),"")</f>
        <v/>
      </c>
      <c r="AG9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4" s="57" t="e">
        <f>IF(BetTable[[#This Row],[Outcome1]]="",AJ93,BetTable[[#This Row],[AR]]+AJ93)</f>
        <v>#REF!</v>
      </c>
      <c r="AK94" s="39"/>
    </row>
    <row r="95" spans="1:37">
      <c r="A95" s="144"/>
      <c r="B95" s="39"/>
      <c r="C95" s="40"/>
      <c r="D95" s="40"/>
      <c r="E95" s="40"/>
      <c r="F95" s="152"/>
      <c r="G95" s="152"/>
      <c r="H95" s="152"/>
      <c r="I95" s="39"/>
      <c r="J95" s="54"/>
      <c r="K95" s="54"/>
      <c r="L95" s="54"/>
      <c r="M95" s="57"/>
      <c r="N95" s="57"/>
      <c r="O95" s="57"/>
      <c r="P95" s="55"/>
      <c r="Q95" s="55"/>
      <c r="R95" s="55"/>
      <c r="S95" s="146" t="str">
        <f>IF(BetTable[[#This Row],[Sp]]="","",BetTable[[#This Row],[S1]]+BetTable[[#This Row],[S2]]+BetTable[[#This Row],[S3]])</f>
        <v/>
      </c>
      <c r="T95" s="143" t="str">
        <f>IF(BetTable[[#This Row],[O1]]="","",(BetTable[[#This Row],[WBA1-Commission]])-BetTable[[#This Row],[TS]])</f>
        <v/>
      </c>
      <c r="U95" s="143" t="str">
        <f>IF(BetTable[[#This Row],[O2]]="","",(BetTable[[#This Row],[WBA2-Commission]])-BetTable[[#This Row],[TS]])</f>
        <v/>
      </c>
      <c r="V95" s="143" t="str">
        <f>IF(BetTable[[#This Row],[O3]]="","",(BetTable[[#This Row],[WBA3-Commission]])-BetTable[[#This Row],[TS]])</f>
        <v/>
      </c>
      <c r="W95" s="143">
        <f>IF(NOT(ISBLANK(BetTable[[#This Row],[B1]])),1,0)+IF(NOT(ISBLANK(BetTable[[#This Row],[B2]])),1,0)+IF(NOT(ISBLANK(BetTable[[#This Row],[B3]])),1,0)</f>
        <v>0</v>
      </c>
      <c r="X95" s="143" t="str">
        <f>IF(BetTable[[#This Row],[Outcome1]]="","",BetTable[[#This Row],[WBA1]]+BetTable[[#This Row],[WBA2]]+BetTable[[#This Row],[WBA3]]-BetTable[[#This Row],[TS]])</f>
        <v/>
      </c>
      <c r="Y95" s="143" t="str">
        <f>IF(BetTable[[#This Row],[AR]]="","",BetTable[[#This Row],[AR]]/BetTable[[#This Row],[NumBookies]])</f>
        <v/>
      </c>
      <c r="Z95" s="143">
        <f>(((BetTable[[#This Row],[O1]]-1)*BetTable[[#This Row],[S1]])*(1-(BetTable[[#This Row],[C% 1]]))+BetTable[[#This Row],[S1]])</f>
        <v>0</v>
      </c>
      <c r="AA95" s="143">
        <f>(((BetTable[[#This Row],[O2]]-1)*BetTable[[#This Row],[S2]])*(1-(BetTable[[#This Row],[C% 2]]))+BetTable[[#This Row],[S2]])</f>
        <v>0</v>
      </c>
      <c r="AB95" s="143">
        <f>(((BetTable[[#This Row],[O3]]-1)*BetTable[[#This Row],[S3]])*(1-(BetTable[[#This Row],[C% 3]]))+BetTable[[#This Row],[S3]])</f>
        <v>0</v>
      </c>
      <c r="AC95" s="147" t="str">
        <f>IFERROR(IF(BetTable[[#This Row],[Sp]]="","",BetTable[[#This Row],[R1]]/BetTable[[#This Row],[TS]]),"")</f>
        <v/>
      </c>
      <c r="AD95" s="147" t="str">
        <f>IF(BetTable[[#This Row],[O2]]="","",BetTable[[#This Row],[R2]]/BetTable[[#This Row],[TS]])</f>
        <v/>
      </c>
      <c r="AE95" s="147" t="str">
        <f>IFERROR(IF(BetTable[[#This Row],[Sp]]="","",BetTable[[#This Row],[R3]]/BetTable[[#This Row],[TS]]),"")</f>
        <v/>
      </c>
      <c r="AF95" s="147" t="str">
        <f>IFERROR(IF(BetTable[[#This Row],[Outcome1]]="","",BetTable[[#This Row],[AR]]/BetTable[[#This Row],[TS]]),"")</f>
        <v/>
      </c>
      <c r="AG9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5" s="57" t="e">
        <f>IF(BetTable[[#This Row],[Outcome1]]="",AJ94,BetTable[[#This Row],[AR]]+AJ94)</f>
        <v>#REF!</v>
      </c>
      <c r="AK95" s="39"/>
    </row>
    <row r="96" spans="1:37">
      <c r="A96" s="144"/>
      <c r="B96" s="39"/>
      <c r="C96" s="40"/>
      <c r="D96" s="40"/>
      <c r="E96" s="40"/>
      <c r="F96" s="152"/>
      <c r="G96" s="152"/>
      <c r="H96" s="152"/>
      <c r="I96" s="39"/>
      <c r="J96" s="54"/>
      <c r="K96" s="54"/>
      <c r="L96" s="54"/>
      <c r="M96" s="57"/>
      <c r="N96" s="57"/>
      <c r="O96" s="57"/>
      <c r="P96" s="55"/>
      <c r="Q96" s="55"/>
      <c r="R96" s="55"/>
      <c r="S96" s="146" t="str">
        <f>IF(BetTable[[#This Row],[Sp]]="","",BetTable[[#This Row],[S1]]+BetTable[[#This Row],[S2]]+BetTable[[#This Row],[S3]])</f>
        <v/>
      </c>
      <c r="T96" s="143" t="str">
        <f>IF(BetTable[[#This Row],[O1]]="","",(BetTable[[#This Row],[WBA1-Commission]])-BetTable[[#This Row],[TS]])</f>
        <v/>
      </c>
      <c r="U96" s="143" t="str">
        <f>IF(BetTable[[#This Row],[O2]]="","",(BetTable[[#This Row],[WBA2-Commission]])-BetTable[[#This Row],[TS]])</f>
        <v/>
      </c>
      <c r="V96" s="143" t="str">
        <f>IF(BetTable[[#This Row],[O3]]="","",(BetTable[[#This Row],[WBA3-Commission]])-BetTable[[#This Row],[TS]])</f>
        <v/>
      </c>
      <c r="W96" s="143">
        <f>IF(NOT(ISBLANK(BetTable[[#This Row],[B1]])),1,0)+IF(NOT(ISBLANK(BetTable[[#This Row],[B2]])),1,0)+IF(NOT(ISBLANK(BetTable[[#This Row],[B3]])),1,0)</f>
        <v>0</v>
      </c>
      <c r="X96" s="143" t="str">
        <f>IF(BetTable[[#This Row],[Outcome1]]="","",BetTable[[#This Row],[WBA1]]+BetTable[[#This Row],[WBA2]]+BetTable[[#This Row],[WBA3]]-BetTable[[#This Row],[TS]])</f>
        <v/>
      </c>
      <c r="Y96" s="143" t="str">
        <f>IF(BetTable[[#This Row],[AR]]="","",BetTable[[#This Row],[AR]]/BetTable[[#This Row],[NumBookies]])</f>
        <v/>
      </c>
      <c r="Z96" s="143">
        <f>(((BetTable[[#This Row],[O1]]-1)*BetTable[[#This Row],[S1]])*(1-(BetTable[[#This Row],[C% 1]]))+BetTable[[#This Row],[S1]])</f>
        <v>0</v>
      </c>
      <c r="AA96" s="143">
        <f>(((BetTable[[#This Row],[O2]]-1)*BetTable[[#This Row],[S2]])*(1-(BetTable[[#This Row],[C% 2]]))+BetTable[[#This Row],[S2]])</f>
        <v>0</v>
      </c>
      <c r="AB96" s="143">
        <f>(((BetTable[[#This Row],[O3]]-1)*BetTable[[#This Row],[S3]])*(1-(BetTable[[#This Row],[C% 3]]))+BetTable[[#This Row],[S3]])</f>
        <v>0</v>
      </c>
      <c r="AC96" s="147" t="str">
        <f>IFERROR(IF(BetTable[[#This Row],[Sp]]="","",BetTable[[#This Row],[R1]]/BetTable[[#This Row],[TS]]),"")</f>
        <v/>
      </c>
      <c r="AD96" s="147" t="str">
        <f>IF(BetTable[[#This Row],[O2]]="","",BetTable[[#This Row],[R2]]/BetTable[[#This Row],[TS]])</f>
        <v/>
      </c>
      <c r="AE96" s="147" t="str">
        <f>IFERROR(IF(BetTable[[#This Row],[Sp]]="","",BetTable[[#This Row],[R3]]/BetTable[[#This Row],[TS]]),"")</f>
        <v/>
      </c>
      <c r="AF96" s="147" t="str">
        <f>IFERROR(IF(BetTable[[#This Row],[Outcome1]]="","",BetTable[[#This Row],[AR]]/BetTable[[#This Row],[TS]]),"")</f>
        <v/>
      </c>
      <c r="AG9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6" s="57" t="e">
        <f>IF(BetTable[[#This Row],[Outcome1]]="",AJ95,BetTable[[#This Row],[AR]]+AJ95)</f>
        <v>#REF!</v>
      </c>
      <c r="AK96" s="39"/>
    </row>
    <row r="97" spans="1:37">
      <c r="A97" s="144"/>
      <c r="B97" s="39"/>
      <c r="C97" s="40"/>
      <c r="D97" s="40"/>
      <c r="E97" s="40"/>
      <c r="F97" s="152"/>
      <c r="G97" s="152"/>
      <c r="H97" s="152"/>
      <c r="I97" s="39"/>
      <c r="J97" s="54"/>
      <c r="K97" s="54"/>
      <c r="L97" s="54"/>
      <c r="M97" s="57"/>
      <c r="N97" s="57"/>
      <c r="O97" s="57"/>
      <c r="P97" s="55"/>
      <c r="Q97" s="55"/>
      <c r="R97" s="55"/>
      <c r="S97" s="146" t="str">
        <f>IF(BetTable[[#This Row],[Sp]]="","",BetTable[[#This Row],[S1]]+BetTable[[#This Row],[S2]]+BetTable[[#This Row],[S3]])</f>
        <v/>
      </c>
      <c r="T97" s="143" t="str">
        <f>IF(BetTable[[#This Row],[O1]]="","",(BetTable[[#This Row],[WBA1-Commission]])-BetTable[[#This Row],[TS]])</f>
        <v/>
      </c>
      <c r="U97" s="143" t="str">
        <f>IF(BetTable[[#This Row],[O2]]="","",(BetTable[[#This Row],[WBA2-Commission]])-BetTable[[#This Row],[TS]])</f>
        <v/>
      </c>
      <c r="V97" s="143" t="str">
        <f>IF(BetTable[[#This Row],[O3]]="","",(BetTable[[#This Row],[WBA3-Commission]])-BetTable[[#This Row],[TS]])</f>
        <v/>
      </c>
      <c r="W97" s="143">
        <f>IF(NOT(ISBLANK(BetTable[[#This Row],[B1]])),1,0)+IF(NOT(ISBLANK(BetTable[[#This Row],[B2]])),1,0)+IF(NOT(ISBLANK(BetTable[[#This Row],[B3]])),1,0)</f>
        <v>0</v>
      </c>
      <c r="X97" s="143" t="str">
        <f>IF(BetTable[[#This Row],[Outcome1]]="","",BetTable[[#This Row],[WBA1]]+BetTable[[#This Row],[WBA2]]+BetTable[[#This Row],[WBA3]]-BetTable[[#This Row],[TS]])</f>
        <v/>
      </c>
      <c r="Y97" s="143" t="str">
        <f>IF(BetTable[[#This Row],[AR]]="","",BetTable[[#This Row],[AR]]/BetTable[[#This Row],[NumBookies]])</f>
        <v/>
      </c>
      <c r="Z97" s="143">
        <f>(((BetTable[[#This Row],[O1]]-1)*BetTable[[#This Row],[S1]])*(1-(BetTable[[#This Row],[C% 1]]))+BetTable[[#This Row],[S1]])</f>
        <v>0</v>
      </c>
      <c r="AA97" s="143">
        <f>(((BetTable[[#This Row],[O2]]-1)*BetTable[[#This Row],[S2]])*(1-(BetTable[[#This Row],[C% 2]]))+BetTable[[#This Row],[S2]])</f>
        <v>0</v>
      </c>
      <c r="AB97" s="143">
        <f>(((BetTable[[#This Row],[O3]]-1)*BetTable[[#This Row],[S3]])*(1-(BetTable[[#This Row],[C% 3]]))+BetTable[[#This Row],[S3]])</f>
        <v>0</v>
      </c>
      <c r="AC97" s="147" t="str">
        <f>IFERROR(IF(BetTable[[#This Row],[Sp]]="","",BetTable[[#This Row],[R1]]/BetTable[[#This Row],[TS]]),"")</f>
        <v/>
      </c>
      <c r="AD97" s="147" t="str">
        <f>IF(BetTable[[#This Row],[O2]]="","",BetTable[[#This Row],[R2]]/BetTable[[#This Row],[TS]])</f>
        <v/>
      </c>
      <c r="AE97" s="147" t="str">
        <f>IFERROR(IF(BetTable[[#This Row],[Sp]]="","",BetTable[[#This Row],[R3]]/BetTable[[#This Row],[TS]]),"")</f>
        <v/>
      </c>
      <c r="AF97" s="147" t="str">
        <f>IFERROR(IF(BetTable[[#This Row],[Outcome1]]="","",BetTable[[#This Row],[AR]]/BetTable[[#This Row],[TS]]),"")</f>
        <v/>
      </c>
      <c r="AG9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7" s="57" t="e">
        <f>IF(BetTable[[#This Row],[Outcome1]]="",AJ96,BetTable[[#This Row],[AR]]+AJ96)</f>
        <v>#REF!</v>
      </c>
      <c r="AK97" s="39"/>
    </row>
    <row r="98" spans="1:37">
      <c r="A98" s="144"/>
      <c r="B98" s="39"/>
      <c r="C98" s="40"/>
      <c r="D98" s="40"/>
      <c r="E98" s="40"/>
      <c r="F98" s="152"/>
      <c r="G98" s="152"/>
      <c r="H98" s="152"/>
      <c r="I98" s="39"/>
      <c r="J98" s="54"/>
      <c r="K98" s="54"/>
      <c r="L98" s="54"/>
      <c r="M98" s="57"/>
      <c r="N98" s="57"/>
      <c r="O98" s="57"/>
      <c r="P98" s="55"/>
      <c r="Q98" s="55"/>
      <c r="R98" s="55"/>
      <c r="S98" s="146" t="str">
        <f>IF(BetTable[[#This Row],[Sp]]="","",BetTable[[#This Row],[S1]]+BetTable[[#This Row],[S2]]+BetTable[[#This Row],[S3]])</f>
        <v/>
      </c>
      <c r="T98" s="143" t="str">
        <f>IF(BetTable[[#This Row],[O1]]="","",(BetTable[[#This Row],[WBA1-Commission]])-BetTable[[#This Row],[TS]])</f>
        <v/>
      </c>
      <c r="U98" s="143" t="str">
        <f>IF(BetTable[[#This Row],[O2]]="","",(BetTable[[#This Row],[WBA2-Commission]])-BetTable[[#This Row],[TS]])</f>
        <v/>
      </c>
      <c r="V98" s="143" t="str">
        <f>IF(BetTable[[#This Row],[O3]]="","",(BetTable[[#This Row],[WBA3-Commission]])-BetTable[[#This Row],[TS]])</f>
        <v/>
      </c>
      <c r="W98" s="143">
        <f>IF(NOT(ISBLANK(BetTable[[#This Row],[B1]])),1,0)+IF(NOT(ISBLANK(BetTable[[#This Row],[B2]])),1,0)+IF(NOT(ISBLANK(BetTable[[#This Row],[B3]])),1,0)</f>
        <v>0</v>
      </c>
      <c r="X98" s="143" t="str">
        <f>IF(BetTable[[#This Row],[Outcome1]]="","",BetTable[[#This Row],[WBA1]]+BetTable[[#This Row],[WBA2]]+BetTable[[#This Row],[WBA3]]-BetTable[[#This Row],[TS]])</f>
        <v/>
      </c>
      <c r="Y98" s="143" t="str">
        <f>IF(BetTable[[#This Row],[AR]]="","",BetTable[[#This Row],[AR]]/BetTable[[#This Row],[NumBookies]])</f>
        <v/>
      </c>
      <c r="Z98" s="143">
        <f>(((BetTable[[#This Row],[O1]]-1)*BetTable[[#This Row],[S1]])*(1-(BetTable[[#This Row],[C% 1]]))+BetTable[[#This Row],[S1]])</f>
        <v>0</v>
      </c>
      <c r="AA98" s="143">
        <f>(((BetTable[[#This Row],[O2]]-1)*BetTable[[#This Row],[S2]])*(1-(BetTable[[#This Row],[C% 2]]))+BetTable[[#This Row],[S2]])</f>
        <v>0</v>
      </c>
      <c r="AB98" s="143">
        <f>(((BetTable[[#This Row],[O3]]-1)*BetTable[[#This Row],[S3]])*(1-(BetTable[[#This Row],[C% 3]]))+BetTable[[#This Row],[S3]])</f>
        <v>0</v>
      </c>
      <c r="AC98" s="147" t="str">
        <f>IFERROR(IF(BetTable[[#This Row],[Sp]]="","",BetTable[[#This Row],[R1]]/BetTable[[#This Row],[TS]]),"")</f>
        <v/>
      </c>
      <c r="AD98" s="147" t="str">
        <f>IF(BetTable[[#This Row],[O2]]="","",BetTable[[#This Row],[R2]]/BetTable[[#This Row],[TS]])</f>
        <v/>
      </c>
      <c r="AE98" s="147" t="str">
        <f>IFERROR(IF(BetTable[[#This Row],[Sp]]="","",BetTable[[#This Row],[R3]]/BetTable[[#This Row],[TS]]),"")</f>
        <v/>
      </c>
      <c r="AF98" s="147" t="str">
        <f>IFERROR(IF(BetTable[[#This Row],[Outcome1]]="","",BetTable[[#This Row],[AR]]/BetTable[[#This Row],[TS]]),"")</f>
        <v/>
      </c>
      <c r="AG9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8" s="57" t="e">
        <f>IF(BetTable[[#This Row],[Outcome1]]="",AJ97,BetTable[[#This Row],[AR]]+AJ97)</f>
        <v>#REF!</v>
      </c>
      <c r="AK98" s="39"/>
    </row>
    <row r="99" spans="1:37">
      <c r="A99" s="144"/>
      <c r="B99" s="39"/>
      <c r="C99" s="40"/>
      <c r="D99" s="40"/>
      <c r="E99" s="40"/>
      <c r="F99" s="152"/>
      <c r="G99" s="152"/>
      <c r="H99" s="152"/>
      <c r="I99" s="39"/>
      <c r="J99" s="54"/>
      <c r="K99" s="54"/>
      <c r="L99" s="54"/>
      <c r="M99" s="57"/>
      <c r="N99" s="57"/>
      <c r="O99" s="57"/>
      <c r="P99" s="55"/>
      <c r="Q99" s="55"/>
      <c r="R99" s="55"/>
      <c r="S99" s="146" t="str">
        <f>IF(BetTable[[#This Row],[Sp]]="","",BetTable[[#This Row],[S1]]+BetTable[[#This Row],[S2]]+BetTable[[#This Row],[S3]])</f>
        <v/>
      </c>
      <c r="T99" s="143" t="str">
        <f>IF(BetTable[[#This Row],[O1]]="","",(BetTable[[#This Row],[WBA1-Commission]])-BetTable[[#This Row],[TS]])</f>
        <v/>
      </c>
      <c r="U99" s="143" t="str">
        <f>IF(BetTable[[#This Row],[O2]]="","",(BetTable[[#This Row],[WBA2-Commission]])-BetTable[[#This Row],[TS]])</f>
        <v/>
      </c>
      <c r="V99" s="143" t="str">
        <f>IF(BetTable[[#This Row],[O3]]="","",(BetTable[[#This Row],[WBA3-Commission]])-BetTable[[#This Row],[TS]])</f>
        <v/>
      </c>
      <c r="W99" s="143">
        <f>IF(NOT(ISBLANK(BetTable[[#This Row],[B1]])),1,0)+IF(NOT(ISBLANK(BetTable[[#This Row],[B2]])),1,0)+IF(NOT(ISBLANK(BetTable[[#This Row],[B3]])),1,0)</f>
        <v>0</v>
      </c>
      <c r="X99" s="143" t="str">
        <f>IF(BetTable[[#This Row],[Outcome1]]="","",BetTable[[#This Row],[WBA1]]+BetTable[[#This Row],[WBA2]]+BetTable[[#This Row],[WBA3]]-BetTable[[#This Row],[TS]])</f>
        <v/>
      </c>
      <c r="Y99" s="143" t="str">
        <f>IF(BetTable[[#This Row],[AR]]="","",BetTable[[#This Row],[AR]]/BetTable[[#This Row],[NumBookies]])</f>
        <v/>
      </c>
      <c r="Z99" s="143">
        <f>(((BetTable[[#This Row],[O1]]-1)*BetTable[[#This Row],[S1]])*(1-(BetTable[[#This Row],[C% 1]]))+BetTable[[#This Row],[S1]])</f>
        <v>0</v>
      </c>
      <c r="AA99" s="143">
        <f>(((BetTable[[#This Row],[O2]]-1)*BetTable[[#This Row],[S2]])*(1-(BetTable[[#This Row],[C% 2]]))+BetTable[[#This Row],[S2]])</f>
        <v>0</v>
      </c>
      <c r="AB99" s="143">
        <f>(((BetTable[[#This Row],[O3]]-1)*BetTable[[#This Row],[S3]])*(1-(BetTable[[#This Row],[C% 3]]))+BetTable[[#This Row],[S3]])</f>
        <v>0</v>
      </c>
      <c r="AC99" s="147" t="str">
        <f>IFERROR(IF(BetTable[[#This Row],[Sp]]="","",BetTable[[#This Row],[R1]]/BetTable[[#This Row],[TS]]),"")</f>
        <v/>
      </c>
      <c r="AD99" s="147" t="str">
        <f>IF(BetTable[[#This Row],[O2]]="","",BetTable[[#This Row],[R2]]/BetTable[[#This Row],[TS]])</f>
        <v/>
      </c>
      <c r="AE99" s="147" t="str">
        <f>IFERROR(IF(BetTable[[#This Row],[Sp]]="","",BetTable[[#This Row],[R3]]/BetTable[[#This Row],[TS]]),"")</f>
        <v/>
      </c>
      <c r="AF99" s="147" t="str">
        <f>IFERROR(IF(BetTable[[#This Row],[Outcome1]]="","",BetTable[[#This Row],[AR]]/BetTable[[#This Row],[TS]]),"")</f>
        <v/>
      </c>
      <c r="AG9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9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9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99" s="57" t="e">
        <f>IF(BetTable[[#This Row],[Outcome1]]="",AJ98,BetTable[[#This Row],[AR]]+AJ98)</f>
        <v>#REF!</v>
      </c>
      <c r="AK99" s="39"/>
    </row>
    <row r="100" spans="1:37">
      <c r="A100" s="144"/>
      <c r="B100" s="39"/>
      <c r="C100" s="40"/>
      <c r="D100" s="40"/>
      <c r="E100" s="40"/>
      <c r="F100" s="152"/>
      <c r="G100" s="152"/>
      <c r="H100" s="152"/>
      <c r="I100" s="39"/>
      <c r="J100" s="54"/>
      <c r="K100" s="54"/>
      <c r="L100" s="54"/>
      <c r="M100" s="57"/>
      <c r="N100" s="57"/>
      <c r="O100" s="57"/>
      <c r="P100" s="55"/>
      <c r="Q100" s="55"/>
      <c r="R100" s="55"/>
      <c r="S100" s="146" t="str">
        <f>IF(BetTable[[#This Row],[Sp]]="","",BetTable[[#This Row],[S1]]+BetTable[[#This Row],[S2]]+BetTable[[#This Row],[S3]])</f>
        <v/>
      </c>
      <c r="T100" s="143" t="str">
        <f>IF(BetTable[[#This Row],[O1]]="","",(BetTable[[#This Row],[WBA1-Commission]])-BetTable[[#This Row],[TS]])</f>
        <v/>
      </c>
      <c r="U100" s="143" t="str">
        <f>IF(BetTable[[#This Row],[O2]]="","",(BetTable[[#This Row],[WBA2-Commission]])-BetTable[[#This Row],[TS]])</f>
        <v/>
      </c>
      <c r="V100" s="143" t="str">
        <f>IF(BetTable[[#This Row],[O3]]="","",(BetTable[[#This Row],[WBA3-Commission]])-BetTable[[#This Row],[TS]])</f>
        <v/>
      </c>
      <c r="W100" s="143">
        <f>IF(NOT(ISBLANK(BetTable[[#This Row],[B1]])),1,0)+IF(NOT(ISBLANK(BetTable[[#This Row],[B2]])),1,0)+IF(NOT(ISBLANK(BetTable[[#This Row],[B3]])),1,0)</f>
        <v>0</v>
      </c>
      <c r="X100" s="143" t="str">
        <f>IF(BetTable[[#This Row],[Outcome1]]="","",BetTable[[#This Row],[WBA1]]+BetTable[[#This Row],[WBA2]]+BetTable[[#This Row],[WBA3]]-BetTable[[#This Row],[TS]])</f>
        <v/>
      </c>
      <c r="Y100" s="143" t="str">
        <f>IF(BetTable[[#This Row],[AR]]="","",BetTable[[#This Row],[AR]]/BetTable[[#This Row],[NumBookies]])</f>
        <v/>
      </c>
      <c r="Z100" s="143">
        <f>(((BetTable[[#This Row],[O1]]-1)*BetTable[[#This Row],[S1]])*(1-(BetTable[[#This Row],[C% 1]]))+BetTable[[#This Row],[S1]])</f>
        <v>0</v>
      </c>
      <c r="AA100" s="143">
        <f>(((BetTable[[#This Row],[O2]]-1)*BetTable[[#This Row],[S2]])*(1-(BetTable[[#This Row],[C% 2]]))+BetTable[[#This Row],[S2]])</f>
        <v>0</v>
      </c>
      <c r="AB100" s="143">
        <f>(((BetTable[[#This Row],[O3]]-1)*BetTable[[#This Row],[S3]])*(1-(BetTable[[#This Row],[C% 3]]))+BetTable[[#This Row],[S3]])</f>
        <v>0</v>
      </c>
      <c r="AC100" s="147" t="str">
        <f>IFERROR(IF(BetTable[[#This Row],[Sp]]="","",BetTable[[#This Row],[R1]]/BetTable[[#This Row],[TS]]),"")</f>
        <v/>
      </c>
      <c r="AD100" s="147" t="str">
        <f>IF(BetTable[[#This Row],[O2]]="","",BetTable[[#This Row],[R2]]/BetTable[[#This Row],[TS]])</f>
        <v/>
      </c>
      <c r="AE100" s="147" t="str">
        <f>IFERROR(IF(BetTable[[#This Row],[Sp]]="","",BetTable[[#This Row],[R3]]/BetTable[[#This Row],[TS]]),"")</f>
        <v/>
      </c>
      <c r="AF100" s="147" t="str">
        <f>IFERROR(IF(BetTable[[#This Row],[Outcome1]]="","",BetTable[[#This Row],[AR]]/BetTable[[#This Row],[TS]]),"")</f>
        <v/>
      </c>
      <c r="AG10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0" s="57" t="e">
        <f>IF(BetTable[[#This Row],[Outcome1]]="",AJ99,BetTable[[#This Row],[AR]]+AJ99)</f>
        <v>#REF!</v>
      </c>
      <c r="AK100" s="39"/>
    </row>
    <row r="101" spans="1:37">
      <c r="A101" s="144"/>
      <c r="B101" s="39"/>
      <c r="C101" s="40"/>
      <c r="D101" s="40"/>
      <c r="E101" s="40"/>
      <c r="F101" s="152"/>
      <c r="G101" s="152"/>
      <c r="H101" s="152"/>
      <c r="I101" s="39"/>
      <c r="J101" s="54"/>
      <c r="K101" s="54"/>
      <c r="L101" s="54"/>
      <c r="M101" s="57"/>
      <c r="N101" s="57"/>
      <c r="O101" s="57"/>
      <c r="P101" s="55"/>
      <c r="Q101" s="55"/>
      <c r="R101" s="55"/>
      <c r="S101" s="146" t="str">
        <f>IF(BetTable[[#This Row],[Sp]]="","",BetTable[[#This Row],[S1]]+BetTable[[#This Row],[S2]]+BetTable[[#This Row],[S3]])</f>
        <v/>
      </c>
      <c r="T101" s="143" t="str">
        <f>IF(BetTable[[#This Row],[O1]]="","",(BetTable[[#This Row],[WBA1-Commission]])-BetTable[[#This Row],[TS]])</f>
        <v/>
      </c>
      <c r="U101" s="143" t="str">
        <f>IF(BetTable[[#This Row],[O2]]="","",(BetTable[[#This Row],[WBA2-Commission]])-BetTable[[#This Row],[TS]])</f>
        <v/>
      </c>
      <c r="V101" s="143" t="str">
        <f>IF(BetTable[[#This Row],[O3]]="","",(BetTable[[#This Row],[WBA3-Commission]])-BetTable[[#This Row],[TS]])</f>
        <v/>
      </c>
      <c r="W101" s="143">
        <f>IF(NOT(ISBLANK(BetTable[[#This Row],[B1]])),1,0)+IF(NOT(ISBLANK(BetTable[[#This Row],[B2]])),1,0)+IF(NOT(ISBLANK(BetTable[[#This Row],[B3]])),1,0)</f>
        <v>0</v>
      </c>
      <c r="X101" s="143" t="str">
        <f>IF(BetTable[[#This Row],[Outcome1]]="","",BetTable[[#This Row],[WBA1]]+BetTable[[#This Row],[WBA2]]+BetTable[[#This Row],[WBA3]]-BetTable[[#This Row],[TS]])</f>
        <v/>
      </c>
      <c r="Y101" s="143" t="str">
        <f>IF(BetTable[[#This Row],[AR]]="","",BetTable[[#This Row],[AR]]/BetTable[[#This Row],[NumBookies]])</f>
        <v/>
      </c>
      <c r="Z101" s="143">
        <f>(((BetTable[[#This Row],[O1]]-1)*BetTable[[#This Row],[S1]])*(1-(BetTable[[#This Row],[C% 1]]))+BetTable[[#This Row],[S1]])</f>
        <v>0</v>
      </c>
      <c r="AA101" s="143">
        <f>(((BetTable[[#This Row],[O2]]-1)*BetTable[[#This Row],[S2]])*(1-(BetTable[[#This Row],[C% 2]]))+BetTable[[#This Row],[S2]])</f>
        <v>0</v>
      </c>
      <c r="AB101" s="143">
        <f>(((BetTable[[#This Row],[O3]]-1)*BetTable[[#This Row],[S3]])*(1-(BetTable[[#This Row],[C% 3]]))+BetTable[[#This Row],[S3]])</f>
        <v>0</v>
      </c>
      <c r="AC101" s="147" t="str">
        <f>IFERROR(IF(BetTable[[#This Row],[Sp]]="","",BetTable[[#This Row],[R1]]/BetTable[[#This Row],[TS]]),"")</f>
        <v/>
      </c>
      <c r="AD101" s="147" t="str">
        <f>IF(BetTable[[#This Row],[O2]]="","",BetTable[[#This Row],[R2]]/BetTable[[#This Row],[TS]])</f>
        <v/>
      </c>
      <c r="AE101" s="147" t="str">
        <f>IFERROR(IF(BetTable[[#This Row],[Sp]]="","",BetTable[[#This Row],[R3]]/BetTable[[#This Row],[TS]]),"")</f>
        <v/>
      </c>
      <c r="AF101" s="147" t="str">
        <f>IFERROR(IF(BetTable[[#This Row],[Outcome1]]="","",BetTable[[#This Row],[AR]]/BetTable[[#This Row],[TS]]),"")</f>
        <v/>
      </c>
      <c r="AG10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1" s="57" t="e">
        <f>IF(BetTable[[#This Row],[Outcome1]]="",AJ100,BetTable[[#This Row],[AR]]+AJ100)</f>
        <v>#REF!</v>
      </c>
      <c r="AK101" s="39"/>
    </row>
    <row r="102" spans="1:37">
      <c r="A102" s="144"/>
      <c r="B102" s="39"/>
      <c r="C102" s="40"/>
      <c r="D102" s="40"/>
      <c r="E102" s="40"/>
      <c r="F102" s="152"/>
      <c r="G102" s="152"/>
      <c r="H102" s="152"/>
      <c r="I102" s="39"/>
      <c r="J102" s="54"/>
      <c r="K102" s="54"/>
      <c r="L102" s="54"/>
      <c r="M102" s="57"/>
      <c r="N102" s="57"/>
      <c r="O102" s="57"/>
      <c r="P102" s="55"/>
      <c r="Q102" s="55"/>
      <c r="R102" s="55"/>
      <c r="S102" s="146" t="str">
        <f>IF(BetTable[[#This Row],[Sp]]="","",BetTable[[#This Row],[S1]]+BetTable[[#This Row],[S2]]+BetTable[[#This Row],[S3]])</f>
        <v/>
      </c>
      <c r="T102" s="143" t="str">
        <f>IF(BetTable[[#This Row],[O1]]="","",(BetTable[[#This Row],[WBA1-Commission]])-BetTable[[#This Row],[TS]])</f>
        <v/>
      </c>
      <c r="U102" s="143" t="str">
        <f>IF(BetTable[[#This Row],[O2]]="","",(BetTable[[#This Row],[WBA2-Commission]])-BetTable[[#This Row],[TS]])</f>
        <v/>
      </c>
      <c r="V102" s="143" t="str">
        <f>IF(BetTable[[#This Row],[O3]]="","",(BetTable[[#This Row],[WBA3-Commission]])-BetTable[[#This Row],[TS]])</f>
        <v/>
      </c>
      <c r="W102" s="143">
        <f>IF(NOT(ISBLANK(BetTable[[#This Row],[B1]])),1,0)+IF(NOT(ISBLANK(BetTable[[#This Row],[B2]])),1,0)+IF(NOT(ISBLANK(BetTable[[#This Row],[B3]])),1,0)</f>
        <v>0</v>
      </c>
      <c r="X102" s="143" t="str">
        <f>IF(BetTable[[#This Row],[Outcome1]]="","",BetTable[[#This Row],[WBA1]]+BetTable[[#This Row],[WBA2]]+BetTable[[#This Row],[WBA3]]-BetTable[[#This Row],[TS]])</f>
        <v/>
      </c>
      <c r="Y102" s="143" t="str">
        <f>IF(BetTable[[#This Row],[AR]]="","",BetTable[[#This Row],[AR]]/BetTable[[#This Row],[NumBookies]])</f>
        <v/>
      </c>
      <c r="Z102" s="143">
        <f>(((BetTable[[#This Row],[O1]]-1)*BetTable[[#This Row],[S1]])*(1-(BetTable[[#This Row],[C% 1]]))+BetTable[[#This Row],[S1]])</f>
        <v>0</v>
      </c>
      <c r="AA102" s="143">
        <f>(((BetTable[[#This Row],[O2]]-1)*BetTable[[#This Row],[S2]])*(1-(BetTable[[#This Row],[C% 2]]))+BetTable[[#This Row],[S2]])</f>
        <v>0</v>
      </c>
      <c r="AB102" s="143">
        <f>(((BetTable[[#This Row],[O3]]-1)*BetTable[[#This Row],[S3]])*(1-(BetTable[[#This Row],[C% 3]]))+BetTable[[#This Row],[S3]])</f>
        <v>0</v>
      </c>
      <c r="AC102" s="147" t="str">
        <f>IFERROR(IF(BetTable[[#This Row],[Sp]]="","",BetTable[[#This Row],[R1]]/BetTable[[#This Row],[TS]]),"")</f>
        <v/>
      </c>
      <c r="AD102" s="147" t="str">
        <f>IF(BetTable[[#This Row],[O2]]="","",BetTable[[#This Row],[R2]]/BetTable[[#This Row],[TS]])</f>
        <v/>
      </c>
      <c r="AE102" s="147" t="str">
        <f>IFERROR(IF(BetTable[[#This Row],[Sp]]="","",BetTable[[#This Row],[R3]]/BetTable[[#This Row],[TS]]),"")</f>
        <v/>
      </c>
      <c r="AF102" s="147" t="str">
        <f>IFERROR(IF(BetTable[[#This Row],[Outcome1]]="","",BetTable[[#This Row],[AR]]/BetTable[[#This Row],[TS]]),"")</f>
        <v/>
      </c>
      <c r="AG10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2" s="57" t="e">
        <f>IF(BetTable[[#This Row],[Outcome1]]="",AJ101,BetTable[[#This Row],[AR]]+AJ101)</f>
        <v>#REF!</v>
      </c>
      <c r="AK102" s="39"/>
    </row>
    <row r="103" spans="1:37">
      <c r="A103" s="144"/>
      <c r="B103" s="39"/>
      <c r="C103" s="40"/>
      <c r="D103" s="40"/>
      <c r="E103" s="40"/>
      <c r="F103" s="152"/>
      <c r="G103" s="152"/>
      <c r="H103" s="152"/>
      <c r="I103" s="39"/>
      <c r="J103" s="54"/>
      <c r="K103" s="54"/>
      <c r="L103" s="54"/>
      <c r="M103" s="57"/>
      <c r="N103" s="57"/>
      <c r="O103" s="57"/>
      <c r="P103" s="55"/>
      <c r="Q103" s="55"/>
      <c r="R103" s="55"/>
      <c r="S103" s="146" t="str">
        <f>IF(BetTable[[#This Row],[Sp]]="","",BetTable[[#This Row],[S1]]+BetTable[[#This Row],[S2]]+BetTable[[#This Row],[S3]])</f>
        <v/>
      </c>
      <c r="T103" s="143" t="str">
        <f>IF(BetTable[[#This Row],[O1]]="","",(BetTable[[#This Row],[WBA1-Commission]])-BetTable[[#This Row],[TS]])</f>
        <v/>
      </c>
      <c r="U103" s="143" t="str">
        <f>IF(BetTable[[#This Row],[O2]]="","",(BetTable[[#This Row],[WBA2-Commission]])-BetTable[[#This Row],[TS]])</f>
        <v/>
      </c>
      <c r="V103" s="143" t="str">
        <f>IF(BetTable[[#This Row],[O3]]="","",(BetTable[[#This Row],[WBA3-Commission]])-BetTable[[#This Row],[TS]])</f>
        <v/>
      </c>
      <c r="W103" s="143">
        <f>IF(NOT(ISBLANK(BetTable[[#This Row],[B1]])),1,0)+IF(NOT(ISBLANK(BetTable[[#This Row],[B2]])),1,0)+IF(NOT(ISBLANK(BetTable[[#This Row],[B3]])),1,0)</f>
        <v>0</v>
      </c>
      <c r="X103" s="143" t="str">
        <f>IF(BetTable[[#This Row],[Outcome1]]="","",BetTable[[#This Row],[WBA1]]+BetTable[[#This Row],[WBA2]]+BetTable[[#This Row],[WBA3]]-BetTable[[#This Row],[TS]])</f>
        <v/>
      </c>
      <c r="Y103" s="143" t="str">
        <f>IF(BetTable[[#This Row],[AR]]="","",BetTable[[#This Row],[AR]]/BetTable[[#This Row],[NumBookies]])</f>
        <v/>
      </c>
      <c r="Z103" s="143">
        <f>(((BetTable[[#This Row],[O1]]-1)*BetTable[[#This Row],[S1]])*(1-(BetTable[[#This Row],[C% 1]]))+BetTable[[#This Row],[S1]])</f>
        <v>0</v>
      </c>
      <c r="AA103" s="143">
        <f>(((BetTable[[#This Row],[O2]]-1)*BetTable[[#This Row],[S2]])*(1-(BetTable[[#This Row],[C% 2]]))+BetTable[[#This Row],[S2]])</f>
        <v>0</v>
      </c>
      <c r="AB103" s="143">
        <f>(((BetTable[[#This Row],[O3]]-1)*BetTable[[#This Row],[S3]])*(1-(BetTable[[#This Row],[C% 3]]))+BetTable[[#This Row],[S3]])</f>
        <v>0</v>
      </c>
      <c r="AC103" s="147" t="str">
        <f>IFERROR(IF(BetTable[[#This Row],[Sp]]="","",BetTable[[#This Row],[R1]]/BetTable[[#This Row],[TS]]),"")</f>
        <v/>
      </c>
      <c r="AD103" s="147" t="str">
        <f>IF(BetTable[[#This Row],[O2]]="","",BetTable[[#This Row],[R2]]/BetTable[[#This Row],[TS]])</f>
        <v/>
      </c>
      <c r="AE103" s="147" t="str">
        <f>IFERROR(IF(BetTable[[#This Row],[Sp]]="","",BetTable[[#This Row],[R3]]/BetTable[[#This Row],[TS]]),"")</f>
        <v/>
      </c>
      <c r="AF103" s="147" t="str">
        <f>IFERROR(IF(BetTable[[#This Row],[Outcome1]]="","",BetTable[[#This Row],[AR]]/BetTable[[#This Row],[TS]]),"")</f>
        <v/>
      </c>
      <c r="AG10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3" s="57" t="e">
        <f>IF(BetTable[[#This Row],[Outcome1]]="",AJ102,BetTable[[#This Row],[AR]]+AJ102)</f>
        <v>#REF!</v>
      </c>
      <c r="AK103" s="39"/>
    </row>
    <row r="104" spans="1:37">
      <c r="A104" s="144"/>
      <c r="B104" s="39"/>
      <c r="C104" s="40"/>
      <c r="D104" s="40"/>
      <c r="E104" s="40"/>
      <c r="F104" s="152"/>
      <c r="G104" s="152"/>
      <c r="H104" s="152"/>
      <c r="I104" s="39"/>
      <c r="J104" s="54"/>
      <c r="K104" s="54"/>
      <c r="L104" s="54"/>
      <c r="M104" s="57"/>
      <c r="N104" s="57"/>
      <c r="O104" s="57"/>
      <c r="P104" s="55"/>
      <c r="Q104" s="55"/>
      <c r="R104" s="55"/>
      <c r="S104" s="146" t="str">
        <f>IF(BetTable[[#This Row],[Sp]]="","",BetTable[[#This Row],[S1]]+BetTable[[#This Row],[S2]]+BetTable[[#This Row],[S3]])</f>
        <v/>
      </c>
      <c r="T104" s="143" t="str">
        <f>IF(BetTable[[#This Row],[O1]]="","",(BetTable[[#This Row],[WBA1-Commission]])-BetTable[[#This Row],[TS]])</f>
        <v/>
      </c>
      <c r="U104" s="143" t="str">
        <f>IF(BetTable[[#This Row],[O2]]="","",(BetTable[[#This Row],[WBA2-Commission]])-BetTable[[#This Row],[TS]])</f>
        <v/>
      </c>
      <c r="V104" s="143" t="str">
        <f>IF(BetTable[[#This Row],[O3]]="","",(BetTable[[#This Row],[WBA3-Commission]])-BetTable[[#This Row],[TS]])</f>
        <v/>
      </c>
      <c r="W104" s="143">
        <f>IF(NOT(ISBLANK(BetTable[[#This Row],[B1]])),1,0)+IF(NOT(ISBLANK(BetTable[[#This Row],[B2]])),1,0)+IF(NOT(ISBLANK(BetTable[[#This Row],[B3]])),1,0)</f>
        <v>0</v>
      </c>
      <c r="X104" s="143" t="str">
        <f>IF(BetTable[[#This Row],[Outcome1]]="","",BetTable[[#This Row],[WBA1]]+BetTable[[#This Row],[WBA2]]+BetTable[[#This Row],[WBA3]]-BetTable[[#This Row],[TS]])</f>
        <v/>
      </c>
      <c r="Y104" s="143" t="str">
        <f>IF(BetTable[[#This Row],[AR]]="","",BetTable[[#This Row],[AR]]/BetTable[[#This Row],[NumBookies]])</f>
        <v/>
      </c>
      <c r="Z104" s="143">
        <f>(((BetTable[[#This Row],[O1]]-1)*BetTable[[#This Row],[S1]])*(1-(BetTable[[#This Row],[C% 1]]))+BetTable[[#This Row],[S1]])</f>
        <v>0</v>
      </c>
      <c r="AA104" s="143">
        <f>(((BetTable[[#This Row],[O2]]-1)*BetTable[[#This Row],[S2]])*(1-(BetTable[[#This Row],[C% 2]]))+BetTable[[#This Row],[S2]])</f>
        <v>0</v>
      </c>
      <c r="AB104" s="143">
        <f>(((BetTable[[#This Row],[O3]]-1)*BetTable[[#This Row],[S3]])*(1-(BetTable[[#This Row],[C% 3]]))+BetTable[[#This Row],[S3]])</f>
        <v>0</v>
      </c>
      <c r="AC104" s="147" t="str">
        <f>IFERROR(IF(BetTable[[#This Row],[Sp]]="","",BetTable[[#This Row],[R1]]/BetTable[[#This Row],[TS]]),"")</f>
        <v/>
      </c>
      <c r="AD104" s="147" t="str">
        <f>IF(BetTable[[#This Row],[O2]]="","",BetTable[[#This Row],[R2]]/BetTable[[#This Row],[TS]])</f>
        <v/>
      </c>
      <c r="AE104" s="147" t="str">
        <f>IFERROR(IF(BetTable[[#This Row],[Sp]]="","",BetTable[[#This Row],[R3]]/BetTable[[#This Row],[TS]]),"")</f>
        <v/>
      </c>
      <c r="AF104" s="147" t="str">
        <f>IFERROR(IF(BetTable[[#This Row],[Outcome1]]="","",BetTable[[#This Row],[AR]]/BetTable[[#This Row],[TS]]),"")</f>
        <v/>
      </c>
      <c r="AG10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4" s="57" t="e">
        <f>IF(BetTable[[#This Row],[Outcome1]]="",AJ103,BetTable[[#This Row],[AR]]+AJ103)</f>
        <v>#REF!</v>
      </c>
      <c r="AK104" s="39"/>
    </row>
    <row r="105" spans="1:37">
      <c r="A105" s="144"/>
      <c r="B105" s="39"/>
      <c r="C105" s="40"/>
      <c r="D105" s="40"/>
      <c r="E105" s="40"/>
      <c r="F105" s="152"/>
      <c r="G105" s="152"/>
      <c r="H105" s="152"/>
      <c r="I105" s="39"/>
      <c r="J105" s="54"/>
      <c r="K105" s="54"/>
      <c r="L105" s="54"/>
      <c r="M105" s="57"/>
      <c r="N105" s="57"/>
      <c r="O105" s="57"/>
      <c r="P105" s="55"/>
      <c r="Q105" s="55"/>
      <c r="R105" s="55"/>
      <c r="S105" s="146" t="str">
        <f>IF(BetTable[[#This Row],[Sp]]="","",BetTable[[#This Row],[S1]]+BetTable[[#This Row],[S2]]+BetTable[[#This Row],[S3]])</f>
        <v/>
      </c>
      <c r="T105" s="143" t="str">
        <f>IF(BetTable[[#This Row],[O1]]="","",(BetTable[[#This Row],[WBA1-Commission]])-BetTable[[#This Row],[TS]])</f>
        <v/>
      </c>
      <c r="U105" s="143" t="str">
        <f>IF(BetTable[[#This Row],[O2]]="","",(BetTable[[#This Row],[WBA2-Commission]])-BetTable[[#This Row],[TS]])</f>
        <v/>
      </c>
      <c r="V105" s="143" t="str">
        <f>IF(BetTable[[#This Row],[O3]]="","",(BetTable[[#This Row],[WBA3-Commission]])-BetTable[[#This Row],[TS]])</f>
        <v/>
      </c>
      <c r="W105" s="143">
        <f>IF(NOT(ISBLANK(BetTable[[#This Row],[B1]])),1,0)+IF(NOT(ISBLANK(BetTable[[#This Row],[B2]])),1,0)+IF(NOT(ISBLANK(BetTable[[#This Row],[B3]])),1,0)</f>
        <v>0</v>
      </c>
      <c r="X105" s="143" t="str">
        <f>IF(BetTable[[#This Row],[Outcome1]]="","",BetTable[[#This Row],[WBA1]]+BetTable[[#This Row],[WBA2]]+BetTable[[#This Row],[WBA3]]-BetTable[[#This Row],[TS]])</f>
        <v/>
      </c>
      <c r="Y105" s="143" t="str">
        <f>IF(BetTable[[#This Row],[AR]]="","",BetTable[[#This Row],[AR]]/BetTable[[#This Row],[NumBookies]])</f>
        <v/>
      </c>
      <c r="Z105" s="143">
        <f>(((BetTable[[#This Row],[O1]]-1)*BetTable[[#This Row],[S1]])*(1-(BetTable[[#This Row],[C% 1]]))+BetTable[[#This Row],[S1]])</f>
        <v>0</v>
      </c>
      <c r="AA105" s="143">
        <f>(((BetTable[[#This Row],[O2]]-1)*BetTable[[#This Row],[S2]])*(1-(BetTable[[#This Row],[C% 2]]))+BetTable[[#This Row],[S2]])</f>
        <v>0</v>
      </c>
      <c r="AB105" s="143">
        <f>(((BetTable[[#This Row],[O3]]-1)*BetTable[[#This Row],[S3]])*(1-(BetTable[[#This Row],[C% 3]]))+BetTable[[#This Row],[S3]])</f>
        <v>0</v>
      </c>
      <c r="AC105" s="147" t="str">
        <f>IFERROR(IF(BetTable[[#This Row],[Sp]]="","",BetTable[[#This Row],[R1]]/BetTable[[#This Row],[TS]]),"")</f>
        <v/>
      </c>
      <c r="AD105" s="147" t="str">
        <f>IF(BetTable[[#This Row],[O2]]="","",BetTable[[#This Row],[R2]]/BetTable[[#This Row],[TS]])</f>
        <v/>
      </c>
      <c r="AE105" s="147" t="str">
        <f>IFERROR(IF(BetTable[[#This Row],[Sp]]="","",BetTable[[#This Row],[R3]]/BetTable[[#This Row],[TS]]),"")</f>
        <v/>
      </c>
      <c r="AF105" s="147" t="str">
        <f>IFERROR(IF(BetTable[[#This Row],[Outcome1]]="","",BetTable[[#This Row],[AR]]/BetTable[[#This Row],[TS]]),"")</f>
        <v/>
      </c>
      <c r="AG10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5" s="57" t="e">
        <f>IF(BetTable[[#This Row],[Outcome1]]="",AJ104,BetTable[[#This Row],[AR]]+AJ104)</f>
        <v>#REF!</v>
      </c>
      <c r="AK105" s="39"/>
    </row>
    <row r="106" spans="1:37">
      <c r="A106" s="144"/>
      <c r="B106" s="39"/>
      <c r="C106" s="40"/>
      <c r="D106" s="40"/>
      <c r="E106" s="40"/>
      <c r="F106" s="152"/>
      <c r="G106" s="152"/>
      <c r="H106" s="152"/>
      <c r="I106" s="39"/>
      <c r="J106" s="54"/>
      <c r="K106" s="54"/>
      <c r="L106" s="54"/>
      <c r="M106" s="57"/>
      <c r="N106" s="57"/>
      <c r="O106" s="57"/>
      <c r="P106" s="55"/>
      <c r="Q106" s="55"/>
      <c r="R106" s="55"/>
      <c r="S106" s="146" t="str">
        <f>IF(BetTable[[#This Row],[Sp]]="","",BetTable[[#This Row],[S1]]+BetTable[[#This Row],[S2]]+BetTable[[#This Row],[S3]])</f>
        <v/>
      </c>
      <c r="T106" s="143" t="str">
        <f>IF(BetTable[[#This Row],[O1]]="","",(BetTable[[#This Row],[WBA1-Commission]])-BetTable[[#This Row],[TS]])</f>
        <v/>
      </c>
      <c r="U106" s="143" t="str">
        <f>IF(BetTable[[#This Row],[O2]]="","",(BetTable[[#This Row],[WBA2-Commission]])-BetTable[[#This Row],[TS]])</f>
        <v/>
      </c>
      <c r="V106" s="143" t="str">
        <f>IF(BetTable[[#This Row],[O3]]="","",(BetTable[[#This Row],[WBA3-Commission]])-BetTable[[#This Row],[TS]])</f>
        <v/>
      </c>
      <c r="W106" s="143">
        <f>IF(NOT(ISBLANK(BetTable[[#This Row],[B1]])),1,0)+IF(NOT(ISBLANK(BetTable[[#This Row],[B2]])),1,0)+IF(NOT(ISBLANK(BetTable[[#This Row],[B3]])),1,0)</f>
        <v>0</v>
      </c>
      <c r="X106" s="143" t="str">
        <f>IF(BetTable[[#This Row],[Outcome1]]="","",BetTable[[#This Row],[WBA1]]+BetTable[[#This Row],[WBA2]]+BetTable[[#This Row],[WBA3]]-BetTable[[#This Row],[TS]])</f>
        <v/>
      </c>
      <c r="Y106" s="143" t="str">
        <f>IF(BetTable[[#This Row],[AR]]="","",BetTable[[#This Row],[AR]]/BetTable[[#This Row],[NumBookies]])</f>
        <v/>
      </c>
      <c r="Z106" s="143">
        <f>(((BetTable[[#This Row],[O1]]-1)*BetTable[[#This Row],[S1]])*(1-(BetTable[[#This Row],[C% 1]]))+BetTable[[#This Row],[S1]])</f>
        <v>0</v>
      </c>
      <c r="AA106" s="143">
        <f>(((BetTable[[#This Row],[O2]]-1)*BetTable[[#This Row],[S2]])*(1-(BetTable[[#This Row],[C% 2]]))+BetTable[[#This Row],[S2]])</f>
        <v>0</v>
      </c>
      <c r="AB106" s="143">
        <f>(((BetTable[[#This Row],[O3]]-1)*BetTable[[#This Row],[S3]])*(1-(BetTable[[#This Row],[C% 3]]))+BetTable[[#This Row],[S3]])</f>
        <v>0</v>
      </c>
      <c r="AC106" s="147" t="str">
        <f>IFERROR(IF(BetTable[[#This Row],[Sp]]="","",BetTable[[#This Row],[R1]]/BetTable[[#This Row],[TS]]),"")</f>
        <v/>
      </c>
      <c r="AD106" s="147" t="str">
        <f>IF(BetTable[[#This Row],[O2]]="","",BetTable[[#This Row],[R2]]/BetTable[[#This Row],[TS]])</f>
        <v/>
      </c>
      <c r="AE106" s="147" t="str">
        <f>IFERROR(IF(BetTable[[#This Row],[Sp]]="","",BetTable[[#This Row],[R3]]/BetTable[[#This Row],[TS]]),"")</f>
        <v/>
      </c>
      <c r="AF106" s="147" t="str">
        <f>IFERROR(IF(BetTable[[#This Row],[Outcome1]]="","",BetTable[[#This Row],[AR]]/BetTable[[#This Row],[TS]]),"")</f>
        <v/>
      </c>
      <c r="AG10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6" s="57" t="e">
        <f>IF(BetTable[[#This Row],[Outcome1]]="",AJ105,BetTable[[#This Row],[AR]]+AJ105)</f>
        <v>#REF!</v>
      </c>
      <c r="AK106" s="39"/>
    </row>
    <row r="107" spans="1:37">
      <c r="A107" s="144"/>
      <c r="B107" s="39"/>
      <c r="C107" s="40"/>
      <c r="D107" s="40"/>
      <c r="E107" s="40"/>
      <c r="F107" s="152"/>
      <c r="G107" s="152"/>
      <c r="H107" s="152"/>
      <c r="I107" s="39"/>
      <c r="J107" s="54"/>
      <c r="K107" s="54"/>
      <c r="L107" s="54"/>
      <c r="M107" s="57"/>
      <c r="N107" s="57"/>
      <c r="O107" s="57"/>
      <c r="P107" s="55"/>
      <c r="Q107" s="55"/>
      <c r="R107" s="55"/>
      <c r="S107" s="146" t="str">
        <f>IF(BetTable[[#This Row],[Sp]]="","",BetTable[[#This Row],[S1]]+BetTable[[#This Row],[S2]]+BetTable[[#This Row],[S3]])</f>
        <v/>
      </c>
      <c r="T107" s="143" t="str">
        <f>IF(BetTable[[#This Row],[O1]]="","",(BetTable[[#This Row],[WBA1-Commission]])-BetTable[[#This Row],[TS]])</f>
        <v/>
      </c>
      <c r="U107" s="143" t="str">
        <f>IF(BetTable[[#This Row],[O2]]="","",(BetTable[[#This Row],[WBA2-Commission]])-BetTable[[#This Row],[TS]])</f>
        <v/>
      </c>
      <c r="V107" s="143" t="str">
        <f>IF(BetTable[[#This Row],[O3]]="","",(BetTable[[#This Row],[WBA3-Commission]])-BetTable[[#This Row],[TS]])</f>
        <v/>
      </c>
      <c r="W107" s="143">
        <f>IF(NOT(ISBLANK(BetTable[[#This Row],[B1]])),1,0)+IF(NOT(ISBLANK(BetTable[[#This Row],[B2]])),1,0)+IF(NOT(ISBLANK(BetTable[[#This Row],[B3]])),1,0)</f>
        <v>0</v>
      </c>
      <c r="X107" s="143" t="str">
        <f>IF(BetTable[[#This Row],[Outcome1]]="","",BetTable[[#This Row],[WBA1]]+BetTable[[#This Row],[WBA2]]+BetTable[[#This Row],[WBA3]]-BetTable[[#This Row],[TS]])</f>
        <v/>
      </c>
      <c r="Y107" s="143" t="str">
        <f>IF(BetTable[[#This Row],[AR]]="","",BetTable[[#This Row],[AR]]/BetTable[[#This Row],[NumBookies]])</f>
        <v/>
      </c>
      <c r="Z107" s="143">
        <f>(((BetTable[[#This Row],[O1]]-1)*BetTable[[#This Row],[S1]])*(1-(BetTable[[#This Row],[C% 1]]))+BetTable[[#This Row],[S1]])</f>
        <v>0</v>
      </c>
      <c r="AA107" s="143">
        <f>(((BetTable[[#This Row],[O2]]-1)*BetTable[[#This Row],[S2]])*(1-(BetTable[[#This Row],[C% 2]]))+BetTable[[#This Row],[S2]])</f>
        <v>0</v>
      </c>
      <c r="AB107" s="143">
        <f>(((BetTable[[#This Row],[O3]]-1)*BetTable[[#This Row],[S3]])*(1-(BetTable[[#This Row],[C% 3]]))+BetTable[[#This Row],[S3]])</f>
        <v>0</v>
      </c>
      <c r="AC107" s="147" t="str">
        <f>IFERROR(IF(BetTable[[#This Row],[Sp]]="","",BetTable[[#This Row],[R1]]/BetTable[[#This Row],[TS]]),"")</f>
        <v/>
      </c>
      <c r="AD107" s="147" t="str">
        <f>IF(BetTable[[#This Row],[O2]]="","",BetTable[[#This Row],[R2]]/BetTable[[#This Row],[TS]])</f>
        <v/>
      </c>
      <c r="AE107" s="147" t="str">
        <f>IFERROR(IF(BetTable[[#This Row],[Sp]]="","",BetTable[[#This Row],[R3]]/BetTable[[#This Row],[TS]]),"")</f>
        <v/>
      </c>
      <c r="AF107" s="147" t="str">
        <f>IFERROR(IF(BetTable[[#This Row],[Outcome1]]="","",BetTable[[#This Row],[AR]]/BetTable[[#This Row],[TS]]),"")</f>
        <v/>
      </c>
      <c r="AG10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7" s="57" t="e">
        <f>IF(BetTable[[#This Row],[Outcome1]]="",AJ106,BetTable[[#This Row],[AR]]+AJ106)</f>
        <v>#REF!</v>
      </c>
      <c r="AK107" s="39"/>
    </row>
    <row r="108" spans="1:37">
      <c r="A108" s="144"/>
      <c r="B108" s="39"/>
      <c r="C108" s="40"/>
      <c r="D108" s="40"/>
      <c r="E108" s="40"/>
      <c r="F108" s="152"/>
      <c r="G108" s="152"/>
      <c r="H108" s="152"/>
      <c r="I108" s="39"/>
      <c r="J108" s="54"/>
      <c r="K108" s="54"/>
      <c r="L108" s="54"/>
      <c r="M108" s="57"/>
      <c r="N108" s="57"/>
      <c r="O108" s="57"/>
      <c r="P108" s="55"/>
      <c r="Q108" s="55"/>
      <c r="R108" s="55"/>
      <c r="S108" s="146" t="str">
        <f>IF(BetTable[[#This Row],[Sp]]="","",BetTable[[#This Row],[S1]]+BetTable[[#This Row],[S2]]+BetTable[[#This Row],[S3]])</f>
        <v/>
      </c>
      <c r="T108" s="143" t="str">
        <f>IF(BetTable[[#This Row],[O1]]="","",(BetTable[[#This Row],[WBA1-Commission]])-BetTable[[#This Row],[TS]])</f>
        <v/>
      </c>
      <c r="U108" s="143" t="str">
        <f>IF(BetTable[[#This Row],[O2]]="","",(BetTable[[#This Row],[WBA2-Commission]])-BetTable[[#This Row],[TS]])</f>
        <v/>
      </c>
      <c r="V108" s="143" t="str">
        <f>IF(BetTable[[#This Row],[O3]]="","",(BetTable[[#This Row],[WBA3-Commission]])-BetTable[[#This Row],[TS]])</f>
        <v/>
      </c>
      <c r="W108" s="143">
        <f>IF(NOT(ISBLANK(BetTable[[#This Row],[B1]])),1,0)+IF(NOT(ISBLANK(BetTable[[#This Row],[B2]])),1,0)+IF(NOT(ISBLANK(BetTable[[#This Row],[B3]])),1,0)</f>
        <v>0</v>
      </c>
      <c r="X108" s="143" t="str">
        <f>IF(BetTable[[#This Row],[Outcome1]]="","",BetTable[[#This Row],[WBA1]]+BetTable[[#This Row],[WBA2]]+BetTable[[#This Row],[WBA3]]-BetTable[[#This Row],[TS]])</f>
        <v/>
      </c>
      <c r="Y108" s="143" t="str">
        <f>IF(BetTable[[#This Row],[AR]]="","",BetTable[[#This Row],[AR]]/BetTable[[#This Row],[NumBookies]])</f>
        <v/>
      </c>
      <c r="Z108" s="143">
        <f>(((BetTable[[#This Row],[O1]]-1)*BetTable[[#This Row],[S1]])*(1-(BetTable[[#This Row],[C% 1]]))+BetTable[[#This Row],[S1]])</f>
        <v>0</v>
      </c>
      <c r="AA108" s="143">
        <f>(((BetTable[[#This Row],[O2]]-1)*BetTable[[#This Row],[S2]])*(1-(BetTable[[#This Row],[C% 2]]))+BetTable[[#This Row],[S2]])</f>
        <v>0</v>
      </c>
      <c r="AB108" s="143">
        <f>(((BetTable[[#This Row],[O3]]-1)*BetTable[[#This Row],[S3]])*(1-(BetTable[[#This Row],[C% 3]]))+BetTable[[#This Row],[S3]])</f>
        <v>0</v>
      </c>
      <c r="AC108" s="147" t="str">
        <f>IFERROR(IF(BetTable[[#This Row],[Sp]]="","",BetTable[[#This Row],[R1]]/BetTable[[#This Row],[TS]]),"")</f>
        <v/>
      </c>
      <c r="AD108" s="147" t="str">
        <f>IF(BetTable[[#This Row],[O2]]="","",BetTable[[#This Row],[R2]]/BetTable[[#This Row],[TS]])</f>
        <v/>
      </c>
      <c r="AE108" s="147" t="str">
        <f>IFERROR(IF(BetTable[[#This Row],[Sp]]="","",BetTable[[#This Row],[R3]]/BetTable[[#This Row],[TS]]),"")</f>
        <v/>
      </c>
      <c r="AF108" s="147" t="str">
        <f>IFERROR(IF(BetTable[[#This Row],[Outcome1]]="","",BetTable[[#This Row],[AR]]/BetTable[[#This Row],[TS]]),"")</f>
        <v/>
      </c>
      <c r="AG10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8" s="57" t="e">
        <f>IF(BetTable[[#This Row],[Outcome1]]="",AJ107,BetTable[[#This Row],[AR]]+AJ107)</f>
        <v>#REF!</v>
      </c>
      <c r="AK108" s="39"/>
    </row>
    <row r="109" spans="1:37">
      <c r="A109" s="144"/>
      <c r="B109" s="39"/>
      <c r="C109" s="40"/>
      <c r="D109" s="40"/>
      <c r="E109" s="40"/>
      <c r="F109" s="152"/>
      <c r="G109" s="152"/>
      <c r="H109" s="152"/>
      <c r="I109" s="39"/>
      <c r="J109" s="54"/>
      <c r="K109" s="54"/>
      <c r="L109" s="54"/>
      <c r="M109" s="57"/>
      <c r="N109" s="57"/>
      <c r="O109" s="57"/>
      <c r="P109" s="55"/>
      <c r="Q109" s="55"/>
      <c r="R109" s="55"/>
      <c r="S109" s="146" t="str">
        <f>IF(BetTable[[#This Row],[Sp]]="","",BetTable[[#This Row],[S1]]+BetTable[[#This Row],[S2]]+BetTable[[#This Row],[S3]])</f>
        <v/>
      </c>
      <c r="T109" s="143" t="str">
        <f>IF(BetTable[[#This Row],[O1]]="","",(BetTable[[#This Row],[WBA1-Commission]])-BetTable[[#This Row],[TS]])</f>
        <v/>
      </c>
      <c r="U109" s="143" t="str">
        <f>IF(BetTable[[#This Row],[O2]]="","",(BetTable[[#This Row],[WBA2-Commission]])-BetTable[[#This Row],[TS]])</f>
        <v/>
      </c>
      <c r="V109" s="143" t="str">
        <f>IF(BetTable[[#This Row],[O3]]="","",(BetTable[[#This Row],[WBA3-Commission]])-BetTable[[#This Row],[TS]])</f>
        <v/>
      </c>
      <c r="W109" s="143">
        <f>IF(NOT(ISBLANK(BetTable[[#This Row],[B1]])),1,0)+IF(NOT(ISBLANK(BetTable[[#This Row],[B2]])),1,0)+IF(NOT(ISBLANK(BetTable[[#This Row],[B3]])),1,0)</f>
        <v>0</v>
      </c>
      <c r="X109" s="143" t="str">
        <f>IF(BetTable[[#This Row],[Outcome1]]="","",BetTable[[#This Row],[WBA1]]+BetTable[[#This Row],[WBA2]]+BetTable[[#This Row],[WBA3]]-BetTable[[#This Row],[TS]])</f>
        <v/>
      </c>
      <c r="Y109" s="143" t="str">
        <f>IF(BetTable[[#This Row],[AR]]="","",BetTable[[#This Row],[AR]]/BetTable[[#This Row],[NumBookies]])</f>
        <v/>
      </c>
      <c r="Z109" s="143">
        <f>(((BetTable[[#This Row],[O1]]-1)*BetTable[[#This Row],[S1]])*(1-(BetTable[[#This Row],[C% 1]]))+BetTable[[#This Row],[S1]])</f>
        <v>0</v>
      </c>
      <c r="AA109" s="143">
        <f>(((BetTable[[#This Row],[O2]]-1)*BetTable[[#This Row],[S2]])*(1-(BetTable[[#This Row],[C% 2]]))+BetTable[[#This Row],[S2]])</f>
        <v>0</v>
      </c>
      <c r="AB109" s="143">
        <f>(((BetTable[[#This Row],[O3]]-1)*BetTable[[#This Row],[S3]])*(1-(BetTable[[#This Row],[C% 3]]))+BetTable[[#This Row],[S3]])</f>
        <v>0</v>
      </c>
      <c r="AC109" s="147" t="str">
        <f>IFERROR(IF(BetTable[[#This Row],[Sp]]="","",BetTable[[#This Row],[R1]]/BetTable[[#This Row],[TS]]),"")</f>
        <v/>
      </c>
      <c r="AD109" s="147" t="str">
        <f>IF(BetTable[[#This Row],[O2]]="","",BetTable[[#This Row],[R2]]/BetTable[[#This Row],[TS]])</f>
        <v/>
      </c>
      <c r="AE109" s="147" t="str">
        <f>IFERROR(IF(BetTable[[#This Row],[Sp]]="","",BetTable[[#This Row],[R3]]/BetTable[[#This Row],[TS]]),"")</f>
        <v/>
      </c>
      <c r="AF109" s="147" t="str">
        <f>IFERROR(IF(BetTable[[#This Row],[Outcome1]]="","",BetTable[[#This Row],[AR]]/BetTable[[#This Row],[TS]]),"")</f>
        <v/>
      </c>
      <c r="AG10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0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0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09" s="57" t="e">
        <f>IF(BetTable[[#This Row],[Outcome1]]="",AJ108,BetTable[[#This Row],[AR]]+AJ108)</f>
        <v>#REF!</v>
      </c>
      <c r="AK109" s="39"/>
    </row>
    <row r="110" spans="1:37">
      <c r="A110" s="144"/>
      <c r="B110" s="39"/>
      <c r="C110" s="40"/>
      <c r="D110" s="40"/>
      <c r="E110" s="40"/>
      <c r="F110" s="152"/>
      <c r="G110" s="152"/>
      <c r="H110" s="152"/>
      <c r="I110" s="39"/>
      <c r="J110" s="54"/>
      <c r="K110" s="54"/>
      <c r="L110" s="54"/>
      <c r="M110" s="57"/>
      <c r="N110" s="57"/>
      <c r="O110" s="57"/>
      <c r="P110" s="55"/>
      <c r="Q110" s="55"/>
      <c r="R110" s="55"/>
      <c r="S110" s="146" t="str">
        <f>IF(BetTable[[#This Row],[Sp]]="","",BetTable[[#This Row],[S1]]+BetTable[[#This Row],[S2]]+BetTable[[#This Row],[S3]])</f>
        <v/>
      </c>
      <c r="T110" s="143" t="str">
        <f>IF(BetTable[[#This Row],[O1]]="","",(BetTable[[#This Row],[WBA1-Commission]])-BetTable[[#This Row],[TS]])</f>
        <v/>
      </c>
      <c r="U110" s="143" t="str">
        <f>IF(BetTable[[#This Row],[O2]]="","",(BetTable[[#This Row],[WBA2-Commission]])-BetTable[[#This Row],[TS]])</f>
        <v/>
      </c>
      <c r="V110" s="143" t="str">
        <f>IF(BetTable[[#This Row],[O3]]="","",(BetTable[[#This Row],[WBA3-Commission]])-BetTable[[#This Row],[TS]])</f>
        <v/>
      </c>
      <c r="W110" s="143">
        <f>IF(NOT(ISBLANK(BetTable[[#This Row],[B1]])),1,0)+IF(NOT(ISBLANK(BetTable[[#This Row],[B2]])),1,0)+IF(NOT(ISBLANK(BetTable[[#This Row],[B3]])),1,0)</f>
        <v>0</v>
      </c>
      <c r="X110" s="143" t="str">
        <f>IF(BetTable[[#This Row],[Outcome1]]="","",BetTable[[#This Row],[WBA1]]+BetTable[[#This Row],[WBA2]]+BetTable[[#This Row],[WBA3]]-BetTable[[#This Row],[TS]])</f>
        <v/>
      </c>
      <c r="Y110" s="143" t="str">
        <f>IF(BetTable[[#This Row],[AR]]="","",BetTable[[#This Row],[AR]]/BetTable[[#This Row],[NumBookies]])</f>
        <v/>
      </c>
      <c r="Z110" s="143">
        <f>(((BetTable[[#This Row],[O1]]-1)*BetTable[[#This Row],[S1]])*(1-(BetTable[[#This Row],[C% 1]]))+BetTable[[#This Row],[S1]])</f>
        <v>0</v>
      </c>
      <c r="AA110" s="143">
        <f>(((BetTable[[#This Row],[O2]]-1)*BetTable[[#This Row],[S2]])*(1-(BetTable[[#This Row],[C% 2]]))+BetTable[[#This Row],[S2]])</f>
        <v>0</v>
      </c>
      <c r="AB110" s="143">
        <f>(((BetTable[[#This Row],[O3]]-1)*BetTable[[#This Row],[S3]])*(1-(BetTable[[#This Row],[C% 3]]))+BetTable[[#This Row],[S3]])</f>
        <v>0</v>
      </c>
      <c r="AC110" s="147" t="str">
        <f>IFERROR(IF(BetTable[[#This Row],[Sp]]="","",BetTable[[#This Row],[R1]]/BetTable[[#This Row],[TS]]),"")</f>
        <v/>
      </c>
      <c r="AD110" s="147" t="str">
        <f>IF(BetTable[[#This Row],[O2]]="","",BetTable[[#This Row],[R2]]/BetTable[[#This Row],[TS]])</f>
        <v/>
      </c>
      <c r="AE110" s="147" t="str">
        <f>IFERROR(IF(BetTable[[#This Row],[Sp]]="","",BetTable[[#This Row],[R3]]/BetTable[[#This Row],[TS]]),"")</f>
        <v/>
      </c>
      <c r="AF110" s="147" t="str">
        <f>IFERROR(IF(BetTable[[#This Row],[Outcome1]]="","",BetTable[[#This Row],[AR]]/BetTable[[#This Row],[TS]]),"")</f>
        <v/>
      </c>
      <c r="AG11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0" s="57" t="e">
        <f>IF(BetTable[[#This Row],[Outcome1]]="",AJ109,BetTable[[#This Row],[AR]]+AJ109)</f>
        <v>#REF!</v>
      </c>
      <c r="AK110" s="39"/>
    </row>
    <row r="111" spans="1:37">
      <c r="A111" s="144"/>
      <c r="B111" s="39"/>
      <c r="C111" s="40"/>
      <c r="D111" s="40"/>
      <c r="E111" s="40"/>
      <c r="F111" s="152"/>
      <c r="G111" s="152"/>
      <c r="H111" s="152"/>
      <c r="I111" s="39"/>
      <c r="J111" s="54"/>
      <c r="K111" s="54"/>
      <c r="L111" s="54"/>
      <c r="M111" s="57"/>
      <c r="N111" s="57"/>
      <c r="O111" s="57"/>
      <c r="P111" s="55"/>
      <c r="Q111" s="55"/>
      <c r="R111" s="55"/>
      <c r="S111" s="146" t="str">
        <f>IF(BetTable[[#This Row],[Sp]]="","",BetTable[[#This Row],[S1]]+BetTable[[#This Row],[S2]]+BetTable[[#This Row],[S3]])</f>
        <v/>
      </c>
      <c r="T111" s="143" t="str">
        <f>IF(BetTable[[#This Row],[O1]]="","",(BetTable[[#This Row],[WBA1-Commission]])-BetTable[[#This Row],[TS]])</f>
        <v/>
      </c>
      <c r="U111" s="143" t="str">
        <f>IF(BetTable[[#This Row],[O2]]="","",(BetTable[[#This Row],[WBA2-Commission]])-BetTable[[#This Row],[TS]])</f>
        <v/>
      </c>
      <c r="V111" s="143" t="str">
        <f>IF(BetTable[[#This Row],[O3]]="","",(BetTable[[#This Row],[WBA3-Commission]])-BetTable[[#This Row],[TS]])</f>
        <v/>
      </c>
      <c r="W111" s="143">
        <f>IF(NOT(ISBLANK(BetTable[[#This Row],[B1]])),1,0)+IF(NOT(ISBLANK(BetTable[[#This Row],[B2]])),1,0)+IF(NOT(ISBLANK(BetTable[[#This Row],[B3]])),1,0)</f>
        <v>0</v>
      </c>
      <c r="X111" s="143" t="str">
        <f>IF(BetTable[[#This Row],[Outcome1]]="","",BetTable[[#This Row],[WBA1]]+BetTable[[#This Row],[WBA2]]+BetTable[[#This Row],[WBA3]]-BetTable[[#This Row],[TS]])</f>
        <v/>
      </c>
      <c r="Y111" s="143" t="str">
        <f>IF(BetTable[[#This Row],[AR]]="","",BetTable[[#This Row],[AR]]/BetTable[[#This Row],[NumBookies]])</f>
        <v/>
      </c>
      <c r="Z111" s="143">
        <f>(((BetTable[[#This Row],[O1]]-1)*BetTable[[#This Row],[S1]])*(1-(BetTable[[#This Row],[C% 1]]))+BetTable[[#This Row],[S1]])</f>
        <v>0</v>
      </c>
      <c r="AA111" s="143">
        <f>(((BetTable[[#This Row],[O2]]-1)*BetTable[[#This Row],[S2]])*(1-(BetTable[[#This Row],[C% 2]]))+BetTable[[#This Row],[S2]])</f>
        <v>0</v>
      </c>
      <c r="AB111" s="143">
        <f>(((BetTable[[#This Row],[O3]]-1)*BetTable[[#This Row],[S3]])*(1-(BetTable[[#This Row],[C% 3]]))+BetTable[[#This Row],[S3]])</f>
        <v>0</v>
      </c>
      <c r="AC111" s="147" t="str">
        <f>IFERROR(IF(BetTable[[#This Row],[Sp]]="","",BetTable[[#This Row],[R1]]/BetTable[[#This Row],[TS]]),"")</f>
        <v/>
      </c>
      <c r="AD111" s="147" t="str">
        <f>IF(BetTable[[#This Row],[O2]]="","",BetTable[[#This Row],[R2]]/BetTable[[#This Row],[TS]])</f>
        <v/>
      </c>
      <c r="AE111" s="147" t="str">
        <f>IFERROR(IF(BetTable[[#This Row],[Sp]]="","",BetTable[[#This Row],[R3]]/BetTable[[#This Row],[TS]]),"")</f>
        <v/>
      </c>
      <c r="AF111" s="147" t="str">
        <f>IFERROR(IF(BetTable[[#This Row],[Outcome1]]="","",BetTable[[#This Row],[AR]]/BetTable[[#This Row],[TS]]),"")</f>
        <v/>
      </c>
      <c r="AG11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1" s="57" t="e">
        <f>IF(BetTable[[#This Row],[Outcome1]]="",AJ110,BetTable[[#This Row],[AR]]+AJ110)</f>
        <v>#REF!</v>
      </c>
      <c r="AK111" s="39"/>
    </row>
    <row r="112" spans="1:37">
      <c r="A112" s="144"/>
      <c r="B112" s="39"/>
      <c r="C112" s="40"/>
      <c r="D112" s="40"/>
      <c r="E112" s="40"/>
      <c r="F112" s="152"/>
      <c r="G112" s="152"/>
      <c r="H112" s="152"/>
      <c r="I112" s="39"/>
      <c r="J112" s="54"/>
      <c r="K112" s="54"/>
      <c r="L112" s="54"/>
      <c r="M112" s="57"/>
      <c r="N112" s="57"/>
      <c r="O112" s="57"/>
      <c r="P112" s="55"/>
      <c r="Q112" s="55"/>
      <c r="R112" s="55"/>
      <c r="S112" s="146" t="str">
        <f>IF(BetTable[[#This Row],[Sp]]="","",BetTable[[#This Row],[S1]]+BetTable[[#This Row],[S2]]+BetTable[[#This Row],[S3]])</f>
        <v/>
      </c>
      <c r="T112" s="143" t="str">
        <f>IF(BetTable[[#This Row],[O1]]="","",(BetTable[[#This Row],[WBA1-Commission]])-BetTable[[#This Row],[TS]])</f>
        <v/>
      </c>
      <c r="U112" s="143" t="str">
        <f>IF(BetTable[[#This Row],[O2]]="","",(BetTable[[#This Row],[WBA2-Commission]])-BetTable[[#This Row],[TS]])</f>
        <v/>
      </c>
      <c r="V112" s="143" t="str">
        <f>IF(BetTable[[#This Row],[O3]]="","",(BetTable[[#This Row],[WBA3-Commission]])-BetTable[[#This Row],[TS]])</f>
        <v/>
      </c>
      <c r="W112" s="143">
        <f>IF(NOT(ISBLANK(BetTable[[#This Row],[B1]])),1,0)+IF(NOT(ISBLANK(BetTable[[#This Row],[B2]])),1,0)+IF(NOT(ISBLANK(BetTable[[#This Row],[B3]])),1,0)</f>
        <v>0</v>
      </c>
      <c r="X112" s="143" t="str">
        <f>IF(BetTable[[#This Row],[Outcome1]]="","",BetTable[[#This Row],[WBA1]]+BetTable[[#This Row],[WBA2]]+BetTable[[#This Row],[WBA3]]-BetTable[[#This Row],[TS]])</f>
        <v/>
      </c>
      <c r="Y112" s="143" t="str">
        <f>IF(BetTable[[#This Row],[AR]]="","",BetTable[[#This Row],[AR]]/BetTable[[#This Row],[NumBookies]])</f>
        <v/>
      </c>
      <c r="Z112" s="143">
        <f>(((BetTable[[#This Row],[O1]]-1)*BetTable[[#This Row],[S1]])*(1-(BetTable[[#This Row],[C% 1]]))+BetTable[[#This Row],[S1]])</f>
        <v>0</v>
      </c>
      <c r="AA112" s="143">
        <f>(((BetTable[[#This Row],[O2]]-1)*BetTable[[#This Row],[S2]])*(1-(BetTable[[#This Row],[C% 2]]))+BetTable[[#This Row],[S2]])</f>
        <v>0</v>
      </c>
      <c r="AB112" s="143">
        <f>(((BetTable[[#This Row],[O3]]-1)*BetTable[[#This Row],[S3]])*(1-(BetTable[[#This Row],[C% 3]]))+BetTable[[#This Row],[S3]])</f>
        <v>0</v>
      </c>
      <c r="AC112" s="147" t="str">
        <f>IFERROR(IF(BetTable[[#This Row],[Sp]]="","",BetTable[[#This Row],[R1]]/BetTable[[#This Row],[TS]]),"")</f>
        <v/>
      </c>
      <c r="AD112" s="147" t="str">
        <f>IF(BetTable[[#This Row],[O2]]="","",BetTable[[#This Row],[R2]]/BetTable[[#This Row],[TS]])</f>
        <v/>
      </c>
      <c r="AE112" s="147" t="str">
        <f>IFERROR(IF(BetTable[[#This Row],[Sp]]="","",BetTable[[#This Row],[R3]]/BetTable[[#This Row],[TS]]),"")</f>
        <v/>
      </c>
      <c r="AF112" s="147" t="str">
        <f>IFERROR(IF(BetTable[[#This Row],[Outcome1]]="","",BetTable[[#This Row],[AR]]/BetTable[[#This Row],[TS]]),"")</f>
        <v/>
      </c>
      <c r="AG11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2" s="57" t="e">
        <f>IF(BetTable[[#This Row],[Outcome1]]="",AJ111,BetTable[[#This Row],[AR]]+AJ111)</f>
        <v>#REF!</v>
      </c>
      <c r="AK112" s="39"/>
    </row>
    <row r="113" spans="1:37">
      <c r="A113" s="144"/>
      <c r="B113" s="39"/>
      <c r="C113" s="40"/>
      <c r="D113" s="40"/>
      <c r="E113" s="40"/>
      <c r="F113" s="152"/>
      <c r="G113" s="152"/>
      <c r="H113" s="152"/>
      <c r="I113" s="39"/>
      <c r="J113" s="54"/>
      <c r="K113" s="54"/>
      <c r="L113" s="54"/>
      <c r="M113" s="57"/>
      <c r="N113" s="57"/>
      <c r="O113" s="57"/>
      <c r="P113" s="55"/>
      <c r="Q113" s="55"/>
      <c r="R113" s="55"/>
      <c r="S113" s="146" t="str">
        <f>IF(BetTable[[#This Row],[Sp]]="","",BetTable[[#This Row],[S1]]+BetTable[[#This Row],[S2]]+BetTable[[#This Row],[S3]])</f>
        <v/>
      </c>
      <c r="T113" s="143" t="str">
        <f>IF(BetTable[[#This Row],[O1]]="","",(BetTable[[#This Row],[WBA1-Commission]])-BetTable[[#This Row],[TS]])</f>
        <v/>
      </c>
      <c r="U113" s="143" t="str">
        <f>IF(BetTable[[#This Row],[O2]]="","",(BetTable[[#This Row],[WBA2-Commission]])-BetTable[[#This Row],[TS]])</f>
        <v/>
      </c>
      <c r="V113" s="143" t="str">
        <f>IF(BetTable[[#This Row],[O3]]="","",(BetTable[[#This Row],[WBA3-Commission]])-BetTable[[#This Row],[TS]])</f>
        <v/>
      </c>
      <c r="W113" s="143">
        <f>IF(NOT(ISBLANK(BetTable[[#This Row],[B1]])),1,0)+IF(NOT(ISBLANK(BetTable[[#This Row],[B2]])),1,0)+IF(NOT(ISBLANK(BetTable[[#This Row],[B3]])),1,0)</f>
        <v>0</v>
      </c>
      <c r="X113" s="143" t="str">
        <f>IF(BetTable[[#This Row],[Outcome1]]="","",BetTable[[#This Row],[WBA1]]+BetTable[[#This Row],[WBA2]]+BetTable[[#This Row],[WBA3]]-BetTable[[#This Row],[TS]])</f>
        <v/>
      </c>
      <c r="Y113" s="143" t="str">
        <f>IF(BetTable[[#This Row],[AR]]="","",BetTable[[#This Row],[AR]]/BetTable[[#This Row],[NumBookies]])</f>
        <v/>
      </c>
      <c r="Z113" s="143">
        <f>(((BetTable[[#This Row],[O1]]-1)*BetTable[[#This Row],[S1]])*(1-(BetTable[[#This Row],[C% 1]]))+BetTable[[#This Row],[S1]])</f>
        <v>0</v>
      </c>
      <c r="AA113" s="143">
        <f>(((BetTable[[#This Row],[O2]]-1)*BetTable[[#This Row],[S2]])*(1-(BetTable[[#This Row],[C% 2]]))+BetTable[[#This Row],[S2]])</f>
        <v>0</v>
      </c>
      <c r="AB113" s="143">
        <f>(((BetTable[[#This Row],[O3]]-1)*BetTable[[#This Row],[S3]])*(1-(BetTable[[#This Row],[C% 3]]))+BetTable[[#This Row],[S3]])</f>
        <v>0</v>
      </c>
      <c r="AC113" s="147" t="str">
        <f>IFERROR(IF(BetTable[[#This Row],[Sp]]="","",BetTable[[#This Row],[R1]]/BetTable[[#This Row],[TS]]),"")</f>
        <v/>
      </c>
      <c r="AD113" s="147" t="str">
        <f>IF(BetTable[[#This Row],[O2]]="","",BetTable[[#This Row],[R2]]/BetTable[[#This Row],[TS]])</f>
        <v/>
      </c>
      <c r="AE113" s="147" t="str">
        <f>IFERROR(IF(BetTable[[#This Row],[Sp]]="","",BetTable[[#This Row],[R3]]/BetTable[[#This Row],[TS]]),"")</f>
        <v/>
      </c>
      <c r="AF113" s="147" t="str">
        <f>IFERROR(IF(BetTable[[#This Row],[Outcome1]]="","",BetTable[[#This Row],[AR]]/BetTable[[#This Row],[TS]]),"")</f>
        <v/>
      </c>
      <c r="AG11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3" s="57" t="e">
        <f>IF(BetTable[[#This Row],[Outcome1]]="",AJ112,BetTable[[#This Row],[AR]]+AJ112)</f>
        <v>#REF!</v>
      </c>
      <c r="AK113" s="39"/>
    </row>
    <row r="114" spans="1:37">
      <c r="A114" s="144"/>
      <c r="B114" s="39"/>
      <c r="C114" s="40"/>
      <c r="D114" s="40"/>
      <c r="E114" s="40"/>
      <c r="F114" s="152"/>
      <c r="G114" s="152"/>
      <c r="H114" s="152"/>
      <c r="I114" s="39"/>
      <c r="J114" s="54"/>
      <c r="K114" s="54"/>
      <c r="L114" s="54"/>
      <c r="M114" s="57"/>
      <c r="N114" s="57"/>
      <c r="O114" s="57"/>
      <c r="P114" s="55"/>
      <c r="Q114" s="55"/>
      <c r="R114" s="55"/>
      <c r="S114" s="146" t="str">
        <f>IF(BetTable[[#This Row],[Sp]]="","",BetTable[[#This Row],[S1]]+BetTable[[#This Row],[S2]]+BetTable[[#This Row],[S3]])</f>
        <v/>
      </c>
      <c r="T114" s="143" t="str">
        <f>IF(BetTable[[#This Row],[O1]]="","",(BetTable[[#This Row],[WBA1-Commission]])-BetTable[[#This Row],[TS]])</f>
        <v/>
      </c>
      <c r="U114" s="143" t="str">
        <f>IF(BetTable[[#This Row],[O2]]="","",(BetTable[[#This Row],[WBA2-Commission]])-BetTable[[#This Row],[TS]])</f>
        <v/>
      </c>
      <c r="V114" s="143" t="str">
        <f>IF(BetTable[[#This Row],[O3]]="","",(BetTable[[#This Row],[WBA3-Commission]])-BetTable[[#This Row],[TS]])</f>
        <v/>
      </c>
      <c r="W114" s="143">
        <f>IF(NOT(ISBLANK(BetTable[[#This Row],[B1]])),1,0)+IF(NOT(ISBLANK(BetTable[[#This Row],[B2]])),1,0)+IF(NOT(ISBLANK(BetTable[[#This Row],[B3]])),1,0)</f>
        <v>0</v>
      </c>
      <c r="X114" s="143" t="str">
        <f>IF(BetTable[[#This Row],[Outcome1]]="","",BetTable[[#This Row],[WBA1]]+BetTable[[#This Row],[WBA2]]+BetTable[[#This Row],[WBA3]]-BetTable[[#This Row],[TS]])</f>
        <v/>
      </c>
      <c r="Y114" s="143" t="str">
        <f>IF(BetTable[[#This Row],[AR]]="","",BetTable[[#This Row],[AR]]/BetTable[[#This Row],[NumBookies]])</f>
        <v/>
      </c>
      <c r="Z114" s="143">
        <f>(((BetTable[[#This Row],[O1]]-1)*BetTable[[#This Row],[S1]])*(1-(BetTable[[#This Row],[C% 1]]))+BetTable[[#This Row],[S1]])</f>
        <v>0</v>
      </c>
      <c r="AA114" s="143">
        <f>(((BetTable[[#This Row],[O2]]-1)*BetTable[[#This Row],[S2]])*(1-(BetTable[[#This Row],[C% 2]]))+BetTable[[#This Row],[S2]])</f>
        <v>0</v>
      </c>
      <c r="AB114" s="143">
        <f>(((BetTable[[#This Row],[O3]]-1)*BetTable[[#This Row],[S3]])*(1-(BetTable[[#This Row],[C% 3]]))+BetTable[[#This Row],[S3]])</f>
        <v>0</v>
      </c>
      <c r="AC114" s="147" t="str">
        <f>IFERROR(IF(BetTable[[#This Row],[Sp]]="","",BetTable[[#This Row],[R1]]/BetTable[[#This Row],[TS]]),"")</f>
        <v/>
      </c>
      <c r="AD114" s="147" t="str">
        <f>IF(BetTable[[#This Row],[O2]]="","",BetTable[[#This Row],[R2]]/BetTable[[#This Row],[TS]])</f>
        <v/>
      </c>
      <c r="AE114" s="147" t="str">
        <f>IFERROR(IF(BetTable[[#This Row],[Sp]]="","",BetTable[[#This Row],[R3]]/BetTable[[#This Row],[TS]]),"")</f>
        <v/>
      </c>
      <c r="AF114" s="147" t="str">
        <f>IFERROR(IF(BetTable[[#This Row],[Outcome1]]="","",BetTable[[#This Row],[AR]]/BetTable[[#This Row],[TS]]),"")</f>
        <v/>
      </c>
      <c r="AG11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4" s="57" t="e">
        <f>IF(BetTable[[#This Row],[Outcome1]]="",AJ113,BetTable[[#This Row],[AR]]+AJ113)</f>
        <v>#REF!</v>
      </c>
      <c r="AK114" s="39"/>
    </row>
    <row r="115" spans="1:37">
      <c r="A115" s="144"/>
      <c r="B115" s="39"/>
      <c r="C115" s="40"/>
      <c r="D115" s="40"/>
      <c r="E115" s="40"/>
      <c r="F115" s="152"/>
      <c r="G115" s="152"/>
      <c r="H115" s="152"/>
      <c r="I115" s="39"/>
      <c r="J115" s="54"/>
      <c r="K115" s="54"/>
      <c r="L115" s="54"/>
      <c r="M115" s="57"/>
      <c r="N115" s="57"/>
      <c r="O115" s="57"/>
      <c r="P115" s="55"/>
      <c r="Q115" s="55"/>
      <c r="R115" s="55"/>
      <c r="S115" s="146" t="str">
        <f>IF(BetTable[[#This Row],[Sp]]="","",BetTable[[#This Row],[S1]]+BetTable[[#This Row],[S2]]+BetTable[[#This Row],[S3]])</f>
        <v/>
      </c>
      <c r="T115" s="143" t="str">
        <f>IF(BetTable[[#This Row],[O1]]="","",(BetTable[[#This Row],[WBA1-Commission]])-BetTable[[#This Row],[TS]])</f>
        <v/>
      </c>
      <c r="U115" s="143" t="str">
        <f>IF(BetTable[[#This Row],[O2]]="","",(BetTable[[#This Row],[WBA2-Commission]])-BetTable[[#This Row],[TS]])</f>
        <v/>
      </c>
      <c r="V115" s="143" t="str">
        <f>IF(BetTable[[#This Row],[O3]]="","",(BetTable[[#This Row],[WBA3-Commission]])-BetTable[[#This Row],[TS]])</f>
        <v/>
      </c>
      <c r="W115" s="143">
        <f>IF(NOT(ISBLANK(BetTable[[#This Row],[B1]])),1,0)+IF(NOT(ISBLANK(BetTable[[#This Row],[B2]])),1,0)+IF(NOT(ISBLANK(BetTable[[#This Row],[B3]])),1,0)</f>
        <v>0</v>
      </c>
      <c r="X115" s="143" t="str">
        <f>IF(BetTable[[#This Row],[Outcome1]]="","",BetTable[[#This Row],[WBA1]]+BetTable[[#This Row],[WBA2]]+BetTable[[#This Row],[WBA3]]-BetTable[[#This Row],[TS]])</f>
        <v/>
      </c>
      <c r="Y115" s="143" t="str">
        <f>IF(BetTable[[#This Row],[AR]]="","",BetTable[[#This Row],[AR]]/BetTable[[#This Row],[NumBookies]])</f>
        <v/>
      </c>
      <c r="Z115" s="143">
        <f>(((BetTable[[#This Row],[O1]]-1)*BetTable[[#This Row],[S1]])*(1-(BetTable[[#This Row],[C% 1]]))+BetTable[[#This Row],[S1]])</f>
        <v>0</v>
      </c>
      <c r="AA115" s="143">
        <f>(((BetTable[[#This Row],[O2]]-1)*BetTable[[#This Row],[S2]])*(1-(BetTable[[#This Row],[C% 2]]))+BetTable[[#This Row],[S2]])</f>
        <v>0</v>
      </c>
      <c r="AB115" s="143">
        <f>(((BetTable[[#This Row],[O3]]-1)*BetTable[[#This Row],[S3]])*(1-(BetTable[[#This Row],[C% 3]]))+BetTable[[#This Row],[S3]])</f>
        <v>0</v>
      </c>
      <c r="AC115" s="147" t="str">
        <f>IFERROR(IF(BetTable[[#This Row],[Sp]]="","",BetTable[[#This Row],[R1]]/BetTable[[#This Row],[TS]]),"")</f>
        <v/>
      </c>
      <c r="AD115" s="147" t="str">
        <f>IF(BetTable[[#This Row],[O2]]="","",BetTable[[#This Row],[R2]]/BetTable[[#This Row],[TS]])</f>
        <v/>
      </c>
      <c r="AE115" s="147" t="str">
        <f>IFERROR(IF(BetTable[[#This Row],[Sp]]="","",BetTable[[#This Row],[R3]]/BetTable[[#This Row],[TS]]),"")</f>
        <v/>
      </c>
      <c r="AF115" s="147" t="str">
        <f>IFERROR(IF(BetTable[[#This Row],[Outcome1]]="","",BetTable[[#This Row],[AR]]/BetTable[[#This Row],[TS]]),"")</f>
        <v/>
      </c>
      <c r="AG11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5" s="57" t="e">
        <f>IF(BetTable[[#This Row],[Outcome1]]="",AJ114,BetTable[[#This Row],[AR]]+AJ114)</f>
        <v>#REF!</v>
      </c>
      <c r="AK115" s="39"/>
    </row>
    <row r="116" spans="1:37">
      <c r="A116" s="144"/>
      <c r="B116" s="39"/>
      <c r="C116" s="40"/>
      <c r="D116" s="40"/>
      <c r="E116" s="40"/>
      <c r="F116" s="152"/>
      <c r="G116" s="152"/>
      <c r="H116" s="152"/>
      <c r="I116" s="39"/>
      <c r="J116" s="54"/>
      <c r="K116" s="54"/>
      <c r="L116" s="54"/>
      <c r="M116" s="57"/>
      <c r="N116" s="57"/>
      <c r="O116" s="57"/>
      <c r="P116" s="55"/>
      <c r="Q116" s="55"/>
      <c r="R116" s="55"/>
      <c r="S116" s="146" t="str">
        <f>IF(BetTable[[#This Row],[Sp]]="","",BetTable[[#This Row],[S1]]+BetTable[[#This Row],[S2]]+BetTable[[#This Row],[S3]])</f>
        <v/>
      </c>
      <c r="T116" s="143" t="str">
        <f>IF(BetTable[[#This Row],[O1]]="","",(BetTable[[#This Row],[WBA1-Commission]])-BetTable[[#This Row],[TS]])</f>
        <v/>
      </c>
      <c r="U116" s="143" t="str">
        <f>IF(BetTable[[#This Row],[O2]]="","",(BetTable[[#This Row],[WBA2-Commission]])-BetTable[[#This Row],[TS]])</f>
        <v/>
      </c>
      <c r="V116" s="143" t="str">
        <f>IF(BetTable[[#This Row],[O3]]="","",(BetTable[[#This Row],[WBA3-Commission]])-BetTable[[#This Row],[TS]])</f>
        <v/>
      </c>
      <c r="W116" s="143">
        <f>IF(NOT(ISBLANK(BetTable[[#This Row],[B1]])),1,0)+IF(NOT(ISBLANK(BetTable[[#This Row],[B2]])),1,0)+IF(NOT(ISBLANK(BetTable[[#This Row],[B3]])),1,0)</f>
        <v>0</v>
      </c>
      <c r="X116" s="143" t="str">
        <f>IF(BetTable[[#This Row],[Outcome1]]="","",BetTable[[#This Row],[WBA1]]+BetTable[[#This Row],[WBA2]]+BetTable[[#This Row],[WBA3]]-BetTable[[#This Row],[TS]])</f>
        <v/>
      </c>
      <c r="Y116" s="143" t="str">
        <f>IF(BetTable[[#This Row],[AR]]="","",BetTable[[#This Row],[AR]]/BetTable[[#This Row],[NumBookies]])</f>
        <v/>
      </c>
      <c r="Z116" s="143">
        <f>(((BetTable[[#This Row],[O1]]-1)*BetTable[[#This Row],[S1]])*(1-(BetTable[[#This Row],[C% 1]]))+BetTable[[#This Row],[S1]])</f>
        <v>0</v>
      </c>
      <c r="AA116" s="143">
        <f>(((BetTable[[#This Row],[O2]]-1)*BetTable[[#This Row],[S2]])*(1-(BetTable[[#This Row],[C% 2]]))+BetTable[[#This Row],[S2]])</f>
        <v>0</v>
      </c>
      <c r="AB116" s="143">
        <f>(((BetTable[[#This Row],[O3]]-1)*BetTable[[#This Row],[S3]])*(1-(BetTable[[#This Row],[C% 3]]))+BetTable[[#This Row],[S3]])</f>
        <v>0</v>
      </c>
      <c r="AC116" s="147" t="str">
        <f>IFERROR(IF(BetTable[[#This Row],[Sp]]="","",BetTable[[#This Row],[R1]]/BetTable[[#This Row],[TS]]),"")</f>
        <v/>
      </c>
      <c r="AD116" s="147" t="str">
        <f>IF(BetTable[[#This Row],[O2]]="","",BetTable[[#This Row],[R2]]/BetTable[[#This Row],[TS]])</f>
        <v/>
      </c>
      <c r="AE116" s="147" t="str">
        <f>IFERROR(IF(BetTable[[#This Row],[Sp]]="","",BetTable[[#This Row],[R3]]/BetTable[[#This Row],[TS]]),"")</f>
        <v/>
      </c>
      <c r="AF116" s="147" t="str">
        <f>IFERROR(IF(BetTable[[#This Row],[Outcome1]]="","",BetTable[[#This Row],[AR]]/BetTable[[#This Row],[TS]]),"")</f>
        <v/>
      </c>
      <c r="AG11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6" s="57" t="e">
        <f>IF(BetTable[[#This Row],[Outcome1]]="",AJ115,BetTable[[#This Row],[AR]]+AJ115)</f>
        <v>#REF!</v>
      </c>
      <c r="AK116" s="39"/>
    </row>
    <row r="117" spans="1:37">
      <c r="A117" s="144"/>
      <c r="B117" s="39"/>
      <c r="C117" s="40"/>
      <c r="D117" s="40"/>
      <c r="E117" s="40"/>
      <c r="F117" s="152"/>
      <c r="G117" s="152"/>
      <c r="H117" s="152"/>
      <c r="I117" s="39"/>
      <c r="J117" s="54"/>
      <c r="K117" s="54"/>
      <c r="L117" s="54"/>
      <c r="M117" s="57"/>
      <c r="N117" s="57"/>
      <c r="O117" s="57"/>
      <c r="P117" s="55"/>
      <c r="Q117" s="55"/>
      <c r="R117" s="55"/>
      <c r="S117" s="146" t="str">
        <f>IF(BetTable[[#This Row],[Sp]]="","",BetTable[[#This Row],[S1]]+BetTable[[#This Row],[S2]]+BetTable[[#This Row],[S3]])</f>
        <v/>
      </c>
      <c r="T117" s="143" t="str">
        <f>IF(BetTable[[#This Row],[O1]]="","",(BetTable[[#This Row],[WBA1-Commission]])-BetTable[[#This Row],[TS]])</f>
        <v/>
      </c>
      <c r="U117" s="143" t="str">
        <f>IF(BetTable[[#This Row],[O2]]="","",(BetTable[[#This Row],[WBA2-Commission]])-BetTable[[#This Row],[TS]])</f>
        <v/>
      </c>
      <c r="V117" s="143" t="str">
        <f>IF(BetTable[[#This Row],[O3]]="","",(BetTable[[#This Row],[WBA3-Commission]])-BetTable[[#This Row],[TS]])</f>
        <v/>
      </c>
      <c r="W117" s="143">
        <f>IF(NOT(ISBLANK(BetTable[[#This Row],[B1]])),1,0)+IF(NOT(ISBLANK(BetTable[[#This Row],[B2]])),1,0)+IF(NOT(ISBLANK(BetTable[[#This Row],[B3]])),1,0)</f>
        <v>0</v>
      </c>
      <c r="X117" s="143" t="str">
        <f>IF(BetTable[[#This Row],[Outcome1]]="","",BetTable[[#This Row],[WBA1]]+BetTable[[#This Row],[WBA2]]+BetTable[[#This Row],[WBA3]]-BetTable[[#This Row],[TS]])</f>
        <v/>
      </c>
      <c r="Y117" s="143" t="str">
        <f>IF(BetTable[[#This Row],[AR]]="","",BetTable[[#This Row],[AR]]/BetTable[[#This Row],[NumBookies]])</f>
        <v/>
      </c>
      <c r="Z117" s="143">
        <f>(((BetTable[[#This Row],[O1]]-1)*BetTable[[#This Row],[S1]])*(1-(BetTable[[#This Row],[C% 1]]))+BetTable[[#This Row],[S1]])</f>
        <v>0</v>
      </c>
      <c r="AA117" s="143">
        <f>(((BetTable[[#This Row],[O2]]-1)*BetTable[[#This Row],[S2]])*(1-(BetTable[[#This Row],[C% 2]]))+BetTable[[#This Row],[S2]])</f>
        <v>0</v>
      </c>
      <c r="AB117" s="143">
        <f>(((BetTable[[#This Row],[O3]]-1)*BetTable[[#This Row],[S3]])*(1-(BetTable[[#This Row],[C% 3]]))+BetTable[[#This Row],[S3]])</f>
        <v>0</v>
      </c>
      <c r="AC117" s="147" t="str">
        <f>IFERROR(IF(BetTable[[#This Row],[Sp]]="","",BetTable[[#This Row],[R1]]/BetTable[[#This Row],[TS]]),"")</f>
        <v/>
      </c>
      <c r="AD117" s="147" t="str">
        <f>IF(BetTable[[#This Row],[O2]]="","",BetTable[[#This Row],[R2]]/BetTable[[#This Row],[TS]])</f>
        <v/>
      </c>
      <c r="AE117" s="147" t="str">
        <f>IFERROR(IF(BetTable[[#This Row],[Sp]]="","",BetTable[[#This Row],[R3]]/BetTable[[#This Row],[TS]]),"")</f>
        <v/>
      </c>
      <c r="AF117" s="147" t="str">
        <f>IFERROR(IF(BetTable[[#This Row],[Outcome1]]="","",BetTable[[#This Row],[AR]]/BetTable[[#This Row],[TS]]),"")</f>
        <v/>
      </c>
      <c r="AG11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7" s="57" t="e">
        <f>IF(BetTable[[#This Row],[Outcome1]]="",AJ116,BetTable[[#This Row],[AR]]+AJ116)</f>
        <v>#REF!</v>
      </c>
      <c r="AK117" s="39"/>
    </row>
    <row r="118" spans="1:37">
      <c r="A118" s="144"/>
      <c r="B118" s="39"/>
      <c r="C118" s="40"/>
      <c r="D118" s="40"/>
      <c r="E118" s="40"/>
      <c r="F118" s="152"/>
      <c r="G118" s="152"/>
      <c r="H118" s="152"/>
      <c r="I118" s="39"/>
      <c r="J118" s="54"/>
      <c r="K118" s="54"/>
      <c r="L118" s="54"/>
      <c r="M118" s="57"/>
      <c r="N118" s="57"/>
      <c r="O118" s="57"/>
      <c r="P118" s="55"/>
      <c r="Q118" s="55"/>
      <c r="R118" s="55"/>
      <c r="S118" s="146" t="str">
        <f>IF(BetTable[[#This Row],[Sp]]="","",BetTable[[#This Row],[S1]]+BetTable[[#This Row],[S2]]+BetTable[[#This Row],[S3]])</f>
        <v/>
      </c>
      <c r="T118" s="143" t="str">
        <f>IF(BetTable[[#This Row],[O1]]="","",(BetTable[[#This Row],[WBA1-Commission]])-BetTable[[#This Row],[TS]])</f>
        <v/>
      </c>
      <c r="U118" s="143" t="str">
        <f>IF(BetTable[[#This Row],[O2]]="","",(BetTable[[#This Row],[WBA2-Commission]])-BetTable[[#This Row],[TS]])</f>
        <v/>
      </c>
      <c r="V118" s="143" t="str">
        <f>IF(BetTable[[#This Row],[O3]]="","",(BetTable[[#This Row],[WBA3-Commission]])-BetTable[[#This Row],[TS]])</f>
        <v/>
      </c>
      <c r="W118" s="143">
        <f>IF(NOT(ISBLANK(BetTable[[#This Row],[B1]])),1,0)+IF(NOT(ISBLANK(BetTable[[#This Row],[B2]])),1,0)+IF(NOT(ISBLANK(BetTable[[#This Row],[B3]])),1,0)</f>
        <v>0</v>
      </c>
      <c r="X118" s="143" t="str">
        <f>IF(BetTable[[#This Row],[Outcome1]]="","",BetTable[[#This Row],[WBA1]]+BetTable[[#This Row],[WBA2]]+BetTable[[#This Row],[WBA3]]-BetTable[[#This Row],[TS]])</f>
        <v/>
      </c>
      <c r="Y118" s="143" t="str">
        <f>IF(BetTable[[#This Row],[AR]]="","",BetTable[[#This Row],[AR]]/BetTable[[#This Row],[NumBookies]])</f>
        <v/>
      </c>
      <c r="Z118" s="143">
        <f>(((BetTable[[#This Row],[O1]]-1)*BetTable[[#This Row],[S1]])*(1-(BetTable[[#This Row],[C% 1]]))+BetTable[[#This Row],[S1]])</f>
        <v>0</v>
      </c>
      <c r="AA118" s="143">
        <f>(((BetTable[[#This Row],[O2]]-1)*BetTable[[#This Row],[S2]])*(1-(BetTable[[#This Row],[C% 2]]))+BetTable[[#This Row],[S2]])</f>
        <v>0</v>
      </c>
      <c r="AB118" s="143">
        <f>(((BetTable[[#This Row],[O3]]-1)*BetTable[[#This Row],[S3]])*(1-(BetTable[[#This Row],[C% 3]]))+BetTable[[#This Row],[S3]])</f>
        <v>0</v>
      </c>
      <c r="AC118" s="147" t="str">
        <f>IFERROR(IF(BetTable[[#This Row],[Sp]]="","",BetTable[[#This Row],[R1]]/BetTable[[#This Row],[TS]]),"")</f>
        <v/>
      </c>
      <c r="AD118" s="147" t="str">
        <f>IF(BetTable[[#This Row],[O2]]="","",BetTable[[#This Row],[R2]]/BetTable[[#This Row],[TS]])</f>
        <v/>
      </c>
      <c r="AE118" s="147" t="str">
        <f>IFERROR(IF(BetTable[[#This Row],[Sp]]="","",BetTable[[#This Row],[R3]]/BetTable[[#This Row],[TS]]),"")</f>
        <v/>
      </c>
      <c r="AF118" s="147" t="str">
        <f>IFERROR(IF(BetTable[[#This Row],[Outcome1]]="","",BetTable[[#This Row],[AR]]/BetTable[[#This Row],[TS]]),"")</f>
        <v/>
      </c>
      <c r="AG11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8" s="57" t="e">
        <f>IF(BetTable[[#This Row],[Outcome1]]="",AJ117,BetTable[[#This Row],[AR]]+AJ117)</f>
        <v>#REF!</v>
      </c>
      <c r="AK118" s="39"/>
    </row>
    <row r="119" spans="1:37">
      <c r="A119" s="144"/>
      <c r="B119" s="39"/>
      <c r="C119" s="40"/>
      <c r="D119" s="40"/>
      <c r="E119" s="40"/>
      <c r="F119" s="152"/>
      <c r="G119" s="152"/>
      <c r="H119" s="152"/>
      <c r="I119" s="39"/>
      <c r="J119" s="54"/>
      <c r="K119" s="54"/>
      <c r="L119" s="54"/>
      <c r="M119" s="57"/>
      <c r="N119" s="57"/>
      <c r="O119" s="57"/>
      <c r="P119" s="55"/>
      <c r="Q119" s="55"/>
      <c r="R119" s="55"/>
      <c r="S119" s="146" t="str">
        <f>IF(BetTable[[#This Row],[Sp]]="","",BetTable[[#This Row],[S1]]+BetTable[[#This Row],[S2]]+BetTable[[#This Row],[S3]])</f>
        <v/>
      </c>
      <c r="T119" s="143" t="str">
        <f>IF(BetTable[[#This Row],[O1]]="","",(BetTable[[#This Row],[WBA1-Commission]])-BetTable[[#This Row],[TS]])</f>
        <v/>
      </c>
      <c r="U119" s="143" t="str">
        <f>IF(BetTable[[#This Row],[O2]]="","",(BetTable[[#This Row],[WBA2-Commission]])-BetTable[[#This Row],[TS]])</f>
        <v/>
      </c>
      <c r="V119" s="143" t="str">
        <f>IF(BetTable[[#This Row],[O3]]="","",(BetTable[[#This Row],[WBA3-Commission]])-BetTable[[#This Row],[TS]])</f>
        <v/>
      </c>
      <c r="W119" s="143">
        <f>IF(NOT(ISBLANK(BetTable[[#This Row],[B1]])),1,0)+IF(NOT(ISBLANK(BetTable[[#This Row],[B2]])),1,0)+IF(NOT(ISBLANK(BetTable[[#This Row],[B3]])),1,0)</f>
        <v>0</v>
      </c>
      <c r="X119" s="143" t="str">
        <f>IF(BetTable[[#This Row],[Outcome1]]="","",BetTable[[#This Row],[WBA1]]+BetTable[[#This Row],[WBA2]]+BetTable[[#This Row],[WBA3]]-BetTable[[#This Row],[TS]])</f>
        <v/>
      </c>
      <c r="Y119" s="143" t="str">
        <f>IF(BetTable[[#This Row],[AR]]="","",BetTable[[#This Row],[AR]]/BetTable[[#This Row],[NumBookies]])</f>
        <v/>
      </c>
      <c r="Z119" s="143">
        <f>(((BetTable[[#This Row],[O1]]-1)*BetTable[[#This Row],[S1]])*(1-(BetTable[[#This Row],[C% 1]]))+BetTable[[#This Row],[S1]])</f>
        <v>0</v>
      </c>
      <c r="AA119" s="143">
        <f>(((BetTable[[#This Row],[O2]]-1)*BetTable[[#This Row],[S2]])*(1-(BetTable[[#This Row],[C% 2]]))+BetTable[[#This Row],[S2]])</f>
        <v>0</v>
      </c>
      <c r="AB119" s="143">
        <f>(((BetTable[[#This Row],[O3]]-1)*BetTable[[#This Row],[S3]])*(1-(BetTable[[#This Row],[C% 3]]))+BetTable[[#This Row],[S3]])</f>
        <v>0</v>
      </c>
      <c r="AC119" s="147" t="str">
        <f>IFERROR(IF(BetTable[[#This Row],[Sp]]="","",BetTable[[#This Row],[R1]]/BetTable[[#This Row],[TS]]),"")</f>
        <v/>
      </c>
      <c r="AD119" s="147" t="str">
        <f>IF(BetTable[[#This Row],[O2]]="","",BetTable[[#This Row],[R2]]/BetTable[[#This Row],[TS]])</f>
        <v/>
      </c>
      <c r="AE119" s="147" t="str">
        <f>IFERROR(IF(BetTable[[#This Row],[Sp]]="","",BetTable[[#This Row],[R3]]/BetTable[[#This Row],[TS]]),"")</f>
        <v/>
      </c>
      <c r="AF119" s="147" t="str">
        <f>IFERROR(IF(BetTable[[#This Row],[Outcome1]]="","",BetTable[[#This Row],[AR]]/BetTable[[#This Row],[TS]]),"")</f>
        <v/>
      </c>
      <c r="AG11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1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1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19" s="57" t="e">
        <f>IF(BetTable[[#This Row],[Outcome1]]="",AJ118,BetTable[[#This Row],[AR]]+AJ118)</f>
        <v>#REF!</v>
      </c>
      <c r="AK119" s="39"/>
    </row>
    <row r="120" spans="1:37">
      <c r="A120" s="144"/>
      <c r="B120" s="39"/>
      <c r="C120" s="40"/>
      <c r="D120" s="40"/>
      <c r="E120" s="40"/>
      <c r="F120" s="152"/>
      <c r="G120" s="152"/>
      <c r="H120" s="152"/>
      <c r="I120" s="39"/>
      <c r="J120" s="54"/>
      <c r="K120" s="54"/>
      <c r="L120" s="54"/>
      <c r="M120" s="57"/>
      <c r="N120" s="57"/>
      <c r="O120" s="57"/>
      <c r="P120" s="55"/>
      <c r="Q120" s="55"/>
      <c r="R120" s="55"/>
      <c r="S120" s="146" t="str">
        <f>IF(BetTable[[#This Row],[Sp]]="","",BetTable[[#This Row],[S1]]+BetTable[[#This Row],[S2]]+BetTable[[#This Row],[S3]])</f>
        <v/>
      </c>
      <c r="T120" s="143" t="str">
        <f>IF(BetTable[[#This Row],[O1]]="","",(BetTable[[#This Row],[WBA1-Commission]])-BetTable[[#This Row],[TS]])</f>
        <v/>
      </c>
      <c r="U120" s="143" t="str">
        <f>IF(BetTable[[#This Row],[O2]]="","",(BetTable[[#This Row],[WBA2-Commission]])-BetTable[[#This Row],[TS]])</f>
        <v/>
      </c>
      <c r="V120" s="143" t="str">
        <f>IF(BetTable[[#This Row],[O3]]="","",(BetTable[[#This Row],[WBA3-Commission]])-BetTable[[#This Row],[TS]])</f>
        <v/>
      </c>
      <c r="W120" s="143">
        <f>IF(NOT(ISBLANK(BetTable[[#This Row],[B1]])),1,0)+IF(NOT(ISBLANK(BetTable[[#This Row],[B2]])),1,0)+IF(NOT(ISBLANK(BetTable[[#This Row],[B3]])),1,0)</f>
        <v>0</v>
      </c>
      <c r="X120" s="143" t="str">
        <f>IF(BetTable[[#This Row],[Outcome1]]="","",BetTable[[#This Row],[WBA1]]+BetTable[[#This Row],[WBA2]]+BetTable[[#This Row],[WBA3]]-BetTable[[#This Row],[TS]])</f>
        <v/>
      </c>
      <c r="Y120" s="143" t="str">
        <f>IF(BetTable[[#This Row],[AR]]="","",BetTable[[#This Row],[AR]]/BetTable[[#This Row],[NumBookies]])</f>
        <v/>
      </c>
      <c r="Z120" s="143">
        <f>(((BetTable[[#This Row],[O1]]-1)*BetTable[[#This Row],[S1]])*(1-(BetTable[[#This Row],[C% 1]]))+BetTable[[#This Row],[S1]])</f>
        <v>0</v>
      </c>
      <c r="AA120" s="143">
        <f>(((BetTable[[#This Row],[O2]]-1)*BetTable[[#This Row],[S2]])*(1-(BetTable[[#This Row],[C% 2]]))+BetTable[[#This Row],[S2]])</f>
        <v>0</v>
      </c>
      <c r="AB120" s="143">
        <f>(((BetTable[[#This Row],[O3]]-1)*BetTable[[#This Row],[S3]])*(1-(BetTable[[#This Row],[C% 3]]))+BetTable[[#This Row],[S3]])</f>
        <v>0</v>
      </c>
      <c r="AC120" s="147" t="str">
        <f>IFERROR(IF(BetTable[[#This Row],[Sp]]="","",BetTable[[#This Row],[R1]]/BetTable[[#This Row],[TS]]),"")</f>
        <v/>
      </c>
      <c r="AD120" s="147" t="str">
        <f>IF(BetTable[[#This Row],[O2]]="","",BetTable[[#This Row],[R2]]/BetTable[[#This Row],[TS]])</f>
        <v/>
      </c>
      <c r="AE120" s="147" t="str">
        <f>IFERROR(IF(BetTable[[#This Row],[Sp]]="","",BetTable[[#This Row],[R3]]/BetTable[[#This Row],[TS]]),"")</f>
        <v/>
      </c>
      <c r="AF120" s="147" t="str">
        <f>IFERROR(IF(BetTable[[#This Row],[Outcome1]]="","",BetTable[[#This Row],[AR]]/BetTable[[#This Row],[TS]]),"")</f>
        <v/>
      </c>
      <c r="AG12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0" s="57" t="e">
        <f>IF(BetTable[[#This Row],[Outcome1]]="",AJ119,BetTable[[#This Row],[AR]]+AJ119)</f>
        <v>#REF!</v>
      </c>
      <c r="AK120" s="39"/>
    </row>
    <row r="121" spans="1:37">
      <c r="A121" s="144"/>
      <c r="B121" s="39"/>
      <c r="C121" s="40"/>
      <c r="D121" s="40"/>
      <c r="E121" s="40"/>
      <c r="F121" s="152"/>
      <c r="G121" s="152"/>
      <c r="H121" s="152"/>
      <c r="I121" s="39"/>
      <c r="J121" s="54"/>
      <c r="K121" s="54"/>
      <c r="L121" s="54"/>
      <c r="M121" s="57"/>
      <c r="N121" s="57"/>
      <c r="O121" s="57"/>
      <c r="P121" s="55"/>
      <c r="Q121" s="55"/>
      <c r="R121" s="55"/>
      <c r="S121" s="146" t="str">
        <f>IF(BetTable[[#This Row],[Sp]]="","",BetTable[[#This Row],[S1]]+BetTable[[#This Row],[S2]]+BetTable[[#This Row],[S3]])</f>
        <v/>
      </c>
      <c r="T121" s="143" t="str">
        <f>IF(BetTable[[#This Row],[O1]]="","",(BetTable[[#This Row],[WBA1-Commission]])-BetTable[[#This Row],[TS]])</f>
        <v/>
      </c>
      <c r="U121" s="143" t="str">
        <f>IF(BetTable[[#This Row],[O2]]="","",(BetTable[[#This Row],[WBA2-Commission]])-BetTable[[#This Row],[TS]])</f>
        <v/>
      </c>
      <c r="V121" s="143" t="str">
        <f>IF(BetTable[[#This Row],[O3]]="","",(BetTable[[#This Row],[WBA3-Commission]])-BetTable[[#This Row],[TS]])</f>
        <v/>
      </c>
      <c r="W121" s="143">
        <f>IF(NOT(ISBLANK(BetTable[[#This Row],[B1]])),1,0)+IF(NOT(ISBLANK(BetTable[[#This Row],[B2]])),1,0)+IF(NOT(ISBLANK(BetTable[[#This Row],[B3]])),1,0)</f>
        <v>0</v>
      </c>
      <c r="X121" s="143" t="str">
        <f>IF(BetTable[[#This Row],[Outcome1]]="","",BetTable[[#This Row],[WBA1]]+BetTable[[#This Row],[WBA2]]+BetTable[[#This Row],[WBA3]]-BetTable[[#This Row],[TS]])</f>
        <v/>
      </c>
      <c r="Y121" s="143" t="str">
        <f>IF(BetTable[[#This Row],[AR]]="","",BetTable[[#This Row],[AR]]/BetTable[[#This Row],[NumBookies]])</f>
        <v/>
      </c>
      <c r="Z121" s="143">
        <f>(((BetTable[[#This Row],[O1]]-1)*BetTable[[#This Row],[S1]])*(1-(BetTable[[#This Row],[C% 1]]))+BetTable[[#This Row],[S1]])</f>
        <v>0</v>
      </c>
      <c r="AA121" s="143">
        <f>(((BetTable[[#This Row],[O2]]-1)*BetTable[[#This Row],[S2]])*(1-(BetTable[[#This Row],[C% 2]]))+BetTable[[#This Row],[S2]])</f>
        <v>0</v>
      </c>
      <c r="AB121" s="143">
        <f>(((BetTable[[#This Row],[O3]]-1)*BetTable[[#This Row],[S3]])*(1-(BetTable[[#This Row],[C% 3]]))+BetTable[[#This Row],[S3]])</f>
        <v>0</v>
      </c>
      <c r="AC121" s="147" t="str">
        <f>IFERROR(IF(BetTable[[#This Row],[Sp]]="","",BetTable[[#This Row],[R1]]/BetTable[[#This Row],[TS]]),"")</f>
        <v/>
      </c>
      <c r="AD121" s="147" t="str">
        <f>IF(BetTable[[#This Row],[O2]]="","",BetTable[[#This Row],[R2]]/BetTable[[#This Row],[TS]])</f>
        <v/>
      </c>
      <c r="AE121" s="147" t="str">
        <f>IFERROR(IF(BetTable[[#This Row],[Sp]]="","",BetTable[[#This Row],[R3]]/BetTable[[#This Row],[TS]]),"")</f>
        <v/>
      </c>
      <c r="AF121" s="147" t="str">
        <f>IFERROR(IF(BetTable[[#This Row],[Outcome1]]="","",BetTable[[#This Row],[AR]]/BetTable[[#This Row],[TS]]),"")</f>
        <v/>
      </c>
      <c r="AG12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1" s="57" t="e">
        <f>IF(BetTable[[#This Row],[Outcome1]]="",AJ120,BetTable[[#This Row],[AR]]+AJ120)</f>
        <v>#REF!</v>
      </c>
      <c r="AK121" s="39"/>
    </row>
    <row r="122" spans="1:37">
      <c r="A122" s="144"/>
      <c r="B122" s="39"/>
      <c r="C122" s="40"/>
      <c r="D122" s="40"/>
      <c r="E122" s="40"/>
      <c r="F122" s="152"/>
      <c r="G122" s="152"/>
      <c r="H122" s="152"/>
      <c r="I122" s="39"/>
      <c r="J122" s="54"/>
      <c r="K122" s="54"/>
      <c r="L122" s="54"/>
      <c r="M122" s="57"/>
      <c r="N122" s="57"/>
      <c r="O122" s="57"/>
      <c r="P122" s="55"/>
      <c r="Q122" s="55"/>
      <c r="R122" s="55"/>
      <c r="S122" s="146" t="str">
        <f>IF(BetTable[[#This Row],[Sp]]="","",BetTable[[#This Row],[S1]]+BetTable[[#This Row],[S2]]+BetTable[[#This Row],[S3]])</f>
        <v/>
      </c>
      <c r="T122" s="143" t="str">
        <f>IF(BetTable[[#This Row],[O1]]="","",(BetTable[[#This Row],[WBA1-Commission]])-BetTable[[#This Row],[TS]])</f>
        <v/>
      </c>
      <c r="U122" s="143" t="str">
        <f>IF(BetTable[[#This Row],[O2]]="","",(BetTable[[#This Row],[WBA2-Commission]])-BetTable[[#This Row],[TS]])</f>
        <v/>
      </c>
      <c r="V122" s="143" t="str">
        <f>IF(BetTable[[#This Row],[O3]]="","",(BetTable[[#This Row],[WBA3-Commission]])-BetTable[[#This Row],[TS]])</f>
        <v/>
      </c>
      <c r="W122" s="143">
        <f>IF(NOT(ISBLANK(BetTable[[#This Row],[B1]])),1,0)+IF(NOT(ISBLANK(BetTable[[#This Row],[B2]])),1,0)+IF(NOT(ISBLANK(BetTable[[#This Row],[B3]])),1,0)</f>
        <v>0</v>
      </c>
      <c r="X122" s="143" t="str">
        <f>IF(BetTable[[#This Row],[Outcome1]]="","",BetTable[[#This Row],[WBA1]]+BetTable[[#This Row],[WBA2]]+BetTable[[#This Row],[WBA3]]-BetTable[[#This Row],[TS]])</f>
        <v/>
      </c>
      <c r="Y122" s="143" t="str">
        <f>IF(BetTable[[#This Row],[AR]]="","",BetTable[[#This Row],[AR]]/BetTable[[#This Row],[NumBookies]])</f>
        <v/>
      </c>
      <c r="Z122" s="143">
        <f>(((BetTable[[#This Row],[O1]]-1)*BetTable[[#This Row],[S1]])*(1-(BetTable[[#This Row],[C% 1]]))+BetTable[[#This Row],[S1]])</f>
        <v>0</v>
      </c>
      <c r="AA122" s="143">
        <f>(((BetTable[[#This Row],[O2]]-1)*BetTable[[#This Row],[S2]])*(1-(BetTable[[#This Row],[C% 2]]))+BetTable[[#This Row],[S2]])</f>
        <v>0</v>
      </c>
      <c r="AB122" s="143">
        <f>(((BetTable[[#This Row],[O3]]-1)*BetTable[[#This Row],[S3]])*(1-(BetTable[[#This Row],[C% 3]]))+BetTable[[#This Row],[S3]])</f>
        <v>0</v>
      </c>
      <c r="AC122" s="147" t="str">
        <f>IFERROR(IF(BetTable[[#This Row],[Sp]]="","",BetTable[[#This Row],[R1]]/BetTable[[#This Row],[TS]]),"")</f>
        <v/>
      </c>
      <c r="AD122" s="147" t="str">
        <f>IF(BetTable[[#This Row],[O2]]="","",BetTable[[#This Row],[R2]]/BetTable[[#This Row],[TS]])</f>
        <v/>
      </c>
      <c r="AE122" s="147" t="str">
        <f>IFERROR(IF(BetTable[[#This Row],[Sp]]="","",BetTable[[#This Row],[R3]]/BetTable[[#This Row],[TS]]),"")</f>
        <v/>
      </c>
      <c r="AF122" s="147" t="str">
        <f>IFERROR(IF(BetTable[[#This Row],[Outcome1]]="","",BetTable[[#This Row],[AR]]/BetTable[[#This Row],[TS]]),"")</f>
        <v/>
      </c>
      <c r="AG12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2" s="57" t="e">
        <f>IF(BetTable[[#This Row],[Outcome1]]="",AJ121,BetTable[[#This Row],[AR]]+AJ121)</f>
        <v>#REF!</v>
      </c>
      <c r="AK122" s="39"/>
    </row>
    <row r="123" spans="1:37">
      <c r="A123" s="144"/>
      <c r="B123" s="39"/>
      <c r="C123" s="40"/>
      <c r="D123" s="40"/>
      <c r="E123" s="40"/>
      <c r="F123" s="152"/>
      <c r="G123" s="152"/>
      <c r="H123" s="152"/>
      <c r="I123" s="39"/>
      <c r="J123" s="54"/>
      <c r="K123" s="54"/>
      <c r="L123" s="54"/>
      <c r="M123" s="57"/>
      <c r="N123" s="57"/>
      <c r="O123" s="57"/>
      <c r="P123" s="55"/>
      <c r="Q123" s="55"/>
      <c r="R123" s="55"/>
      <c r="S123" s="146" t="str">
        <f>IF(BetTable[[#This Row],[Sp]]="","",BetTable[[#This Row],[S1]]+BetTable[[#This Row],[S2]]+BetTable[[#This Row],[S3]])</f>
        <v/>
      </c>
      <c r="T123" s="143" t="str">
        <f>IF(BetTable[[#This Row],[O1]]="","",(BetTable[[#This Row],[WBA1-Commission]])-BetTable[[#This Row],[TS]])</f>
        <v/>
      </c>
      <c r="U123" s="143" t="str">
        <f>IF(BetTable[[#This Row],[O2]]="","",(BetTable[[#This Row],[WBA2-Commission]])-BetTable[[#This Row],[TS]])</f>
        <v/>
      </c>
      <c r="V123" s="143" t="str">
        <f>IF(BetTable[[#This Row],[O3]]="","",(BetTable[[#This Row],[WBA3-Commission]])-BetTable[[#This Row],[TS]])</f>
        <v/>
      </c>
      <c r="W123" s="143">
        <f>IF(NOT(ISBLANK(BetTable[[#This Row],[B1]])),1,0)+IF(NOT(ISBLANK(BetTable[[#This Row],[B2]])),1,0)+IF(NOT(ISBLANK(BetTable[[#This Row],[B3]])),1,0)</f>
        <v>0</v>
      </c>
      <c r="X123" s="143" t="str">
        <f>IF(BetTable[[#This Row],[Outcome1]]="","",BetTable[[#This Row],[WBA1]]+BetTable[[#This Row],[WBA2]]+BetTable[[#This Row],[WBA3]]-BetTable[[#This Row],[TS]])</f>
        <v/>
      </c>
      <c r="Y123" s="143" t="str">
        <f>IF(BetTable[[#This Row],[AR]]="","",BetTable[[#This Row],[AR]]/BetTable[[#This Row],[NumBookies]])</f>
        <v/>
      </c>
      <c r="Z123" s="143">
        <f>(((BetTable[[#This Row],[O1]]-1)*BetTable[[#This Row],[S1]])*(1-(BetTable[[#This Row],[C% 1]]))+BetTable[[#This Row],[S1]])</f>
        <v>0</v>
      </c>
      <c r="AA123" s="143">
        <f>(((BetTable[[#This Row],[O2]]-1)*BetTable[[#This Row],[S2]])*(1-(BetTable[[#This Row],[C% 2]]))+BetTable[[#This Row],[S2]])</f>
        <v>0</v>
      </c>
      <c r="AB123" s="143">
        <f>(((BetTable[[#This Row],[O3]]-1)*BetTable[[#This Row],[S3]])*(1-(BetTable[[#This Row],[C% 3]]))+BetTable[[#This Row],[S3]])</f>
        <v>0</v>
      </c>
      <c r="AC123" s="147" t="str">
        <f>IFERROR(IF(BetTable[[#This Row],[Sp]]="","",BetTable[[#This Row],[R1]]/BetTable[[#This Row],[TS]]),"")</f>
        <v/>
      </c>
      <c r="AD123" s="147" t="str">
        <f>IF(BetTable[[#This Row],[O2]]="","",BetTable[[#This Row],[R2]]/BetTable[[#This Row],[TS]])</f>
        <v/>
      </c>
      <c r="AE123" s="147" t="str">
        <f>IFERROR(IF(BetTable[[#This Row],[Sp]]="","",BetTable[[#This Row],[R3]]/BetTable[[#This Row],[TS]]),"")</f>
        <v/>
      </c>
      <c r="AF123" s="147" t="str">
        <f>IFERROR(IF(BetTable[[#This Row],[Outcome1]]="","",BetTable[[#This Row],[AR]]/BetTable[[#This Row],[TS]]),"")</f>
        <v/>
      </c>
      <c r="AG12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3" s="57" t="e">
        <f>IF(BetTable[[#This Row],[Outcome1]]="",AJ122,BetTable[[#This Row],[AR]]+AJ122)</f>
        <v>#REF!</v>
      </c>
      <c r="AK123" s="39"/>
    </row>
    <row r="124" spans="1:37">
      <c r="A124" s="144"/>
      <c r="B124" s="39"/>
      <c r="C124" s="40"/>
      <c r="D124" s="40"/>
      <c r="E124" s="40"/>
      <c r="F124" s="152"/>
      <c r="G124" s="152"/>
      <c r="H124" s="152"/>
      <c r="I124" s="39"/>
      <c r="J124" s="54"/>
      <c r="K124" s="54"/>
      <c r="L124" s="54"/>
      <c r="M124" s="57"/>
      <c r="N124" s="57"/>
      <c r="O124" s="57"/>
      <c r="P124" s="55"/>
      <c r="Q124" s="55"/>
      <c r="R124" s="55"/>
      <c r="S124" s="146" t="str">
        <f>IF(BetTable[[#This Row],[Sp]]="","",BetTable[[#This Row],[S1]]+BetTable[[#This Row],[S2]]+BetTable[[#This Row],[S3]])</f>
        <v/>
      </c>
      <c r="T124" s="143" t="str">
        <f>IF(BetTable[[#This Row],[O1]]="","",(BetTable[[#This Row],[WBA1-Commission]])-BetTable[[#This Row],[TS]])</f>
        <v/>
      </c>
      <c r="U124" s="143" t="str">
        <f>IF(BetTable[[#This Row],[O2]]="","",(BetTable[[#This Row],[WBA2-Commission]])-BetTable[[#This Row],[TS]])</f>
        <v/>
      </c>
      <c r="V124" s="143" t="str">
        <f>IF(BetTable[[#This Row],[O3]]="","",(BetTable[[#This Row],[WBA3-Commission]])-BetTable[[#This Row],[TS]])</f>
        <v/>
      </c>
      <c r="W124" s="143">
        <f>IF(NOT(ISBLANK(BetTable[[#This Row],[B1]])),1,0)+IF(NOT(ISBLANK(BetTable[[#This Row],[B2]])),1,0)+IF(NOT(ISBLANK(BetTable[[#This Row],[B3]])),1,0)</f>
        <v>0</v>
      </c>
      <c r="X124" s="143" t="str">
        <f>IF(BetTable[[#This Row],[Outcome1]]="","",BetTable[[#This Row],[WBA1]]+BetTable[[#This Row],[WBA2]]+BetTable[[#This Row],[WBA3]]-BetTable[[#This Row],[TS]])</f>
        <v/>
      </c>
      <c r="Y124" s="143" t="str">
        <f>IF(BetTable[[#This Row],[AR]]="","",BetTable[[#This Row],[AR]]/BetTable[[#This Row],[NumBookies]])</f>
        <v/>
      </c>
      <c r="Z124" s="143">
        <f>(((BetTable[[#This Row],[O1]]-1)*BetTable[[#This Row],[S1]])*(1-(BetTable[[#This Row],[C% 1]]))+BetTable[[#This Row],[S1]])</f>
        <v>0</v>
      </c>
      <c r="AA124" s="143">
        <f>(((BetTable[[#This Row],[O2]]-1)*BetTable[[#This Row],[S2]])*(1-(BetTable[[#This Row],[C% 2]]))+BetTable[[#This Row],[S2]])</f>
        <v>0</v>
      </c>
      <c r="AB124" s="143">
        <f>(((BetTable[[#This Row],[O3]]-1)*BetTable[[#This Row],[S3]])*(1-(BetTable[[#This Row],[C% 3]]))+BetTable[[#This Row],[S3]])</f>
        <v>0</v>
      </c>
      <c r="AC124" s="147" t="str">
        <f>IFERROR(IF(BetTable[[#This Row],[Sp]]="","",BetTable[[#This Row],[R1]]/BetTable[[#This Row],[TS]]),"")</f>
        <v/>
      </c>
      <c r="AD124" s="147" t="str">
        <f>IF(BetTable[[#This Row],[O2]]="","",BetTable[[#This Row],[R2]]/BetTable[[#This Row],[TS]])</f>
        <v/>
      </c>
      <c r="AE124" s="147" t="str">
        <f>IFERROR(IF(BetTable[[#This Row],[Sp]]="","",BetTable[[#This Row],[R3]]/BetTable[[#This Row],[TS]]),"")</f>
        <v/>
      </c>
      <c r="AF124" s="147" t="str">
        <f>IFERROR(IF(BetTable[[#This Row],[Outcome1]]="","",BetTable[[#This Row],[AR]]/BetTable[[#This Row],[TS]]),"")</f>
        <v/>
      </c>
      <c r="AG12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4" s="57" t="e">
        <f>IF(BetTable[[#This Row],[Outcome1]]="",AJ123,BetTable[[#This Row],[AR]]+AJ123)</f>
        <v>#REF!</v>
      </c>
      <c r="AK124" s="39"/>
    </row>
    <row r="125" spans="1:37">
      <c r="A125" s="144"/>
      <c r="B125" s="39"/>
      <c r="C125" s="40"/>
      <c r="D125" s="40"/>
      <c r="E125" s="40"/>
      <c r="F125" s="152"/>
      <c r="G125" s="152"/>
      <c r="H125" s="152"/>
      <c r="I125" s="39"/>
      <c r="J125" s="54"/>
      <c r="K125" s="54"/>
      <c r="L125" s="54"/>
      <c r="M125" s="57"/>
      <c r="N125" s="57"/>
      <c r="O125" s="57"/>
      <c r="P125" s="55"/>
      <c r="Q125" s="55"/>
      <c r="R125" s="55"/>
      <c r="S125" s="146" t="str">
        <f>IF(BetTable[[#This Row],[Sp]]="","",BetTable[[#This Row],[S1]]+BetTable[[#This Row],[S2]]+BetTable[[#This Row],[S3]])</f>
        <v/>
      </c>
      <c r="T125" s="143" t="str">
        <f>IF(BetTable[[#This Row],[O1]]="","",(BetTable[[#This Row],[WBA1-Commission]])-BetTable[[#This Row],[TS]])</f>
        <v/>
      </c>
      <c r="U125" s="143" t="str">
        <f>IF(BetTable[[#This Row],[O2]]="","",(BetTable[[#This Row],[WBA2-Commission]])-BetTable[[#This Row],[TS]])</f>
        <v/>
      </c>
      <c r="V125" s="143" t="str">
        <f>IF(BetTable[[#This Row],[O3]]="","",(BetTable[[#This Row],[WBA3-Commission]])-BetTable[[#This Row],[TS]])</f>
        <v/>
      </c>
      <c r="W125" s="143">
        <f>IF(NOT(ISBLANK(BetTable[[#This Row],[B1]])),1,0)+IF(NOT(ISBLANK(BetTable[[#This Row],[B2]])),1,0)+IF(NOT(ISBLANK(BetTable[[#This Row],[B3]])),1,0)</f>
        <v>0</v>
      </c>
      <c r="X125" s="143" t="str">
        <f>IF(BetTable[[#This Row],[Outcome1]]="","",BetTable[[#This Row],[WBA1]]+BetTable[[#This Row],[WBA2]]+BetTable[[#This Row],[WBA3]]-BetTable[[#This Row],[TS]])</f>
        <v/>
      </c>
      <c r="Y125" s="143" t="str">
        <f>IF(BetTable[[#This Row],[AR]]="","",BetTable[[#This Row],[AR]]/BetTable[[#This Row],[NumBookies]])</f>
        <v/>
      </c>
      <c r="Z125" s="143">
        <f>(((BetTable[[#This Row],[O1]]-1)*BetTable[[#This Row],[S1]])*(1-(BetTable[[#This Row],[C% 1]]))+BetTable[[#This Row],[S1]])</f>
        <v>0</v>
      </c>
      <c r="AA125" s="143">
        <f>(((BetTable[[#This Row],[O2]]-1)*BetTable[[#This Row],[S2]])*(1-(BetTable[[#This Row],[C% 2]]))+BetTable[[#This Row],[S2]])</f>
        <v>0</v>
      </c>
      <c r="AB125" s="143">
        <f>(((BetTable[[#This Row],[O3]]-1)*BetTable[[#This Row],[S3]])*(1-(BetTable[[#This Row],[C% 3]]))+BetTable[[#This Row],[S3]])</f>
        <v>0</v>
      </c>
      <c r="AC125" s="147" t="str">
        <f>IFERROR(IF(BetTable[[#This Row],[Sp]]="","",BetTable[[#This Row],[R1]]/BetTable[[#This Row],[TS]]),"")</f>
        <v/>
      </c>
      <c r="AD125" s="147" t="str">
        <f>IF(BetTable[[#This Row],[O2]]="","",BetTable[[#This Row],[R2]]/BetTable[[#This Row],[TS]])</f>
        <v/>
      </c>
      <c r="AE125" s="147" t="str">
        <f>IFERROR(IF(BetTable[[#This Row],[Sp]]="","",BetTable[[#This Row],[R3]]/BetTable[[#This Row],[TS]]),"")</f>
        <v/>
      </c>
      <c r="AF125" s="147" t="str">
        <f>IFERROR(IF(BetTable[[#This Row],[Outcome1]]="","",BetTable[[#This Row],[AR]]/BetTable[[#This Row],[TS]]),"")</f>
        <v/>
      </c>
      <c r="AG12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5" s="57" t="e">
        <f>IF(BetTable[[#This Row],[Outcome1]]="",AJ124,BetTable[[#This Row],[AR]]+AJ124)</f>
        <v>#REF!</v>
      </c>
      <c r="AK125" s="39"/>
    </row>
    <row r="126" spans="1:37">
      <c r="A126" s="144"/>
      <c r="B126" s="39"/>
      <c r="C126" s="40"/>
      <c r="D126" s="40"/>
      <c r="E126" s="40"/>
      <c r="F126" s="152"/>
      <c r="G126" s="152"/>
      <c r="H126" s="152"/>
      <c r="I126" s="39"/>
      <c r="J126" s="54"/>
      <c r="K126" s="54"/>
      <c r="L126" s="54"/>
      <c r="M126" s="57"/>
      <c r="N126" s="57"/>
      <c r="O126" s="57"/>
      <c r="P126" s="55"/>
      <c r="Q126" s="55"/>
      <c r="R126" s="55"/>
      <c r="S126" s="146" t="str">
        <f>IF(BetTable[[#This Row],[Sp]]="","",BetTable[[#This Row],[S1]]+BetTable[[#This Row],[S2]]+BetTable[[#This Row],[S3]])</f>
        <v/>
      </c>
      <c r="T126" s="143" t="str">
        <f>IF(BetTable[[#This Row],[O1]]="","",(BetTable[[#This Row],[WBA1-Commission]])-BetTable[[#This Row],[TS]])</f>
        <v/>
      </c>
      <c r="U126" s="143" t="str">
        <f>IF(BetTable[[#This Row],[O2]]="","",(BetTable[[#This Row],[WBA2-Commission]])-BetTable[[#This Row],[TS]])</f>
        <v/>
      </c>
      <c r="V126" s="143" t="str">
        <f>IF(BetTable[[#This Row],[O3]]="","",(BetTable[[#This Row],[WBA3-Commission]])-BetTable[[#This Row],[TS]])</f>
        <v/>
      </c>
      <c r="W126" s="143">
        <f>IF(NOT(ISBLANK(BetTable[[#This Row],[B1]])),1,0)+IF(NOT(ISBLANK(BetTable[[#This Row],[B2]])),1,0)+IF(NOT(ISBLANK(BetTable[[#This Row],[B3]])),1,0)</f>
        <v>0</v>
      </c>
      <c r="X126" s="143" t="str">
        <f>IF(BetTable[[#This Row],[Outcome1]]="","",BetTable[[#This Row],[WBA1]]+BetTable[[#This Row],[WBA2]]+BetTable[[#This Row],[WBA3]]-BetTable[[#This Row],[TS]])</f>
        <v/>
      </c>
      <c r="Y126" s="143" t="str">
        <f>IF(BetTable[[#This Row],[AR]]="","",BetTable[[#This Row],[AR]]/BetTable[[#This Row],[NumBookies]])</f>
        <v/>
      </c>
      <c r="Z126" s="143">
        <f>(((BetTable[[#This Row],[O1]]-1)*BetTable[[#This Row],[S1]])*(1-(BetTable[[#This Row],[C% 1]]))+BetTable[[#This Row],[S1]])</f>
        <v>0</v>
      </c>
      <c r="AA126" s="143">
        <f>(((BetTable[[#This Row],[O2]]-1)*BetTable[[#This Row],[S2]])*(1-(BetTable[[#This Row],[C% 2]]))+BetTable[[#This Row],[S2]])</f>
        <v>0</v>
      </c>
      <c r="AB126" s="143">
        <f>(((BetTable[[#This Row],[O3]]-1)*BetTable[[#This Row],[S3]])*(1-(BetTable[[#This Row],[C% 3]]))+BetTable[[#This Row],[S3]])</f>
        <v>0</v>
      </c>
      <c r="AC126" s="147" t="str">
        <f>IFERROR(IF(BetTable[[#This Row],[Sp]]="","",BetTable[[#This Row],[R1]]/BetTable[[#This Row],[TS]]),"")</f>
        <v/>
      </c>
      <c r="AD126" s="147" t="str">
        <f>IF(BetTable[[#This Row],[O2]]="","",BetTable[[#This Row],[R2]]/BetTable[[#This Row],[TS]])</f>
        <v/>
      </c>
      <c r="AE126" s="147" t="str">
        <f>IFERROR(IF(BetTable[[#This Row],[Sp]]="","",BetTable[[#This Row],[R3]]/BetTable[[#This Row],[TS]]),"")</f>
        <v/>
      </c>
      <c r="AF126" s="147" t="str">
        <f>IFERROR(IF(BetTable[[#This Row],[Outcome1]]="","",BetTable[[#This Row],[AR]]/BetTable[[#This Row],[TS]]),"")</f>
        <v/>
      </c>
      <c r="AG12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6" s="57" t="e">
        <f>IF(BetTable[[#This Row],[Outcome1]]="",AJ125,BetTable[[#This Row],[AR]]+AJ125)</f>
        <v>#REF!</v>
      </c>
      <c r="AK126" s="39"/>
    </row>
    <row r="127" spans="1:37">
      <c r="A127" s="144"/>
      <c r="B127" s="39"/>
      <c r="C127" s="40"/>
      <c r="D127" s="40"/>
      <c r="E127" s="40"/>
      <c r="F127" s="152"/>
      <c r="G127" s="152"/>
      <c r="H127" s="152"/>
      <c r="I127" s="39"/>
      <c r="J127" s="54"/>
      <c r="K127" s="54"/>
      <c r="L127" s="54"/>
      <c r="M127" s="57"/>
      <c r="N127" s="57"/>
      <c r="O127" s="57"/>
      <c r="P127" s="55"/>
      <c r="Q127" s="55"/>
      <c r="R127" s="55"/>
      <c r="S127" s="146" t="str">
        <f>IF(BetTable[[#This Row],[Sp]]="","",BetTable[[#This Row],[S1]]+BetTable[[#This Row],[S2]]+BetTable[[#This Row],[S3]])</f>
        <v/>
      </c>
      <c r="T127" s="143" t="str">
        <f>IF(BetTable[[#This Row],[O1]]="","",(BetTable[[#This Row],[WBA1-Commission]])-BetTable[[#This Row],[TS]])</f>
        <v/>
      </c>
      <c r="U127" s="143" t="str">
        <f>IF(BetTable[[#This Row],[O2]]="","",(BetTable[[#This Row],[WBA2-Commission]])-BetTable[[#This Row],[TS]])</f>
        <v/>
      </c>
      <c r="V127" s="143" t="str">
        <f>IF(BetTable[[#This Row],[O3]]="","",(BetTable[[#This Row],[WBA3-Commission]])-BetTable[[#This Row],[TS]])</f>
        <v/>
      </c>
      <c r="W127" s="143">
        <f>IF(NOT(ISBLANK(BetTable[[#This Row],[B1]])),1,0)+IF(NOT(ISBLANK(BetTable[[#This Row],[B2]])),1,0)+IF(NOT(ISBLANK(BetTable[[#This Row],[B3]])),1,0)</f>
        <v>0</v>
      </c>
      <c r="X127" s="143" t="str">
        <f>IF(BetTable[[#This Row],[Outcome1]]="","",BetTable[[#This Row],[WBA1]]+BetTable[[#This Row],[WBA2]]+BetTable[[#This Row],[WBA3]]-BetTable[[#This Row],[TS]])</f>
        <v/>
      </c>
      <c r="Y127" s="143" t="str">
        <f>IF(BetTable[[#This Row],[AR]]="","",BetTable[[#This Row],[AR]]/BetTable[[#This Row],[NumBookies]])</f>
        <v/>
      </c>
      <c r="Z127" s="143">
        <f>(((BetTable[[#This Row],[O1]]-1)*BetTable[[#This Row],[S1]])*(1-(BetTable[[#This Row],[C% 1]]))+BetTable[[#This Row],[S1]])</f>
        <v>0</v>
      </c>
      <c r="AA127" s="143">
        <f>(((BetTable[[#This Row],[O2]]-1)*BetTable[[#This Row],[S2]])*(1-(BetTable[[#This Row],[C% 2]]))+BetTable[[#This Row],[S2]])</f>
        <v>0</v>
      </c>
      <c r="AB127" s="143">
        <f>(((BetTable[[#This Row],[O3]]-1)*BetTable[[#This Row],[S3]])*(1-(BetTable[[#This Row],[C% 3]]))+BetTable[[#This Row],[S3]])</f>
        <v>0</v>
      </c>
      <c r="AC127" s="147" t="str">
        <f>IFERROR(IF(BetTable[[#This Row],[Sp]]="","",BetTable[[#This Row],[R1]]/BetTable[[#This Row],[TS]]),"")</f>
        <v/>
      </c>
      <c r="AD127" s="147" t="str">
        <f>IF(BetTable[[#This Row],[O2]]="","",BetTable[[#This Row],[R2]]/BetTable[[#This Row],[TS]])</f>
        <v/>
      </c>
      <c r="AE127" s="147" t="str">
        <f>IFERROR(IF(BetTable[[#This Row],[Sp]]="","",BetTable[[#This Row],[R3]]/BetTable[[#This Row],[TS]]),"")</f>
        <v/>
      </c>
      <c r="AF127" s="147" t="str">
        <f>IFERROR(IF(BetTable[[#This Row],[Outcome1]]="","",BetTable[[#This Row],[AR]]/BetTable[[#This Row],[TS]]),"")</f>
        <v/>
      </c>
      <c r="AG12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7" s="57" t="e">
        <f>IF(BetTable[[#This Row],[Outcome1]]="",AJ126,BetTable[[#This Row],[AR]]+AJ126)</f>
        <v>#REF!</v>
      </c>
      <c r="AK127" s="39"/>
    </row>
    <row r="128" spans="1:37">
      <c r="A128" s="144"/>
      <c r="B128" s="39"/>
      <c r="C128" s="40"/>
      <c r="D128" s="40"/>
      <c r="E128" s="40"/>
      <c r="F128" s="152"/>
      <c r="G128" s="152"/>
      <c r="H128" s="152"/>
      <c r="I128" s="39"/>
      <c r="J128" s="54"/>
      <c r="K128" s="54"/>
      <c r="L128" s="54"/>
      <c r="M128" s="57"/>
      <c r="N128" s="57"/>
      <c r="O128" s="57"/>
      <c r="P128" s="55"/>
      <c r="Q128" s="55"/>
      <c r="R128" s="55"/>
      <c r="S128" s="146" t="str">
        <f>IF(BetTable[[#This Row],[Sp]]="","",BetTable[[#This Row],[S1]]+BetTable[[#This Row],[S2]]+BetTable[[#This Row],[S3]])</f>
        <v/>
      </c>
      <c r="T128" s="143" t="str">
        <f>IF(BetTable[[#This Row],[O1]]="","",(BetTable[[#This Row],[WBA1-Commission]])-BetTable[[#This Row],[TS]])</f>
        <v/>
      </c>
      <c r="U128" s="143" t="str">
        <f>IF(BetTable[[#This Row],[O2]]="","",(BetTable[[#This Row],[WBA2-Commission]])-BetTable[[#This Row],[TS]])</f>
        <v/>
      </c>
      <c r="V128" s="143" t="str">
        <f>IF(BetTable[[#This Row],[O3]]="","",(BetTable[[#This Row],[WBA3-Commission]])-BetTable[[#This Row],[TS]])</f>
        <v/>
      </c>
      <c r="W128" s="143">
        <f>IF(NOT(ISBLANK(BetTable[[#This Row],[B1]])),1,0)+IF(NOT(ISBLANK(BetTable[[#This Row],[B2]])),1,0)+IF(NOT(ISBLANK(BetTable[[#This Row],[B3]])),1,0)</f>
        <v>0</v>
      </c>
      <c r="X128" s="143" t="str">
        <f>IF(BetTable[[#This Row],[Outcome1]]="","",BetTable[[#This Row],[WBA1]]+BetTable[[#This Row],[WBA2]]+BetTable[[#This Row],[WBA3]]-BetTable[[#This Row],[TS]])</f>
        <v/>
      </c>
      <c r="Y128" s="143" t="str">
        <f>IF(BetTable[[#This Row],[AR]]="","",BetTable[[#This Row],[AR]]/BetTable[[#This Row],[NumBookies]])</f>
        <v/>
      </c>
      <c r="Z128" s="143">
        <f>(((BetTable[[#This Row],[O1]]-1)*BetTable[[#This Row],[S1]])*(1-(BetTable[[#This Row],[C% 1]]))+BetTable[[#This Row],[S1]])</f>
        <v>0</v>
      </c>
      <c r="AA128" s="143">
        <f>(((BetTable[[#This Row],[O2]]-1)*BetTable[[#This Row],[S2]])*(1-(BetTable[[#This Row],[C% 2]]))+BetTable[[#This Row],[S2]])</f>
        <v>0</v>
      </c>
      <c r="AB128" s="143">
        <f>(((BetTable[[#This Row],[O3]]-1)*BetTable[[#This Row],[S3]])*(1-(BetTable[[#This Row],[C% 3]]))+BetTable[[#This Row],[S3]])</f>
        <v>0</v>
      </c>
      <c r="AC128" s="147" t="str">
        <f>IFERROR(IF(BetTable[[#This Row],[Sp]]="","",BetTable[[#This Row],[R1]]/BetTable[[#This Row],[TS]]),"")</f>
        <v/>
      </c>
      <c r="AD128" s="147" t="str">
        <f>IF(BetTable[[#This Row],[O2]]="","",BetTable[[#This Row],[R2]]/BetTable[[#This Row],[TS]])</f>
        <v/>
      </c>
      <c r="AE128" s="147" t="str">
        <f>IFERROR(IF(BetTable[[#This Row],[Sp]]="","",BetTable[[#This Row],[R3]]/BetTable[[#This Row],[TS]]),"")</f>
        <v/>
      </c>
      <c r="AF128" s="147" t="str">
        <f>IFERROR(IF(BetTable[[#This Row],[Outcome1]]="","",BetTable[[#This Row],[AR]]/BetTable[[#This Row],[TS]]),"")</f>
        <v/>
      </c>
      <c r="AG12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8" s="57" t="e">
        <f>IF(BetTable[[#This Row],[Outcome1]]="",AJ127,BetTable[[#This Row],[AR]]+AJ127)</f>
        <v>#REF!</v>
      </c>
      <c r="AK128" s="39"/>
    </row>
    <row r="129" spans="1:37">
      <c r="A129" s="144"/>
      <c r="B129" s="39"/>
      <c r="C129" s="40"/>
      <c r="D129" s="40"/>
      <c r="E129" s="40"/>
      <c r="F129" s="152"/>
      <c r="G129" s="152"/>
      <c r="H129" s="152"/>
      <c r="I129" s="39"/>
      <c r="J129" s="54"/>
      <c r="K129" s="54"/>
      <c r="L129" s="54"/>
      <c r="M129" s="57"/>
      <c r="N129" s="57"/>
      <c r="O129" s="57"/>
      <c r="P129" s="55"/>
      <c r="Q129" s="55"/>
      <c r="R129" s="55"/>
      <c r="S129" s="146" t="str">
        <f>IF(BetTable[[#This Row],[Sp]]="","",BetTable[[#This Row],[S1]]+BetTable[[#This Row],[S2]]+BetTable[[#This Row],[S3]])</f>
        <v/>
      </c>
      <c r="T129" s="143" t="str">
        <f>IF(BetTable[[#This Row],[O1]]="","",(BetTable[[#This Row],[WBA1-Commission]])-BetTable[[#This Row],[TS]])</f>
        <v/>
      </c>
      <c r="U129" s="143" t="str">
        <f>IF(BetTable[[#This Row],[O2]]="","",(BetTable[[#This Row],[WBA2-Commission]])-BetTable[[#This Row],[TS]])</f>
        <v/>
      </c>
      <c r="V129" s="143" t="str">
        <f>IF(BetTable[[#This Row],[O3]]="","",(BetTable[[#This Row],[WBA3-Commission]])-BetTable[[#This Row],[TS]])</f>
        <v/>
      </c>
      <c r="W129" s="143">
        <f>IF(NOT(ISBLANK(BetTable[[#This Row],[B1]])),1,0)+IF(NOT(ISBLANK(BetTable[[#This Row],[B2]])),1,0)+IF(NOT(ISBLANK(BetTable[[#This Row],[B3]])),1,0)</f>
        <v>0</v>
      </c>
      <c r="X129" s="143" t="str">
        <f>IF(BetTable[[#This Row],[Outcome1]]="","",BetTable[[#This Row],[WBA1]]+BetTable[[#This Row],[WBA2]]+BetTable[[#This Row],[WBA3]]-BetTable[[#This Row],[TS]])</f>
        <v/>
      </c>
      <c r="Y129" s="143" t="str">
        <f>IF(BetTable[[#This Row],[AR]]="","",BetTable[[#This Row],[AR]]/BetTable[[#This Row],[NumBookies]])</f>
        <v/>
      </c>
      <c r="Z129" s="143">
        <f>(((BetTable[[#This Row],[O1]]-1)*BetTable[[#This Row],[S1]])*(1-(BetTable[[#This Row],[C% 1]]))+BetTable[[#This Row],[S1]])</f>
        <v>0</v>
      </c>
      <c r="AA129" s="143">
        <f>(((BetTable[[#This Row],[O2]]-1)*BetTable[[#This Row],[S2]])*(1-(BetTable[[#This Row],[C% 2]]))+BetTable[[#This Row],[S2]])</f>
        <v>0</v>
      </c>
      <c r="AB129" s="143">
        <f>(((BetTable[[#This Row],[O3]]-1)*BetTable[[#This Row],[S3]])*(1-(BetTable[[#This Row],[C% 3]]))+BetTable[[#This Row],[S3]])</f>
        <v>0</v>
      </c>
      <c r="AC129" s="147" t="str">
        <f>IFERROR(IF(BetTable[[#This Row],[Sp]]="","",BetTable[[#This Row],[R1]]/BetTable[[#This Row],[TS]]),"")</f>
        <v/>
      </c>
      <c r="AD129" s="147" t="str">
        <f>IF(BetTable[[#This Row],[O2]]="","",BetTable[[#This Row],[R2]]/BetTable[[#This Row],[TS]])</f>
        <v/>
      </c>
      <c r="AE129" s="147" t="str">
        <f>IFERROR(IF(BetTable[[#This Row],[Sp]]="","",BetTable[[#This Row],[R3]]/BetTable[[#This Row],[TS]]),"")</f>
        <v/>
      </c>
      <c r="AF129" s="147" t="str">
        <f>IFERROR(IF(BetTable[[#This Row],[Outcome1]]="","",BetTable[[#This Row],[AR]]/BetTable[[#This Row],[TS]]),"")</f>
        <v/>
      </c>
      <c r="AG12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2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2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29" s="57" t="e">
        <f>IF(BetTable[[#This Row],[Outcome1]]="",AJ128,BetTable[[#This Row],[AR]]+AJ128)</f>
        <v>#REF!</v>
      </c>
      <c r="AK129" s="39"/>
    </row>
    <row r="130" spans="1:37">
      <c r="A130" s="144"/>
      <c r="B130" s="39"/>
      <c r="C130" s="40"/>
      <c r="D130" s="40"/>
      <c r="E130" s="40"/>
      <c r="F130" s="152"/>
      <c r="G130" s="152"/>
      <c r="H130" s="152"/>
      <c r="I130" s="39"/>
      <c r="J130" s="54"/>
      <c r="K130" s="54"/>
      <c r="L130" s="54"/>
      <c r="M130" s="57"/>
      <c r="N130" s="57"/>
      <c r="O130" s="57"/>
      <c r="P130" s="55"/>
      <c r="Q130" s="55"/>
      <c r="R130" s="55"/>
      <c r="S130" s="146" t="str">
        <f>IF(BetTable[[#This Row],[Sp]]="","",BetTable[[#This Row],[S1]]+BetTable[[#This Row],[S2]]+BetTable[[#This Row],[S3]])</f>
        <v/>
      </c>
      <c r="T130" s="143" t="str">
        <f>IF(BetTable[[#This Row],[O1]]="","",(BetTable[[#This Row],[WBA1-Commission]])-BetTable[[#This Row],[TS]])</f>
        <v/>
      </c>
      <c r="U130" s="143" t="str">
        <f>IF(BetTable[[#This Row],[O2]]="","",(BetTable[[#This Row],[WBA2-Commission]])-BetTable[[#This Row],[TS]])</f>
        <v/>
      </c>
      <c r="V130" s="143" t="str">
        <f>IF(BetTable[[#This Row],[O3]]="","",(BetTable[[#This Row],[WBA3-Commission]])-BetTable[[#This Row],[TS]])</f>
        <v/>
      </c>
      <c r="W130" s="143">
        <f>IF(NOT(ISBLANK(BetTable[[#This Row],[B1]])),1,0)+IF(NOT(ISBLANK(BetTable[[#This Row],[B2]])),1,0)+IF(NOT(ISBLANK(BetTable[[#This Row],[B3]])),1,0)</f>
        <v>0</v>
      </c>
      <c r="X130" s="143" t="str">
        <f>IF(BetTable[[#This Row],[Outcome1]]="","",BetTable[[#This Row],[WBA1]]+BetTable[[#This Row],[WBA2]]+BetTable[[#This Row],[WBA3]]-BetTable[[#This Row],[TS]])</f>
        <v/>
      </c>
      <c r="Y130" s="143" t="str">
        <f>IF(BetTable[[#This Row],[AR]]="","",BetTable[[#This Row],[AR]]/BetTable[[#This Row],[NumBookies]])</f>
        <v/>
      </c>
      <c r="Z130" s="143">
        <f>(((BetTable[[#This Row],[O1]]-1)*BetTable[[#This Row],[S1]])*(1-(BetTable[[#This Row],[C% 1]]))+BetTable[[#This Row],[S1]])</f>
        <v>0</v>
      </c>
      <c r="AA130" s="143">
        <f>(((BetTable[[#This Row],[O2]]-1)*BetTable[[#This Row],[S2]])*(1-(BetTable[[#This Row],[C% 2]]))+BetTable[[#This Row],[S2]])</f>
        <v>0</v>
      </c>
      <c r="AB130" s="143">
        <f>(((BetTable[[#This Row],[O3]]-1)*BetTable[[#This Row],[S3]])*(1-(BetTable[[#This Row],[C% 3]]))+BetTable[[#This Row],[S3]])</f>
        <v>0</v>
      </c>
      <c r="AC130" s="147" t="str">
        <f>IFERROR(IF(BetTable[[#This Row],[Sp]]="","",BetTable[[#This Row],[R1]]/BetTable[[#This Row],[TS]]),"")</f>
        <v/>
      </c>
      <c r="AD130" s="147" t="str">
        <f>IF(BetTable[[#This Row],[O2]]="","",BetTable[[#This Row],[R2]]/BetTable[[#This Row],[TS]])</f>
        <v/>
      </c>
      <c r="AE130" s="147" t="str">
        <f>IFERROR(IF(BetTable[[#This Row],[Sp]]="","",BetTable[[#This Row],[R3]]/BetTable[[#This Row],[TS]]),"")</f>
        <v/>
      </c>
      <c r="AF130" s="147" t="str">
        <f>IFERROR(IF(BetTable[[#This Row],[Outcome1]]="","",BetTable[[#This Row],[AR]]/BetTable[[#This Row],[TS]]),"")</f>
        <v/>
      </c>
      <c r="AG13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0" s="57" t="e">
        <f>IF(BetTable[[#This Row],[Outcome1]]="",AJ129,BetTable[[#This Row],[AR]]+AJ129)</f>
        <v>#REF!</v>
      </c>
      <c r="AK130" s="39"/>
    </row>
    <row r="131" spans="1:37">
      <c r="A131" s="144"/>
      <c r="B131" s="39"/>
      <c r="C131" s="40"/>
      <c r="D131" s="40"/>
      <c r="E131" s="40"/>
      <c r="F131" s="152"/>
      <c r="G131" s="152"/>
      <c r="H131" s="152"/>
      <c r="I131" s="39"/>
      <c r="J131" s="54"/>
      <c r="K131" s="54"/>
      <c r="L131" s="54"/>
      <c r="M131" s="57"/>
      <c r="N131" s="57"/>
      <c r="O131" s="57"/>
      <c r="P131" s="55"/>
      <c r="Q131" s="55"/>
      <c r="R131" s="55"/>
      <c r="S131" s="146" t="str">
        <f>IF(BetTable[[#This Row],[Sp]]="","",BetTable[[#This Row],[S1]]+BetTable[[#This Row],[S2]]+BetTable[[#This Row],[S3]])</f>
        <v/>
      </c>
      <c r="T131" s="143" t="str">
        <f>IF(BetTable[[#This Row],[O1]]="","",(BetTable[[#This Row],[WBA1-Commission]])-BetTable[[#This Row],[TS]])</f>
        <v/>
      </c>
      <c r="U131" s="143" t="str">
        <f>IF(BetTable[[#This Row],[O2]]="","",(BetTable[[#This Row],[WBA2-Commission]])-BetTable[[#This Row],[TS]])</f>
        <v/>
      </c>
      <c r="V131" s="143" t="str">
        <f>IF(BetTable[[#This Row],[O3]]="","",(BetTable[[#This Row],[WBA3-Commission]])-BetTable[[#This Row],[TS]])</f>
        <v/>
      </c>
      <c r="W131" s="143">
        <f>IF(NOT(ISBLANK(BetTable[[#This Row],[B1]])),1,0)+IF(NOT(ISBLANK(BetTable[[#This Row],[B2]])),1,0)+IF(NOT(ISBLANK(BetTable[[#This Row],[B3]])),1,0)</f>
        <v>0</v>
      </c>
      <c r="X131" s="143" t="str">
        <f>IF(BetTable[[#This Row],[Outcome1]]="","",BetTable[[#This Row],[WBA1]]+BetTable[[#This Row],[WBA2]]+BetTable[[#This Row],[WBA3]]-BetTable[[#This Row],[TS]])</f>
        <v/>
      </c>
      <c r="Y131" s="143" t="str">
        <f>IF(BetTable[[#This Row],[AR]]="","",BetTable[[#This Row],[AR]]/BetTable[[#This Row],[NumBookies]])</f>
        <v/>
      </c>
      <c r="Z131" s="143">
        <f>(((BetTable[[#This Row],[O1]]-1)*BetTable[[#This Row],[S1]])*(1-(BetTable[[#This Row],[C% 1]]))+BetTable[[#This Row],[S1]])</f>
        <v>0</v>
      </c>
      <c r="AA131" s="143">
        <f>(((BetTable[[#This Row],[O2]]-1)*BetTable[[#This Row],[S2]])*(1-(BetTable[[#This Row],[C% 2]]))+BetTable[[#This Row],[S2]])</f>
        <v>0</v>
      </c>
      <c r="AB131" s="143">
        <f>(((BetTable[[#This Row],[O3]]-1)*BetTable[[#This Row],[S3]])*(1-(BetTable[[#This Row],[C% 3]]))+BetTable[[#This Row],[S3]])</f>
        <v>0</v>
      </c>
      <c r="AC131" s="147" t="str">
        <f>IFERROR(IF(BetTable[[#This Row],[Sp]]="","",BetTable[[#This Row],[R1]]/BetTable[[#This Row],[TS]]),"")</f>
        <v/>
      </c>
      <c r="AD131" s="147" t="str">
        <f>IF(BetTable[[#This Row],[O2]]="","",BetTable[[#This Row],[R2]]/BetTable[[#This Row],[TS]])</f>
        <v/>
      </c>
      <c r="AE131" s="147" t="str">
        <f>IFERROR(IF(BetTable[[#This Row],[Sp]]="","",BetTable[[#This Row],[R3]]/BetTable[[#This Row],[TS]]),"")</f>
        <v/>
      </c>
      <c r="AF131" s="147" t="str">
        <f>IFERROR(IF(BetTable[[#This Row],[Outcome1]]="","",BetTable[[#This Row],[AR]]/BetTable[[#This Row],[TS]]),"")</f>
        <v/>
      </c>
      <c r="AG13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1" s="57" t="e">
        <f>IF(BetTable[[#This Row],[Outcome1]]="",AJ130,BetTable[[#This Row],[AR]]+AJ130)</f>
        <v>#REF!</v>
      </c>
      <c r="AK131" s="39"/>
    </row>
    <row r="132" spans="1:37">
      <c r="A132" s="144"/>
      <c r="B132" s="39"/>
      <c r="C132" s="40"/>
      <c r="D132" s="40"/>
      <c r="E132" s="40"/>
      <c r="F132" s="152"/>
      <c r="G132" s="152"/>
      <c r="H132" s="152"/>
      <c r="I132" s="39"/>
      <c r="J132" s="54"/>
      <c r="K132" s="54"/>
      <c r="L132" s="54"/>
      <c r="M132" s="57"/>
      <c r="N132" s="57"/>
      <c r="O132" s="57"/>
      <c r="P132" s="55"/>
      <c r="Q132" s="55"/>
      <c r="R132" s="55"/>
      <c r="S132" s="146" t="str">
        <f>IF(BetTable[[#This Row],[Sp]]="","",BetTable[[#This Row],[S1]]+BetTable[[#This Row],[S2]]+BetTable[[#This Row],[S3]])</f>
        <v/>
      </c>
      <c r="T132" s="143" t="str">
        <f>IF(BetTable[[#This Row],[O1]]="","",(BetTable[[#This Row],[WBA1-Commission]])-BetTable[[#This Row],[TS]])</f>
        <v/>
      </c>
      <c r="U132" s="143" t="str">
        <f>IF(BetTable[[#This Row],[O2]]="","",(BetTable[[#This Row],[WBA2-Commission]])-BetTable[[#This Row],[TS]])</f>
        <v/>
      </c>
      <c r="V132" s="143" t="str">
        <f>IF(BetTable[[#This Row],[O3]]="","",(BetTable[[#This Row],[WBA3-Commission]])-BetTable[[#This Row],[TS]])</f>
        <v/>
      </c>
      <c r="W132" s="143">
        <f>IF(NOT(ISBLANK(BetTable[[#This Row],[B1]])),1,0)+IF(NOT(ISBLANK(BetTable[[#This Row],[B2]])),1,0)+IF(NOT(ISBLANK(BetTable[[#This Row],[B3]])),1,0)</f>
        <v>0</v>
      </c>
      <c r="X132" s="143" t="str">
        <f>IF(BetTable[[#This Row],[Outcome1]]="","",BetTable[[#This Row],[WBA1]]+BetTable[[#This Row],[WBA2]]+BetTable[[#This Row],[WBA3]]-BetTable[[#This Row],[TS]])</f>
        <v/>
      </c>
      <c r="Y132" s="143" t="str">
        <f>IF(BetTable[[#This Row],[AR]]="","",BetTable[[#This Row],[AR]]/BetTable[[#This Row],[NumBookies]])</f>
        <v/>
      </c>
      <c r="Z132" s="143">
        <f>(((BetTable[[#This Row],[O1]]-1)*BetTable[[#This Row],[S1]])*(1-(BetTable[[#This Row],[C% 1]]))+BetTable[[#This Row],[S1]])</f>
        <v>0</v>
      </c>
      <c r="AA132" s="143">
        <f>(((BetTable[[#This Row],[O2]]-1)*BetTable[[#This Row],[S2]])*(1-(BetTable[[#This Row],[C% 2]]))+BetTable[[#This Row],[S2]])</f>
        <v>0</v>
      </c>
      <c r="AB132" s="143">
        <f>(((BetTable[[#This Row],[O3]]-1)*BetTable[[#This Row],[S3]])*(1-(BetTable[[#This Row],[C% 3]]))+BetTable[[#This Row],[S3]])</f>
        <v>0</v>
      </c>
      <c r="AC132" s="147" t="str">
        <f>IFERROR(IF(BetTable[[#This Row],[Sp]]="","",BetTable[[#This Row],[R1]]/BetTable[[#This Row],[TS]]),"")</f>
        <v/>
      </c>
      <c r="AD132" s="147" t="str">
        <f>IF(BetTable[[#This Row],[O2]]="","",BetTable[[#This Row],[R2]]/BetTable[[#This Row],[TS]])</f>
        <v/>
      </c>
      <c r="AE132" s="147" t="str">
        <f>IFERROR(IF(BetTable[[#This Row],[Sp]]="","",BetTable[[#This Row],[R3]]/BetTable[[#This Row],[TS]]),"")</f>
        <v/>
      </c>
      <c r="AF132" s="147" t="str">
        <f>IFERROR(IF(BetTable[[#This Row],[Outcome1]]="","",BetTable[[#This Row],[AR]]/BetTable[[#This Row],[TS]]),"")</f>
        <v/>
      </c>
      <c r="AG13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2" s="57" t="e">
        <f>IF(BetTable[[#This Row],[Outcome1]]="",AJ131,BetTable[[#This Row],[AR]]+AJ131)</f>
        <v>#REF!</v>
      </c>
      <c r="AK132" s="39"/>
    </row>
    <row r="133" spans="1:37">
      <c r="A133" s="144"/>
      <c r="B133" s="39"/>
      <c r="C133" s="40"/>
      <c r="D133" s="40"/>
      <c r="E133" s="40"/>
      <c r="F133" s="152"/>
      <c r="G133" s="152"/>
      <c r="H133" s="152"/>
      <c r="I133" s="39"/>
      <c r="J133" s="54"/>
      <c r="K133" s="54"/>
      <c r="L133" s="54"/>
      <c r="M133" s="57"/>
      <c r="N133" s="57"/>
      <c r="O133" s="57"/>
      <c r="P133" s="55"/>
      <c r="Q133" s="55"/>
      <c r="R133" s="55"/>
      <c r="S133" s="146" t="str">
        <f>IF(BetTable[[#This Row],[Sp]]="","",BetTable[[#This Row],[S1]]+BetTable[[#This Row],[S2]]+BetTable[[#This Row],[S3]])</f>
        <v/>
      </c>
      <c r="T133" s="143" t="str">
        <f>IF(BetTable[[#This Row],[O1]]="","",(BetTable[[#This Row],[WBA1-Commission]])-BetTable[[#This Row],[TS]])</f>
        <v/>
      </c>
      <c r="U133" s="143" t="str">
        <f>IF(BetTable[[#This Row],[O2]]="","",(BetTable[[#This Row],[WBA2-Commission]])-BetTable[[#This Row],[TS]])</f>
        <v/>
      </c>
      <c r="V133" s="143" t="str">
        <f>IF(BetTable[[#This Row],[O3]]="","",(BetTable[[#This Row],[WBA3-Commission]])-BetTable[[#This Row],[TS]])</f>
        <v/>
      </c>
      <c r="W133" s="143">
        <f>IF(NOT(ISBLANK(BetTable[[#This Row],[B1]])),1,0)+IF(NOT(ISBLANK(BetTable[[#This Row],[B2]])),1,0)+IF(NOT(ISBLANK(BetTable[[#This Row],[B3]])),1,0)</f>
        <v>0</v>
      </c>
      <c r="X133" s="143" t="str">
        <f>IF(BetTable[[#This Row],[Outcome1]]="","",BetTable[[#This Row],[WBA1]]+BetTable[[#This Row],[WBA2]]+BetTable[[#This Row],[WBA3]]-BetTable[[#This Row],[TS]])</f>
        <v/>
      </c>
      <c r="Y133" s="143" t="str">
        <f>IF(BetTable[[#This Row],[AR]]="","",BetTable[[#This Row],[AR]]/BetTable[[#This Row],[NumBookies]])</f>
        <v/>
      </c>
      <c r="Z133" s="143">
        <f>(((BetTable[[#This Row],[O1]]-1)*BetTable[[#This Row],[S1]])*(1-(BetTable[[#This Row],[C% 1]]))+BetTable[[#This Row],[S1]])</f>
        <v>0</v>
      </c>
      <c r="AA133" s="143">
        <f>(((BetTable[[#This Row],[O2]]-1)*BetTable[[#This Row],[S2]])*(1-(BetTable[[#This Row],[C% 2]]))+BetTable[[#This Row],[S2]])</f>
        <v>0</v>
      </c>
      <c r="AB133" s="143">
        <f>(((BetTable[[#This Row],[O3]]-1)*BetTable[[#This Row],[S3]])*(1-(BetTable[[#This Row],[C% 3]]))+BetTable[[#This Row],[S3]])</f>
        <v>0</v>
      </c>
      <c r="AC133" s="147" t="str">
        <f>IFERROR(IF(BetTable[[#This Row],[Sp]]="","",BetTable[[#This Row],[R1]]/BetTable[[#This Row],[TS]]),"")</f>
        <v/>
      </c>
      <c r="AD133" s="147" t="str">
        <f>IF(BetTable[[#This Row],[O2]]="","",BetTable[[#This Row],[R2]]/BetTable[[#This Row],[TS]])</f>
        <v/>
      </c>
      <c r="AE133" s="147" t="str">
        <f>IFERROR(IF(BetTable[[#This Row],[Sp]]="","",BetTable[[#This Row],[R3]]/BetTable[[#This Row],[TS]]),"")</f>
        <v/>
      </c>
      <c r="AF133" s="147" t="str">
        <f>IFERROR(IF(BetTable[[#This Row],[Outcome1]]="","",BetTable[[#This Row],[AR]]/BetTable[[#This Row],[TS]]),"")</f>
        <v/>
      </c>
      <c r="AG13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3" s="57" t="e">
        <f>IF(BetTable[[#This Row],[Outcome1]]="",AJ132,BetTable[[#This Row],[AR]]+AJ132)</f>
        <v>#REF!</v>
      </c>
      <c r="AK133" s="39"/>
    </row>
    <row r="134" spans="1:37">
      <c r="A134" s="144"/>
      <c r="B134" s="39"/>
      <c r="C134" s="40"/>
      <c r="D134" s="40"/>
      <c r="E134" s="40"/>
      <c r="F134" s="152"/>
      <c r="G134" s="152"/>
      <c r="H134" s="152"/>
      <c r="I134" s="39"/>
      <c r="J134" s="54"/>
      <c r="K134" s="54"/>
      <c r="L134" s="54"/>
      <c r="M134" s="57"/>
      <c r="N134" s="57"/>
      <c r="O134" s="57"/>
      <c r="P134" s="55"/>
      <c r="Q134" s="55"/>
      <c r="R134" s="55"/>
      <c r="S134" s="146" t="str">
        <f>IF(BetTable[[#This Row],[Sp]]="","",BetTable[[#This Row],[S1]]+BetTable[[#This Row],[S2]]+BetTable[[#This Row],[S3]])</f>
        <v/>
      </c>
      <c r="T134" s="143" t="str">
        <f>IF(BetTable[[#This Row],[O1]]="","",(BetTable[[#This Row],[WBA1-Commission]])-BetTable[[#This Row],[TS]])</f>
        <v/>
      </c>
      <c r="U134" s="143" t="str">
        <f>IF(BetTable[[#This Row],[O2]]="","",(BetTable[[#This Row],[WBA2-Commission]])-BetTable[[#This Row],[TS]])</f>
        <v/>
      </c>
      <c r="V134" s="143" t="str">
        <f>IF(BetTable[[#This Row],[O3]]="","",(BetTable[[#This Row],[WBA3-Commission]])-BetTable[[#This Row],[TS]])</f>
        <v/>
      </c>
      <c r="W134" s="143">
        <f>IF(NOT(ISBLANK(BetTable[[#This Row],[B1]])),1,0)+IF(NOT(ISBLANK(BetTable[[#This Row],[B2]])),1,0)+IF(NOT(ISBLANK(BetTable[[#This Row],[B3]])),1,0)</f>
        <v>0</v>
      </c>
      <c r="X134" s="143" t="str">
        <f>IF(BetTable[[#This Row],[Outcome1]]="","",BetTable[[#This Row],[WBA1]]+BetTable[[#This Row],[WBA2]]+BetTable[[#This Row],[WBA3]]-BetTable[[#This Row],[TS]])</f>
        <v/>
      </c>
      <c r="Y134" s="143" t="str">
        <f>IF(BetTable[[#This Row],[AR]]="","",BetTable[[#This Row],[AR]]/BetTable[[#This Row],[NumBookies]])</f>
        <v/>
      </c>
      <c r="Z134" s="143">
        <f>(((BetTable[[#This Row],[O1]]-1)*BetTable[[#This Row],[S1]])*(1-(BetTable[[#This Row],[C% 1]]))+BetTable[[#This Row],[S1]])</f>
        <v>0</v>
      </c>
      <c r="AA134" s="143">
        <f>(((BetTable[[#This Row],[O2]]-1)*BetTable[[#This Row],[S2]])*(1-(BetTable[[#This Row],[C% 2]]))+BetTable[[#This Row],[S2]])</f>
        <v>0</v>
      </c>
      <c r="AB134" s="143">
        <f>(((BetTable[[#This Row],[O3]]-1)*BetTable[[#This Row],[S3]])*(1-(BetTable[[#This Row],[C% 3]]))+BetTable[[#This Row],[S3]])</f>
        <v>0</v>
      </c>
      <c r="AC134" s="147" t="str">
        <f>IFERROR(IF(BetTable[[#This Row],[Sp]]="","",BetTable[[#This Row],[R1]]/BetTable[[#This Row],[TS]]),"")</f>
        <v/>
      </c>
      <c r="AD134" s="147" t="str">
        <f>IF(BetTable[[#This Row],[O2]]="","",BetTable[[#This Row],[R2]]/BetTable[[#This Row],[TS]])</f>
        <v/>
      </c>
      <c r="AE134" s="147" t="str">
        <f>IFERROR(IF(BetTable[[#This Row],[Sp]]="","",BetTable[[#This Row],[R3]]/BetTable[[#This Row],[TS]]),"")</f>
        <v/>
      </c>
      <c r="AF134" s="147" t="str">
        <f>IFERROR(IF(BetTable[[#This Row],[Outcome1]]="","",BetTable[[#This Row],[AR]]/BetTable[[#This Row],[TS]]),"")</f>
        <v/>
      </c>
      <c r="AG13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4" s="57" t="e">
        <f>IF(BetTable[[#This Row],[Outcome1]]="",AJ133,BetTable[[#This Row],[AR]]+AJ133)</f>
        <v>#REF!</v>
      </c>
      <c r="AK134" s="39"/>
    </row>
    <row r="135" spans="1:37">
      <c r="A135" s="144"/>
      <c r="B135" s="39"/>
      <c r="C135" s="40"/>
      <c r="D135" s="40"/>
      <c r="E135" s="40"/>
      <c r="F135" s="152"/>
      <c r="G135" s="152"/>
      <c r="H135" s="152"/>
      <c r="I135" s="39"/>
      <c r="J135" s="54"/>
      <c r="K135" s="54"/>
      <c r="L135" s="54"/>
      <c r="M135" s="57"/>
      <c r="N135" s="57"/>
      <c r="O135" s="57"/>
      <c r="P135" s="55"/>
      <c r="Q135" s="55"/>
      <c r="R135" s="55"/>
      <c r="S135" s="146" t="str">
        <f>IF(BetTable[[#This Row],[Sp]]="","",BetTable[[#This Row],[S1]]+BetTable[[#This Row],[S2]]+BetTable[[#This Row],[S3]])</f>
        <v/>
      </c>
      <c r="T135" s="143" t="str">
        <f>IF(BetTable[[#This Row],[O1]]="","",(BetTable[[#This Row],[WBA1-Commission]])-BetTable[[#This Row],[TS]])</f>
        <v/>
      </c>
      <c r="U135" s="143" t="str">
        <f>IF(BetTable[[#This Row],[O2]]="","",(BetTable[[#This Row],[WBA2-Commission]])-BetTable[[#This Row],[TS]])</f>
        <v/>
      </c>
      <c r="V135" s="143" t="str">
        <f>IF(BetTable[[#This Row],[O3]]="","",(BetTable[[#This Row],[WBA3-Commission]])-BetTable[[#This Row],[TS]])</f>
        <v/>
      </c>
      <c r="W135" s="143">
        <f>IF(NOT(ISBLANK(BetTable[[#This Row],[B1]])),1,0)+IF(NOT(ISBLANK(BetTable[[#This Row],[B2]])),1,0)+IF(NOT(ISBLANK(BetTable[[#This Row],[B3]])),1,0)</f>
        <v>0</v>
      </c>
      <c r="X135" s="143" t="str">
        <f>IF(BetTable[[#This Row],[Outcome1]]="","",BetTable[[#This Row],[WBA1]]+BetTable[[#This Row],[WBA2]]+BetTable[[#This Row],[WBA3]]-BetTable[[#This Row],[TS]])</f>
        <v/>
      </c>
      <c r="Y135" s="143" t="str">
        <f>IF(BetTable[[#This Row],[AR]]="","",BetTable[[#This Row],[AR]]/BetTable[[#This Row],[NumBookies]])</f>
        <v/>
      </c>
      <c r="Z135" s="143">
        <f>(((BetTable[[#This Row],[O1]]-1)*BetTable[[#This Row],[S1]])*(1-(BetTable[[#This Row],[C% 1]]))+BetTable[[#This Row],[S1]])</f>
        <v>0</v>
      </c>
      <c r="AA135" s="143">
        <f>(((BetTable[[#This Row],[O2]]-1)*BetTable[[#This Row],[S2]])*(1-(BetTable[[#This Row],[C% 2]]))+BetTable[[#This Row],[S2]])</f>
        <v>0</v>
      </c>
      <c r="AB135" s="143">
        <f>(((BetTable[[#This Row],[O3]]-1)*BetTable[[#This Row],[S3]])*(1-(BetTable[[#This Row],[C% 3]]))+BetTable[[#This Row],[S3]])</f>
        <v>0</v>
      </c>
      <c r="AC135" s="147" t="str">
        <f>IFERROR(IF(BetTable[[#This Row],[Sp]]="","",BetTable[[#This Row],[R1]]/BetTable[[#This Row],[TS]]),"")</f>
        <v/>
      </c>
      <c r="AD135" s="147" t="str">
        <f>IF(BetTable[[#This Row],[O2]]="","",BetTable[[#This Row],[R2]]/BetTable[[#This Row],[TS]])</f>
        <v/>
      </c>
      <c r="AE135" s="147" t="str">
        <f>IFERROR(IF(BetTable[[#This Row],[Sp]]="","",BetTable[[#This Row],[R3]]/BetTable[[#This Row],[TS]]),"")</f>
        <v/>
      </c>
      <c r="AF135" s="147" t="str">
        <f>IFERROR(IF(BetTable[[#This Row],[Outcome1]]="","",BetTable[[#This Row],[AR]]/BetTable[[#This Row],[TS]]),"")</f>
        <v/>
      </c>
      <c r="AG13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5" s="57" t="e">
        <f>IF(BetTable[[#This Row],[Outcome1]]="",AJ134,BetTable[[#This Row],[AR]]+AJ134)</f>
        <v>#REF!</v>
      </c>
      <c r="AK135" s="39"/>
    </row>
    <row r="136" spans="1:37">
      <c r="A136" s="144"/>
      <c r="B136" s="39"/>
      <c r="C136" s="40"/>
      <c r="D136" s="40"/>
      <c r="E136" s="40"/>
      <c r="F136" s="152"/>
      <c r="G136" s="152"/>
      <c r="H136" s="152"/>
      <c r="I136" s="39"/>
      <c r="J136" s="54"/>
      <c r="K136" s="54"/>
      <c r="L136" s="54"/>
      <c r="M136" s="57"/>
      <c r="N136" s="57"/>
      <c r="O136" s="57"/>
      <c r="P136" s="55"/>
      <c r="Q136" s="55"/>
      <c r="R136" s="55"/>
      <c r="S136" s="146" t="str">
        <f>IF(BetTable[[#This Row],[Sp]]="","",BetTable[[#This Row],[S1]]+BetTable[[#This Row],[S2]]+BetTable[[#This Row],[S3]])</f>
        <v/>
      </c>
      <c r="T136" s="143" t="str">
        <f>IF(BetTable[[#This Row],[O1]]="","",(BetTable[[#This Row],[WBA1-Commission]])-BetTable[[#This Row],[TS]])</f>
        <v/>
      </c>
      <c r="U136" s="143" t="str">
        <f>IF(BetTable[[#This Row],[O2]]="","",(BetTable[[#This Row],[WBA2-Commission]])-BetTable[[#This Row],[TS]])</f>
        <v/>
      </c>
      <c r="V136" s="143" t="str">
        <f>IF(BetTable[[#This Row],[O3]]="","",(BetTable[[#This Row],[WBA3-Commission]])-BetTable[[#This Row],[TS]])</f>
        <v/>
      </c>
      <c r="W136" s="143">
        <f>IF(NOT(ISBLANK(BetTable[[#This Row],[B1]])),1,0)+IF(NOT(ISBLANK(BetTable[[#This Row],[B2]])),1,0)+IF(NOT(ISBLANK(BetTable[[#This Row],[B3]])),1,0)</f>
        <v>0</v>
      </c>
      <c r="X136" s="143" t="str">
        <f>IF(BetTable[[#This Row],[Outcome1]]="","",BetTable[[#This Row],[WBA1]]+BetTable[[#This Row],[WBA2]]+BetTable[[#This Row],[WBA3]]-BetTable[[#This Row],[TS]])</f>
        <v/>
      </c>
      <c r="Y136" s="143" t="str">
        <f>IF(BetTable[[#This Row],[AR]]="","",BetTable[[#This Row],[AR]]/BetTable[[#This Row],[NumBookies]])</f>
        <v/>
      </c>
      <c r="Z136" s="143">
        <f>(((BetTable[[#This Row],[O1]]-1)*BetTable[[#This Row],[S1]])*(1-(BetTable[[#This Row],[C% 1]]))+BetTable[[#This Row],[S1]])</f>
        <v>0</v>
      </c>
      <c r="AA136" s="143">
        <f>(((BetTable[[#This Row],[O2]]-1)*BetTable[[#This Row],[S2]])*(1-(BetTable[[#This Row],[C% 2]]))+BetTable[[#This Row],[S2]])</f>
        <v>0</v>
      </c>
      <c r="AB136" s="143">
        <f>(((BetTable[[#This Row],[O3]]-1)*BetTable[[#This Row],[S3]])*(1-(BetTable[[#This Row],[C% 3]]))+BetTable[[#This Row],[S3]])</f>
        <v>0</v>
      </c>
      <c r="AC136" s="147" t="str">
        <f>IFERROR(IF(BetTable[[#This Row],[Sp]]="","",BetTable[[#This Row],[R1]]/BetTable[[#This Row],[TS]]),"")</f>
        <v/>
      </c>
      <c r="AD136" s="147" t="str">
        <f>IF(BetTable[[#This Row],[O2]]="","",BetTable[[#This Row],[R2]]/BetTable[[#This Row],[TS]])</f>
        <v/>
      </c>
      <c r="AE136" s="147" t="str">
        <f>IFERROR(IF(BetTable[[#This Row],[Sp]]="","",BetTable[[#This Row],[R3]]/BetTable[[#This Row],[TS]]),"")</f>
        <v/>
      </c>
      <c r="AF136" s="147" t="str">
        <f>IFERROR(IF(BetTable[[#This Row],[Outcome1]]="","",BetTable[[#This Row],[AR]]/BetTable[[#This Row],[TS]]),"")</f>
        <v/>
      </c>
      <c r="AG13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6" s="57" t="e">
        <f>IF(BetTable[[#This Row],[Outcome1]]="",AJ135,BetTable[[#This Row],[AR]]+AJ135)</f>
        <v>#REF!</v>
      </c>
      <c r="AK136" s="39"/>
    </row>
    <row r="137" spans="1:37">
      <c r="A137" s="144"/>
      <c r="B137" s="39"/>
      <c r="C137" s="40"/>
      <c r="D137" s="40"/>
      <c r="E137" s="40"/>
      <c r="F137" s="152"/>
      <c r="G137" s="152"/>
      <c r="H137" s="152"/>
      <c r="I137" s="39"/>
      <c r="J137" s="54"/>
      <c r="K137" s="54"/>
      <c r="L137" s="54"/>
      <c r="M137" s="57"/>
      <c r="N137" s="57"/>
      <c r="O137" s="57"/>
      <c r="P137" s="55"/>
      <c r="Q137" s="55"/>
      <c r="R137" s="55"/>
      <c r="S137" s="146" t="str">
        <f>IF(BetTable[[#This Row],[Sp]]="","",BetTable[[#This Row],[S1]]+BetTable[[#This Row],[S2]]+BetTable[[#This Row],[S3]])</f>
        <v/>
      </c>
      <c r="T137" s="143" t="str">
        <f>IF(BetTable[[#This Row],[O1]]="","",(BetTable[[#This Row],[WBA1-Commission]])-BetTable[[#This Row],[TS]])</f>
        <v/>
      </c>
      <c r="U137" s="143" t="str">
        <f>IF(BetTable[[#This Row],[O2]]="","",(BetTable[[#This Row],[WBA2-Commission]])-BetTable[[#This Row],[TS]])</f>
        <v/>
      </c>
      <c r="V137" s="143" t="str">
        <f>IF(BetTable[[#This Row],[O3]]="","",(BetTable[[#This Row],[WBA3-Commission]])-BetTable[[#This Row],[TS]])</f>
        <v/>
      </c>
      <c r="W137" s="143">
        <f>IF(NOT(ISBLANK(BetTable[[#This Row],[B1]])),1,0)+IF(NOT(ISBLANK(BetTable[[#This Row],[B2]])),1,0)+IF(NOT(ISBLANK(BetTable[[#This Row],[B3]])),1,0)</f>
        <v>0</v>
      </c>
      <c r="X137" s="143" t="str">
        <f>IF(BetTable[[#This Row],[Outcome1]]="","",BetTable[[#This Row],[WBA1]]+BetTable[[#This Row],[WBA2]]+BetTable[[#This Row],[WBA3]]-BetTable[[#This Row],[TS]])</f>
        <v/>
      </c>
      <c r="Y137" s="143" t="str">
        <f>IF(BetTable[[#This Row],[AR]]="","",BetTable[[#This Row],[AR]]/BetTable[[#This Row],[NumBookies]])</f>
        <v/>
      </c>
      <c r="Z137" s="143">
        <f>(((BetTable[[#This Row],[O1]]-1)*BetTable[[#This Row],[S1]])*(1-(BetTable[[#This Row],[C% 1]]))+BetTable[[#This Row],[S1]])</f>
        <v>0</v>
      </c>
      <c r="AA137" s="143">
        <f>(((BetTable[[#This Row],[O2]]-1)*BetTable[[#This Row],[S2]])*(1-(BetTable[[#This Row],[C% 2]]))+BetTable[[#This Row],[S2]])</f>
        <v>0</v>
      </c>
      <c r="AB137" s="143">
        <f>(((BetTable[[#This Row],[O3]]-1)*BetTable[[#This Row],[S3]])*(1-(BetTable[[#This Row],[C% 3]]))+BetTable[[#This Row],[S3]])</f>
        <v>0</v>
      </c>
      <c r="AC137" s="147" t="str">
        <f>IFERROR(IF(BetTable[[#This Row],[Sp]]="","",BetTable[[#This Row],[R1]]/BetTable[[#This Row],[TS]]),"")</f>
        <v/>
      </c>
      <c r="AD137" s="147" t="str">
        <f>IF(BetTable[[#This Row],[O2]]="","",BetTable[[#This Row],[R2]]/BetTable[[#This Row],[TS]])</f>
        <v/>
      </c>
      <c r="AE137" s="147" t="str">
        <f>IFERROR(IF(BetTable[[#This Row],[Sp]]="","",BetTable[[#This Row],[R3]]/BetTable[[#This Row],[TS]]),"")</f>
        <v/>
      </c>
      <c r="AF137" s="147" t="str">
        <f>IFERROR(IF(BetTable[[#This Row],[Outcome1]]="","",BetTable[[#This Row],[AR]]/BetTable[[#This Row],[TS]]),"")</f>
        <v/>
      </c>
      <c r="AG13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7" s="57" t="e">
        <f>IF(BetTable[[#This Row],[Outcome1]]="",AJ136,BetTable[[#This Row],[AR]]+AJ136)</f>
        <v>#REF!</v>
      </c>
      <c r="AK137" s="39"/>
    </row>
    <row r="138" spans="1:37">
      <c r="A138" s="144"/>
      <c r="B138" s="39"/>
      <c r="C138" s="40"/>
      <c r="D138" s="40"/>
      <c r="E138" s="40"/>
      <c r="F138" s="152"/>
      <c r="G138" s="152"/>
      <c r="H138" s="152"/>
      <c r="I138" s="39"/>
      <c r="J138" s="54"/>
      <c r="K138" s="54"/>
      <c r="L138" s="54"/>
      <c r="M138" s="57"/>
      <c r="N138" s="57"/>
      <c r="O138" s="57"/>
      <c r="P138" s="55"/>
      <c r="Q138" s="55"/>
      <c r="R138" s="55"/>
      <c r="S138" s="146" t="str">
        <f>IF(BetTable[[#This Row],[Sp]]="","",BetTable[[#This Row],[S1]]+BetTable[[#This Row],[S2]]+BetTable[[#This Row],[S3]])</f>
        <v/>
      </c>
      <c r="T138" s="143" t="str">
        <f>IF(BetTable[[#This Row],[O1]]="","",(BetTable[[#This Row],[WBA1-Commission]])-BetTable[[#This Row],[TS]])</f>
        <v/>
      </c>
      <c r="U138" s="143" t="str">
        <f>IF(BetTable[[#This Row],[O2]]="","",(BetTable[[#This Row],[WBA2-Commission]])-BetTable[[#This Row],[TS]])</f>
        <v/>
      </c>
      <c r="V138" s="143" t="str">
        <f>IF(BetTable[[#This Row],[O3]]="","",(BetTable[[#This Row],[WBA3-Commission]])-BetTable[[#This Row],[TS]])</f>
        <v/>
      </c>
      <c r="W138" s="143">
        <f>IF(NOT(ISBLANK(BetTable[[#This Row],[B1]])),1,0)+IF(NOT(ISBLANK(BetTable[[#This Row],[B2]])),1,0)+IF(NOT(ISBLANK(BetTable[[#This Row],[B3]])),1,0)</f>
        <v>0</v>
      </c>
      <c r="X138" s="143" t="str">
        <f>IF(BetTable[[#This Row],[Outcome1]]="","",BetTable[[#This Row],[WBA1]]+BetTable[[#This Row],[WBA2]]+BetTable[[#This Row],[WBA3]]-BetTable[[#This Row],[TS]])</f>
        <v/>
      </c>
      <c r="Y138" s="143" t="str">
        <f>IF(BetTable[[#This Row],[AR]]="","",BetTable[[#This Row],[AR]]/BetTable[[#This Row],[NumBookies]])</f>
        <v/>
      </c>
      <c r="Z138" s="143">
        <f>(((BetTable[[#This Row],[O1]]-1)*BetTable[[#This Row],[S1]])*(1-(BetTable[[#This Row],[C% 1]]))+BetTable[[#This Row],[S1]])</f>
        <v>0</v>
      </c>
      <c r="AA138" s="143">
        <f>(((BetTable[[#This Row],[O2]]-1)*BetTable[[#This Row],[S2]])*(1-(BetTable[[#This Row],[C% 2]]))+BetTable[[#This Row],[S2]])</f>
        <v>0</v>
      </c>
      <c r="AB138" s="143">
        <f>(((BetTable[[#This Row],[O3]]-1)*BetTable[[#This Row],[S3]])*(1-(BetTable[[#This Row],[C% 3]]))+BetTable[[#This Row],[S3]])</f>
        <v>0</v>
      </c>
      <c r="AC138" s="147" t="str">
        <f>IFERROR(IF(BetTable[[#This Row],[Sp]]="","",BetTable[[#This Row],[R1]]/BetTable[[#This Row],[TS]]),"")</f>
        <v/>
      </c>
      <c r="AD138" s="147" t="str">
        <f>IF(BetTable[[#This Row],[O2]]="","",BetTable[[#This Row],[R2]]/BetTable[[#This Row],[TS]])</f>
        <v/>
      </c>
      <c r="AE138" s="147" t="str">
        <f>IFERROR(IF(BetTable[[#This Row],[Sp]]="","",BetTable[[#This Row],[R3]]/BetTable[[#This Row],[TS]]),"")</f>
        <v/>
      </c>
      <c r="AF138" s="147" t="str">
        <f>IFERROR(IF(BetTable[[#This Row],[Outcome1]]="","",BetTable[[#This Row],[AR]]/BetTable[[#This Row],[TS]]),"")</f>
        <v/>
      </c>
      <c r="AG13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8" s="57" t="e">
        <f>IF(BetTable[[#This Row],[Outcome1]]="",AJ137,BetTable[[#This Row],[AR]]+AJ137)</f>
        <v>#REF!</v>
      </c>
      <c r="AK138" s="39"/>
    </row>
    <row r="139" spans="1:37">
      <c r="A139" s="144"/>
      <c r="B139" s="39"/>
      <c r="C139" s="40"/>
      <c r="D139" s="40"/>
      <c r="E139" s="40"/>
      <c r="F139" s="152"/>
      <c r="G139" s="152"/>
      <c r="H139" s="152"/>
      <c r="I139" s="39"/>
      <c r="J139" s="54"/>
      <c r="K139" s="54"/>
      <c r="L139" s="54"/>
      <c r="M139" s="57"/>
      <c r="N139" s="57"/>
      <c r="O139" s="57"/>
      <c r="P139" s="55"/>
      <c r="Q139" s="55"/>
      <c r="R139" s="55"/>
      <c r="S139" s="146" t="str">
        <f>IF(BetTable[[#This Row],[Sp]]="","",BetTable[[#This Row],[S1]]+BetTable[[#This Row],[S2]]+BetTable[[#This Row],[S3]])</f>
        <v/>
      </c>
      <c r="T139" s="143" t="str">
        <f>IF(BetTable[[#This Row],[O1]]="","",(BetTable[[#This Row],[WBA1-Commission]])-BetTable[[#This Row],[TS]])</f>
        <v/>
      </c>
      <c r="U139" s="143" t="str">
        <f>IF(BetTable[[#This Row],[O2]]="","",(BetTable[[#This Row],[WBA2-Commission]])-BetTable[[#This Row],[TS]])</f>
        <v/>
      </c>
      <c r="V139" s="143" t="str">
        <f>IF(BetTable[[#This Row],[O3]]="","",(BetTable[[#This Row],[WBA3-Commission]])-BetTable[[#This Row],[TS]])</f>
        <v/>
      </c>
      <c r="W139" s="143">
        <f>IF(NOT(ISBLANK(BetTable[[#This Row],[B1]])),1,0)+IF(NOT(ISBLANK(BetTable[[#This Row],[B2]])),1,0)+IF(NOT(ISBLANK(BetTable[[#This Row],[B3]])),1,0)</f>
        <v>0</v>
      </c>
      <c r="X139" s="143" t="str">
        <f>IF(BetTable[[#This Row],[Outcome1]]="","",BetTable[[#This Row],[WBA1]]+BetTable[[#This Row],[WBA2]]+BetTable[[#This Row],[WBA3]]-BetTable[[#This Row],[TS]])</f>
        <v/>
      </c>
      <c r="Y139" s="143" t="str">
        <f>IF(BetTable[[#This Row],[AR]]="","",BetTable[[#This Row],[AR]]/BetTable[[#This Row],[NumBookies]])</f>
        <v/>
      </c>
      <c r="Z139" s="143">
        <f>(((BetTable[[#This Row],[O1]]-1)*BetTable[[#This Row],[S1]])*(1-(BetTable[[#This Row],[C% 1]]))+BetTable[[#This Row],[S1]])</f>
        <v>0</v>
      </c>
      <c r="AA139" s="143">
        <f>(((BetTable[[#This Row],[O2]]-1)*BetTable[[#This Row],[S2]])*(1-(BetTable[[#This Row],[C% 2]]))+BetTable[[#This Row],[S2]])</f>
        <v>0</v>
      </c>
      <c r="AB139" s="143">
        <f>(((BetTable[[#This Row],[O3]]-1)*BetTable[[#This Row],[S3]])*(1-(BetTable[[#This Row],[C% 3]]))+BetTable[[#This Row],[S3]])</f>
        <v>0</v>
      </c>
      <c r="AC139" s="147" t="str">
        <f>IFERROR(IF(BetTable[[#This Row],[Sp]]="","",BetTable[[#This Row],[R1]]/BetTable[[#This Row],[TS]]),"")</f>
        <v/>
      </c>
      <c r="AD139" s="147" t="str">
        <f>IF(BetTable[[#This Row],[O2]]="","",BetTable[[#This Row],[R2]]/BetTable[[#This Row],[TS]])</f>
        <v/>
      </c>
      <c r="AE139" s="147" t="str">
        <f>IFERROR(IF(BetTable[[#This Row],[Sp]]="","",BetTable[[#This Row],[R3]]/BetTable[[#This Row],[TS]]),"")</f>
        <v/>
      </c>
      <c r="AF139" s="147" t="str">
        <f>IFERROR(IF(BetTable[[#This Row],[Outcome1]]="","",BetTable[[#This Row],[AR]]/BetTable[[#This Row],[TS]]),"")</f>
        <v/>
      </c>
      <c r="AG13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3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3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39" s="57" t="e">
        <f>IF(BetTable[[#This Row],[Outcome1]]="",AJ138,BetTable[[#This Row],[AR]]+AJ138)</f>
        <v>#REF!</v>
      </c>
      <c r="AK139" s="39"/>
    </row>
    <row r="140" spans="1:37">
      <c r="A140" s="144"/>
      <c r="B140" s="39"/>
      <c r="C140" s="40"/>
      <c r="D140" s="40"/>
      <c r="E140" s="40"/>
      <c r="F140" s="152"/>
      <c r="G140" s="152"/>
      <c r="H140" s="152"/>
      <c r="I140" s="39"/>
      <c r="J140" s="54"/>
      <c r="K140" s="54"/>
      <c r="L140" s="54"/>
      <c r="M140" s="57"/>
      <c r="N140" s="57"/>
      <c r="O140" s="57"/>
      <c r="P140" s="55"/>
      <c r="Q140" s="55"/>
      <c r="R140" s="55"/>
      <c r="S140" s="146" t="str">
        <f>IF(BetTable[[#This Row],[Sp]]="","",BetTable[[#This Row],[S1]]+BetTable[[#This Row],[S2]]+BetTable[[#This Row],[S3]])</f>
        <v/>
      </c>
      <c r="T140" s="143" t="str">
        <f>IF(BetTable[[#This Row],[O1]]="","",(BetTable[[#This Row],[WBA1-Commission]])-BetTable[[#This Row],[TS]])</f>
        <v/>
      </c>
      <c r="U140" s="143" t="str">
        <f>IF(BetTable[[#This Row],[O2]]="","",(BetTable[[#This Row],[WBA2-Commission]])-BetTable[[#This Row],[TS]])</f>
        <v/>
      </c>
      <c r="V140" s="143" t="str">
        <f>IF(BetTable[[#This Row],[O3]]="","",(BetTable[[#This Row],[WBA3-Commission]])-BetTable[[#This Row],[TS]])</f>
        <v/>
      </c>
      <c r="W140" s="143">
        <f>IF(NOT(ISBLANK(BetTable[[#This Row],[B1]])),1,0)+IF(NOT(ISBLANK(BetTable[[#This Row],[B2]])),1,0)+IF(NOT(ISBLANK(BetTable[[#This Row],[B3]])),1,0)</f>
        <v>0</v>
      </c>
      <c r="X140" s="143" t="str">
        <f>IF(BetTable[[#This Row],[Outcome1]]="","",BetTable[[#This Row],[WBA1]]+BetTable[[#This Row],[WBA2]]+BetTable[[#This Row],[WBA3]]-BetTable[[#This Row],[TS]])</f>
        <v/>
      </c>
      <c r="Y140" s="143" t="str">
        <f>IF(BetTable[[#This Row],[AR]]="","",BetTable[[#This Row],[AR]]/BetTable[[#This Row],[NumBookies]])</f>
        <v/>
      </c>
      <c r="Z140" s="143">
        <f>(((BetTable[[#This Row],[O1]]-1)*BetTable[[#This Row],[S1]])*(1-(BetTable[[#This Row],[C% 1]]))+BetTable[[#This Row],[S1]])</f>
        <v>0</v>
      </c>
      <c r="AA140" s="143">
        <f>(((BetTable[[#This Row],[O2]]-1)*BetTable[[#This Row],[S2]])*(1-(BetTable[[#This Row],[C% 2]]))+BetTable[[#This Row],[S2]])</f>
        <v>0</v>
      </c>
      <c r="AB140" s="143">
        <f>(((BetTable[[#This Row],[O3]]-1)*BetTable[[#This Row],[S3]])*(1-(BetTable[[#This Row],[C% 3]]))+BetTable[[#This Row],[S3]])</f>
        <v>0</v>
      </c>
      <c r="AC140" s="147" t="str">
        <f>IFERROR(IF(BetTable[[#This Row],[Sp]]="","",BetTable[[#This Row],[R1]]/BetTable[[#This Row],[TS]]),"")</f>
        <v/>
      </c>
      <c r="AD140" s="147" t="str">
        <f>IF(BetTable[[#This Row],[O2]]="","",BetTable[[#This Row],[R2]]/BetTable[[#This Row],[TS]])</f>
        <v/>
      </c>
      <c r="AE140" s="147" t="str">
        <f>IFERROR(IF(BetTable[[#This Row],[Sp]]="","",BetTable[[#This Row],[R3]]/BetTable[[#This Row],[TS]]),"")</f>
        <v/>
      </c>
      <c r="AF140" s="147" t="str">
        <f>IFERROR(IF(BetTable[[#This Row],[Outcome1]]="","",BetTable[[#This Row],[AR]]/BetTable[[#This Row],[TS]]),"")</f>
        <v/>
      </c>
      <c r="AG14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0" s="57" t="e">
        <f>IF(BetTable[[#This Row],[Outcome1]]="",AJ139,BetTable[[#This Row],[AR]]+AJ139)</f>
        <v>#REF!</v>
      </c>
      <c r="AK140" s="39"/>
    </row>
    <row r="141" spans="1:37">
      <c r="A141" s="144"/>
      <c r="B141" s="39"/>
      <c r="C141" s="40"/>
      <c r="D141" s="40"/>
      <c r="E141" s="40"/>
      <c r="F141" s="152"/>
      <c r="G141" s="152"/>
      <c r="H141" s="152"/>
      <c r="I141" s="39"/>
      <c r="J141" s="54"/>
      <c r="K141" s="54"/>
      <c r="L141" s="54"/>
      <c r="M141" s="57"/>
      <c r="N141" s="57"/>
      <c r="O141" s="57"/>
      <c r="P141" s="55"/>
      <c r="Q141" s="55"/>
      <c r="R141" s="55"/>
      <c r="S141" s="146" t="str">
        <f>IF(BetTable[[#This Row],[Sp]]="","",BetTable[[#This Row],[S1]]+BetTable[[#This Row],[S2]]+BetTable[[#This Row],[S3]])</f>
        <v/>
      </c>
      <c r="T141" s="143" t="str">
        <f>IF(BetTable[[#This Row],[O1]]="","",(BetTable[[#This Row],[WBA1-Commission]])-BetTable[[#This Row],[TS]])</f>
        <v/>
      </c>
      <c r="U141" s="143" t="str">
        <f>IF(BetTable[[#This Row],[O2]]="","",(BetTable[[#This Row],[WBA2-Commission]])-BetTable[[#This Row],[TS]])</f>
        <v/>
      </c>
      <c r="V141" s="143" t="str">
        <f>IF(BetTable[[#This Row],[O3]]="","",(BetTable[[#This Row],[WBA3-Commission]])-BetTable[[#This Row],[TS]])</f>
        <v/>
      </c>
      <c r="W141" s="143">
        <f>IF(NOT(ISBLANK(BetTable[[#This Row],[B1]])),1,0)+IF(NOT(ISBLANK(BetTable[[#This Row],[B2]])),1,0)+IF(NOT(ISBLANK(BetTable[[#This Row],[B3]])),1,0)</f>
        <v>0</v>
      </c>
      <c r="X141" s="143" t="str">
        <f>IF(BetTable[[#This Row],[Outcome1]]="","",BetTable[[#This Row],[WBA1]]+BetTable[[#This Row],[WBA2]]+BetTable[[#This Row],[WBA3]]-BetTable[[#This Row],[TS]])</f>
        <v/>
      </c>
      <c r="Y141" s="143" t="str">
        <f>IF(BetTable[[#This Row],[AR]]="","",BetTable[[#This Row],[AR]]/BetTable[[#This Row],[NumBookies]])</f>
        <v/>
      </c>
      <c r="Z141" s="143">
        <f>(((BetTable[[#This Row],[O1]]-1)*BetTable[[#This Row],[S1]])*(1-(BetTable[[#This Row],[C% 1]]))+BetTable[[#This Row],[S1]])</f>
        <v>0</v>
      </c>
      <c r="AA141" s="143">
        <f>(((BetTable[[#This Row],[O2]]-1)*BetTable[[#This Row],[S2]])*(1-(BetTable[[#This Row],[C% 2]]))+BetTable[[#This Row],[S2]])</f>
        <v>0</v>
      </c>
      <c r="AB141" s="143">
        <f>(((BetTable[[#This Row],[O3]]-1)*BetTable[[#This Row],[S3]])*(1-(BetTable[[#This Row],[C% 3]]))+BetTable[[#This Row],[S3]])</f>
        <v>0</v>
      </c>
      <c r="AC141" s="147" t="str">
        <f>IFERROR(IF(BetTable[[#This Row],[Sp]]="","",BetTable[[#This Row],[R1]]/BetTable[[#This Row],[TS]]),"")</f>
        <v/>
      </c>
      <c r="AD141" s="147" t="str">
        <f>IF(BetTable[[#This Row],[O2]]="","",BetTable[[#This Row],[R2]]/BetTable[[#This Row],[TS]])</f>
        <v/>
      </c>
      <c r="AE141" s="147" t="str">
        <f>IFERROR(IF(BetTable[[#This Row],[Sp]]="","",BetTable[[#This Row],[R3]]/BetTable[[#This Row],[TS]]),"")</f>
        <v/>
      </c>
      <c r="AF141" s="147" t="str">
        <f>IFERROR(IF(BetTable[[#This Row],[Outcome1]]="","",BetTable[[#This Row],[AR]]/BetTable[[#This Row],[TS]]),"")</f>
        <v/>
      </c>
      <c r="AG14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1" s="57" t="e">
        <f>IF(BetTable[[#This Row],[Outcome1]]="",AJ140,BetTable[[#This Row],[AR]]+AJ140)</f>
        <v>#REF!</v>
      </c>
      <c r="AK141" s="39"/>
    </row>
    <row r="142" spans="1:37">
      <c r="A142" s="144"/>
      <c r="B142" s="39"/>
      <c r="C142" s="40"/>
      <c r="D142" s="40"/>
      <c r="E142" s="40"/>
      <c r="F142" s="152"/>
      <c r="G142" s="152"/>
      <c r="H142" s="152"/>
      <c r="I142" s="39"/>
      <c r="J142" s="54"/>
      <c r="K142" s="54"/>
      <c r="L142" s="54"/>
      <c r="M142" s="57"/>
      <c r="N142" s="57"/>
      <c r="O142" s="57"/>
      <c r="P142" s="55"/>
      <c r="Q142" s="55"/>
      <c r="R142" s="55"/>
      <c r="S142" s="146" t="str">
        <f>IF(BetTable[[#This Row],[Sp]]="","",BetTable[[#This Row],[S1]]+BetTable[[#This Row],[S2]]+BetTable[[#This Row],[S3]])</f>
        <v/>
      </c>
      <c r="T142" s="143" t="str">
        <f>IF(BetTable[[#This Row],[O1]]="","",(BetTable[[#This Row],[WBA1-Commission]])-BetTable[[#This Row],[TS]])</f>
        <v/>
      </c>
      <c r="U142" s="143" t="str">
        <f>IF(BetTable[[#This Row],[O2]]="","",(BetTable[[#This Row],[WBA2-Commission]])-BetTable[[#This Row],[TS]])</f>
        <v/>
      </c>
      <c r="V142" s="143" t="str">
        <f>IF(BetTable[[#This Row],[O3]]="","",(BetTable[[#This Row],[WBA3-Commission]])-BetTable[[#This Row],[TS]])</f>
        <v/>
      </c>
      <c r="W142" s="143">
        <f>IF(NOT(ISBLANK(BetTable[[#This Row],[B1]])),1,0)+IF(NOT(ISBLANK(BetTable[[#This Row],[B2]])),1,0)+IF(NOT(ISBLANK(BetTable[[#This Row],[B3]])),1,0)</f>
        <v>0</v>
      </c>
      <c r="X142" s="143" t="str">
        <f>IF(BetTable[[#This Row],[Outcome1]]="","",BetTable[[#This Row],[WBA1]]+BetTable[[#This Row],[WBA2]]+BetTable[[#This Row],[WBA3]]-BetTable[[#This Row],[TS]])</f>
        <v/>
      </c>
      <c r="Y142" s="143" t="str">
        <f>IF(BetTable[[#This Row],[AR]]="","",BetTable[[#This Row],[AR]]/BetTable[[#This Row],[NumBookies]])</f>
        <v/>
      </c>
      <c r="Z142" s="143">
        <f>(((BetTable[[#This Row],[O1]]-1)*BetTable[[#This Row],[S1]])*(1-(BetTable[[#This Row],[C% 1]]))+BetTable[[#This Row],[S1]])</f>
        <v>0</v>
      </c>
      <c r="AA142" s="143">
        <f>(((BetTable[[#This Row],[O2]]-1)*BetTable[[#This Row],[S2]])*(1-(BetTable[[#This Row],[C% 2]]))+BetTable[[#This Row],[S2]])</f>
        <v>0</v>
      </c>
      <c r="AB142" s="143">
        <f>(((BetTable[[#This Row],[O3]]-1)*BetTable[[#This Row],[S3]])*(1-(BetTable[[#This Row],[C% 3]]))+BetTable[[#This Row],[S3]])</f>
        <v>0</v>
      </c>
      <c r="AC142" s="147" t="str">
        <f>IFERROR(IF(BetTable[[#This Row],[Sp]]="","",BetTable[[#This Row],[R1]]/BetTable[[#This Row],[TS]]),"")</f>
        <v/>
      </c>
      <c r="AD142" s="147" t="str">
        <f>IF(BetTable[[#This Row],[O2]]="","",BetTable[[#This Row],[R2]]/BetTable[[#This Row],[TS]])</f>
        <v/>
      </c>
      <c r="AE142" s="147" t="str">
        <f>IFERROR(IF(BetTable[[#This Row],[Sp]]="","",BetTable[[#This Row],[R3]]/BetTable[[#This Row],[TS]]),"")</f>
        <v/>
      </c>
      <c r="AF142" s="147" t="str">
        <f>IFERROR(IF(BetTable[[#This Row],[Outcome1]]="","",BetTable[[#This Row],[AR]]/BetTable[[#This Row],[TS]]),"")</f>
        <v/>
      </c>
      <c r="AG14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2" s="57" t="e">
        <f>IF(BetTable[[#This Row],[Outcome1]]="",AJ141,BetTable[[#This Row],[AR]]+AJ141)</f>
        <v>#REF!</v>
      </c>
      <c r="AK142" s="39"/>
    </row>
    <row r="143" spans="1:37">
      <c r="A143" s="144"/>
      <c r="B143" s="39"/>
      <c r="C143" s="40"/>
      <c r="D143" s="40"/>
      <c r="E143" s="40"/>
      <c r="F143" s="152"/>
      <c r="G143" s="152"/>
      <c r="H143" s="152"/>
      <c r="I143" s="39"/>
      <c r="J143" s="54"/>
      <c r="K143" s="54"/>
      <c r="L143" s="54"/>
      <c r="M143" s="57"/>
      <c r="N143" s="57"/>
      <c r="O143" s="57"/>
      <c r="P143" s="55"/>
      <c r="Q143" s="55"/>
      <c r="R143" s="55"/>
      <c r="S143" s="146" t="str">
        <f>IF(BetTable[[#This Row],[Sp]]="","",BetTable[[#This Row],[S1]]+BetTable[[#This Row],[S2]]+BetTable[[#This Row],[S3]])</f>
        <v/>
      </c>
      <c r="T143" s="143" t="str">
        <f>IF(BetTable[[#This Row],[O1]]="","",(BetTable[[#This Row],[WBA1-Commission]])-BetTable[[#This Row],[TS]])</f>
        <v/>
      </c>
      <c r="U143" s="143" t="str">
        <f>IF(BetTable[[#This Row],[O2]]="","",(BetTable[[#This Row],[WBA2-Commission]])-BetTable[[#This Row],[TS]])</f>
        <v/>
      </c>
      <c r="V143" s="143" t="str">
        <f>IF(BetTable[[#This Row],[O3]]="","",(BetTable[[#This Row],[WBA3-Commission]])-BetTable[[#This Row],[TS]])</f>
        <v/>
      </c>
      <c r="W143" s="143">
        <f>IF(NOT(ISBLANK(BetTable[[#This Row],[B1]])),1,0)+IF(NOT(ISBLANK(BetTable[[#This Row],[B2]])),1,0)+IF(NOT(ISBLANK(BetTable[[#This Row],[B3]])),1,0)</f>
        <v>0</v>
      </c>
      <c r="X143" s="143" t="str">
        <f>IF(BetTable[[#This Row],[Outcome1]]="","",BetTable[[#This Row],[WBA1]]+BetTable[[#This Row],[WBA2]]+BetTable[[#This Row],[WBA3]]-BetTable[[#This Row],[TS]])</f>
        <v/>
      </c>
      <c r="Y143" s="143" t="str">
        <f>IF(BetTable[[#This Row],[AR]]="","",BetTable[[#This Row],[AR]]/BetTable[[#This Row],[NumBookies]])</f>
        <v/>
      </c>
      <c r="Z143" s="143">
        <f>(((BetTable[[#This Row],[O1]]-1)*BetTable[[#This Row],[S1]])*(1-(BetTable[[#This Row],[C% 1]]))+BetTable[[#This Row],[S1]])</f>
        <v>0</v>
      </c>
      <c r="AA143" s="143">
        <f>(((BetTable[[#This Row],[O2]]-1)*BetTable[[#This Row],[S2]])*(1-(BetTable[[#This Row],[C% 2]]))+BetTable[[#This Row],[S2]])</f>
        <v>0</v>
      </c>
      <c r="AB143" s="143">
        <f>(((BetTable[[#This Row],[O3]]-1)*BetTable[[#This Row],[S3]])*(1-(BetTable[[#This Row],[C% 3]]))+BetTable[[#This Row],[S3]])</f>
        <v>0</v>
      </c>
      <c r="AC143" s="147" t="str">
        <f>IFERROR(IF(BetTable[[#This Row],[Sp]]="","",BetTable[[#This Row],[R1]]/BetTable[[#This Row],[TS]]),"")</f>
        <v/>
      </c>
      <c r="AD143" s="147" t="str">
        <f>IF(BetTable[[#This Row],[O2]]="","",BetTable[[#This Row],[R2]]/BetTable[[#This Row],[TS]])</f>
        <v/>
      </c>
      <c r="AE143" s="147" t="str">
        <f>IFERROR(IF(BetTable[[#This Row],[Sp]]="","",BetTable[[#This Row],[R3]]/BetTable[[#This Row],[TS]]),"")</f>
        <v/>
      </c>
      <c r="AF143" s="147" t="str">
        <f>IFERROR(IF(BetTable[[#This Row],[Outcome1]]="","",BetTable[[#This Row],[AR]]/BetTable[[#This Row],[TS]]),"")</f>
        <v/>
      </c>
      <c r="AG14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3" s="57" t="e">
        <f>IF(BetTable[[#This Row],[Outcome1]]="",AJ142,BetTable[[#This Row],[AR]]+AJ142)</f>
        <v>#REF!</v>
      </c>
      <c r="AK143" s="39"/>
    </row>
    <row r="144" spans="1:37">
      <c r="A144" s="144"/>
      <c r="B144" s="39"/>
      <c r="C144" s="40"/>
      <c r="D144" s="40"/>
      <c r="E144" s="40"/>
      <c r="F144" s="152"/>
      <c r="G144" s="152"/>
      <c r="H144" s="152"/>
      <c r="I144" s="39"/>
      <c r="J144" s="54"/>
      <c r="K144" s="54"/>
      <c r="L144" s="54"/>
      <c r="M144" s="57"/>
      <c r="N144" s="57"/>
      <c r="O144" s="57"/>
      <c r="P144" s="55"/>
      <c r="Q144" s="55"/>
      <c r="R144" s="55"/>
      <c r="S144" s="146" t="str">
        <f>IF(BetTable[[#This Row],[Sp]]="","",BetTable[[#This Row],[S1]]+BetTable[[#This Row],[S2]]+BetTable[[#This Row],[S3]])</f>
        <v/>
      </c>
      <c r="T144" s="143" t="str">
        <f>IF(BetTable[[#This Row],[O1]]="","",(BetTable[[#This Row],[WBA1-Commission]])-BetTable[[#This Row],[TS]])</f>
        <v/>
      </c>
      <c r="U144" s="143" t="str">
        <f>IF(BetTable[[#This Row],[O2]]="","",(BetTable[[#This Row],[WBA2-Commission]])-BetTable[[#This Row],[TS]])</f>
        <v/>
      </c>
      <c r="V144" s="143" t="str">
        <f>IF(BetTable[[#This Row],[O3]]="","",(BetTable[[#This Row],[WBA3-Commission]])-BetTable[[#This Row],[TS]])</f>
        <v/>
      </c>
      <c r="W144" s="143">
        <f>IF(NOT(ISBLANK(BetTable[[#This Row],[B1]])),1,0)+IF(NOT(ISBLANK(BetTable[[#This Row],[B2]])),1,0)+IF(NOT(ISBLANK(BetTable[[#This Row],[B3]])),1,0)</f>
        <v>0</v>
      </c>
      <c r="X144" s="143" t="str">
        <f>IF(BetTable[[#This Row],[Outcome1]]="","",BetTable[[#This Row],[WBA1]]+BetTable[[#This Row],[WBA2]]+BetTable[[#This Row],[WBA3]]-BetTable[[#This Row],[TS]])</f>
        <v/>
      </c>
      <c r="Y144" s="143" t="str">
        <f>IF(BetTable[[#This Row],[AR]]="","",BetTable[[#This Row],[AR]]/BetTable[[#This Row],[NumBookies]])</f>
        <v/>
      </c>
      <c r="Z144" s="143">
        <f>(((BetTable[[#This Row],[O1]]-1)*BetTable[[#This Row],[S1]])*(1-(BetTable[[#This Row],[C% 1]]))+BetTable[[#This Row],[S1]])</f>
        <v>0</v>
      </c>
      <c r="AA144" s="143">
        <f>(((BetTable[[#This Row],[O2]]-1)*BetTable[[#This Row],[S2]])*(1-(BetTable[[#This Row],[C% 2]]))+BetTable[[#This Row],[S2]])</f>
        <v>0</v>
      </c>
      <c r="AB144" s="143">
        <f>(((BetTable[[#This Row],[O3]]-1)*BetTable[[#This Row],[S3]])*(1-(BetTable[[#This Row],[C% 3]]))+BetTable[[#This Row],[S3]])</f>
        <v>0</v>
      </c>
      <c r="AC144" s="147" t="str">
        <f>IFERROR(IF(BetTable[[#This Row],[Sp]]="","",BetTable[[#This Row],[R1]]/BetTable[[#This Row],[TS]]),"")</f>
        <v/>
      </c>
      <c r="AD144" s="147" t="str">
        <f>IF(BetTable[[#This Row],[O2]]="","",BetTable[[#This Row],[R2]]/BetTable[[#This Row],[TS]])</f>
        <v/>
      </c>
      <c r="AE144" s="147" t="str">
        <f>IFERROR(IF(BetTable[[#This Row],[Sp]]="","",BetTable[[#This Row],[R3]]/BetTable[[#This Row],[TS]]),"")</f>
        <v/>
      </c>
      <c r="AF144" s="147" t="str">
        <f>IFERROR(IF(BetTable[[#This Row],[Outcome1]]="","",BetTable[[#This Row],[AR]]/BetTable[[#This Row],[TS]]),"")</f>
        <v/>
      </c>
      <c r="AG14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4" s="57" t="e">
        <f>IF(BetTable[[#This Row],[Outcome1]]="",AJ143,BetTable[[#This Row],[AR]]+AJ143)</f>
        <v>#REF!</v>
      </c>
      <c r="AK144" s="39"/>
    </row>
    <row r="145" spans="1:37">
      <c r="A145" s="144"/>
      <c r="B145" s="39"/>
      <c r="C145" s="40"/>
      <c r="D145" s="40"/>
      <c r="E145" s="40"/>
      <c r="F145" s="152"/>
      <c r="G145" s="152"/>
      <c r="H145" s="152"/>
      <c r="I145" s="39"/>
      <c r="J145" s="54"/>
      <c r="K145" s="54"/>
      <c r="L145" s="54"/>
      <c r="M145" s="57"/>
      <c r="N145" s="57"/>
      <c r="O145" s="57"/>
      <c r="P145" s="55"/>
      <c r="Q145" s="55"/>
      <c r="R145" s="55"/>
      <c r="S145" s="146" t="str">
        <f>IF(BetTable[[#This Row],[Sp]]="","",BetTable[[#This Row],[S1]]+BetTable[[#This Row],[S2]]+BetTable[[#This Row],[S3]])</f>
        <v/>
      </c>
      <c r="T145" s="143" t="str">
        <f>IF(BetTable[[#This Row],[O1]]="","",(BetTable[[#This Row],[WBA1-Commission]])-BetTable[[#This Row],[TS]])</f>
        <v/>
      </c>
      <c r="U145" s="143" t="str">
        <f>IF(BetTable[[#This Row],[O2]]="","",(BetTable[[#This Row],[WBA2-Commission]])-BetTable[[#This Row],[TS]])</f>
        <v/>
      </c>
      <c r="V145" s="143" t="str">
        <f>IF(BetTable[[#This Row],[O3]]="","",(BetTable[[#This Row],[WBA3-Commission]])-BetTable[[#This Row],[TS]])</f>
        <v/>
      </c>
      <c r="W145" s="143">
        <f>IF(NOT(ISBLANK(BetTable[[#This Row],[B1]])),1,0)+IF(NOT(ISBLANK(BetTable[[#This Row],[B2]])),1,0)+IF(NOT(ISBLANK(BetTable[[#This Row],[B3]])),1,0)</f>
        <v>0</v>
      </c>
      <c r="X145" s="143" t="str">
        <f>IF(BetTable[[#This Row],[Outcome1]]="","",BetTable[[#This Row],[WBA1]]+BetTable[[#This Row],[WBA2]]+BetTable[[#This Row],[WBA3]]-BetTable[[#This Row],[TS]])</f>
        <v/>
      </c>
      <c r="Y145" s="143" t="str">
        <f>IF(BetTable[[#This Row],[AR]]="","",BetTable[[#This Row],[AR]]/BetTable[[#This Row],[NumBookies]])</f>
        <v/>
      </c>
      <c r="Z145" s="143">
        <f>(((BetTable[[#This Row],[O1]]-1)*BetTable[[#This Row],[S1]])*(1-(BetTable[[#This Row],[C% 1]]))+BetTable[[#This Row],[S1]])</f>
        <v>0</v>
      </c>
      <c r="AA145" s="143">
        <f>(((BetTable[[#This Row],[O2]]-1)*BetTable[[#This Row],[S2]])*(1-(BetTable[[#This Row],[C% 2]]))+BetTable[[#This Row],[S2]])</f>
        <v>0</v>
      </c>
      <c r="AB145" s="143">
        <f>(((BetTable[[#This Row],[O3]]-1)*BetTable[[#This Row],[S3]])*(1-(BetTable[[#This Row],[C% 3]]))+BetTable[[#This Row],[S3]])</f>
        <v>0</v>
      </c>
      <c r="AC145" s="147" t="str">
        <f>IFERROR(IF(BetTable[[#This Row],[Sp]]="","",BetTable[[#This Row],[R1]]/BetTable[[#This Row],[TS]]),"")</f>
        <v/>
      </c>
      <c r="AD145" s="147" t="str">
        <f>IF(BetTable[[#This Row],[O2]]="","",BetTable[[#This Row],[R2]]/BetTable[[#This Row],[TS]])</f>
        <v/>
      </c>
      <c r="AE145" s="147" t="str">
        <f>IFERROR(IF(BetTable[[#This Row],[Sp]]="","",BetTable[[#This Row],[R3]]/BetTable[[#This Row],[TS]]),"")</f>
        <v/>
      </c>
      <c r="AF145" s="147" t="str">
        <f>IFERROR(IF(BetTable[[#This Row],[Outcome1]]="","",BetTable[[#This Row],[AR]]/BetTable[[#This Row],[TS]]),"")</f>
        <v/>
      </c>
      <c r="AG14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5" s="57" t="e">
        <f>IF(BetTable[[#This Row],[Outcome1]]="",AJ144,BetTable[[#This Row],[AR]]+AJ144)</f>
        <v>#REF!</v>
      </c>
      <c r="AK145" s="39"/>
    </row>
    <row r="146" spans="1:37">
      <c r="A146" s="144"/>
      <c r="B146" s="39"/>
      <c r="C146" s="40"/>
      <c r="D146" s="40"/>
      <c r="E146" s="40"/>
      <c r="F146" s="152"/>
      <c r="G146" s="152"/>
      <c r="H146" s="152"/>
      <c r="I146" s="39"/>
      <c r="J146" s="54"/>
      <c r="K146" s="54"/>
      <c r="L146" s="54"/>
      <c r="M146" s="57"/>
      <c r="N146" s="57"/>
      <c r="O146" s="57"/>
      <c r="P146" s="55"/>
      <c r="Q146" s="55"/>
      <c r="R146" s="55"/>
      <c r="S146" s="146" t="str">
        <f>IF(BetTable[[#This Row],[Sp]]="","",BetTable[[#This Row],[S1]]+BetTable[[#This Row],[S2]]+BetTable[[#This Row],[S3]])</f>
        <v/>
      </c>
      <c r="T146" s="143" t="str">
        <f>IF(BetTable[[#This Row],[O1]]="","",(BetTable[[#This Row],[WBA1-Commission]])-BetTable[[#This Row],[TS]])</f>
        <v/>
      </c>
      <c r="U146" s="143" t="str">
        <f>IF(BetTable[[#This Row],[O2]]="","",(BetTable[[#This Row],[WBA2-Commission]])-BetTable[[#This Row],[TS]])</f>
        <v/>
      </c>
      <c r="V146" s="143" t="str">
        <f>IF(BetTable[[#This Row],[O3]]="","",(BetTable[[#This Row],[WBA3-Commission]])-BetTable[[#This Row],[TS]])</f>
        <v/>
      </c>
      <c r="W146" s="143">
        <f>IF(NOT(ISBLANK(BetTable[[#This Row],[B1]])),1,0)+IF(NOT(ISBLANK(BetTable[[#This Row],[B2]])),1,0)+IF(NOT(ISBLANK(BetTable[[#This Row],[B3]])),1,0)</f>
        <v>0</v>
      </c>
      <c r="X146" s="143" t="str">
        <f>IF(BetTable[[#This Row],[Outcome1]]="","",BetTable[[#This Row],[WBA1]]+BetTable[[#This Row],[WBA2]]+BetTable[[#This Row],[WBA3]]-BetTable[[#This Row],[TS]])</f>
        <v/>
      </c>
      <c r="Y146" s="143" t="str">
        <f>IF(BetTable[[#This Row],[AR]]="","",BetTable[[#This Row],[AR]]/BetTable[[#This Row],[NumBookies]])</f>
        <v/>
      </c>
      <c r="Z146" s="143">
        <f>(((BetTable[[#This Row],[O1]]-1)*BetTable[[#This Row],[S1]])*(1-(BetTable[[#This Row],[C% 1]]))+BetTable[[#This Row],[S1]])</f>
        <v>0</v>
      </c>
      <c r="AA146" s="143">
        <f>(((BetTable[[#This Row],[O2]]-1)*BetTable[[#This Row],[S2]])*(1-(BetTable[[#This Row],[C% 2]]))+BetTable[[#This Row],[S2]])</f>
        <v>0</v>
      </c>
      <c r="AB146" s="143">
        <f>(((BetTable[[#This Row],[O3]]-1)*BetTable[[#This Row],[S3]])*(1-(BetTable[[#This Row],[C% 3]]))+BetTable[[#This Row],[S3]])</f>
        <v>0</v>
      </c>
      <c r="AC146" s="147" t="str">
        <f>IFERROR(IF(BetTable[[#This Row],[Sp]]="","",BetTable[[#This Row],[R1]]/BetTable[[#This Row],[TS]]),"")</f>
        <v/>
      </c>
      <c r="AD146" s="147" t="str">
        <f>IF(BetTable[[#This Row],[O2]]="","",BetTable[[#This Row],[R2]]/BetTable[[#This Row],[TS]])</f>
        <v/>
      </c>
      <c r="AE146" s="147" t="str">
        <f>IFERROR(IF(BetTable[[#This Row],[Sp]]="","",BetTable[[#This Row],[R3]]/BetTable[[#This Row],[TS]]),"")</f>
        <v/>
      </c>
      <c r="AF146" s="147" t="str">
        <f>IFERROR(IF(BetTable[[#This Row],[Outcome1]]="","",BetTable[[#This Row],[AR]]/BetTable[[#This Row],[TS]]),"")</f>
        <v/>
      </c>
      <c r="AG14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6" s="57" t="e">
        <f>IF(BetTable[[#This Row],[Outcome1]]="",AJ145,BetTable[[#This Row],[AR]]+AJ145)</f>
        <v>#REF!</v>
      </c>
      <c r="AK146" s="39"/>
    </row>
    <row r="147" spans="1:37">
      <c r="A147" s="144"/>
      <c r="B147" s="39"/>
      <c r="C147" s="40"/>
      <c r="D147" s="40"/>
      <c r="E147" s="40"/>
      <c r="F147" s="152"/>
      <c r="G147" s="152"/>
      <c r="H147" s="152"/>
      <c r="I147" s="39"/>
      <c r="J147" s="54"/>
      <c r="K147" s="54"/>
      <c r="L147" s="54"/>
      <c r="M147" s="57"/>
      <c r="N147" s="57"/>
      <c r="O147" s="57"/>
      <c r="P147" s="55"/>
      <c r="Q147" s="55"/>
      <c r="R147" s="55"/>
      <c r="S147" s="146" t="str">
        <f>IF(BetTable[[#This Row],[Sp]]="","",BetTable[[#This Row],[S1]]+BetTable[[#This Row],[S2]]+BetTable[[#This Row],[S3]])</f>
        <v/>
      </c>
      <c r="T147" s="143" t="str">
        <f>IF(BetTable[[#This Row],[O1]]="","",(BetTable[[#This Row],[WBA1-Commission]])-BetTable[[#This Row],[TS]])</f>
        <v/>
      </c>
      <c r="U147" s="143" t="str">
        <f>IF(BetTable[[#This Row],[O2]]="","",(BetTable[[#This Row],[WBA2-Commission]])-BetTable[[#This Row],[TS]])</f>
        <v/>
      </c>
      <c r="V147" s="143" t="str">
        <f>IF(BetTable[[#This Row],[O3]]="","",(BetTable[[#This Row],[WBA3-Commission]])-BetTable[[#This Row],[TS]])</f>
        <v/>
      </c>
      <c r="W147" s="143">
        <f>IF(NOT(ISBLANK(BetTable[[#This Row],[B1]])),1,0)+IF(NOT(ISBLANK(BetTable[[#This Row],[B2]])),1,0)+IF(NOT(ISBLANK(BetTable[[#This Row],[B3]])),1,0)</f>
        <v>0</v>
      </c>
      <c r="X147" s="143" t="str">
        <f>IF(BetTable[[#This Row],[Outcome1]]="","",BetTable[[#This Row],[WBA1]]+BetTable[[#This Row],[WBA2]]+BetTable[[#This Row],[WBA3]]-BetTable[[#This Row],[TS]])</f>
        <v/>
      </c>
      <c r="Y147" s="143" t="str">
        <f>IF(BetTable[[#This Row],[AR]]="","",BetTable[[#This Row],[AR]]/BetTable[[#This Row],[NumBookies]])</f>
        <v/>
      </c>
      <c r="Z147" s="143">
        <f>(((BetTable[[#This Row],[O1]]-1)*BetTable[[#This Row],[S1]])*(1-(BetTable[[#This Row],[C% 1]]))+BetTable[[#This Row],[S1]])</f>
        <v>0</v>
      </c>
      <c r="AA147" s="143">
        <f>(((BetTable[[#This Row],[O2]]-1)*BetTable[[#This Row],[S2]])*(1-(BetTable[[#This Row],[C% 2]]))+BetTable[[#This Row],[S2]])</f>
        <v>0</v>
      </c>
      <c r="AB147" s="143">
        <f>(((BetTable[[#This Row],[O3]]-1)*BetTable[[#This Row],[S3]])*(1-(BetTable[[#This Row],[C% 3]]))+BetTable[[#This Row],[S3]])</f>
        <v>0</v>
      </c>
      <c r="AC147" s="147" t="str">
        <f>IFERROR(IF(BetTable[[#This Row],[Sp]]="","",BetTable[[#This Row],[R1]]/BetTable[[#This Row],[TS]]),"")</f>
        <v/>
      </c>
      <c r="AD147" s="147" t="str">
        <f>IF(BetTable[[#This Row],[O2]]="","",BetTable[[#This Row],[R2]]/BetTable[[#This Row],[TS]])</f>
        <v/>
      </c>
      <c r="AE147" s="147" t="str">
        <f>IFERROR(IF(BetTable[[#This Row],[Sp]]="","",BetTable[[#This Row],[R3]]/BetTable[[#This Row],[TS]]),"")</f>
        <v/>
      </c>
      <c r="AF147" s="147" t="str">
        <f>IFERROR(IF(BetTable[[#This Row],[Outcome1]]="","",BetTable[[#This Row],[AR]]/BetTable[[#This Row],[TS]]),"")</f>
        <v/>
      </c>
      <c r="AG14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7" s="57" t="e">
        <f>IF(BetTable[[#This Row],[Outcome1]]="",AJ146,BetTable[[#This Row],[AR]]+AJ146)</f>
        <v>#REF!</v>
      </c>
      <c r="AK147" s="39"/>
    </row>
    <row r="148" spans="1:37">
      <c r="A148" s="144"/>
      <c r="B148" s="39"/>
      <c r="C148" s="40"/>
      <c r="D148" s="40"/>
      <c r="E148" s="40"/>
      <c r="F148" s="152"/>
      <c r="G148" s="152"/>
      <c r="H148" s="152"/>
      <c r="I148" s="39"/>
      <c r="J148" s="54"/>
      <c r="K148" s="54"/>
      <c r="L148" s="54"/>
      <c r="M148" s="57"/>
      <c r="N148" s="57"/>
      <c r="O148" s="57"/>
      <c r="P148" s="55"/>
      <c r="Q148" s="55"/>
      <c r="R148" s="55"/>
      <c r="S148" s="146" t="str">
        <f>IF(BetTable[[#This Row],[Sp]]="","",BetTable[[#This Row],[S1]]+BetTable[[#This Row],[S2]]+BetTable[[#This Row],[S3]])</f>
        <v/>
      </c>
      <c r="T148" s="143" t="str">
        <f>IF(BetTable[[#This Row],[O1]]="","",(BetTable[[#This Row],[WBA1-Commission]])-BetTable[[#This Row],[TS]])</f>
        <v/>
      </c>
      <c r="U148" s="143" t="str">
        <f>IF(BetTable[[#This Row],[O2]]="","",(BetTable[[#This Row],[WBA2-Commission]])-BetTable[[#This Row],[TS]])</f>
        <v/>
      </c>
      <c r="V148" s="143" t="str">
        <f>IF(BetTable[[#This Row],[O3]]="","",(BetTable[[#This Row],[WBA3-Commission]])-BetTable[[#This Row],[TS]])</f>
        <v/>
      </c>
      <c r="W148" s="143">
        <f>IF(NOT(ISBLANK(BetTable[[#This Row],[B1]])),1,0)+IF(NOT(ISBLANK(BetTable[[#This Row],[B2]])),1,0)+IF(NOT(ISBLANK(BetTable[[#This Row],[B3]])),1,0)</f>
        <v>0</v>
      </c>
      <c r="X148" s="143" t="str">
        <f>IF(BetTable[[#This Row],[Outcome1]]="","",BetTable[[#This Row],[WBA1]]+BetTable[[#This Row],[WBA2]]+BetTable[[#This Row],[WBA3]]-BetTable[[#This Row],[TS]])</f>
        <v/>
      </c>
      <c r="Y148" s="143" t="str">
        <f>IF(BetTable[[#This Row],[AR]]="","",BetTable[[#This Row],[AR]]/BetTable[[#This Row],[NumBookies]])</f>
        <v/>
      </c>
      <c r="Z148" s="143">
        <f>(((BetTable[[#This Row],[O1]]-1)*BetTable[[#This Row],[S1]])*(1-(BetTable[[#This Row],[C% 1]]))+BetTable[[#This Row],[S1]])</f>
        <v>0</v>
      </c>
      <c r="AA148" s="143">
        <f>(((BetTable[[#This Row],[O2]]-1)*BetTable[[#This Row],[S2]])*(1-(BetTable[[#This Row],[C% 2]]))+BetTable[[#This Row],[S2]])</f>
        <v>0</v>
      </c>
      <c r="AB148" s="143">
        <f>(((BetTable[[#This Row],[O3]]-1)*BetTable[[#This Row],[S3]])*(1-(BetTable[[#This Row],[C% 3]]))+BetTable[[#This Row],[S3]])</f>
        <v>0</v>
      </c>
      <c r="AC148" s="147" t="str">
        <f>IFERROR(IF(BetTable[[#This Row],[Sp]]="","",BetTable[[#This Row],[R1]]/BetTable[[#This Row],[TS]]),"")</f>
        <v/>
      </c>
      <c r="AD148" s="147" t="str">
        <f>IF(BetTable[[#This Row],[O2]]="","",BetTable[[#This Row],[R2]]/BetTable[[#This Row],[TS]])</f>
        <v/>
      </c>
      <c r="AE148" s="147" t="str">
        <f>IFERROR(IF(BetTable[[#This Row],[Sp]]="","",BetTable[[#This Row],[R3]]/BetTable[[#This Row],[TS]]),"")</f>
        <v/>
      </c>
      <c r="AF148" s="147" t="str">
        <f>IFERROR(IF(BetTable[[#This Row],[Outcome1]]="","",BetTable[[#This Row],[AR]]/BetTable[[#This Row],[TS]]),"")</f>
        <v/>
      </c>
      <c r="AG14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8" s="57" t="e">
        <f>IF(BetTable[[#This Row],[Outcome1]]="",AJ147,BetTable[[#This Row],[AR]]+AJ147)</f>
        <v>#REF!</v>
      </c>
      <c r="AK148" s="39"/>
    </row>
    <row r="149" spans="1:37">
      <c r="A149" s="144"/>
      <c r="B149" s="39"/>
      <c r="C149" s="40"/>
      <c r="D149" s="40"/>
      <c r="E149" s="40"/>
      <c r="F149" s="152"/>
      <c r="G149" s="152"/>
      <c r="H149" s="152"/>
      <c r="I149" s="39"/>
      <c r="J149" s="54"/>
      <c r="K149" s="54"/>
      <c r="L149" s="54"/>
      <c r="M149" s="57"/>
      <c r="N149" s="57"/>
      <c r="O149" s="57"/>
      <c r="P149" s="55"/>
      <c r="Q149" s="55"/>
      <c r="R149" s="55"/>
      <c r="S149" s="146" t="str">
        <f>IF(BetTable[[#This Row],[Sp]]="","",BetTable[[#This Row],[S1]]+BetTable[[#This Row],[S2]]+BetTable[[#This Row],[S3]])</f>
        <v/>
      </c>
      <c r="T149" s="143" t="str">
        <f>IF(BetTable[[#This Row],[O1]]="","",(BetTable[[#This Row],[WBA1-Commission]])-BetTable[[#This Row],[TS]])</f>
        <v/>
      </c>
      <c r="U149" s="143" t="str">
        <f>IF(BetTable[[#This Row],[O2]]="","",(BetTable[[#This Row],[WBA2-Commission]])-BetTable[[#This Row],[TS]])</f>
        <v/>
      </c>
      <c r="V149" s="143" t="str">
        <f>IF(BetTable[[#This Row],[O3]]="","",(BetTable[[#This Row],[WBA3-Commission]])-BetTable[[#This Row],[TS]])</f>
        <v/>
      </c>
      <c r="W149" s="143">
        <f>IF(NOT(ISBLANK(BetTable[[#This Row],[B1]])),1,0)+IF(NOT(ISBLANK(BetTable[[#This Row],[B2]])),1,0)+IF(NOT(ISBLANK(BetTable[[#This Row],[B3]])),1,0)</f>
        <v>0</v>
      </c>
      <c r="X149" s="143" t="str">
        <f>IF(BetTable[[#This Row],[Outcome1]]="","",BetTable[[#This Row],[WBA1]]+BetTable[[#This Row],[WBA2]]+BetTable[[#This Row],[WBA3]]-BetTable[[#This Row],[TS]])</f>
        <v/>
      </c>
      <c r="Y149" s="143" t="str">
        <f>IF(BetTable[[#This Row],[AR]]="","",BetTable[[#This Row],[AR]]/BetTable[[#This Row],[NumBookies]])</f>
        <v/>
      </c>
      <c r="Z149" s="143">
        <f>(((BetTable[[#This Row],[O1]]-1)*BetTable[[#This Row],[S1]])*(1-(BetTable[[#This Row],[C% 1]]))+BetTable[[#This Row],[S1]])</f>
        <v>0</v>
      </c>
      <c r="AA149" s="143">
        <f>(((BetTable[[#This Row],[O2]]-1)*BetTable[[#This Row],[S2]])*(1-(BetTable[[#This Row],[C% 2]]))+BetTable[[#This Row],[S2]])</f>
        <v>0</v>
      </c>
      <c r="AB149" s="143">
        <f>(((BetTable[[#This Row],[O3]]-1)*BetTable[[#This Row],[S3]])*(1-(BetTable[[#This Row],[C% 3]]))+BetTable[[#This Row],[S3]])</f>
        <v>0</v>
      </c>
      <c r="AC149" s="147" t="str">
        <f>IFERROR(IF(BetTable[[#This Row],[Sp]]="","",BetTable[[#This Row],[R1]]/BetTable[[#This Row],[TS]]),"")</f>
        <v/>
      </c>
      <c r="AD149" s="147" t="str">
        <f>IF(BetTable[[#This Row],[O2]]="","",BetTable[[#This Row],[R2]]/BetTable[[#This Row],[TS]])</f>
        <v/>
      </c>
      <c r="AE149" s="147" t="str">
        <f>IFERROR(IF(BetTable[[#This Row],[Sp]]="","",BetTable[[#This Row],[R3]]/BetTable[[#This Row],[TS]]),"")</f>
        <v/>
      </c>
      <c r="AF149" s="147" t="str">
        <f>IFERROR(IF(BetTable[[#This Row],[Outcome1]]="","",BetTable[[#This Row],[AR]]/BetTable[[#This Row],[TS]]),"")</f>
        <v/>
      </c>
      <c r="AG14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4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4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49" s="57" t="e">
        <f>IF(BetTable[[#This Row],[Outcome1]]="",AJ148,BetTable[[#This Row],[AR]]+AJ148)</f>
        <v>#REF!</v>
      </c>
      <c r="AK149" s="39"/>
    </row>
    <row r="150" spans="1:37">
      <c r="A150" s="144"/>
      <c r="B150" s="39"/>
      <c r="C150" s="40"/>
      <c r="D150" s="40"/>
      <c r="E150" s="40"/>
      <c r="F150" s="152"/>
      <c r="G150" s="152"/>
      <c r="H150" s="152"/>
      <c r="I150" s="39"/>
      <c r="J150" s="54"/>
      <c r="K150" s="54"/>
      <c r="L150" s="54"/>
      <c r="M150" s="57"/>
      <c r="N150" s="57"/>
      <c r="O150" s="57"/>
      <c r="P150" s="55"/>
      <c r="Q150" s="55"/>
      <c r="R150" s="55"/>
      <c r="S150" s="146" t="str">
        <f>IF(BetTable[[#This Row],[Sp]]="","",BetTable[[#This Row],[S1]]+BetTable[[#This Row],[S2]]+BetTable[[#This Row],[S3]])</f>
        <v/>
      </c>
      <c r="T150" s="143" t="str">
        <f>IF(BetTable[[#This Row],[O1]]="","",(BetTable[[#This Row],[WBA1-Commission]])-BetTable[[#This Row],[TS]])</f>
        <v/>
      </c>
      <c r="U150" s="143" t="str">
        <f>IF(BetTable[[#This Row],[O2]]="","",(BetTable[[#This Row],[WBA2-Commission]])-BetTable[[#This Row],[TS]])</f>
        <v/>
      </c>
      <c r="V150" s="143" t="str">
        <f>IF(BetTable[[#This Row],[O3]]="","",(BetTable[[#This Row],[WBA3-Commission]])-BetTable[[#This Row],[TS]])</f>
        <v/>
      </c>
      <c r="W150" s="143">
        <f>IF(NOT(ISBLANK(BetTable[[#This Row],[B1]])),1,0)+IF(NOT(ISBLANK(BetTable[[#This Row],[B2]])),1,0)+IF(NOT(ISBLANK(BetTable[[#This Row],[B3]])),1,0)</f>
        <v>0</v>
      </c>
      <c r="X150" s="143" t="str">
        <f>IF(BetTable[[#This Row],[Outcome1]]="","",BetTable[[#This Row],[WBA1]]+BetTable[[#This Row],[WBA2]]+BetTable[[#This Row],[WBA3]]-BetTable[[#This Row],[TS]])</f>
        <v/>
      </c>
      <c r="Y150" s="143" t="str">
        <f>IF(BetTable[[#This Row],[AR]]="","",BetTable[[#This Row],[AR]]/BetTable[[#This Row],[NumBookies]])</f>
        <v/>
      </c>
      <c r="Z150" s="143">
        <f>(((BetTable[[#This Row],[O1]]-1)*BetTable[[#This Row],[S1]])*(1-(BetTable[[#This Row],[C% 1]]))+BetTable[[#This Row],[S1]])</f>
        <v>0</v>
      </c>
      <c r="AA150" s="143">
        <f>(((BetTable[[#This Row],[O2]]-1)*BetTable[[#This Row],[S2]])*(1-(BetTable[[#This Row],[C% 2]]))+BetTable[[#This Row],[S2]])</f>
        <v>0</v>
      </c>
      <c r="AB150" s="143">
        <f>(((BetTable[[#This Row],[O3]]-1)*BetTable[[#This Row],[S3]])*(1-(BetTable[[#This Row],[C% 3]]))+BetTable[[#This Row],[S3]])</f>
        <v>0</v>
      </c>
      <c r="AC150" s="147" t="str">
        <f>IFERROR(IF(BetTable[[#This Row],[Sp]]="","",BetTable[[#This Row],[R1]]/BetTable[[#This Row],[TS]]),"")</f>
        <v/>
      </c>
      <c r="AD150" s="147" t="str">
        <f>IF(BetTable[[#This Row],[O2]]="","",BetTable[[#This Row],[R2]]/BetTable[[#This Row],[TS]])</f>
        <v/>
      </c>
      <c r="AE150" s="147" t="str">
        <f>IFERROR(IF(BetTable[[#This Row],[Sp]]="","",BetTable[[#This Row],[R3]]/BetTable[[#This Row],[TS]]),"")</f>
        <v/>
      </c>
      <c r="AF150" s="147" t="str">
        <f>IFERROR(IF(BetTable[[#This Row],[Outcome1]]="","",BetTable[[#This Row],[AR]]/BetTable[[#This Row],[TS]]),"")</f>
        <v/>
      </c>
      <c r="AG15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0" s="57" t="e">
        <f>IF(BetTable[[#This Row],[Outcome1]]="",AJ149,BetTable[[#This Row],[AR]]+AJ149)</f>
        <v>#REF!</v>
      </c>
      <c r="AK150" s="39"/>
    </row>
    <row r="151" spans="1:37">
      <c r="A151" s="144"/>
      <c r="B151" s="39"/>
      <c r="C151" s="40"/>
      <c r="D151" s="40"/>
      <c r="E151" s="40"/>
      <c r="F151" s="152"/>
      <c r="G151" s="152"/>
      <c r="H151" s="152"/>
      <c r="I151" s="39"/>
      <c r="J151" s="54"/>
      <c r="K151" s="54"/>
      <c r="L151" s="54"/>
      <c r="M151" s="57"/>
      <c r="N151" s="57"/>
      <c r="O151" s="57"/>
      <c r="P151" s="55"/>
      <c r="Q151" s="55"/>
      <c r="R151" s="55"/>
      <c r="S151" s="146" t="str">
        <f>IF(BetTable[[#This Row],[Sp]]="","",BetTable[[#This Row],[S1]]+BetTable[[#This Row],[S2]]+BetTable[[#This Row],[S3]])</f>
        <v/>
      </c>
      <c r="T151" s="143" t="str">
        <f>IF(BetTable[[#This Row],[O1]]="","",(BetTable[[#This Row],[WBA1-Commission]])-BetTable[[#This Row],[TS]])</f>
        <v/>
      </c>
      <c r="U151" s="143" t="str">
        <f>IF(BetTable[[#This Row],[O2]]="","",(BetTable[[#This Row],[WBA2-Commission]])-BetTable[[#This Row],[TS]])</f>
        <v/>
      </c>
      <c r="V151" s="143" t="str">
        <f>IF(BetTable[[#This Row],[O3]]="","",(BetTable[[#This Row],[WBA3-Commission]])-BetTable[[#This Row],[TS]])</f>
        <v/>
      </c>
      <c r="W151" s="143">
        <f>IF(NOT(ISBLANK(BetTable[[#This Row],[B1]])),1,0)+IF(NOT(ISBLANK(BetTable[[#This Row],[B2]])),1,0)+IF(NOT(ISBLANK(BetTable[[#This Row],[B3]])),1,0)</f>
        <v>0</v>
      </c>
      <c r="X151" s="143" t="str">
        <f>IF(BetTable[[#This Row],[Outcome1]]="","",BetTable[[#This Row],[WBA1]]+BetTable[[#This Row],[WBA2]]+BetTable[[#This Row],[WBA3]]-BetTable[[#This Row],[TS]])</f>
        <v/>
      </c>
      <c r="Y151" s="143" t="str">
        <f>IF(BetTable[[#This Row],[AR]]="","",BetTable[[#This Row],[AR]]/BetTable[[#This Row],[NumBookies]])</f>
        <v/>
      </c>
      <c r="Z151" s="143">
        <f>(((BetTable[[#This Row],[O1]]-1)*BetTable[[#This Row],[S1]])*(1-(BetTable[[#This Row],[C% 1]]))+BetTable[[#This Row],[S1]])</f>
        <v>0</v>
      </c>
      <c r="AA151" s="143">
        <f>(((BetTable[[#This Row],[O2]]-1)*BetTable[[#This Row],[S2]])*(1-(BetTable[[#This Row],[C% 2]]))+BetTable[[#This Row],[S2]])</f>
        <v>0</v>
      </c>
      <c r="AB151" s="143">
        <f>(((BetTable[[#This Row],[O3]]-1)*BetTable[[#This Row],[S3]])*(1-(BetTable[[#This Row],[C% 3]]))+BetTable[[#This Row],[S3]])</f>
        <v>0</v>
      </c>
      <c r="AC151" s="147" t="str">
        <f>IFERROR(IF(BetTable[[#This Row],[Sp]]="","",BetTable[[#This Row],[R1]]/BetTable[[#This Row],[TS]]),"")</f>
        <v/>
      </c>
      <c r="AD151" s="147" t="str">
        <f>IF(BetTable[[#This Row],[O2]]="","",BetTable[[#This Row],[R2]]/BetTable[[#This Row],[TS]])</f>
        <v/>
      </c>
      <c r="AE151" s="147" t="str">
        <f>IFERROR(IF(BetTable[[#This Row],[Sp]]="","",BetTable[[#This Row],[R3]]/BetTable[[#This Row],[TS]]),"")</f>
        <v/>
      </c>
      <c r="AF151" s="147" t="str">
        <f>IFERROR(IF(BetTable[[#This Row],[Outcome1]]="","",BetTable[[#This Row],[AR]]/BetTable[[#This Row],[TS]]),"")</f>
        <v/>
      </c>
      <c r="AG15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1" s="57" t="e">
        <f>IF(BetTable[[#This Row],[Outcome1]]="",AJ150,BetTable[[#This Row],[AR]]+AJ150)</f>
        <v>#REF!</v>
      </c>
      <c r="AK151" s="39"/>
    </row>
    <row r="152" spans="1:37">
      <c r="A152" s="144"/>
      <c r="B152" s="39"/>
      <c r="C152" s="40"/>
      <c r="D152" s="40"/>
      <c r="E152" s="40"/>
      <c r="F152" s="152"/>
      <c r="G152" s="152"/>
      <c r="H152" s="152"/>
      <c r="I152" s="39"/>
      <c r="J152" s="54"/>
      <c r="K152" s="54"/>
      <c r="L152" s="54"/>
      <c r="M152" s="57"/>
      <c r="N152" s="57"/>
      <c r="O152" s="57"/>
      <c r="P152" s="55"/>
      <c r="Q152" s="55"/>
      <c r="R152" s="55"/>
      <c r="S152" s="146" t="str">
        <f>IF(BetTable[[#This Row],[Sp]]="","",BetTable[[#This Row],[S1]]+BetTable[[#This Row],[S2]]+BetTable[[#This Row],[S3]])</f>
        <v/>
      </c>
      <c r="T152" s="143" t="str">
        <f>IF(BetTable[[#This Row],[O1]]="","",(BetTable[[#This Row],[WBA1-Commission]])-BetTable[[#This Row],[TS]])</f>
        <v/>
      </c>
      <c r="U152" s="143" t="str">
        <f>IF(BetTable[[#This Row],[O2]]="","",(BetTable[[#This Row],[WBA2-Commission]])-BetTable[[#This Row],[TS]])</f>
        <v/>
      </c>
      <c r="V152" s="143" t="str">
        <f>IF(BetTable[[#This Row],[O3]]="","",(BetTable[[#This Row],[WBA3-Commission]])-BetTable[[#This Row],[TS]])</f>
        <v/>
      </c>
      <c r="W152" s="143">
        <f>IF(NOT(ISBLANK(BetTable[[#This Row],[B1]])),1,0)+IF(NOT(ISBLANK(BetTable[[#This Row],[B2]])),1,0)+IF(NOT(ISBLANK(BetTable[[#This Row],[B3]])),1,0)</f>
        <v>0</v>
      </c>
      <c r="X152" s="143" t="str">
        <f>IF(BetTable[[#This Row],[Outcome1]]="","",BetTable[[#This Row],[WBA1]]+BetTable[[#This Row],[WBA2]]+BetTable[[#This Row],[WBA3]]-BetTable[[#This Row],[TS]])</f>
        <v/>
      </c>
      <c r="Y152" s="143" t="str">
        <f>IF(BetTable[[#This Row],[AR]]="","",BetTable[[#This Row],[AR]]/BetTable[[#This Row],[NumBookies]])</f>
        <v/>
      </c>
      <c r="Z152" s="143">
        <f>(((BetTable[[#This Row],[O1]]-1)*BetTable[[#This Row],[S1]])*(1-(BetTable[[#This Row],[C% 1]]))+BetTable[[#This Row],[S1]])</f>
        <v>0</v>
      </c>
      <c r="AA152" s="143">
        <f>(((BetTable[[#This Row],[O2]]-1)*BetTable[[#This Row],[S2]])*(1-(BetTable[[#This Row],[C% 2]]))+BetTable[[#This Row],[S2]])</f>
        <v>0</v>
      </c>
      <c r="AB152" s="143">
        <f>(((BetTable[[#This Row],[O3]]-1)*BetTable[[#This Row],[S3]])*(1-(BetTable[[#This Row],[C% 3]]))+BetTable[[#This Row],[S3]])</f>
        <v>0</v>
      </c>
      <c r="AC152" s="147" t="str">
        <f>IFERROR(IF(BetTable[[#This Row],[Sp]]="","",BetTable[[#This Row],[R1]]/BetTable[[#This Row],[TS]]),"")</f>
        <v/>
      </c>
      <c r="AD152" s="147" t="str">
        <f>IF(BetTable[[#This Row],[O2]]="","",BetTable[[#This Row],[R2]]/BetTable[[#This Row],[TS]])</f>
        <v/>
      </c>
      <c r="AE152" s="147" t="str">
        <f>IFERROR(IF(BetTable[[#This Row],[Sp]]="","",BetTable[[#This Row],[R3]]/BetTable[[#This Row],[TS]]),"")</f>
        <v/>
      </c>
      <c r="AF152" s="147" t="str">
        <f>IFERROR(IF(BetTable[[#This Row],[Outcome1]]="","",BetTable[[#This Row],[AR]]/BetTable[[#This Row],[TS]]),"")</f>
        <v/>
      </c>
      <c r="AG15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2" s="57" t="e">
        <f>IF(BetTable[[#This Row],[Outcome1]]="",AJ151,BetTable[[#This Row],[AR]]+AJ151)</f>
        <v>#REF!</v>
      </c>
      <c r="AK152" s="39"/>
    </row>
    <row r="153" spans="1:37">
      <c r="A153" s="144"/>
      <c r="B153" s="39"/>
      <c r="C153" s="40"/>
      <c r="D153" s="40"/>
      <c r="E153" s="40"/>
      <c r="F153" s="152"/>
      <c r="G153" s="152"/>
      <c r="H153" s="152"/>
      <c r="I153" s="39"/>
      <c r="J153" s="54"/>
      <c r="K153" s="54"/>
      <c r="L153" s="54"/>
      <c r="M153" s="57"/>
      <c r="N153" s="57"/>
      <c r="O153" s="57"/>
      <c r="P153" s="55"/>
      <c r="Q153" s="55"/>
      <c r="R153" s="55"/>
      <c r="S153" s="146" t="str">
        <f>IF(BetTable[[#This Row],[Sp]]="","",BetTable[[#This Row],[S1]]+BetTable[[#This Row],[S2]]+BetTable[[#This Row],[S3]])</f>
        <v/>
      </c>
      <c r="T153" s="143" t="str">
        <f>IF(BetTable[[#This Row],[O1]]="","",(BetTable[[#This Row],[WBA1-Commission]])-BetTable[[#This Row],[TS]])</f>
        <v/>
      </c>
      <c r="U153" s="143" t="str">
        <f>IF(BetTable[[#This Row],[O2]]="","",(BetTable[[#This Row],[WBA2-Commission]])-BetTable[[#This Row],[TS]])</f>
        <v/>
      </c>
      <c r="V153" s="143" t="str">
        <f>IF(BetTable[[#This Row],[O3]]="","",(BetTable[[#This Row],[WBA3-Commission]])-BetTable[[#This Row],[TS]])</f>
        <v/>
      </c>
      <c r="W153" s="143">
        <f>IF(NOT(ISBLANK(BetTable[[#This Row],[B1]])),1,0)+IF(NOT(ISBLANK(BetTable[[#This Row],[B2]])),1,0)+IF(NOT(ISBLANK(BetTable[[#This Row],[B3]])),1,0)</f>
        <v>0</v>
      </c>
      <c r="X153" s="143" t="str">
        <f>IF(BetTable[[#This Row],[Outcome1]]="","",BetTable[[#This Row],[WBA1]]+BetTable[[#This Row],[WBA2]]+BetTable[[#This Row],[WBA3]]-BetTable[[#This Row],[TS]])</f>
        <v/>
      </c>
      <c r="Y153" s="143" t="str">
        <f>IF(BetTable[[#This Row],[AR]]="","",BetTable[[#This Row],[AR]]/BetTable[[#This Row],[NumBookies]])</f>
        <v/>
      </c>
      <c r="Z153" s="143">
        <f>(((BetTable[[#This Row],[O1]]-1)*BetTable[[#This Row],[S1]])*(1-(BetTable[[#This Row],[C% 1]]))+BetTable[[#This Row],[S1]])</f>
        <v>0</v>
      </c>
      <c r="AA153" s="143">
        <f>(((BetTable[[#This Row],[O2]]-1)*BetTable[[#This Row],[S2]])*(1-(BetTable[[#This Row],[C% 2]]))+BetTable[[#This Row],[S2]])</f>
        <v>0</v>
      </c>
      <c r="AB153" s="143">
        <f>(((BetTable[[#This Row],[O3]]-1)*BetTable[[#This Row],[S3]])*(1-(BetTable[[#This Row],[C% 3]]))+BetTable[[#This Row],[S3]])</f>
        <v>0</v>
      </c>
      <c r="AC153" s="147" t="str">
        <f>IFERROR(IF(BetTable[[#This Row],[Sp]]="","",BetTable[[#This Row],[R1]]/BetTable[[#This Row],[TS]]),"")</f>
        <v/>
      </c>
      <c r="AD153" s="147" t="str">
        <f>IF(BetTable[[#This Row],[O2]]="","",BetTable[[#This Row],[R2]]/BetTable[[#This Row],[TS]])</f>
        <v/>
      </c>
      <c r="AE153" s="147" t="str">
        <f>IFERROR(IF(BetTable[[#This Row],[Sp]]="","",BetTable[[#This Row],[R3]]/BetTable[[#This Row],[TS]]),"")</f>
        <v/>
      </c>
      <c r="AF153" s="147" t="str">
        <f>IFERROR(IF(BetTable[[#This Row],[Outcome1]]="","",BetTable[[#This Row],[AR]]/BetTable[[#This Row],[TS]]),"")</f>
        <v/>
      </c>
      <c r="AG15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3" s="57" t="e">
        <f>IF(BetTable[[#This Row],[Outcome1]]="",AJ152,BetTable[[#This Row],[AR]]+AJ152)</f>
        <v>#REF!</v>
      </c>
      <c r="AK153" s="39"/>
    </row>
    <row r="154" spans="1:37">
      <c r="A154" s="144"/>
      <c r="B154" s="39"/>
      <c r="C154" s="40"/>
      <c r="D154" s="40"/>
      <c r="E154" s="40"/>
      <c r="F154" s="152"/>
      <c r="G154" s="152"/>
      <c r="H154" s="152"/>
      <c r="I154" s="39"/>
      <c r="J154" s="54"/>
      <c r="K154" s="54"/>
      <c r="L154" s="54"/>
      <c r="M154" s="57"/>
      <c r="N154" s="57"/>
      <c r="O154" s="57"/>
      <c r="P154" s="55"/>
      <c r="Q154" s="55"/>
      <c r="R154" s="55"/>
      <c r="S154" s="146" t="str">
        <f>IF(BetTable[[#This Row],[Sp]]="","",BetTable[[#This Row],[S1]]+BetTable[[#This Row],[S2]]+BetTable[[#This Row],[S3]])</f>
        <v/>
      </c>
      <c r="T154" s="143" t="str">
        <f>IF(BetTable[[#This Row],[O1]]="","",(BetTable[[#This Row],[WBA1-Commission]])-BetTable[[#This Row],[TS]])</f>
        <v/>
      </c>
      <c r="U154" s="143" t="str">
        <f>IF(BetTable[[#This Row],[O2]]="","",(BetTable[[#This Row],[WBA2-Commission]])-BetTable[[#This Row],[TS]])</f>
        <v/>
      </c>
      <c r="V154" s="143" t="str">
        <f>IF(BetTable[[#This Row],[O3]]="","",(BetTable[[#This Row],[WBA3-Commission]])-BetTable[[#This Row],[TS]])</f>
        <v/>
      </c>
      <c r="W154" s="143">
        <f>IF(NOT(ISBLANK(BetTable[[#This Row],[B1]])),1,0)+IF(NOT(ISBLANK(BetTable[[#This Row],[B2]])),1,0)+IF(NOT(ISBLANK(BetTable[[#This Row],[B3]])),1,0)</f>
        <v>0</v>
      </c>
      <c r="X154" s="143" t="str">
        <f>IF(BetTable[[#This Row],[Outcome1]]="","",BetTable[[#This Row],[WBA1]]+BetTable[[#This Row],[WBA2]]+BetTable[[#This Row],[WBA3]]-BetTable[[#This Row],[TS]])</f>
        <v/>
      </c>
      <c r="Y154" s="143" t="str">
        <f>IF(BetTable[[#This Row],[AR]]="","",BetTable[[#This Row],[AR]]/BetTable[[#This Row],[NumBookies]])</f>
        <v/>
      </c>
      <c r="Z154" s="143">
        <f>(((BetTable[[#This Row],[O1]]-1)*BetTable[[#This Row],[S1]])*(1-(BetTable[[#This Row],[C% 1]]))+BetTable[[#This Row],[S1]])</f>
        <v>0</v>
      </c>
      <c r="AA154" s="143">
        <f>(((BetTable[[#This Row],[O2]]-1)*BetTable[[#This Row],[S2]])*(1-(BetTable[[#This Row],[C% 2]]))+BetTable[[#This Row],[S2]])</f>
        <v>0</v>
      </c>
      <c r="AB154" s="143">
        <f>(((BetTable[[#This Row],[O3]]-1)*BetTable[[#This Row],[S3]])*(1-(BetTable[[#This Row],[C% 3]]))+BetTable[[#This Row],[S3]])</f>
        <v>0</v>
      </c>
      <c r="AC154" s="147" t="str">
        <f>IFERROR(IF(BetTable[[#This Row],[Sp]]="","",BetTable[[#This Row],[R1]]/BetTable[[#This Row],[TS]]),"")</f>
        <v/>
      </c>
      <c r="AD154" s="147" t="str">
        <f>IF(BetTable[[#This Row],[O2]]="","",BetTable[[#This Row],[R2]]/BetTable[[#This Row],[TS]])</f>
        <v/>
      </c>
      <c r="AE154" s="147" t="str">
        <f>IFERROR(IF(BetTable[[#This Row],[Sp]]="","",BetTable[[#This Row],[R3]]/BetTable[[#This Row],[TS]]),"")</f>
        <v/>
      </c>
      <c r="AF154" s="147" t="str">
        <f>IFERROR(IF(BetTable[[#This Row],[Outcome1]]="","",BetTable[[#This Row],[AR]]/BetTable[[#This Row],[TS]]),"")</f>
        <v/>
      </c>
      <c r="AG15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4" s="57" t="e">
        <f>IF(BetTable[[#This Row],[Outcome1]]="",AJ153,BetTable[[#This Row],[AR]]+AJ153)</f>
        <v>#REF!</v>
      </c>
      <c r="AK154" s="39"/>
    </row>
    <row r="155" spans="1:37">
      <c r="A155" s="144"/>
      <c r="B155" s="39"/>
      <c r="C155" s="40"/>
      <c r="D155" s="40"/>
      <c r="E155" s="40"/>
      <c r="F155" s="152"/>
      <c r="G155" s="152"/>
      <c r="H155" s="152"/>
      <c r="I155" s="39"/>
      <c r="J155" s="54"/>
      <c r="K155" s="54"/>
      <c r="L155" s="54"/>
      <c r="M155" s="57"/>
      <c r="N155" s="57"/>
      <c r="O155" s="57"/>
      <c r="P155" s="55"/>
      <c r="Q155" s="55"/>
      <c r="R155" s="55"/>
      <c r="S155" s="146" t="str">
        <f>IF(BetTable[[#This Row],[Sp]]="","",BetTable[[#This Row],[S1]]+BetTable[[#This Row],[S2]]+BetTable[[#This Row],[S3]])</f>
        <v/>
      </c>
      <c r="T155" s="143" t="str">
        <f>IF(BetTable[[#This Row],[O1]]="","",(BetTable[[#This Row],[WBA1-Commission]])-BetTable[[#This Row],[TS]])</f>
        <v/>
      </c>
      <c r="U155" s="143" t="str">
        <f>IF(BetTable[[#This Row],[O2]]="","",(BetTable[[#This Row],[WBA2-Commission]])-BetTable[[#This Row],[TS]])</f>
        <v/>
      </c>
      <c r="V155" s="143" t="str">
        <f>IF(BetTable[[#This Row],[O3]]="","",(BetTable[[#This Row],[WBA3-Commission]])-BetTable[[#This Row],[TS]])</f>
        <v/>
      </c>
      <c r="W155" s="143">
        <f>IF(NOT(ISBLANK(BetTable[[#This Row],[B1]])),1,0)+IF(NOT(ISBLANK(BetTable[[#This Row],[B2]])),1,0)+IF(NOT(ISBLANK(BetTable[[#This Row],[B3]])),1,0)</f>
        <v>0</v>
      </c>
      <c r="X155" s="143" t="str">
        <f>IF(BetTable[[#This Row],[Outcome1]]="","",BetTable[[#This Row],[WBA1]]+BetTable[[#This Row],[WBA2]]+BetTable[[#This Row],[WBA3]]-BetTable[[#This Row],[TS]])</f>
        <v/>
      </c>
      <c r="Y155" s="143" t="str">
        <f>IF(BetTable[[#This Row],[AR]]="","",BetTable[[#This Row],[AR]]/BetTable[[#This Row],[NumBookies]])</f>
        <v/>
      </c>
      <c r="Z155" s="143">
        <f>(((BetTable[[#This Row],[O1]]-1)*BetTable[[#This Row],[S1]])*(1-(BetTable[[#This Row],[C% 1]]))+BetTable[[#This Row],[S1]])</f>
        <v>0</v>
      </c>
      <c r="AA155" s="143">
        <f>(((BetTable[[#This Row],[O2]]-1)*BetTable[[#This Row],[S2]])*(1-(BetTable[[#This Row],[C% 2]]))+BetTable[[#This Row],[S2]])</f>
        <v>0</v>
      </c>
      <c r="AB155" s="143">
        <f>(((BetTable[[#This Row],[O3]]-1)*BetTable[[#This Row],[S3]])*(1-(BetTable[[#This Row],[C% 3]]))+BetTable[[#This Row],[S3]])</f>
        <v>0</v>
      </c>
      <c r="AC155" s="147" t="str">
        <f>IFERROR(IF(BetTable[[#This Row],[Sp]]="","",BetTable[[#This Row],[R1]]/BetTable[[#This Row],[TS]]),"")</f>
        <v/>
      </c>
      <c r="AD155" s="147" t="str">
        <f>IF(BetTable[[#This Row],[O2]]="","",BetTable[[#This Row],[R2]]/BetTable[[#This Row],[TS]])</f>
        <v/>
      </c>
      <c r="AE155" s="147" t="str">
        <f>IFERROR(IF(BetTable[[#This Row],[Sp]]="","",BetTable[[#This Row],[R3]]/BetTable[[#This Row],[TS]]),"")</f>
        <v/>
      </c>
      <c r="AF155" s="147" t="str">
        <f>IFERROR(IF(BetTable[[#This Row],[Outcome1]]="","",BetTable[[#This Row],[AR]]/BetTable[[#This Row],[TS]]),"")</f>
        <v/>
      </c>
      <c r="AG15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5" s="57" t="e">
        <f>IF(BetTable[[#This Row],[Outcome1]]="",AJ154,BetTable[[#This Row],[AR]]+AJ154)</f>
        <v>#REF!</v>
      </c>
      <c r="AK155" s="39"/>
    </row>
    <row r="156" spans="1:37">
      <c r="A156" s="144"/>
      <c r="B156" s="39"/>
      <c r="C156" s="40"/>
      <c r="D156" s="40"/>
      <c r="E156" s="40"/>
      <c r="F156" s="152"/>
      <c r="G156" s="152"/>
      <c r="H156" s="152"/>
      <c r="I156" s="39"/>
      <c r="J156" s="54"/>
      <c r="K156" s="54"/>
      <c r="L156" s="54"/>
      <c r="M156" s="57"/>
      <c r="N156" s="57"/>
      <c r="O156" s="57"/>
      <c r="P156" s="55"/>
      <c r="Q156" s="55"/>
      <c r="R156" s="55"/>
      <c r="S156" s="146" t="str">
        <f>IF(BetTable[[#This Row],[Sp]]="","",BetTable[[#This Row],[S1]]+BetTable[[#This Row],[S2]]+BetTable[[#This Row],[S3]])</f>
        <v/>
      </c>
      <c r="T156" s="143" t="str">
        <f>IF(BetTable[[#This Row],[O1]]="","",(BetTable[[#This Row],[WBA1-Commission]])-BetTable[[#This Row],[TS]])</f>
        <v/>
      </c>
      <c r="U156" s="143" t="str">
        <f>IF(BetTable[[#This Row],[O2]]="","",(BetTable[[#This Row],[WBA2-Commission]])-BetTable[[#This Row],[TS]])</f>
        <v/>
      </c>
      <c r="V156" s="143" t="str">
        <f>IF(BetTable[[#This Row],[O3]]="","",(BetTable[[#This Row],[WBA3-Commission]])-BetTable[[#This Row],[TS]])</f>
        <v/>
      </c>
      <c r="W156" s="143">
        <f>IF(NOT(ISBLANK(BetTable[[#This Row],[B1]])),1,0)+IF(NOT(ISBLANK(BetTable[[#This Row],[B2]])),1,0)+IF(NOT(ISBLANK(BetTable[[#This Row],[B3]])),1,0)</f>
        <v>0</v>
      </c>
      <c r="X156" s="143" t="str">
        <f>IF(BetTable[[#This Row],[Outcome1]]="","",BetTable[[#This Row],[WBA1]]+BetTable[[#This Row],[WBA2]]+BetTable[[#This Row],[WBA3]]-BetTable[[#This Row],[TS]])</f>
        <v/>
      </c>
      <c r="Y156" s="143" t="str">
        <f>IF(BetTable[[#This Row],[AR]]="","",BetTable[[#This Row],[AR]]/BetTable[[#This Row],[NumBookies]])</f>
        <v/>
      </c>
      <c r="Z156" s="143">
        <f>(((BetTable[[#This Row],[O1]]-1)*BetTable[[#This Row],[S1]])*(1-(BetTable[[#This Row],[C% 1]]))+BetTable[[#This Row],[S1]])</f>
        <v>0</v>
      </c>
      <c r="AA156" s="143">
        <f>(((BetTable[[#This Row],[O2]]-1)*BetTable[[#This Row],[S2]])*(1-(BetTable[[#This Row],[C% 2]]))+BetTable[[#This Row],[S2]])</f>
        <v>0</v>
      </c>
      <c r="AB156" s="143">
        <f>(((BetTable[[#This Row],[O3]]-1)*BetTable[[#This Row],[S3]])*(1-(BetTable[[#This Row],[C% 3]]))+BetTable[[#This Row],[S3]])</f>
        <v>0</v>
      </c>
      <c r="AC156" s="147" t="str">
        <f>IFERROR(IF(BetTable[[#This Row],[Sp]]="","",BetTable[[#This Row],[R1]]/BetTable[[#This Row],[TS]]),"")</f>
        <v/>
      </c>
      <c r="AD156" s="147" t="str">
        <f>IF(BetTable[[#This Row],[O2]]="","",BetTable[[#This Row],[R2]]/BetTable[[#This Row],[TS]])</f>
        <v/>
      </c>
      <c r="AE156" s="147" t="str">
        <f>IFERROR(IF(BetTable[[#This Row],[Sp]]="","",BetTable[[#This Row],[R3]]/BetTable[[#This Row],[TS]]),"")</f>
        <v/>
      </c>
      <c r="AF156" s="147" t="str">
        <f>IFERROR(IF(BetTable[[#This Row],[Outcome1]]="","",BetTable[[#This Row],[AR]]/BetTable[[#This Row],[TS]]),"")</f>
        <v/>
      </c>
      <c r="AG15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6" s="57" t="e">
        <f>IF(BetTable[[#This Row],[Outcome1]]="",AJ155,BetTable[[#This Row],[AR]]+AJ155)</f>
        <v>#REF!</v>
      </c>
      <c r="AK156" s="39"/>
    </row>
    <row r="157" spans="1:37">
      <c r="A157" s="144"/>
      <c r="B157" s="39"/>
      <c r="C157" s="40"/>
      <c r="D157" s="40"/>
      <c r="E157" s="40"/>
      <c r="F157" s="152"/>
      <c r="G157" s="152"/>
      <c r="H157" s="152"/>
      <c r="I157" s="39"/>
      <c r="J157" s="54"/>
      <c r="K157" s="54"/>
      <c r="L157" s="54"/>
      <c r="M157" s="57"/>
      <c r="N157" s="57"/>
      <c r="O157" s="57"/>
      <c r="P157" s="55"/>
      <c r="Q157" s="55"/>
      <c r="R157" s="55"/>
      <c r="S157" s="146" t="str">
        <f>IF(BetTable[[#This Row],[Sp]]="","",BetTable[[#This Row],[S1]]+BetTable[[#This Row],[S2]]+BetTable[[#This Row],[S3]])</f>
        <v/>
      </c>
      <c r="T157" s="143" t="str">
        <f>IF(BetTable[[#This Row],[O1]]="","",(BetTable[[#This Row],[WBA1-Commission]])-BetTable[[#This Row],[TS]])</f>
        <v/>
      </c>
      <c r="U157" s="143" t="str">
        <f>IF(BetTable[[#This Row],[O2]]="","",(BetTable[[#This Row],[WBA2-Commission]])-BetTable[[#This Row],[TS]])</f>
        <v/>
      </c>
      <c r="V157" s="143" t="str">
        <f>IF(BetTable[[#This Row],[O3]]="","",(BetTable[[#This Row],[WBA3-Commission]])-BetTable[[#This Row],[TS]])</f>
        <v/>
      </c>
      <c r="W157" s="143">
        <f>IF(NOT(ISBLANK(BetTable[[#This Row],[B1]])),1,0)+IF(NOT(ISBLANK(BetTable[[#This Row],[B2]])),1,0)+IF(NOT(ISBLANK(BetTable[[#This Row],[B3]])),1,0)</f>
        <v>0</v>
      </c>
      <c r="X157" s="143" t="str">
        <f>IF(BetTable[[#This Row],[Outcome1]]="","",BetTable[[#This Row],[WBA1]]+BetTable[[#This Row],[WBA2]]+BetTable[[#This Row],[WBA3]]-BetTable[[#This Row],[TS]])</f>
        <v/>
      </c>
      <c r="Y157" s="143" t="str">
        <f>IF(BetTable[[#This Row],[AR]]="","",BetTable[[#This Row],[AR]]/BetTable[[#This Row],[NumBookies]])</f>
        <v/>
      </c>
      <c r="Z157" s="143">
        <f>(((BetTable[[#This Row],[O1]]-1)*BetTable[[#This Row],[S1]])*(1-(BetTable[[#This Row],[C% 1]]))+BetTable[[#This Row],[S1]])</f>
        <v>0</v>
      </c>
      <c r="AA157" s="143">
        <f>(((BetTable[[#This Row],[O2]]-1)*BetTable[[#This Row],[S2]])*(1-(BetTable[[#This Row],[C% 2]]))+BetTable[[#This Row],[S2]])</f>
        <v>0</v>
      </c>
      <c r="AB157" s="143">
        <f>(((BetTable[[#This Row],[O3]]-1)*BetTable[[#This Row],[S3]])*(1-(BetTable[[#This Row],[C% 3]]))+BetTable[[#This Row],[S3]])</f>
        <v>0</v>
      </c>
      <c r="AC157" s="147" t="str">
        <f>IFERROR(IF(BetTable[[#This Row],[Sp]]="","",BetTable[[#This Row],[R1]]/BetTable[[#This Row],[TS]]),"")</f>
        <v/>
      </c>
      <c r="AD157" s="147" t="str">
        <f>IF(BetTable[[#This Row],[O2]]="","",BetTable[[#This Row],[R2]]/BetTable[[#This Row],[TS]])</f>
        <v/>
      </c>
      <c r="AE157" s="147" t="str">
        <f>IFERROR(IF(BetTable[[#This Row],[Sp]]="","",BetTable[[#This Row],[R3]]/BetTable[[#This Row],[TS]]),"")</f>
        <v/>
      </c>
      <c r="AF157" s="147" t="str">
        <f>IFERROR(IF(BetTable[[#This Row],[Outcome1]]="","",BetTable[[#This Row],[AR]]/BetTable[[#This Row],[TS]]),"")</f>
        <v/>
      </c>
      <c r="AG15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7" s="57" t="e">
        <f>IF(BetTable[[#This Row],[Outcome1]]="",AJ156,BetTable[[#This Row],[AR]]+AJ156)</f>
        <v>#REF!</v>
      </c>
      <c r="AK157" s="39"/>
    </row>
    <row r="158" spans="1:37">
      <c r="A158" s="144"/>
      <c r="B158" s="39"/>
      <c r="C158" s="40"/>
      <c r="D158" s="40"/>
      <c r="E158" s="40"/>
      <c r="F158" s="152"/>
      <c r="G158" s="152"/>
      <c r="H158" s="152"/>
      <c r="I158" s="39"/>
      <c r="J158" s="54"/>
      <c r="K158" s="54"/>
      <c r="L158" s="54"/>
      <c r="M158" s="57"/>
      <c r="N158" s="57"/>
      <c r="O158" s="57"/>
      <c r="P158" s="55"/>
      <c r="Q158" s="55"/>
      <c r="R158" s="55"/>
      <c r="S158" s="146" t="str">
        <f>IF(BetTable[[#This Row],[Sp]]="","",BetTable[[#This Row],[S1]]+BetTable[[#This Row],[S2]]+BetTable[[#This Row],[S3]])</f>
        <v/>
      </c>
      <c r="T158" s="143" t="str">
        <f>IF(BetTable[[#This Row],[O1]]="","",(BetTable[[#This Row],[WBA1-Commission]])-BetTable[[#This Row],[TS]])</f>
        <v/>
      </c>
      <c r="U158" s="143" t="str">
        <f>IF(BetTable[[#This Row],[O2]]="","",(BetTable[[#This Row],[WBA2-Commission]])-BetTable[[#This Row],[TS]])</f>
        <v/>
      </c>
      <c r="V158" s="143" t="str">
        <f>IF(BetTable[[#This Row],[O3]]="","",(BetTable[[#This Row],[WBA3-Commission]])-BetTable[[#This Row],[TS]])</f>
        <v/>
      </c>
      <c r="W158" s="143">
        <f>IF(NOT(ISBLANK(BetTable[[#This Row],[B1]])),1,0)+IF(NOT(ISBLANK(BetTable[[#This Row],[B2]])),1,0)+IF(NOT(ISBLANK(BetTable[[#This Row],[B3]])),1,0)</f>
        <v>0</v>
      </c>
      <c r="X158" s="143" t="str">
        <f>IF(BetTable[[#This Row],[Outcome1]]="","",BetTable[[#This Row],[WBA1]]+BetTable[[#This Row],[WBA2]]+BetTable[[#This Row],[WBA3]]-BetTable[[#This Row],[TS]])</f>
        <v/>
      </c>
      <c r="Y158" s="143" t="str">
        <f>IF(BetTable[[#This Row],[AR]]="","",BetTable[[#This Row],[AR]]/BetTable[[#This Row],[NumBookies]])</f>
        <v/>
      </c>
      <c r="Z158" s="143">
        <f>(((BetTable[[#This Row],[O1]]-1)*BetTable[[#This Row],[S1]])*(1-(BetTable[[#This Row],[C% 1]]))+BetTable[[#This Row],[S1]])</f>
        <v>0</v>
      </c>
      <c r="AA158" s="143">
        <f>(((BetTable[[#This Row],[O2]]-1)*BetTable[[#This Row],[S2]])*(1-(BetTable[[#This Row],[C% 2]]))+BetTable[[#This Row],[S2]])</f>
        <v>0</v>
      </c>
      <c r="AB158" s="143">
        <f>(((BetTable[[#This Row],[O3]]-1)*BetTable[[#This Row],[S3]])*(1-(BetTable[[#This Row],[C% 3]]))+BetTable[[#This Row],[S3]])</f>
        <v>0</v>
      </c>
      <c r="AC158" s="147" t="str">
        <f>IFERROR(IF(BetTable[[#This Row],[Sp]]="","",BetTable[[#This Row],[R1]]/BetTable[[#This Row],[TS]]),"")</f>
        <v/>
      </c>
      <c r="AD158" s="147" t="str">
        <f>IF(BetTable[[#This Row],[O2]]="","",BetTable[[#This Row],[R2]]/BetTable[[#This Row],[TS]])</f>
        <v/>
      </c>
      <c r="AE158" s="147" t="str">
        <f>IFERROR(IF(BetTable[[#This Row],[Sp]]="","",BetTable[[#This Row],[R3]]/BetTable[[#This Row],[TS]]),"")</f>
        <v/>
      </c>
      <c r="AF158" s="147" t="str">
        <f>IFERROR(IF(BetTable[[#This Row],[Outcome1]]="","",BetTable[[#This Row],[AR]]/BetTable[[#This Row],[TS]]),"")</f>
        <v/>
      </c>
      <c r="AG15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8" s="57" t="e">
        <f>IF(BetTable[[#This Row],[Outcome1]]="",AJ157,BetTable[[#This Row],[AR]]+AJ157)</f>
        <v>#REF!</v>
      </c>
      <c r="AK158" s="39"/>
    </row>
    <row r="159" spans="1:37">
      <c r="A159" s="144"/>
      <c r="B159" s="39"/>
      <c r="C159" s="40"/>
      <c r="D159" s="40"/>
      <c r="E159" s="40"/>
      <c r="F159" s="152"/>
      <c r="G159" s="152"/>
      <c r="H159" s="152"/>
      <c r="I159" s="39"/>
      <c r="J159" s="54"/>
      <c r="K159" s="54"/>
      <c r="L159" s="54"/>
      <c r="M159" s="57"/>
      <c r="N159" s="57"/>
      <c r="O159" s="57"/>
      <c r="P159" s="55"/>
      <c r="Q159" s="55"/>
      <c r="R159" s="55"/>
      <c r="S159" s="146" t="str">
        <f>IF(BetTable[[#This Row],[Sp]]="","",BetTable[[#This Row],[S1]]+BetTable[[#This Row],[S2]]+BetTable[[#This Row],[S3]])</f>
        <v/>
      </c>
      <c r="T159" s="143" t="str">
        <f>IF(BetTable[[#This Row],[O1]]="","",(BetTable[[#This Row],[WBA1-Commission]])-BetTable[[#This Row],[TS]])</f>
        <v/>
      </c>
      <c r="U159" s="143" t="str">
        <f>IF(BetTable[[#This Row],[O2]]="","",(BetTable[[#This Row],[WBA2-Commission]])-BetTable[[#This Row],[TS]])</f>
        <v/>
      </c>
      <c r="V159" s="143" t="str">
        <f>IF(BetTable[[#This Row],[O3]]="","",(BetTable[[#This Row],[WBA3-Commission]])-BetTable[[#This Row],[TS]])</f>
        <v/>
      </c>
      <c r="W159" s="143">
        <f>IF(NOT(ISBLANK(BetTable[[#This Row],[B1]])),1,0)+IF(NOT(ISBLANK(BetTable[[#This Row],[B2]])),1,0)+IF(NOT(ISBLANK(BetTable[[#This Row],[B3]])),1,0)</f>
        <v>0</v>
      </c>
      <c r="X159" s="143" t="str">
        <f>IF(BetTable[[#This Row],[Outcome1]]="","",BetTable[[#This Row],[WBA1]]+BetTable[[#This Row],[WBA2]]+BetTable[[#This Row],[WBA3]]-BetTable[[#This Row],[TS]])</f>
        <v/>
      </c>
      <c r="Y159" s="143" t="str">
        <f>IF(BetTable[[#This Row],[AR]]="","",BetTable[[#This Row],[AR]]/BetTable[[#This Row],[NumBookies]])</f>
        <v/>
      </c>
      <c r="Z159" s="143">
        <f>(((BetTable[[#This Row],[O1]]-1)*BetTable[[#This Row],[S1]])*(1-(BetTable[[#This Row],[C% 1]]))+BetTable[[#This Row],[S1]])</f>
        <v>0</v>
      </c>
      <c r="AA159" s="143">
        <f>(((BetTable[[#This Row],[O2]]-1)*BetTable[[#This Row],[S2]])*(1-(BetTable[[#This Row],[C% 2]]))+BetTable[[#This Row],[S2]])</f>
        <v>0</v>
      </c>
      <c r="AB159" s="143">
        <f>(((BetTable[[#This Row],[O3]]-1)*BetTable[[#This Row],[S3]])*(1-(BetTable[[#This Row],[C% 3]]))+BetTable[[#This Row],[S3]])</f>
        <v>0</v>
      </c>
      <c r="AC159" s="147" t="str">
        <f>IFERROR(IF(BetTable[[#This Row],[Sp]]="","",BetTable[[#This Row],[R1]]/BetTable[[#This Row],[TS]]),"")</f>
        <v/>
      </c>
      <c r="AD159" s="147" t="str">
        <f>IF(BetTable[[#This Row],[O2]]="","",BetTable[[#This Row],[R2]]/BetTable[[#This Row],[TS]])</f>
        <v/>
      </c>
      <c r="AE159" s="147" t="str">
        <f>IFERROR(IF(BetTable[[#This Row],[Sp]]="","",BetTable[[#This Row],[R3]]/BetTable[[#This Row],[TS]]),"")</f>
        <v/>
      </c>
      <c r="AF159" s="147" t="str">
        <f>IFERROR(IF(BetTable[[#This Row],[Outcome1]]="","",BetTable[[#This Row],[AR]]/BetTable[[#This Row],[TS]]),"")</f>
        <v/>
      </c>
      <c r="AG15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5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5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59" s="57" t="e">
        <f>IF(BetTable[[#This Row],[Outcome1]]="",AJ158,BetTable[[#This Row],[AR]]+AJ158)</f>
        <v>#REF!</v>
      </c>
      <c r="AK159" s="39"/>
    </row>
    <row r="160" spans="1:37">
      <c r="A160" s="144"/>
      <c r="B160" s="39"/>
      <c r="C160" s="40"/>
      <c r="D160" s="40"/>
      <c r="E160" s="40"/>
      <c r="F160" s="152"/>
      <c r="G160" s="152"/>
      <c r="H160" s="152"/>
      <c r="I160" s="39"/>
      <c r="J160" s="54"/>
      <c r="K160" s="54"/>
      <c r="L160" s="54"/>
      <c r="M160" s="57"/>
      <c r="N160" s="57"/>
      <c r="O160" s="57"/>
      <c r="P160" s="55"/>
      <c r="Q160" s="55"/>
      <c r="R160" s="55"/>
      <c r="S160" s="146" t="str">
        <f>IF(BetTable[[#This Row],[Sp]]="","",BetTable[[#This Row],[S1]]+BetTable[[#This Row],[S2]]+BetTable[[#This Row],[S3]])</f>
        <v/>
      </c>
      <c r="T160" s="143" t="str">
        <f>IF(BetTable[[#This Row],[O1]]="","",(BetTable[[#This Row],[WBA1-Commission]])-BetTable[[#This Row],[TS]])</f>
        <v/>
      </c>
      <c r="U160" s="143" t="str">
        <f>IF(BetTable[[#This Row],[O2]]="","",(BetTable[[#This Row],[WBA2-Commission]])-BetTable[[#This Row],[TS]])</f>
        <v/>
      </c>
      <c r="V160" s="143" t="str">
        <f>IF(BetTable[[#This Row],[O3]]="","",(BetTable[[#This Row],[WBA3-Commission]])-BetTable[[#This Row],[TS]])</f>
        <v/>
      </c>
      <c r="W160" s="143">
        <f>IF(NOT(ISBLANK(BetTable[[#This Row],[B1]])),1,0)+IF(NOT(ISBLANK(BetTable[[#This Row],[B2]])),1,0)+IF(NOT(ISBLANK(BetTable[[#This Row],[B3]])),1,0)</f>
        <v>0</v>
      </c>
      <c r="X160" s="143" t="str">
        <f>IF(BetTable[[#This Row],[Outcome1]]="","",BetTable[[#This Row],[WBA1]]+BetTable[[#This Row],[WBA2]]+BetTable[[#This Row],[WBA3]]-BetTable[[#This Row],[TS]])</f>
        <v/>
      </c>
      <c r="Y160" s="143" t="str">
        <f>IF(BetTable[[#This Row],[AR]]="","",BetTable[[#This Row],[AR]]/BetTable[[#This Row],[NumBookies]])</f>
        <v/>
      </c>
      <c r="Z160" s="143">
        <f>(((BetTable[[#This Row],[O1]]-1)*BetTable[[#This Row],[S1]])*(1-(BetTable[[#This Row],[C% 1]]))+BetTable[[#This Row],[S1]])</f>
        <v>0</v>
      </c>
      <c r="AA160" s="143">
        <f>(((BetTable[[#This Row],[O2]]-1)*BetTable[[#This Row],[S2]])*(1-(BetTable[[#This Row],[C% 2]]))+BetTable[[#This Row],[S2]])</f>
        <v>0</v>
      </c>
      <c r="AB160" s="143">
        <f>(((BetTable[[#This Row],[O3]]-1)*BetTable[[#This Row],[S3]])*(1-(BetTable[[#This Row],[C% 3]]))+BetTable[[#This Row],[S3]])</f>
        <v>0</v>
      </c>
      <c r="AC160" s="147" t="str">
        <f>IFERROR(IF(BetTable[[#This Row],[Sp]]="","",BetTable[[#This Row],[R1]]/BetTable[[#This Row],[TS]]),"")</f>
        <v/>
      </c>
      <c r="AD160" s="147" t="str">
        <f>IF(BetTable[[#This Row],[O2]]="","",BetTable[[#This Row],[R2]]/BetTable[[#This Row],[TS]])</f>
        <v/>
      </c>
      <c r="AE160" s="147" t="str">
        <f>IFERROR(IF(BetTable[[#This Row],[Sp]]="","",BetTable[[#This Row],[R3]]/BetTable[[#This Row],[TS]]),"")</f>
        <v/>
      </c>
      <c r="AF160" s="147" t="str">
        <f>IFERROR(IF(BetTable[[#This Row],[Outcome1]]="","",BetTable[[#This Row],[AR]]/BetTable[[#This Row],[TS]]),"")</f>
        <v/>
      </c>
      <c r="AG16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0" s="57" t="e">
        <f>IF(BetTable[[#This Row],[Outcome1]]="",AJ159,BetTable[[#This Row],[AR]]+AJ159)</f>
        <v>#REF!</v>
      </c>
      <c r="AK160" s="39"/>
    </row>
    <row r="161" spans="1:37">
      <c r="A161" s="144"/>
      <c r="B161" s="39"/>
      <c r="C161" s="40"/>
      <c r="D161" s="40"/>
      <c r="E161" s="40"/>
      <c r="F161" s="152"/>
      <c r="G161" s="152"/>
      <c r="H161" s="152"/>
      <c r="I161" s="39"/>
      <c r="J161" s="54"/>
      <c r="K161" s="54"/>
      <c r="L161" s="54"/>
      <c r="M161" s="57"/>
      <c r="N161" s="57"/>
      <c r="O161" s="57"/>
      <c r="P161" s="55"/>
      <c r="Q161" s="55"/>
      <c r="R161" s="55"/>
      <c r="S161" s="146" t="str">
        <f>IF(BetTable[[#This Row],[Sp]]="","",BetTable[[#This Row],[S1]]+BetTable[[#This Row],[S2]]+BetTable[[#This Row],[S3]])</f>
        <v/>
      </c>
      <c r="T161" s="143" t="str">
        <f>IF(BetTable[[#This Row],[O1]]="","",(BetTable[[#This Row],[WBA1-Commission]])-BetTable[[#This Row],[TS]])</f>
        <v/>
      </c>
      <c r="U161" s="143" t="str">
        <f>IF(BetTable[[#This Row],[O2]]="","",(BetTable[[#This Row],[WBA2-Commission]])-BetTable[[#This Row],[TS]])</f>
        <v/>
      </c>
      <c r="V161" s="143" t="str">
        <f>IF(BetTable[[#This Row],[O3]]="","",(BetTable[[#This Row],[WBA3-Commission]])-BetTable[[#This Row],[TS]])</f>
        <v/>
      </c>
      <c r="W161" s="143">
        <f>IF(NOT(ISBLANK(BetTable[[#This Row],[B1]])),1,0)+IF(NOT(ISBLANK(BetTable[[#This Row],[B2]])),1,0)+IF(NOT(ISBLANK(BetTable[[#This Row],[B3]])),1,0)</f>
        <v>0</v>
      </c>
      <c r="X161" s="143" t="str">
        <f>IF(BetTable[[#This Row],[Outcome1]]="","",BetTable[[#This Row],[WBA1]]+BetTable[[#This Row],[WBA2]]+BetTable[[#This Row],[WBA3]]-BetTable[[#This Row],[TS]])</f>
        <v/>
      </c>
      <c r="Y161" s="143" t="str">
        <f>IF(BetTable[[#This Row],[AR]]="","",BetTable[[#This Row],[AR]]/BetTable[[#This Row],[NumBookies]])</f>
        <v/>
      </c>
      <c r="Z161" s="143">
        <f>(((BetTable[[#This Row],[O1]]-1)*BetTable[[#This Row],[S1]])*(1-(BetTable[[#This Row],[C% 1]]))+BetTable[[#This Row],[S1]])</f>
        <v>0</v>
      </c>
      <c r="AA161" s="143">
        <f>(((BetTable[[#This Row],[O2]]-1)*BetTable[[#This Row],[S2]])*(1-(BetTable[[#This Row],[C% 2]]))+BetTable[[#This Row],[S2]])</f>
        <v>0</v>
      </c>
      <c r="AB161" s="143">
        <f>(((BetTable[[#This Row],[O3]]-1)*BetTable[[#This Row],[S3]])*(1-(BetTable[[#This Row],[C% 3]]))+BetTable[[#This Row],[S3]])</f>
        <v>0</v>
      </c>
      <c r="AC161" s="147" t="str">
        <f>IFERROR(IF(BetTable[[#This Row],[Sp]]="","",BetTable[[#This Row],[R1]]/BetTable[[#This Row],[TS]]),"")</f>
        <v/>
      </c>
      <c r="AD161" s="147" t="str">
        <f>IF(BetTable[[#This Row],[O2]]="","",BetTable[[#This Row],[R2]]/BetTable[[#This Row],[TS]])</f>
        <v/>
      </c>
      <c r="AE161" s="147" t="str">
        <f>IFERROR(IF(BetTable[[#This Row],[Sp]]="","",BetTable[[#This Row],[R3]]/BetTable[[#This Row],[TS]]),"")</f>
        <v/>
      </c>
      <c r="AF161" s="147" t="str">
        <f>IFERROR(IF(BetTable[[#This Row],[Outcome1]]="","",BetTable[[#This Row],[AR]]/BetTable[[#This Row],[TS]]),"")</f>
        <v/>
      </c>
      <c r="AG16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1" s="57" t="e">
        <f>IF(BetTable[[#This Row],[Outcome1]]="",AJ160,BetTable[[#This Row],[AR]]+AJ160)</f>
        <v>#REF!</v>
      </c>
      <c r="AK161" s="39"/>
    </row>
    <row r="162" spans="1:37">
      <c r="A162" s="144"/>
      <c r="B162" s="39"/>
      <c r="C162" s="40"/>
      <c r="D162" s="40"/>
      <c r="E162" s="40"/>
      <c r="F162" s="152"/>
      <c r="G162" s="152"/>
      <c r="H162" s="152"/>
      <c r="I162" s="39"/>
      <c r="J162" s="54"/>
      <c r="K162" s="54"/>
      <c r="L162" s="54"/>
      <c r="M162" s="57"/>
      <c r="N162" s="57"/>
      <c r="O162" s="57"/>
      <c r="P162" s="55"/>
      <c r="Q162" s="55"/>
      <c r="R162" s="55"/>
      <c r="S162" s="146" t="str">
        <f>IF(BetTable[[#This Row],[Sp]]="","",BetTable[[#This Row],[S1]]+BetTable[[#This Row],[S2]]+BetTable[[#This Row],[S3]])</f>
        <v/>
      </c>
      <c r="T162" s="143" t="str">
        <f>IF(BetTable[[#This Row],[O1]]="","",(BetTable[[#This Row],[WBA1-Commission]])-BetTable[[#This Row],[TS]])</f>
        <v/>
      </c>
      <c r="U162" s="143" t="str">
        <f>IF(BetTable[[#This Row],[O2]]="","",(BetTable[[#This Row],[WBA2-Commission]])-BetTable[[#This Row],[TS]])</f>
        <v/>
      </c>
      <c r="V162" s="143" t="str">
        <f>IF(BetTable[[#This Row],[O3]]="","",(BetTable[[#This Row],[WBA3-Commission]])-BetTable[[#This Row],[TS]])</f>
        <v/>
      </c>
      <c r="W162" s="143">
        <f>IF(NOT(ISBLANK(BetTable[[#This Row],[B1]])),1,0)+IF(NOT(ISBLANK(BetTable[[#This Row],[B2]])),1,0)+IF(NOT(ISBLANK(BetTable[[#This Row],[B3]])),1,0)</f>
        <v>0</v>
      </c>
      <c r="X162" s="143" t="str">
        <f>IF(BetTable[[#This Row],[Outcome1]]="","",BetTable[[#This Row],[WBA1]]+BetTable[[#This Row],[WBA2]]+BetTable[[#This Row],[WBA3]]-BetTable[[#This Row],[TS]])</f>
        <v/>
      </c>
      <c r="Y162" s="143" t="str">
        <f>IF(BetTable[[#This Row],[AR]]="","",BetTable[[#This Row],[AR]]/BetTable[[#This Row],[NumBookies]])</f>
        <v/>
      </c>
      <c r="Z162" s="143">
        <f>(((BetTable[[#This Row],[O1]]-1)*BetTable[[#This Row],[S1]])*(1-(BetTable[[#This Row],[C% 1]]))+BetTable[[#This Row],[S1]])</f>
        <v>0</v>
      </c>
      <c r="AA162" s="143">
        <f>(((BetTable[[#This Row],[O2]]-1)*BetTable[[#This Row],[S2]])*(1-(BetTable[[#This Row],[C% 2]]))+BetTable[[#This Row],[S2]])</f>
        <v>0</v>
      </c>
      <c r="AB162" s="143">
        <f>(((BetTable[[#This Row],[O3]]-1)*BetTable[[#This Row],[S3]])*(1-(BetTable[[#This Row],[C% 3]]))+BetTable[[#This Row],[S3]])</f>
        <v>0</v>
      </c>
      <c r="AC162" s="147" t="str">
        <f>IFERROR(IF(BetTable[[#This Row],[Sp]]="","",BetTable[[#This Row],[R1]]/BetTable[[#This Row],[TS]]),"")</f>
        <v/>
      </c>
      <c r="AD162" s="147" t="str">
        <f>IF(BetTable[[#This Row],[O2]]="","",BetTable[[#This Row],[R2]]/BetTable[[#This Row],[TS]])</f>
        <v/>
      </c>
      <c r="AE162" s="147" t="str">
        <f>IFERROR(IF(BetTable[[#This Row],[Sp]]="","",BetTable[[#This Row],[R3]]/BetTable[[#This Row],[TS]]),"")</f>
        <v/>
      </c>
      <c r="AF162" s="147" t="str">
        <f>IFERROR(IF(BetTable[[#This Row],[Outcome1]]="","",BetTable[[#This Row],[AR]]/BetTable[[#This Row],[TS]]),"")</f>
        <v/>
      </c>
      <c r="AG16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2" s="57" t="e">
        <f>IF(BetTable[[#This Row],[Outcome1]]="",AJ161,BetTable[[#This Row],[AR]]+AJ161)</f>
        <v>#REF!</v>
      </c>
      <c r="AK162" s="39"/>
    </row>
    <row r="163" spans="1:37">
      <c r="A163" s="144"/>
      <c r="B163" s="39"/>
      <c r="C163" s="40"/>
      <c r="D163" s="40"/>
      <c r="E163" s="40"/>
      <c r="F163" s="152"/>
      <c r="G163" s="152"/>
      <c r="H163" s="152"/>
      <c r="I163" s="39"/>
      <c r="J163" s="54"/>
      <c r="K163" s="54"/>
      <c r="L163" s="54"/>
      <c r="M163" s="57"/>
      <c r="N163" s="57"/>
      <c r="O163" s="57"/>
      <c r="P163" s="55"/>
      <c r="Q163" s="55"/>
      <c r="R163" s="55"/>
      <c r="S163" s="146" t="str">
        <f>IF(BetTable[[#This Row],[Sp]]="","",BetTable[[#This Row],[S1]]+BetTable[[#This Row],[S2]]+BetTable[[#This Row],[S3]])</f>
        <v/>
      </c>
      <c r="T163" s="143" t="str">
        <f>IF(BetTable[[#This Row],[O1]]="","",(BetTable[[#This Row],[WBA1-Commission]])-BetTable[[#This Row],[TS]])</f>
        <v/>
      </c>
      <c r="U163" s="143" t="str">
        <f>IF(BetTable[[#This Row],[O2]]="","",(BetTable[[#This Row],[WBA2-Commission]])-BetTable[[#This Row],[TS]])</f>
        <v/>
      </c>
      <c r="V163" s="143" t="str">
        <f>IF(BetTable[[#This Row],[O3]]="","",(BetTable[[#This Row],[WBA3-Commission]])-BetTable[[#This Row],[TS]])</f>
        <v/>
      </c>
      <c r="W163" s="143">
        <f>IF(NOT(ISBLANK(BetTable[[#This Row],[B1]])),1,0)+IF(NOT(ISBLANK(BetTable[[#This Row],[B2]])),1,0)+IF(NOT(ISBLANK(BetTable[[#This Row],[B3]])),1,0)</f>
        <v>0</v>
      </c>
      <c r="X163" s="143" t="str">
        <f>IF(BetTable[[#This Row],[Outcome1]]="","",BetTable[[#This Row],[WBA1]]+BetTable[[#This Row],[WBA2]]+BetTable[[#This Row],[WBA3]]-BetTable[[#This Row],[TS]])</f>
        <v/>
      </c>
      <c r="Y163" s="143" t="str">
        <f>IF(BetTable[[#This Row],[AR]]="","",BetTable[[#This Row],[AR]]/BetTable[[#This Row],[NumBookies]])</f>
        <v/>
      </c>
      <c r="Z163" s="143">
        <f>(((BetTable[[#This Row],[O1]]-1)*BetTable[[#This Row],[S1]])*(1-(BetTable[[#This Row],[C% 1]]))+BetTable[[#This Row],[S1]])</f>
        <v>0</v>
      </c>
      <c r="AA163" s="143">
        <f>(((BetTable[[#This Row],[O2]]-1)*BetTable[[#This Row],[S2]])*(1-(BetTable[[#This Row],[C% 2]]))+BetTable[[#This Row],[S2]])</f>
        <v>0</v>
      </c>
      <c r="AB163" s="143">
        <f>(((BetTable[[#This Row],[O3]]-1)*BetTable[[#This Row],[S3]])*(1-(BetTable[[#This Row],[C% 3]]))+BetTable[[#This Row],[S3]])</f>
        <v>0</v>
      </c>
      <c r="AC163" s="147" t="str">
        <f>IFERROR(IF(BetTable[[#This Row],[Sp]]="","",BetTable[[#This Row],[R1]]/BetTable[[#This Row],[TS]]),"")</f>
        <v/>
      </c>
      <c r="AD163" s="147" t="str">
        <f>IF(BetTable[[#This Row],[O2]]="","",BetTable[[#This Row],[R2]]/BetTable[[#This Row],[TS]])</f>
        <v/>
      </c>
      <c r="AE163" s="147" t="str">
        <f>IFERROR(IF(BetTable[[#This Row],[Sp]]="","",BetTable[[#This Row],[R3]]/BetTable[[#This Row],[TS]]),"")</f>
        <v/>
      </c>
      <c r="AF163" s="147" t="str">
        <f>IFERROR(IF(BetTable[[#This Row],[Outcome1]]="","",BetTable[[#This Row],[AR]]/BetTable[[#This Row],[TS]]),"")</f>
        <v/>
      </c>
      <c r="AG16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3" s="57" t="e">
        <f>IF(BetTable[[#This Row],[Outcome1]]="",AJ162,BetTable[[#This Row],[AR]]+AJ162)</f>
        <v>#REF!</v>
      </c>
      <c r="AK163" s="39"/>
    </row>
    <row r="164" spans="1:37">
      <c r="A164" s="144"/>
      <c r="B164" s="39"/>
      <c r="C164" s="40"/>
      <c r="D164" s="40"/>
      <c r="E164" s="40"/>
      <c r="F164" s="152"/>
      <c r="G164" s="152"/>
      <c r="H164" s="152"/>
      <c r="I164" s="39"/>
      <c r="J164" s="54"/>
      <c r="K164" s="54"/>
      <c r="L164" s="54"/>
      <c r="M164" s="57"/>
      <c r="N164" s="57"/>
      <c r="O164" s="57"/>
      <c r="P164" s="55"/>
      <c r="Q164" s="55"/>
      <c r="R164" s="55"/>
      <c r="S164" s="146" t="str">
        <f>IF(BetTable[[#This Row],[Sp]]="","",BetTable[[#This Row],[S1]]+BetTable[[#This Row],[S2]]+BetTable[[#This Row],[S3]])</f>
        <v/>
      </c>
      <c r="T164" s="143" t="str">
        <f>IF(BetTable[[#This Row],[O1]]="","",(BetTable[[#This Row],[WBA1-Commission]])-BetTable[[#This Row],[TS]])</f>
        <v/>
      </c>
      <c r="U164" s="143" t="str">
        <f>IF(BetTable[[#This Row],[O2]]="","",(BetTable[[#This Row],[WBA2-Commission]])-BetTable[[#This Row],[TS]])</f>
        <v/>
      </c>
      <c r="V164" s="143" t="str">
        <f>IF(BetTable[[#This Row],[O3]]="","",(BetTable[[#This Row],[WBA3-Commission]])-BetTable[[#This Row],[TS]])</f>
        <v/>
      </c>
      <c r="W164" s="143">
        <f>IF(NOT(ISBLANK(BetTable[[#This Row],[B1]])),1,0)+IF(NOT(ISBLANK(BetTable[[#This Row],[B2]])),1,0)+IF(NOT(ISBLANK(BetTable[[#This Row],[B3]])),1,0)</f>
        <v>0</v>
      </c>
      <c r="X164" s="143" t="str">
        <f>IF(BetTable[[#This Row],[Outcome1]]="","",BetTable[[#This Row],[WBA1]]+BetTable[[#This Row],[WBA2]]+BetTable[[#This Row],[WBA3]]-BetTable[[#This Row],[TS]])</f>
        <v/>
      </c>
      <c r="Y164" s="143" t="str">
        <f>IF(BetTable[[#This Row],[AR]]="","",BetTable[[#This Row],[AR]]/BetTable[[#This Row],[NumBookies]])</f>
        <v/>
      </c>
      <c r="Z164" s="143">
        <f>(((BetTable[[#This Row],[O1]]-1)*BetTable[[#This Row],[S1]])*(1-(BetTable[[#This Row],[C% 1]]))+BetTable[[#This Row],[S1]])</f>
        <v>0</v>
      </c>
      <c r="AA164" s="143">
        <f>(((BetTable[[#This Row],[O2]]-1)*BetTable[[#This Row],[S2]])*(1-(BetTable[[#This Row],[C% 2]]))+BetTable[[#This Row],[S2]])</f>
        <v>0</v>
      </c>
      <c r="AB164" s="143">
        <f>(((BetTable[[#This Row],[O3]]-1)*BetTable[[#This Row],[S3]])*(1-(BetTable[[#This Row],[C% 3]]))+BetTable[[#This Row],[S3]])</f>
        <v>0</v>
      </c>
      <c r="AC164" s="147" t="str">
        <f>IFERROR(IF(BetTable[[#This Row],[Sp]]="","",BetTable[[#This Row],[R1]]/BetTable[[#This Row],[TS]]),"")</f>
        <v/>
      </c>
      <c r="AD164" s="147" t="str">
        <f>IF(BetTable[[#This Row],[O2]]="","",BetTable[[#This Row],[R2]]/BetTable[[#This Row],[TS]])</f>
        <v/>
      </c>
      <c r="AE164" s="147" t="str">
        <f>IFERROR(IF(BetTable[[#This Row],[Sp]]="","",BetTable[[#This Row],[R3]]/BetTable[[#This Row],[TS]]),"")</f>
        <v/>
      </c>
      <c r="AF164" s="147" t="str">
        <f>IFERROR(IF(BetTable[[#This Row],[Outcome1]]="","",BetTable[[#This Row],[AR]]/BetTable[[#This Row],[TS]]),"")</f>
        <v/>
      </c>
      <c r="AG16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4" s="57" t="e">
        <f>IF(BetTable[[#This Row],[Outcome1]]="",AJ163,BetTable[[#This Row],[AR]]+AJ163)</f>
        <v>#REF!</v>
      </c>
      <c r="AK164" s="39"/>
    </row>
    <row r="165" spans="1:37">
      <c r="A165" s="144"/>
      <c r="B165" s="39"/>
      <c r="C165" s="40"/>
      <c r="D165" s="40"/>
      <c r="E165" s="40"/>
      <c r="F165" s="152"/>
      <c r="G165" s="152"/>
      <c r="H165" s="152"/>
      <c r="I165" s="39"/>
      <c r="J165" s="54"/>
      <c r="K165" s="54"/>
      <c r="L165" s="54"/>
      <c r="M165" s="57"/>
      <c r="N165" s="57"/>
      <c r="O165" s="57"/>
      <c r="P165" s="55"/>
      <c r="Q165" s="55"/>
      <c r="R165" s="55"/>
      <c r="S165" s="146" t="str">
        <f>IF(BetTable[[#This Row],[Sp]]="","",BetTable[[#This Row],[S1]]+BetTable[[#This Row],[S2]]+BetTable[[#This Row],[S3]])</f>
        <v/>
      </c>
      <c r="T165" s="143" t="str">
        <f>IF(BetTable[[#This Row],[O1]]="","",(BetTable[[#This Row],[WBA1-Commission]])-BetTable[[#This Row],[TS]])</f>
        <v/>
      </c>
      <c r="U165" s="143" t="str">
        <f>IF(BetTable[[#This Row],[O2]]="","",(BetTable[[#This Row],[WBA2-Commission]])-BetTable[[#This Row],[TS]])</f>
        <v/>
      </c>
      <c r="V165" s="143" t="str">
        <f>IF(BetTable[[#This Row],[O3]]="","",(BetTable[[#This Row],[WBA3-Commission]])-BetTable[[#This Row],[TS]])</f>
        <v/>
      </c>
      <c r="W165" s="143">
        <f>IF(NOT(ISBLANK(BetTable[[#This Row],[B1]])),1,0)+IF(NOT(ISBLANK(BetTable[[#This Row],[B2]])),1,0)+IF(NOT(ISBLANK(BetTable[[#This Row],[B3]])),1,0)</f>
        <v>0</v>
      </c>
      <c r="X165" s="143" t="str">
        <f>IF(BetTable[[#This Row],[Outcome1]]="","",BetTable[[#This Row],[WBA1]]+BetTable[[#This Row],[WBA2]]+BetTable[[#This Row],[WBA3]]-BetTable[[#This Row],[TS]])</f>
        <v/>
      </c>
      <c r="Y165" s="143" t="str">
        <f>IF(BetTable[[#This Row],[AR]]="","",BetTable[[#This Row],[AR]]/BetTable[[#This Row],[NumBookies]])</f>
        <v/>
      </c>
      <c r="Z165" s="143">
        <f>(((BetTable[[#This Row],[O1]]-1)*BetTable[[#This Row],[S1]])*(1-(BetTable[[#This Row],[C% 1]]))+BetTable[[#This Row],[S1]])</f>
        <v>0</v>
      </c>
      <c r="AA165" s="143">
        <f>(((BetTable[[#This Row],[O2]]-1)*BetTable[[#This Row],[S2]])*(1-(BetTable[[#This Row],[C% 2]]))+BetTable[[#This Row],[S2]])</f>
        <v>0</v>
      </c>
      <c r="AB165" s="143">
        <f>(((BetTable[[#This Row],[O3]]-1)*BetTable[[#This Row],[S3]])*(1-(BetTable[[#This Row],[C% 3]]))+BetTable[[#This Row],[S3]])</f>
        <v>0</v>
      </c>
      <c r="AC165" s="147" t="str">
        <f>IFERROR(IF(BetTable[[#This Row],[Sp]]="","",BetTable[[#This Row],[R1]]/BetTable[[#This Row],[TS]]),"")</f>
        <v/>
      </c>
      <c r="AD165" s="147" t="str">
        <f>IF(BetTable[[#This Row],[O2]]="","",BetTable[[#This Row],[R2]]/BetTable[[#This Row],[TS]])</f>
        <v/>
      </c>
      <c r="AE165" s="147" t="str">
        <f>IFERROR(IF(BetTable[[#This Row],[Sp]]="","",BetTable[[#This Row],[R3]]/BetTable[[#This Row],[TS]]),"")</f>
        <v/>
      </c>
      <c r="AF165" s="147" t="str">
        <f>IFERROR(IF(BetTable[[#This Row],[Outcome1]]="","",BetTable[[#This Row],[AR]]/BetTable[[#This Row],[TS]]),"")</f>
        <v/>
      </c>
      <c r="AG16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5" s="57" t="e">
        <f>IF(BetTable[[#This Row],[Outcome1]]="",AJ164,BetTable[[#This Row],[AR]]+AJ164)</f>
        <v>#REF!</v>
      </c>
      <c r="AK165" s="39"/>
    </row>
    <row r="166" spans="1:37">
      <c r="A166" s="144"/>
      <c r="B166" s="39"/>
      <c r="C166" s="40"/>
      <c r="D166" s="40"/>
      <c r="E166" s="40"/>
      <c r="F166" s="152"/>
      <c r="G166" s="152"/>
      <c r="H166" s="152"/>
      <c r="I166" s="39"/>
      <c r="J166" s="54"/>
      <c r="K166" s="54"/>
      <c r="L166" s="54"/>
      <c r="M166" s="57"/>
      <c r="N166" s="57"/>
      <c r="O166" s="57"/>
      <c r="P166" s="55"/>
      <c r="Q166" s="55"/>
      <c r="R166" s="55"/>
      <c r="S166" s="146" t="str">
        <f>IF(BetTable[[#This Row],[Sp]]="","",BetTable[[#This Row],[S1]]+BetTable[[#This Row],[S2]]+BetTable[[#This Row],[S3]])</f>
        <v/>
      </c>
      <c r="T166" s="143" t="str">
        <f>IF(BetTable[[#This Row],[O1]]="","",(BetTable[[#This Row],[WBA1-Commission]])-BetTable[[#This Row],[TS]])</f>
        <v/>
      </c>
      <c r="U166" s="143" t="str">
        <f>IF(BetTable[[#This Row],[O2]]="","",(BetTable[[#This Row],[WBA2-Commission]])-BetTable[[#This Row],[TS]])</f>
        <v/>
      </c>
      <c r="V166" s="143" t="str">
        <f>IF(BetTable[[#This Row],[O3]]="","",(BetTable[[#This Row],[WBA3-Commission]])-BetTable[[#This Row],[TS]])</f>
        <v/>
      </c>
      <c r="W166" s="143">
        <f>IF(NOT(ISBLANK(BetTable[[#This Row],[B1]])),1,0)+IF(NOT(ISBLANK(BetTable[[#This Row],[B2]])),1,0)+IF(NOT(ISBLANK(BetTable[[#This Row],[B3]])),1,0)</f>
        <v>0</v>
      </c>
      <c r="X166" s="143" t="str">
        <f>IF(BetTable[[#This Row],[Outcome1]]="","",BetTable[[#This Row],[WBA1]]+BetTable[[#This Row],[WBA2]]+BetTable[[#This Row],[WBA3]]-BetTable[[#This Row],[TS]])</f>
        <v/>
      </c>
      <c r="Y166" s="143" t="str">
        <f>IF(BetTable[[#This Row],[AR]]="","",BetTable[[#This Row],[AR]]/BetTable[[#This Row],[NumBookies]])</f>
        <v/>
      </c>
      <c r="Z166" s="143">
        <f>(((BetTable[[#This Row],[O1]]-1)*BetTable[[#This Row],[S1]])*(1-(BetTable[[#This Row],[C% 1]]))+BetTable[[#This Row],[S1]])</f>
        <v>0</v>
      </c>
      <c r="AA166" s="143">
        <f>(((BetTable[[#This Row],[O2]]-1)*BetTable[[#This Row],[S2]])*(1-(BetTable[[#This Row],[C% 2]]))+BetTable[[#This Row],[S2]])</f>
        <v>0</v>
      </c>
      <c r="AB166" s="143">
        <f>(((BetTable[[#This Row],[O3]]-1)*BetTable[[#This Row],[S3]])*(1-(BetTable[[#This Row],[C% 3]]))+BetTable[[#This Row],[S3]])</f>
        <v>0</v>
      </c>
      <c r="AC166" s="147" t="str">
        <f>IFERROR(IF(BetTable[[#This Row],[Sp]]="","",BetTable[[#This Row],[R1]]/BetTable[[#This Row],[TS]]),"")</f>
        <v/>
      </c>
      <c r="AD166" s="147" t="str">
        <f>IF(BetTable[[#This Row],[O2]]="","",BetTable[[#This Row],[R2]]/BetTable[[#This Row],[TS]])</f>
        <v/>
      </c>
      <c r="AE166" s="147" t="str">
        <f>IFERROR(IF(BetTable[[#This Row],[Sp]]="","",BetTable[[#This Row],[R3]]/BetTable[[#This Row],[TS]]),"")</f>
        <v/>
      </c>
      <c r="AF166" s="147" t="str">
        <f>IFERROR(IF(BetTable[[#This Row],[Outcome1]]="","",BetTable[[#This Row],[AR]]/BetTable[[#This Row],[TS]]),"")</f>
        <v/>
      </c>
      <c r="AG16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6" s="57" t="e">
        <f>IF(BetTable[[#This Row],[Outcome1]]="",AJ165,BetTable[[#This Row],[AR]]+AJ165)</f>
        <v>#REF!</v>
      </c>
      <c r="AK166" s="39"/>
    </row>
    <row r="167" spans="1:37">
      <c r="A167" s="144"/>
      <c r="B167" s="39"/>
      <c r="C167" s="40"/>
      <c r="D167" s="40"/>
      <c r="E167" s="40"/>
      <c r="F167" s="152"/>
      <c r="G167" s="152"/>
      <c r="H167" s="152"/>
      <c r="I167" s="39"/>
      <c r="J167" s="54"/>
      <c r="K167" s="54"/>
      <c r="L167" s="54"/>
      <c r="M167" s="57"/>
      <c r="N167" s="57"/>
      <c r="O167" s="57"/>
      <c r="P167" s="55"/>
      <c r="Q167" s="55"/>
      <c r="R167" s="55"/>
      <c r="S167" s="146" t="str">
        <f>IF(BetTable[[#This Row],[Sp]]="","",BetTable[[#This Row],[S1]]+BetTable[[#This Row],[S2]]+BetTable[[#This Row],[S3]])</f>
        <v/>
      </c>
      <c r="T167" s="143" t="str">
        <f>IF(BetTable[[#This Row],[O1]]="","",(BetTable[[#This Row],[WBA1-Commission]])-BetTable[[#This Row],[TS]])</f>
        <v/>
      </c>
      <c r="U167" s="143" t="str">
        <f>IF(BetTable[[#This Row],[O2]]="","",(BetTable[[#This Row],[WBA2-Commission]])-BetTable[[#This Row],[TS]])</f>
        <v/>
      </c>
      <c r="V167" s="143" t="str">
        <f>IF(BetTable[[#This Row],[O3]]="","",(BetTable[[#This Row],[WBA3-Commission]])-BetTable[[#This Row],[TS]])</f>
        <v/>
      </c>
      <c r="W167" s="143">
        <f>IF(NOT(ISBLANK(BetTable[[#This Row],[B1]])),1,0)+IF(NOT(ISBLANK(BetTable[[#This Row],[B2]])),1,0)+IF(NOT(ISBLANK(BetTable[[#This Row],[B3]])),1,0)</f>
        <v>0</v>
      </c>
      <c r="X167" s="143" t="str">
        <f>IF(BetTable[[#This Row],[Outcome1]]="","",BetTable[[#This Row],[WBA1]]+BetTable[[#This Row],[WBA2]]+BetTable[[#This Row],[WBA3]]-BetTable[[#This Row],[TS]])</f>
        <v/>
      </c>
      <c r="Y167" s="143" t="str">
        <f>IF(BetTable[[#This Row],[AR]]="","",BetTable[[#This Row],[AR]]/BetTable[[#This Row],[NumBookies]])</f>
        <v/>
      </c>
      <c r="Z167" s="143">
        <f>(((BetTable[[#This Row],[O1]]-1)*BetTable[[#This Row],[S1]])*(1-(BetTable[[#This Row],[C% 1]]))+BetTable[[#This Row],[S1]])</f>
        <v>0</v>
      </c>
      <c r="AA167" s="143">
        <f>(((BetTable[[#This Row],[O2]]-1)*BetTable[[#This Row],[S2]])*(1-(BetTable[[#This Row],[C% 2]]))+BetTable[[#This Row],[S2]])</f>
        <v>0</v>
      </c>
      <c r="AB167" s="143">
        <f>(((BetTable[[#This Row],[O3]]-1)*BetTable[[#This Row],[S3]])*(1-(BetTable[[#This Row],[C% 3]]))+BetTable[[#This Row],[S3]])</f>
        <v>0</v>
      </c>
      <c r="AC167" s="147" t="str">
        <f>IFERROR(IF(BetTable[[#This Row],[Sp]]="","",BetTable[[#This Row],[R1]]/BetTable[[#This Row],[TS]]),"")</f>
        <v/>
      </c>
      <c r="AD167" s="147" t="str">
        <f>IF(BetTable[[#This Row],[O2]]="","",BetTable[[#This Row],[R2]]/BetTable[[#This Row],[TS]])</f>
        <v/>
      </c>
      <c r="AE167" s="147" t="str">
        <f>IFERROR(IF(BetTable[[#This Row],[Sp]]="","",BetTable[[#This Row],[R3]]/BetTable[[#This Row],[TS]]),"")</f>
        <v/>
      </c>
      <c r="AF167" s="147" t="str">
        <f>IFERROR(IF(BetTable[[#This Row],[Outcome1]]="","",BetTable[[#This Row],[AR]]/BetTable[[#This Row],[TS]]),"")</f>
        <v/>
      </c>
      <c r="AG16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7" s="57" t="e">
        <f>IF(BetTable[[#This Row],[Outcome1]]="",AJ166,BetTable[[#This Row],[AR]]+AJ166)</f>
        <v>#REF!</v>
      </c>
      <c r="AK167" s="39"/>
    </row>
    <row r="168" spans="1:37">
      <c r="A168" s="144"/>
      <c r="B168" s="39"/>
      <c r="C168" s="40"/>
      <c r="D168" s="40"/>
      <c r="E168" s="40"/>
      <c r="F168" s="152"/>
      <c r="G168" s="152"/>
      <c r="H168" s="152"/>
      <c r="I168" s="39"/>
      <c r="J168" s="54"/>
      <c r="K168" s="54"/>
      <c r="L168" s="54"/>
      <c r="M168" s="57"/>
      <c r="N168" s="57"/>
      <c r="O168" s="57"/>
      <c r="P168" s="55"/>
      <c r="Q168" s="55"/>
      <c r="R168" s="55"/>
      <c r="S168" s="146" t="str">
        <f>IF(BetTable[[#This Row],[Sp]]="","",BetTable[[#This Row],[S1]]+BetTable[[#This Row],[S2]]+BetTable[[#This Row],[S3]])</f>
        <v/>
      </c>
      <c r="T168" s="143" t="str">
        <f>IF(BetTable[[#This Row],[O1]]="","",(BetTable[[#This Row],[WBA1-Commission]])-BetTable[[#This Row],[TS]])</f>
        <v/>
      </c>
      <c r="U168" s="143" t="str">
        <f>IF(BetTable[[#This Row],[O2]]="","",(BetTable[[#This Row],[WBA2-Commission]])-BetTable[[#This Row],[TS]])</f>
        <v/>
      </c>
      <c r="V168" s="143" t="str">
        <f>IF(BetTable[[#This Row],[O3]]="","",(BetTable[[#This Row],[WBA3-Commission]])-BetTable[[#This Row],[TS]])</f>
        <v/>
      </c>
      <c r="W168" s="143">
        <f>IF(NOT(ISBLANK(BetTable[[#This Row],[B1]])),1,0)+IF(NOT(ISBLANK(BetTable[[#This Row],[B2]])),1,0)+IF(NOT(ISBLANK(BetTable[[#This Row],[B3]])),1,0)</f>
        <v>0</v>
      </c>
      <c r="X168" s="143" t="str">
        <f>IF(BetTable[[#This Row],[Outcome1]]="","",BetTable[[#This Row],[WBA1]]+BetTable[[#This Row],[WBA2]]+BetTable[[#This Row],[WBA3]]-BetTable[[#This Row],[TS]])</f>
        <v/>
      </c>
      <c r="Y168" s="143" t="str">
        <f>IF(BetTable[[#This Row],[AR]]="","",BetTable[[#This Row],[AR]]/BetTable[[#This Row],[NumBookies]])</f>
        <v/>
      </c>
      <c r="Z168" s="143">
        <f>(((BetTable[[#This Row],[O1]]-1)*BetTable[[#This Row],[S1]])*(1-(BetTable[[#This Row],[C% 1]]))+BetTable[[#This Row],[S1]])</f>
        <v>0</v>
      </c>
      <c r="AA168" s="143">
        <f>(((BetTable[[#This Row],[O2]]-1)*BetTable[[#This Row],[S2]])*(1-(BetTable[[#This Row],[C% 2]]))+BetTable[[#This Row],[S2]])</f>
        <v>0</v>
      </c>
      <c r="AB168" s="143">
        <f>(((BetTable[[#This Row],[O3]]-1)*BetTable[[#This Row],[S3]])*(1-(BetTable[[#This Row],[C% 3]]))+BetTable[[#This Row],[S3]])</f>
        <v>0</v>
      </c>
      <c r="AC168" s="147" t="str">
        <f>IFERROR(IF(BetTable[[#This Row],[Sp]]="","",BetTable[[#This Row],[R1]]/BetTable[[#This Row],[TS]]),"")</f>
        <v/>
      </c>
      <c r="AD168" s="147" t="str">
        <f>IF(BetTable[[#This Row],[O2]]="","",BetTable[[#This Row],[R2]]/BetTable[[#This Row],[TS]])</f>
        <v/>
      </c>
      <c r="AE168" s="147" t="str">
        <f>IFERROR(IF(BetTable[[#This Row],[Sp]]="","",BetTable[[#This Row],[R3]]/BetTable[[#This Row],[TS]]),"")</f>
        <v/>
      </c>
      <c r="AF168" s="147" t="str">
        <f>IFERROR(IF(BetTable[[#This Row],[Outcome1]]="","",BetTable[[#This Row],[AR]]/BetTable[[#This Row],[TS]]),"")</f>
        <v/>
      </c>
      <c r="AG16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8" s="57" t="e">
        <f>IF(BetTable[[#This Row],[Outcome1]]="",AJ167,BetTable[[#This Row],[AR]]+AJ167)</f>
        <v>#REF!</v>
      </c>
      <c r="AK168" s="39"/>
    </row>
    <row r="169" spans="1:37">
      <c r="A169" s="144"/>
      <c r="B169" s="39"/>
      <c r="C169" s="40"/>
      <c r="D169" s="40"/>
      <c r="E169" s="40"/>
      <c r="F169" s="152"/>
      <c r="G169" s="152"/>
      <c r="H169" s="152"/>
      <c r="I169" s="39"/>
      <c r="J169" s="54"/>
      <c r="K169" s="54"/>
      <c r="L169" s="54"/>
      <c r="M169" s="57"/>
      <c r="N169" s="57"/>
      <c r="O169" s="57"/>
      <c r="P169" s="55"/>
      <c r="Q169" s="55"/>
      <c r="R169" s="55"/>
      <c r="S169" s="146" t="str">
        <f>IF(BetTable[[#This Row],[Sp]]="","",BetTable[[#This Row],[S1]]+BetTable[[#This Row],[S2]]+BetTable[[#This Row],[S3]])</f>
        <v/>
      </c>
      <c r="T169" s="143" t="str">
        <f>IF(BetTable[[#This Row],[O1]]="","",(BetTable[[#This Row],[WBA1-Commission]])-BetTable[[#This Row],[TS]])</f>
        <v/>
      </c>
      <c r="U169" s="143" t="str">
        <f>IF(BetTable[[#This Row],[O2]]="","",(BetTable[[#This Row],[WBA2-Commission]])-BetTable[[#This Row],[TS]])</f>
        <v/>
      </c>
      <c r="V169" s="143" t="str">
        <f>IF(BetTable[[#This Row],[O3]]="","",(BetTable[[#This Row],[WBA3-Commission]])-BetTable[[#This Row],[TS]])</f>
        <v/>
      </c>
      <c r="W169" s="143">
        <f>IF(NOT(ISBLANK(BetTable[[#This Row],[B1]])),1,0)+IF(NOT(ISBLANK(BetTable[[#This Row],[B2]])),1,0)+IF(NOT(ISBLANK(BetTable[[#This Row],[B3]])),1,0)</f>
        <v>0</v>
      </c>
      <c r="X169" s="143" t="str">
        <f>IF(BetTable[[#This Row],[Outcome1]]="","",BetTable[[#This Row],[WBA1]]+BetTable[[#This Row],[WBA2]]+BetTable[[#This Row],[WBA3]]-BetTable[[#This Row],[TS]])</f>
        <v/>
      </c>
      <c r="Y169" s="143" t="str">
        <f>IF(BetTable[[#This Row],[AR]]="","",BetTable[[#This Row],[AR]]/BetTable[[#This Row],[NumBookies]])</f>
        <v/>
      </c>
      <c r="Z169" s="143">
        <f>(((BetTable[[#This Row],[O1]]-1)*BetTable[[#This Row],[S1]])*(1-(BetTable[[#This Row],[C% 1]]))+BetTable[[#This Row],[S1]])</f>
        <v>0</v>
      </c>
      <c r="AA169" s="143">
        <f>(((BetTable[[#This Row],[O2]]-1)*BetTable[[#This Row],[S2]])*(1-(BetTable[[#This Row],[C% 2]]))+BetTable[[#This Row],[S2]])</f>
        <v>0</v>
      </c>
      <c r="AB169" s="143">
        <f>(((BetTable[[#This Row],[O3]]-1)*BetTable[[#This Row],[S3]])*(1-(BetTable[[#This Row],[C% 3]]))+BetTable[[#This Row],[S3]])</f>
        <v>0</v>
      </c>
      <c r="AC169" s="147" t="str">
        <f>IFERROR(IF(BetTable[[#This Row],[Sp]]="","",BetTable[[#This Row],[R1]]/BetTable[[#This Row],[TS]]),"")</f>
        <v/>
      </c>
      <c r="AD169" s="147" t="str">
        <f>IF(BetTable[[#This Row],[O2]]="","",BetTable[[#This Row],[R2]]/BetTable[[#This Row],[TS]])</f>
        <v/>
      </c>
      <c r="AE169" s="147" t="str">
        <f>IFERROR(IF(BetTable[[#This Row],[Sp]]="","",BetTable[[#This Row],[R3]]/BetTable[[#This Row],[TS]]),"")</f>
        <v/>
      </c>
      <c r="AF169" s="147" t="str">
        <f>IFERROR(IF(BetTable[[#This Row],[Outcome1]]="","",BetTable[[#This Row],[AR]]/BetTable[[#This Row],[TS]]),"")</f>
        <v/>
      </c>
      <c r="AG16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6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6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69" s="57" t="e">
        <f>IF(BetTable[[#This Row],[Outcome1]]="",AJ168,BetTable[[#This Row],[AR]]+AJ168)</f>
        <v>#REF!</v>
      </c>
      <c r="AK169" s="39"/>
    </row>
    <row r="170" spans="1:37">
      <c r="A170" s="144"/>
      <c r="B170" s="39"/>
      <c r="C170" s="40"/>
      <c r="D170" s="40"/>
      <c r="E170" s="40"/>
      <c r="F170" s="152"/>
      <c r="G170" s="152"/>
      <c r="H170" s="152"/>
      <c r="I170" s="39"/>
      <c r="J170" s="54"/>
      <c r="K170" s="54"/>
      <c r="L170" s="54"/>
      <c r="M170" s="57"/>
      <c r="N170" s="57"/>
      <c r="O170" s="57"/>
      <c r="P170" s="55"/>
      <c r="Q170" s="55"/>
      <c r="R170" s="55"/>
      <c r="S170" s="146" t="str">
        <f>IF(BetTable[[#This Row],[Sp]]="","",BetTable[[#This Row],[S1]]+BetTable[[#This Row],[S2]]+BetTable[[#This Row],[S3]])</f>
        <v/>
      </c>
      <c r="T170" s="143" t="str">
        <f>IF(BetTable[[#This Row],[O1]]="","",(BetTable[[#This Row],[WBA1-Commission]])-BetTable[[#This Row],[TS]])</f>
        <v/>
      </c>
      <c r="U170" s="143" t="str">
        <f>IF(BetTable[[#This Row],[O2]]="","",(BetTable[[#This Row],[WBA2-Commission]])-BetTable[[#This Row],[TS]])</f>
        <v/>
      </c>
      <c r="V170" s="143" t="str">
        <f>IF(BetTable[[#This Row],[O3]]="","",(BetTable[[#This Row],[WBA3-Commission]])-BetTable[[#This Row],[TS]])</f>
        <v/>
      </c>
      <c r="W170" s="143">
        <f>IF(NOT(ISBLANK(BetTable[[#This Row],[B1]])),1,0)+IF(NOT(ISBLANK(BetTable[[#This Row],[B2]])),1,0)+IF(NOT(ISBLANK(BetTable[[#This Row],[B3]])),1,0)</f>
        <v>0</v>
      </c>
      <c r="X170" s="143" t="str">
        <f>IF(BetTable[[#This Row],[Outcome1]]="","",BetTable[[#This Row],[WBA1]]+BetTable[[#This Row],[WBA2]]+BetTable[[#This Row],[WBA3]]-BetTable[[#This Row],[TS]])</f>
        <v/>
      </c>
      <c r="Y170" s="143" t="str">
        <f>IF(BetTable[[#This Row],[AR]]="","",BetTable[[#This Row],[AR]]/BetTable[[#This Row],[NumBookies]])</f>
        <v/>
      </c>
      <c r="Z170" s="143">
        <f>(((BetTable[[#This Row],[O1]]-1)*BetTable[[#This Row],[S1]])*(1-(BetTable[[#This Row],[C% 1]]))+BetTable[[#This Row],[S1]])</f>
        <v>0</v>
      </c>
      <c r="AA170" s="143">
        <f>(((BetTable[[#This Row],[O2]]-1)*BetTable[[#This Row],[S2]])*(1-(BetTable[[#This Row],[C% 2]]))+BetTable[[#This Row],[S2]])</f>
        <v>0</v>
      </c>
      <c r="AB170" s="143">
        <f>(((BetTable[[#This Row],[O3]]-1)*BetTable[[#This Row],[S3]])*(1-(BetTable[[#This Row],[C% 3]]))+BetTable[[#This Row],[S3]])</f>
        <v>0</v>
      </c>
      <c r="AC170" s="147" t="str">
        <f>IFERROR(IF(BetTable[[#This Row],[Sp]]="","",BetTable[[#This Row],[R1]]/BetTable[[#This Row],[TS]]),"")</f>
        <v/>
      </c>
      <c r="AD170" s="147" t="str">
        <f>IF(BetTable[[#This Row],[O2]]="","",BetTable[[#This Row],[R2]]/BetTable[[#This Row],[TS]])</f>
        <v/>
      </c>
      <c r="AE170" s="147" t="str">
        <f>IFERROR(IF(BetTable[[#This Row],[Sp]]="","",BetTable[[#This Row],[R3]]/BetTable[[#This Row],[TS]]),"")</f>
        <v/>
      </c>
      <c r="AF170" s="147" t="str">
        <f>IFERROR(IF(BetTable[[#This Row],[Outcome1]]="","",BetTable[[#This Row],[AR]]/BetTable[[#This Row],[TS]]),"")</f>
        <v/>
      </c>
      <c r="AG17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0" s="57" t="e">
        <f>IF(BetTable[[#This Row],[Outcome1]]="",AJ169,BetTable[[#This Row],[AR]]+AJ169)</f>
        <v>#REF!</v>
      </c>
      <c r="AK170" s="39"/>
    </row>
    <row r="171" spans="1:37">
      <c r="A171" s="144"/>
      <c r="B171" s="39"/>
      <c r="C171" s="40"/>
      <c r="D171" s="40"/>
      <c r="E171" s="40"/>
      <c r="F171" s="152"/>
      <c r="G171" s="152"/>
      <c r="H171" s="152"/>
      <c r="I171" s="39"/>
      <c r="J171" s="54"/>
      <c r="K171" s="54"/>
      <c r="L171" s="54"/>
      <c r="M171" s="57"/>
      <c r="N171" s="57"/>
      <c r="O171" s="57"/>
      <c r="P171" s="55"/>
      <c r="Q171" s="55"/>
      <c r="R171" s="55"/>
      <c r="S171" s="146" t="str">
        <f>IF(BetTable[[#This Row],[Sp]]="","",BetTable[[#This Row],[S1]]+BetTable[[#This Row],[S2]]+BetTable[[#This Row],[S3]])</f>
        <v/>
      </c>
      <c r="T171" s="143" t="str">
        <f>IF(BetTable[[#This Row],[O1]]="","",(BetTable[[#This Row],[WBA1-Commission]])-BetTable[[#This Row],[TS]])</f>
        <v/>
      </c>
      <c r="U171" s="143" t="str">
        <f>IF(BetTable[[#This Row],[O2]]="","",(BetTable[[#This Row],[WBA2-Commission]])-BetTable[[#This Row],[TS]])</f>
        <v/>
      </c>
      <c r="V171" s="143" t="str">
        <f>IF(BetTable[[#This Row],[O3]]="","",(BetTable[[#This Row],[WBA3-Commission]])-BetTable[[#This Row],[TS]])</f>
        <v/>
      </c>
      <c r="W171" s="143">
        <f>IF(NOT(ISBLANK(BetTable[[#This Row],[B1]])),1,0)+IF(NOT(ISBLANK(BetTable[[#This Row],[B2]])),1,0)+IF(NOT(ISBLANK(BetTable[[#This Row],[B3]])),1,0)</f>
        <v>0</v>
      </c>
      <c r="X171" s="143" t="str">
        <f>IF(BetTable[[#This Row],[Outcome1]]="","",BetTable[[#This Row],[WBA1]]+BetTable[[#This Row],[WBA2]]+BetTable[[#This Row],[WBA3]]-BetTable[[#This Row],[TS]])</f>
        <v/>
      </c>
      <c r="Y171" s="143" t="str">
        <f>IF(BetTable[[#This Row],[AR]]="","",BetTable[[#This Row],[AR]]/BetTable[[#This Row],[NumBookies]])</f>
        <v/>
      </c>
      <c r="Z171" s="143">
        <f>(((BetTable[[#This Row],[O1]]-1)*BetTable[[#This Row],[S1]])*(1-(BetTable[[#This Row],[C% 1]]))+BetTable[[#This Row],[S1]])</f>
        <v>0</v>
      </c>
      <c r="AA171" s="143">
        <f>(((BetTable[[#This Row],[O2]]-1)*BetTable[[#This Row],[S2]])*(1-(BetTable[[#This Row],[C% 2]]))+BetTable[[#This Row],[S2]])</f>
        <v>0</v>
      </c>
      <c r="AB171" s="143">
        <f>(((BetTable[[#This Row],[O3]]-1)*BetTable[[#This Row],[S3]])*(1-(BetTable[[#This Row],[C% 3]]))+BetTable[[#This Row],[S3]])</f>
        <v>0</v>
      </c>
      <c r="AC171" s="147" t="str">
        <f>IFERROR(IF(BetTable[[#This Row],[Sp]]="","",BetTable[[#This Row],[R1]]/BetTable[[#This Row],[TS]]),"")</f>
        <v/>
      </c>
      <c r="AD171" s="147" t="str">
        <f>IF(BetTable[[#This Row],[O2]]="","",BetTable[[#This Row],[R2]]/BetTable[[#This Row],[TS]])</f>
        <v/>
      </c>
      <c r="AE171" s="147" t="str">
        <f>IFERROR(IF(BetTable[[#This Row],[Sp]]="","",BetTable[[#This Row],[R3]]/BetTable[[#This Row],[TS]]),"")</f>
        <v/>
      </c>
      <c r="AF171" s="147" t="str">
        <f>IFERROR(IF(BetTable[[#This Row],[Outcome1]]="","",BetTable[[#This Row],[AR]]/BetTable[[#This Row],[TS]]),"")</f>
        <v/>
      </c>
      <c r="AG17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1" s="57" t="e">
        <f>IF(BetTable[[#This Row],[Outcome1]]="",AJ170,BetTable[[#This Row],[AR]]+AJ170)</f>
        <v>#REF!</v>
      </c>
      <c r="AK171" s="39"/>
    </row>
    <row r="172" spans="1:37">
      <c r="A172" s="144"/>
      <c r="B172" s="39"/>
      <c r="C172" s="40"/>
      <c r="D172" s="40"/>
      <c r="E172" s="40"/>
      <c r="F172" s="152"/>
      <c r="G172" s="152"/>
      <c r="H172" s="152"/>
      <c r="I172" s="39"/>
      <c r="J172" s="54"/>
      <c r="K172" s="54"/>
      <c r="L172" s="54"/>
      <c r="M172" s="57"/>
      <c r="N172" s="57"/>
      <c r="O172" s="57"/>
      <c r="P172" s="55"/>
      <c r="Q172" s="55"/>
      <c r="R172" s="55"/>
      <c r="S172" s="146" t="str">
        <f>IF(BetTable[[#This Row],[Sp]]="","",BetTable[[#This Row],[S1]]+BetTable[[#This Row],[S2]]+BetTable[[#This Row],[S3]])</f>
        <v/>
      </c>
      <c r="T172" s="143" t="str">
        <f>IF(BetTable[[#This Row],[O1]]="","",(BetTable[[#This Row],[WBA1-Commission]])-BetTable[[#This Row],[TS]])</f>
        <v/>
      </c>
      <c r="U172" s="143" t="str">
        <f>IF(BetTable[[#This Row],[O2]]="","",(BetTable[[#This Row],[WBA2-Commission]])-BetTable[[#This Row],[TS]])</f>
        <v/>
      </c>
      <c r="V172" s="143" t="str">
        <f>IF(BetTable[[#This Row],[O3]]="","",(BetTable[[#This Row],[WBA3-Commission]])-BetTable[[#This Row],[TS]])</f>
        <v/>
      </c>
      <c r="W172" s="143">
        <f>IF(NOT(ISBLANK(BetTable[[#This Row],[B1]])),1,0)+IF(NOT(ISBLANK(BetTable[[#This Row],[B2]])),1,0)+IF(NOT(ISBLANK(BetTable[[#This Row],[B3]])),1,0)</f>
        <v>0</v>
      </c>
      <c r="X172" s="143" t="str">
        <f>IF(BetTable[[#This Row],[Outcome1]]="","",BetTable[[#This Row],[WBA1]]+BetTable[[#This Row],[WBA2]]+BetTable[[#This Row],[WBA3]]-BetTable[[#This Row],[TS]])</f>
        <v/>
      </c>
      <c r="Y172" s="143" t="str">
        <f>IF(BetTable[[#This Row],[AR]]="","",BetTable[[#This Row],[AR]]/BetTable[[#This Row],[NumBookies]])</f>
        <v/>
      </c>
      <c r="Z172" s="143">
        <f>(((BetTable[[#This Row],[O1]]-1)*BetTable[[#This Row],[S1]])*(1-(BetTable[[#This Row],[C% 1]]))+BetTable[[#This Row],[S1]])</f>
        <v>0</v>
      </c>
      <c r="AA172" s="143">
        <f>(((BetTable[[#This Row],[O2]]-1)*BetTable[[#This Row],[S2]])*(1-(BetTable[[#This Row],[C% 2]]))+BetTable[[#This Row],[S2]])</f>
        <v>0</v>
      </c>
      <c r="AB172" s="143">
        <f>(((BetTable[[#This Row],[O3]]-1)*BetTable[[#This Row],[S3]])*(1-(BetTable[[#This Row],[C% 3]]))+BetTable[[#This Row],[S3]])</f>
        <v>0</v>
      </c>
      <c r="AC172" s="147" t="str">
        <f>IFERROR(IF(BetTable[[#This Row],[Sp]]="","",BetTable[[#This Row],[R1]]/BetTable[[#This Row],[TS]]),"")</f>
        <v/>
      </c>
      <c r="AD172" s="147" t="str">
        <f>IF(BetTable[[#This Row],[O2]]="","",BetTable[[#This Row],[R2]]/BetTable[[#This Row],[TS]])</f>
        <v/>
      </c>
      <c r="AE172" s="147" t="str">
        <f>IFERROR(IF(BetTable[[#This Row],[Sp]]="","",BetTable[[#This Row],[R3]]/BetTable[[#This Row],[TS]]),"")</f>
        <v/>
      </c>
      <c r="AF172" s="147" t="str">
        <f>IFERROR(IF(BetTable[[#This Row],[Outcome1]]="","",BetTable[[#This Row],[AR]]/BetTable[[#This Row],[TS]]),"")</f>
        <v/>
      </c>
      <c r="AG17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2" s="57" t="e">
        <f>IF(BetTable[[#This Row],[Outcome1]]="",AJ171,BetTable[[#This Row],[AR]]+AJ171)</f>
        <v>#REF!</v>
      </c>
      <c r="AK172" s="39"/>
    </row>
    <row r="173" spans="1:37">
      <c r="A173" s="144"/>
      <c r="B173" s="39"/>
      <c r="C173" s="40"/>
      <c r="D173" s="40"/>
      <c r="E173" s="40"/>
      <c r="F173" s="152"/>
      <c r="G173" s="152"/>
      <c r="H173" s="152"/>
      <c r="I173" s="39"/>
      <c r="J173" s="54"/>
      <c r="K173" s="54"/>
      <c r="L173" s="54"/>
      <c r="M173" s="57"/>
      <c r="N173" s="57"/>
      <c r="O173" s="57"/>
      <c r="P173" s="55"/>
      <c r="Q173" s="55"/>
      <c r="R173" s="55"/>
      <c r="S173" s="146" t="str">
        <f>IF(BetTable[[#This Row],[Sp]]="","",BetTable[[#This Row],[S1]]+BetTable[[#This Row],[S2]]+BetTable[[#This Row],[S3]])</f>
        <v/>
      </c>
      <c r="T173" s="143" t="str">
        <f>IF(BetTable[[#This Row],[O1]]="","",(BetTable[[#This Row],[WBA1-Commission]])-BetTable[[#This Row],[TS]])</f>
        <v/>
      </c>
      <c r="U173" s="143" t="str">
        <f>IF(BetTable[[#This Row],[O2]]="","",(BetTable[[#This Row],[WBA2-Commission]])-BetTable[[#This Row],[TS]])</f>
        <v/>
      </c>
      <c r="V173" s="143" t="str">
        <f>IF(BetTable[[#This Row],[O3]]="","",(BetTable[[#This Row],[WBA3-Commission]])-BetTable[[#This Row],[TS]])</f>
        <v/>
      </c>
      <c r="W173" s="143">
        <f>IF(NOT(ISBLANK(BetTable[[#This Row],[B1]])),1,0)+IF(NOT(ISBLANK(BetTable[[#This Row],[B2]])),1,0)+IF(NOT(ISBLANK(BetTable[[#This Row],[B3]])),1,0)</f>
        <v>0</v>
      </c>
      <c r="X173" s="143" t="str">
        <f>IF(BetTable[[#This Row],[Outcome1]]="","",BetTable[[#This Row],[WBA1]]+BetTable[[#This Row],[WBA2]]+BetTable[[#This Row],[WBA3]]-BetTable[[#This Row],[TS]])</f>
        <v/>
      </c>
      <c r="Y173" s="143" t="str">
        <f>IF(BetTable[[#This Row],[AR]]="","",BetTable[[#This Row],[AR]]/BetTable[[#This Row],[NumBookies]])</f>
        <v/>
      </c>
      <c r="Z173" s="143">
        <f>(((BetTable[[#This Row],[O1]]-1)*BetTable[[#This Row],[S1]])*(1-(BetTable[[#This Row],[C% 1]]))+BetTable[[#This Row],[S1]])</f>
        <v>0</v>
      </c>
      <c r="AA173" s="143">
        <f>(((BetTable[[#This Row],[O2]]-1)*BetTable[[#This Row],[S2]])*(1-(BetTable[[#This Row],[C% 2]]))+BetTable[[#This Row],[S2]])</f>
        <v>0</v>
      </c>
      <c r="AB173" s="143">
        <f>(((BetTable[[#This Row],[O3]]-1)*BetTable[[#This Row],[S3]])*(1-(BetTable[[#This Row],[C% 3]]))+BetTable[[#This Row],[S3]])</f>
        <v>0</v>
      </c>
      <c r="AC173" s="147" t="str">
        <f>IFERROR(IF(BetTable[[#This Row],[Sp]]="","",BetTable[[#This Row],[R1]]/BetTable[[#This Row],[TS]]),"")</f>
        <v/>
      </c>
      <c r="AD173" s="147" t="str">
        <f>IF(BetTable[[#This Row],[O2]]="","",BetTable[[#This Row],[R2]]/BetTable[[#This Row],[TS]])</f>
        <v/>
      </c>
      <c r="AE173" s="147" t="str">
        <f>IFERROR(IF(BetTable[[#This Row],[Sp]]="","",BetTable[[#This Row],[R3]]/BetTable[[#This Row],[TS]]),"")</f>
        <v/>
      </c>
      <c r="AF173" s="147" t="str">
        <f>IFERROR(IF(BetTable[[#This Row],[Outcome1]]="","",BetTable[[#This Row],[AR]]/BetTable[[#This Row],[TS]]),"")</f>
        <v/>
      </c>
      <c r="AG17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3" s="57" t="e">
        <f>IF(BetTable[[#This Row],[Outcome1]]="",AJ172,BetTable[[#This Row],[AR]]+AJ172)</f>
        <v>#REF!</v>
      </c>
      <c r="AK173" s="39"/>
    </row>
    <row r="174" spans="1:37">
      <c r="A174" s="150"/>
      <c r="B174" s="39"/>
      <c r="C174" s="40"/>
      <c r="D174" s="40"/>
      <c r="E174" s="40"/>
      <c r="F174" s="152"/>
      <c r="G174" s="152"/>
      <c r="H174" s="152"/>
      <c r="I174" s="39"/>
      <c r="J174" s="54"/>
      <c r="K174" s="54"/>
      <c r="L174" s="54"/>
      <c r="M174" s="57"/>
      <c r="N174" s="57"/>
      <c r="O174" s="57"/>
      <c r="P174" s="55"/>
      <c r="Q174" s="55"/>
      <c r="R174" s="55"/>
      <c r="S174" s="146" t="str">
        <f>IF(BetTable[[#This Row],[Sp]]="","",BetTable[[#This Row],[S1]]+BetTable[[#This Row],[S2]]+BetTable[[#This Row],[S3]])</f>
        <v/>
      </c>
      <c r="T174" s="143" t="str">
        <f>IF(BetTable[[#This Row],[O1]]="","",(BetTable[[#This Row],[WBA1-Commission]])-BetTable[[#This Row],[TS]])</f>
        <v/>
      </c>
      <c r="U174" s="143" t="str">
        <f>IF(BetTable[[#This Row],[O2]]="","",(BetTable[[#This Row],[WBA2-Commission]])-BetTable[[#This Row],[TS]])</f>
        <v/>
      </c>
      <c r="V174" s="143" t="str">
        <f>IF(BetTable[[#This Row],[O3]]="","",(BetTable[[#This Row],[WBA3-Commission]])-BetTable[[#This Row],[TS]])</f>
        <v/>
      </c>
      <c r="W174" s="143">
        <f>IF(NOT(ISBLANK(BetTable[[#This Row],[B1]])),1,0)+IF(NOT(ISBLANK(BetTable[[#This Row],[B2]])),1,0)+IF(NOT(ISBLANK(BetTable[[#This Row],[B3]])),1,0)</f>
        <v>0</v>
      </c>
      <c r="X174" s="143" t="str">
        <f>IF(BetTable[[#This Row],[Outcome1]]="","",BetTable[[#This Row],[WBA1]]+BetTable[[#This Row],[WBA2]]+BetTable[[#This Row],[WBA3]]-BetTable[[#This Row],[TS]])</f>
        <v/>
      </c>
      <c r="Y174" s="143" t="str">
        <f>IF(BetTable[[#This Row],[AR]]="","",BetTable[[#This Row],[AR]]/BetTable[[#This Row],[NumBookies]])</f>
        <v/>
      </c>
      <c r="Z174" s="143">
        <f>(((BetTable[[#This Row],[O1]]-1)*BetTable[[#This Row],[S1]])*(1-(BetTable[[#This Row],[C% 1]]))+BetTable[[#This Row],[S1]])</f>
        <v>0</v>
      </c>
      <c r="AA174" s="143">
        <f>(((BetTable[[#This Row],[O2]]-1)*BetTable[[#This Row],[S2]])*(1-(BetTable[[#This Row],[C% 2]]))+BetTable[[#This Row],[S2]])</f>
        <v>0</v>
      </c>
      <c r="AB174" s="143">
        <f>(((BetTable[[#This Row],[O3]]-1)*BetTable[[#This Row],[S3]])*(1-(BetTable[[#This Row],[C% 3]]))+BetTable[[#This Row],[S3]])</f>
        <v>0</v>
      </c>
      <c r="AC174" s="147" t="str">
        <f>IFERROR(IF(BetTable[[#This Row],[Sp]]="","",BetTable[[#This Row],[R1]]/BetTable[[#This Row],[TS]]),"")</f>
        <v/>
      </c>
      <c r="AD174" s="147" t="str">
        <f>IF(BetTable[[#This Row],[O2]]="","",BetTable[[#This Row],[R2]]/BetTable[[#This Row],[TS]])</f>
        <v/>
      </c>
      <c r="AE174" s="147" t="str">
        <f>IFERROR(IF(BetTable[[#This Row],[Sp]]="","",BetTable[[#This Row],[R3]]/BetTable[[#This Row],[TS]]),"")</f>
        <v/>
      </c>
      <c r="AF174" s="147" t="str">
        <f>IFERROR(IF(BetTable[[#This Row],[Outcome1]]="","",BetTable[[#This Row],[AR]]/BetTable[[#This Row],[TS]]),"")</f>
        <v/>
      </c>
      <c r="AG17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4" s="57" t="e">
        <f>IF(BetTable[[#This Row],[Outcome1]]="",AJ173,BetTable[[#This Row],[AR]]+AJ173)</f>
        <v>#REF!</v>
      </c>
      <c r="AK174" s="39"/>
    </row>
    <row r="175" spans="1:37">
      <c r="A175" s="144"/>
      <c r="B175" s="39"/>
      <c r="C175" s="40"/>
      <c r="D175" s="40"/>
      <c r="E175" s="40"/>
      <c r="F175" s="152"/>
      <c r="G175" s="152"/>
      <c r="H175" s="152"/>
      <c r="I175" s="39"/>
      <c r="J175" s="54"/>
      <c r="K175" s="54"/>
      <c r="L175" s="54"/>
      <c r="M175" s="57"/>
      <c r="N175" s="57"/>
      <c r="O175" s="57"/>
      <c r="P175" s="55"/>
      <c r="Q175" s="55"/>
      <c r="R175" s="55"/>
      <c r="S175" s="146" t="str">
        <f>IF(BetTable[[#This Row],[Sp]]="","",BetTable[[#This Row],[S1]]+BetTable[[#This Row],[S2]]+BetTable[[#This Row],[S3]])</f>
        <v/>
      </c>
      <c r="T175" s="143" t="str">
        <f>IF(BetTable[[#This Row],[O1]]="","",(BetTable[[#This Row],[WBA1-Commission]])-BetTable[[#This Row],[TS]])</f>
        <v/>
      </c>
      <c r="U175" s="143" t="str">
        <f>IF(BetTable[[#This Row],[O2]]="","",(BetTable[[#This Row],[WBA2-Commission]])-BetTable[[#This Row],[TS]])</f>
        <v/>
      </c>
      <c r="V175" s="143" t="str">
        <f>IF(BetTable[[#This Row],[O3]]="","",(BetTable[[#This Row],[WBA3-Commission]])-BetTable[[#This Row],[TS]])</f>
        <v/>
      </c>
      <c r="W175" s="143">
        <f>IF(NOT(ISBLANK(BetTable[[#This Row],[B1]])),1,0)+IF(NOT(ISBLANK(BetTable[[#This Row],[B2]])),1,0)+IF(NOT(ISBLANK(BetTable[[#This Row],[B3]])),1,0)</f>
        <v>0</v>
      </c>
      <c r="X175" s="143" t="str">
        <f>IF(BetTable[[#This Row],[Outcome1]]="","",BetTable[[#This Row],[WBA1]]+BetTable[[#This Row],[WBA2]]+BetTable[[#This Row],[WBA3]]-BetTable[[#This Row],[TS]])</f>
        <v/>
      </c>
      <c r="Y175" s="143" t="str">
        <f>IF(BetTable[[#This Row],[AR]]="","",BetTable[[#This Row],[AR]]/BetTable[[#This Row],[NumBookies]])</f>
        <v/>
      </c>
      <c r="Z175" s="143">
        <f>(((BetTable[[#This Row],[O1]]-1)*BetTable[[#This Row],[S1]])*(1-(BetTable[[#This Row],[C% 1]]))+BetTable[[#This Row],[S1]])</f>
        <v>0</v>
      </c>
      <c r="AA175" s="143">
        <f>(((BetTable[[#This Row],[O2]]-1)*BetTable[[#This Row],[S2]])*(1-(BetTable[[#This Row],[C% 2]]))+BetTable[[#This Row],[S2]])</f>
        <v>0</v>
      </c>
      <c r="AB175" s="143">
        <f>(((BetTable[[#This Row],[O3]]-1)*BetTable[[#This Row],[S3]])*(1-(BetTable[[#This Row],[C% 3]]))+BetTable[[#This Row],[S3]])</f>
        <v>0</v>
      </c>
      <c r="AC175" s="147" t="str">
        <f>IFERROR(IF(BetTable[[#This Row],[Sp]]="","",BetTable[[#This Row],[R1]]/BetTable[[#This Row],[TS]]),"")</f>
        <v/>
      </c>
      <c r="AD175" s="147" t="str">
        <f>IF(BetTable[[#This Row],[O2]]="","",BetTable[[#This Row],[R2]]/BetTable[[#This Row],[TS]])</f>
        <v/>
      </c>
      <c r="AE175" s="147" t="str">
        <f>IFERROR(IF(BetTable[[#This Row],[Sp]]="","",BetTable[[#This Row],[R3]]/BetTable[[#This Row],[TS]]),"")</f>
        <v/>
      </c>
      <c r="AF175" s="147" t="str">
        <f>IFERROR(IF(BetTable[[#This Row],[Outcome1]]="","",BetTable[[#This Row],[AR]]/BetTable[[#This Row],[TS]]),"")</f>
        <v/>
      </c>
      <c r="AG17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5" s="57" t="e">
        <f>IF(BetTable[[#This Row],[Outcome1]]="",AJ174,BetTable[[#This Row],[AR]]+AJ174)</f>
        <v>#REF!</v>
      </c>
      <c r="AK175" s="39"/>
    </row>
    <row r="176" spans="1:37">
      <c r="A176" s="144"/>
      <c r="B176" s="39"/>
      <c r="C176" s="40"/>
      <c r="D176" s="40"/>
      <c r="E176" s="40"/>
      <c r="F176" s="152"/>
      <c r="G176" s="152"/>
      <c r="H176" s="152"/>
      <c r="I176" s="39"/>
      <c r="J176" s="54"/>
      <c r="K176" s="54"/>
      <c r="L176" s="54"/>
      <c r="M176" s="57"/>
      <c r="N176" s="57"/>
      <c r="O176" s="57"/>
      <c r="P176" s="55"/>
      <c r="Q176" s="55"/>
      <c r="R176" s="55"/>
      <c r="S176" s="146" t="str">
        <f>IF(BetTable[[#This Row],[Sp]]="","",BetTable[[#This Row],[S1]]+BetTable[[#This Row],[S2]]+BetTable[[#This Row],[S3]])</f>
        <v/>
      </c>
      <c r="T176" s="143" t="str">
        <f>IF(BetTable[[#This Row],[O1]]="","",(BetTable[[#This Row],[WBA1-Commission]])-BetTable[[#This Row],[TS]])</f>
        <v/>
      </c>
      <c r="U176" s="143" t="str">
        <f>IF(BetTable[[#This Row],[O2]]="","",(BetTable[[#This Row],[WBA2-Commission]])-BetTable[[#This Row],[TS]])</f>
        <v/>
      </c>
      <c r="V176" s="143" t="str">
        <f>IF(BetTable[[#This Row],[O3]]="","",(BetTable[[#This Row],[WBA3-Commission]])-BetTable[[#This Row],[TS]])</f>
        <v/>
      </c>
      <c r="W176" s="143">
        <f>IF(NOT(ISBLANK(BetTable[[#This Row],[B1]])),1,0)+IF(NOT(ISBLANK(BetTable[[#This Row],[B2]])),1,0)+IF(NOT(ISBLANK(BetTable[[#This Row],[B3]])),1,0)</f>
        <v>0</v>
      </c>
      <c r="X176" s="143" t="str">
        <f>IF(BetTable[[#This Row],[Outcome1]]="","",BetTable[[#This Row],[WBA1]]+BetTable[[#This Row],[WBA2]]+BetTable[[#This Row],[WBA3]]-BetTable[[#This Row],[TS]])</f>
        <v/>
      </c>
      <c r="Y176" s="143" t="str">
        <f>IF(BetTable[[#This Row],[AR]]="","",BetTable[[#This Row],[AR]]/BetTable[[#This Row],[NumBookies]])</f>
        <v/>
      </c>
      <c r="Z176" s="143">
        <f>(((BetTable[[#This Row],[O1]]-1)*BetTable[[#This Row],[S1]])*(1-(BetTable[[#This Row],[C% 1]]))+BetTable[[#This Row],[S1]])</f>
        <v>0</v>
      </c>
      <c r="AA176" s="143">
        <f>(((BetTable[[#This Row],[O2]]-1)*BetTable[[#This Row],[S2]])*(1-(BetTable[[#This Row],[C% 2]]))+BetTable[[#This Row],[S2]])</f>
        <v>0</v>
      </c>
      <c r="AB176" s="143">
        <f>(((BetTable[[#This Row],[O3]]-1)*BetTable[[#This Row],[S3]])*(1-(BetTable[[#This Row],[C% 3]]))+BetTable[[#This Row],[S3]])</f>
        <v>0</v>
      </c>
      <c r="AC176" s="147" t="str">
        <f>IFERROR(IF(BetTable[[#This Row],[Sp]]="","",BetTable[[#This Row],[R1]]/BetTable[[#This Row],[TS]]),"")</f>
        <v/>
      </c>
      <c r="AD176" s="147" t="str">
        <f>IF(BetTable[[#This Row],[O2]]="","",BetTable[[#This Row],[R2]]/BetTable[[#This Row],[TS]])</f>
        <v/>
      </c>
      <c r="AE176" s="147" t="str">
        <f>IFERROR(IF(BetTable[[#This Row],[Sp]]="","",BetTable[[#This Row],[R3]]/BetTable[[#This Row],[TS]]),"")</f>
        <v/>
      </c>
      <c r="AF176" s="147" t="str">
        <f>IFERROR(IF(BetTable[[#This Row],[Outcome1]]="","",BetTable[[#This Row],[AR]]/BetTable[[#This Row],[TS]]),"")</f>
        <v/>
      </c>
      <c r="AG17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6" s="57" t="e">
        <f>IF(BetTable[[#This Row],[Outcome1]]="",AJ175,BetTable[[#This Row],[AR]]+AJ175)</f>
        <v>#REF!</v>
      </c>
      <c r="AK176" s="39"/>
    </row>
    <row r="177" spans="1:37">
      <c r="A177" s="144"/>
      <c r="B177" s="39"/>
      <c r="C177" s="40"/>
      <c r="D177" s="40"/>
      <c r="E177" s="40"/>
      <c r="F177" s="152"/>
      <c r="G177" s="152"/>
      <c r="H177" s="152"/>
      <c r="I177" s="39"/>
      <c r="J177" s="54"/>
      <c r="K177" s="54"/>
      <c r="L177" s="54"/>
      <c r="M177" s="57"/>
      <c r="N177" s="57"/>
      <c r="O177" s="57"/>
      <c r="P177" s="55"/>
      <c r="Q177" s="55"/>
      <c r="R177" s="55"/>
      <c r="S177" s="146" t="str">
        <f>IF(BetTable[[#This Row],[Sp]]="","",BetTable[[#This Row],[S1]]+BetTable[[#This Row],[S2]]+BetTable[[#This Row],[S3]])</f>
        <v/>
      </c>
      <c r="T177" s="143" t="str">
        <f>IF(BetTable[[#This Row],[O1]]="","",(BetTable[[#This Row],[WBA1-Commission]])-BetTable[[#This Row],[TS]])</f>
        <v/>
      </c>
      <c r="U177" s="143" t="str">
        <f>IF(BetTable[[#This Row],[O2]]="","",(BetTable[[#This Row],[WBA2-Commission]])-BetTable[[#This Row],[TS]])</f>
        <v/>
      </c>
      <c r="V177" s="143" t="str">
        <f>IF(BetTable[[#This Row],[O3]]="","",(BetTable[[#This Row],[WBA3-Commission]])-BetTable[[#This Row],[TS]])</f>
        <v/>
      </c>
      <c r="W177" s="143">
        <f>IF(NOT(ISBLANK(BetTable[[#This Row],[B1]])),1,0)+IF(NOT(ISBLANK(BetTable[[#This Row],[B2]])),1,0)+IF(NOT(ISBLANK(BetTable[[#This Row],[B3]])),1,0)</f>
        <v>0</v>
      </c>
      <c r="X177" s="143" t="str">
        <f>IF(BetTable[[#This Row],[Outcome1]]="","",BetTable[[#This Row],[WBA1]]+BetTable[[#This Row],[WBA2]]+BetTable[[#This Row],[WBA3]]-BetTable[[#This Row],[TS]])</f>
        <v/>
      </c>
      <c r="Y177" s="143" t="str">
        <f>IF(BetTable[[#This Row],[AR]]="","",BetTable[[#This Row],[AR]]/BetTable[[#This Row],[NumBookies]])</f>
        <v/>
      </c>
      <c r="Z177" s="143">
        <f>(((BetTable[[#This Row],[O1]]-1)*BetTable[[#This Row],[S1]])*(1-(BetTable[[#This Row],[C% 1]]))+BetTable[[#This Row],[S1]])</f>
        <v>0</v>
      </c>
      <c r="AA177" s="143">
        <f>(((BetTable[[#This Row],[O2]]-1)*BetTable[[#This Row],[S2]])*(1-(BetTable[[#This Row],[C% 2]]))+BetTable[[#This Row],[S2]])</f>
        <v>0</v>
      </c>
      <c r="AB177" s="143">
        <f>(((BetTable[[#This Row],[O3]]-1)*BetTable[[#This Row],[S3]])*(1-(BetTable[[#This Row],[C% 3]]))+BetTable[[#This Row],[S3]])</f>
        <v>0</v>
      </c>
      <c r="AC177" s="147" t="str">
        <f>IFERROR(IF(BetTable[[#This Row],[Sp]]="","",BetTable[[#This Row],[R1]]/BetTable[[#This Row],[TS]]),"")</f>
        <v/>
      </c>
      <c r="AD177" s="147" t="str">
        <f>IF(BetTable[[#This Row],[O2]]="","",BetTable[[#This Row],[R2]]/BetTable[[#This Row],[TS]])</f>
        <v/>
      </c>
      <c r="AE177" s="147" t="str">
        <f>IFERROR(IF(BetTable[[#This Row],[Sp]]="","",BetTable[[#This Row],[R3]]/BetTable[[#This Row],[TS]]),"")</f>
        <v/>
      </c>
      <c r="AF177" s="147" t="str">
        <f>IFERROR(IF(BetTable[[#This Row],[Outcome1]]="","",BetTable[[#This Row],[AR]]/BetTable[[#This Row],[TS]]),"")</f>
        <v/>
      </c>
      <c r="AG17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7" s="57" t="e">
        <f>IF(BetTable[[#This Row],[Outcome1]]="",AJ176,BetTable[[#This Row],[AR]]+AJ176)</f>
        <v>#REF!</v>
      </c>
      <c r="AK177" s="39"/>
    </row>
    <row r="178" spans="1:37">
      <c r="A178" s="144"/>
      <c r="B178" s="39"/>
      <c r="C178" s="40"/>
      <c r="D178" s="40"/>
      <c r="E178" s="40"/>
      <c r="F178" s="152"/>
      <c r="G178" s="152"/>
      <c r="H178" s="152"/>
      <c r="I178" s="39"/>
      <c r="J178" s="54"/>
      <c r="K178" s="54"/>
      <c r="L178" s="54"/>
      <c r="M178" s="57"/>
      <c r="N178" s="57"/>
      <c r="O178" s="57"/>
      <c r="P178" s="55"/>
      <c r="Q178" s="55"/>
      <c r="R178" s="55"/>
      <c r="S178" s="146" t="str">
        <f>IF(BetTable[[#This Row],[Sp]]="","",BetTable[[#This Row],[S1]]+BetTable[[#This Row],[S2]]+BetTable[[#This Row],[S3]])</f>
        <v/>
      </c>
      <c r="T178" s="143" t="str">
        <f>IF(BetTable[[#This Row],[O1]]="","",(BetTable[[#This Row],[WBA1-Commission]])-BetTable[[#This Row],[TS]])</f>
        <v/>
      </c>
      <c r="U178" s="143" t="str">
        <f>IF(BetTable[[#This Row],[O2]]="","",(BetTable[[#This Row],[WBA2-Commission]])-BetTable[[#This Row],[TS]])</f>
        <v/>
      </c>
      <c r="V178" s="143" t="str">
        <f>IF(BetTable[[#This Row],[O3]]="","",(BetTable[[#This Row],[WBA3-Commission]])-BetTable[[#This Row],[TS]])</f>
        <v/>
      </c>
      <c r="W178" s="143">
        <f>IF(NOT(ISBLANK(BetTable[[#This Row],[B1]])),1,0)+IF(NOT(ISBLANK(BetTable[[#This Row],[B2]])),1,0)+IF(NOT(ISBLANK(BetTable[[#This Row],[B3]])),1,0)</f>
        <v>0</v>
      </c>
      <c r="X178" s="143" t="str">
        <f>IF(BetTable[[#This Row],[Outcome1]]="","",BetTable[[#This Row],[WBA1]]+BetTable[[#This Row],[WBA2]]+BetTable[[#This Row],[WBA3]]-BetTable[[#This Row],[TS]])</f>
        <v/>
      </c>
      <c r="Y178" s="143" t="str">
        <f>IF(BetTable[[#This Row],[AR]]="","",BetTable[[#This Row],[AR]]/BetTable[[#This Row],[NumBookies]])</f>
        <v/>
      </c>
      <c r="Z178" s="143">
        <f>(((BetTable[[#This Row],[O1]]-1)*BetTable[[#This Row],[S1]])*(1-(BetTable[[#This Row],[C% 1]]))+BetTable[[#This Row],[S1]])</f>
        <v>0</v>
      </c>
      <c r="AA178" s="143">
        <f>(((BetTable[[#This Row],[O2]]-1)*BetTable[[#This Row],[S2]])*(1-(BetTable[[#This Row],[C% 2]]))+BetTable[[#This Row],[S2]])</f>
        <v>0</v>
      </c>
      <c r="AB178" s="143">
        <f>(((BetTable[[#This Row],[O3]]-1)*BetTable[[#This Row],[S3]])*(1-(BetTable[[#This Row],[C% 3]]))+BetTable[[#This Row],[S3]])</f>
        <v>0</v>
      </c>
      <c r="AC178" s="147" t="str">
        <f>IFERROR(IF(BetTable[[#This Row],[Sp]]="","",BetTable[[#This Row],[R1]]/BetTable[[#This Row],[TS]]),"")</f>
        <v/>
      </c>
      <c r="AD178" s="147" t="str">
        <f>IF(BetTable[[#This Row],[O2]]="","",BetTable[[#This Row],[R2]]/BetTable[[#This Row],[TS]])</f>
        <v/>
      </c>
      <c r="AE178" s="147" t="str">
        <f>IFERROR(IF(BetTable[[#This Row],[Sp]]="","",BetTable[[#This Row],[R3]]/BetTable[[#This Row],[TS]]),"")</f>
        <v/>
      </c>
      <c r="AF178" s="147" t="str">
        <f>IFERROR(IF(BetTable[[#This Row],[Outcome1]]="","",BetTable[[#This Row],[AR]]/BetTable[[#This Row],[TS]]),"")</f>
        <v/>
      </c>
      <c r="AG17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8" s="57" t="e">
        <f>IF(BetTable[[#This Row],[Outcome1]]="",AJ177,BetTable[[#This Row],[AR]]+AJ177)</f>
        <v>#REF!</v>
      </c>
      <c r="AK178" s="39"/>
    </row>
    <row r="179" spans="1:37">
      <c r="A179" s="144"/>
      <c r="B179" s="39"/>
      <c r="C179" s="40"/>
      <c r="D179" s="40"/>
      <c r="E179" s="40"/>
      <c r="F179" s="152"/>
      <c r="G179" s="152"/>
      <c r="H179" s="152"/>
      <c r="I179" s="39"/>
      <c r="J179" s="54"/>
      <c r="K179" s="54"/>
      <c r="L179" s="54"/>
      <c r="M179" s="57"/>
      <c r="N179" s="57"/>
      <c r="O179" s="57"/>
      <c r="P179" s="55"/>
      <c r="Q179" s="55"/>
      <c r="R179" s="55"/>
      <c r="S179" s="146" t="str">
        <f>IF(BetTable[[#This Row],[Sp]]="","",BetTable[[#This Row],[S1]]+BetTable[[#This Row],[S2]]+BetTable[[#This Row],[S3]])</f>
        <v/>
      </c>
      <c r="T179" s="143" t="str">
        <f>IF(BetTable[[#This Row],[O1]]="","",(BetTable[[#This Row],[WBA1-Commission]])-BetTable[[#This Row],[TS]])</f>
        <v/>
      </c>
      <c r="U179" s="143" t="str">
        <f>IF(BetTable[[#This Row],[O2]]="","",(BetTable[[#This Row],[WBA2-Commission]])-BetTable[[#This Row],[TS]])</f>
        <v/>
      </c>
      <c r="V179" s="143" t="str">
        <f>IF(BetTable[[#This Row],[O3]]="","",(BetTable[[#This Row],[WBA3-Commission]])-BetTable[[#This Row],[TS]])</f>
        <v/>
      </c>
      <c r="W179" s="143">
        <f>IF(NOT(ISBLANK(BetTable[[#This Row],[B1]])),1,0)+IF(NOT(ISBLANK(BetTable[[#This Row],[B2]])),1,0)+IF(NOT(ISBLANK(BetTable[[#This Row],[B3]])),1,0)</f>
        <v>0</v>
      </c>
      <c r="X179" s="143" t="str">
        <f>IF(BetTable[[#This Row],[Outcome1]]="","",BetTable[[#This Row],[WBA1]]+BetTable[[#This Row],[WBA2]]+BetTable[[#This Row],[WBA3]]-BetTable[[#This Row],[TS]])</f>
        <v/>
      </c>
      <c r="Y179" s="143" t="str">
        <f>IF(BetTable[[#This Row],[AR]]="","",BetTable[[#This Row],[AR]]/BetTable[[#This Row],[NumBookies]])</f>
        <v/>
      </c>
      <c r="Z179" s="143">
        <f>(((BetTable[[#This Row],[O1]]-1)*BetTable[[#This Row],[S1]])*(1-(BetTable[[#This Row],[C% 1]]))+BetTable[[#This Row],[S1]])</f>
        <v>0</v>
      </c>
      <c r="AA179" s="143">
        <f>(((BetTable[[#This Row],[O2]]-1)*BetTable[[#This Row],[S2]])*(1-(BetTable[[#This Row],[C% 2]]))+BetTable[[#This Row],[S2]])</f>
        <v>0</v>
      </c>
      <c r="AB179" s="143">
        <f>(((BetTable[[#This Row],[O3]]-1)*BetTable[[#This Row],[S3]])*(1-(BetTable[[#This Row],[C% 3]]))+BetTable[[#This Row],[S3]])</f>
        <v>0</v>
      </c>
      <c r="AC179" s="147" t="str">
        <f>IFERROR(IF(BetTable[[#This Row],[Sp]]="","",BetTable[[#This Row],[R1]]/BetTable[[#This Row],[TS]]),"")</f>
        <v/>
      </c>
      <c r="AD179" s="147" t="str">
        <f>IF(BetTable[[#This Row],[O2]]="","",BetTable[[#This Row],[R2]]/BetTable[[#This Row],[TS]])</f>
        <v/>
      </c>
      <c r="AE179" s="147" t="str">
        <f>IFERROR(IF(BetTable[[#This Row],[Sp]]="","",BetTable[[#This Row],[R3]]/BetTable[[#This Row],[TS]]),"")</f>
        <v/>
      </c>
      <c r="AF179" s="147" t="str">
        <f>IFERROR(IF(BetTable[[#This Row],[Outcome1]]="","",BetTable[[#This Row],[AR]]/BetTable[[#This Row],[TS]]),"")</f>
        <v/>
      </c>
      <c r="AG17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7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7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79" s="57" t="e">
        <f>IF(BetTable[[#This Row],[Outcome1]]="",AJ178,BetTable[[#This Row],[AR]]+AJ178)</f>
        <v>#REF!</v>
      </c>
      <c r="AK179" s="39"/>
    </row>
    <row r="180" spans="1:37">
      <c r="A180" s="144"/>
      <c r="B180" s="39"/>
      <c r="C180" s="40"/>
      <c r="D180" s="40"/>
      <c r="E180" s="40"/>
      <c r="F180" s="152"/>
      <c r="G180" s="152"/>
      <c r="H180" s="152"/>
      <c r="I180" s="39"/>
      <c r="J180" s="54"/>
      <c r="K180" s="54"/>
      <c r="L180" s="54"/>
      <c r="M180" s="57"/>
      <c r="N180" s="57"/>
      <c r="O180" s="57"/>
      <c r="P180" s="55"/>
      <c r="Q180" s="55"/>
      <c r="R180" s="55"/>
      <c r="S180" s="146" t="str">
        <f>IF(BetTable[[#This Row],[Sp]]="","",BetTable[[#This Row],[S1]]+BetTable[[#This Row],[S2]]+BetTable[[#This Row],[S3]])</f>
        <v/>
      </c>
      <c r="T180" s="143" t="str">
        <f>IF(BetTable[[#This Row],[O1]]="","",(BetTable[[#This Row],[WBA1-Commission]])-BetTable[[#This Row],[TS]])</f>
        <v/>
      </c>
      <c r="U180" s="143" t="str">
        <f>IF(BetTable[[#This Row],[O2]]="","",(BetTable[[#This Row],[WBA2-Commission]])-BetTable[[#This Row],[TS]])</f>
        <v/>
      </c>
      <c r="V180" s="143" t="str">
        <f>IF(BetTable[[#This Row],[O3]]="","",(BetTable[[#This Row],[WBA3-Commission]])-BetTable[[#This Row],[TS]])</f>
        <v/>
      </c>
      <c r="W180" s="143">
        <f>IF(NOT(ISBLANK(BetTable[[#This Row],[B1]])),1,0)+IF(NOT(ISBLANK(BetTable[[#This Row],[B2]])),1,0)+IF(NOT(ISBLANK(BetTable[[#This Row],[B3]])),1,0)</f>
        <v>0</v>
      </c>
      <c r="X180" s="143" t="str">
        <f>IF(BetTable[[#This Row],[Outcome1]]="","",BetTable[[#This Row],[WBA1]]+BetTable[[#This Row],[WBA2]]+BetTable[[#This Row],[WBA3]]-BetTable[[#This Row],[TS]])</f>
        <v/>
      </c>
      <c r="Y180" s="143" t="str">
        <f>IF(BetTable[[#This Row],[AR]]="","",BetTable[[#This Row],[AR]]/BetTable[[#This Row],[NumBookies]])</f>
        <v/>
      </c>
      <c r="Z180" s="143">
        <f>(((BetTable[[#This Row],[O1]]-1)*BetTable[[#This Row],[S1]])*(1-(BetTable[[#This Row],[C% 1]]))+BetTable[[#This Row],[S1]])</f>
        <v>0</v>
      </c>
      <c r="AA180" s="143">
        <f>(((BetTable[[#This Row],[O2]]-1)*BetTable[[#This Row],[S2]])*(1-(BetTable[[#This Row],[C% 2]]))+BetTable[[#This Row],[S2]])</f>
        <v>0</v>
      </c>
      <c r="AB180" s="143">
        <f>(((BetTable[[#This Row],[O3]]-1)*BetTable[[#This Row],[S3]])*(1-(BetTable[[#This Row],[C% 3]]))+BetTable[[#This Row],[S3]])</f>
        <v>0</v>
      </c>
      <c r="AC180" s="147" t="str">
        <f>IFERROR(IF(BetTable[[#This Row],[Sp]]="","",BetTable[[#This Row],[R1]]/BetTable[[#This Row],[TS]]),"")</f>
        <v/>
      </c>
      <c r="AD180" s="147" t="str">
        <f>IF(BetTable[[#This Row],[O2]]="","",BetTable[[#This Row],[R2]]/BetTable[[#This Row],[TS]])</f>
        <v/>
      </c>
      <c r="AE180" s="147" t="str">
        <f>IFERROR(IF(BetTable[[#This Row],[Sp]]="","",BetTable[[#This Row],[R3]]/BetTable[[#This Row],[TS]]),"")</f>
        <v/>
      </c>
      <c r="AF180" s="147" t="str">
        <f>IFERROR(IF(BetTable[[#This Row],[Outcome1]]="","",BetTable[[#This Row],[AR]]/BetTable[[#This Row],[TS]]),"")</f>
        <v/>
      </c>
      <c r="AG18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0" s="57" t="e">
        <f>IF(BetTable[[#This Row],[Outcome1]]="",AJ179,BetTable[[#This Row],[AR]]+AJ179)</f>
        <v>#REF!</v>
      </c>
      <c r="AK180" s="39"/>
    </row>
    <row r="181" spans="1:37">
      <c r="A181" s="144"/>
      <c r="B181" s="39"/>
      <c r="C181" s="40"/>
      <c r="D181" s="40"/>
      <c r="E181" s="40"/>
      <c r="F181" s="152"/>
      <c r="G181" s="152"/>
      <c r="H181" s="152"/>
      <c r="I181" s="39"/>
      <c r="J181" s="54"/>
      <c r="K181" s="54"/>
      <c r="L181" s="54"/>
      <c r="M181" s="57"/>
      <c r="N181" s="57"/>
      <c r="O181" s="57"/>
      <c r="P181" s="55"/>
      <c r="Q181" s="55"/>
      <c r="R181" s="55"/>
      <c r="S181" s="146" t="str">
        <f>IF(BetTable[[#This Row],[Sp]]="","",BetTable[[#This Row],[S1]]+BetTable[[#This Row],[S2]]+BetTable[[#This Row],[S3]])</f>
        <v/>
      </c>
      <c r="T181" s="143" t="str">
        <f>IF(BetTable[[#This Row],[O1]]="","",(BetTable[[#This Row],[WBA1-Commission]])-BetTable[[#This Row],[TS]])</f>
        <v/>
      </c>
      <c r="U181" s="143" t="str">
        <f>IF(BetTable[[#This Row],[O2]]="","",(BetTable[[#This Row],[WBA2-Commission]])-BetTable[[#This Row],[TS]])</f>
        <v/>
      </c>
      <c r="V181" s="143" t="str">
        <f>IF(BetTable[[#This Row],[O3]]="","",(BetTable[[#This Row],[WBA3-Commission]])-BetTable[[#This Row],[TS]])</f>
        <v/>
      </c>
      <c r="W181" s="143">
        <f>IF(NOT(ISBLANK(BetTable[[#This Row],[B1]])),1,0)+IF(NOT(ISBLANK(BetTable[[#This Row],[B2]])),1,0)+IF(NOT(ISBLANK(BetTable[[#This Row],[B3]])),1,0)</f>
        <v>0</v>
      </c>
      <c r="X181" s="143" t="str">
        <f>IF(BetTable[[#This Row],[Outcome1]]="","",BetTable[[#This Row],[WBA1]]+BetTable[[#This Row],[WBA2]]+BetTable[[#This Row],[WBA3]]-BetTable[[#This Row],[TS]])</f>
        <v/>
      </c>
      <c r="Y181" s="143" t="str">
        <f>IF(BetTable[[#This Row],[AR]]="","",BetTable[[#This Row],[AR]]/BetTable[[#This Row],[NumBookies]])</f>
        <v/>
      </c>
      <c r="Z181" s="143">
        <f>(((BetTable[[#This Row],[O1]]-1)*BetTable[[#This Row],[S1]])*(1-(BetTable[[#This Row],[C% 1]]))+BetTable[[#This Row],[S1]])</f>
        <v>0</v>
      </c>
      <c r="AA181" s="143">
        <f>(((BetTable[[#This Row],[O2]]-1)*BetTable[[#This Row],[S2]])*(1-(BetTable[[#This Row],[C% 2]]))+BetTable[[#This Row],[S2]])</f>
        <v>0</v>
      </c>
      <c r="AB181" s="143">
        <f>(((BetTable[[#This Row],[O3]]-1)*BetTable[[#This Row],[S3]])*(1-(BetTable[[#This Row],[C% 3]]))+BetTable[[#This Row],[S3]])</f>
        <v>0</v>
      </c>
      <c r="AC181" s="147" t="str">
        <f>IFERROR(IF(BetTable[[#This Row],[Sp]]="","",BetTable[[#This Row],[R1]]/BetTable[[#This Row],[TS]]),"")</f>
        <v/>
      </c>
      <c r="AD181" s="147" t="str">
        <f>IF(BetTable[[#This Row],[O2]]="","",BetTable[[#This Row],[R2]]/BetTable[[#This Row],[TS]])</f>
        <v/>
      </c>
      <c r="AE181" s="147" t="str">
        <f>IFERROR(IF(BetTable[[#This Row],[Sp]]="","",BetTable[[#This Row],[R3]]/BetTable[[#This Row],[TS]]),"")</f>
        <v/>
      </c>
      <c r="AF181" s="147" t="str">
        <f>IFERROR(IF(BetTable[[#This Row],[Outcome1]]="","",BetTable[[#This Row],[AR]]/BetTable[[#This Row],[TS]]),"")</f>
        <v/>
      </c>
      <c r="AG18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1" s="57" t="e">
        <f>IF(BetTable[[#This Row],[Outcome1]]="",AJ180,BetTable[[#This Row],[AR]]+AJ180)</f>
        <v>#REF!</v>
      </c>
      <c r="AK181" s="39"/>
    </row>
    <row r="182" spans="1:37">
      <c r="A182" s="144"/>
      <c r="B182" s="39"/>
      <c r="C182" s="40"/>
      <c r="D182" s="40"/>
      <c r="E182" s="40"/>
      <c r="F182" s="152"/>
      <c r="G182" s="152"/>
      <c r="H182" s="152"/>
      <c r="I182" s="39"/>
      <c r="J182" s="54"/>
      <c r="K182" s="54"/>
      <c r="L182" s="54"/>
      <c r="M182" s="57"/>
      <c r="N182" s="57"/>
      <c r="O182" s="57"/>
      <c r="P182" s="55"/>
      <c r="Q182" s="55"/>
      <c r="R182" s="55"/>
      <c r="S182" s="146" t="str">
        <f>IF(BetTable[[#This Row],[Sp]]="","",BetTable[[#This Row],[S1]]+BetTable[[#This Row],[S2]]+BetTable[[#This Row],[S3]])</f>
        <v/>
      </c>
      <c r="T182" s="143" t="str">
        <f>IF(BetTable[[#This Row],[O1]]="","",(BetTable[[#This Row],[WBA1-Commission]])-BetTable[[#This Row],[TS]])</f>
        <v/>
      </c>
      <c r="U182" s="143" t="str">
        <f>IF(BetTable[[#This Row],[O2]]="","",(BetTable[[#This Row],[WBA2-Commission]])-BetTable[[#This Row],[TS]])</f>
        <v/>
      </c>
      <c r="V182" s="143" t="str">
        <f>IF(BetTable[[#This Row],[O3]]="","",(BetTable[[#This Row],[WBA3-Commission]])-BetTable[[#This Row],[TS]])</f>
        <v/>
      </c>
      <c r="W182" s="143">
        <f>IF(NOT(ISBLANK(BetTable[[#This Row],[B1]])),1,0)+IF(NOT(ISBLANK(BetTable[[#This Row],[B2]])),1,0)+IF(NOT(ISBLANK(BetTable[[#This Row],[B3]])),1,0)</f>
        <v>0</v>
      </c>
      <c r="X182" s="143" t="str">
        <f>IF(BetTable[[#This Row],[Outcome1]]="","",BetTable[[#This Row],[WBA1]]+BetTable[[#This Row],[WBA2]]+BetTable[[#This Row],[WBA3]]-BetTable[[#This Row],[TS]])</f>
        <v/>
      </c>
      <c r="Y182" s="143" t="str">
        <f>IF(BetTable[[#This Row],[AR]]="","",BetTable[[#This Row],[AR]]/BetTable[[#This Row],[NumBookies]])</f>
        <v/>
      </c>
      <c r="Z182" s="143">
        <f>(((BetTable[[#This Row],[O1]]-1)*BetTable[[#This Row],[S1]])*(1-(BetTable[[#This Row],[C% 1]]))+BetTable[[#This Row],[S1]])</f>
        <v>0</v>
      </c>
      <c r="AA182" s="143">
        <f>(((BetTable[[#This Row],[O2]]-1)*BetTable[[#This Row],[S2]])*(1-(BetTable[[#This Row],[C% 2]]))+BetTable[[#This Row],[S2]])</f>
        <v>0</v>
      </c>
      <c r="AB182" s="143">
        <f>(((BetTable[[#This Row],[O3]]-1)*BetTable[[#This Row],[S3]])*(1-(BetTable[[#This Row],[C% 3]]))+BetTable[[#This Row],[S3]])</f>
        <v>0</v>
      </c>
      <c r="AC182" s="147" t="str">
        <f>IFERROR(IF(BetTable[[#This Row],[Sp]]="","",BetTable[[#This Row],[R1]]/BetTable[[#This Row],[TS]]),"")</f>
        <v/>
      </c>
      <c r="AD182" s="147" t="str">
        <f>IF(BetTable[[#This Row],[O2]]="","",BetTable[[#This Row],[R2]]/BetTable[[#This Row],[TS]])</f>
        <v/>
      </c>
      <c r="AE182" s="147" t="str">
        <f>IFERROR(IF(BetTable[[#This Row],[Sp]]="","",BetTable[[#This Row],[R3]]/BetTable[[#This Row],[TS]]),"")</f>
        <v/>
      </c>
      <c r="AF182" s="147" t="str">
        <f>IFERROR(IF(BetTable[[#This Row],[Outcome1]]="","",BetTable[[#This Row],[AR]]/BetTable[[#This Row],[TS]]),"")</f>
        <v/>
      </c>
      <c r="AG18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2" s="57" t="e">
        <f>IF(BetTable[[#This Row],[Outcome1]]="",AJ181,BetTable[[#This Row],[AR]]+AJ181)</f>
        <v>#REF!</v>
      </c>
      <c r="AK182" s="39"/>
    </row>
    <row r="183" spans="1:37">
      <c r="A183" s="144"/>
      <c r="B183" s="39"/>
      <c r="C183" s="40"/>
      <c r="D183" s="40"/>
      <c r="E183" s="40"/>
      <c r="F183" s="152"/>
      <c r="G183" s="152"/>
      <c r="H183" s="152"/>
      <c r="I183" s="39"/>
      <c r="J183" s="54"/>
      <c r="K183" s="54"/>
      <c r="L183" s="54"/>
      <c r="M183" s="57"/>
      <c r="N183" s="57"/>
      <c r="O183" s="57"/>
      <c r="P183" s="55"/>
      <c r="Q183" s="55"/>
      <c r="R183" s="55"/>
      <c r="S183" s="146" t="str">
        <f>IF(BetTable[[#This Row],[Sp]]="","",BetTable[[#This Row],[S1]]+BetTable[[#This Row],[S2]]+BetTable[[#This Row],[S3]])</f>
        <v/>
      </c>
      <c r="T183" s="143" t="str">
        <f>IF(BetTable[[#This Row],[O1]]="","",(BetTable[[#This Row],[WBA1-Commission]])-BetTable[[#This Row],[TS]])</f>
        <v/>
      </c>
      <c r="U183" s="143" t="str">
        <f>IF(BetTable[[#This Row],[O2]]="","",(BetTable[[#This Row],[WBA2-Commission]])-BetTable[[#This Row],[TS]])</f>
        <v/>
      </c>
      <c r="V183" s="143" t="str">
        <f>IF(BetTable[[#This Row],[O3]]="","",(BetTable[[#This Row],[WBA3-Commission]])-BetTable[[#This Row],[TS]])</f>
        <v/>
      </c>
      <c r="W183" s="143">
        <f>IF(NOT(ISBLANK(BetTable[[#This Row],[B1]])),1,0)+IF(NOT(ISBLANK(BetTable[[#This Row],[B2]])),1,0)+IF(NOT(ISBLANK(BetTable[[#This Row],[B3]])),1,0)</f>
        <v>0</v>
      </c>
      <c r="X183" s="143" t="str">
        <f>IF(BetTable[[#This Row],[Outcome1]]="","",BetTable[[#This Row],[WBA1]]+BetTable[[#This Row],[WBA2]]+BetTable[[#This Row],[WBA3]]-BetTable[[#This Row],[TS]])</f>
        <v/>
      </c>
      <c r="Y183" s="143" t="str">
        <f>IF(BetTable[[#This Row],[AR]]="","",BetTable[[#This Row],[AR]]/BetTable[[#This Row],[NumBookies]])</f>
        <v/>
      </c>
      <c r="Z183" s="143">
        <f>(((BetTable[[#This Row],[O1]]-1)*BetTable[[#This Row],[S1]])*(1-(BetTable[[#This Row],[C% 1]]))+BetTable[[#This Row],[S1]])</f>
        <v>0</v>
      </c>
      <c r="AA183" s="143">
        <f>(((BetTable[[#This Row],[O2]]-1)*BetTable[[#This Row],[S2]])*(1-(BetTable[[#This Row],[C% 2]]))+BetTable[[#This Row],[S2]])</f>
        <v>0</v>
      </c>
      <c r="AB183" s="143">
        <f>(((BetTable[[#This Row],[O3]]-1)*BetTable[[#This Row],[S3]])*(1-(BetTable[[#This Row],[C% 3]]))+BetTable[[#This Row],[S3]])</f>
        <v>0</v>
      </c>
      <c r="AC183" s="147" t="str">
        <f>IFERROR(IF(BetTable[[#This Row],[Sp]]="","",BetTable[[#This Row],[R1]]/BetTable[[#This Row],[TS]]),"")</f>
        <v/>
      </c>
      <c r="AD183" s="147" t="str">
        <f>IF(BetTable[[#This Row],[O2]]="","",BetTable[[#This Row],[R2]]/BetTable[[#This Row],[TS]])</f>
        <v/>
      </c>
      <c r="AE183" s="147" t="str">
        <f>IFERROR(IF(BetTable[[#This Row],[Sp]]="","",BetTable[[#This Row],[R3]]/BetTable[[#This Row],[TS]]),"")</f>
        <v/>
      </c>
      <c r="AF183" s="147" t="str">
        <f>IFERROR(IF(BetTable[[#This Row],[Outcome1]]="","",BetTable[[#This Row],[AR]]/BetTable[[#This Row],[TS]]),"")</f>
        <v/>
      </c>
      <c r="AG18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3" s="57" t="e">
        <f>IF(BetTable[[#This Row],[Outcome1]]="",AJ182,BetTable[[#This Row],[AR]]+AJ182)</f>
        <v>#REF!</v>
      </c>
      <c r="AK183" s="39"/>
    </row>
    <row r="184" spans="1:37">
      <c r="A184" s="144"/>
      <c r="B184" s="39"/>
      <c r="C184" s="40"/>
      <c r="D184" s="40"/>
      <c r="E184" s="40"/>
      <c r="F184" s="152"/>
      <c r="G184" s="152"/>
      <c r="H184" s="152"/>
      <c r="I184" s="39"/>
      <c r="J184" s="54"/>
      <c r="K184" s="54"/>
      <c r="L184" s="54"/>
      <c r="M184" s="57"/>
      <c r="N184" s="57"/>
      <c r="O184" s="57"/>
      <c r="P184" s="55"/>
      <c r="Q184" s="55"/>
      <c r="R184" s="55"/>
      <c r="S184" s="146" t="str">
        <f>IF(BetTable[[#This Row],[Sp]]="","",BetTable[[#This Row],[S1]]+BetTable[[#This Row],[S2]]+BetTable[[#This Row],[S3]])</f>
        <v/>
      </c>
      <c r="T184" s="143" t="str">
        <f>IF(BetTable[[#This Row],[O1]]="","",(BetTable[[#This Row],[WBA1-Commission]])-BetTable[[#This Row],[TS]])</f>
        <v/>
      </c>
      <c r="U184" s="143" t="str">
        <f>IF(BetTable[[#This Row],[O2]]="","",(BetTable[[#This Row],[WBA2-Commission]])-BetTable[[#This Row],[TS]])</f>
        <v/>
      </c>
      <c r="V184" s="143" t="str">
        <f>IF(BetTable[[#This Row],[O3]]="","",(BetTable[[#This Row],[WBA3-Commission]])-BetTable[[#This Row],[TS]])</f>
        <v/>
      </c>
      <c r="W184" s="143">
        <f>IF(NOT(ISBLANK(BetTable[[#This Row],[B1]])),1,0)+IF(NOT(ISBLANK(BetTable[[#This Row],[B2]])),1,0)+IF(NOT(ISBLANK(BetTable[[#This Row],[B3]])),1,0)</f>
        <v>0</v>
      </c>
      <c r="X184" s="143" t="str">
        <f>IF(BetTable[[#This Row],[Outcome1]]="","",BetTable[[#This Row],[WBA1]]+BetTable[[#This Row],[WBA2]]+BetTable[[#This Row],[WBA3]]-BetTable[[#This Row],[TS]])</f>
        <v/>
      </c>
      <c r="Y184" s="143" t="str">
        <f>IF(BetTable[[#This Row],[AR]]="","",BetTable[[#This Row],[AR]]/BetTable[[#This Row],[NumBookies]])</f>
        <v/>
      </c>
      <c r="Z184" s="143">
        <f>(((BetTable[[#This Row],[O1]]-1)*BetTable[[#This Row],[S1]])*(1-(BetTable[[#This Row],[C% 1]]))+BetTable[[#This Row],[S1]])</f>
        <v>0</v>
      </c>
      <c r="AA184" s="143">
        <f>(((BetTable[[#This Row],[O2]]-1)*BetTable[[#This Row],[S2]])*(1-(BetTable[[#This Row],[C% 2]]))+BetTable[[#This Row],[S2]])</f>
        <v>0</v>
      </c>
      <c r="AB184" s="143">
        <f>(((BetTable[[#This Row],[O3]]-1)*BetTable[[#This Row],[S3]])*(1-(BetTable[[#This Row],[C% 3]]))+BetTable[[#This Row],[S3]])</f>
        <v>0</v>
      </c>
      <c r="AC184" s="147" t="str">
        <f>IFERROR(IF(BetTable[[#This Row],[Sp]]="","",BetTable[[#This Row],[R1]]/BetTable[[#This Row],[TS]]),"")</f>
        <v/>
      </c>
      <c r="AD184" s="147" t="str">
        <f>IF(BetTable[[#This Row],[O2]]="","",BetTable[[#This Row],[R2]]/BetTable[[#This Row],[TS]])</f>
        <v/>
      </c>
      <c r="AE184" s="147" t="str">
        <f>IFERROR(IF(BetTable[[#This Row],[Sp]]="","",BetTable[[#This Row],[R3]]/BetTable[[#This Row],[TS]]),"")</f>
        <v/>
      </c>
      <c r="AF184" s="147" t="str">
        <f>IFERROR(IF(BetTable[[#This Row],[Outcome1]]="","",BetTable[[#This Row],[AR]]/BetTable[[#This Row],[TS]]),"")</f>
        <v/>
      </c>
      <c r="AG18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4" s="57" t="e">
        <f>IF(BetTable[[#This Row],[Outcome1]]="",AJ183,BetTable[[#This Row],[AR]]+AJ183)</f>
        <v>#REF!</v>
      </c>
      <c r="AK184" s="39"/>
    </row>
    <row r="185" spans="1:37">
      <c r="A185" s="144"/>
      <c r="B185" s="39"/>
      <c r="C185" s="40"/>
      <c r="D185" s="40"/>
      <c r="E185" s="40"/>
      <c r="F185" s="152"/>
      <c r="G185" s="152"/>
      <c r="H185" s="152"/>
      <c r="I185" s="39"/>
      <c r="J185" s="54"/>
      <c r="K185" s="54"/>
      <c r="L185" s="54"/>
      <c r="M185" s="57"/>
      <c r="N185" s="57"/>
      <c r="O185" s="57"/>
      <c r="P185" s="55"/>
      <c r="Q185" s="55"/>
      <c r="R185" s="55"/>
      <c r="S185" s="146" t="str">
        <f>IF(BetTable[[#This Row],[Sp]]="","",BetTable[[#This Row],[S1]]+BetTable[[#This Row],[S2]]+BetTable[[#This Row],[S3]])</f>
        <v/>
      </c>
      <c r="T185" s="143" t="str">
        <f>IF(BetTable[[#This Row],[O1]]="","",(BetTable[[#This Row],[WBA1-Commission]])-BetTable[[#This Row],[TS]])</f>
        <v/>
      </c>
      <c r="U185" s="143" t="str">
        <f>IF(BetTable[[#This Row],[O2]]="","",(BetTable[[#This Row],[WBA2-Commission]])-BetTable[[#This Row],[TS]])</f>
        <v/>
      </c>
      <c r="V185" s="143" t="str">
        <f>IF(BetTable[[#This Row],[O3]]="","",(BetTable[[#This Row],[WBA3-Commission]])-BetTable[[#This Row],[TS]])</f>
        <v/>
      </c>
      <c r="W185" s="143">
        <f>IF(NOT(ISBLANK(BetTable[[#This Row],[B1]])),1,0)+IF(NOT(ISBLANK(BetTable[[#This Row],[B2]])),1,0)+IF(NOT(ISBLANK(BetTable[[#This Row],[B3]])),1,0)</f>
        <v>0</v>
      </c>
      <c r="X185" s="143" t="str">
        <f>IF(BetTable[[#This Row],[Outcome1]]="","",BetTable[[#This Row],[WBA1]]+BetTable[[#This Row],[WBA2]]+BetTable[[#This Row],[WBA3]]-BetTable[[#This Row],[TS]])</f>
        <v/>
      </c>
      <c r="Y185" s="143" t="str">
        <f>IF(BetTable[[#This Row],[AR]]="","",BetTable[[#This Row],[AR]]/BetTable[[#This Row],[NumBookies]])</f>
        <v/>
      </c>
      <c r="Z185" s="143">
        <f>(((BetTable[[#This Row],[O1]]-1)*BetTable[[#This Row],[S1]])*(1-(BetTable[[#This Row],[C% 1]]))+BetTable[[#This Row],[S1]])</f>
        <v>0</v>
      </c>
      <c r="AA185" s="143">
        <f>(((BetTable[[#This Row],[O2]]-1)*BetTable[[#This Row],[S2]])*(1-(BetTable[[#This Row],[C% 2]]))+BetTable[[#This Row],[S2]])</f>
        <v>0</v>
      </c>
      <c r="AB185" s="143">
        <f>(((BetTable[[#This Row],[O3]]-1)*BetTable[[#This Row],[S3]])*(1-(BetTable[[#This Row],[C% 3]]))+BetTable[[#This Row],[S3]])</f>
        <v>0</v>
      </c>
      <c r="AC185" s="147" t="str">
        <f>IFERROR(IF(BetTable[[#This Row],[Sp]]="","",BetTable[[#This Row],[R1]]/BetTable[[#This Row],[TS]]),"")</f>
        <v/>
      </c>
      <c r="AD185" s="147" t="str">
        <f>IF(BetTable[[#This Row],[O2]]="","",BetTable[[#This Row],[R2]]/BetTable[[#This Row],[TS]])</f>
        <v/>
      </c>
      <c r="AE185" s="147" t="str">
        <f>IFERROR(IF(BetTable[[#This Row],[Sp]]="","",BetTable[[#This Row],[R3]]/BetTable[[#This Row],[TS]]),"")</f>
        <v/>
      </c>
      <c r="AF185" s="147" t="str">
        <f>IFERROR(IF(BetTable[[#This Row],[Outcome1]]="","",BetTable[[#This Row],[AR]]/BetTable[[#This Row],[TS]]),"")</f>
        <v/>
      </c>
      <c r="AG18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5" s="57" t="e">
        <f>IF(BetTable[[#This Row],[Outcome1]]="",AJ184,BetTable[[#This Row],[AR]]+AJ184)</f>
        <v>#REF!</v>
      </c>
      <c r="AK185" s="39"/>
    </row>
    <row r="186" spans="1:37">
      <c r="A186" s="144"/>
      <c r="B186" s="39"/>
      <c r="C186" s="40"/>
      <c r="D186" s="40"/>
      <c r="E186" s="40"/>
      <c r="F186" s="152"/>
      <c r="G186" s="152"/>
      <c r="H186" s="152"/>
      <c r="I186" s="39"/>
      <c r="J186" s="54"/>
      <c r="K186" s="54"/>
      <c r="L186" s="54"/>
      <c r="M186" s="57"/>
      <c r="N186" s="57"/>
      <c r="O186" s="57"/>
      <c r="P186" s="55"/>
      <c r="Q186" s="55"/>
      <c r="R186" s="55"/>
      <c r="S186" s="146" t="str">
        <f>IF(BetTable[[#This Row],[Sp]]="","",BetTable[[#This Row],[S1]]+BetTable[[#This Row],[S2]]+BetTable[[#This Row],[S3]])</f>
        <v/>
      </c>
      <c r="T186" s="143" t="str">
        <f>IF(BetTable[[#This Row],[O1]]="","",(BetTable[[#This Row],[WBA1-Commission]])-BetTable[[#This Row],[TS]])</f>
        <v/>
      </c>
      <c r="U186" s="143" t="str">
        <f>IF(BetTable[[#This Row],[O2]]="","",(BetTable[[#This Row],[WBA2-Commission]])-BetTable[[#This Row],[TS]])</f>
        <v/>
      </c>
      <c r="V186" s="143" t="str">
        <f>IF(BetTable[[#This Row],[O3]]="","",(BetTable[[#This Row],[WBA3-Commission]])-BetTable[[#This Row],[TS]])</f>
        <v/>
      </c>
      <c r="W186" s="143">
        <f>IF(NOT(ISBLANK(BetTable[[#This Row],[B1]])),1,0)+IF(NOT(ISBLANK(BetTable[[#This Row],[B2]])),1,0)+IF(NOT(ISBLANK(BetTable[[#This Row],[B3]])),1,0)</f>
        <v>0</v>
      </c>
      <c r="X186" s="143" t="str">
        <f>IF(BetTable[[#This Row],[Outcome1]]="","",BetTable[[#This Row],[WBA1]]+BetTable[[#This Row],[WBA2]]+BetTable[[#This Row],[WBA3]]-BetTable[[#This Row],[TS]])</f>
        <v/>
      </c>
      <c r="Y186" s="143" t="str">
        <f>IF(BetTable[[#This Row],[AR]]="","",BetTable[[#This Row],[AR]]/BetTable[[#This Row],[NumBookies]])</f>
        <v/>
      </c>
      <c r="Z186" s="143">
        <f>(((BetTable[[#This Row],[O1]]-1)*BetTable[[#This Row],[S1]])*(1-(BetTable[[#This Row],[C% 1]]))+BetTable[[#This Row],[S1]])</f>
        <v>0</v>
      </c>
      <c r="AA186" s="143">
        <f>(((BetTable[[#This Row],[O2]]-1)*BetTable[[#This Row],[S2]])*(1-(BetTable[[#This Row],[C% 2]]))+BetTable[[#This Row],[S2]])</f>
        <v>0</v>
      </c>
      <c r="AB186" s="143">
        <f>(((BetTable[[#This Row],[O3]]-1)*BetTable[[#This Row],[S3]])*(1-(BetTable[[#This Row],[C% 3]]))+BetTable[[#This Row],[S3]])</f>
        <v>0</v>
      </c>
      <c r="AC186" s="147" t="str">
        <f>IFERROR(IF(BetTable[[#This Row],[Sp]]="","",BetTable[[#This Row],[R1]]/BetTable[[#This Row],[TS]]),"")</f>
        <v/>
      </c>
      <c r="AD186" s="147" t="str">
        <f>IF(BetTable[[#This Row],[O2]]="","",BetTable[[#This Row],[R2]]/BetTable[[#This Row],[TS]])</f>
        <v/>
      </c>
      <c r="AE186" s="147" t="str">
        <f>IFERROR(IF(BetTable[[#This Row],[Sp]]="","",BetTable[[#This Row],[R3]]/BetTable[[#This Row],[TS]]),"")</f>
        <v/>
      </c>
      <c r="AF186" s="147" t="str">
        <f>IFERROR(IF(BetTable[[#This Row],[Outcome1]]="","",BetTable[[#This Row],[AR]]/BetTable[[#This Row],[TS]]),"")</f>
        <v/>
      </c>
      <c r="AG18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6" s="57" t="e">
        <f>IF(BetTable[[#This Row],[Outcome1]]="",AJ185,BetTable[[#This Row],[AR]]+AJ185)</f>
        <v>#REF!</v>
      </c>
      <c r="AK186" s="39"/>
    </row>
    <row r="187" spans="1:37">
      <c r="A187" s="144"/>
      <c r="B187" s="39"/>
      <c r="C187" s="40"/>
      <c r="D187" s="40"/>
      <c r="E187" s="40"/>
      <c r="F187" s="152"/>
      <c r="G187" s="152"/>
      <c r="H187" s="152"/>
      <c r="I187" s="39"/>
      <c r="J187" s="54"/>
      <c r="K187" s="54"/>
      <c r="L187" s="54"/>
      <c r="M187" s="57"/>
      <c r="N187" s="57"/>
      <c r="O187" s="57"/>
      <c r="P187" s="55"/>
      <c r="Q187" s="55"/>
      <c r="R187" s="55"/>
      <c r="S187" s="146" t="str">
        <f>IF(BetTable[[#This Row],[Sp]]="","",BetTable[[#This Row],[S1]]+BetTable[[#This Row],[S2]]+BetTable[[#This Row],[S3]])</f>
        <v/>
      </c>
      <c r="T187" s="143" t="str">
        <f>IF(BetTable[[#This Row],[O1]]="","",(BetTable[[#This Row],[WBA1-Commission]])-BetTable[[#This Row],[TS]])</f>
        <v/>
      </c>
      <c r="U187" s="143" t="str">
        <f>IF(BetTable[[#This Row],[O2]]="","",(BetTable[[#This Row],[WBA2-Commission]])-BetTable[[#This Row],[TS]])</f>
        <v/>
      </c>
      <c r="V187" s="143" t="str">
        <f>IF(BetTable[[#This Row],[O3]]="","",(BetTable[[#This Row],[WBA3-Commission]])-BetTable[[#This Row],[TS]])</f>
        <v/>
      </c>
      <c r="W187" s="143">
        <f>IF(NOT(ISBLANK(BetTable[[#This Row],[B1]])),1,0)+IF(NOT(ISBLANK(BetTable[[#This Row],[B2]])),1,0)+IF(NOT(ISBLANK(BetTable[[#This Row],[B3]])),1,0)</f>
        <v>0</v>
      </c>
      <c r="X187" s="143" t="str">
        <f>IF(BetTable[[#This Row],[Outcome1]]="","",BetTable[[#This Row],[WBA1]]+BetTable[[#This Row],[WBA2]]+BetTable[[#This Row],[WBA3]]-BetTable[[#This Row],[TS]])</f>
        <v/>
      </c>
      <c r="Y187" s="143" t="str">
        <f>IF(BetTable[[#This Row],[AR]]="","",BetTable[[#This Row],[AR]]/BetTable[[#This Row],[NumBookies]])</f>
        <v/>
      </c>
      <c r="Z187" s="143">
        <f>(((BetTable[[#This Row],[O1]]-1)*BetTable[[#This Row],[S1]])*(1-(BetTable[[#This Row],[C% 1]]))+BetTable[[#This Row],[S1]])</f>
        <v>0</v>
      </c>
      <c r="AA187" s="143">
        <f>(((BetTable[[#This Row],[O2]]-1)*BetTable[[#This Row],[S2]])*(1-(BetTable[[#This Row],[C% 2]]))+BetTable[[#This Row],[S2]])</f>
        <v>0</v>
      </c>
      <c r="AB187" s="143">
        <f>(((BetTable[[#This Row],[O3]]-1)*BetTable[[#This Row],[S3]])*(1-(BetTable[[#This Row],[C% 3]]))+BetTable[[#This Row],[S3]])</f>
        <v>0</v>
      </c>
      <c r="AC187" s="147" t="str">
        <f>IFERROR(IF(BetTable[[#This Row],[Sp]]="","",BetTable[[#This Row],[R1]]/BetTable[[#This Row],[TS]]),"")</f>
        <v/>
      </c>
      <c r="AD187" s="147" t="str">
        <f>IF(BetTable[[#This Row],[O2]]="","",BetTable[[#This Row],[R2]]/BetTable[[#This Row],[TS]])</f>
        <v/>
      </c>
      <c r="AE187" s="147" t="str">
        <f>IFERROR(IF(BetTable[[#This Row],[Sp]]="","",BetTable[[#This Row],[R3]]/BetTable[[#This Row],[TS]]),"")</f>
        <v/>
      </c>
      <c r="AF187" s="147" t="str">
        <f>IFERROR(IF(BetTable[[#This Row],[Outcome1]]="","",BetTable[[#This Row],[AR]]/BetTable[[#This Row],[TS]]),"")</f>
        <v/>
      </c>
      <c r="AG18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7" s="57" t="e">
        <f>IF(BetTable[[#This Row],[Outcome1]]="",AJ186,BetTable[[#This Row],[AR]]+AJ186)</f>
        <v>#REF!</v>
      </c>
      <c r="AK187" s="39"/>
    </row>
    <row r="188" spans="1:37">
      <c r="A188" s="144"/>
      <c r="B188" s="39"/>
      <c r="C188" s="40"/>
      <c r="D188" s="40"/>
      <c r="E188" s="40"/>
      <c r="F188" s="152"/>
      <c r="G188" s="152"/>
      <c r="H188" s="152"/>
      <c r="I188" s="39"/>
      <c r="J188" s="54"/>
      <c r="K188" s="54"/>
      <c r="L188" s="54"/>
      <c r="M188" s="57"/>
      <c r="N188" s="57"/>
      <c r="O188" s="57"/>
      <c r="P188" s="55"/>
      <c r="Q188" s="55"/>
      <c r="R188" s="55"/>
      <c r="S188" s="146" t="str">
        <f>IF(BetTable[[#This Row],[Sp]]="","",BetTable[[#This Row],[S1]]+BetTable[[#This Row],[S2]]+BetTable[[#This Row],[S3]])</f>
        <v/>
      </c>
      <c r="T188" s="143" t="str">
        <f>IF(BetTable[[#This Row],[O1]]="","",(BetTable[[#This Row],[WBA1-Commission]])-BetTable[[#This Row],[TS]])</f>
        <v/>
      </c>
      <c r="U188" s="143" t="str">
        <f>IF(BetTable[[#This Row],[O2]]="","",(BetTable[[#This Row],[WBA2-Commission]])-BetTable[[#This Row],[TS]])</f>
        <v/>
      </c>
      <c r="V188" s="143" t="str">
        <f>IF(BetTable[[#This Row],[O3]]="","",(BetTable[[#This Row],[WBA3-Commission]])-BetTable[[#This Row],[TS]])</f>
        <v/>
      </c>
      <c r="W188" s="143">
        <f>IF(NOT(ISBLANK(BetTable[[#This Row],[B1]])),1,0)+IF(NOT(ISBLANK(BetTable[[#This Row],[B2]])),1,0)+IF(NOT(ISBLANK(BetTable[[#This Row],[B3]])),1,0)</f>
        <v>0</v>
      </c>
      <c r="X188" s="143" t="str">
        <f>IF(BetTable[[#This Row],[Outcome1]]="","",BetTable[[#This Row],[WBA1]]+BetTable[[#This Row],[WBA2]]+BetTable[[#This Row],[WBA3]]-BetTable[[#This Row],[TS]])</f>
        <v/>
      </c>
      <c r="Y188" s="143" t="str">
        <f>IF(BetTable[[#This Row],[AR]]="","",BetTable[[#This Row],[AR]]/BetTable[[#This Row],[NumBookies]])</f>
        <v/>
      </c>
      <c r="Z188" s="143">
        <f>(((BetTable[[#This Row],[O1]]-1)*BetTable[[#This Row],[S1]])*(1-(BetTable[[#This Row],[C% 1]]))+BetTable[[#This Row],[S1]])</f>
        <v>0</v>
      </c>
      <c r="AA188" s="143">
        <f>(((BetTable[[#This Row],[O2]]-1)*BetTable[[#This Row],[S2]])*(1-(BetTable[[#This Row],[C% 2]]))+BetTable[[#This Row],[S2]])</f>
        <v>0</v>
      </c>
      <c r="AB188" s="143">
        <f>(((BetTable[[#This Row],[O3]]-1)*BetTable[[#This Row],[S3]])*(1-(BetTable[[#This Row],[C% 3]]))+BetTable[[#This Row],[S3]])</f>
        <v>0</v>
      </c>
      <c r="AC188" s="147" t="str">
        <f>IFERROR(IF(BetTable[[#This Row],[Sp]]="","",BetTable[[#This Row],[R1]]/BetTable[[#This Row],[TS]]),"")</f>
        <v/>
      </c>
      <c r="AD188" s="147" t="str">
        <f>IF(BetTable[[#This Row],[O2]]="","",BetTable[[#This Row],[R2]]/BetTable[[#This Row],[TS]])</f>
        <v/>
      </c>
      <c r="AE188" s="147" t="str">
        <f>IFERROR(IF(BetTable[[#This Row],[Sp]]="","",BetTable[[#This Row],[R3]]/BetTable[[#This Row],[TS]]),"")</f>
        <v/>
      </c>
      <c r="AF188" s="147" t="str">
        <f>IFERROR(IF(BetTable[[#This Row],[Outcome1]]="","",BetTable[[#This Row],[AR]]/BetTable[[#This Row],[TS]]),"")</f>
        <v/>
      </c>
      <c r="AG18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8" s="57" t="e">
        <f>IF(BetTable[[#This Row],[Outcome1]]="",AJ187,BetTable[[#This Row],[AR]]+AJ187)</f>
        <v>#REF!</v>
      </c>
      <c r="AK188" s="39"/>
    </row>
    <row r="189" spans="1:37">
      <c r="A189" s="144"/>
      <c r="B189" s="39"/>
      <c r="C189" s="40"/>
      <c r="D189" s="40"/>
      <c r="E189" s="40"/>
      <c r="F189" s="152"/>
      <c r="G189" s="152"/>
      <c r="H189" s="152"/>
      <c r="I189" s="39"/>
      <c r="J189" s="54"/>
      <c r="K189" s="54"/>
      <c r="L189" s="54"/>
      <c r="M189" s="57"/>
      <c r="N189" s="57"/>
      <c r="O189" s="57"/>
      <c r="P189" s="55"/>
      <c r="Q189" s="55"/>
      <c r="R189" s="55"/>
      <c r="S189" s="146" t="str">
        <f>IF(BetTable[[#This Row],[Sp]]="","",BetTable[[#This Row],[S1]]+BetTable[[#This Row],[S2]]+BetTable[[#This Row],[S3]])</f>
        <v/>
      </c>
      <c r="T189" s="143" t="str">
        <f>IF(BetTable[[#This Row],[O1]]="","",(BetTable[[#This Row],[WBA1-Commission]])-BetTable[[#This Row],[TS]])</f>
        <v/>
      </c>
      <c r="U189" s="143" t="str">
        <f>IF(BetTable[[#This Row],[O2]]="","",(BetTable[[#This Row],[WBA2-Commission]])-BetTable[[#This Row],[TS]])</f>
        <v/>
      </c>
      <c r="V189" s="143" t="str">
        <f>IF(BetTable[[#This Row],[O3]]="","",(BetTable[[#This Row],[WBA3-Commission]])-BetTable[[#This Row],[TS]])</f>
        <v/>
      </c>
      <c r="W189" s="143">
        <f>IF(NOT(ISBLANK(BetTable[[#This Row],[B1]])),1,0)+IF(NOT(ISBLANK(BetTable[[#This Row],[B2]])),1,0)+IF(NOT(ISBLANK(BetTable[[#This Row],[B3]])),1,0)</f>
        <v>0</v>
      </c>
      <c r="X189" s="143" t="str">
        <f>IF(BetTable[[#This Row],[Outcome1]]="","",BetTable[[#This Row],[WBA1]]+BetTable[[#This Row],[WBA2]]+BetTable[[#This Row],[WBA3]]-BetTable[[#This Row],[TS]])</f>
        <v/>
      </c>
      <c r="Y189" s="143" t="str">
        <f>IF(BetTable[[#This Row],[AR]]="","",BetTable[[#This Row],[AR]]/BetTable[[#This Row],[NumBookies]])</f>
        <v/>
      </c>
      <c r="Z189" s="143">
        <f>(((BetTable[[#This Row],[O1]]-1)*BetTable[[#This Row],[S1]])*(1-(BetTable[[#This Row],[C% 1]]))+BetTable[[#This Row],[S1]])</f>
        <v>0</v>
      </c>
      <c r="AA189" s="143">
        <f>(((BetTable[[#This Row],[O2]]-1)*BetTable[[#This Row],[S2]])*(1-(BetTable[[#This Row],[C% 2]]))+BetTable[[#This Row],[S2]])</f>
        <v>0</v>
      </c>
      <c r="AB189" s="143">
        <f>(((BetTable[[#This Row],[O3]]-1)*BetTable[[#This Row],[S3]])*(1-(BetTable[[#This Row],[C% 3]]))+BetTable[[#This Row],[S3]])</f>
        <v>0</v>
      </c>
      <c r="AC189" s="147" t="str">
        <f>IFERROR(IF(BetTable[[#This Row],[Sp]]="","",BetTable[[#This Row],[R1]]/BetTable[[#This Row],[TS]]),"")</f>
        <v/>
      </c>
      <c r="AD189" s="147" t="str">
        <f>IF(BetTable[[#This Row],[O2]]="","",BetTable[[#This Row],[R2]]/BetTable[[#This Row],[TS]])</f>
        <v/>
      </c>
      <c r="AE189" s="147" t="str">
        <f>IFERROR(IF(BetTable[[#This Row],[Sp]]="","",BetTable[[#This Row],[R3]]/BetTable[[#This Row],[TS]]),"")</f>
        <v/>
      </c>
      <c r="AF189" s="147" t="str">
        <f>IFERROR(IF(BetTable[[#This Row],[Outcome1]]="","",BetTable[[#This Row],[AR]]/BetTable[[#This Row],[TS]]),"")</f>
        <v/>
      </c>
      <c r="AG18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8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8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89" s="57" t="e">
        <f>IF(BetTable[[#This Row],[Outcome1]]="",AJ188,BetTable[[#This Row],[AR]]+AJ188)</f>
        <v>#REF!</v>
      </c>
      <c r="AK189" s="39"/>
    </row>
    <row r="190" spans="1:37">
      <c r="A190" s="144"/>
      <c r="B190" s="39"/>
      <c r="C190" s="40"/>
      <c r="D190" s="40"/>
      <c r="E190" s="40"/>
      <c r="F190" s="152"/>
      <c r="G190" s="152"/>
      <c r="H190" s="152"/>
      <c r="I190" s="39"/>
      <c r="J190" s="54"/>
      <c r="K190" s="54"/>
      <c r="L190" s="54"/>
      <c r="M190" s="57"/>
      <c r="N190" s="57"/>
      <c r="O190" s="57"/>
      <c r="P190" s="55"/>
      <c r="Q190" s="55"/>
      <c r="R190" s="55"/>
      <c r="S190" s="146" t="str">
        <f>IF(BetTable[[#This Row],[Sp]]="","",BetTable[[#This Row],[S1]]+BetTable[[#This Row],[S2]]+BetTable[[#This Row],[S3]])</f>
        <v/>
      </c>
      <c r="T190" s="143" t="str">
        <f>IF(BetTable[[#This Row],[O1]]="","",(BetTable[[#This Row],[WBA1-Commission]])-BetTable[[#This Row],[TS]])</f>
        <v/>
      </c>
      <c r="U190" s="143" t="str">
        <f>IF(BetTable[[#This Row],[O2]]="","",(BetTable[[#This Row],[WBA2-Commission]])-BetTable[[#This Row],[TS]])</f>
        <v/>
      </c>
      <c r="V190" s="143" t="str">
        <f>IF(BetTable[[#This Row],[O3]]="","",(BetTable[[#This Row],[WBA3-Commission]])-BetTable[[#This Row],[TS]])</f>
        <v/>
      </c>
      <c r="W190" s="143">
        <f>IF(NOT(ISBLANK(BetTable[[#This Row],[B1]])),1,0)+IF(NOT(ISBLANK(BetTable[[#This Row],[B2]])),1,0)+IF(NOT(ISBLANK(BetTable[[#This Row],[B3]])),1,0)</f>
        <v>0</v>
      </c>
      <c r="X190" s="143" t="str">
        <f>IF(BetTable[[#This Row],[Outcome1]]="","",BetTable[[#This Row],[WBA1]]+BetTable[[#This Row],[WBA2]]+BetTable[[#This Row],[WBA3]]-BetTable[[#This Row],[TS]])</f>
        <v/>
      </c>
      <c r="Y190" s="143" t="str">
        <f>IF(BetTable[[#This Row],[AR]]="","",BetTable[[#This Row],[AR]]/BetTable[[#This Row],[NumBookies]])</f>
        <v/>
      </c>
      <c r="Z190" s="143">
        <f>(((BetTable[[#This Row],[O1]]-1)*BetTable[[#This Row],[S1]])*(1-(BetTable[[#This Row],[C% 1]]))+BetTable[[#This Row],[S1]])</f>
        <v>0</v>
      </c>
      <c r="AA190" s="143">
        <f>(((BetTable[[#This Row],[O2]]-1)*BetTable[[#This Row],[S2]])*(1-(BetTable[[#This Row],[C% 2]]))+BetTable[[#This Row],[S2]])</f>
        <v>0</v>
      </c>
      <c r="AB190" s="143">
        <f>(((BetTable[[#This Row],[O3]]-1)*BetTable[[#This Row],[S3]])*(1-(BetTable[[#This Row],[C% 3]]))+BetTable[[#This Row],[S3]])</f>
        <v>0</v>
      </c>
      <c r="AC190" s="147" t="str">
        <f>IFERROR(IF(BetTable[[#This Row],[Sp]]="","",BetTable[[#This Row],[R1]]/BetTable[[#This Row],[TS]]),"")</f>
        <v/>
      </c>
      <c r="AD190" s="147" t="str">
        <f>IF(BetTable[[#This Row],[O2]]="","",BetTable[[#This Row],[R2]]/BetTable[[#This Row],[TS]])</f>
        <v/>
      </c>
      <c r="AE190" s="147" t="str">
        <f>IFERROR(IF(BetTable[[#This Row],[Sp]]="","",BetTable[[#This Row],[R3]]/BetTable[[#This Row],[TS]]),"")</f>
        <v/>
      </c>
      <c r="AF190" s="147" t="str">
        <f>IFERROR(IF(BetTable[[#This Row],[Outcome1]]="","",BetTable[[#This Row],[AR]]/BetTable[[#This Row],[TS]]),"")</f>
        <v/>
      </c>
      <c r="AG19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0" s="57" t="e">
        <f>IF(BetTable[[#This Row],[Outcome1]]="",AJ189,BetTable[[#This Row],[AR]]+AJ189)</f>
        <v>#REF!</v>
      </c>
      <c r="AK190" s="39"/>
    </row>
    <row r="191" spans="1:37">
      <c r="A191" s="144"/>
      <c r="B191" s="39"/>
      <c r="C191" s="40"/>
      <c r="D191" s="40"/>
      <c r="E191" s="40"/>
      <c r="F191" s="152"/>
      <c r="G191" s="152"/>
      <c r="H191" s="152"/>
      <c r="I191" s="39"/>
      <c r="J191" s="54"/>
      <c r="K191" s="54"/>
      <c r="L191" s="54"/>
      <c r="M191" s="57"/>
      <c r="N191" s="57"/>
      <c r="O191" s="57"/>
      <c r="P191" s="55"/>
      <c r="Q191" s="55"/>
      <c r="R191" s="55"/>
      <c r="S191" s="146" t="str">
        <f>IF(BetTable[[#This Row],[Sp]]="","",BetTable[[#This Row],[S1]]+BetTable[[#This Row],[S2]]+BetTable[[#This Row],[S3]])</f>
        <v/>
      </c>
      <c r="T191" s="143" t="str">
        <f>IF(BetTable[[#This Row],[O1]]="","",(BetTable[[#This Row],[WBA1-Commission]])-BetTable[[#This Row],[TS]])</f>
        <v/>
      </c>
      <c r="U191" s="143" t="str">
        <f>IF(BetTable[[#This Row],[O2]]="","",(BetTable[[#This Row],[WBA2-Commission]])-BetTable[[#This Row],[TS]])</f>
        <v/>
      </c>
      <c r="V191" s="143" t="str">
        <f>IF(BetTable[[#This Row],[O3]]="","",(BetTable[[#This Row],[WBA3-Commission]])-BetTable[[#This Row],[TS]])</f>
        <v/>
      </c>
      <c r="W191" s="143">
        <f>IF(NOT(ISBLANK(BetTable[[#This Row],[B1]])),1,0)+IF(NOT(ISBLANK(BetTable[[#This Row],[B2]])),1,0)+IF(NOT(ISBLANK(BetTable[[#This Row],[B3]])),1,0)</f>
        <v>0</v>
      </c>
      <c r="X191" s="143" t="str">
        <f>IF(BetTable[[#This Row],[Outcome1]]="","",BetTable[[#This Row],[WBA1]]+BetTable[[#This Row],[WBA2]]+BetTable[[#This Row],[WBA3]]-BetTable[[#This Row],[TS]])</f>
        <v/>
      </c>
      <c r="Y191" s="143" t="str">
        <f>IF(BetTable[[#This Row],[AR]]="","",BetTable[[#This Row],[AR]]/BetTable[[#This Row],[NumBookies]])</f>
        <v/>
      </c>
      <c r="Z191" s="143">
        <f>(((BetTable[[#This Row],[O1]]-1)*BetTable[[#This Row],[S1]])*(1-(BetTable[[#This Row],[C% 1]]))+BetTable[[#This Row],[S1]])</f>
        <v>0</v>
      </c>
      <c r="AA191" s="143">
        <f>(((BetTable[[#This Row],[O2]]-1)*BetTable[[#This Row],[S2]])*(1-(BetTable[[#This Row],[C% 2]]))+BetTable[[#This Row],[S2]])</f>
        <v>0</v>
      </c>
      <c r="AB191" s="143">
        <f>(((BetTable[[#This Row],[O3]]-1)*BetTable[[#This Row],[S3]])*(1-(BetTable[[#This Row],[C% 3]]))+BetTable[[#This Row],[S3]])</f>
        <v>0</v>
      </c>
      <c r="AC191" s="147" t="str">
        <f>IFERROR(IF(BetTable[[#This Row],[Sp]]="","",BetTable[[#This Row],[R1]]/BetTable[[#This Row],[TS]]),"")</f>
        <v/>
      </c>
      <c r="AD191" s="147" t="str">
        <f>IF(BetTable[[#This Row],[O2]]="","",BetTable[[#This Row],[R2]]/BetTable[[#This Row],[TS]])</f>
        <v/>
      </c>
      <c r="AE191" s="147" t="str">
        <f>IFERROR(IF(BetTable[[#This Row],[Sp]]="","",BetTable[[#This Row],[R3]]/BetTable[[#This Row],[TS]]),"")</f>
        <v/>
      </c>
      <c r="AF191" s="147" t="str">
        <f>IFERROR(IF(BetTable[[#This Row],[Outcome1]]="","",BetTable[[#This Row],[AR]]/BetTable[[#This Row],[TS]]),"")</f>
        <v/>
      </c>
      <c r="AG19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1" s="57" t="e">
        <f>IF(BetTable[[#This Row],[Outcome1]]="",AJ190,BetTable[[#This Row],[AR]]+AJ190)</f>
        <v>#REF!</v>
      </c>
      <c r="AK191" s="39"/>
    </row>
    <row r="192" spans="1:37">
      <c r="A192" s="144"/>
      <c r="B192" s="39"/>
      <c r="C192" s="40"/>
      <c r="D192" s="40"/>
      <c r="E192" s="40"/>
      <c r="F192" s="152"/>
      <c r="G192" s="152"/>
      <c r="H192" s="152"/>
      <c r="I192" s="39"/>
      <c r="J192" s="54"/>
      <c r="K192" s="54"/>
      <c r="L192" s="54"/>
      <c r="M192" s="57"/>
      <c r="N192" s="57"/>
      <c r="O192" s="57"/>
      <c r="P192" s="55"/>
      <c r="Q192" s="55"/>
      <c r="R192" s="55"/>
      <c r="S192" s="146" t="str">
        <f>IF(BetTable[[#This Row],[Sp]]="","",BetTable[[#This Row],[S1]]+BetTable[[#This Row],[S2]]+BetTable[[#This Row],[S3]])</f>
        <v/>
      </c>
      <c r="T192" s="143" t="str">
        <f>IF(BetTable[[#This Row],[O1]]="","",(BetTable[[#This Row],[WBA1-Commission]])-BetTable[[#This Row],[TS]])</f>
        <v/>
      </c>
      <c r="U192" s="143" t="str">
        <f>IF(BetTable[[#This Row],[O2]]="","",(BetTable[[#This Row],[WBA2-Commission]])-BetTable[[#This Row],[TS]])</f>
        <v/>
      </c>
      <c r="V192" s="143" t="str">
        <f>IF(BetTable[[#This Row],[O3]]="","",(BetTable[[#This Row],[WBA3-Commission]])-BetTable[[#This Row],[TS]])</f>
        <v/>
      </c>
      <c r="W192" s="143">
        <f>IF(NOT(ISBLANK(BetTable[[#This Row],[B1]])),1,0)+IF(NOT(ISBLANK(BetTable[[#This Row],[B2]])),1,0)+IF(NOT(ISBLANK(BetTable[[#This Row],[B3]])),1,0)</f>
        <v>0</v>
      </c>
      <c r="X192" s="143" t="str">
        <f>IF(BetTable[[#This Row],[Outcome1]]="","",BetTable[[#This Row],[WBA1]]+BetTable[[#This Row],[WBA2]]+BetTable[[#This Row],[WBA3]]-BetTable[[#This Row],[TS]])</f>
        <v/>
      </c>
      <c r="Y192" s="143" t="str">
        <f>IF(BetTable[[#This Row],[AR]]="","",BetTable[[#This Row],[AR]]/BetTable[[#This Row],[NumBookies]])</f>
        <v/>
      </c>
      <c r="Z192" s="143">
        <f>(((BetTable[[#This Row],[O1]]-1)*BetTable[[#This Row],[S1]])*(1-(BetTable[[#This Row],[C% 1]]))+BetTable[[#This Row],[S1]])</f>
        <v>0</v>
      </c>
      <c r="AA192" s="143">
        <f>(((BetTable[[#This Row],[O2]]-1)*BetTable[[#This Row],[S2]])*(1-(BetTable[[#This Row],[C% 2]]))+BetTable[[#This Row],[S2]])</f>
        <v>0</v>
      </c>
      <c r="AB192" s="143">
        <f>(((BetTable[[#This Row],[O3]]-1)*BetTable[[#This Row],[S3]])*(1-(BetTable[[#This Row],[C% 3]]))+BetTable[[#This Row],[S3]])</f>
        <v>0</v>
      </c>
      <c r="AC192" s="147" t="str">
        <f>IFERROR(IF(BetTable[[#This Row],[Sp]]="","",BetTable[[#This Row],[R1]]/BetTable[[#This Row],[TS]]),"")</f>
        <v/>
      </c>
      <c r="AD192" s="147" t="str">
        <f>IF(BetTable[[#This Row],[O2]]="","",BetTable[[#This Row],[R2]]/BetTable[[#This Row],[TS]])</f>
        <v/>
      </c>
      <c r="AE192" s="147" t="str">
        <f>IFERROR(IF(BetTable[[#This Row],[Sp]]="","",BetTable[[#This Row],[R3]]/BetTable[[#This Row],[TS]]),"")</f>
        <v/>
      </c>
      <c r="AF192" s="147" t="str">
        <f>IFERROR(IF(BetTable[[#This Row],[Outcome1]]="","",BetTable[[#This Row],[AR]]/BetTable[[#This Row],[TS]]),"")</f>
        <v/>
      </c>
      <c r="AG19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2" s="57" t="e">
        <f>IF(BetTable[[#This Row],[Outcome1]]="",AJ191,BetTable[[#This Row],[AR]]+AJ191)</f>
        <v>#REF!</v>
      </c>
      <c r="AK192" s="39"/>
    </row>
    <row r="193" spans="1:37">
      <c r="A193" s="144"/>
      <c r="B193" s="39"/>
      <c r="C193" s="40"/>
      <c r="D193" s="40"/>
      <c r="E193" s="40"/>
      <c r="F193" s="152"/>
      <c r="G193" s="152"/>
      <c r="H193" s="152"/>
      <c r="I193" s="39"/>
      <c r="J193" s="54"/>
      <c r="K193" s="54"/>
      <c r="L193" s="54"/>
      <c r="M193" s="57"/>
      <c r="N193" s="57"/>
      <c r="O193" s="57"/>
      <c r="P193" s="55"/>
      <c r="Q193" s="55"/>
      <c r="R193" s="55"/>
      <c r="S193" s="146" t="str">
        <f>IF(BetTable[[#This Row],[Sp]]="","",BetTable[[#This Row],[S1]]+BetTable[[#This Row],[S2]]+BetTable[[#This Row],[S3]])</f>
        <v/>
      </c>
      <c r="T193" s="143" t="str">
        <f>IF(BetTable[[#This Row],[O1]]="","",(BetTable[[#This Row],[WBA1-Commission]])-BetTable[[#This Row],[TS]])</f>
        <v/>
      </c>
      <c r="U193" s="143" t="str">
        <f>IF(BetTable[[#This Row],[O2]]="","",(BetTable[[#This Row],[WBA2-Commission]])-BetTable[[#This Row],[TS]])</f>
        <v/>
      </c>
      <c r="V193" s="143" t="str">
        <f>IF(BetTable[[#This Row],[O3]]="","",(BetTable[[#This Row],[WBA3-Commission]])-BetTable[[#This Row],[TS]])</f>
        <v/>
      </c>
      <c r="W193" s="143">
        <f>IF(NOT(ISBLANK(BetTable[[#This Row],[B1]])),1,0)+IF(NOT(ISBLANK(BetTable[[#This Row],[B2]])),1,0)+IF(NOT(ISBLANK(BetTable[[#This Row],[B3]])),1,0)</f>
        <v>0</v>
      </c>
      <c r="X193" s="143" t="str">
        <f>IF(BetTable[[#This Row],[Outcome1]]="","",BetTable[[#This Row],[WBA1]]+BetTable[[#This Row],[WBA2]]+BetTable[[#This Row],[WBA3]]-BetTable[[#This Row],[TS]])</f>
        <v/>
      </c>
      <c r="Y193" s="143" t="str">
        <f>IF(BetTable[[#This Row],[AR]]="","",BetTable[[#This Row],[AR]]/BetTable[[#This Row],[NumBookies]])</f>
        <v/>
      </c>
      <c r="Z193" s="143">
        <f>(((BetTable[[#This Row],[O1]]-1)*BetTable[[#This Row],[S1]])*(1-(BetTable[[#This Row],[C% 1]]))+BetTable[[#This Row],[S1]])</f>
        <v>0</v>
      </c>
      <c r="AA193" s="143">
        <f>(((BetTable[[#This Row],[O2]]-1)*BetTable[[#This Row],[S2]])*(1-(BetTable[[#This Row],[C% 2]]))+BetTable[[#This Row],[S2]])</f>
        <v>0</v>
      </c>
      <c r="AB193" s="143">
        <f>(((BetTable[[#This Row],[O3]]-1)*BetTable[[#This Row],[S3]])*(1-(BetTable[[#This Row],[C% 3]]))+BetTable[[#This Row],[S3]])</f>
        <v>0</v>
      </c>
      <c r="AC193" s="147" t="str">
        <f>IFERROR(IF(BetTable[[#This Row],[Sp]]="","",BetTable[[#This Row],[R1]]/BetTable[[#This Row],[TS]]),"")</f>
        <v/>
      </c>
      <c r="AD193" s="147" t="str">
        <f>IF(BetTable[[#This Row],[O2]]="","",BetTable[[#This Row],[R2]]/BetTable[[#This Row],[TS]])</f>
        <v/>
      </c>
      <c r="AE193" s="147" t="str">
        <f>IFERROR(IF(BetTable[[#This Row],[Sp]]="","",BetTable[[#This Row],[R3]]/BetTable[[#This Row],[TS]]),"")</f>
        <v/>
      </c>
      <c r="AF193" s="147" t="str">
        <f>IFERROR(IF(BetTable[[#This Row],[Outcome1]]="","",BetTable[[#This Row],[AR]]/BetTable[[#This Row],[TS]]),"")</f>
        <v/>
      </c>
      <c r="AG19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3" s="57" t="e">
        <f>IF(BetTable[[#This Row],[Outcome1]]="",AJ192,BetTable[[#This Row],[AR]]+AJ192)</f>
        <v>#REF!</v>
      </c>
      <c r="AK193" s="39"/>
    </row>
    <row r="194" spans="1:37">
      <c r="A194" s="144"/>
      <c r="B194" s="39"/>
      <c r="C194" s="40"/>
      <c r="D194" s="40"/>
      <c r="E194" s="40"/>
      <c r="F194" s="152"/>
      <c r="G194" s="152"/>
      <c r="H194" s="152"/>
      <c r="I194" s="39"/>
      <c r="J194" s="54"/>
      <c r="K194" s="54"/>
      <c r="L194" s="54"/>
      <c r="M194" s="57"/>
      <c r="N194" s="57"/>
      <c r="O194" s="57"/>
      <c r="P194" s="55"/>
      <c r="Q194" s="55"/>
      <c r="R194" s="55"/>
      <c r="S194" s="146" t="str">
        <f>IF(BetTable[[#This Row],[Sp]]="","",BetTable[[#This Row],[S1]]+BetTable[[#This Row],[S2]]+BetTable[[#This Row],[S3]])</f>
        <v/>
      </c>
      <c r="T194" s="143" t="str">
        <f>IF(BetTable[[#This Row],[O1]]="","",(BetTable[[#This Row],[WBA1-Commission]])-BetTable[[#This Row],[TS]])</f>
        <v/>
      </c>
      <c r="U194" s="143" t="str">
        <f>IF(BetTable[[#This Row],[O2]]="","",(BetTable[[#This Row],[WBA2-Commission]])-BetTable[[#This Row],[TS]])</f>
        <v/>
      </c>
      <c r="V194" s="143" t="str">
        <f>IF(BetTable[[#This Row],[O3]]="","",(BetTable[[#This Row],[WBA3-Commission]])-BetTable[[#This Row],[TS]])</f>
        <v/>
      </c>
      <c r="W194" s="143">
        <f>IF(NOT(ISBLANK(BetTable[[#This Row],[B1]])),1,0)+IF(NOT(ISBLANK(BetTable[[#This Row],[B2]])),1,0)+IF(NOT(ISBLANK(BetTable[[#This Row],[B3]])),1,0)</f>
        <v>0</v>
      </c>
      <c r="X194" s="143" t="str">
        <f>IF(BetTable[[#This Row],[Outcome1]]="","",BetTable[[#This Row],[WBA1]]+BetTable[[#This Row],[WBA2]]+BetTable[[#This Row],[WBA3]]-BetTable[[#This Row],[TS]])</f>
        <v/>
      </c>
      <c r="Y194" s="143" t="str">
        <f>IF(BetTable[[#This Row],[AR]]="","",BetTable[[#This Row],[AR]]/BetTable[[#This Row],[NumBookies]])</f>
        <v/>
      </c>
      <c r="Z194" s="143">
        <f>(((BetTable[[#This Row],[O1]]-1)*BetTable[[#This Row],[S1]])*(1-(BetTable[[#This Row],[C% 1]]))+BetTable[[#This Row],[S1]])</f>
        <v>0</v>
      </c>
      <c r="AA194" s="143">
        <f>(((BetTable[[#This Row],[O2]]-1)*BetTable[[#This Row],[S2]])*(1-(BetTable[[#This Row],[C% 2]]))+BetTable[[#This Row],[S2]])</f>
        <v>0</v>
      </c>
      <c r="AB194" s="143">
        <f>(((BetTable[[#This Row],[O3]]-1)*BetTable[[#This Row],[S3]])*(1-(BetTable[[#This Row],[C% 3]]))+BetTable[[#This Row],[S3]])</f>
        <v>0</v>
      </c>
      <c r="AC194" s="147" t="str">
        <f>IFERROR(IF(BetTable[[#This Row],[Sp]]="","",BetTable[[#This Row],[R1]]/BetTable[[#This Row],[TS]]),"")</f>
        <v/>
      </c>
      <c r="AD194" s="147" t="str">
        <f>IF(BetTable[[#This Row],[O2]]="","",BetTable[[#This Row],[R2]]/BetTable[[#This Row],[TS]])</f>
        <v/>
      </c>
      <c r="AE194" s="147" t="str">
        <f>IFERROR(IF(BetTable[[#This Row],[Sp]]="","",BetTable[[#This Row],[R3]]/BetTable[[#This Row],[TS]]),"")</f>
        <v/>
      </c>
      <c r="AF194" s="147" t="str">
        <f>IFERROR(IF(BetTable[[#This Row],[Outcome1]]="","",BetTable[[#This Row],[AR]]/BetTable[[#This Row],[TS]]),"")</f>
        <v/>
      </c>
      <c r="AG19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4" s="57" t="e">
        <f>IF(BetTable[[#This Row],[Outcome1]]="",AJ193,BetTable[[#This Row],[AR]]+AJ193)</f>
        <v>#REF!</v>
      </c>
      <c r="AK194" s="39"/>
    </row>
    <row r="195" spans="1:37">
      <c r="A195" s="144"/>
      <c r="B195" s="39"/>
      <c r="C195" s="40"/>
      <c r="D195" s="40"/>
      <c r="E195" s="40"/>
      <c r="F195" s="152"/>
      <c r="G195" s="152"/>
      <c r="H195" s="152"/>
      <c r="I195" s="39"/>
      <c r="J195" s="54"/>
      <c r="K195" s="54"/>
      <c r="L195" s="54"/>
      <c r="M195" s="57"/>
      <c r="N195" s="57"/>
      <c r="O195" s="57"/>
      <c r="P195" s="55"/>
      <c r="Q195" s="55"/>
      <c r="R195" s="55"/>
      <c r="S195" s="146" t="str">
        <f>IF(BetTable[[#This Row],[Sp]]="","",BetTable[[#This Row],[S1]]+BetTable[[#This Row],[S2]]+BetTable[[#This Row],[S3]])</f>
        <v/>
      </c>
      <c r="T195" s="143" t="str">
        <f>IF(BetTable[[#This Row],[O1]]="","",(BetTable[[#This Row],[WBA1-Commission]])-BetTable[[#This Row],[TS]])</f>
        <v/>
      </c>
      <c r="U195" s="143" t="str">
        <f>IF(BetTable[[#This Row],[O2]]="","",(BetTable[[#This Row],[WBA2-Commission]])-BetTable[[#This Row],[TS]])</f>
        <v/>
      </c>
      <c r="V195" s="143" t="str">
        <f>IF(BetTable[[#This Row],[O3]]="","",(BetTable[[#This Row],[WBA3-Commission]])-BetTable[[#This Row],[TS]])</f>
        <v/>
      </c>
      <c r="W195" s="143">
        <f>IF(NOT(ISBLANK(BetTable[[#This Row],[B1]])),1,0)+IF(NOT(ISBLANK(BetTable[[#This Row],[B2]])),1,0)+IF(NOT(ISBLANK(BetTable[[#This Row],[B3]])),1,0)</f>
        <v>0</v>
      </c>
      <c r="X195" s="143" t="str">
        <f>IF(BetTable[[#This Row],[Outcome1]]="","",BetTable[[#This Row],[WBA1]]+BetTable[[#This Row],[WBA2]]+BetTable[[#This Row],[WBA3]]-BetTable[[#This Row],[TS]])</f>
        <v/>
      </c>
      <c r="Y195" s="143" t="str">
        <f>IF(BetTable[[#This Row],[AR]]="","",BetTable[[#This Row],[AR]]/BetTable[[#This Row],[NumBookies]])</f>
        <v/>
      </c>
      <c r="Z195" s="143">
        <f>(((BetTable[[#This Row],[O1]]-1)*BetTable[[#This Row],[S1]])*(1-(BetTable[[#This Row],[C% 1]]))+BetTable[[#This Row],[S1]])</f>
        <v>0</v>
      </c>
      <c r="AA195" s="143">
        <f>(((BetTable[[#This Row],[O2]]-1)*BetTable[[#This Row],[S2]])*(1-(BetTable[[#This Row],[C% 2]]))+BetTable[[#This Row],[S2]])</f>
        <v>0</v>
      </c>
      <c r="AB195" s="143">
        <f>(((BetTable[[#This Row],[O3]]-1)*BetTable[[#This Row],[S3]])*(1-(BetTable[[#This Row],[C% 3]]))+BetTable[[#This Row],[S3]])</f>
        <v>0</v>
      </c>
      <c r="AC195" s="147" t="str">
        <f>IFERROR(IF(BetTable[[#This Row],[Sp]]="","",BetTable[[#This Row],[R1]]/BetTable[[#This Row],[TS]]),"")</f>
        <v/>
      </c>
      <c r="AD195" s="147" t="str">
        <f>IF(BetTable[[#This Row],[O2]]="","",BetTable[[#This Row],[R2]]/BetTable[[#This Row],[TS]])</f>
        <v/>
      </c>
      <c r="AE195" s="147" t="str">
        <f>IFERROR(IF(BetTable[[#This Row],[Sp]]="","",BetTable[[#This Row],[R3]]/BetTable[[#This Row],[TS]]),"")</f>
        <v/>
      </c>
      <c r="AF195" s="147" t="str">
        <f>IFERROR(IF(BetTable[[#This Row],[Outcome1]]="","",BetTable[[#This Row],[AR]]/BetTable[[#This Row],[TS]]),"")</f>
        <v/>
      </c>
      <c r="AG19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5" s="57" t="e">
        <f>IF(BetTable[[#This Row],[Outcome1]]="",AJ194,BetTable[[#This Row],[AR]]+AJ194)</f>
        <v>#REF!</v>
      </c>
      <c r="AK195" s="39"/>
    </row>
    <row r="196" spans="1:37">
      <c r="A196" s="144"/>
      <c r="B196" s="39"/>
      <c r="C196" s="40"/>
      <c r="D196" s="40"/>
      <c r="E196" s="40"/>
      <c r="F196" s="152"/>
      <c r="G196" s="152"/>
      <c r="H196" s="152"/>
      <c r="I196" s="39"/>
      <c r="J196" s="54"/>
      <c r="K196" s="54"/>
      <c r="L196" s="54"/>
      <c r="M196" s="57"/>
      <c r="N196" s="57"/>
      <c r="O196" s="57"/>
      <c r="P196" s="55"/>
      <c r="Q196" s="55"/>
      <c r="R196" s="55"/>
      <c r="S196" s="146" t="str">
        <f>IF(BetTable[[#This Row],[Sp]]="","",BetTable[[#This Row],[S1]]+BetTable[[#This Row],[S2]]+BetTable[[#This Row],[S3]])</f>
        <v/>
      </c>
      <c r="T196" s="143" t="str">
        <f>IF(BetTable[[#This Row],[O1]]="","",(BetTable[[#This Row],[WBA1-Commission]])-BetTable[[#This Row],[TS]])</f>
        <v/>
      </c>
      <c r="U196" s="143" t="str">
        <f>IF(BetTable[[#This Row],[O2]]="","",(BetTable[[#This Row],[WBA2-Commission]])-BetTable[[#This Row],[TS]])</f>
        <v/>
      </c>
      <c r="V196" s="143" t="str">
        <f>IF(BetTable[[#This Row],[O3]]="","",(BetTable[[#This Row],[WBA3-Commission]])-BetTable[[#This Row],[TS]])</f>
        <v/>
      </c>
      <c r="W196" s="143">
        <f>IF(NOT(ISBLANK(BetTable[[#This Row],[B1]])),1,0)+IF(NOT(ISBLANK(BetTable[[#This Row],[B2]])),1,0)+IF(NOT(ISBLANK(BetTable[[#This Row],[B3]])),1,0)</f>
        <v>0</v>
      </c>
      <c r="X196" s="143" t="str">
        <f>IF(BetTable[[#This Row],[Outcome1]]="","",BetTable[[#This Row],[WBA1]]+BetTable[[#This Row],[WBA2]]+BetTable[[#This Row],[WBA3]]-BetTable[[#This Row],[TS]])</f>
        <v/>
      </c>
      <c r="Y196" s="143" t="str">
        <f>IF(BetTable[[#This Row],[AR]]="","",BetTable[[#This Row],[AR]]/BetTable[[#This Row],[NumBookies]])</f>
        <v/>
      </c>
      <c r="Z196" s="143">
        <f>(((BetTable[[#This Row],[O1]]-1)*BetTable[[#This Row],[S1]])*(1-(BetTable[[#This Row],[C% 1]]))+BetTable[[#This Row],[S1]])</f>
        <v>0</v>
      </c>
      <c r="AA196" s="143">
        <f>(((BetTable[[#This Row],[O2]]-1)*BetTable[[#This Row],[S2]])*(1-(BetTable[[#This Row],[C% 2]]))+BetTable[[#This Row],[S2]])</f>
        <v>0</v>
      </c>
      <c r="AB196" s="143">
        <f>(((BetTable[[#This Row],[O3]]-1)*BetTable[[#This Row],[S3]])*(1-(BetTable[[#This Row],[C% 3]]))+BetTable[[#This Row],[S3]])</f>
        <v>0</v>
      </c>
      <c r="AC196" s="147" t="str">
        <f>IFERROR(IF(BetTable[[#This Row],[Sp]]="","",BetTable[[#This Row],[R1]]/BetTable[[#This Row],[TS]]),"")</f>
        <v/>
      </c>
      <c r="AD196" s="147" t="str">
        <f>IF(BetTable[[#This Row],[O2]]="","",BetTable[[#This Row],[R2]]/BetTable[[#This Row],[TS]])</f>
        <v/>
      </c>
      <c r="AE196" s="147" t="str">
        <f>IFERROR(IF(BetTable[[#This Row],[Sp]]="","",BetTable[[#This Row],[R3]]/BetTable[[#This Row],[TS]]),"")</f>
        <v/>
      </c>
      <c r="AF196" s="147" t="str">
        <f>IFERROR(IF(BetTable[[#This Row],[Outcome1]]="","",BetTable[[#This Row],[AR]]/BetTable[[#This Row],[TS]]),"")</f>
        <v/>
      </c>
      <c r="AG19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6" s="57" t="e">
        <f>IF(BetTable[[#This Row],[Outcome1]]="",AJ195,BetTable[[#This Row],[AR]]+AJ195)</f>
        <v>#REF!</v>
      </c>
      <c r="AK196" s="39"/>
    </row>
    <row r="197" spans="1:37">
      <c r="A197" s="144"/>
      <c r="B197" s="39"/>
      <c r="C197" s="40"/>
      <c r="D197" s="40"/>
      <c r="E197" s="40"/>
      <c r="F197" s="152"/>
      <c r="G197" s="152"/>
      <c r="H197" s="152"/>
      <c r="I197" s="39"/>
      <c r="J197" s="54"/>
      <c r="K197" s="54"/>
      <c r="L197" s="54"/>
      <c r="M197" s="57"/>
      <c r="N197" s="57"/>
      <c r="O197" s="57"/>
      <c r="P197" s="55"/>
      <c r="Q197" s="55"/>
      <c r="R197" s="55"/>
      <c r="S197" s="146" t="str">
        <f>IF(BetTable[[#This Row],[Sp]]="","",BetTable[[#This Row],[S1]]+BetTable[[#This Row],[S2]]+BetTable[[#This Row],[S3]])</f>
        <v/>
      </c>
      <c r="T197" s="143" t="str">
        <f>IF(BetTable[[#This Row],[O1]]="","",(BetTable[[#This Row],[WBA1-Commission]])-BetTable[[#This Row],[TS]])</f>
        <v/>
      </c>
      <c r="U197" s="143" t="str">
        <f>IF(BetTable[[#This Row],[O2]]="","",(BetTable[[#This Row],[WBA2-Commission]])-BetTable[[#This Row],[TS]])</f>
        <v/>
      </c>
      <c r="V197" s="143" t="str">
        <f>IF(BetTable[[#This Row],[O3]]="","",(BetTable[[#This Row],[WBA3-Commission]])-BetTable[[#This Row],[TS]])</f>
        <v/>
      </c>
      <c r="W197" s="143">
        <f>IF(NOT(ISBLANK(BetTable[[#This Row],[B1]])),1,0)+IF(NOT(ISBLANK(BetTable[[#This Row],[B2]])),1,0)+IF(NOT(ISBLANK(BetTable[[#This Row],[B3]])),1,0)</f>
        <v>0</v>
      </c>
      <c r="X197" s="143" t="str">
        <f>IF(BetTable[[#This Row],[Outcome1]]="","",BetTable[[#This Row],[WBA1]]+BetTable[[#This Row],[WBA2]]+BetTable[[#This Row],[WBA3]]-BetTable[[#This Row],[TS]])</f>
        <v/>
      </c>
      <c r="Y197" s="143" t="str">
        <f>IF(BetTable[[#This Row],[AR]]="","",BetTable[[#This Row],[AR]]/BetTable[[#This Row],[NumBookies]])</f>
        <v/>
      </c>
      <c r="Z197" s="143">
        <f>(((BetTable[[#This Row],[O1]]-1)*BetTable[[#This Row],[S1]])*(1-(BetTable[[#This Row],[C% 1]]))+BetTable[[#This Row],[S1]])</f>
        <v>0</v>
      </c>
      <c r="AA197" s="143">
        <f>(((BetTable[[#This Row],[O2]]-1)*BetTable[[#This Row],[S2]])*(1-(BetTable[[#This Row],[C% 2]]))+BetTable[[#This Row],[S2]])</f>
        <v>0</v>
      </c>
      <c r="AB197" s="143">
        <f>(((BetTable[[#This Row],[O3]]-1)*BetTable[[#This Row],[S3]])*(1-(BetTable[[#This Row],[C% 3]]))+BetTable[[#This Row],[S3]])</f>
        <v>0</v>
      </c>
      <c r="AC197" s="147" t="str">
        <f>IFERROR(IF(BetTable[[#This Row],[Sp]]="","",BetTable[[#This Row],[R1]]/BetTable[[#This Row],[TS]]),"")</f>
        <v/>
      </c>
      <c r="AD197" s="147" t="str">
        <f>IF(BetTable[[#This Row],[O2]]="","",BetTable[[#This Row],[R2]]/BetTable[[#This Row],[TS]])</f>
        <v/>
      </c>
      <c r="AE197" s="147" t="str">
        <f>IFERROR(IF(BetTable[[#This Row],[Sp]]="","",BetTable[[#This Row],[R3]]/BetTable[[#This Row],[TS]]),"")</f>
        <v/>
      </c>
      <c r="AF197" s="147" t="str">
        <f>IFERROR(IF(BetTable[[#This Row],[Outcome1]]="","",BetTable[[#This Row],[AR]]/BetTable[[#This Row],[TS]]),"")</f>
        <v/>
      </c>
      <c r="AG19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7" s="57" t="e">
        <f>IF(BetTable[[#This Row],[Outcome1]]="",AJ196,BetTable[[#This Row],[AR]]+AJ196)</f>
        <v>#REF!</v>
      </c>
      <c r="AK197" s="39"/>
    </row>
    <row r="198" spans="1:37">
      <c r="A198" s="144"/>
      <c r="B198" s="39"/>
      <c r="C198" s="40"/>
      <c r="D198" s="40"/>
      <c r="E198" s="40"/>
      <c r="F198" s="152"/>
      <c r="G198" s="152"/>
      <c r="H198" s="152"/>
      <c r="I198" s="39"/>
      <c r="J198" s="54"/>
      <c r="K198" s="54"/>
      <c r="L198" s="54"/>
      <c r="M198" s="57"/>
      <c r="N198" s="57"/>
      <c r="O198" s="57"/>
      <c r="P198" s="55"/>
      <c r="Q198" s="55"/>
      <c r="R198" s="55"/>
      <c r="S198" s="146" t="str">
        <f>IF(BetTable[[#This Row],[Sp]]="","",BetTable[[#This Row],[S1]]+BetTable[[#This Row],[S2]]+BetTable[[#This Row],[S3]])</f>
        <v/>
      </c>
      <c r="T198" s="143" t="str">
        <f>IF(BetTable[[#This Row],[O1]]="","",(BetTable[[#This Row],[WBA1-Commission]])-BetTable[[#This Row],[TS]])</f>
        <v/>
      </c>
      <c r="U198" s="143" t="str">
        <f>IF(BetTable[[#This Row],[O2]]="","",(BetTable[[#This Row],[WBA2-Commission]])-BetTable[[#This Row],[TS]])</f>
        <v/>
      </c>
      <c r="V198" s="143" t="str">
        <f>IF(BetTable[[#This Row],[O3]]="","",(BetTable[[#This Row],[WBA3-Commission]])-BetTable[[#This Row],[TS]])</f>
        <v/>
      </c>
      <c r="W198" s="143">
        <f>IF(NOT(ISBLANK(BetTable[[#This Row],[B1]])),1,0)+IF(NOT(ISBLANK(BetTable[[#This Row],[B2]])),1,0)+IF(NOT(ISBLANK(BetTable[[#This Row],[B3]])),1,0)</f>
        <v>0</v>
      </c>
      <c r="X198" s="143" t="str">
        <f>IF(BetTable[[#This Row],[Outcome1]]="","",BetTable[[#This Row],[WBA1]]+BetTable[[#This Row],[WBA2]]+BetTable[[#This Row],[WBA3]]-BetTable[[#This Row],[TS]])</f>
        <v/>
      </c>
      <c r="Y198" s="143" t="str">
        <f>IF(BetTable[[#This Row],[AR]]="","",BetTable[[#This Row],[AR]]/BetTable[[#This Row],[NumBookies]])</f>
        <v/>
      </c>
      <c r="Z198" s="143">
        <f>(((BetTable[[#This Row],[O1]]-1)*BetTable[[#This Row],[S1]])*(1-(BetTable[[#This Row],[C% 1]]))+BetTable[[#This Row],[S1]])</f>
        <v>0</v>
      </c>
      <c r="AA198" s="143">
        <f>(((BetTable[[#This Row],[O2]]-1)*BetTable[[#This Row],[S2]])*(1-(BetTable[[#This Row],[C% 2]]))+BetTable[[#This Row],[S2]])</f>
        <v>0</v>
      </c>
      <c r="AB198" s="143">
        <f>(((BetTable[[#This Row],[O3]]-1)*BetTable[[#This Row],[S3]])*(1-(BetTable[[#This Row],[C% 3]]))+BetTable[[#This Row],[S3]])</f>
        <v>0</v>
      </c>
      <c r="AC198" s="147" t="str">
        <f>IFERROR(IF(BetTable[[#This Row],[Sp]]="","",BetTable[[#This Row],[R1]]/BetTable[[#This Row],[TS]]),"")</f>
        <v/>
      </c>
      <c r="AD198" s="147" t="str">
        <f>IF(BetTable[[#This Row],[O2]]="","",BetTable[[#This Row],[R2]]/BetTable[[#This Row],[TS]])</f>
        <v/>
      </c>
      <c r="AE198" s="147" t="str">
        <f>IFERROR(IF(BetTable[[#This Row],[Sp]]="","",BetTable[[#This Row],[R3]]/BetTable[[#This Row],[TS]]),"")</f>
        <v/>
      </c>
      <c r="AF198" s="147" t="str">
        <f>IFERROR(IF(BetTable[[#This Row],[Outcome1]]="","",BetTable[[#This Row],[AR]]/BetTable[[#This Row],[TS]]),"")</f>
        <v/>
      </c>
      <c r="AG19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8" s="57" t="e">
        <f>IF(BetTable[[#This Row],[Outcome1]]="",AJ197,BetTable[[#This Row],[AR]]+AJ197)</f>
        <v>#REF!</v>
      </c>
      <c r="AK198" s="39"/>
    </row>
    <row r="199" spans="1:37">
      <c r="A199" s="144"/>
      <c r="B199" s="39"/>
      <c r="C199" s="40"/>
      <c r="D199" s="40"/>
      <c r="E199" s="40"/>
      <c r="F199" s="152"/>
      <c r="G199" s="152"/>
      <c r="H199" s="152"/>
      <c r="I199" s="39"/>
      <c r="J199" s="54"/>
      <c r="K199" s="54"/>
      <c r="L199" s="54"/>
      <c r="M199" s="57"/>
      <c r="N199" s="57"/>
      <c r="O199" s="57"/>
      <c r="P199" s="55"/>
      <c r="Q199" s="55"/>
      <c r="R199" s="55"/>
      <c r="S199" s="146" t="str">
        <f>IF(BetTable[[#This Row],[Sp]]="","",BetTable[[#This Row],[S1]]+BetTable[[#This Row],[S2]]+BetTable[[#This Row],[S3]])</f>
        <v/>
      </c>
      <c r="T199" s="143" t="str">
        <f>IF(BetTable[[#This Row],[O1]]="","",(BetTable[[#This Row],[WBA1-Commission]])-BetTable[[#This Row],[TS]])</f>
        <v/>
      </c>
      <c r="U199" s="143" t="str">
        <f>IF(BetTable[[#This Row],[O2]]="","",(BetTable[[#This Row],[WBA2-Commission]])-BetTable[[#This Row],[TS]])</f>
        <v/>
      </c>
      <c r="V199" s="143" t="str">
        <f>IF(BetTable[[#This Row],[O3]]="","",(BetTable[[#This Row],[WBA3-Commission]])-BetTable[[#This Row],[TS]])</f>
        <v/>
      </c>
      <c r="W199" s="143">
        <f>IF(NOT(ISBLANK(BetTable[[#This Row],[B1]])),1,0)+IF(NOT(ISBLANK(BetTable[[#This Row],[B2]])),1,0)+IF(NOT(ISBLANK(BetTable[[#This Row],[B3]])),1,0)</f>
        <v>0</v>
      </c>
      <c r="X199" s="143" t="str">
        <f>IF(BetTable[[#This Row],[Outcome1]]="","",BetTable[[#This Row],[WBA1]]+BetTable[[#This Row],[WBA2]]+BetTable[[#This Row],[WBA3]]-BetTable[[#This Row],[TS]])</f>
        <v/>
      </c>
      <c r="Y199" s="143" t="str">
        <f>IF(BetTable[[#This Row],[AR]]="","",BetTable[[#This Row],[AR]]/BetTable[[#This Row],[NumBookies]])</f>
        <v/>
      </c>
      <c r="Z199" s="143">
        <f>(((BetTable[[#This Row],[O1]]-1)*BetTable[[#This Row],[S1]])*(1-(BetTable[[#This Row],[C% 1]]))+BetTable[[#This Row],[S1]])</f>
        <v>0</v>
      </c>
      <c r="AA199" s="143">
        <f>(((BetTable[[#This Row],[O2]]-1)*BetTable[[#This Row],[S2]])*(1-(BetTable[[#This Row],[C% 2]]))+BetTable[[#This Row],[S2]])</f>
        <v>0</v>
      </c>
      <c r="AB199" s="143">
        <f>(((BetTable[[#This Row],[O3]]-1)*BetTable[[#This Row],[S3]])*(1-(BetTable[[#This Row],[C% 3]]))+BetTable[[#This Row],[S3]])</f>
        <v>0</v>
      </c>
      <c r="AC199" s="147" t="str">
        <f>IFERROR(IF(BetTable[[#This Row],[Sp]]="","",BetTable[[#This Row],[R1]]/BetTable[[#This Row],[TS]]),"")</f>
        <v/>
      </c>
      <c r="AD199" s="147" t="str">
        <f>IF(BetTable[[#This Row],[O2]]="","",BetTable[[#This Row],[R2]]/BetTable[[#This Row],[TS]])</f>
        <v/>
      </c>
      <c r="AE199" s="147" t="str">
        <f>IFERROR(IF(BetTable[[#This Row],[Sp]]="","",BetTable[[#This Row],[R3]]/BetTable[[#This Row],[TS]]),"")</f>
        <v/>
      </c>
      <c r="AF199" s="147" t="str">
        <f>IFERROR(IF(BetTable[[#This Row],[Outcome1]]="","",BetTable[[#This Row],[AR]]/BetTable[[#This Row],[TS]]),"")</f>
        <v/>
      </c>
      <c r="AG19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19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19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199" s="57" t="e">
        <f>IF(BetTable[[#This Row],[Outcome1]]="",AJ198,BetTable[[#This Row],[AR]]+AJ198)</f>
        <v>#REF!</v>
      </c>
      <c r="AK199" s="39"/>
    </row>
    <row r="200" spans="1:37">
      <c r="A200" s="144"/>
      <c r="B200" s="39"/>
      <c r="C200" s="40"/>
      <c r="D200" s="40"/>
      <c r="E200" s="40"/>
      <c r="F200" s="152"/>
      <c r="G200" s="152"/>
      <c r="H200" s="152"/>
      <c r="I200" s="39"/>
      <c r="J200" s="54"/>
      <c r="K200" s="54"/>
      <c r="L200" s="54"/>
      <c r="M200" s="57"/>
      <c r="N200" s="57"/>
      <c r="O200" s="57"/>
      <c r="P200" s="55"/>
      <c r="Q200" s="55"/>
      <c r="R200" s="55"/>
      <c r="S200" s="146" t="str">
        <f>IF(BetTable[[#This Row],[Sp]]="","",BetTable[[#This Row],[S1]]+BetTable[[#This Row],[S2]]+BetTable[[#This Row],[S3]])</f>
        <v/>
      </c>
      <c r="T200" s="143" t="str">
        <f>IF(BetTable[[#This Row],[O1]]="","",(BetTable[[#This Row],[WBA1-Commission]])-BetTable[[#This Row],[TS]])</f>
        <v/>
      </c>
      <c r="U200" s="143" t="str">
        <f>IF(BetTable[[#This Row],[O2]]="","",(BetTable[[#This Row],[WBA2-Commission]])-BetTable[[#This Row],[TS]])</f>
        <v/>
      </c>
      <c r="V200" s="143" t="str">
        <f>IF(BetTable[[#This Row],[O3]]="","",(BetTable[[#This Row],[WBA3-Commission]])-BetTable[[#This Row],[TS]])</f>
        <v/>
      </c>
      <c r="W200" s="143">
        <f>IF(NOT(ISBLANK(BetTable[[#This Row],[B1]])),1,0)+IF(NOT(ISBLANK(BetTable[[#This Row],[B2]])),1,0)+IF(NOT(ISBLANK(BetTable[[#This Row],[B3]])),1,0)</f>
        <v>0</v>
      </c>
      <c r="X200" s="143" t="str">
        <f>IF(BetTable[[#This Row],[Outcome1]]="","",BetTable[[#This Row],[WBA1]]+BetTable[[#This Row],[WBA2]]+BetTable[[#This Row],[WBA3]]-BetTable[[#This Row],[TS]])</f>
        <v/>
      </c>
      <c r="Y200" s="143" t="str">
        <f>IF(BetTable[[#This Row],[AR]]="","",BetTable[[#This Row],[AR]]/BetTable[[#This Row],[NumBookies]])</f>
        <v/>
      </c>
      <c r="Z200" s="143">
        <f>(((BetTable[[#This Row],[O1]]-1)*BetTable[[#This Row],[S1]])*(1-(BetTable[[#This Row],[C% 1]]))+BetTable[[#This Row],[S1]])</f>
        <v>0</v>
      </c>
      <c r="AA200" s="143">
        <f>(((BetTable[[#This Row],[O2]]-1)*BetTable[[#This Row],[S2]])*(1-(BetTable[[#This Row],[C% 2]]))+BetTable[[#This Row],[S2]])</f>
        <v>0</v>
      </c>
      <c r="AB200" s="143">
        <f>(((BetTable[[#This Row],[O3]]-1)*BetTable[[#This Row],[S3]])*(1-(BetTable[[#This Row],[C% 3]]))+BetTable[[#This Row],[S3]])</f>
        <v>0</v>
      </c>
      <c r="AC200" s="147" t="str">
        <f>IFERROR(IF(BetTable[[#This Row],[Sp]]="","",BetTable[[#This Row],[R1]]/BetTable[[#This Row],[TS]]),"")</f>
        <v/>
      </c>
      <c r="AD200" s="147" t="str">
        <f>IF(BetTable[[#This Row],[O2]]="","",BetTable[[#This Row],[R2]]/BetTable[[#This Row],[TS]])</f>
        <v/>
      </c>
      <c r="AE200" s="147" t="str">
        <f>IFERROR(IF(BetTable[[#This Row],[Sp]]="","",BetTable[[#This Row],[R3]]/BetTable[[#This Row],[TS]]),"")</f>
        <v/>
      </c>
      <c r="AF200" s="147" t="str">
        <f>IFERROR(IF(BetTable[[#This Row],[Outcome1]]="","",BetTable[[#This Row],[AR]]/BetTable[[#This Row],[TS]]),"")</f>
        <v/>
      </c>
      <c r="AG20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0" s="57" t="e">
        <f>IF(BetTable[[#This Row],[Outcome1]]="",AJ199,BetTable[[#This Row],[AR]]+AJ199)</f>
        <v>#REF!</v>
      </c>
      <c r="AK200" s="39"/>
    </row>
    <row r="201" spans="1:37">
      <c r="A201" s="144"/>
      <c r="B201" s="39"/>
      <c r="C201" s="40"/>
      <c r="D201" s="40"/>
      <c r="E201" s="40"/>
      <c r="F201" s="152"/>
      <c r="G201" s="152"/>
      <c r="H201" s="152"/>
      <c r="I201" s="39"/>
      <c r="J201" s="54"/>
      <c r="K201" s="54"/>
      <c r="L201" s="54"/>
      <c r="M201" s="57"/>
      <c r="N201" s="57"/>
      <c r="O201" s="57"/>
      <c r="P201" s="55"/>
      <c r="Q201" s="55"/>
      <c r="R201" s="55"/>
      <c r="S201" s="146" t="str">
        <f>IF(BetTable[[#This Row],[Sp]]="","",BetTable[[#This Row],[S1]]+BetTable[[#This Row],[S2]]+BetTable[[#This Row],[S3]])</f>
        <v/>
      </c>
      <c r="T201" s="143" t="str">
        <f>IF(BetTable[[#This Row],[O1]]="","",(BetTable[[#This Row],[WBA1-Commission]])-BetTable[[#This Row],[TS]])</f>
        <v/>
      </c>
      <c r="U201" s="143" t="str">
        <f>IF(BetTable[[#This Row],[O2]]="","",(BetTable[[#This Row],[WBA2-Commission]])-BetTable[[#This Row],[TS]])</f>
        <v/>
      </c>
      <c r="V201" s="143" t="str">
        <f>IF(BetTable[[#This Row],[O3]]="","",(BetTable[[#This Row],[WBA3-Commission]])-BetTable[[#This Row],[TS]])</f>
        <v/>
      </c>
      <c r="W201" s="143">
        <f>IF(NOT(ISBLANK(BetTable[[#This Row],[B1]])),1,0)+IF(NOT(ISBLANK(BetTable[[#This Row],[B2]])),1,0)+IF(NOT(ISBLANK(BetTable[[#This Row],[B3]])),1,0)</f>
        <v>0</v>
      </c>
      <c r="X201" s="143" t="str">
        <f>IF(BetTable[[#This Row],[Outcome1]]="","",BetTable[[#This Row],[WBA1]]+BetTable[[#This Row],[WBA2]]+BetTable[[#This Row],[WBA3]]-BetTable[[#This Row],[TS]])</f>
        <v/>
      </c>
      <c r="Y201" s="143" t="str">
        <f>IF(BetTable[[#This Row],[AR]]="","",BetTable[[#This Row],[AR]]/BetTable[[#This Row],[NumBookies]])</f>
        <v/>
      </c>
      <c r="Z201" s="143">
        <f>(((BetTable[[#This Row],[O1]]-1)*BetTable[[#This Row],[S1]])*(1-(BetTable[[#This Row],[C% 1]]))+BetTable[[#This Row],[S1]])</f>
        <v>0</v>
      </c>
      <c r="AA201" s="143">
        <f>(((BetTable[[#This Row],[O2]]-1)*BetTable[[#This Row],[S2]])*(1-(BetTable[[#This Row],[C% 2]]))+BetTable[[#This Row],[S2]])</f>
        <v>0</v>
      </c>
      <c r="AB201" s="143">
        <f>(((BetTable[[#This Row],[O3]]-1)*BetTable[[#This Row],[S3]])*(1-(BetTable[[#This Row],[C% 3]]))+BetTable[[#This Row],[S3]])</f>
        <v>0</v>
      </c>
      <c r="AC201" s="147" t="str">
        <f>IFERROR(IF(BetTable[[#This Row],[Sp]]="","",BetTable[[#This Row],[R1]]/BetTable[[#This Row],[TS]]),"")</f>
        <v/>
      </c>
      <c r="AD201" s="147" t="str">
        <f>IF(BetTable[[#This Row],[O2]]="","",BetTable[[#This Row],[R2]]/BetTable[[#This Row],[TS]])</f>
        <v/>
      </c>
      <c r="AE201" s="147" t="str">
        <f>IFERROR(IF(BetTable[[#This Row],[Sp]]="","",BetTable[[#This Row],[R3]]/BetTable[[#This Row],[TS]]),"")</f>
        <v/>
      </c>
      <c r="AF201" s="147" t="str">
        <f>IFERROR(IF(BetTable[[#This Row],[Outcome1]]="","",BetTable[[#This Row],[AR]]/BetTable[[#This Row],[TS]]),"")</f>
        <v/>
      </c>
      <c r="AG20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1" s="57" t="e">
        <f>IF(BetTable[[#This Row],[Outcome1]]="",AJ200,BetTable[[#This Row],[AR]]+AJ200)</f>
        <v>#REF!</v>
      </c>
      <c r="AK201" s="39"/>
    </row>
    <row r="202" spans="1:37">
      <c r="A202" s="144"/>
      <c r="B202" s="39"/>
      <c r="C202" s="40"/>
      <c r="D202" s="40"/>
      <c r="E202" s="40"/>
      <c r="F202" s="152"/>
      <c r="G202" s="152"/>
      <c r="H202" s="152"/>
      <c r="I202" s="39"/>
      <c r="J202" s="54"/>
      <c r="K202" s="54"/>
      <c r="L202" s="54"/>
      <c r="M202" s="57"/>
      <c r="N202" s="57"/>
      <c r="O202" s="57"/>
      <c r="P202" s="55"/>
      <c r="Q202" s="55"/>
      <c r="R202" s="55"/>
      <c r="S202" s="146" t="str">
        <f>IF(BetTable[[#This Row],[Sp]]="","",BetTable[[#This Row],[S1]]+BetTable[[#This Row],[S2]]+BetTable[[#This Row],[S3]])</f>
        <v/>
      </c>
      <c r="T202" s="143" t="str">
        <f>IF(BetTable[[#This Row],[O1]]="","",(BetTable[[#This Row],[WBA1-Commission]])-BetTable[[#This Row],[TS]])</f>
        <v/>
      </c>
      <c r="U202" s="143" t="str">
        <f>IF(BetTable[[#This Row],[O2]]="","",(BetTable[[#This Row],[WBA2-Commission]])-BetTable[[#This Row],[TS]])</f>
        <v/>
      </c>
      <c r="V202" s="143" t="str">
        <f>IF(BetTable[[#This Row],[O3]]="","",(BetTable[[#This Row],[WBA3-Commission]])-BetTable[[#This Row],[TS]])</f>
        <v/>
      </c>
      <c r="W202" s="143">
        <f>IF(NOT(ISBLANK(BetTable[[#This Row],[B1]])),1,0)+IF(NOT(ISBLANK(BetTable[[#This Row],[B2]])),1,0)+IF(NOT(ISBLANK(BetTable[[#This Row],[B3]])),1,0)</f>
        <v>0</v>
      </c>
      <c r="X202" s="143" t="str">
        <f>IF(BetTable[[#This Row],[Outcome1]]="","",BetTable[[#This Row],[WBA1]]+BetTable[[#This Row],[WBA2]]+BetTable[[#This Row],[WBA3]]-BetTable[[#This Row],[TS]])</f>
        <v/>
      </c>
      <c r="Y202" s="143" t="str">
        <f>IF(BetTable[[#This Row],[AR]]="","",BetTable[[#This Row],[AR]]/BetTable[[#This Row],[NumBookies]])</f>
        <v/>
      </c>
      <c r="Z202" s="143">
        <f>(((BetTable[[#This Row],[O1]]-1)*BetTable[[#This Row],[S1]])*(1-(BetTable[[#This Row],[C% 1]]))+BetTable[[#This Row],[S1]])</f>
        <v>0</v>
      </c>
      <c r="AA202" s="143">
        <f>(((BetTable[[#This Row],[O2]]-1)*BetTable[[#This Row],[S2]])*(1-(BetTable[[#This Row],[C% 2]]))+BetTable[[#This Row],[S2]])</f>
        <v>0</v>
      </c>
      <c r="AB202" s="143">
        <f>(((BetTable[[#This Row],[O3]]-1)*BetTable[[#This Row],[S3]])*(1-(BetTable[[#This Row],[C% 3]]))+BetTable[[#This Row],[S3]])</f>
        <v>0</v>
      </c>
      <c r="AC202" s="147" t="str">
        <f>IFERROR(IF(BetTable[[#This Row],[Sp]]="","",BetTable[[#This Row],[R1]]/BetTable[[#This Row],[TS]]),"")</f>
        <v/>
      </c>
      <c r="AD202" s="147" t="str">
        <f>IF(BetTable[[#This Row],[O2]]="","",BetTable[[#This Row],[R2]]/BetTable[[#This Row],[TS]])</f>
        <v/>
      </c>
      <c r="AE202" s="147" t="str">
        <f>IFERROR(IF(BetTable[[#This Row],[Sp]]="","",BetTable[[#This Row],[R3]]/BetTable[[#This Row],[TS]]),"")</f>
        <v/>
      </c>
      <c r="AF202" s="147" t="str">
        <f>IFERROR(IF(BetTable[[#This Row],[Outcome1]]="","",BetTable[[#This Row],[AR]]/BetTable[[#This Row],[TS]]),"")</f>
        <v/>
      </c>
      <c r="AG20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2" s="57" t="e">
        <f>IF(BetTable[[#This Row],[Outcome1]]="",AJ201,BetTable[[#This Row],[AR]]+AJ201)</f>
        <v>#REF!</v>
      </c>
      <c r="AK202" s="39"/>
    </row>
    <row r="203" spans="1:37">
      <c r="A203" s="144"/>
      <c r="B203" s="39"/>
      <c r="C203" s="40"/>
      <c r="D203" s="40"/>
      <c r="E203" s="40"/>
      <c r="F203" s="152"/>
      <c r="G203" s="152"/>
      <c r="H203" s="152"/>
      <c r="I203" s="39"/>
      <c r="J203" s="54"/>
      <c r="K203" s="54"/>
      <c r="L203" s="54"/>
      <c r="M203" s="57"/>
      <c r="N203" s="57"/>
      <c r="O203" s="57"/>
      <c r="P203" s="55"/>
      <c r="Q203" s="55"/>
      <c r="R203" s="55"/>
      <c r="S203" s="146" t="str">
        <f>IF(BetTable[[#This Row],[Sp]]="","",BetTable[[#This Row],[S1]]+BetTable[[#This Row],[S2]]+BetTable[[#This Row],[S3]])</f>
        <v/>
      </c>
      <c r="T203" s="143" t="str">
        <f>IF(BetTable[[#This Row],[O1]]="","",(BetTable[[#This Row],[WBA1-Commission]])-BetTable[[#This Row],[TS]])</f>
        <v/>
      </c>
      <c r="U203" s="143" t="str">
        <f>IF(BetTable[[#This Row],[O2]]="","",(BetTable[[#This Row],[WBA2-Commission]])-BetTable[[#This Row],[TS]])</f>
        <v/>
      </c>
      <c r="V203" s="143" t="str">
        <f>IF(BetTable[[#This Row],[O3]]="","",(BetTable[[#This Row],[WBA3-Commission]])-BetTable[[#This Row],[TS]])</f>
        <v/>
      </c>
      <c r="W203" s="143">
        <f>IF(NOT(ISBLANK(BetTable[[#This Row],[B1]])),1,0)+IF(NOT(ISBLANK(BetTable[[#This Row],[B2]])),1,0)+IF(NOT(ISBLANK(BetTable[[#This Row],[B3]])),1,0)</f>
        <v>0</v>
      </c>
      <c r="X203" s="143" t="str">
        <f>IF(BetTable[[#This Row],[Outcome1]]="","",BetTable[[#This Row],[WBA1]]+BetTable[[#This Row],[WBA2]]+BetTable[[#This Row],[WBA3]]-BetTable[[#This Row],[TS]])</f>
        <v/>
      </c>
      <c r="Y203" s="143" t="str">
        <f>IF(BetTable[[#This Row],[AR]]="","",BetTable[[#This Row],[AR]]/BetTable[[#This Row],[NumBookies]])</f>
        <v/>
      </c>
      <c r="Z203" s="143">
        <f>(((BetTable[[#This Row],[O1]]-1)*BetTable[[#This Row],[S1]])*(1-(BetTable[[#This Row],[C% 1]]))+BetTable[[#This Row],[S1]])</f>
        <v>0</v>
      </c>
      <c r="AA203" s="143">
        <f>(((BetTable[[#This Row],[O2]]-1)*BetTable[[#This Row],[S2]])*(1-(BetTable[[#This Row],[C% 2]]))+BetTable[[#This Row],[S2]])</f>
        <v>0</v>
      </c>
      <c r="AB203" s="143">
        <f>(((BetTable[[#This Row],[O3]]-1)*BetTable[[#This Row],[S3]])*(1-(BetTable[[#This Row],[C% 3]]))+BetTable[[#This Row],[S3]])</f>
        <v>0</v>
      </c>
      <c r="AC203" s="147" t="str">
        <f>IFERROR(IF(BetTable[[#This Row],[Sp]]="","",BetTable[[#This Row],[R1]]/BetTable[[#This Row],[TS]]),"")</f>
        <v/>
      </c>
      <c r="AD203" s="147" t="str">
        <f>IF(BetTable[[#This Row],[O2]]="","",BetTable[[#This Row],[R2]]/BetTable[[#This Row],[TS]])</f>
        <v/>
      </c>
      <c r="AE203" s="147" t="str">
        <f>IFERROR(IF(BetTable[[#This Row],[Sp]]="","",BetTable[[#This Row],[R3]]/BetTable[[#This Row],[TS]]),"")</f>
        <v/>
      </c>
      <c r="AF203" s="147" t="str">
        <f>IFERROR(IF(BetTable[[#This Row],[Outcome1]]="","",BetTable[[#This Row],[AR]]/BetTable[[#This Row],[TS]]),"")</f>
        <v/>
      </c>
      <c r="AG20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3" s="57" t="e">
        <f>IF(BetTable[[#This Row],[Outcome1]]="",AJ202,BetTable[[#This Row],[AR]]+AJ202)</f>
        <v>#REF!</v>
      </c>
      <c r="AK203" s="39"/>
    </row>
    <row r="204" spans="1:37">
      <c r="A204" s="144"/>
      <c r="B204" s="39"/>
      <c r="C204" s="40"/>
      <c r="D204" s="40"/>
      <c r="E204" s="40"/>
      <c r="F204" s="152"/>
      <c r="G204" s="152"/>
      <c r="H204" s="152"/>
      <c r="I204" s="39"/>
      <c r="J204" s="54"/>
      <c r="K204" s="54"/>
      <c r="L204" s="54"/>
      <c r="M204" s="57"/>
      <c r="N204" s="57"/>
      <c r="O204" s="57"/>
      <c r="P204" s="55"/>
      <c r="Q204" s="55"/>
      <c r="R204" s="55"/>
      <c r="S204" s="146" t="str">
        <f>IF(BetTable[[#This Row],[Sp]]="","",BetTable[[#This Row],[S1]]+BetTable[[#This Row],[S2]]+BetTable[[#This Row],[S3]])</f>
        <v/>
      </c>
      <c r="T204" s="143" t="str">
        <f>IF(BetTable[[#This Row],[O1]]="","",(BetTable[[#This Row],[WBA1-Commission]])-BetTable[[#This Row],[TS]])</f>
        <v/>
      </c>
      <c r="U204" s="143" t="str">
        <f>IF(BetTable[[#This Row],[O2]]="","",(BetTable[[#This Row],[WBA2-Commission]])-BetTable[[#This Row],[TS]])</f>
        <v/>
      </c>
      <c r="V204" s="143" t="str">
        <f>IF(BetTable[[#This Row],[O3]]="","",(BetTable[[#This Row],[WBA3-Commission]])-BetTable[[#This Row],[TS]])</f>
        <v/>
      </c>
      <c r="W204" s="143">
        <f>IF(NOT(ISBLANK(BetTable[[#This Row],[B1]])),1,0)+IF(NOT(ISBLANK(BetTable[[#This Row],[B2]])),1,0)+IF(NOT(ISBLANK(BetTable[[#This Row],[B3]])),1,0)</f>
        <v>0</v>
      </c>
      <c r="X204" s="143" t="str">
        <f>IF(BetTable[[#This Row],[Outcome1]]="","",BetTable[[#This Row],[WBA1]]+BetTable[[#This Row],[WBA2]]+BetTable[[#This Row],[WBA3]]-BetTable[[#This Row],[TS]])</f>
        <v/>
      </c>
      <c r="Y204" s="143" t="str">
        <f>IF(BetTable[[#This Row],[AR]]="","",BetTable[[#This Row],[AR]]/BetTable[[#This Row],[NumBookies]])</f>
        <v/>
      </c>
      <c r="Z204" s="143">
        <f>(((BetTable[[#This Row],[O1]]-1)*BetTable[[#This Row],[S1]])*(1-(BetTable[[#This Row],[C% 1]]))+BetTable[[#This Row],[S1]])</f>
        <v>0</v>
      </c>
      <c r="AA204" s="143">
        <f>(((BetTable[[#This Row],[O2]]-1)*BetTable[[#This Row],[S2]])*(1-(BetTable[[#This Row],[C% 2]]))+BetTable[[#This Row],[S2]])</f>
        <v>0</v>
      </c>
      <c r="AB204" s="143">
        <f>(((BetTable[[#This Row],[O3]]-1)*BetTable[[#This Row],[S3]])*(1-(BetTable[[#This Row],[C% 3]]))+BetTable[[#This Row],[S3]])</f>
        <v>0</v>
      </c>
      <c r="AC204" s="147" t="str">
        <f>IFERROR(IF(BetTable[[#This Row],[Sp]]="","",BetTable[[#This Row],[R1]]/BetTable[[#This Row],[TS]]),"")</f>
        <v/>
      </c>
      <c r="AD204" s="147" t="str">
        <f>IF(BetTable[[#This Row],[O2]]="","",BetTable[[#This Row],[R2]]/BetTable[[#This Row],[TS]])</f>
        <v/>
      </c>
      <c r="AE204" s="147" t="str">
        <f>IFERROR(IF(BetTable[[#This Row],[Sp]]="","",BetTable[[#This Row],[R3]]/BetTable[[#This Row],[TS]]),"")</f>
        <v/>
      </c>
      <c r="AF204" s="147" t="str">
        <f>IFERROR(IF(BetTable[[#This Row],[Outcome1]]="","",BetTable[[#This Row],[AR]]/BetTable[[#This Row],[TS]]),"")</f>
        <v/>
      </c>
      <c r="AG20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4" s="57" t="e">
        <f>IF(BetTable[[#This Row],[Outcome1]]="",AJ203,BetTable[[#This Row],[AR]]+AJ203)</f>
        <v>#REF!</v>
      </c>
      <c r="AK204" s="39"/>
    </row>
    <row r="205" spans="1:37">
      <c r="A205" s="144"/>
      <c r="B205" s="39"/>
      <c r="C205" s="40"/>
      <c r="D205" s="40"/>
      <c r="E205" s="40"/>
      <c r="F205" s="152"/>
      <c r="G205" s="152"/>
      <c r="H205" s="152"/>
      <c r="I205" s="39"/>
      <c r="J205" s="54"/>
      <c r="K205" s="54"/>
      <c r="L205" s="54"/>
      <c r="M205" s="57"/>
      <c r="N205" s="57"/>
      <c r="O205" s="57"/>
      <c r="P205" s="55"/>
      <c r="Q205" s="55"/>
      <c r="R205" s="55"/>
      <c r="S205" s="146" t="str">
        <f>IF(BetTable[[#This Row],[Sp]]="","",BetTable[[#This Row],[S1]]+BetTable[[#This Row],[S2]]+BetTable[[#This Row],[S3]])</f>
        <v/>
      </c>
      <c r="T205" s="143" t="str">
        <f>IF(BetTable[[#This Row],[O1]]="","",(BetTable[[#This Row],[WBA1-Commission]])-BetTable[[#This Row],[TS]])</f>
        <v/>
      </c>
      <c r="U205" s="143" t="str">
        <f>IF(BetTable[[#This Row],[O2]]="","",(BetTable[[#This Row],[WBA2-Commission]])-BetTable[[#This Row],[TS]])</f>
        <v/>
      </c>
      <c r="V205" s="143" t="str">
        <f>IF(BetTable[[#This Row],[O3]]="","",(BetTable[[#This Row],[WBA3-Commission]])-BetTable[[#This Row],[TS]])</f>
        <v/>
      </c>
      <c r="W205" s="143">
        <f>IF(NOT(ISBLANK(BetTable[[#This Row],[B1]])),1,0)+IF(NOT(ISBLANK(BetTable[[#This Row],[B2]])),1,0)+IF(NOT(ISBLANK(BetTable[[#This Row],[B3]])),1,0)</f>
        <v>0</v>
      </c>
      <c r="X205" s="143" t="str">
        <f>IF(BetTable[[#This Row],[Outcome1]]="","",BetTable[[#This Row],[WBA1]]+BetTable[[#This Row],[WBA2]]+BetTable[[#This Row],[WBA3]]-BetTable[[#This Row],[TS]])</f>
        <v/>
      </c>
      <c r="Y205" s="143" t="str">
        <f>IF(BetTable[[#This Row],[AR]]="","",BetTable[[#This Row],[AR]]/BetTable[[#This Row],[NumBookies]])</f>
        <v/>
      </c>
      <c r="Z205" s="143">
        <f>(((BetTable[[#This Row],[O1]]-1)*BetTable[[#This Row],[S1]])*(1-(BetTable[[#This Row],[C% 1]]))+BetTable[[#This Row],[S1]])</f>
        <v>0</v>
      </c>
      <c r="AA205" s="143">
        <f>(((BetTable[[#This Row],[O2]]-1)*BetTable[[#This Row],[S2]])*(1-(BetTable[[#This Row],[C% 2]]))+BetTable[[#This Row],[S2]])</f>
        <v>0</v>
      </c>
      <c r="AB205" s="143">
        <f>(((BetTable[[#This Row],[O3]]-1)*BetTable[[#This Row],[S3]])*(1-(BetTable[[#This Row],[C% 3]]))+BetTable[[#This Row],[S3]])</f>
        <v>0</v>
      </c>
      <c r="AC205" s="147" t="str">
        <f>IFERROR(IF(BetTable[[#This Row],[Sp]]="","",BetTable[[#This Row],[R1]]/BetTable[[#This Row],[TS]]),"")</f>
        <v/>
      </c>
      <c r="AD205" s="147" t="str">
        <f>IF(BetTable[[#This Row],[O2]]="","",BetTable[[#This Row],[R2]]/BetTable[[#This Row],[TS]])</f>
        <v/>
      </c>
      <c r="AE205" s="147" t="str">
        <f>IFERROR(IF(BetTable[[#This Row],[Sp]]="","",BetTable[[#This Row],[R3]]/BetTable[[#This Row],[TS]]),"")</f>
        <v/>
      </c>
      <c r="AF205" s="147" t="str">
        <f>IFERROR(IF(BetTable[[#This Row],[Outcome1]]="","",BetTable[[#This Row],[AR]]/BetTable[[#This Row],[TS]]),"")</f>
        <v/>
      </c>
      <c r="AG20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5" s="57" t="e">
        <f>IF(BetTable[[#This Row],[Outcome1]]="",AJ204,BetTable[[#This Row],[AR]]+AJ204)</f>
        <v>#REF!</v>
      </c>
      <c r="AK205" s="39"/>
    </row>
    <row r="206" spans="1:37">
      <c r="A206" s="144"/>
      <c r="B206" s="39"/>
      <c r="C206" s="40"/>
      <c r="D206" s="40"/>
      <c r="E206" s="40"/>
      <c r="F206" s="152"/>
      <c r="G206" s="152"/>
      <c r="H206" s="152"/>
      <c r="I206" s="39"/>
      <c r="J206" s="54"/>
      <c r="K206" s="54"/>
      <c r="L206" s="54"/>
      <c r="M206" s="57"/>
      <c r="N206" s="57"/>
      <c r="O206" s="57"/>
      <c r="P206" s="55"/>
      <c r="Q206" s="55"/>
      <c r="R206" s="55"/>
      <c r="S206" s="146" t="str">
        <f>IF(BetTable[[#This Row],[Sp]]="","",BetTable[[#This Row],[S1]]+BetTable[[#This Row],[S2]]+BetTable[[#This Row],[S3]])</f>
        <v/>
      </c>
      <c r="T206" s="143" t="str">
        <f>IF(BetTable[[#This Row],[O1]]="","",(BetTable[[#This Row],[WBA1-Commission]])-BetTable[[#This Row],[TS]])</f>
        <v/>
      </c>
      <c r="U206" s="143" t="str">
        <f>IF(BetTable[[#This Row],[O2]]="","",(BetTable[[#This Row],[WBA2-Commission]])-BetTable[[#This Row],[TS]])</f>
        <v/>
      </c>
      <c r="V206" s="143" t="str">
        <f>IF(BetTable[[#This Row],[O3]]="","",(BetTable[[#This Row],[WBA3-Commission]])-BetTable[[#This Row],[TS]])</f>
        <v/>
      </c>
      <c r="W206" s="143">
        <f>IF(NOT(ISBLANK(BetTable[[#This Row],[B1]])),1,0)+IF(NOT(ISBLANK(BetTable[[#This Row],[B2]])),1,0)+IF(NOT(ISBLANK(BetTable[[#This Row],[B3]])),1,0)</f>
        <v>0</v>
      </c>
      <c r="X206" s="143" t="str">
        <f>IF(BetTable[[#This Row],[Outcome1]]="","",BetTable[[#This Row],[WBA1]]+BetTable[[#This Row],[WBA2]]+BetTable[[#This Row],[WBA3]]-BetTable[[#This Row],[TS]])</f>
        <v/>
      </c>
      <c r="Y206" s="143" t="str">
        <f>IF(BetTable[[#This Row],[AR]]="","",BetTable[[#This Row],[AR]]/BetTable[[#This Row],[NumBookies]])</f>
        <v/>
      </c>
      <c r="Z206" s="143">
        <f>(((BetTable[[#This Row],[O1]]-1)*BetTable[[#This Row],[S1]])*(1-(BetTable[[#This Row],[C% 1]]))+BetTable[[#This Row],[S1]])</f>
        <v>0</v>
      </c>
      <c r="AA206" s="143">
        <f>(((BetTable[[#This Row],[O2]]-1)*BetTable[[#This Row],[S2]])*(1-(BetTable[[#This Row],[C% 2]]))+BetTable[[#This Row],[S2]])</f>
        <v>0</v>
      </c>
      <c r="AB206" s="143">
        <f>(((BetTable[[#This Row],[O3]]-1)*BetTable[[#This Row],[S3]])*(1-(BetTable[[#This Row],[C% 3]]))+BetTable[[#This Row],[S3]])</f>
        <v>0</v>
      </c>
      <c r="AC206" s="147" t="str">
        <f>IFERROR(IF(BetTable[[#This Row],[Sp]]="","",BetTable[[#This Row],[R1]]/BetTable[[#This Row],[TS]]),"")</f>
        <v/>
      </c>
      <c r="AD206" s="147" t="str">
        <f>IF(BetTable[[#This Row],[O2]]="","",BetTable[[#This Row],[R2]]/BetTable[[#This Row],[TS]])</f>
        <v/>
      </c>
      <c r="AE206" s="147" t="str">
        <f>IFERROR(IF(BetTable[[#This Row],[Sp]]="","",BetTable[[#This Row],[R3]]/BetTable[[#This Row],[TS]]),"")</f>
        <v/>
      </c>
      <c r="AF206" s="147" t="str">
        <f>IFERROR(IF(BetTable[[#This Row],[Outcome1]]="","",BetTable[[#This Row],[AR]]/BetTable[[#This Row],[TS]]),"")</f>
        <v/>
      </c>
      <c r="AG20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6" s="57" t="e">
        <f>IF(BetTable[[#This Row],[Outcome1]]="",AJ205,BetTable[[#This Row],[AR]]+AJ205)</f>
        <v>#REF!</v>
      </c>
      <c r="AK206" s="39"/>
    </row>
    <row r="207" spans="1:37">
      <c r="A207" s="144"/>
      <c r="B207" s="39"/>
      <c r="C207" s="40"/>
      <c r="D207" s="40"/>
      <c r="E207" s="40"/>
      <c r="F207" s="152"/>
      <c r="G207" s="152"/>
      <c r="H207" s="152"/>
      <c r="I207" s="39"/>
      <c r="J207" s="54"/>
      <c r="K207" s="54"/>
      <c r="L207" s="54"/>
      <c r="M207" s="57"/>
      <c r="N207" s="57"/>
      <c r="O207" s="57"/>
      <c r="P207" s="55"/>
      <c r="Q207" s="55"/>
      <c r="R207" s="55"/>
      <c r="S207" s="146" t="str">
        <f>IF(BetTable[[#This Row],[Sp]]="","",BetTable[[#This Row],[S1]]+BetTable[[#This Row],[S2]]+BetTable[[#This Row],[S3]])</f>
        <v/>
      </c>
      <c r="T207" s="143" t="str">
        <f>IF(BetTable[[#This Row],[O1]]="","",(BetTable[[#This Row],[WBA1-Commission]])-BetTable[[#This Row],[TS]])</f>
        <v/>
      </c>
      <c r="U207" s="143" t="str">
        <f>IF(BetTable[[#This Row],[O2]]="","",(BetTable[[#This Row],[WBA2-Commission]])-BetTable[[#This Row],[TS]])</f>
        <v/>
      </c>
      <c r="V207" s="143" t="str">
        <f>IF(BetTable[[#This Row],[O3]]="","",(BetTable[[#This Row],[WBA3-Commission]])-BetTable[[#This Row],[TS]])</f>
        <v/>
      </c>
      <c r="W207" s="143">
        <f>IF(NOT(ISBLANK(BetTable[[#This Row],[B1]])),1,0)+IF(NOT(ISBLANK(BetTable[[#This Row],[B2]])),1,0)+IF(NOT(ISBLANK(BetTable[[#This Row],[B3]])),1,0)</f>
        <v>0</v>
      </c>
      <c r="X207" s="143" t="str">
        <f>IF(BetTable[[#This Row],[Outcome1]]="","",BetTable[[#This Row],[WBA1]]+BetTable[[#This Row],[WBA2]]+BetTable[[#This Row],[WBA3]]-BetTable[[#This Row],[TS]])</f>
        <v/>
      </c>
      <c r="Y207" s="143" t="str">
        <f>IF(BetTable[[#This Row],[AR]]="","",BetTable[[#This Row],[AR]]/BetTable[[#This Row],[NumBookies]])</f>
        <v/>
      </c>
      <c r="Z207" s="143">
        <f>(((BetTable[[#This Row],[O1]]-1)*BetTable[[#This Row],[S1]])*(1-(BetTable[[#This Row],[C% 1]]))+BetTable[[#This Row],[S1]])</f>
        <v>0</v>
      </c>
      <c r="AA207" s="143">
        <f>(((BetTable[[#This Row],[O2]]-1)*BetTable[[#This Row],[S2]])*(1-(BetTable[[#This Row],[C% 2]]))+BetTable[[#This Row],[S2]])</f>
        <v>0</v>
      </c>
      <c r="AB207" s="143">
        <f>(((BetTable[[#This Row],[O3]]-1)*BetTable[[#This Row],[S3]])*(1-(BetTable[[#This Row],[C% 3]]))+BetTable[[#This Row],[S3]])</f>
        <v>0</v>
      </c>
      <c r="AC207" s="147" t="str">
        <f>IFERROR(IF(BetTable[[#This Row],[Sp]]="","",BetTable[[#This Row],[R1]]/BetTable[[#This Row],[TS]]),"")</f>
        <v/>
      </c>
      <c r="AD207" s="147" t="str">
        <f>IF(BetTable[[#This Row],[O2]]="","",BetTable[[#This Row],[R2]]/BetTable[[#This Row],[TS]])</f>
        <v/>
      </c>
      <c r="AE207" s="147" t="str">
        <f>IFERROR(IF(BetTable[[#This Row],[Sp]]="","",BetTable[[#This Row],[R3]]/BetTable[[#This Row],[TS]]),"")</f>
        <v/>
      </c>
      <c r="AF207" s="147" t="str">
        <f>IFERROR(IF(BetTable[[#This Row],[Outcome1]]="","",BetTable[[#This Row],[AR]]/BetTable[[#This Row],[TS]]),"")</f>
        <v/>
      </c>
      <c r="AG20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7" s="57" t="e">
        <f>IF(BetTable[[#This Row],[Outcome1]]="",AJ206,BetTable[[#This Row],[AR]]+AJ206)</f>
        <v>#REF!</v>
      </c>
      <c r="AK207" s="39"/>
    </row>
    <row r="208" spans="1:37">
      <c r="A208" s="144"/>
      <c r="B208" s="39"/>
      <c r="C208" s="40"/>
      <c r="D208" s="40"/>
      <c r="E208" s="40"/>
      <c r="F208" s="152"/>
      <c r="G208" s="152"/>
      <c r="H208" s="152"/>
      <c r="I208" s="39"/>
      <c r="J208" s="54"/>
      <c r="K208" s="54"/>
      <c r="L208" s="54"/>
      <c r="M208" s="57"/>
      <c r="N208" s="57"/>
      <c r="O208" s="57"/>
      <c r="P208" s="55"/>
      <c r="Q208" s="55"/>
      <c r="R208" s="55"/>
      <c r="S208" s="146" t="str">
        <f>IF(BetTable[[#This Row],[Sp]]="","",BetTable[[#This Row],[S1]]+BetTable[[#This Row],[S2]]+BetTable[[#This Row],[S3]])</f>
        <v/>
      </c>
      <c r="T208" s="143" t="str">
        <f>IF(BetTable[[#This Row],[O1]]="","",(BetTable[[#This Row],[WBA1-Commission]])-BetTable[[#This Row],[TS]])</f>
        <v/>
      </c>
      <c r="U208" s="143" t="str">
        <f>IF(BetTable[[#This Row],[O2]]="","",(BetTable[[#This Row],[WBA2-Commission]])-BetTable[[#This Row],[TS]])</f>
        <v/>
      </c>
      <c r="V208" s="143" t="str">
        <f>IF(BetTable[[#This Row],[O3]]="","",(BetTable[[#This Row],[WBA3-Commission]])-BetTable[[#This Row],[TS]])</f>
        <v/>
      </c>
      <c r="W208" s="143">
        <f>IF(NOT(ISBLANK(BetTable[[#This Row],[B1]])),1,0)+IF(NOT(ISBLANK(BetTable[[#This Row],[B2]])),1,0)+IF(NOT(ISBLANK(BetTable[[#This Row],[B3]])),1,0)</f>
        <v>0</v>
      </c>
      <c r="X208" s="143" t="str">
        <f>IF(BetTable[[#This Row],[Outcome1]]="","",BetTable[[#This Row],[WBA1]]+BetTable[[#This Row],[WBA2]]+BetTable[[#This Row],[WBA3]]-BetTable[[#This Row],[TS]])</f>
        <v/>
      </c>
      <c r="Y208" s="143" t="str">
        <f>IF(BetTable[[#This Row],[AR]]="","",BetTable[[#This Row],[AR]]/BetTable[[#This Row],[NumBookies]])</f>
        <v/>
      </c>
      <c r="Z208" s="143">
        <f>(((BetTable[[#This Row],[O1]]-1)*BetTable[[#This Row],[S1]])*(1-(BetTable[[#This Row],[C% 1]]))+BetTable[[#This Row],[S1]])</f>
        <v>0</v>
      </c>
      <c r="AA208" s="143">
        <f>(((BetTable[[#This Row],[O2]]-1)*BetTable[[#This Row],[S2]])*(1-(BetTable[[#This Row],[C% 2]]))+BetTable[[#This Row],[S2]])</f>
        <v>0</v>
      </c>
      <c r="AB208" s="143">
        <f>(((BetTable[[#This Row],[O3]]-1)*BetTable[[#This Row],[S3]])*(1-(BetTable[[#This Row],[C% 3]]))+BetTable[[#This Row],[S3]])</f>
        <v>0</v>
      </c>
      <c r="AC208" s="147" t="str">
        <f>IFERROR(IF(BetTable[[#This Row],[Sp]]="","",BetTable[[#This Row],[R1]]/BetTable[[#This Row],[TS]]),"")</f>
        <v/>
      </c>
      <c r="AD208" s="147" t="str">
        <f>IF(BetTable[[#This Row],[O2]]="","",BetTable[[#This Row],[R2]]/BetTable[[#This Row],[TS]])</f>
        <v/>
      </c>
      <c r="AE208" s="147" t="str">
        <f>IFERROR(IF(BetTable[[#This Row],[Sp]]="","",BetTable[[#This Row],[R3]]/BetTable[[#This Row],[TS]]),"")</f>
        <v/>
      </c>
      <c r="AF208" s="147" t="str">
        <f>IFERROR(IF(BetTable[[#This Row],[Outcome1]]="","",BetTable[[#This Row],[AR]]/BetTable[[#This Row],[TS]]),"")</f>
        <v/>
      </c>
      <c r="AG20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8" s="57" t="e">
        <f>IF(BetTable[[#This Row],[Outcome1]]="",AJ207,BetTable[[#This Row],[AR]]+AJ207)</f>
        <v>#REF!</v>
      </c>
      <c r="AK208" s="39"/>
    </row>
    <row r="209" spans="1:37">
      <c r="A209" s="144"/>
      <c r="B209" s="39"/>
      <c r="C209" s="40"/>
      <c r="D209" s="40"/>
      <c r="E209" s="40"/>
      <c r="F209" s="152"/>
      <c r="G209" s="152"/>
      <c r="H209" s="152"/>
      <c r="I209" s="39"/>
      <c r="J209" s="54"/>
      <c r="K209" s="54"/>
      <c r="L209" s="54"/>
      <c r="M209" s="57"/>
      <c r="N209" s="57"/>
      <c r="O209" s="57"/>
      <c r="P209" s="55"/>
      <c r="Q209" s="55"/>
      <c r="R209" s="55"/>
      <c r="S209" s="146" t="str">
        <f>IF(BetTable[[#This Row],[Sp]]="","",BetTable[[#This Row],[S1]]+BetTable[[#This Row],[S2]]+BetTable[[#This Row],[S3]])</f>
        <v/>
      </c>
      <c r="T209" s="143" t="str">
        <f>IF(BetTable[[#This Row],[O1]]="","",(BetTable[[#This Row],[WBA1-Commission]])-BetTable[[#This Row],[TS]])</f>
        <v/>
      </c>
      <c r="U209" s="143" t="str">
        <f>IF(BetTable[[#This Row],[O2]]="","",(BetTable[[#This Row],[WBA2-Commission]])-BetTable[[#This Row],[TS]])</f>
        <v/>
      </c>
      <c r="V209" s="143" t="str">
        <f>IF(BetTable[[#This Row],[O3]]="","",(BetTable[[#This Row],[WBA3-Commission]])-BetTable[[#This Row],[TS]])</f>
        <v/>
      </c>
      <c r="W209" s="143">
        <f>IF(NOT(ISBLANK(BetTable[[#This Row],[B1]])),1,0)+IF(NOT(ISBLANK(BetTable[[#This Row],[B2]])),1,0)+IF(NOT(ISBLANK(BetTable[[#This Row],[B3]])),1,0)</f>
        <v>0</v>
      </c>
      <c r="X209" s="143" t="str">
        <f>IF(BetTable[[#This Row],[Outcome1]]="","",BetTable[[#This Row],[WBA1]]+BetTable[[#This Row],[WBA2]]+BetTable[[#This Row],[WBA3]]-BetTable[[#This Row],[TS]])</f>
        <v/>
      </c>
      <c r="Y209" s="143" t="str">
        <f>IF(BetTable[[#This Row],[AR]]="","",BetTable[[#This Row],[AR]]/BetTable[[#This Row],[NumBookies]])</f>
        <v/>
      </c>
      <c r="Z209" s="143">
        <f>(((BetTable[[#This Row],[O1]]-1)*BetTable[[#This Row],[S1]])*(1-(BetTable[[#This Row],[C% 1]]))+BetTable[[#This Row],[S1]])</f>
        <v>0</v>
      </c>
      <c r="AA209" s="143">
        <f>(((BetTable[[#This Row],[O2]]-1)*BetTable[[#This Row],[S2]])*(1-(BetTable[[#This Row],[C% 2]]))+BetTable[[#This Row],[S2]])</f>
        <v>0</v>
      </c>
      <c r="AB209" s="143">
        <f>(((BetTable[[#This Row],[O3]]-1)*BetTable[[#This Row],[S3]])*(1-(BetTable[[#This Row],[C% 3]]))+BetTable[[#This Row],[S3]])</f>
        <v>0</v>
      </c>
      <c r="AC209" s="147" t="str">
        <f>IFERROR(IF(BetTable[[#This Row],[Sp]]="","",BetTable[[#This Row],[R1]]/BetTable[[#This Row],[TS]]),"")</f>
        <v/>
      </c>
      <c r="AD209" s="147" t="str">
        <f>IF(BetTable[[#This Row],[O2]]="","",BetTable[[#This Row],[R2]]/BetTable[[#This Row],[TS]])</f>
        <v/>
      </c>
      <c r="AE209" s="147" t="str">
        <f>IFERROR(IF(BetTable[[#This Row],[Sp]]="","",BetTable[[#This Row],[R3]]/BetTable[[#This Row],[TS]]),"")</f>
        <v/>
      </c>
      <c r="AF209" s="147" t="str">
        <f>IFERROR(IF(BetTable[[#This Row],[Outcome1]]="","",BetTable[[#This Row],[AR]]/BetTable[[#This Row],[TS]]),"")</f>
        <v/>
      </c>
      <c r="AG20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0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0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09" s="57" t="e">
        <f>IF(BetTable[[#This Row],[Outcome1]]="",AJ208,BetTable[[#This Row],[AR]]+AJ208)</f>
        <v>#REF!</v>
      </c>
      <c r="AK209" s="39"/>
    </row>
    <row r="210" spans="1:37">
      <c r="A210" s="144"/>
      <c r="B210" s="39"/>
      <c r="C210" s="40"/>
      <c r="D210" s="40"/>
      <c r="E210" s="40"/>
      <c r="F210" s="152"/>
      <c r="G210" s="152"/>
      <c r="H210" s="152"/>
      <c r="I210" s="39"/>
      <c r="J210" s="54"/>
      <c r="K210" s="54"/>
      <c r="L210" s="54"/>
      <c r="M210" s="57"/>
      <c r="N210" s="57"/>
      <c r="O210" s="57"/>
      <c r="P210" s="55"/>
      <c r="Q210" s="55"/>
      <c r="R210" s="55"/>
      <c r="S210" s="146" t="str">
        <f>IF(BetTable[[#This Row],[Sp]]="","",BetTable[[#This Row],[S1]]+BetTable[[#This Row],[S2]]+BetTable[[#This Row],[S3]])</f>
        <v/>
      </c>
      <c r="T210" s="143" t="str">
        <f>IF(BetTable[[#This Row],[O1]]="","",(BetTable[[#This Row],[WBA1-Commission]])-BetTable[[#This Row],[TS]])</f>
        <v/>
      </c>
      <c r="U210" s="143" t="str">
        <f>IF(BetTable[[#This Row],[O2]]="","",(BetTable[[#This Row],[WBA2-Commission]])-BetTable[[#This Row],[TS]])</f>
        <v/>
      </c>
      <c r="V210" s="143" t="str">
        <f>IF(BetTable[[#This Row],[O3]]="","",(BetTable[[#This Row],[WBA3-Commission]])-BetTable[[#This Row],[TS]])</f>
        <v/>
      </c>
      <c r="W210" s="143">
        <f>IF(NOT(ISBLANK(BetTable[[#This Row],[B1]])),1,0)+IF(NOT(ISBLANK(BetTable[[#This Row],[B2]])),1,0)+IF(NOT(ISBLANK(BetTable[[#This Row],[B3]])),1,0)</f>
        <v>0</v>
      </c>
      <c r="X210" s="143" t="str">
        <f>IF(BetTable[[#This Row],[Outcome1]]="","",BetTable[[#This Row],[WBA1]]+BetTable[[#This Row],[WBA2]]+BetTable[[#This Row],[WBA3]]-BetTable[[#This Row],[TS]])</f>
        <v/>
      </c>
      <c r="Y210" s="143" t="str">
        <f>IF(BetTable[[#This Row],[AR]]="","",BetTable[[#This Row],[AR]]/BetTable[[#This Row],[NumBookies]])</f>
        <v/>
      </c>
      <c r="Z210" s="143">
        <f>(((BetTable[[#This Row],[O1]]-1)*BetTable[[#This Row],[S1]])*(1-(BetTable[[#This Row],[C% 1]]))+BetTable[[#This Row],[S1]])</f>
        <v>0</v>
      </c>
      <c r="AA210" s="143">
        <f>(((BetTable[[#This Row],[O2]]-1)*BetTable[[#This Row],[S2]])*(1-(BetTable[[#This Row],[C% 2]]))+BetTable[[#This Row],[S2]])</f>
        <v>0</v>
      </c>
      <c r="AB210" s="143">
        <f>(((BetTable[[#This Row],[O3]]-1)*BetTable[[#This Row],[S3]])*(1-(BetTable[[#This Row],[C% 3]]))+BetTable[[#This Row],[S3]])</f>
        <v>0</v>
      </c>
      <c r="AC210" s="147" t="str">
        <f>IFERROR(IF(BetTable[[#This Row],[Sp]]="","",BetTable[[#This Row],[R1]]/BetTable[[#This Row],[TS]]),"")</f>
        <v/>
      </c>
      <c r="AD210" s="147" t="str">
        <f>IF(BetTable[[#This Row],[O2]]="","",BetTable[[#This Row],[R2]]/BetTable[[#This Row],[TS]])</f>
        <v/>
      </c>
      <c r="AE210" s="147" t="str">
        <f>IFERROR(IF(BetTable[[#This Row],[Sp]]="","",BetTable[[#This Row],[R3]]/BetTable[[#This Row],[TS]]),"")</f>
        <v/>
      </c>
      <c r="AF210" s="147" t="str">
        <f>IFERROR(IF(BetTable[[#This Row],[Outcome1]]="","",BetTable[[#This Row],[AR]]/BetTable[[#This Row],[TS]]),"")</f>
        <v/>
      </c>
      <c r="AG21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0" s="57" t="e">
        <f>IF(BetTable[[#This Row],[Outcome1]]="",AJ209,BetTable[[#This Row],[AR]]+AJ209)</f>
        <v>#REF!</v>
      </c>
      <c r="AK210" s="39"/>
    </row>
    <row r="211" spans="1:37">
      <c r="A211" s="144"/>
      <c r="B211" s="39"/>
      <c r="C211" s="40"/>
      <c r="D211" s="40"/>
      <c r="E211" s="40"/>
      <c r="F211" s="152"/>
      <c r="G211" s="152"/>
      <c r="H211" s="152"/>
      <c r="I211" s="39"/>
      <c r="J211" s="54"/>
      <c r="K211" s="54"/>
      <c r="L211" s="54"/>
      <c r="M211" s="57"/>
      <c r="N211" s="57"/>
      <c r="O211" s="57"/>
      <c r="P211" s="55"/>
      <c r="Q211" s="55"/>
      <c r="R211" s="55"/>
      <c r="S211" s="146" t="str">
        <f>IF(BetTable[[#This Row],[Sp]]="","",BetTable[[#This Row],[S1]]+BetTable[[#This Row],[S2]]+BetTable[[#This Row],[S3]])</f>
        <v/>
      </c>
      <c r="T211" s="143" t="str">
        <f>IF(BetTable[[#This Row],[O1]]="","",(BetTable[[#This Row],[WBA1-Commission]])-BetTable[[#This Row],[TS]])</f>
        <v/>
      </c>
      <c r="U211" s="143" t="str">
        <f>IF(BetTable[[#This Row],[O2]]="","",(BetTable[[#This Row],[WBA2-Commission]])-BetTable[[#This Row],[TS]])</f>
        <v/>
      </c>
      <c r="V211" s="143" t="str">
        <f>IF(BetTable[[#This Row],[O3]]="","",(BetTable[[#This Row],[WBA3-Commission]])-BetTable[[#This Row],[TS]])</f>
        <v/>
      </c>
      <c r="W211" s="143">
        <f>IF(NOT(ISBLANK(BetTable[[#This Row],[B1]])),1,0)+IF(NOT(ISBLANK(BetTable[[#This Row],[B2]])),1,0)+IF(NOT(ISBLANK(BetTable[[#This Row],[B3]])),1,0)</f>
        <v>0</v>
      </c>
      <c r="X211" s="143" t="str">
        <f>IF(BetTable[[#This Row],[Outcome1]]="","",BetTable[[#This Row],[WBA1]]+BetTable[[#This Row],[WBA2]]+BetTable[[#This Row],[WBA3]]-BetTable[[#This Row],[TS]])</f>
        <v/>
      </c>
      <c r="Y211" s="143" t="str">
        <f>IF(BetTable[[#This Row],[AR]]="","",BetTable[[#This Row],[AR]]/BetTable[[#This Row],[NumBookies]])</f>
        <v/>
      </c>
      <c r="Z211" s="143">
        <f>(((BetTable[[#This Row],[O1]]-1)*BetTable[[#This Row],[S1]])*(1-(BetTable[[#This Row],[C% 1]]))+BetTable[[#This Row],[S1]])</f>
        <v>0</v>
      </c>
      <c r="AA211" s="143">
        <f>(((BetTable[[#This Row],[O2]]-1)*BetTable[[#This Row],[S2]])*(1-(BetTable[[#This Row],[C% 2]]))+BetTable[[#This Row],[S2]])</f>
        <v>0</v>
      </c>
      <c r="AB211" s="143">
        <f>(((BetTable[[#This Row],[O3]]-1)*BetTable[[#This Row],[S3]])*(1-(BetTable[[#This Row],[C% 3]]))+BetTable[[#This Row],[S3]])</f>
        <v>0</v>
      </c>
      <c r="AC211" s="147" t="str">
        <f>IFERROR(IF(BetTable[[#This Row],[Sp]]="","",BetTable[[#This Row],[R1]]/BetTable[[#This Row],[TS]]),"")</f>
        <v/>
      </c>
      <c r="AD211" s="147" t="str">
        <f>IF(BetTable[[#This Row],[O2]]="","",BetTable[[#This Row],[R2]]/BetTable[[#This Row],[TS]])</f>
        <v/>
      </c>
      <c r="AE211" s="147" t="str">
        <f>IFERROR(IF(BetTable[[#This Row],[Sp]]="","",BetTable[[#This Row],[R3]]/BetTable[[#This Row],[TS]]),"")</f>
        <v/>
      </c>
      <c r="AF211" s="147" t="str">
        <f>IFERROR(IF(BetTable[[#This Row],[Outcome1]]="","",BetTable[[#This Row],[AR]]/BetTable[[#This Row],[TS]]),"")</f>
        <v/>
      </c>
      <c r="AG21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1" s="57" t="e">
        <f>IF(BetTable[[#This Row],[Outcome1]]="",AJ210,BetTable[[#This Row],[AR]]+AJ210)</f>
        <v>#REF!</v>
      </c>
      <c r="AK211" s="39"/>
    </row>
    <row r="212" spans="1:37">
      <c r="A212" s="144"/>
      <c r="B212" s="39"/>
      <c r="C212" s="40"/>
      <c r="D212" s="40"/>
      <c r="E212" s="40"/>
      <c r="F212" s="152"/>
      <c r="G212" s="152"/>
      <c r="H212" s="152"/>
      <c r="I212" s="39"/>
      <c r="J212" s="54"/>
      <c r="K212" s="54"/>
      <c r="L212" s="54"/>
      <c r="M212" s="57"/>
      <c r="N212" s="57"/>
      <c r="O212" s="57"/>
      <c r="P212" s="55"/>
      <c r="Q212" s="55"/>
      <c r="R212" s="55"/>
      <c r="S212" s="146" t="str">
        <f>IF(BetTable[[#This Row],[Sp]]="","",BetTable[[#This Row],[S1]]+BetTable[[#This Row],[S2]]+BetTable[[#This Row],[S3]])</f>
        <v/>
      </c>
      <c r="T212" s="143" t="str">
        <f>IF(BetTable[[#This Row],[O1]]="","",(BetTable[[#This Row],[WBA1-Commission]])-BetTable[[#This Row],[TS]])</f>
        <v/>
      </c>
      <c r="U212" s="143" t="str">
        <f>IF(BetTable[[#This Row],[O2]]="","",(BetTable[[#This Row],[WBA2-Commission]])-BetTable[[#This Row],[TS]])</f>
        <v/>
      </c>
      <c r="V212" s="143" t="str">
        <f>IF(BetTable[[#This Row],[O3]]="","",(BetTable[[#This Row],[WBA3-Commission]])-BetTable[[#This Row],[TS]])</f>
        <v/>
      </c>
      <c r="W212" s="143">
        <f>IF(NOT(ISBLANK(BetTable[[#This Row],[B1]])),1,0)+IF(NOT(ISBLANK(BetTable[[#This Row],[B2]])),1,0)+IF(NOT(ISBLANK(BetTable[[#This Row],[B3]])),1,0)</f>
        <v>0</v>
      </c>
      <c r="X212" s="143" t="str">
        <f>IF(BetTable[[#This Row],[Outcome1]]="","",BetTable[[#This Row],[WBA1]]+BetTable[[#This Row],[WBA2]]+BetTable[[#This Row],[WBA3]]-BetTable[[#This Row],[TS]])</f>
        <v/>
      </c>
      <c r="Y212" s="143" t="str">
        <f>IF(BetTable[[#This Row],[AR]]="","",BetTable[[#This Row],[AR]]/BetTable[[#This Row],[NumBookies]])</f>
        <v/>
      </c>
      <c r="Z212" s="143">
        <f>(((BetTable[[#This Row],[O1]]-1)*BetTable[[#This Row],[S1]])*(1-(BetTable[[#This Row],[C% 1]]))+BetTable[[#This Row],[S1]])</f>
        <v>0</v>
      </c>
      <c r="AA212" s="143">
        <f>(((BetTable[[#This Row],[O2]]-1)*BetTable[[#This Row],[S2]])*(1-(BetTable[[#This Row],[C% 2]]))+BetTable[[#This Row],[S2]])</f>
        <v>0</v>
      </c>
      <c r="AB212" s="143">
        <f>(((BetTable[[#This Row],[O3]]-1)*BetTable[[#This Row],[S3]])*(1-(BetTable[[#This Row],[C% 3]]))+BetTable[[#This Row],[S3]])</f>
        <v>0</v>
      </c>
      <c r="AC212" s="147" t="str">
        <f>IFERROR(IF(BetTable[[#This Row],[Sp]]="","",BetTable[[#This Row],[R1]]/BetTable[[#This Row],[TS]]),"")</f>
        <v/>
      </c>
      <c r="AD212" s="147" t="str">
        <f>IF(BetTable[[#This Row],[O2]]="","",BetTable[[#This Row],[R2]]/BetTable[[#This Row],[TS]])</f>
        <v/>
      </c>
      <c r="AE212" s="147" t="str">
        <f>IFERROR(IF(BetTable[[#This Row],[Sp]]="","",BetTable[[#This Row],[R3]]/BetTable[[#This Row],[TS]]),"")</f>
        <v/>
      </c>
      <c r="AF212" s="147" t="str">
        <f>IFERROR(IF(BetTable[[#This Row],[Outcome1]]="","",BetTable[[#This Row],[AR]]/BetTable[[#This Row],[TS]]),"")</f>
        <v/>
      </c>
      <c r="AG21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2" s="57" t="e">
        <f>IF(BetTable[[#This Row],[Outcome1]]="",AJ211,BetTable[[#This Row],[AR]]+AJ211)</f>
        <v>#REF!</v>
      </c>
      <c r="AK212" s="39"/>
    </row>
    <row r="213" spans="1:37">
      <c r="A213" s="144"/>
      <c r="B213" s="39"/>
      <c r="C213" s="40"/>
      <c r="D213" s="40"/>
      <c r="E213" s="40"/>
      <c r="F213" s="152"/>
      <c r="G213" s="152"/>
      <c r="H213" s="152"/>
      <c r="I213" s="39"/>
      <c r="J213" s="54"/>
      <c r="K213" s="54"/>
      <c r="L213" s="54"/>
      <c r="M213" s="57"/>
      <c r="N213" s="57"/>
      <c r="O213" s="57"/>
      <c r="P213" s="55"/>
      <c r="Q213" s="55"/>
      <c r="R213" s="55"/>
      <c r="S213" s="146" t="str">
        <f>IF(BetTable[[#This Row],[Sp]]="","",BetTable[[#This Row],[S1]]+BetTable[[#This Row],[S2]]+BetTable[[#This Row],[S3]])</f>
        <v/>
      </c>
      <c r="T213" s="143" t="str">
        <f>IF(BetTable[[#This Row],[O1]]="","",(BetTable[[#This Row],[WBA1-Commission]])-BetTable[[#This Row],[TS]])</f>
        <v/>
      </c>
      <c r="U213" s="143" t="str">
        <f>IF(BetTable[[#This Row],[O2]]="","",(BetTable[[#This Row],[WBA2-Commission]])-BetTable[[#This Row],[TS]])</f>
        <v/>
      </c>
      <c r="V213" s="143" t="str">
        <f>IF(BetTable[[#This Row],[O3]]="","",(BetTable[[#This Row],[WBA3-Commission]])-BetTable[[#This Row],[TS]])</f>
        <v/>
      </c>
      <c r="W213" s="143">
        <f>IF(NOT(ISBLANK(BetTable[[#This Row],[B1]])),1,0)+IF(NOT(ISBLANK(BetTable[[#This Row],[B2]])),1,0)+IF(NOT(ISBLANK(BetTable[[#This Row],[B3]])),1,0)</f>
        <v>0</v>
      </c>
      <c r="X213" s="143" t="str">
        <f>IF(BetTable[[#This Row],[Outcome1]]="","",BetTable[[#This Row],[WBA1]]+BetTable[[#This Row],[WBA2]]+BetTable[[#This Row],[WBA3]]-BetTable[[#This Row],[TS]])</f>
        <v/>
      </c>
      <c r="Y213" s="143" t="str">
        <f>IF(BetTable[[#This Row],[AR]]="","",BetTable[[#This Row],[AR]]/BetTable[[#This Row],[NumBookies]])</f>
        <v/>
      </c>
      <c r="Z213" s="143">
        <f>(((BetTable[[#This Row],[O1]]-1)*BetTable[[#This Row],[S1]])*(1-(BetTable[[#This Row],[C% 1]]))+BetTable[[#This Row],[S1]])</f>
        <v>0</v>
      </c>
      <c r="AA213" s="143">
        <f>(((BetTable[[#This Row],[O2]]-1)*BetTable[[#This Row],[S2]])*(1-(BetTable[[#This Row],[C% 2]]))+BetTable[[#This Row],[S2]])</f>
        <v>0</v>
      </c>
      <c r="AB213" s="143">
        <f>(((BetTable[[#This Row],[O3]]-1)*BetTable[[#This Row],[S3]])*(1-(BetTable[[#This Row],[C% 3]]))+BetTable[[#This Row],[S3]])</f>
        <v>0</v>
      </c>
      <c r="AC213" s="147" t="str">
        <f>IFERROR(IF(BetTable[[#This Row],[Sp]]="","",BetTable[[#This Row],[R1]]/BetTable[[#This Row],[TS]]),"")</f>
        <v/>
      </c>
      <c r="AD213" s="147" t="str">
        <f>IF(BetTable[[#This Row],[O2]]="","",BetTable[[#This Row],[R2]]/BetTable[[#This Row],[TS]])</f>
        <v/>
      </c>
      <c r="AE213" s="147" t="str">
        <f>IFERROR(IF(BetTable[[#This Row],[Sp]]="","",BetTable[[#This Row],[R3]]/BetTable[[#This Row],[TS]]),"")</f>
        <v/>
      </c>
      <c r="AF213" s="147" t="str">
        <f>IFERROR(IF(BetTable[[#This Row],[Outcome1]]="","",BetTable[[#This Row],[AR]]/BetTable[[#This Row],[TS]]),"")</f>
        <v/>
      </c>
      <c r="AG21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3" s="57" t="e">
        <f>IF(BetTable[[#This Row],[Outcome1]]="",AJ212,BetTable[[#This Row],[AR]]+AJ212)</f>
        <v>#REF!</v>
      </c>
      <c r="AK213" s="39"/>
    </row>
    <row r="214" spans="1:37">
      <c r="A214" s="144"/>
      <c r="B214" s="39"/>
      <c r="C214" s="40"/>
      <c r="D214" s="40"/>
      <c r="E214" s="40"/>
      <c r="F214" s="152"/>
      <c r="G214" s="152"/>
      <c r="H214" s="152"/>
      <c r="I214" s="39"/>
      <c r="J214" s="54"/>
      <c r="K214" s="54"/>
      <c r="L214" s="54"/>
      <c r="M214" s="57"/>
      <c r="N214" s="57"/>
      <c r="O214" s="57"/>
      <c r="P214" s="55"/>
      <c r="Q214" s="55"/>
      <c r="R214" s="55"/>
      <c r="S214" s="146" t="str">
        <f>IF(BetTable[[#This Row],[Sp]]="","",BetTable[[#This Row],[S1]]+BetTable[[#This Row],[S2]]+BetTable[[#This Row],[S3]])</f>
        <v/>
      </c>
      <c r="T214" s="143" t="str">
        <f>IF(BetTable[[#This Row],[O1]]="","",(BetTable[[#This Row],[WBA1-Commission]])-BetTable[[#This Row],[TS]])</f>
        <v/>
      </c>
      <c r="U214" s="143" t="str">
        <f>IF(BetTable[[#This Row],[O2]]="","",(BetTable[[#This Row],[WBA2-Commission]])-BetTable[[#This Row],[TS]])</f>
        <v/>
      </c>
      <c r="V214" s="143" t="str">
        <f>IF(BetTable[[#This Row],[O3]]="","",(BetTable[[#This Row],[WBA3-Commission]])-BetTable[[#This Row],[TS]])</f>
        <v/>
      </c>
      <c r="W214" s="143">
        <f>IF(NOT(ISBLANK(BetTable[[#This Row],[B1]])),1,0)+IF(NOT(ISBLANK(BetTable[[#This Row],[B2]])),1,0)+IF(NOT(ISBLANK(BetTable[[#This Row],[B3]])),1,0)</f>
        <v>0</v>
      </c>
      <c r="X214" s="143" t="str">
        <f>IF(BetTable[[#This Row],[Outcome1]]="","",BetTable[[#This Row],[WBA1]]+BetTable[[#This Row],[WBA2]]+BetTable[[#This Row],[WBA3]]-BetTable[[#This Row],[TS]])</f>
        <v/>
      </c>
      <c r="Y214" s="143" t="str">
        <f>IF(BetTable[[#This Row],[AR]]="","",BetTable[[#This Row],[AR]]/BetTable[[#This Row],[NumBookies]])</f>
        <v/>
      </c>
      <c r="Z214" s="143">
        <f>(((BetTable[[#This Row],[O1]]-1)*BetTable[[#This Row],[S1]])*(1-(BetTable[[#This Row],[C% 1]]))+BetTable[[#This Row],[S1]])</f>
        <v>0</v>
      </c>
      <c r="AA214" s="143">
        <f>(((BetTable[[#This Row],[O2]]-1)*BetTable[[#This Row],[S2]])*(1-(BetTable[[#This Row],[C% 2]]))+BetTable[[#This Row],[S2]])</f>
        <v>0</v>
      </c>
      <c r="AB214" s="143">
        <f>(((BetTable[[#This Row],[O3]]-1)*BetTable[[#This Row],[S3]])*(1-(BetTable[[#This Row],[C% 3]]))+BetTable[[#This Row],[S3]])</f>
        <v>0</v>
      </c>
      <c r="AC214" s="147" t="str">
        <f>IFERROR(IF(BetTable[[#This Row],[Sp]]="","",BetTable[[#This Row],[R1]]/BetTable[[#This Row],[TS]]),"")</f>
        <v/>
      </c>
      <c r="AD214" s="147" t="str">
        <f>IF(BetTable[[#This Row],[O2]]="","",BetTable[[#This Row],[R2]]/BetTable[[#This Row],[TS]])</f>
        <v/>
      </c>
      <c r="AE214" s="147" t="str">
        <f>IFERROR(IF(BetTable[[#This Row],[Sp]]="","",BetTable[[#This Row],[R3]]/BetTable[[#This Row],[TS]]),"")</f>
        <v/>
      </c>
      <c r="AF214" s="147" t="str">
        <f>IFERROR(IF(BetTable[[#This Row],[Outcome1]]="","",BetTable[[#This Row],[AR]]/BetTable[[#This Row],[TS]]),"")</f>
        <v/>
      </c>
      <c r="AG21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4" s="57" t="e">
        <f>IF(BetTable[[#This Row],[Outcome1]]="",AJ213,BetTable[[#This Row],[AR]]+AJ213)</f>
        <v>#REF!</v>
      </c>
      <c r="AK214" s="39"/>
    </row>
    <row r="215" spans="1:37">
      <c r="A215" s="144"/>
      <c r="B215" s="39"/>
      <c r="C215" s="40"/>
      <c r="D215" s="40"/>
      <c r="E215" s="40"/>
      <c r="F215" s="152"/>
      <c r="G215" s="152"/>
      <c r="H215" s="152"/>
      <c r="I215" s="39"/>
      <c r="J215" s="54"/>
      <c r="K215" s="54"/>
      <c r="L215" s="54"/>
      <c r="M215" s="57"/>
      <c r="N215" s="57"/>
      <c r="O215" s="57"/>
      <c r="P215" s="55"/>
      <c r="Q215" s="55"/>
      <c r="R215" s="55"/>
      <c r="S215" s="146" t="str">
        <f>IF(BetTable[[#This Row],[Sp]]="","",BetTable[[#This Row],[S1]]+BetTable[[#This Row],[S2]]+BetTable[[#This Row],[S3]])</f>
        <v/>
      </c>
      <c r="T215" s="143" t="str">
        <f>IF(BetTable[[#This Row],[O1]]="","",(BetTable[[#This Row],[WBA1-Commission]])-BetTable[[#This Row],[TS]])</f>
        <v/>
      </c>
      <c r="U215" s="143" t="str">
        <f>IF(BetTable[[#This Row],[O2]]="","",(BetTable[[#This Row],[WBA2-Commission]])-BetTable[[#This Row],[TS]])</f>
        <v/>
      </c>
      <c r="V215" s="143" t="str">
        <f>IF(BetTable[[#This Row],[O3]]="","",(BetTable[[#This Row],[WBA3-Commission]])-BetTable[[#This Row],[TS]])</f>
        <v/>
      </c>
      <c r="W215" s="143">
        <f>IF(NOT(ISBLANK(BetTable[[#This Row],[B1]])),1,0)+IF(NOT(ISBLANK(BetTable[[#This Row],[B2]])),1,0)+IF(NOT(ISBLANK(BetTable[[#This Row],[B3]])),1,0)</f>
        <v>0</v>
      </c>
      <c r="X215" s="143" t="str">
        <f>IF(BetTable[[#This Row],[Outcome1]]="","",BetTable[[#This Row],[WBA1]]+BetTable[[#This Row],[WBA2]]+BetTable[[#This Row],[WBA3]]-BetTable[[#This Row],[TS]])</f>
        <v/>
      </c>
      <c r="Y215" s="143" t="str">
        <f>IF(BetTable[[#This Row],[AR]]="","",BetTable[[#This Row],[AR]]/BetTable[[#This Row],[NumBookies]])</f>
        <v/>
      </c>
      <c r="Z215" s="143">
        <f>(((BetTable[[#This Row],[O1]]-1)*BetTable[[#This Row],[S1]])*(1-(BetTable[[#This Row],[C% 1]]))+BetTable[[#This Row],[S1]])</f>
        <v>0</v>
      </c>
      <c r="AA215" s="143">
        <f>(((BetTable[[#This Row],[O2]]-1)*BetTable[[#This Row],[S2]])*(1-(BetTable[[#This Row],[C% 2]]))+BetTable[[#This Row],[S2]])</f>
        <v>0</v>
      </c>
      <c r="AB215" s="143">
        <f>(((BetTable[[#This Row],[O3]]-1)*BetTable[[#This Row],[S3]])*(1-(BetTable[[#This Row],[C% 3]]))+BetTable[[#This Row],[S3]])</f>
        <v>0</v>
      </c>
      <c r="AC215" s="147" t="str">
        <f>IFERROR(IF(BetTable[[#This Row],[Sp]]="","",BetTable[[#This Row],[R1]]/BetTable[[#This Row],[TS]]),"")</f>
        <v/>
      </c>
      <c r="AD215" s="147" t="str">
        <f>IF(BetTable[[#This Row],[O2]]="","",BetTable[[#This Row],[R2]]/BetTable[[#This Row],[TS]])</f>
        <v/>
      </c>
      <c r="AE215" s="147" t="str">
        <f>IFERROR(IF(BetTable[[#This Row],[Sp]]="","",BetTable[[#This Row],[R3]]/BetTable[[#This Row],[TS]]),"")</f>
        <v/>
      </c>
      <c r="AF215" s="147" t="str">
        <f>IFERROR(IF(BetTable[[#This Row],[Outcome1]]="","",BetTable[[#This Row],[AR]]/BetTable[[#This Row],[TS]]),"")</f>
        <v/>
      </c>
      <c r="AG21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5" s="57" t="e">
        <f>IF(BetTable[[#This Row],[Outcome1]]="",AJ214,BetTable[[#This Row],[AR]]+AJ214)</f>
        <v>#REF!</v>
      </c>
      <c r="AK215" s="39"/>
    </row>
    <row r="216" spans="1:37">
      <c r="A216" s="144"/>
      <c r="B216" s="39"/>
      <c r="C216" s="40"/>
      <c r="D216" s="40"/>
      <c r="E216" s="40"/>
      <c r="F216" s="152"/>
      <c r="G216" s="152"/>
      <c r="H216" s="152"/>
      <c r="I216" s="39"/>
      <c r="J216" s="54"/>
      <c r="K216" s="54"/>
      <c r="L216" s="54"/>
      <c r="M216" s="57"/>
      <c r="N216" s="57"/>
      <c r="O216" s="57"/>
      <c r="P216" s="55"/>
      <c r="Q216" s="55"/>
      <c r="R216" s="55"/>
      <c r="S216" s="146" t="str">
        <f>IF(BetTable[[#This Row],[Sp]]="","",BetTable[[#This Row],[S1]]+BetTable[[#This Row],[S2]]+BetTable[[#This Row],[S3]])</f>
        <v/>
      </c>
      <c r="T216" s="143" t="str">
        <f>IF(BetTable[[#This Row],[O1]]="","",(BetTable[[#This Row],[WBA1-Commission]])-BetTable[[#This Row],[TS]])</f>
        <v/>
      </c>
      <c r="U216" s="143" t="str">
        <f>IF(BetTable[[#This Row],[O2]]="","",(BetTable[[#This Row],[WBA2-Commission]])-BetTable[[#This Row],[TS]])</f>
        <v/>
      </c>
      <c r="V216" s="143" t="str">
        <f>IF(BetTable[[#This Row],[O3]]="","",(BetTable[[#This Row],[WBA3-Commission]])-BetTable[[#This Row],[TS]])</f>
        <v/>
      </c>
      <c r="W216" s="143">
        <f>IF(NOT(ISBLANK(BetTable[[#This Row],[B1]])),1,0)+IF(NOT(ISBLANK(BetTable[[#This Row],[B2]])),1,0)+IF(NOT(ISBLANK(BetTable[[#This Row],[B3]])),1,0)</f>
        <v>0</v>
      </c>
      <c r="X216" s="143" t="str">
        <f>IF(BetTable[[#This Row],[Outcome1]]="","",BetTable[[#This Row],[WBA1]]+BetTable[[#This Row],[WBA2]]+BetTable[[#This Row],[WBA3]]-BetTable[[#This Row],[TS]])</f>
        <v/>
      </c>
      <c r="Y216" s="143" t="str">
        <f>IF(BetTable[[#This Row],[AR]]="","",BetTable[[#This Row],[AR]]/BetTable[[#This Row],[NumBookies]])</f>
        <v/>
      </c>
      <c r="Z216" s="143">
        <f>(((BetTable[[#This Row],[O1]]-1)*BetTable[[#This Row],[S1]])*(1-(BetTable[[#This Row],[C% 1]]))+BetTable[[#This Row],[S1]])</f>
        <v>0</v>
      </c>
      <c r="AA216" s="143">
        <f>(((BetTable[[#This Row],[O2]]-1)*BetTable[[#This Row],[S2]])*(1-(BetTable[[#This Row],[C% 2]]))+BetTable[[#This Row],[S2]])</f>
        <v>0</v>
      </c>
      <c r="AB216" s="143">
        <f>(((BetTable[[#This Row],[O3]]-1)*BetTable[[#This Row],[S3]])*(1-(BetTable[[#This Row],[C% 3]]))+BetTable[[#This Row],[S3]])</f>
        <v>0</v>
      </c>
      <c r="AC216" s="147" t="str">
        <f>IFERROR(IF(BetTable[[#This Row],[Sp]]="","",BetTable[[#This Row],[R1]]/BetTable[[#This Row],[TS]]),"")</f>
        <v/>
      </c>
      <c r="AD216" s="147" t="str">
        <f>IF(BetTable[[#This Row],[O2]]="","",BetTable[[#This Row],[R2]]/BetTable[[#This Row],[TS]])</f>
        <v/>
      </c>
      <c r="AE216" s="147" t="str">
        <f>IFERROR(IF(BetTable[[#This Row],[Sp]]="","",BetTable[[#This Row],[R3]]/BetTable[[#This Row],[TS]]),"")</f>
        <v/>
      </c>
      <c r="AF216" s="147" t="str">
        <f>IFERROR(IF(BetTable[[#This Row],[Outcome1]]="","",BetTable[[#This Row],[AR]]/BetTable[[#This Row],[TS]]),"")</f>
        <v/>
      </c>
      <c r="AG21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6" s="57" t="e">
        <f>IF(BetTable[[#This Row],[Outcome1]]="",AJ215,BetTable[[#This Row],[AR]]+AJ215)</f>
        <v>#REF!</v>
      </c>
      <c r="AK216" s="39"/>
    </row>
    <row r="217" spans="1:37">
      <c r="A217" s="144"/>
      <c r="B217" s="39"/>
      <c r="C217" s="40"/>
      <c r="D217" s="40"/>
      <c r="E217" s="40"/>
      <c r="F217" s="152"/>
      <c r="G217" s="152"/>
      <c r="H217" s="152"/>
      <c r="I217" s="39"/>
      <c r="J217" s="54"/>
      <c r="K217" s="54"/>
      <c r="L217" s="54"/>
      <c r="M217" s="57"/>
      <c r="N217" s="57"/>
      <c r="O217" s="57"/>
      <c r="P217" s="55"/>
      <c r="Q217" s="55"/>
      <c r="R217" s="55"/>
      <c r="S217" s="146" t="str">
        <f>IF(BetTable[[#This Row],[Sp]]="","",BetTable[[#This Row],[S1]]+BetTable[[#This Row],[S2]]+BetTable[[#This Row],[S3]])</f>
        <v/>
      </c>
      <c r="T217" s="143" t="str">
        <f>IF(BetTable[[#This Row],[O1]]="","",(BetTable[[#This Row],[WBA1-Commission]])-BetTable[[#This Row],[TS]])</f>
        <v/>
      </c>
      <c r="U217" s="143" t="str">
        <f>IF(BetTable[[#This Row],[O2]]="","",(BetTable[[#This Row],[WBA2-Commission]])-BetTable[[#This Row],[TS]])</f>
        <v/>
      </c>
      <c r="V217" s="143" t="str">
        <f>IF(BetTable[[#This Row],[O3]]="","",(BetTable[[#This Row],[WBA3-Commission]])-BetTable[[#This Row],[TS]])</f>
        <v/>
      </c>
      <c r="W217" s="143">
        <f>IF(NOT(ISBLANK(BetTable[[#This Row],[B1]])),1,0)+IF(NOT(ISBLANK(BetTable[[#This Row],[B2]])),1,0)+IF(NOT(ISBLANK(BetTable[[#This Row],[B3]])),1,0)</f>
        <v>0</v>
      </c>
      <c r="X217" s="143" t="str">
        <f>IF(BetTable[[#This Row],[Outcome1]]="","",BetTable[[#This Row],[WBA1]]+BetTable[[#This Row],[WBA2]]+BetTable[[#This Row],[WBA3]]-BetTable[[#This Row],[TS]])</f>
        <v/>
      </c>
      <c r="Y217" s="143" t="str">
        <f>IF(BetTable[[#This Row],[AR]]="","",BetTable[[#This Row],[AR]]/BetTable[[#This Row],[NumBookies]])</f>
        <v/>
      </c>
      <c r="Z217" s="143">
        <f>(((BetTable[[#This Row],[O1]]-1)*BetTable[[#This Row],[S1]])*(1-(BetTable[[#This Row],[C% 1]]))+BetTable[[#This Row],[S1]])</f>
        <v>0</v>
      </c>
      <c r="AA217" s="143">
        <f>(((BetTable[[#This Row],[O2]]-1)*BetTable[[#This Row],[S2]])*(1-(BetTable[[#This Row],[C% 2]]))+BetTable[[#This Row],[S2]])</f>
        <v>0</v>
      </c>
      <c r="AB217" s="143">
        <f>(((BetTable[[#This Row],[O3]]-1)*BetTable[[#This Row],[S3]])*(1-(BetTable[[#This Row],[C% 3]]))+BetTable[[#This Row],[S3]])</f>
        <v>0</v>
      </c>
      <c r="AC217" s="147" t="str">
        <f>IFERROR(IF(BetTable[[#This Row],[Sp]]="","",BetTable[[#This Row],[R1]]/BetTable[[#This Row],[TS]]),"")</f>
        <v/>
      </c>
      <c r="AD217" s="147" t="str">
        <f>IF(BetTable[[#This Row],[O2]]="","",BetTable[[#This Row],[R2]]/BetTable[[#This Row],[TS]])</f>
        <v/>
      </c>
      <c r="AE217" s="147" t="str">
        <f>IFERROR(IF(BetTable[[#This Row],[Sp]]="","",BetTable[[#This Row],[R3]]/BetTable[[#This Row],[TS]]),"")</f>
        <v/>
      </c>
      <c r="AF217" s="147" t="str">
        <f>IFERROR(IF(BetTable[[#This Row],[Outcome1]]="","",BetTable[[#This Row],[AR]]/BetTable[[#This Row],[TS]]),"")</f>
        <v/>
      </c>
      <c r="AG21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7" s="57" t="e">
        <f>IF(BetTable[[#This Row],[Outcome1]]="",AJ216,BetTable[[#This Row],[AR]]+AJ216)</f>
        <v>#REF!</v>
      </c>
      <c r="AK217" s="39"/>
    </row>
    <row r="218" spans="1:37">
      <c r="A218" s="144"/>
      <c r="B218" s="39"/>
      <c r="C218" s="40"/>
      <c r="D218" s="40"/>
      <c r="E218" s="40"/>
      <c r="F218" s="152"/>
      <c r="G218" s="152"/>
      <c r="H218" s="152"/>
      <c r="I218" s="39"/>
      <c r="J218" s="54"/>
      <c r="K218" s="54"/>
      <c r="L218" s="54"/>
      <c r="M218" s="57"/>
      <c r="N218" s="57"/>
      <c r="O218" s="57"/>
      <c r="P218" s="55"/>
      <c r="Q218" s="55"/>
      <c r="R218" s="55"/>
      <c r="S218" s="146" t="str">
        <f>IF(BetTable[[#This Row],[Sp]]="","",BetTable[[#This Row],[S1]]+BetTable[[#This Row],[S2]]+BetTable[[#This Row],[S3]])</f>
        <v/>
      </c>
      <c r="T218" s="143" t="str">
        <f>IF(BetTable[[#This Row],[O1]]="","",(BetTable[[#This Row],[WBA1-Commission]])-BetTable[[#This Row],[TS]])</f>
        <v/>
      </c>
      <c r="U218" s="143" t="str">
        <f>IF(BetTable[[#This Row],[O2]]="","",(BetTable[[#This Row],[WBA2-Commission]])-BetTable[[#This Row],[TS]])</f>
        <v/>
      </c>
      <c r="V218" s="143" t="str">
        <f>IF(BetTable[[#This Row],[O3]]="","",(BetTable[[#This Row],[WBA3-Commission]])-BetTable[[#This Row],[TS]])</f>
        <v/>
      </c>
      <c r="W218" s="143">
        <f>IF(NOT(ISBLANK(BetTable[[#This Row],[B1]])),1,0)+IF(NOT(ISBLANK(BetTable[[#This Row],[B2]])),1,0)+IF(NOT(ISBLANK(BetTable[[#This Row],[B3]])),1,0)</f>
        <v>0</v>
      </c>
      <c r="X218" s="143" t="str">
        <f>IF(BetTable[[#This Row],[Outcome1]]="","",BetTable[[#This Row],[WBA1]]+BetTable[[#This Row],[WBA2]]+BetTable[[#This Row],[WBA3]]-BetTable[[#This Row],[TS]])</f>
        <v/>
      </c>
      <c r="Y218" s="143" t="str">
        <f>IF(BetTable[[#This Row],[AR]]="","",BetTable[[#This Row],[AR]]/BetTable[[#This Row],[NumBookies]])</f>
        <v/>
      </c>
      <c r="Z218" s="143">
        <f>(((BetTable[[#This Row],[O1]]-1)*BetTable[[#This Row],[S1]])*(1-(BetTable[[#This Row],[C% 1]]))+BetTable[[#This Row],[S1]])</f>
        <v>0</v>
      </c>
      <c r="AA218" s="143">
        <f>(((BetTable[[#This Row],[O2]]-1)*BetTable[[#This Row],[S2]])*(1-(BetTable[[#This Row],[C% 2]]))+BetTable[[#This Row],[S2]])</f>
        <v>0</v>
      </c>
      <c r="AB218" s="143">
        <f>(((BetTable[[#This Row],[O3]]-1)*BetTable[[#This Row],[S3]])*(1-(BetTable[[#This Row],[C% 3]]))+BetTable[[#This Row],[S3]])</f>
        <v>0</v>
      </c>
      <c r="AC218" s="147" t="str">
        <f>IFERROR(IF(BetTable[[#This Row],[Sp]]="","",BetTable[[#This Row],[R1]]/BetTable[[#This Row],[TS]]),"")</f>
        <v/>
      </c>
      <c r="AD218" s="147" t="str">
        <f>IF(BetTable[[#This Row],[O2]]="","",BetTable[[#This Row],[R2]]/BetTable[[#This Row],[TS]])</f>
        <v/>
      </c>
      <c r="AE218" s="147" t="str">
        <f>IFERROR(IF(BetTable[[#This Row],[Sp]]="","",BetTable[[#This Row],[R3]]/BetTable[[#This Row],[TS]]),"")</f>
        <v/>
      </c>
      <c r="AF218" s="147" t="str">
        <f>IFERROR(IF(BetTable[[#This Row],[Outcome1]]="","",BetTable[[#This Row],[AR]]/BetTable[[#This Row],[TS]]),"")</f>
        <v/>
      </c>
      <c r="AG21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8" s="57" t="e">
        <f>IF(BetTable[[#This Row],[Outcome1]]="",AJ217,BetTable[[#This Row],[AR]]+AJ217)</f>
        <v>#REF!</v>
      </c>
      <c r="AK218" s="39"/>
    </row>
    <row r="219" spans="1:37">
      <c r="A219" s="144"/>
      <c r="B219" s="39"/>
      <c r="C219" s="40"/>
      <c r="D219" s="40"/>
      <c r="E219" s="40"/>
      <c r="F219" s="152"/>
      <c r="G219" s="152"/>
      <c r="H219" s="152"/>
      <c r="I219" s="39"/>
      <c r="J219" s="54"/>
      <c r="K219" s="54"/>
      <c r="L219" s="54"/>
      <c r="M219" s="57"/>
      <c r="N219" s="57"/>
      <c r="O219" s="57"/>
      <c r="P219" s="55"/>
      <c r="Q219" s="55"/>
      <c r="R219" s="55"/>
      <c r="S219" s="146" t="str">
        <f>IF(BetTable[[#This Row],[Sp]]="","",BetTable[[#This Row],[S1]]+BetTable[[#This Row],[S2]]+BetTable[[#This Row],[S3]])</f>
        <v/>
      </c>
      <c r="T219" s="143" t="str">
        <f>IF(BetTable[[#This Row],[O1]]="","",(BetTable[[#This Row],[WBA1-Commission]])-BetTable[[#This Row],[TS]])</f>
        <v/>
      </c>
      <c r="U219" s="143" t="str">
        <f>IF(BetTable[[#This Row],[O2]]="","",(BetTable[[#This Row],[WBA2-Commission]])-BetTable[[#This Row],[TS]])</f>
        <v/>
      </c>
      <c r="V219" s="143" t="str">
        <f>IF(BetTable[[#This Row],[O3]]="","",(BetTable[[#This Row],[WBA3-Commission]])-BetTable[[#This Row],[TS]])</f>
        <v/>
      </c>
      <c r="W219" s="143">
        <f>IF(NOT(ISBLANK(BetTable[[#This Row],[B1]])),1,0)+IF(NOT(ISBLANK(BetTable[[#This Row],[B2]])),1,0)+IF(NOT(ISBLANK(BetTable[[#This Row],[B3]])),1,0)</f>
        <v>0</v>
      </c>
      <c r="X219" s="143" t="str">
        <f>IF(BetTable[[#This Row],[Outcome1]]="","",BetTable[[#This Row],[WBA1]]+BetTable[[#This Row],[WBA2]]+BetTable[[#This Row],[WBA3]]-BetTable[[#This Row],[TS]])</f>
        <v/>
      </c>
      <c r="Y219" s="143" t="str">
        <f>IF(BetTable[[#This Row],[AR]]="","",BetTable[[#This Row],[AR]]/BetTable[[#This Row],[NumBookies]])</f>
        <v/>
      </c>
      <c r="Z219" s="143">
        <f>(((BetTable[[#This Row],[O1]]-1)*BetTable[[#This Row],[S1]])*(1-(BetTable[[#This Row],[C% 1]]))+BetTable[[#This Row],[S1]])</f>
        <v>0</v>
      </c>
      <c r="AA219" s="143">
        <f>(((BetTable[[#This Row],[O2]]-1)*BetTable[[#This Row],[S2]])*(1-(BetTable[[#This Row],[C% 2]]))+BetTable[[#This Row],[S2]])</f>
        <v>0</v>
      </c>
      <c r="AB219" s="143">
        <f>(((BetTable[[#This Row],[O3]]-1)*BetTable[[#This Row],[S3]])*(1-(BetTable[[#This Row],[C% 3]]))+BetTable[[#This Row],[S3]])</f>
        <v>0</v>
      </c>
      <c r="AC219" s="147" t="str">
        <f>IFERROR(IF(BetTable[[#This Row],[Sp]]="","",BetTable[[#This Row],[R1]]/BetTable[[#This Row],[TS]]),"")</f>
        <v/>
      </c>
      <c r="AD219" s="147" t="str">
        <f>IF(BetTable[[#This Row],[O2]]="","",BetTable[[#This Row],[R2]]/BetTable[[#This Row],[TS]])</f>
        <v/>
      </c>
      <c r="AE219" s="147" t="str">
        <f>IFERROR(IF(BetTable[[#This Row],[Sp]]="","",BetTable[[#This Row],[R3]]/BetTable[[#This Row],[TS]]),"")</f>
        <v/>
      </c>
      <c r="AF219" s="147" t="str">
        <f>IFERROR(IF(BetTable[[#This Row],[Outcome1]]="","",BetTable[[#This Row],[AR]]/BetTable[[#This Row],[TS]]),"")</f>
        <v/>
      </c>
      <c r="AG21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1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1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19" s="57" t="e">
        <f>IF(BetTable[[#This Row],[Outcome1]]="",AJ218,BetTable[[#This Row],[AR]]+AJ218)</f>
        <v>#REF!</v>
      </c>
      <c r="AK219" s="39"/>
    </row>
    <row r="220" spans="1:37">
      <c r="A220" s="144"/>
      <c r="B220" s="39"/>
      <c r="C220" s="40"/>
      <c r="D220" s="40"/>
      <c r="E220" s="40"/>
      <c r="F220" s="152"/>
      <c r="G220" s="152"/>
      <c r="H220" s="152"/>
      <c r="I220" s="39"/>
      <c r="J220" s="54"/>
      <c r="K220" s="54"/>
      <c r="L220" s="54"/>
      <c r="M220" s="57"/>
      <c r="N220" s="57"/>
      <c r="O220" s="57"/>
      <c r="P220" s="55"/>
      <c r="Q220" s="55"/>
      <c r="R220" s="55"/>
      <c r="S220" s="146" t="str">
        <f>IF(BetTable[[#This Row],[Sp]]="","",BetTable[[#This Row],[S1]]+BetTable[[#This Row],[S2]]+BetTable[[#This Row],[S3]])</f>
        <v/>
      </c>
      <c r="T220" s="143" t="str">
        <f>IF(BetTable[[#This Row],[O1]]="","",(BetTable[[#This Row],[WBA1-Commission]])-BetTable[[#This Row],[TS]])</f>
        <v/>
      </c>
      <c r="U220" s="143" t="str">
        <f>IF(BetTable[[#This Row],[O2]]="","",(BetTable[[#This Row],[WBA2-Commission]])-BetTable[[#This Row],[TS]])</f>
        <v/>
      </c>
      <c r="V220" s="143" t="str">
        <f>IF(BetTable[[#This Row],[O3]]="","",(BetTable[[#This Row],[WBA3-Commission]])-BetTable[[#This Row],[TS]])</f>
        <v/>
      </c>
      <c r="W220" s="143">
        <f>IF(NOT(ISBLANK(BetTable[[#This Row],[B1]])),1,0)+IF(NOT(ISBLANK(BetTable[[#This Row],[B2]])),1,0)+IF(NOT(ISBLANK(BetTable[[#This Row],[B3]])),1,0)</f>
        <v>0</v>
      </c>
      <c r="X220" s="143" t="str">
        <f>IF(BetTable[[#This Row],[Outcome1]]="","",BetTable[[#This Row],[WBA1]]+BetTable[[#This Row],[WBA2]]+BetTable[[#This Row],[WBA3]]-BetTable[[#This Row],[TS]])</f>
        <v/>
      </c>
      <c r="Y220" s="143" t="str">
        <f>IF(BetTable[[#This Row],[AR]]="","",BetTable[[#This Row],[AR]]/BetTable[[#This Row],[NumBookies]])</f>
        <v/>
      </c>
      <c r="Z220" s="143">
        <f>(((BetTable[[#This Row],[O1]]-1)*BetTable[[#This Row],[S1]])*(1-(BetTable[[#This Row],[C% 1]]))+BetTable[[#This Row],[S1]])</f>
        <v>0</v>
      </c>
      <c r="AA220" s="143">
        <f>(((BetTable[[#This Row],[O2]]-1)*BetTable[[#This Row],[S2]])*(1-(BetTable[[#This Row],[C% 2]]))+BetTable[[#This Row],[S2]])</f>
        <v>0</v>
      </c>
      <c r="AB220" s="143">
        <f>(((BetTable[[#This Row],[O3]]-1)*BetTable[[#This Row],[S3]])*(1-(BetTable[[#This Row],[C% 3]]))+BetTable[[#This Row],[S3]])</f>
        <v>0</v>
      </c>
      <c r="AC220" s="147" t="str">
        <f>IFERROR(IF(BetTable[[#This Row],[Sp]]="","",BetTable[[#This Row],[R1]]/BetTable[[#This Row],[TS]]),"")</f>
        <v/>
      </c>
      <c r="AD220" s="147" t="str">
        <f>IF(BetTable[[#This Row],[O2]]="","",BetTable[[#This Row],[R2]]/BetTable[[#This Row],[TS]])</f>
        <v/>
      </c>
      <c r="AE220" s="147" t="str">
        <f>IFERROR(IF(BetTable[[#This Row],[Sp]]="","",BetTable[[#This Row],[R3]]/BetTable[[#This Row],[TS]]),"")</f>
        <v/>
      </c>
      <c r="AF220" s="147" t="str">
        <f>IFERROR(IF(BetTable[[#This Row],[Outcome1]]="","",BetTable[[#This Row],[AR]]/BetTable[[#This Row],[TS]]),"")</f>
        <v/>
      </c>
      <c r="AG22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0" s="57" t="e">
        <f>IF(BetTable[[#This Row],[Outcome1]]="",AJ219,BetTable[[#This Row],[AR]]+AJ219)</f>
        <v>#REF!</v>
      </c>
      <c r="AK220" s="39"/>
    </row>
    <row r="221" spans="1:37">
      <c r="A221" s="144"/>
      <c r="B221" s="39"/>
      <c r="C221" s="40"/>
      <c r="D221" s="40"/>
      <c r="E221" s="40"/>
      <c r="F221" s="152"/>
      <c r="G221" s="152"/>
      <c r="H221" s="152"/>
      <c r="I221" s="39"/>
      <c r="J221" s="54"/>
      <c r="K221" s="54"/>
      <c r="L221" s="54"/>
      <c r="M221" s="57"/>
      <c r="N221" s="57"/>
      <c r="O221" s="57"/>
      <c r="P221" s="55"/>
      <c r="Q221" s="55"/>
      <c r="R221" s="55"/>
      <c r="S221" s="146" t="str">
        <f>IF(BetTable[[#This Row],[Sp]]="","",BetTable[[#This Row],[S1]]+BetTable[[#This Row],[S2]]+BetTable[[#This Row],[S3]])</f>
        <v/>
      </c>
      <c r="T221" s="143" t="str">
        <f>IF(BetTable[[#This Row],[O1]]="","",(BetTable[[#This Row],[WBA1-Commission]])-BetTable[[#This Row],[TS]])</f>
        <v/>
      </c>
      <c r="U221" s="143" t="str">
        <f>IF(BetTable[[#This Row],[O2]]="","",(BetTable[[#This Row],[WBA2-Commission]])-BetTable[[#This Row],[TS]])</f>
        <v/>
      </c>
      <c r="V221" s="143" t="str">
        <f>IF(BetTable[[#This Row],[O3]]="","",(BetTable[[#This Row],[WBA3-Commission]])-BetTable[[#This Row],[TS]])</f>
        <v/>
      </c>
      <c r="W221" s="143">
        <f>IF(NOT(ISBLANK(BetTable[[#This Row],[B1]])),1,0)+IF(NOT(ISBLANK(BetTable[[#This Row],[B2]])),1,0)+IF(NOT(ISBLANK(BetTable[[#This Row],[B3]])),1,0)</f>
        <v>0</v>
      </c>
      <c r="X221" s="143" t="str">
        <f>IF(BetTable[[#This Row],[Outcome1]]="","",BetTable[[#This Row],[WBA1]]+BetTable[[#This Row],[WBA2]]+BetTable[[#This Row],[WBA3]]-BetTable[[#This Row],[TS]])</f>
        <v/>
      </c>
      <c r="Y221" s="143" t="str">
        <f>IF(BetTable[[#This Row],[AR]]="","",BetTable[[#This Row],[AR]]/BetTable[[#This Row],[NumBookies]])</f>
        <v/>
      </c>
      <c r="Z221" s="143">
        <f>(((BetTable[[#This Row],[O1]]-1)*BetTable[[#This Row],[S1]])*(1-(BetTable[[#This Row],[C% 1]]))+BetTable[[#This Row],[S1]])</f>
        <v>0</v>
      </c>
      <c r="AA221" s="143">
        <f>(((BetTable[[#This Row],[O2]]-1)*BetTable[[#This Row],[S2]])*(1-(BetTable[[#This Row],[C% 2]]))+BetTable[[#This Row],[S2]])</f>
        <v>0</v>
      </c>
      <c r="AB221" s="143">
        <f>(((BetTable[[#This Row],[O3]]-1)*BetTable[[#This Row],[S3]])*(1-(BetTable[[#This Row],[C% 3]]))+BetTable[[#This Row],[S3]])</f>
        <v>0</v>
      </c>
      <c r="AC221" s="147" t="str">
        <f>IFERROR(IF(BetTable[[#This Row],[Sp]]="","",BetTable[[#This Row],[R1]]/BetTable[[#This Row],[TS]]),"")</f>
        <v/>
      </c>
      <c r="AD221" s="147" t="str">
        <f>IF(BetTable[[#This Row],[O2]]="","",BetTable[[#This Row],[R2]]/BetTable[[#This Row],[TS]])</f>
        <v/>
      </c>
      <c r="AE221" s="147" t="str">
        <f>IFERROR(IF(BetTable[[#This Row],[Sp]]="","",BetTable[[#This Row],[R3]]/BetTable[[#This Row],[TS]]),"")</f>
        <v/>
      </c>
      <c r="AF221" s="147" t="str">
        <f>IFERROR(IF(BetTable[[#This Row],[Outcome1]]="","",BetTable[[#This Row],[AR]]/BetTable[[#This Row],[TS]]),"")</f>
        <v/>
      </c>
      <c r="AG22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1" s="57" t="e">
        <f>IF(BetTable[[#This Row],[Outcome1]]="",AJ220,BetTable[[#This Row],[AR]]+AJ220)</f>
        <v>#REF!</v>
      </c>
      <c r="AK221" s="39"/>
    </row>
    <row r="222" spans="1:37">
      <c r="A222" s="144"/>
      <c r="B222" s="39"/>
      <c r="C222" s="40"/>
      <c r="D222" s="40"/>
      <c r="E222" s="40"/>
      <c r="F222" s="152"/>
      <c r="G222" s="152"/>
      <c r="H222" s="152"/>
      <c r="I222" s="39"/>
      <c r="J222" s="54"/>
      <c r="K222" s="54"/>
      <c r="L222" s="54"/>
      <c r="M222" s="57"/>
      <c r="N222" s="57"/>
      <c r="O222" s="57"/>
      <c r="P222" s="55"/>
      <c r="Q222" s="55"/>
      <c r="R222" s="55"/>
      <c r="S222" s="146" t="str">
        <f>IF(BetTable[[#This Row],[Sp]]="","",BetTable[[#This Row],[S1]]+BetTable[[#This Row],[S2]]+BetTable[[#This Row],[S3]])</f>
        <v/>
      </c>
      <c r="T222" s="143" t="str">
        <f>IF(BetTable[[#This Row],[O1]]="","",(BetTable[[#This Row],[WBA1-Commission]])-BetTable[[#This Row],[TS]])</f>
        <v/>
      </c>
      <c r="U222" s="143" t="str">
        <f>IF(BetTable[[#This Row],[O2]]="","",(BetTable[[#This Row],[WBA2-Commission]])-BetTable[[#This Row],[TS]])</f>
        <v/>
      </c>
      <c r="V222" s="143" t="str">
        <f>IF(BetTable[[#This Row],[O3]]="","",(BetTable[[#This Row],[WBA3-Commission]])-BetTable[[#This Row],[TS]])</f>
        <v/>
      </c>
      <c r="W222" s="143">
        <f>IF(NOT(ISBLANK(BetTable[[#This Row],[B1]])),1,0)+IF(NOT(ISBLANK(BetTable[[#This Row],[B2]])),1,0)+IF(NOT(ISBLANK(BetTable[[#This Row],[B3]])),1,0)</f>
        <v>0</v>
      </c>
      <c r="X222" s="143" t="str">
        <f>IF(BetTable[[#This Row],[Outcome1]]="","",BetTable[[#This Row],[WBA1]]+BetTable[[#This Row],[WBA2]]+BetTable[[#This Row],[WBA3]]-BetTable[[#This Row],[TS]])</f>
        <v/>
      </c>
      <c r="Y222" s="143" t="str">
        <f>IF(BetTable[[#This Row],[AR]]="","",BetTable[[#This Row],[AR]]/BetTable[[#This Row],[NumBookies]])</f>
        <v/>
      </c>
      <c r="Z222" s="143">
        <f>(((BetTable[[#This Row],[O1]]-1)*BetTable[[#This Row],[S1]])*(1-(BetTable[[#This Row],[C% 1]]))+BetTable[[#This Row],[S1]])</f>
        <v>0</v>
      </c>
      <c r="AA222" s="143">
        <f>(((BetTable[[#This Row],[O2]]-1)*BetTable[[#This Row],[S2]])*(1-(BetTable[[#This Row],[C% 2]]))+BetTable[[#This Row],[S2]])</f>
        <v>0</v>
      </c>
      <c r="AB222" s="143">
        <f>(((BetTable[[#This Row],[O3]]-1)*BetTable[[#This Row],[S3]])*(1-(BetTable[[#This Row],[C% 3]]))+BetTable[[#This Row],[S3]])</f>
        <v>0</v>
      </c>
      <c r="AC222" s="147" t="str">
        <f>IFERROR(IF(BetTable[[#This Row],[Sp]]="","",BetTable[[#This Row],[R1]]/BetTable[[#This Row],[TS]]),"")</f>
        <v/>
      </c>
      <c r="AD222" s="147" t="str">
        <f>IF(BetTable[[#This Row],[O2]]="","",BetTable[[#This Row],[R2]]/BetTable[[#This Row],[TS]])</f>
        <v/>
      </c>
      <c r="AE222" s="147" t="str">
        <f>IFERROR(IF(BetTable[[#This Row],[Sp]]="","",BetTable[[#This Row],[R3]]/BetTable[[#This Row],[TS]]),"")</f>
        <v/>
      </c>
      <c r="AF222" s="147" t="str">
        <f>IFERROR(IF(BetTable[[#This Row],[Outcome1]]="","",BetTable[[#This Row],[AR]]/BetTable[[#This Row],[TS]]),"")</f>
        <v/>
      </c>
      <c r="AG22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2" s="57" t="e">
        <f>IF(BetTable[[#This Row],[Outcome1]]="",AJ221,BetTable[[#This Row],[AR]]+AJ221)</f>
        <v>#REF!</v>
      </c>
      <c r="AK222" s="39"/>
    </row>
    <row r="223" spans="1:37">
      <c r="A223" s="144"/>
      <c r="B223" s="39"/>
      <c r="C223" s="40"/>
      <c r="D223" s="40"/>
      <c r="E223" s="40"/>
      <c r="F223" s="152"/>
      <c r="G223" s="152"/>
      <c r="H223" s="152"/>
      <c r="I223" s="39"/>
      <c r="J223" s="54"/>
      <c r="K223" s="54"/>
      <c r="L223" s="54"/>
      <c r="M223" s="57"/>
      <c r="N223" s="57"/>
      <c r="O223" s="57"/>
      <c r="P223" s="55"/>
      <c r="Q223" s="55"/>
      <c r="R223" s="55"/>
      <c r="S223" s="146" t="str">
        <f>IF(BetTable[[#This Row],[Sp]]="","",BetTable[[#This Row],[S1]]+BetTable[[#This Row],[S2]]+BetTable[[#This Row],[S3]])</f>
        <v/>
      </c>
      <c r="T223" s="143" t="str">
        <f>IF(BetTable[[#This Row],[O1]]="","",(BetTable[[#This Row],[WBA1-Commission]])-BetTable[[#This Row],[TS]])</f>
        <v/>
      </c>
      <c r="U223" s="143" t="str">
        <f>IF(BetTable[[#This Row],[O2]]="","",(BetTable[[#This Row],[WBA2-Commission]])-BetTable[[#This Row],[TS]])</f>
        <v/>
      </c>
      <c r="V223" s="143" t="str">
        <f>IF(BetTable[[#This Row],[O3]]="","",(BetTable[[#This Row],[WBA3-Commission]])-BetTable[[#This Row],[TS]])</f>
        <v/>
      </c>
      <c r="W223" s="143">
        <f>IF(NOT(ISBLANK(BetTable[[#This Row],[B1]])),1,0)+IF(NOT(ISBLANK(BetTable[[#This Row],[B2]])),1,0)+IF(NOT(ISBLANK(BetTable[[#This Row],[B3]])),1,0)</f>
        <v>0</v>
      </c>
      <c r="X223" s="143" t="str">
        <f>IF(BetTable[[#This Row],[Outcome1]]="","",BetTable[[#This Row],[WBA1]]+BetTable[[#This Row],[WBA2]]+BetTable[[#This Row],[WBA3]]-BetTable[[#This Row],[TS]])</f>
        <v/>
      </c>
      <c r="Y223" s="143" t="str">
        <f>IF(BetTable[[#This Row],[AR]]="","",BetTable[[#This Row],[AR]]/BetTable[[#This Row],[NumBookies]])</f>
        <v/>
      </c>
      <c r="Z223" s="143">
        <f>(((BetTable[[#This Row],[O1]]-1)*BetTable[[#This Row],[S1]])*(1-(BetTable[[#This Row],[C% 1]]))+BetTable[[#This Row],[S1]])</f>
        <v>0</v>
      </c>
      <c r="AA223" s="143">
        <f>(((BetTable[[#This Row],[O2]]-1)*BetTable[[#This Row],[S2]])*(1-(BetTable[[#This Row],[C% 2]]))+BetTable[[#This Row],[S2]])</f>
        <v>0</v>
      </c>
      <c r="AB223" s="143">
        <f>(((BetTable[[#This Row],[O3]]-1)*BetTable[[#This Row],[S3]])*(1-(BetTable[[#This Row],[C% 3]]))+BetTable[[#This Row],[S3]])</f>
        <v>0</v>
      </c>
      <c r="AC223" s="147" t="str">
        <f>IFERROR(IF(BetTable[[#This Row],[Sp]]="","",BetTable[[#This Row],[R1]]/BetTable[[#This Row],[TS]]),"")</f>
        <v/>
      </c>
      <c r="AD223" s="147" t="str">
        <f>IF(BetTable[[#This Row],[O2]]="","",BetTable[[#This Row],[R2]]/BetTable[[#This Row],[TS]])</f>
        <v/>
      </c>
      <c r="AE223" s="147" t="str">
        <f>IFERROR(IF(BetTable[[#This Row],[Sp]]="","",BetTable[[#This Row],[R3]]/BetTable[[#This Row],[TS]]),"")</f>
        <v/>
      </c>
      <c r="AF223" s="147" t="str">
        <f>IFERROR(IF(BetTable[[#This Row],[Outcome1]]="","",BetTable[[#This Row],[AR]]/BetTable[[#This Row],[TS]]),"")</f>
        <v/>
      </c>
      <c r="AG22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3" s="57" t="e">
        <f>IF(BetTable[[#This Row],[Outcome1]]="",AJ222,BetTable[[#This Row],[AR]]+AJ222)</f>
        <v>#REF!</v>
      </c>
      <c r="AK223" s="39"/>
    </row>
    <row r="224" spans="1:37">
      <c r="A224" s="144"/>
      <c r="B224" s="39"/>
      <c r="C224" s="40"/>
      <c r="D224" s="40"/>
      <c r="E224" s="40"/>
      <c r="F224" s="152"/>
      <c r="G224" s="152"/>
      <c r="H224" s="152"/>
      <c r="I224" s="39"/>
      <c r="J224" s="54"/>
      <c r="K224" s="54"/>
      <c r="L224" s="54"/>
      <c r="M224" s="57"/>
      <c r="N224" s="57"/>
      <c r="O224" s="57"/>
      <c r="P224" s="55"/>
      <c r="Q224" s="55"/>
      <c r="R224" s="55"/>
      <c r="S224" s="146" t="str">
        <f>IF(BetTable[[#This Row],[Sp]]="","",BetTable[[#This Row],[S1]]+BetTable[[#This Row],[S2]]+BetTable[[#This Row],[S3]])</f>
        <v/>
      </c>
      <c r="T224" s="143" t="str">
        <f>IF(BetTable[[#This Row],[O1]]="","",(BetTable[[#This Row],[WBA1-Commission]])-BetTable[[#This Row],[TS]])</f>
        <v/>
      </c>
      <c r="U224" s="143" t="str">
        <f>IF(BetTable[[#This Row],[O2]]="","",(BetTable[[#This Row],[WBA2-Commission]])-BetTable[[#This Row],[TS]])</f>
        <v/>
      </c>
      <c r="V224" s="143" t="str">
        <f>IF(BetTable[[#This Row],[O3]]="","",(BetTable[[#This Row],[WBA3-Commission]])-BetTable[[#This Row],[TS]])</f>
        <v/>
      </c>
      <c r="W224" s="143">
        <f>IF(NOT(ISBLANK(BetTable[[#This Row],[B1]])),1,0)+IF(NOT(ISBLANK(BetTable[[#This Row],[B2]])),1,0)+IF(NOT(ISBLANK(BetTable[[#This Row],[B3]])),1,0)</f>
        <v>0</v>
      </c>
      <c r="X224" s="143" t="str">
        <f>IF(BetTable[[#This Row],[Outcome1]]="","",BetTable[[#This Row],[WBA1]]+BetTable[[#This Row],[WBA2]]+BetTable[[#This Row],[WBA3]]-BetTable[[#This Row],[TS]])</f>
        <v/>
      </c>
      <c r="Y224" s="143" t="str">
        <f>IF(BetTable[[#This Row],[AR]]="","",BetTable[[#This Row],[AR]]/BetTable[[#This Row],[NumBookies]])</f>
        <v/>
      </c>
      <c r="Z224" s="143">
        <f>(((BetTable[[#This Row],[O1]]-1)*BetTable[[#This Row],[S1]])*(1-(BetTable[[#This Row],[C% 1]]))+BetTable[[#This Row],[S1]])</f>
        <v>0</v>
      </c>
      <c r="AA224" s="143">
        <f>(((BetTable[[#This Row],[O2]]-1)*BetTable[[#This Row],[S2]])*(1-(BetTable[[#This Row],[C% 2]]))+BetTable[[#This Row],[S2]])</f>
        <v>0</v>
      </c>
      <c r="AB224" s="143">
        <f>(((BetTable[[#This Row],[O3]]-1)*BetTable[[#This Row],[S3]])*(1-(BetTable[[#This Row],[C% 3]]))+BetTable[[#This Row],[S3]])</f>
        <v>0</v>
      </c>
      <c r="AC224" s="147" t="str">
        <f>IFERROR(IF(BetTable[[#This Row],[Sp]]="","",BetTable[[#This Row],[R1]]/BetTable[[#This Row],[TS]]),"")</f>
        <v/>
      </c>
      <c r="AD224" s="147" t="str">
        <f>IF(BetTable[[#This Row],[O2]]="","",BetTable[[#This Row],[R2]]/BetTable[[#This Row],[TS]])</f>
        <v/>
      </c>
      <c r="AE224" s="147" t="str">
        <f>IFERROR(IF(BetTable[[#This Row],[Sp]]="","",BetTable[[#This Row],[R3]]/BetTable[[#This Row],[TS]]),"")</f>
        <v/>
      </c>
      <c r="AF224" s="147" t="str">
        <f>IFERROR(IF(BetTable[[#This Row],[Outcome1]]="","",BetTable[[#This Row],[AR]]/BetTable[[#This Row],[TS]]),"")</f>
        <v/>
      </c>
      <c r="AG224"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4"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4"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4" s="57" t="e">
        <f>IF(BetTable[[#This Row],[Outcome1]]="",AJ223,BetTable[[#This Row],[AR]]+AJ223)</f>
        <v>#REF!</v>
      </c>
      <c r="AK224" s="39"/>
    </row>
    <row r="225" spans="1:37">
      <c r="A225" s="144"/>
      <c r="B225" s="39"/>
      <c r="C225" s="40"/>
      <c r="D225" s="40"/>
      <c r="E225" s="40"/>
      <c r="F225" s="152"/>
      <c r="G225" s="152"/>
      <c r="H225" s="152"/>
      <c r="I225" s="39"/>
      <c r="J225" s="54"/>
      <c r="K225" s="54"/>
      <c r="L225" s="54"/>
      <c r="M225" s="57"/>
      <c r="N225" s="57"/>
      <c r="O225" s="57"/>
      <c r="P225" s="55"/>
      <c r="Q225" s="55"/>
      <c r="R225" s="55"/>
      <c r="S225" s="146" t="str">
        <f>IF(BetTable[[#This Row],[Sp]]="","",BetTable[[#This Row],[S1]]+BetTable[[#This Row],[S2]]+BetTable[[#This Row],[S3]])</f>
        <v/>
      </c>
      <c r="T225" s="143" t="str">
        <f>IF(BetTable[[#This Row],[O1]]="","",(BetTable[[#This Row],[WBA1-Commission]])-BetTable[[#This Row],[TS]])</f>
        <v/>
      </c>
      <c r="U225" s="143" t="str">
        <f>IF(BetTable[[#This Row],[O2]]="","",(BetTable[[#This Row],[WBA2-Commission]])-BetTable[[#This Row],[TS]])</f>
        <v/>
      </c>
      <c r="V225" s="143" t="str">
        <f>IF(BetTable[[#This Row],[O3]]="","",(BetTable[[#This Row],[WBA3-Commission]])-BetTable[[#This Row],[TS]])</f>
        <v/>
      </c>
      <c r="W225" s="143">
        <f>IF(NOT(ISBLANK(BetTable[[#This Row],[B1]])),1,0)+IF(NOT(ISBLANK(BetTable[[#This Row],[B2]])),1,0)+IF(NOT(ISBLANK(BetTable[[#This Row],[B3]])),1,0)</f>
        <v>0</v>
      </c>
      <c r="X225" s="143" t="str">
        <f>IF(BetTable[[#This Row],[Outcome1]]="","",BetTable[[#This Row],[WBA1]]+BetTable[[#This Row],[WBA2]]+BetTable[[#This Row],[WBA3]]-BetTable[[#This Row],[TS]])</f>
        <v/>
      </c>
      <c r="Y225" s="143" t="str">
        <f>IF(BetTable[[#This Row],[AR]]="","",BetTable[[#This Row],[AR]]/BetTable[[#This Row],[NumBookies]])</f>
        <v/>
      </c>
      <c r="Z225" s="143">
        <f>(((BetTable[[#This Row],[O1]]-1)*BetTable[[#This Row],[S1]])*(1-(BetTable[[#This Row],[C% 1]]))+BetTable[[#This Row],[S1]])</f>
        <v>0</v>
      </c>
      <c r="AA225" s="143">
        <f>(((BetTable[[#This Row],[O2]]-1)*BetTable[[#This Row],[S2]])*(1-(BetTable[[#This Row],[C% 2]]))+BetTable[[#This Row],[S2]])</f>
        <v>0</v>
      </c>
      <c r="AB225" s="143">
        <f>(((BetTable[[#This Row],[O3]]-1)*BetTable[[#This Row],[S3]])*(1-(BetTable[[#This Row],[C% 3]]))+BetTable[[#This Row],[S3]])</f>
        <v>0</v>
      </c>
      <c r="AC225" s="147" t="str">
        <f>IFERROR(IF(BetTable[[#This Row],[Sp]]="","",BetTable[[#This Row],[R1]]/BetTable[[#This Row],[TS]]),"")</f>
        <v/>
      </c>
      <c r="AD225" s="147" t="str">
        <f>IF(BetTable[[#This Row],[O2]]="","",BetTable[[#This Row],[R2]]/BetTable[[#This Row],[TS]])</f>
        <v/>
      </c>
      <c r="AE225" s="147" t="str">
        <f>IFERROR(IF(BetTable[[#This Row],[Sp]]="","",BetTable[[#This Row],[R3]]/BetTable[[#This Row],[TS]]),"")</f>
        <v/>
      </c>
      <c r="AF225" s="147" t="str">
        <f>IFERROR(IF(BetTable[[#This Row],[Outcome1]]="","",BetTable[[#This Row],[AR]]/BetTable[[#This Row],[TS]]),"")</f>
        <v/>
      </c>
      <c r="AG225"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5"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5"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5" s="57" t="e">
        <f>IF(BetTable[[#This Row],[Outcome1]]="",AJ224,BetTable[[#This Row],[AR]]+AJ224)</f>
        <v>#REF!</v>
      </c>
      <c r="AK225" s="39"/>
    </row>
    <row r="226" spans="1:37">
      <c r="A226" s="144"/>
      <c r="B226" s="39"/>
      <c r="C226" s="40"/>
      <c r="D226" s="40"/>
      <c r="E226" s="40"/>
      <c r="F226" s="152"/>
      <c r="G226" s="152"/>
      <c r="H226" s="152"/>
      <c r="I226" s="39"/>
      <c r="J226" s="54"/>
      <c r="K226" s="54"/>
      <c r="L226" s="54"/>
      <c r="M226" s="57"/>
      <c r="N226" s="57"/>
      <c r="O226" s="57"/>
      <c r="P226" s="55"/>
      <c r="Q226" s="55"/>
      <c r="R226" s="55"/>
      <c r="S226" s="146" t="str">
        <f>IF(BetTable[[#This Row],[Sp]]="","",BetTable[[#This Row],[S1]]+BetTable[[#This Row],[S2]]+BetTable[[#This Row],[S3]])</f>
        <v/>
      </c>
      <c r="T226" s="143" t="str">
        <f>IF(BetTable[[#This Row],[O1]]="","",(BetTable[[#This Row],[WBA1-Commission]])-BetTable[[#This Row],[TS]])</f>
        <v/>
      </c>
      <c r="U226" s="143" t="str">
        <f>IF(BetTable[[#This Row],[O2]]="","",(BetTable[[#This Row],[WBA2-Commission]])-BetTable[[#This Row],[TS]])</f>
        <v/>
      </c>
      <c r="V226" s="143" t="str">
        <f>IF(BetTable[[#This Row],[O3]]="","",(BetTable[[#This Row],[WBA3-Commission]])-BetTable[[#This Row],[TS]])</f>
        <v/>
      </c>
      <c r="W226" s="143">
        <f>IF(NOT(ISBLANK(BetTable[[#This Row],[B1]])),1,0)+IF(NOT(ISBLANK(BetTable[[#This Row],[B2]])),1,0)+IF(NOT(ISBLANK(BetTable[[#This Row],[B3]])),1,0)</f>
        <v>0</v>
      </c>
      <c r="X226" s="143" t="str">
        <f>IF(BetTable[[#This Row],[Outcome1]]="","",BetTable[[#This Row],[WBA1]]+BetTable[[#This Row],[WBA2]]+BetTable[[#This Row],[WBA3]]-BetTable[[#This Row],[TS]])</f>
        <v/>
      </c>
      <c r="Y226" s="143" t="str">
        <f>IF(BetTable[[#This Row],[AR]]="","",BetTable[[#This Row],[AR]]/BetTable[[#This Row],[NumBookies]])</f>
        <v/>
      </c>
      <c r="Z226" s="143">
        <f>(((BetTable[[#This Row],[O1]]-1)*BetTable[[#This Row],[S1]])*(1-(BetTable[[#This Row],[C% 1]]))+BetTable[[#This Row],[S1]])</f>
        <v>0</v>
      </c>
      <c r="AA226" s="143">
        <f>(((BetTable[[#This Row],[O2]]-1)*BetTable[[#This Row],[S2]])*(1-(BetTable[[#This Row],[C% 2]]))+BetTable[[#This Row],[S2]])</f>
        <v>0</v>
      </c>
      <c r="AB226" s="143">
        <f>(((BetTable[[#This Row],[O3]]-1)*BetTable[[#This Row],[S3]])*(1-(BetTable[[#This Row],[C% 3]]))+BetTable[[#This Row],[S3]])</f>
        <v>0</v>
      </c>
      <c r="AC226" s="147" t="str">
        <f>IFERROR(IF(BetTable[[#This Row],[Sp]]="","",BetTable[[#This Row],[R1]]/BetTable[[#This Row],[TS]]),"")</f>
        <v/>
      </c>
      <c r="AD226" s="147" t="str">
        <f>IF(BetTable[[#This Row],[O2]]="","",BetTable[[#This Row],[R2]]/BetTable[[#This Row],[TS]])</f>
        <v/>
      </c>
      <c r="AE226" s="147" t="str">
        <f>IFERROR(IF(BetTable[[#This Row],[Sp]]="","",BetTable[[#This Row],[R3]]/BetTable[[#This Row],[TS]]),"")</f>
        <v/>
      </c>
      <c r="AF226" s="147" t="str">
        <f>IFERROR(IF(BetTable[[#This Row],[Outcome1]]="","",BetTable[[#This Row],[AR]]/BetTable[[#This Row],[TS]]),"")</f>
        <v/>
      </c>
      <c r="AG226"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6"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6"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6" s="57" t="e">
        <f>IF(BetTable[[#This Row],[Outcome1]]="",AJ225,BetTable[[#This Row],[AR]]+AJ225)</f>
        <v>#REF!</v>
      </c>
      <c r="AK226" s="39"/>
    </row>
    <row r="227" spans="1:37">
      <c r="A227" s="144"/>
      <c r="B227" s="39"/>
      <c r="C227" s="40"/>
      <c r="D227" s="40"/>
      <c r="E227" s="40"/>
      <c r="F227" s="152"/>
      <c r="G227" s="152"/>
      <c r="H227" s="152"/>
      <c r="I227" s="39"/>
      <c r="J227" s="54"/>
      <c r="K227" s="54"/>
      <c r="L227" s="54"/>
      <c r="M227" s="57"/>
      <c r="N227" s="57"/>
      <c r="O227" s="57"/>
      <c r="P227" s="55"/>
      <c r="Q227" s="55"/>
      <c r="R227" s="55"/>
      <c r="S227" s="146" t="str">
        <f>IF(BetTable[[#This Row],[Sp]]="","",BetTable[[#This Row],[S1]]+BetTable[[#This Row],[S2]]+BetTable[[#This Row],[S3]])</f>
        <v/>
      </c>
      <c r="T227" s="143" t="str">
        <f>IF(BetTable[[#This Row],[O1]]="","",(BetTable[[#This Row],[WBA1-Commission]])-BetTable[[#This Row],[TS]])</f>
        <v/>
      </c>
      <c r="U227" s="143" t="str">
        <f>IF(BetTable[[#This Row],[O2]]="","",(BetTable[[#This Row],[WBA2-Commission]])-BetTable[[#This Row],[TS]])</f>
        <v/>
      </c>
      <c r="V227" s="143" t="str">
        <f>IF(BetTable[[#This Row],[O3]]="","",(BetTable[[#This Row],[WBA3-Commission]])-BetTable[[#This Row],[TS]])</f>
        <v/>
      </c>
      <c r="W227" s="143">
        <f>IF(NOT(ISBLANK(BetTable[[#This Row],[B1]])),1,0)+IF(NOT(ISBLANK(BetTable[[#This Row],[B2]])),1,0)+IF(NOT(ISBLANK(BetTable[[#This Row],[B3]])),1,0)</f>
        <v>0</v>
      </c>
      <c r="X227" s="143" t="str">
        <f>IF(BetTable[[#This Row],[Outcome1]]="","",BetTable[[#This Row],[WBA1]]+BetTable[[#This Row],[WBA2]]+BetTable[[#This Row],[WBA3]]-BetTable[[#This Row],[TS]])</f>
        <v/>
      </c>
      <c r="Y227" s="143" t="str">
        <f>IF(BetTable[[#This Row],[AR]]="","",BetTable[[#This Row],[AR]]/BetTable[[#This Row],[NumBookies]])</f>
        <v/>
      </c>
      <c r="Z227" s="143">
        <f>(((BetTable[[#This Row],[O1]]-1)*BetTable[[#This Row],[S1]])*(1-(BetTable[[#This Row],[C% 1]]))+BetTable[[#This Row],[S1]])</f>
        <v>0</v>
      </c>
      <c r="AA227" s="143">
        <f>(((BetTable[[#This Row],[O2]]-1)*BetTable[[#This Row],[S2]])*(1-(BetTable[[#This Row],[C% 2]]))+BetTable[[#This Row],[S2]])</f>
        <v>0</v>
      </c>
      <c r="AB227" s="143">
        <f>(((BetTable[[#This Row],[O3]]-1)*BetTable[[#This Row],[S3]])*(1-(BetTable[[#This Row],[C% 3]]))+BetTable[[#This Row],[S3]])</f>
        <v>0</v>
      </c>
      <c r="AC227" s="147" t="str">
        <f>IFERROR(IF(BetTable[[#This Row],[Sp]]="","",BetTable[[#This Row],[R1]]/BetTable[[#This Row],[TS]]),"")</f>
        <v/>
      </c>
      <c r="AD227" s="147" t="str">
        <f>IF(BetTable[[#This Row],[O2]]="","",BetTable[[#This Row],[R2]]/BetTable[[#This Row],[TS]])</f>
        <v/>
      </c>
      <c r="AE227" s="147" t="str">
        <f>IFERROR(IF(BetTable[[#This Row],[Sp]]="","",BetTable[[#This Row],[R3]]/BetTable[[#This Row],[TS]]),"")</f>
        <v/>
      </c>
      <c r="AF227" s="147" t="str">
        <f>IFERROR(IF(BetTable[[#This Row],[Outcome1]]="","",BetTable[[#This Row],[AR]]/BetTable[[#This Row],[TS]]),"")</f>
        <v/>
      </c>
      <c r="AG227"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7"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7"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7" s="57" t="e">
        <f>IF(BetTable[[#This Row],[Outcome1]]="",AJ226,BetTable[[#This Row],[AR]]+AJ226)</f>
        <v>#REF!</v>
      </c>
      <c r="AK227" s="39"/>
    </row>
    <row r="228" spans="1:37">
      <c r="A228" s="144"/>
      <c r="B228" s="39"/>
      <c r="C228" s="40"/>
      <c r="D228" s="40"/>
      <c r="E228" s="40"/>
      <c r="F228" s="152"/>
      <c r="G228" s="152"/>
      <c r="H228" s="152"/>
      <c r="I228" s="39"/>
      <c r="J228" s="54"/>
      <c r="K228" s="54"/>
      <c r="L228" s="54"/>
      <c r="M228" s="57"/>
      <c r="N228" s="57"/>
      <c r="O228" s="57"/>
      <c r="P228" s="55"/>
      <c r="Q228" s="55"/>
      <c r="R228" s="55"/>
      <c r="S228" s="146" t="str">
        <f>IF(BetTable[[#This Row],[Sp]]="","",BetTable[[#This Row],[S1]]+BetTable[[#This Row],[S2]]+BetTable[[#This Row],[S3]])</f>
        <v/>
      </c>
      <c r="T228" s="143" t="str">
        <f>IF(BetTable[[#This Row],[O1]]="","",(BetTable[[#This Row],[WBA1-Commission]])-BetTable[[#This Row],[TS]])</f>
        <v/>
      </c>
      <c r="U228" s="143" t="str">
        <f>IF(BetTable[[#This Row],[O2]]="","",(BetTable[[#This Row],[WBA2-Commission]])-BetTable[[#This Row],[TS]])</f>
        <v/>
      </c>
      <c r="V228" s="143" t="str">
        <f>IF(BetTable[[#This Row],[O3]]="","",(BetTable[[#This Row],[WBA3-Commission]])-BetTable[[#This Row],[TS]])</f>
        <v/>
      </c>
      <c r="W228" s="143">
        <f>IF(NOT(ISBLANK(BetTable[[#This Row],[B1]])),1,0)+IF(NOT(ISBLANK(BetTable[[#This Row],[B2]])),1,0)+IF(NOT(ISBLANK(BetTable[[#This Row],[B3]])),1,0)</f>
        <v>0</v>
      </c>
      <c r="X228" s="143" t="str">
        <f>IF(BetTable[[#This Row],[Outcome1]]="","",BetTable[[#This Row],[WBA1]]+BetTable[[#This Row],[WBA2]]+BetTable[[#This Row],[WBA3]]-BetTable[[#This Row],[TS]])</f>
        <v/>
      </c>
      <c r="Y228" s="143" t="str">
        <f>IF(BetTable[[#This Row],[AR]]="","",BetTable[[#This Row],[AR]]/BetTable[[#This Row],[NumBookies]])</f>
        <v/>
      </c>
      <c r="Z228" s="143">
        <f>(((BetTable[[#This Row],[O1]]-1)*BetTable[[#This Row],[S1]])*(1-(BetTable[[#This Row],[C% 1]]))+BetTable[[#This Row],[S1]])</f>
        <v>0</v>
      </c>
      <c r="AA228" s="143">
        <f>(((BetTable[[#This Row],[O2]]-1)*BetTable[[#This Row],[S2]])*(1-(BetTable[[#This Row],[C% 2]]))+BetTable[[#This Row],[S2]])</f>
        <v>0</v>
      </c>
      <c r="AB228" s="143">
        <f>(((BetTable[[#This Row],[O3]]-1)*BetTable[[#This Row],[S3]])*(1-(BetTable[[#This Row],[C% 3]]))+BetTable[[#This Row],[S3]])</f>
        <v>0</v>
      </c>
      <c r="AC228" s="147" t="str">
        <f>IFERROR(IF(BetTable[[#This Row],[Sp]]="","",BetTable[[#This Row],[R1]]/BetTable[[#This Row],[TS]]),"")</f>
        <v/>
      </c>
      <c r="AD228" s="147" t="str">
        <f>IF(BetTable[[#This Row],[O2]]="","",BetTable[[#This Row],[R2]]/BetTable[[#This Row],[TS]])</f>
        <v/>
      </c>
      <c r="AE228" s="147" t="str">
        <f>IFERROR(IF(BetTable[[#This Row],[Sp]]="","",BetTable[[#This Row],[R3]]/BetTable[[#This Row],[TS]]),"")</f>
        <v/>
      </c>
      <c r="AF228" s="147" t="str">
        <f>IFERROR(IF(BetTable[[#This Row],[Outcome1]]="","",BetTable[[#This Row],[AR]]/BetTable[[#This Row],[TS]]),"")</f>
        <v/>
      </c>
      <c r="AG228"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8"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8"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8" s="57" t="e">
        <f>IF(BetTable[[#This Row],[Outcome1]]="",AJ227,BetTable[[#This Row],[AR]]+AJ227)</f>
        <v>#REF!</v>
      </c>
      <c r="AK228" s="39"/>
    </row>
    <row r="229" spans="1:37">
      <c r="A229" s="144"/>
      <c r="B229" s="39"/>
      <c r="C229" s="40"/>
      <c r="D229" s="40"/>
      <c r="E229" s="40"/>
      <c r="F229" s="152"/>
      <c r="G229" s="152"/>
      <c r="H229" s="152"/>
      <c r="I229" s="39"/>
      <c r="J229" s="54"/>
      <c r="K229" s="54"/>
      <c r="L229" s="54"/>
      <c r="M229" s="57"/>
      <c r="N229" s="57"/>
      <c r="O229" s="57"/>
      <c r="P229" s="55"/>
      <c r="Q229" s="55"/>
      <c r="R229" s="55"/>
      <c r="S229" s="146" t="str">
        <f>IF(BetTable[[#This Row],[Sp]]="","",BetTable[[#This Row],[S1]]+BetTable[[#This Row],[S2]]+BetTable[[#This Row],[S3]])</f>
        <v/>
      </c>
      <c r="T229" s="143" t="str">
        <f>IF(BetTable[[#This Row],[O1]]="","",(BetTable[[#This Row],[WBA1-Commission]])-BetTable[[#This Row],[TS]])</f>
        <v/>
      </c>
      <c r="U229" s="143" t="str">
        <f>IF(BetTable[[#This Row],[O2]]="","",(BetTable[[#This Row],[WBA2-Commission]])-BetTable[[#This Row],[TS]])</f>
        <v/>
      </c>
      <c r="V229" s="143" t="str">
        <f>IF(BetTable[[#This Row],[O3]]="","",(BetTable[[#This Row],[WBA3-Commission]])-BetTable[[#This Row],[TS]])</f>
        <v/>
      </c>
      <c r="W229" s="143">
        <f>IF(NOT(ISBLANK(BetTable[[#This Row],[B1]])),1,0)+IF(NOT(ISBLANK(BetTable[[#This Row],[B2]])),1,0)+IF(NOT(ISBLANK(BetTable[[#This Row],[B3]])),1,0)</f>
        <v>0</v>
      </c>
      <c r="X229" s="143" t="str">
        <f>IF(BetTable[[#This Row],[Outcome1]]="","",BetTable[[#This Row],[WBA1]]+BetTable[[#This Row],[WBA2]]+BetTable[[#This Row],[WBA3]]-BetTable[[#This Row],[TS]])</f>
        <v/>
      </c>
      <c r="Y229" s="143" t="str">
        <f>IF(BetTable[[#This Row],[AR]]="","",BetTable[[#This Row],[AR]]/BetTable[[#This Row],[NumBookies]])</f>
        <v/>
      </c>
      <c r="Z229" s="143">
        <f>(((BetTable[[#This Row],[O1]]-1)*BetTable[[#This Row],[S1]])*(1-(BetTable[[#This Row],[C% 1]]))+BetTable[[#This Row],[S1]])</f>
        <v>0</v>
      </c>
      <c r="AA229" s="143">
        <f>(((BetTable[[#This Row],[O2]]-1)*BetTable[[#This Row],[S2]])*(1-(BetTable[[#This Row],[C% 2]]))+BetTable[[#This Row],[S2]])</f>
        <v>0</v>
      </c>
      <c r="AB229" s="143">
        <f>(((BetTable[[#This Row],[O3]]-1)*BetTable[[#This Row],[S3]])*(1-(BetTable[[#This Row],[C% 3]]))+BetTable[[#This Row],[S3]])</f>
        <v>0</v>
      </c>
      <c r="AC229" s="147" t="str">
        <f>IFERROR(IF(BetTable[[#This Row],[Sp]]="","",BetTable[[#This Row],[R1]]/BetTable[[#This Row],[TS]]),"")</f>
        <v/>
      </c>
      <c r="AD229" s="147" t="str">
        <f>IF(BetTable[[#This Row],[O2]]="","",BetTable[[#This Row],[R2]]/BetTable[[#This Row],[TS]])</f>
        <v/>
      </c>
      <c r="AE229" s="147" t="str">
        <f>IFERROR(IF(BetTable[[#This Row],[Sp]]="","",BetTable[[#This Row],[R3]]/BetTable[[#This Row],[TS]]),"")</f>
        <v/>
      </c>
      <c r="AF229" s="147" t="str">
        <f>IFERROR(IF(BetTable[[#This Row],[Outcome1]]="","",BetTable[[#This Row],[AR]]/BetTable[[#This Row],[TS]]),"")</f>
        <v/>
      </c>
      <c r="AG229"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29"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29"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29" s="57" t="e">
        <f>IF(BetTable[[#This Row],[Outcome1]]="",AJ228,BetTable[[#This Row],[AR]]+AJ228)</f>
        <v>#REF!</v>
      </c>
      <c r="AK229" s="39"/>
    </row>
    <row r="230" spans="1:37">
      <c r="A230" s="144"/>
      <c r="B230" s="39"/>
      <c r="C230" s="40"/>
      <c r="D230" s="40"/>
      <c r="E230" s="40"/>
      <c r="F230" s="152"/>
      <c r="G230" s="152"/>
      <c r="H230" s="152"/>
      <c r="I230" s="39"/>
      <c r="J230" s="54"/>
      <c r="K230" s="54"/>
      <c r="L230" s="54"/>
      <c r="M230" s="57"/>
      <c r="N230" s="57"/>
      <c r="O230" s="57"/>
      <c r="P230" s="55"/>
      <c r="Q230" s="55"/>
      <c r="R230" s="55"/>
      <c r="S230" s="146" t="str">
        <f>IF(BetTable[[#This Row],[Sp]]="","",BetTable[[#This Row],[S1]]+BetTable[[#This Row],[S2]]+BetTable[[#This Row],[S3]])</f>
        <v/>
      </c>
      <c r="T230" s="143" t="str">
        <f>IF(BetTable[[#This Row],[O1]]="","",(BetTable[[#This Row],[WBA1-Commission]])-BetTable[[#This Row],[TS]])</f>
        <v/>
      </c>
      <c r="U230" s="143" t="str">
        <f>IF(BetTable[[#This Row],[O2]]="","",(BetTable[[#This Row],[WBA2-Commission]])-BetTable[[#This Row],[TS]])</f>
        <v/>
      </c>
      <c r="V230" s="143" t="str">
        <f>IF(BetTable[[#This Row],[O3]]="","",(BetTable[[#This Row],[WBA3-Commission]])-BetTable[[#This Row],[TS]])</f>
        <v/>
      </c>
      <c r="W230" s="143">
        <f>IF(NOT(ISBLANK(BetTable[[#This Row],[B1]])),1,0)+IF(NOT(ISBLANK(BetTable[[#This Row],[B2]])),1,0)+IF(NOT(ISBLANK(BetTable[[#This Row],[B3]])),1,0)</f>
        <v>0</v>
      </c>
      <c r="X230" s="143" t="str">
        <f>IF(BetTable[[#This Row],[Outcome1]]="","",BetTable[[#This Row],[WBA1]]+BetTable[[#This Row],[WBA2]]+BetTable[[#This Row],[WBA3]]-BetTable[[#This Row],[TS]])</f>
        <v/>
      </c>
      <c r="Y230" s="143" t="str">
        <f>IF(BetTable[[#This Row],[AR]]="","",BetTable[[#This Row],[AR]]/BetTable[[#This Row],[NumBookies]])</f>
        <v/>
      </c>
      <c r="Z230" s="143">
        <f>(((BetTable[[#This Row],[O1]]-1)*BetTable[[#This Row],[S1]])*(1-(BetTable[[#This Row],[C% 1]]))+BetTable[[#This Row],[S1]])</f>
        <v>0</v>
      </c>
      <c r="AA230" s="143">
        <f>(((BetTable[[#This Row],[O2]]-1)*BetTable[[#This Row],[S2]])*(1-(BetTable[[#This Row],[C% 2]]))+BetTable[[#This Row],[S2]])</f>
        <v>0</v>
      </c>
      <c r="AB230" s="143">
        <f>(((BetTable[[#This Row],[O3]]-1)*BetTable[[#This Row],[S3]])*(1-(BetTable[[#This Row],[C% 3]]))+BetTable[[#This Row],[S3]])</f>
        <v>0</v>
      </c>
      <c r="AC230" s="147" t="str">
        <f>IFERROR(IF(BetTable[[#This Row],[Sp]]="","",BetTable[[#This Row],[R1]]/BetTable[[#This Row],[TS]]),"")</f>
        <v/>
      </c>
      <c r="AD230" s="147" t="str">
        <f>IF(BetTable[[#This Row],[O2]]="","",BetTable[[#This Row],[R2]]/BetTable[[#This Row],[TS]])</f>
        <v/>
      </c>
      <c r="AE230" s="147" t="str">
        <f>IFERROR(IF(BetTable[[#This Row],[Sp]]="","",BetTable[[#This Row],[R3]]/BetTable[[#This Row],[TS]]),"")</f>
        <v/>
      </c>
      <c r="AF230" s="147" t="str">
        <f>IFERROR(IF(BetTable[[#This Row],[Outcome1]]="","",BetTable[[#This Row],[AR]]/BetTable[[#This Row],[TS]]),"")</f>
        <v/>
      </c>
      <c r="AG230"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30"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30"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30" s="57" t="e">
        <f>IF(BetTable[[#This Row],[Outcome1]]="",AJ229,BetTable[[#This Row],[AR]]+AJ229)</f>
        <v>#REF!</v>
      </c>
      <c r="AK230" s="39"/>
    </row>
    <row r="231" spans="1:37">
      <c r="A231" s="144"/>
      <c r="B231" s="39"/>
      <c r="C231" s="40"/>
      <c r="D231" s="40"/>
      <c r="E231" s="40"/>
      <c r="F231" s="152"/>
      <c r="G231" s="152"/>
      <c r="H231" s="152"/>
      <c r="I231" s="39"/>
      <c r="J231" s="54"/>
      <c r="K231" s="54"/>
      <c r="L231" s="54"/>
      <c r="M231" s="57"/>
      <c r="N231" s="57"/>
      <c r="O231" s="57"/>
      <c r="P231" s="55"/>
      <c r="Q231" s="55"/>
      <c r="R231" s="55"/>
      <c r="S231" s="146" t="str">
        <f>IF(BetTable[[#This Row],[Sp]]="","",BetTable[[#This Row],[S1]]+BetTable[[#This Row],[S2]]+BetTable[[#This Row],[S3]])</f>
        <v/>
      </c>
      <c r="T231" s="143" t="str">
        <f>IF(BetTable[[#This Row],[O1]]="","",(BetTable[[#This Row],[WBA1-Commission]])-BetTable[[#This Row],[TS]])</f>
        <v/>
      </c>
      <c r="U231" s="143" t="str">
        <f>IF(BetTable[[#This Row],[O2]]="","",(BetTable[[#This Row],[WBA2-Commission]])-BetTable[[#This Row],[TS]])</f>
        <v/>
      </c>
      <c r="V231" s="143" t="str">
        <f>IF(BetTable[[#This Row],[O3]]="","",(BetTable[[#This Row],[WBA3-Commission]])-BetTable[[#This Row],[TS]])</f>
        <v/>
      </c>
      <c r="W231" s="143">
        <f>IF(NOT(ISBLANK(BetTable[[#This Row],[B1]])),1,0)+IF(NOT(ISBLANK(BetTable[[#This Row],[B2]])),1,0)+IF(NOT(ISBLANK(BetTable[[#This Row],[B3]])),1,0)</f>
        <v>0</v>
      </c>
      <c r="X231" s="143" t="str">
        <f>IF(BetTable[[#This Row],[Outcome1]]="","",BetTable[[#This Row],[WBA1]]+BetTable[[#This Row],[WBA2]]+BetTable[[#This Row],[WBA3]]-BetTable[[#This Row],[TS]])</f>
        <v/>
      </c>
      <c r="Y231" s="143" t="str">
        <f>IF(BetTable[[#This Row],[AR]]="","",BetTable[[#This Row],[AR]]/BetTable[[#This Row],[NumBookies]])</f>
        <v/>
      </c>
      <c r="Z231" s="143">
        <f>(((BetTable[[#This Row],[O1]]-1)*BetTable[[#This Row],[S1]])*(1-(BetTable[[#This Row],[C% 1]]))+BetTable[[#This Row],[S1]])</f>
        <v>0</v>
      </c>
      <c r="AA231" s="143">
        <f>(((BetTable[[#This Row],[O2]]-1)*BetTable[[#This Row],[S2]])*(1-(BetTable[[#This Row],[C% 2]]))+BetTable[[#This Row],[S2]])</f>
        <v>0</v>
      </c>
      <c r="AB231" s="143">
        <f>(((BetTable[[#This Row],[O3]]-1)*BetTable[[#This Row],[S3]])*(1-(BetTable[[#This Row],[C% 3]]))+BetTable[[#This Row],[S3]])</f>
        <v>0</v>
      </c>
      <c r="AC231" s="147" t="str">
        <f>IFERROR(IF(BetTable[[#This Row],[Sp]]="","",BetTable[[#This Row],[R1]]/BetTable[[#This Row],[TS]]),"")</f>
        <v/>
      </c>
      <c r="AD231" s="147" t="str">
        <f>IF(BetTable[[#This Row],[O2]]="","",BetTable[[#This Row],[R2]]/BetTable[[#This Row],[TS]])</f>
        <v/>
      </c>
      <c r="AE231" s="147" t="str">
        <f>IFERROR(IF(BetTable[[#This Row],[Sp]]="","",BetTable[[#This Row],[R3]]/BetTable[[#This Row],[TS]]),"")</f>
        <v/>
      </c>
      <c r="AF231" s="147" t="str">
        <f>IFERROR(IF(BetTable[[#This Row],[Outcome1]]="","",BetTable[[#This Row],[AR]]/BetTable[[#This Row],[TS]]),"")</f>
        <v/>
      </c>
      <c r="AG231"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31"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31"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31" s="57" t="e">
        <f>IF(BetTable[[#This Row],[Outcome1]]="",AJ230,BetTable[[#This Row],[AR]]+AJ230)</f>
        <v>#REF!</v>
      </c>
      <c r="AK231" s="39"/>
    </row>
    <row r="232" spans="1:37">
      <c r="A232" s="144"/>
      <c r="B232" s="39"/>
      <c r="C232" s="40"/>
      <c r="D232" s="40"/>
      <c r="E232" s="40"/>
      <c r="F232" s="152"/>
      <c r="G232" s="152"/>
      <c r="H232" s="152"/>
      <c r="I232" s="39"/>
      <c r="J232" s="54"/>
      <c r="K232" s="54"/>
      <c r="L232" s="54"/>
      <c r="M232" s="57"/>
      <c r="N232" s="57"/>
      <c r="O232" s="57"/>
      <c r="P232" s="55"/>
      <c r="Q232" s="55"/>
      <c r="R232" s="55"/>
      <c r="S232" s="146" t="str">
        <f>IF(BetTable[[#This Row],[Sp]]="","",BetTable[[#This Row],[S1]]+BetTable[[#This Row],[S2]]+BetTable[[#This Row],[S3]])</f>
        <v/>
      </c>
      <c r="T232" s="143" t="str">
        <f>IF(BetTable[[#This Row],[O1]]="","",(BetTable[[#This Row],[WBA1-Commission]])-BetTable[[#This Row],[TS]])</f>
        <v/>
      </c>
      <c r="U232" s="143" t="str">
        <f>IF(BetTable[[#This Row],[O2]]="","",(BetTable[[#This Row],[WBA2-Commission]])-BetTable[[#This Row],[TS]])</f>
        <v/>
      </c>
      <c r="V232" s="143" t="str">
        <f>IF(BetTable[[#This Row],[O3]]="","",(BetTable[[#This Row],[WBA3-Commission]])-BetTable[[#This Row],[TS]])</f>
        <v/>
      </c>
      <c r="W232" s="143">
        <f>IF(NOT(ISBLANK(BetTable[[#This Row],[B1]])),1,0)+IF(NOT(ISBLANK(BetTable[[#This Row],[B2]])),1,0)+IF(NOT(ISBLANK(BetTable[[#This Row],[B3]])),1,0)</f>
        <v>0</v>
      </c>
      <c r="X232" s="143" t="str">
        <f>IF(BetTable[[#This Row],[Outcome1]]="","",BetTable[[#This Row],[WBA1]]+BetTable[[#This Row],[WBA2]]+BetTable[[#This Row],[WBA3]]-BetTable[[#This Row],[TS]])</f>
        <v/>
      </c>
      <c r="Y232" s="143" t="str">
        <f>IF(BetTable[[#This Row],[AR]]="","",BetTable[[#This Row],[AR]]/BetTable[[#This Row],[NumBookies]])</f>
        <v/>
      </c>
      <c r="Z232" s="143">
        <f>(((BetTable[[#This Row],[O1]]-1)*BetTable[[#This Row],[S1]])*(1-(BetTable[[#This Row],[C% 1]]))+BetTable[[#This Row],[S1]])</f>
        <v>0</v>
      </c>
      <c r="AA232" s="143">
        <f>(((BetTable[[#This Row],[O2]]-1)*BetTable[[#This Row],[S2]])*(1-(BetTable[[#This Row],[C% 2]]))+BetTable[[#This Row],[S2]])</f>
        <v>0</v>
      </c>
      <c r="AB232" s="143">
        <f>(((BetTable[[#This Row],[O3]]-1)*BetTable[[#This Row],[S3]])*(1-(BetTable[[#This Row],[C% 3]]))+BetTable[[#This Row],[S3]])</f>
        <v>0</v>
      </c>
      <c r="AC232" s="147" t="str">
        <f>IFERROR(IF(BetTable[[#This Row],[Sp]]="","",BetTable[[#This Row],[R1]]/BetTable[[#This Row],[TS]]),"")</f>
        <v/>
      </c>
      <c r="AD232" s="147" t="str">
        <f>IF(BetTable[[#This Row],[O2]]="","",BetTable[[#This Row],[R2]]/BetTable[[#This Row],[TS]])</f>
        <v/>
      </c>
      <c r="AE232" s="147" t="str">
        <f>IFERROR(IF(BetTable[[#This Row],[Sp]]="","",BetTable[[#This Row],[R3]]/BetTable[[#This Row],[TS]]),"")</f>
        <v/>
      </c>
      <c r="AF232" s="147" t="str">
        <f>IFERROR(IF(BetTable[[#This Row],[Outcome1]]="","",BetTable[[#This Row],[AR]]/BetTable[[#This Row],[TS]]),"")</f>
        <v/>
      </c>
      <c r="AG232"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32"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32"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32" s="57" t="e">
        <f>IF(BetTable[[#This Row],[Outcome1]]="",AJ231,BetTable[[#This Row],[AR]]+AJ231)</f>
        <v>#REF!</v>
      </c>
      <c r="AK232" s="39"/>
    </row>
    <row r="233" spans="1:37">
      <c r="A233" s="144"/>
      <c r="B233" s="39"/>
      <c r="C233" s="40"/>
      <c r="D233" s="40"/>
      <c r="E233" s="40"/>
      <c r="F233" s="152"/>
      <c r="G233" s="152"/>
      <c r="H233" s="152"/>
      <c r="I233" s="39"/>
      <c r="J233" s="54"/>
      <c r="K233" s="54"/>
      <c r="L233" s="54"/>
      <c r="M233" s="57"/>
      <c r="N233" s="57"/>
      <c r="O233" s="57"/>
      <c r="P233" s="55"/>
      <c r="Q233" s="55"/>
      <c r="R233" s="55"/>
      <c r="S233" s="146" t="str">
        <f>IF(BetTable[[#This Row],[Sp]]="","",BetTable[[#This Row],[S1]]+BetTable[[#This Row],[S2]]+BetTable[[#This Row],[S3]])</f>
        <v/>
      </c>
      <c r="T233" s="143" t="str">
        <f>IF(BetTable[[#This Row],[O1]]="","",(BetTable[[#This Row],[WBA1-Commission]])-BetTable[[#This Row],[TS]])</f>
        <v/>
      </c>
      <c r="U233" s="143" t="str">
        <f>IF(BetTable[[#This Row],[O2]]="","",(BetTable[[#This Row],[WBA2-Commission]])-BetTable[[#This Row],[TS]])</f>
        <v/>
      </c>
      <c r="V233" s="143" t="str">
        <f>IF(BetTable[[#This Row],[O3]]="","",(BetTable[[#This Row],[WBA3-Commission]])-BetTable[[#This Row],[TS]])</f>
        <v/>
      </c>
      <c r="W233" s="143">
        <f>IF(NOT(ISBLANK(BetTable[[#This Row],[B1]])),1,0)+IF(NOT(ISBLANK(BetTable[[#This Row],[B2]])),1,0)+IF(NOT(ISBLANK(BetTable[[#This Row],[B3]])),1,0)</f>
        <v>0</v>
      </c>
      <c r="X233" s="143" t="str">
        <f>IF(BetTable[[#This Row],[Outcome1]]="","",BetTable[[#This Row],[WBA1]]+BetTable[[#This Row],[WBA2]]+BetTable[[#This Row],[WBA3]]-BetTable[[#This Row],[TS]])</f>
        <v/>
      </c>
      <c r="Y233" s="143" t="str">
        <f>IF(BetTable[[#This Row],[AR]]="","",BetTable[[#This Row],[AR]]/BetTable[[#This Row],[NumBookies]])</f>
        <v/>
      </c>
      <c r="Z233" s="143">
        <f>(((BetTable[[#This Row],[O1]]-1)*BetTable[[#This Row],[S1]])*(1-(BetTable[[#This Row],[C% 1]]))+BetTable[[#This Row],[S1]])</f>
        <v>0</v>
      </c>
      <c r="AA233" s="143">
        <f>(((BetTable[[#This Row],[O2]]-1)*BetTable[[#This Row],[S2]])*(1-(BetTable[[#This Row],[C% 2]]))+BetTable[[#This Row],[S2]])</f>
        <v>0</v>
      </c>
      <c r="AB233" s="143">
        <f>(((BetTable[[#This Row],[O3]]-1)*BetTable[[#This Row],[S3]])*(1-(BetTable[[#This Row],[C% 3]]))+BetTable[[#This Row],[S3]])</f>
        <v>0</v>
      </c>
      <c r="AC233" s="147" t="str">
        <f>IFERROR(IF(BetTable[[#This Row],[Sp]]="","",BetTable[[#This Row],[R1]]/BetTable[[#This Row],[TS]]),"")</f>
        <v/>
      </c>
      <c r="AD233" s="147" t="str">
        <f>IF(BetTable[[#This Row],[O2]]="","",BetTable[[#This Row],[R2]]/BetTable[[#This Row],[TS]])</f>
        <v/>
      </c>
      <c r="AE233" s="147" t="str">
        <f>IFERROR(IF(BetTable[[#This Row],[Sp]]="","",BetTable[[#This Row],[R3]]/BetTable[[#This Row],[TS]]),"")</f>
        <v/>
      </c>
      <c r="AF233" s="147" t="str">
        <f>IFERROR(IF(BetTable[[#This Row],[Outcome1]]="","",BetTable[[#This Row],[AR]]/BetTable[[#This Row],[TS]]),"")</f>
        <v/>
      </c>
      <c r="AG233" s="57">
        <f>IF(BetTable[[#This Row],[Outcome1]]="Win",BetTable[WBA1-Commission],IF(BetTable[[#This Row],[Outcome1]]="Win Half Stake",(BetTable[[#This Row],[S1]]/2)+BetTable[[#This Row],[WBA1-Commission]]/2,IF(BetTable[[#This Row],[Outcome1]]="Lose Half Stake",BetTable[[#This Row],[S1]]/2,IF(BetTable[[#This Row],[Outcome1]]="Lose",0,IF(BetTable[[#This Row],[Outcome1]]="Void",BetTable[S1],)))))</f>
        <v>0</v>
      </c>
      <c r="AH233" s="57">
        <f>IF(BetTable[[#This Row],[Outcome2]]="Win",BetTable[WBA2-Commission],IF(BetTable[[#This Row],[Outcome2]]="Win Half Stake",(BetTable[[#This Row],[S2]]/2)+BetTable[[#This Row],[WBA2-Commission]]/2,IF(BetTable[[#This Row],[Outcome2]]="Lose Half Stake",BetTable[[#This Row],[S2]]/2,IF(BetTable[[#This Row],[Outcome2]]="Lose",0,IF(BetTable[[#This Row],[Outcome2]]="Void",BetTable[S2],)))))</f>
        <v>0</v>
      </c>
      <c r="AI233" s="57">
        <f>IF(BetTable[[#This Row],[Outcome3]]="Win",BetTable[WBA3-Commission],IF(BetTable[[#This Row],[Outcome3]]="Win Half Stake",(BetTable[[#This Row],[S3]]/2)+BetTable[[#This Row],[WBA3-Commission]]/2,IF(BetTable[[#This Row],[Outcome3]]="Lose Half Stake",BetTable[[#This Row],[S3]]/2,IF(BetTable[[#This Row],[Outcome3]]="Lose",0,IF(BetTable[[#This Row],[Outcome3]]="Void",BetTable[S3],)))))</f>
        <v>0</v>
      </c>
      <c r="AJ233" s="57" t="e">
        <f>IF(BetTable[[#This Row],[Outcome1]]="",AJ232,BetTable[[#This Row],[AR]]+AJ232)</f>
        <v>#REF!</v>
      </c>
      <c r="AK233" s="39"/>
    </row>
  </sheetData>
  <phoneticPr fontId="68" type="noConversion"/>
  <conditionalFormatting sqref="P2:R14 P16:R233">
    <cfRule type="containsBlanks" dxfId="60" priority="20">
      <formula>LEN(TRIM(P2))=0</formula>
    </cfRule>
  </conditionalFormatting>
  <conditionalFormatting sqref="T2:AF233">
    <cfRule type="cellIs" dxfId="59" priority="18" operator="greaterThanOrEqual">
      <formula>0</formula>
    </cfRule>
    <cfRule type="cellIs" dxfId="58" priority="19" operator="lessThan">
      <formula>0</formula>
    </cfRule>
  </conditionalFormatting>
  <conditionalFormatting sqref="P66:R66">
    <cfRule type="containsBlanks" dxfId="57" priority="16">
      <formula>LEN(TRIM(P66))=0</formula>
    </cfRule>
  </conditionalFormatting>
  <conditionalFormatting sqref="T66:AF66">
    <cfRule type="cellIs" dxfId="56" priority="14" operator="greaterThanOrEqual">
      <formula>0</formula>
    </cfRule>
    <cfRule type="cellIs" dxfId="55" priority="15" operator="lessThan">
      <formula>0</formula>
    </cfRule>
  </conditionalFormatting>
  <conditionalFormatting sqref="P15:R15">
    <cfRule type="containsBlanks" dxfId="54" priority="13">
      <formula>LEN(TRIM(P15))=0</formula>
    </cfRule>
  </conditionalFormatting>
  <dataValidations count="3">
    <dataValidation type="list" allowBlank="1" showInputMessage="1" showErrorMessage="1" sqref="B60:B62 B64:B233 B2:B24" xr:uid="{00000000-0002-0000-0E00-000001000000}">
      <formula1>ListSports</formula1>
    </dataValidation>
    <dataValidation type="list" allowBlank="1" showInputMessage="1" showErrorMessage="1" sqref="C60:E62 C64:E233 C2:E24" xr:uid="{00000000-0002-0000-0E00-000002000000}">
      <formula1>ListBookies</formula1>
    </dataValidation>
    <dataValidation type="list" allowBlank="1" showInputMessage="1" showErrorMessage="1" sqref="P2:R233" xr:uid="{00000000-0002-0000-0E00-000000000000}">
      <formula1>"Win,Win Half Stake,Lose Half Stake,Lose,Void"</formula1>
    </dataValidation>
  </dataValidations>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410" id="{ED16FFD1-BE8C-4421-88A8-FCC6132E72EF}">
            <xm:f>IF(SUMPRODUCT(-- (C2 =BookieNavn!$I$2:$I$279)) &gt; 0, 0, 1)</xm:f>
            <x14:dxf>
              <fill>
                <patternFill>
                  <bgColor rgb="FF00B0F0"/>
                </patternFill>
              </fill>
            </x14:dxf>
          </x14:cfRule>
          <xm:sqref>C2:E800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I159"/>
  <sheetViews>
    <sheetView workbookViewId="0">
      <selection activeCell="L21" sqref="L21"/>
    </sheetView>
  </sheetViews>
  <sheetFormatPr baseColWidth="10" defaultColWidth="8.83203125" defaultRowHeight="15"/>
  <cols>
    <col min="2" max="2" width="13.5" style="66" customWidth="1"/>
    <col min="3" max="3" width="11.33203125" style="66" bestFit="1" customWidth="1"/>
    <col min="4" max="4" width="1.6640625" style="66" customWidth="1"/>
    <col min="5" max="5" width="8.83203125" style="66"/>
    <col min="6" max="6" width="14.5" style="66" customWidth="1"/>
    <col min="7" max="7" width="2.6640625" style="66" customWidth="1"/>
    <col min="8" max="8" width="19.33203125" style="66" bestFit="1" customWidth="1"/>
    <col min="9" max="9" width="16.33203125" style="66" bestFit="1" customWidth="1"/>
  </cols>
  <sheetData>
    <row r="1" spans="2:9">
      <c r="B1" s="65" t="s">
        <v>85</v>
      </c>
      <c r="C1" s="65">
        <f>SUM(BookieTurnoverBackBets[Turnover])</f>
        <v>0</v>
      </c>
      <c r="D1" s="65"/>
      <c r="E1" s="65" t="s">
        <v>86</v>
      </c>
      <c r="F1" s="65">
        <f>SUM(BookieTurnoverLayBets[Turnover])</f>
        <v>4889.3798999999999</v>
      </c>
      <c r="G1" s="65"/>
      <c r="H1" s="65" t="s">
        <v>87</v>
      </c>
      <c r="I1" s="65">
        <f>C1+F1</f>
        <v>4889.3798999999999</v>
      </c>
    </row>
    <row r="2" spans="2:9">
      <c r="B2" s="66" t="s">
        <v>88</v>
      </c>
      <c r="E2" s="66" t="s">
        <v>89</v>
      </c>
      <c r="H2" s="66" t="s">
        <v>90</v>
      </c>
    </row>
    <row r="3" spans="2:9">
      <c r="B3" s="66" t="s">
        <v>15</v>
      </c>
      <c r="C3" s="66" t="s">
        <v>31</v>
      </c>
      <c r="E3" s="66" t="s">
        <v>15</v>
      </c>
      <c r="F3" s="66" t="s">
        <v>31</v>
      </c>
      <c r="H3" s="66" t="s">
        <v>15</v>
      </c>
      <c r="I3" s="66" t="s">
        <v>30</v>
      </c>
    </row>
    <row r="4" spans="2:9">
      <c r="B4" s="66" t="str">
        <f>IFERROR(VLOOKUP(ROW()-3,BookieName[#Data],3,FALSE),"")</f>
        <v>Smarkets</v>
      </c>
      <c r="C4" s="66">
        <f>SUMIF(BetTable[B1],VLOOKUP(ROW()-3,BookieName[#Data],2,FALSE),BetTable[S1])+SUMIF(BetTable[B2],VLOOKUP(ROW()-3,BookieName[#Data],2,FALSE),BetTable[S2])+SUMIF(BetTable[B3],VLOOKUP(ROW()-3,BookieName[#Data],2,FALSE),BetTable[S3])</f>
        <v>0</v>
      </c>
      <c r="E4" s="66" t="str">
        <f>IFERROR(VLOOKUP(ROW()-3,BookieName[#Data],3,FALSE),"")</f>
        <v>Smarkets</v>
      </c>
      <c r="F4" s="66">
        <f>SUMIF(LayTable[Bookmaker],VLOOKUP(ROW()-3,BookieName[#Data],2,FALSE),LayTable[BookieInnsats])+SUMIF(LayTable[Lay-bookie],VLOOKUP(ROW()-3,BookieName[#Data],2,FALSE),LayTable[LayLiability])</f>
        <v>2090.1608000000001</v>
      </c>
      <c r="H4" s="66" t="str">
        <f>IFERROR(VLOOKUP(ROW()-3,BookieName[#Data],3,FALSE),"")</f>
        <v>Smarkets</v>
      </c>
      <c r="I4" s="66">
        <f>BookieTurnoverBackBets[[#This Row],[Turnover]]+BookieTurnoverLayBets[[#This Row],[Turnover]]</f>
        <v>2090.1608000000001</v>
      </c>
    </row>
    <row r="5" spans="2:9">
      <c r="B5" s="66" t="str">
        <f>IFERROR(VLOOKUP(ROW()-3,BookieName[#Data],3,FALSE),"")</f>
        <v>888Sports</v>
      </c>
      <c r="C5" s="66">
        <f>SUMIF(BetTable[B1],VLOOKUP(ROW()-3,BookieName[#Data],2,FALSE),BetTable[S1])+SUMIF(BetTable[B2],VLOOKUP(ROW()-3,BookieName[#Data],2,FALSE),BetTable[S2])+SUMIF(BetTable[B3],VLOOKUP(ROW()-3,BookieName[#Data],2,FALSE),BetTable[S3])</f>
        <v>0</v>
      </c>
      <c r="E5" s="66" t="str">
        <f>IFERROR(VLOOKUP(ROW()-3,BookieName[#Data],3,FALSE),"")</f>
        <v>888Sports</v>
      </c>
      <c r="F5" s="66">
        <f>SUMIF(LayTable[Bookmaker],VLOOKUP(ROW()-3,BookieName[#Data],2,FALSE),LayTable[BookieInnsats])+SUMIF(LayTable[Lay-bookie],VLOOKUP(ROW()-3,BookieName[#Data],2,FALSE),LayTable[LayLiability])</f>
        <v>0</v>
      </c>
      <c r="H5" s="66" t="str">
        <f>IFERROR(VLOOKUP(ROW()-3,BookieName[#Data],3,FALSE),"")</f>
        <v>888Sports</v>
      </c>
      <c r="I5" s="66">
        <f>BookieTurnoverBackBets[[#This Row],[Turnover]]+BookieTurnoverLayBets[[#This Row],[Turnover]]</f>
        <v>0</v>
      </c>
    </row>
    <row r="6" spans="2:9">
      <c r="B6" s="66" t="str">
        <f>IFERROR(VLOOKUP(ROW()-3,BookieName[#Data],3,FALSE),"")</f>
        <v>Bet21</v>
      </c>
      <c r="C6" s="66">
        <f>SUMIF(BetTable[B1],VLOOKUP(ROW()-3,BookieName[#Data],2,FALSE),BetTable[S1])+SUMIF(BetTable[B2],VLOOKUP(ROW()-3,BookieName[#Data],2,FALSE),BetTable[S2])+SUMIF(BetTable[B3],VLOOKUP(ROW()-3,BookieName[#Data],2,FALSE),BetTable[S3])</f>
        <v>0</v>
      </c>
      <c r="E6" s="66" t="str">
        <f>IFERROR(VLOOKUP(ROW()-3,BookieName[#Data],3,FALSE),"")</f>
        <v>Bet21</v>
      </c>
      <c r="F6" s="66">
        <f>SUMIF(LayTable[Bookmaker],VLOOKUP(ROW()-3,BookieName[#Data],2,FALSE),LayTable[BookieInnsats])+SUMIF(LayTable[Lay-bookie],VLOOKUP(ROW()-3,BookieName[#Data],2,FALSE),LayTable[LayLiability])</f>
        <v>0</v>
      </c>
      <c r="H6" s="66" t="str">
        <f>IFERROR(VLOOKUP(ROW()-3,BookieName[#Data],3,FALSE),"")</f>
        <v>Bet21</v>
      </c>
      <c r="I6" s="66">
        <f>BookieTurnoverBackBets[[#This Row],[Turnover]]+BookieTurnoverLayBets[[#This Row],[Turnover]]</f>
        <v>0</v>
      </c>
    </row>
    <row r="7" spans="2:9">
      <c r="B7" s="66" t="str">
        <f>IFERROR(VLOOKUP(ROW()-3,BookieName[#Data],3,FALSE),"")</f>
        <v>Bet365</v>
      </c>
      <c r="C7" s="66">
        <f>SUMIF(BetTable[B1],VLOOKUP(ROW()-3,BookieName[#Data],2,FALSE),BetTable[S1])+SUMIF(BetTable[B2],VLOOKUP(ROW()-3,BookieName[#Data],2,FALSE),BetTable[S2])+SUMIF(BetTable[B3],VLOOKUP(ROW()-3,BookieName[#Data],2,FALSE),BetTable[S3])</f>
        <v>0</v>
      </c>
      <c r="E7" s="66" t="str">
        <f>IFERROR(VLOOKUP(ROW()-3,BookieName[#Data],3,FALSE),"")</f>
        <v>Bet365</v>
      </c>
      <c r="F7" s="66">
        <f>SUMIF(LayTable[Bookmaker],VLOOKUP(ROW()-3,BookieName[#Data],2,FALSE),LayTable[BookieInnsats])+SUMIF(LayTable[Lay-bookie],VLOOKUP(ROW()-3,BookieName[#Data],2,FALSE),LayTable[LayLiability])</f>
        <v>0</v>
      </c>
      <c r="H7" s="66" t="str">
        <f>IFERROR(VLOOKUP(ROW()-3,BookieName[#Data],3,FALSE),"")</f>
        <v>Bet365</v>
      </c>
      <c r="I7" s="66">
        <f>BookieTurnoverBackBets[[#This Row],[Turnover]]+BookieTurnoverLayBets[[#This Row],[Turnover]]</f>
        <v>0</v>
      </c>
    </row>
    <row r="8" spans="2:9">
      <c r="B8" s="66" t="str">
        <f>IFERROR(VLOOKUP(ROW()-3,BookieName[#Data],3,FALSE),"")</f>
        <v>Bet777</v>
      </c>
      <c r="C8" s="66">
        <f>SUMIF(BetTable[B1],VLOOKUP(ROW()-3,BookieName[#Data],2,FALSE),BetTable[S1])+SUMIF(BetTable[B2],VLOOKUP(ROW()-3,BookieName[#Data],2,FALSE),BetTable[S2])+SUMIF(BetTable[B3],VLOOKUP(ROW()-3,BookieName[#Data],2,FALSE),BetTable[S3])</f>
        <v>0</v>
      </c>
      <c r="E8" s="66" t="str">
        <f>IFERROR(VLOOKUP(ROW()-3,BookieName[#Data],3,FALSE),"")</f>
        <v>Bet777</v>
      </c>
      <c r="F8" s="66">
        <f>SUMIF(LayTable[Bookmaker],VLOOKUP(ROW()-3,BookieName[#Data],2,FALSE),LayTable[BookieInnsats])+SUMIF(LayTable[Lay-bookie],VLOOKUP(ROW()-3,BookieName[#Data],2,FALSE),LayTable[LayLiability])</f>
        <v>0</v>
      </c>
      <c r="H8" s="66" t="str">
        <f>IFERROR(VLOOKUP(ROW()-3,BookieName[#Data],3,FALSE),"")</f>
        <v>Bet777</v>
      </c>
      <c r="I8" s="66">
        <f>BookieTurnoverBackBets[[#This Row],[Turnover]]+BookieTurnoverLayBets[[#This Row],[Turnover]]</f>
        <v>0</v>
      </c>
    </row>
    <row r="9" spans="2:9">
      <c r="B9" s="66" t="str">
        <f>IFERROR(VLOOKUP(ROW()-3,BookieName[#Data],3,FALSE),"")</f>
        <v>Bet90</v>
      </c>
      <c r="C9" s="66">
        <f>SUMIF(BetTable[B1],VLOOKUP(ROW()-3,BookieName[#Data],2,FALSE),BetTable[S1])+SUMIF(BetTable[B2],VLOOKUP(ROW()-3,BookieName[#Data],2,FALSE),BetTable[S2])+SUMIF(BetTable[B3],VLOOKUP(ROW()-3,BookieName[#Data],2,FALSE),BetTable[S3])</f>
        <v>0</v>
      </c>
      <c r="E9" s="66" t="str">
        <f>IFERROR(VLOOKUP(ROW()-3,BookieName[#Data],3,FALSE),"")</f>
        <v>Bet90</v>
      </c>
      <c r="F9" s="66">
        <f>SUMIF(LayTable[Bookmaker],VLOOKUP(ROW()-3,BookieName[#Data],2,FALSE),LayTable[BookieInnsats])+SUMIF(LayTable[Lay-bookie],VLOOKUP(ROW()-3,BookieName[#Data],2,FALSE),LayTable[LayLiability])</f>
        <v>0</v>
      </c>
      <c r="H9" s="66" t="str">
        <f>IFERROR(VLOOKUP(ROW()-3,BookieName[#Data],3,FALSE),"")</f>
        <v>Bet90</v>
      </c>
      <c r="I9" s="66">
        <f>BookieTurnoverBackBets[[#This Row],[Turnover]]+BookieTurnoverLayBets[[#This Row],[Turnover]]</f>
        <v>0</v>
      </c>
    </row>
    <row r="10" spans="2:9">
      <c r="B10" s="66" t="str">
        <f>IFERROR(VLOOKUP(ROW()-3,BookieName[#Data],3,FALSE),"")</f>
        <v>Betboro</v>
      </c>
      <c r="C10" s="66">
        <f>SUMIF(BetTable[B1],VLOOKUP(ROW()-3,BookieName[#Data],2,FALSE),BetTable[S1])+SUMIF(BetTable[B2],VLOOKUP(ROW()-3,BookieName[#Data],2,FALSE),BetTable[S2])+SUMIF(BetTable[B3],VLOOKUP(ROW()-3,BookieName[#Data],2,FALSE),BetTable[S3])</f>
        <v>0</v>
      </c>
      <c r="E10" s="66" t="str">
        <f>IFERROR(VLOOKUP(ROW()-3,BookieName[#Data],3,FALSE),"")</f>
        <v>Betboro</v>
      </c>
      <c r="F10" s="66">
        <f>SUMIF(LayTable[Bookmaker],VLOOKUP(ROW()-3,BookieName[#Data],2,FALSE),LayTable[BookieInnsats])+SUMIF(LayTable[Lay-bookie],VLOOKUP(ROW()-3,BookieName[#Data],2,FALSE),LayTable[LayLiability])</f>
        <v>0</v>
      </c>
      <c r="H10" s="66" t="str">
        <f>IFERROR(VLOOKUP(ROW()-3,BookieName[#Data],3,FALSE),"")</f>
        <v>Betboro</v>
      </c>
      <c r="I10" s="66">
        <f>BookieTurnoverBackBets[[#This Row],[Turnover]]+BookieTurnoverLayBets[[#This Row],[Turnover]]</f>
        <v>0</v>
      </c>
    </row>
    <row r="11" spans="2:9">
      <c r="B11" s="66" t="str">
        <f>IFERROR(VLOOKUP(ROW()-3,BookieName[#Data],3,FALSE),"")</f>
        <v>Betfair</v>
      </c>
      <c r="C11" s="66">
        <f>SUMIF(BetTable[B1],VLOOKUP(ROW()-3,BookieName[#Data],2,FALSE),BetTable[S1])+SUMIF(BetTable[B2],VLOOKUP(ROW()-3,BookieName[#Data],2,FALSE),BetTable[S2])+SUMIF(BetTable[B3],VLOOKUP(ROW()-3,BookieName[#Data],2,FALSE),BetTable[S3])</f>
        <v>0</v>
      </c>
      <c r="E11" s="66" t="str">
        <f>IFERROR(VLOOKUP(ROW()-3,BookieName[#Data],3,FALSE),"")</f>
        <v>Betfair</v>
      </c>
      <c r="F11" s="66">
        <f>SUMIF(LayTable[Bookmaker],VLOOKUP(ROW()-3,BookieName[#Data],2,FALSE),LayTable[BookieInnsats])+SUMIF(LayTable[Lay-bookie],VLOOKUP(ROW()-3,BookieName[#Data],2,FALSE),LayTable[LayLiability])</f>
        <v>599.21910000000003</v>
      </c>
      <c r="H11" s="66" t="str">
        <f>IFERROR(VLOOKUP(ROW()-3,BookieName[#Data],3,FALSE),"")</f>
        <v>Betfair</v>
      </c>
      <c r="I11" s="66">
        <f>BookieTurnoverBackBets[[#This Row],[Turnover]]+BookieTurnoverLayBets[[#This Row],[Turnover]]</f>
        <v>599.21910000000003</v>
      </c>
    </row>
    <row r="12" spans="2:9">
      <c r="B12" s="66" t="str">
        <f>IFERROR(VLOOKUP(ROW()-3,BookieName[#Data],3,FALSE),"")</f>
        <v>Betfinal</v>
      </c>
      <c r="C12" s="66">
        <f>SUMIF(BetTable[B1],VLOOKUP(ROW()-3,BookieName[#Data],2,FALSE),BetTable[S1])+SUMIF(BetTable[B2],VLOOKUP(ROW()-3,BookieName[#Data],2,FALSE),BetTable[S2])+SUMIF(BetTable[B3],VLOOKUP(ROW()-3,BookieName[#Data],2,FALSE),BetTable[S3])</f>
        <v>0</v>
      </c>
      <c r="E12" s="66" t="str">
        <f>IFERROR(VLOOKUP(ROW()-3,BookieName[#Data],3,FALSE),"")</f>
        <v>Betfinal</v>
      </c>
      <c r="F12" s="66">
        <f>SUMIF(LayTable[Bookmaker],VLOOKUP(ROW()-3,BookieName[#Data],2,FALSE),LayTable[BookieInnsats])+SUMIF(LayTable[Lay-bookie],VLOOKUP(ROW()-3,BookieName[#Data],2,FALSE),LayTable[LayLiability])</f>
        <v>0</v>
      </c>
      <c r="H12" s="66" t="str">
        <f>IFERROR(VLOOKUP(ROW()-3,BookieName[#Data],3,FALSE),"")</f>
        <v>Betfinal</v>
      </c>
      <c r="I12" s="66">
        <f>BookieTurnoverBackBets[[#This Row],[Turnover]]+BookieTurnoverLayBets[[#This Row],[Turnover]]</f>
        <v>0</v>
      </c>
    </row>
    <row r="13" spans="2:9">
      <c r="B13" s="66" t="str">
        <f>IFERROR(VLOOKUP(ROW()-3,BookieName[#Data],3,FALSE),"")</f>
        <v>Bethard</v>
      </c>
      <c r="C13" s="66">
        <f>SUMIF(BetTable[B1],VLOOKUP(ROW()-3,BookieName[#Data],2,FALSE),BetTable[S1])+SUMIF(BetTable[B2],VLOOKUP(ROW()-3,BookieName[#Data],2,FALSE),BetTable[S2])+SUMIF(BetTable[B3],VLOOKUP(ROW()-3,BookieName[#Data],2,FALSE),BetTable[S3])</f>
        <v>0</v>
      </c>
      <c r="E13" s="66" t="str">
        <f>IFERROR(VLOOKUP(ROW()-3,BookieName[#Data],3,FALSE),"")</f>
        <v>Bethard</v>
      </c>
      <c r="F13" s="66">
        <f>SUMIF(LayTable[Bookmaker],VLOOKUP(ROW()-3,BookieName[#Data],2,FALSE),LayTable[BookieInnsats])+SUMIF(LayTable[Lay-bookie],VLOOKUP(ROW()-3,BookieName[#Data],2,FALSE),LayTable[LayLiability])</f>
        <v>0</v>
      </c>
      <c r="H13" s="66" t="str">
        <f>IFERROR(VLOOKUP(ROW()-3,BookieName[#Data],3,FALSE),"")</f>
        <v>Bethard</v>
      </c>
      <c r="I13" s="66">
        <f>BookieTurnoverBackBets[[#This Row],[Turnover]]+BookieTurnoverLayBets[[#This Row],[Turnover]]</f>
        <v>0</v>
      </c>
    </row>
    <row r="14" spans="2:9">
      <c r="B14" s="66" t="str">
        <f>IFERROR(VLOOKUP(ROW()-3,BookieName[#Data],3,FALSE),"")</f>
        <v>Betive</v>
      </c>
      <c r="C14" s="66">
        <f>SUMIF(BetTable[B1],VLOOKUP(ROW()-3,BookieName[#Data],2,FALSE),BetTable[S1])+SUMIF(BetTable[B2],VLOOKUP(ROW()-3,BookieName[#Data],2,FALSE),BetTable[S2])+SUMIF(BetTable[B3],VLOOKUP(ROW()-3,BookieName[#Data],2,FALSE),BetTable[S3])</f>
        <v>0</v>
      </c>
      <c r="E14" s="66" t="str">
        <f>IFERROR(VLOOKUP(ROW()-3,BookieName[#Data],3,FALSE),"")</f>
        <v>Betive</v>
      </c>
      <c r="F14" s="66">
        <f>SUMIF(LayTable[Bookmaker],VLOOKUP(ROW()-3,BookieName[#Data],2,FALSE),LayTable[BookieInnsats])+SUMIF(LayTable[Lay-bookie],VLOOKUP(ROW()-3,BookieName[#Data],2,FALSE),LayTable[LayLiability])</f>
        <v>0</v>
      </c>
      <c r="H14" s="66" t="str">
        <f>IFERROR(VLOOKUP(ROW()-3,BookieName[#Data],3,FALSE),"")</f>
        <v>Betive</v>
      </c>
      <c r="I14" s="66">
        <f>BookieTurnoverBackBets[[#This Row],[Turnover]]+BookieTurnoverLayBets[[#This Row],[Turnover]]</f>
        <v>0</v>
      </c>
    </row>
    <row r="15" spans="2:9">
      <c r="B15" s="66" t="str">
        <f>IFERROR(VLOOKUP(ROW()-3,BookieName[#Data],3,FALSE),"")</f>
        <v>Betsafe</v>
      </c>
      <c r="C15" s="66">
        <f>SUMIF(BetTable[B1],VLOOKUP(ROW()-3,BookieName[#Data],2,FALSE),BetTable[S1])+SUMIF(BetTable[B2],VLOOKUP(ROW()-3,BookieName[#Data],2,FALSE),BetTable[S2])+SUMIF(BetTable[B3],VLOOKUP(ROW()-3,BookieName[#Data],2,FALSE),BetTable[S3])</f>
        <v>0</v>
      </c>
      <c r="E15" s="66" t="str">
        <f>IFERROR(VLOOKUP(ROW()-3,BookieName[#Data],3,FALSE),"")</f>
        <v>Betsafe</v>
      </c>
      <c r="F15" s="66">
        <f>SUMIF(LayTable[Bookmaker],VLOOKUP(ROW()-3,BookieName[#Data],2,FALSE),LayTable[BookieInnsats])+SUMIF(LayTable[Lay-bookie],VLOOKUP(ROW()-3,BookieName[#Data],2,FALSE),LayTable[LayLiability])</f>
        <v>0</v>
      </c>
      <c r="H15" s="66" t="str">
        <f>IFERROR(VLOOKUP(ROW()-3,BookieName[#Data],3,FALSE),"")</f>
        <v>Betsafe</v>
      </c>
      <c r="I15" s="66">
        <f>BookieTurnoverBackBets[[#This Row],[Turnover]]+BookieTurnoverLayBets[[#This Row],[Turnover]]</f>
        <v>0</v>
      </c>
    </row>
    <row r="16" spans="2:9">
      <c r="B16" s="66" t="str">
        <f>IFERROR(VLOOKUP(ROW()-3,BookieName[#Data],3,FALSE),"")</f>
        <v>Betser</v>
      </c>
      <c r="C16" s="66">
        <f>SUMIF(BetTable[B1],VLOOKUP(ROW()-3,BookieName[#Data],2,FALSE),BetTable[S1])+SUMIF(BetTable[B2],VLOOKUP(ROW()-3,BookieName[#Data],2,FALSE),BetTable[S2])+SUMIF(BetTable[B3],VLOOKUP(ROW()-3,BookieName[#Data],2,FALSE),BetTable[S3])</f>
        <v>0</v>
      </c>
      <c r="E16" s="66" t="str">
        <f>IFERROR(VLOOKUP(ROW()-3,BookieName[#Data],3,FALSE),"")</f>
        <v>Betser</v>
      </c>
      <c r="F16" s="66">
        <f>SUMIF(LayTable[Bookmaker],VLOOKUP(ROW()-3,BookieName[#Data],2,FALSE),LayTable[BookieInnsats])+SUMIF(LayTable[Lay-bookie],VLOOKUP(ROW()-3,BookieName[#Data],2,FALSE),LayTable[LayLiability])</f>
        <v>0</v>
      </c>
      <c r="H16" s="66" t="str">
        <f>IFERROR(VLOOKUP(ROW()-3,BookieName[#Data],3,FALSE),"")</f>
        <v>Betser</v>
      </c>
      <c r="I16" s="66">
        <f>BookieTurnoverBackBets[[#This Row],[Turnover]]+BookieTurnoverLayBets[[#This Row],[Turnover]]</f>
        <v>0</v>
      </c>
    </row>
    <row r="17" spans="2:9">
      <c r="B17" s="66" t="str">
        <f>IFERROR(VLOOKUP(ROW()-3,BookieName[#Data],3,FALSE),"")</f>
        <v>Betsson</v>
      </c>
      <c r="C17" s="66">
        <f>SUMIF(BetTable[B1],VLOOKUP(ROW()-3,BookieName[#Data],2,FALSE),BetTable[S1])+SUMIF(BetTable[B2],VLOOKUP(ROW()-3,BookieName[#Data],2,FALSE),BetTable[S2])+SUMIF(BetTable[B3],VLOOKUP(ROW()-3,BookieName[#Data],2,FALSE),BetTable[S3])</f>
        <v>0</v>
      </c>
      <c r="E17" s="66" t="str">
        <f>IFERROR(VLOOKUP(ROW()-3,BookieName[#Data],3,FALSE),"")</f>
        <v>Betsson</v>
      </c>
      <c r="F17" s="66">
        <f>SUMIF(LayTable[Bookmaker],VLOOKUP(ROW()-3,BookieName[#Data],2,FALSE),LayTable[BookieInnsats])+SUMIF(LayTable[Lay-bookie],VLOOKUP(ROW()-3,BookieName[#Data],2,FALSE),LayTable[LayLiability])</f>
        <v>0</v>
      </c>
      <c r="H17" s="66" t="str">
        <f>IFERROR(VLOOKUP(ROW()-3,BookieName[#Data],3,FALSE),"")</f>
        <v>Betsson</v>
      </c>
      <c r="I17" s="66">
        <f>BookieTurnoverBackBets[[#This Row],[Turnover]]+BookieTurnoverLayBets[[#This Row],[Turnover]]</f>
        <v>0</v>
      </c>
    </row>
    <row r="18" spans="2:9">
      <c r="B18" s="66" t="str">
        <f>IFERROR(VLOOKUP(ROW()-3,BookieName[#Data],3,FALSE),"")</f>
        <v>Betus</v>
      </c>
      <c r="C18" s="66">
        <f>SUMIF(BetTable[B1],VLOOKUP(ROW()-3,BookieName[#Data],2,FALSE),BetTable[S1])+SUMIF(BetTable[B2],VLOOKUP(ROW()-3,BookieName[#Data],2,FALSE),BetTable[S2])+SUMIF(BetTable[B3],VLOOKUP(ROW()-3,BookieName[#Data],2,FALSE),BetTable[S3])</f>
        <v>0</v>
      </c>
      <c r="E18" s="66" t="str">
        <f>IFERROR(VLOOKUP(ROW()-3,BookieName[#Data],3,FALSE),"")</f>
        <v>Betus</v>
      </c>
      <c r="F18" s="66">
        <f>SUMIF(LayTable[Bookmaker],VLOOKUP(ROW()-3,BookieName[#Data],2,FALSE),LayTable[BookieInnsats])+SUMIF(LayTable[Lay-bookie],VLOOKUP(ROW()-3,BookieName[#Data],2,FALSE),LayTable[LayLiability])</f>
        <v>0</v>
      </c>
      <c r="H18" s="66" t="str">
        <f>IFERROR(VLOOKUP(ROW()-3,BookieName[#Data],3,FALSE),"")</f>
        <v>Betus</v>
      </c>
      <c r="I18" s="66">
        <f>BookieTurnoverBackBets[[#This Row],[Turnover]]+BookieTurnoverLayBets[[#This Row],[Turnover]]</f>
        <v>0</v>
      </c>
    </row>
    <row r="19" spans="2:9">
      <c r="B19" s="66" t="str">
        <f>IFERROR(VLOOKUP(ROW()-3,BookieName[#Data],3,FALSE),"")</f>
        <v>BetVictor</v>
      </c>
      <c r="C19" s="66">
        <f>SUMIF(BetTable[B1],VLOOKUP(ROW()-3,BookieName[#Data],2,FALSE),BetTable[S1])+SUMIF(BetTable[B2],VLOOKUP(ROW()-3,BookieName[#Data],2,FALSE),BetTable[S2])+SUMIF(BetTable[B3],VLOOKUP(ROW()-3,BookieName[#Data],2,FALSE),BetTable[S3])</f>
        <v>0</v>
      </c>
      <c r="E19" s="66" t="str">
        <f>IFERROR(VLOOKUP(ROW()-3,BookieName[#Data],3,FALSE),"")</f>
        <v>BetVictor</v>
      </c>
      <c r="F19" s="66">
        <f>SUMIF(LayTable[Bookmaker],VLOOKUP(ROW()-3,BookieName[#Data],2,FALSE),LayTable[BookieInnsats])+SUMIF(LayTable[Lay-bookie],VLOOKUP(ROW()-3,BookieName[#Data],2,FALSE),LayTable[LayLiability])</f>
        <v>0</v>
      </c>
      <c r="H19" s="66" t="str">
        <f>IFERROR(VLOOKUP(ROW()-3,BookieName[#Data],3,FALSE),"")</f>
        <v>BetVictor</v>
      </c>
      <c r="I19" s="66">
        <f>BookieTurnoverBackBets[[#This Row],[Turnover]]+BookieTurnoverLayBets[[#This Row],[Turnover]]</f>
        <v>0</v>
      </c>
    </row>
    <row r="20" spans="2:9">
      <c r="B20" s="66" t="str">
        <f>IFERROR(VLOOKUP(ROW()-3,BookieName[#Data],3,FALSE),"")</f>
        <v>BetWay</v>
      </c>
      <c r="C20" s="66">
        <f>SUMIF(BetTable[B1],VLOOKUP(ROW()-3,BookieName[#Data],2,FALSE),BetTable[S1])+SUMIF(BetTable[B2],VLOOKUP(ROW()-3,BookieName[#Data],2,FALSE),BetTable[S2])+SUMIF(BetTable[B3],VLOOKUP(ROW()-3,BookieName[#Data],2,FALSE),BetTable[S3])</f>
        <v>0</v>
      </c>
      <c r="E20" s="66" t="str">
        <f>IFERROR(VLOOKUP(ROW()-3,BookieName[#Data],3,FALSE),"")</f>
        <v>BetWay</v>
      </c>
      <c r="F20" s="66">
        <f>SUMIF(LayTable[Bookmaker],VLOOKUP(ROW()-3,BookieName[#Data],2,FALSE),LayTable[BookieInnsats])+SUMIF(LayTable[Lay-bookie],VLOOKUP(ROW()-3,BookieName[#Data],2,FALSE),LayTable[LayLiability])</f>
        <v>0</v>
      </c>
      <c r="H20" s="66" t="str">
        <f>IFERROR(VLOOKUP(ROW()-3,BookieName[#Data],3,FALSE),"")</f>
        <v>BetWay</v>
      </c>
      <c r="I20" s="66">
        <f>BookieTurnoverBackBets[[#This Row],[Turnover]]+BookieTurnoverLayBets[[#This Row],[Turnover]]</f>
        <v>0</v>
      </c>
    </row>
    <row r="21" spans="2:9">
      <c r="B21" s="66" t="str">
        <f>IFERROR(VLOOKUP(ROW()-3,BookieName[#Data],3,FALSE),"")</f>
        <v>Casinostugan</v>
      </c>
      <c r="C21" s="66">
        <f>SUMIF(BetTable[B1],VLOOKUP(ROW()-3,BookieName[#Data],2,FALSE),BetTable[S1])+SUMIF(BetTable[B2],VLOOKUP(ROW()-3,BookieName[#Data],2,FALSE),BetTable[S2])+SUMIF(BetTable[B3],VLOOKUP(ROW()-3,BookieName[#Data],2,FALSE),BetTable[S3])</f>
        <v>0</v>
      </c>
      <c r="E21" s="66" t="str">
        <f>IFERROR(VLOOKUP(ROW()-3,BookieName[#Data],3,FALSE),"")</f>
        <v>Casinostugan</v>
      </c>
      <c r="F21" s="66">
        <f>SUMIF(LayTable[Bookmaker],VLOOKUP(ROW()-3,BookieName[#Data],2,FALSE),LayTable[BookieInnsats])+SUMIF(LayTable[Lay-bookie],VLOOKUP(ROW()-3,BookieName[#Data],2,FALSE),LayTable[LayLiability])</f>
        <v>0</v>
      </c>
      <c r="H21" s="66" t="str">
        <f>IFERROR(VLOOKUP(ROW()-3,BookieName[#Data],3,FALSE),"")</f>
        <v>Casinostugan</v>
      </c>
      <c r="I21" s="66">
        <f>BookieTurnoverBackBets[[#This Row],[Turnover]]+BookieTurnoverLayBets[[#This Row],[Turnover]]</f>
        <v>0</v>
      </c>
    </row>
    <row r="22" spans="2:9">
      <c r="B22" s="66" t="str">
        <f>IFERROR(VLOOKUP(ROW()-3,BookieName[#Data],3,FALSE),"")</f>
        <v>Casinowinner</v>
      </c>
      <c r="C22" s="66">
        <f>SUMIF(BetTable[B1],VLOOKUP(ROW()-3,BookieName[#Data],2,FALSE),BetTable[S1])+SUMIF(BetTable[B2],VLOOKUP(ROW()-3,BookieName[#Data],2,FALSE),BetTable[S2])+SUMIF(BetTable[B3],VLOOKUP(ROW()-3,BookieName[#Data],2,FALSE),BetTable[S3])</f>
        <v>0</v>
      </c>
      <c r="E22" s="66" t="str">
        <f>IFERROR(VLOOKUP(ROW()-3,BookieName[#Data],3,FALSE),"")</f>
        <v>Casinowinner</v>
      </c>
      <c r="F22" s="66">
        <f>SUMIF(LayTable[Bookmaker],VLOOKUP(ROW()-3,BookieName[#Data],2,FALSE),LayTable[BookieInnsats])+SUMIF(LayTable[Lay-bookie],VLOOKUP(ROW()-3,BookieName[#Data],2,FALSE),LayTable[LayLiability])</f>
        <v>0</v>
      </c>
      <c r="H22" s="66" t="str">
        <f>IFERROR(VLOOKUP(ROW()-3,BookieName[#Data],3,FALSE),"")</f>
        <v>Casinowinner</v>
      </c>
      <c r="I22" s="66">
        <f>BookieTurnoverBackBets[[#This Row],[Turnover]]+BookieTurnoverLayBets[[#This Row],[Turnover]]</f>
        <v>0</v>
      </c>
    </row>
    <row r="23" spans="2:9">
      <c r="B23" s="66" t="str">
        <f>IFERROR(VLOOKUP(ROW()-3,BookieName[#Data],3,FALSE),"")</f>
        <v>CherryCasino</v>
      </c>
      <c r="C23" s="66">
        <f>SUMIF(BetTable[B1],VLOOKUP(ROW()-3,BookieName[#Data],2,FALSE),BetTable[S1])+SUMIF(BetTable[B2],VLOOKUP(ROW()-3,BookieName[#Data],2,FALSE),BetTable[S2])+SUMIF(BetTable[B3],VLOOKUP(ROW()-3,BookieName[#Data],2,FALSE),BetTable[S3])</f>
        <v>0</v>
      </c>
      <c r="E23" s="66" t="str">
        <f>IFERROR(VLOOKUP(ROW()-3,BookieName[#Data],3,FALSE),"")</f>
        <v>CherryCasino</v>
      </c>
      <c r="F23" s="66">
        <f>SUMIF(LayTable[Bookmaker],VLOOKUP(ROW()-3,BookieName[#Data],2,FALSE),LayTable[BookieInnsats])+SUMIF(LayTable[Lay-bookie],VLOOKUP(ROW()-3,BookieName[#Data],2,FALSE),LayTable[LayLiability])</f>
        <v>0</v>
      </c>
      <c r="H23" s="66" t="str">
        <f>IFERROR(VLOOKUP(ROW()-3,BookieName[#Data],3,FALSE),"")</f>
        <v>CherryCasino</v>
      </c>
      <c r="I23" s="66">
        <f>BookieTurnoverBackBets[[#This Row],[Turnover]]+BookieTurnoverLayBets[[#This Row],[Turnover]]</f>
        <v>0</v>
      </c>
    </row>
    <row r="24" spans="2:9">
      <c r="B24" s="66" t="str">
        <f>IFERROR(VLOOKUP(ROW()-3,BookieName[#Data],3,FALSE),"")</f>
        <v>Cloudbet</v>
      </c>
      <c r="C24" s="66">
        <f>SUMIF(BetTable[B1],VLOOKUP(ROW()-3,BookieName[#Data],2,FALSE),BetTable[S1])+SUMIF(BetTable[B2],VLOOKUP(ROW()-3,BookieName[#Data],2,FALSE),BetTable[S2])+SUMIF(BetTable[B3],VLOOKUP(ROW()-3,BookieName[#Data],2,FALSE),BetTable[S3])</f>
        <v>0</v>
      </c>
      <c r="E24" s="66" t="str">
        <f>IFERROR(VLOOKUP(ROW()-3,BookieName[#Data],3,FALSE),"")</f>
        <v>Cloudbet</v>
      </c>
      <c r="F24" s="66">
        <f>SUMIF(LayTable[Bookmaker],VLOOKUP(ROW()-3,BookieName[#Data],2,FALSE),LayTable[BookieInnsats])+SUMIF(LayTable[Lay-bookie],VLOOKUP(ROW()-3,BookieName[#Data],2,FALSE),LayTable[LayLiability])</f>
        <v>0</v>
      </c>
      <c r="H24" s="66" t="str">
        <f>IFERROR(VLOOKUP(ROW()-3,BookieName[#Data],3,FALSE),"")</f>
        <v>Cloudbet</v>
      </c>
      <c r="I24" s="66">
        <f>BookieTurnoverBackBets[[#This Row],[Turnover]]+BookieTurnoverLayBets[[#This Row],[Turnover]]</f>
        <v>0</v>
      </c>
    </row>
    <row r="25" spans="2:9">
      <c r="B25" s="66" t="str">
        <f>IFERROR(VLOOKUP(ROW()-3,BookieName[#Data],3,FALSE),"")</f>
        <v>Comeon</v>
      </c>
      <c r="C25" s="66">
        <f>SUMIF(BetTable[B1],VLOOKUP(ROW()-3,BookieName[#Data],2,FALSE),BetTable[S1])+SUMIF(BetTable[B2],VLOOKUP(ROW()-3,BookieName[#Data],2,FALSE),BetTable[S2])+SUMIF(BetTable[B3],VLOOKUP(ROW()-3,BookieName[#Data],2,FALSE),BetTable[S3])</f>
        <v>0</v>
      </c>
      <c r="E25" s="66" t="str">
        <f>IFERROR(VLOOKUP(ROW()-3,BookieName[#Data],3,FALSE),"")</f>
        <v>Comeon</v>
      </c>
      <c r="F25" s="66">
        <f>SUMIF(LayTable[Bookmaker],VLOOKUP(ROW()-3,BookieName[#Data],2,FALSE),LayTable[BookieInnsats])+SUMIF(LayTable[Lay-bookie],VLOOKUP(ROW()-3,BookieName[#Data],2,FALSE),LayTable[LayLiability])</f>
        <v>0</v>
      </c>
      <c r="H25" s="66" t="str">
        <f>IFERROR(VLOOKUP(ROW()-3,BookieName[#Data],3,FALSE),"")</f>
        <v>Comeon</v>
      </c>
      <c r="I25" s="66">
        <f>BookieTurnoverBackBets[[#This Row],[Turnover]]+BookieTurnoverLayBets[[#This Row],[Turnover]]</f>
        <v>0</v>
      </c>
    </row>
    <row r="26" spans="2:9">
      <c r="B26" s="66" t="str">
        <f>IFERROR(VLOOKUP(ROW()-3,BookieName[#Data],3,FALSE),"")</f>
        <v>Coolbet</v>
      </c>
      <c r="C26" s="66">
        <f>SUMIF(BetTable[B1],VLOOKUP(ROW()-3,BookieName[#Data],2,FALSE),BetTable[S1])+SUMIF(BetTable[B2],VLOOKUP(ROW()-3,BookieName[#Data],2,FALSE),BetTable[S2])+SUMIF(BetTable[B3],VLOOKUP(ROW()-3,BookieName[#Data],2,FALSE),BetTable[S3])</f>
        <v>0</v>
      </c>
      <c r="E26" s="66" t="str">
        <f>IFERROR(VLOOKUP(ROW()-3,BookieName[#Data],3,FALSE),"")</f>
        <v>Coolbet</v>
      </c>
      <c r="F26" s="66">
        <f>SUMIF(LayTable[Bookmaker],VLOOKUP(ROW()-3,BookieName[#Data],2,FALSE),LayTable[BookieInnsats])+SUMIF(LayTable[Lay-bookie],VLOOKUP(ROW()-3,BookieName[#Data],2,FALSE),LayTable[LayLiability])</f>
        <v>0</v>
      </c>
      <c r="H26" s="66" t="str">
        <f>IFERROR(VLOOKUP(ROW()-3,BookieName[#Data],3,FALSE),"")</f>
        <v>Coolbet</v>
      </c>
      <c r="I26" s="66">
        <f>BookieTurnoverBackBets[[#This Row],[Turnover]]+BookieTurnoverLayBets[[#This Row],[Turnover]]</f>
        <v>0</v>
      </c>
    </row>
    <row r="27" spans="2:9">
      <c r="B27" s="66" t="str">
        <f>IFERROR(VLOOKUP(ROW()-3,BookieName[#Data],3,FALSE),"")</f>
        <v>ExclusiveBet</v>
      </c>
      <c r="C27" s="66">
        <f>SUMIF(BetTable[B1],VLOOKUP(ROW()-3,BookieName[#Data],2,FALSE),BetTable[S1])+SUMIF(BetTable[B2],VLOOKUP(ROW()-3,BookieName[#Data],2,FALSE),BetTable[S2])+SUMIF(BetTable[B3],VLOOKUP(ROW()-3,BookieName[#Data],2,FALSE),BetTable[S3])</f>
        <v>0</v>
      </c>
      <c r="E27" s="66" t="str">
        <f>IFERROR(VLOOKUP(ROW()-3,BookieName[#Data],3,FALSE),"")</f>
        <v>ExclusiveBet</v>
      </c>
      <c r="F27" s="66">
        <f>SUMIF(LayTable[Bookmaker],VLOOKUP(ROW()-3,BookieName[#Data],2,FALSE),LayTable[BookieInnsats])+SUMIF(LayTable[Lay-bookie],VLOOKUP(ROW()-3,BookieName[#Data],2,FALSE),LayTable[LayLiability])</f>
        <v>0</v>
      </c>
      <c r="H27" s="66" t="str">
        <f>IFERROR(VLOOKUP(ROW()-3,BookieName[#Data],3,FALSE),"")</f>
        <v>ExclusiveBet</v>
      </c>
      <c r="I27" s="66">
        <f>BookieTurnoverBackBets[[#This Row],[Turnover]]+BookieTurnoverLayBets[[#This Row],[Turnover]]</f>
        <v>0</v>
      </c>
    </row>
    <row r="28" spans="2:9">
      <c r="B28" s="66" t="str">
        <f>IFERROR(VLOOKUP(ROW()-3,BookieName[#Data],3,FALSE),"")</f>
        <v>Expekt</v>
      </c>
      <c r="C28" s="66">
        <f>SUMIF(BetTable[B1],VLOOKUP(ROW()-3,BookieName[#Data],2,FALSE),BetTable[S1])+SUMIF(BetTable[B2],VLOOKUP(ROW()-3,BookieName[#Data],2,FALSE),BetTable[S2])+SUMIF(BetTable[B3],VLOOKUP(ROW()-3,BookieName[#Data],2,FALSE),BetTable[S3])</f>
        <v>0</v>
      </c>
      <c r="E28" s="66" t="str">
        <f>IFERROR(VLOOKUP(ROW()-3,BookieName[#Data],3,FALSE),"")</f>
        <v>Expekt</v>
      </c>
      <c r="F28" s="66">
        <f>SUMIF(LayTable[Bookmaker],VLOOKUP(ROW()-3,BookieName[#Data],2,FALSE),LayTable[BookieInnsats])+SUMIF(LayTable[Lay-bookie],VLOOKUP(ROW()-3,BookieName[#Data],2,FALSE),LayTable[LayLiability])</f>
        <v>0</v>
      </c>
      <c r="H28" s="66" t="str">
        <f>IFERROR(VLOOKUP(ROW()-3,BookieName[#Data],3,FALSE),"")</f>
        <v>Expekt</v>
      </c>
      <c r="I28" s="66">
        <f>BookieTurnoverBackBets[[#This Row],[Turnover]]+BookieTurnoverLayBets[[#This Row],[Turnover]]</f>
        <v>0</v>
      </c>
    </row>
    <row r="29" spans="2:9">
      <c r="B29" s="66" t="str">
        <f>IFERROR(VLOOKUP(ROW()-3,BookieName[#Data],3,FALSE),"")</f>
        <v>Fansbet</v>
      </c>
      <c r="C29" s="66">
        <f>SUMIF(BetTable[B1],VLOOKUP(ROW()-3,BookieName[#Data],2,FALSE),BetTable[S1])+SUMIF(BetTable[B2],VLOOKUP(ROW()-3,BookieName[#Data],2,FALSE),BetTable[S2])+SUMIF(BetTable[B3],VLOOKUP(ROW()-3,BookieName[#Data],2,FALSE),BetTable[S3])</f>
        <v>0</v>
      </c>
      <c r="E29" s="66" t="str">
        <f>IFERROR(VLOOKUP(ROW()-3,BookieName[#Data],3,FALSE),"")</f>
        <v>Fansbet</v>
      </c>
      <c r="F29" s="66">
        <f>SUMIF(LayTable[Bookmaker],VLOOKUP(ROW()-3,BookieName[#Data],2,FALSE),LayTable[BookieInnsats])+SUMIF(LayTable[Lay-bookie],VLOOKUP(ROW()-3,BookieName[#Data],2,FALSE),LayTable[LayLiability])</f>
        <v>0</v>
      </c>
      <c r="H29" s="66" t="str">
        <f>IFERROR(VLOOKUP(ROW()-3,BookieName[#Data],3,FALSE),"")</f>
        <v>Fansbet</v>
      </c>
      <c r="I29" s="66">
        <f>BookieTurnoverBackBets[[#This Row],[Turnover]]+BookieTurnoverLayBets[[#This Row],[Turnover]]</f>
        <v>0</v>
      </c>
    </row>
    <row r="30" spans="2:9">
      <c r="B30" s="66" t="str">
        <f>IFERROR(VLOOKUP(ROW()-3,BookieName[#Data],3,FALSE),"")</f>
        <v>Feelbet</v>
      </c>
      <c r="C30" s="66">
        <f>SUMIF(BetTable[B1],VLOOKUP(ROW()-3,BookieName[#Data],2,FALSE),BetTable[S1])+SUMIF(BetTable[B2],VLOOKUP(ROW()-3,BookieName[#Data],2,FALSE),BetTable[S2])+SUMIF(BetTable[B3],VLOOKUP(ROW()-3,BookieName[#Data],2,FALSE),BetTable[S3])</f>
        <v>0</v>
      </c>
      <c r="E30" s="66" t="str">
        <f>IFERROR(VLOOKUP(ROW()-3,BookieName[#Data],3,FALSE),"")</f>
        <v>Feelbet</v>
      </c>
      <c r="F30" s="66">
        <f>SUMIF(LayTable[Bookmaker],VLOOKUP(ROW()-3,BookieName[#Data],2,FALSE),LayTable[BookieInnsats])+SUMIF(LayTable[Lay-bookie],VLOOKUP(ROW()-3,BookieName[#Data],2,FALSE),LayTable[LayLiability])</f>
        <v>0</v>
      </c>
      <c r="H30" s="66" t="str">
        <f>IFERROR(VLOOKUP(ROW()-3,BookieName[#Data],3,FALSE),"")</f>
        <v>Feelbet</v>
      </c>
      <c r="I30" s="66">
        <f>BookieTurnoverBackBets[[#This Row],[Turnover]]+BookieTurnoverLayBets[[#This Row],[Turnover]]</f>
        <v>0</v>
      </c>
    </row>
    <row r="31" spans="2:9">
      <c r="B31" s="66" t="str">
        <f>IFERROR(VLOOKUP(ROW()-3,BookieName[#Data],3,FALSE),"")</f>
        <v>Folkeautomaten</v>
      </c>
      <c r="C31" s="66">
        <f>SUMIF(BetTable[B1],VLOOKUP(ROW()-3,BookieName[#Data],2,FALSE),BetTable[S1])+SUMIF(BetTable[B2],VLOOKUP(ROW()-3,BookieName[#Data],2,FALSE),BetTable[S2])+SUMIF(BetTable[B3],VLOOKUP(ROW()-3,BookieName[#Data],2,FALSE),BetTable[S3])</f>
        <v>0</v>
      </c>
      <c r="E31" s="66" t="str">
        <f>IFERROR(VLOOKUP(ROW()-3,BookieName[#Data],3,FALSE),"")</f>
        <v>Folkeautomaten</v>
      </c>
      <c r="F31" s="66">
        <f>SUMIF(LayTable[Bookmaker],VLOOKUP(ROW()-3,BookieName[#Data],2,FALSE),LayTable[BookieInnsats])+SUMIF(LayTable[Lay-bookie],VLOOKUP(ROW()-3,BookieName[#Data],2,FALSE),LayTable[LayLiability])</f>
        <v>0</v>
      </c>
      <c r="H31" s="66" t="str">
        <f>IFERROR(VLOOKUP(ROW()-3,BookieName[#Data],3,FALSE),"")</f>
        <v>Folkeautomaten</v>
      </c>
      <c r="I31" s="66">
        <f>BookieTurnoverBackBets[[#This Row],[Turnover]]+BookieTurnoverLayBets[[#This Row],[Turnover]]</f>
        <v>0</v>
      </c>
    </row>
    <row r="32" spans="2:9">
      <c r="B32" s="66" t="str">
        <f>IFERROR(VLOOKUP(ROW()-3,BookieName[#Data],3,FALSE),"")</f>
        <v>gtbets.eu</v>
      </c>
      <c r="C32" s="66">
        <f>SUMIF(BetTable[B1],VLOOKUP(ROW()-3,BookieName[#Data],2,FALSE),BetTable[S1])+SUMIF(BetTable[B2],VLOOKUP(ROW()-3,BookieName[#Data],2,FALSE),BetTable[S2])+SUMIF(BetTable[B3],VLOOKUP(ROW()-3,BookieName[#Data],2,FALSE),BetTable[S3])</f>
        <v>0</v>
      </c>
      <c r="E32" s="66" t="str">
        <f>IFERROR(VLOOKUP(ROW()-3,BookieName[#Data],3,FALSE),"")</f>
        <v>gtbets.eu</v>
      </c>
      <c r="F32" s="66">
        <f>SUMIF(LayTable[Bookmaker],VLOOKUP(ROW()-3,BookieName[#Data],2,FALSE),LayTable[BookieInnsats])+SUMIF(LayTable[Lay-bookie],VLOOKUP(ROW()-3,BookieName[#Data],2,FALSE),LayTable[LayLiability])</f>
        <v>0</v>
      </c>
      <c r="H32" s="66" t="str">
        <f>IFERROR(VLOOKUP(ROW()-3,BookieName[#Data],3,FALSE),"")</f>
        <v>gtbets.eu</v>
      </c>
      <c r="I32" s="66">
        <f>BookieTurnoverBackBets[[#This Row],[Turnover]]+BookieTurnoverLayBets[[#This Row],[Turnover]]</f>
        <v>0</v>
      </c>
    </row>
    <row r="33" spans="2:9">
      <c r="B33" s="66" t="str">
        <f>IFERROR(VLOOKUP(ROW()-3,BookieName[#Data],3,FALSE),"")</f>
        <v>Guts</v>
      </c>
      <c r="C33" s="66">
        <f>SUMIF(BetTable[B1],VLOOKUP(ROW()-3,BookieName[#Data],2,FALSE),BetTable[S1])+SUMIF(BetTable[B2],VLOOKUP(ROW()-3,BookieName[#Data],2,FALSE),BetTable[S2])+SUMIF(BetTable[B3],VLOOKUP(ROW()-3,BookieName[#Data],2,FALSE),BetTable[S3])</f>
        <v>0</v>
      </c>
      <c r="E33" s="66" t="str">
        <f>IFERROR(VLOOKUP(ROW()-3,BookieName[#Data],3,FALSE),"")</f>
        <v>Guts</v>
      </c>
      <c r="F33" s="66">
        <f>SUMIF(LayTable[Bookmaker],VLOOKUP(ROW()-3,BookieName[#Data],2,FALSE),LayTable[BookieInnsats])+SUMIF(LayTable[Lay-bookie],VLOOKUP(ROW()-3,BookieName[#Data],2,FALSE),LayTable[LayLiability])</f>
        <v>0</v>
      </c>
      <c r="H33" s="66" t="str">
        <f>IFERROR(VLOOKUP(ROW()-3,BookieName[#Data],3,FALSE),"")</f>
        <v>Guts</v>
      </c>
      <c r="I33" s="66">
        <f>BookieTurnoverBackBets[[#This Row],[Turnover]]+BookieTurnoverLayBets[[#This Row],[Turnover]]</f>
        <v>0</v>
      </c>
    </row>
    <row r="34" spans="2:9">
      <c r="B34" s="66" t="str">
        <f>IFERROR(VLOOKUP(ROW()-3,BookieName[#Data],3,FALSE),"")</f>
        <v>JSFansbet</v>
      </c>
      <c r="C34" s="66">
        <f>SUMIF(BetTable[B1],VLOOKUP(ROW()-3,BookieName[#Data],2,FALSE),BetTable[S1])+SUMIF(BetTable[B2],VLOOKUP(ROW()-3,BookieName[#Data],2,FALSE),BetTable[S2])+SUMIF(BetTable[B3],VLOOKUP(ROW()-3,BookieName[#Data],2,FALSE),BetTable[S3])</f>
        <v>0</v>
      </c>
      <c r="E34" s="66" t="str">
        <f>IFERROR(VLOOKUP(ROW()-3,BookieName[#Data],3,FALSE),"")</f>
        <v>JSFansbet</v>
      </c>
      <c r="F34" s="66">
        <f>SUMIF(LayTable[Bookmaker],VLOOKUP(ROW()-3,BookieName[#Data],2,FALSE),LayTable[BookieInnsats])+SUMIF(LayTable[Lay-bookie],VLOOKUP(ROW()-3,BookieName[#Data],2,FALSE),LayTable[LayLiability])</f>
        <v>0</v>
      </c>
      <c r="H34" s="66" t="str">
        <f>IFERROR(VLOOKUP(ROW()-3,BookieName[#Data],3,FALSE),"")</f>
        <v>JSFansbet</v>
      </c>
      <c r="I34" s="66">
        <f>BookieTurnoverBackBets[[#This Row],[Turnover]]+BookieTurnoverLayBets[[#This Row],[Turnover]]</f>
        <v>0</v>
      </c>
    </row>
    <row r="35" spans="2:9">
      <c r="B35" s="66" t="str">
        <f>IFERROR(VLOOKUP(ROW()-3,BookieName[#Data],3,FALSE),"")</f>
        <v>KTO</v>
      </c>
      <c r="C35" s="66">
        <f>SUMIF(BetTable[B1],VLOOKUP(ROW()-3,BookieName[#Data],2,FALSE),BetTable[S1])+SUMIF(BetTable[B2],VLOOKUP(ROW()-3,BookieName[#Data],2,FALSE),BetTable[S2])+SUMIF(BetTable[B3],VLOOKUP(ROW()-3,BookieName[#Data],2,FALSE),BetTable[S3])</f>
        <v>0</v>
      </c>
      <c r="E35" s="66" t="str">
        <f>IFERROR(VLOOKUP(ROW()-3,BookieName[#Data],3,FALSE),"")</f>
        <v>KTO</v>
      </c>
      <c r="F35" s="66">
        <f>SUMIF(LayTable[Bookmaker],VLOOKUP(ROW()-3,BookieName[#Data],2,FALSE),LayTable[BookieInnsats])+SUMIF(LayTable[Lay-bookie],VLOOKUP(ROW()-3,BookieName[#Data],2,FALSE),LayTable[LayLiability])</f>
        <v>0</v>
      </c>
      <c r="H35" s="66" t="str">
        <f>IFERROR(VLOOKUP(ROW()-3,BookieName[#Data],3,FALSE),"")</f>
        <v>KTO</v>
      </c>
      <c r="I35" s="66">
        <f>BookieTurnoverBackBets[[#This Row],[Turnover]]+BookieTurnoverLayBets[[#This Row],[Turnover]]</f>
        <v>0</v>
      </c>
    </row>
    <row r="36" spans="2:9">
      <c r="B36" s="66" t="str">
        <f>IFERROR(VLOOKUP(ROW()-3,BookieName[#Data],3,FALSE),"")</f>
        <v>LeoVegas</v>
      </c>
      <c r="C36" s="66">
        <f>SUMIF(BetTable[B1],VLOOKUP(ROW()-3,BookieName[#Data],2,FALSE),BetTable[S1])+SUMIF(BetTable[B2],VLOOKUP(ROW()-3,BookieName[#Data],2,FALSE),BetTable[S2])+SUMIF(BetTable[B3],VLOOKUP(ROW()-3,BookieName[#Data],2,FALSE),BetTable[S3])</f>
        <v>0</v>
      </c>
      <c r="E36" s="66" t="str">
        <f>IFERROR(VLOOKUP(ROW()-3,BookieName[#Data],3,FALSE),"")</f>
        <v>LeoVegas</v>
      </c>
      <c r="F36" s="66">
        <f>SUMIF(LayTable[Bookmaker],VLOOKUP(ROW()-3,BookieName[#Data],2,FALSE),LayTable[BookieInnsats])+SUMIF(LayTable[Lay-bookie],VLOOKUP(ROW()-3,BookieName[#Data],2,FALSE),LayTable[LayLiability])</f>
        <v>0</v>
      </c>
      <c r="H36" s="66" t="str">
        <f>IFERROR(VLOOKUP(ROW()-3,BookieName[#Data],3,FALSE),"")</f>
        <v>LeoVegas</v>
      </c>
      <c r="I36" s="66">
        <f>BookieTurnoverBackBets[[#This Row],[Turnover]]+BookieTurnoverLayBets[[#This Row],[Turnover]]</f>
        <v>0</v>
      </c>
    </row>
    <row r="37" spans="2:9">
      <c r="B37" s="66" t="str">
        <f>IFERROR(VLOOKUP(ROW()-3,BookieName[#Data],3,FALSE),"")</f>
        <v>LSBet</v>
      </c>
      <c r="C37" s="66">
        <f>SUMIF(BetTable[B1],VLOOKUP(ROW()-3,BookieName[#Data],2,FALSE),BetTable[S1])+SUMIF(BetTable[B2],VLOOKUP(ROW()-3,BookieName[#Data],2,FALSE),BetTable[S2])+SUMIF(BetTable[B3],VLOOKUP(ROW()-3,BookieName[#Data],2,FALSE),BetTable[S3])</f>
        <v>0</v>
      </c>
      <c r="E37" s="66" t="str">
        <f>IFERROR(VLOOKUP(ROW()-3,BookieName[#Data],3,FALSE),"")</f>
        <v>LSBet</v>
      </c>
      <c r="F37" s="66">
        <f>SUMIF(LayTable[Bookmaker],VLOOKUP(ROW()-3,BookieName[#Data],2,FALSE),LayTable[BookieInnsats])+SUMIF(LayTable[Lay-bookie],VLOOKUP(ROW()-3,BookieName[#Data],2,FALSE),LayTable[LayLiability])</f>
        <v>0</v>
      </c>
      <c r="H37" s="66" t="str">
        <f>IFERROR(VLOOKUP(ROW()-3,BookieName[#Data],3,FALSE),"")</f>
        <v>LSBet</v>
      </c>
      <c r="I37" s="66">
        <f>BookieTurnoverBackBets[[#This Row],[Turnover]]+BookieTurnoverLayBets[[#This Row],[Turnover]]</f>
        <v>0</v>
      </c>
    </row>
    <row r="38" spans="2:9">
      <c r="B38" s="66" t="str">
        <f>IFERROR(VLOOKUP(ROW()-3,BookieName[#Data],3,FALSE),"")</f>
        <v>Malina</v>
      </c>
      <c r="C38" s="66">
        <f>SUMIF(BetTable[B1],VLOOKUP(ROW()-3,BookieName[#Data],2,FALSE),BetTable[S1])+SUMIF(BetTable[B2],VLOOKUP(ROW()-3,BookieName[#Data],2,FALSE),BetTable[S2])+SUMIF(BetTable[B3],VLOOKUP(ROW()-3,BookieName[#Data],2,FALSE),BetTable[S3])</f>
        <v>0</v>
      </c>
      <c r="E38" s="66" t="str">
        <f>IFERROR(VLOOKUP(ROW()-3,BookieName[#Data],3,FALSE),"")</f>
        <v>Malina</v>
      </c>
      <c r="F38" s="66">
        <f>SUMIF(LayTable[Bookmaker],VLOOKUP(ROW()-3,BookieName[#Data],2,FALSE),LayTable[BookieInnsats])+SUMIF(LayTable[Lay-bookie],VLOOKUP(ROW()-3,BookieName[#Data],2,FALSE),LayTable[LayLiability])</f>
        <v>0</v>
      </c>
      <c r="H38" s="66" t="str">
        <f>IFERROR(VLOOKUP(ROW()-3,BookieName[#Data],3,FALSE),"")</f>
        <v>Malina</v>
      </c>
      <c r="I38" s="66">
        <f>BookieTurnoverBackBets[[#This Row],[Turnover]]+BookieTurnoverLayBets[[#This Row],[Turnover]]</f>
        <v>0</v>
      </c>
    </row>
    <row r="39" spans="2:9">
      <c r="B39" s="66" t="str">
        <f>IFERROR(VLOOKUP(ROW()-3,BookieName[#Data],3,FALSE),"")</f>
        <v>Mobilebet</v>
      </c>
      <c r="C39" s="66">
        <f>SUMIF(BetTable[B1],VLOOKUP(ROW()-3,BookieName[#Data],2,FALSE),BetTable[S1])+SUMIF(BetTable[B2],VLOOKUP(ROW()-3,BookieName[#Data],2,FALSE),BetTable[S2])+SUMIF(BetTable[B3],VLOOKUP(ROW()-3,BookieName[#Data],2,FALSE),BetTable[S3])</f>
        <v>0</v>
      </c>
      <c r="E39" s="66" t="str">
        <f>IFERROR(VLOOKUP(ROW()-3,BookieName[#Data],3,FALSE),"")</f>
        <v>Mobilebet</v>
      </c>
      <c r="F39" s="66">
        <f>SUMIF(LayTable[Bookmaker],VLOOKUP(ROW()-3,BookieName[#Data],2,FALSE),LayTable[BookieInnsats])+SUMIF(LayTable[Lay-bookie],VLOOKUP(ROW()-3,BookieName[#Data],2,FALSE),LayTable[LayLiability])</f>
        <v>0</v>
      </c>
      <c r="H39" s="66" t="str">
        <f>IFERROR(VLOOKUP(ROW()-3,BookieName[#Data],3,FALSE),"")</f>
        <v>Mobilebet</v>
      </c>
      <c r="I39" s="66">
        <f>BookieTurnoverBackBets[[#This Row],[Turnover]]+BookieTurnoverLayBets[[#This Row],[Turnover]]</f>
        <v>0</v>
      </c>
    </row>
    <row r="40" spans="2:9">
      <c r="B40" s="66" t="str">
        <f>IFERROR(VLOOKUP(ROW()-3,BookieName[#Data],3,FALSE),"")</f>
        <v>MrGreen</v>
      </c>
      <c r="C40" s="66">
        <f>SUMIF(BetTable[B1],VLOOKUP(ROW()-3,BookieName[#Data],2,FALSE),BetTable[S1])+SUMIF(BetTable[B2],VLOOKUP(ROW()-3,BookieName[#Data],2,FALSE),BetTable[S2])+SUMIF(BetTable[B3],VLOOKUP(ROW()-3,BookieName[#Data],2,FALSE),BetTable[S3])</f>
        <v>0</v>
      </c>
      <c r="E40" s="66" t="str">
        <f>IFERROR(VLOOKUP(ROW()-3,BookieName[#Data],3,FALSE),"")</f>
        <v>MrGreen</v>
      </c>
      <c r="F40" s="66">
        <f>SUMIF(LayTable[Bookmaker],VLOOKUP(ROW()-3,BookieName[#Data],2,FALSE),LayTable[BookieInnsats])+SUMIF(LayTable[Lay-bookie],VLOOKUP(ROW()-3,BookieName[#Data],2,FALSE),LayTable[LayLiability])</f>
        <v>0</v>
      </c>
      <c r="H40" s="66" t="str">
        <f>IFERROR(VLOOKUP(ROW()-3,BookieName[#Data],3,FALSE),"")</f>
        <v>MrGreen</v>
      </c>
      <c r="I40" s="66">
        <f>BookieTurnoverBackBets[[#This Row],[Turnover]]+BookieTurnoverLayBets[[#This Row],[Turnover]]</f>
        <v>0</v>
      </c>
    </row>
    <row r="41" spans="2:9">
      <c r="B41" s="187" t="str">
        <f>IFERROR(VLOOKUP(ROW()-3,BookieName[#Data],3,FALSE),"")</f>
        <v>MrWin</v>
      </c>
      <c r="C41" s="187">
        <f>SUMIF(BetTable[B1],VLOOKUP(ROW()-3,BookieName[#Data],2,FALSE),BetTable[S1])+SUMIF(BetTable[B2],VLOOKUP(ROW()-3,BookieName[#Data],2,FALSE),BetTable[S2])+SUMIF(BetTable[B3],VLOOKUP(ROW()-3,BookieName[#Data],2,FALSE),BetTable[S3])</f>
        <v>0</v>
      </c>
      <c r="E41" s="182" t="str">
        <f>IFERROR(VLOOKUP(ROW()-3,BookieName[#Data],3,FALSE),"")</f>
        <v>MrWin</v>
      </c>
      <c r="F41" s="182">
        <f>SUMIF(LayTable[Bookmaker],VLOOKUP(ROW()-3,BookieName[#Data],2,FALSE),LayTable[BookieInnsats])+SUMIF(LayTable[Lay-bookie],VLOOKUP(ROW()-3,BookieName[#Data],2,FALSE),LayTable[LayLiability])</f>
        <v>0</v>
      </c>
      <c r="H41" s="182" t="str">
        <f>IFERROR(VLOOKUP(ROW()-3,BookieName[#Data],3,FALSE),"")</f>
        <v>MrWin</v>
      </c>
      <c r="I41" s="182">
        <f>BookieTurnoverBackBets[[#This Row],[Turnover]]+BookieTurnoverLayBets[[#This Row],[Turnover]]</f>
        <v>0</v>
      </c>
    </row>
    <row r="42" spans="2:9">
      <c r="B42" s="187" t="str">
        <f>IFERROR(VLOOKUP(ROW()-3,BookieName[#Data],3,FALSE),"")</f>
        <v>NetBet</v>
      </c>
      <c r="C42" s="187">
        <f>SUMIF(BetTable[B1],VLOOKUP(ROW()-3,BookieName[#Data],2,FALSE),BetTable[S1])+SUMIF(BetTable[B2],VLOOKUP(ROW()-3,BookieName[#Data],2,FALSE),BetTable[S2])+SUMIF(BetTable[B3],VLOOKUP(ROW()-3,BookieName[#Data],2,FALSE),BetTable[S3])</f>
        <v>0</v>
      </c>
      <c r="E42" s="182" t="str">
        <f>IFERROR(VLOOKUP(ROW()-3,BookieName[#Data],3,FALSE),"")</f>
        <v>NetBet</v>
      </c>
      <c r="F42" s="182">
        <f>SUMIF(LayTable[Bookmaker],VLOOKUP(ROW()-3,BookieName[#Data],2,FALSE),LayTable[BookieInnsats])+SUMIF(LayTable[Lay-bookie],VLOOKUP(ROW()-3,BookieName[#Data],2,FALSE),LayTable[LayLiability])</f>
        <v>0</v>
      </c>
      <c r="H42" s="182" t="str">
        <f>IFERROR(VLOOKUP(ROW()-3,BookieName[#Data],3,FALSE),"")</f>
        <v>NetBet</v>
      </c>
      <c r="I42" s="182">
        <f>BookieTurnoverBackBets[[#This Row],[Turnover]]+BookieTurnoverLayBets[[#This Row],[Turnover]]</f>
        <v>0</v>
      </c>
    </row>
    <row r="43" spans="2:9">
      <c r="B43" s="187" t="str">
        <f>IFERROR(VLOOKUP(ROW()-3,BookieName[#Data],3,FALSE),"")</f>
        <v>Nightrush</v>
      </c>
      <c r="C43" s="187">
        <f>SUMIF(BetTable[B1],VLOOKUP(ROW()-3,BookieName[#Data],2,FALSE),BetTable[S1])+SUMIF(BetTable[B2],VLOOKUP(ROW()-3,BookieName[#Data],2,FALSE),BetTable[S2])+SUMIF(BetTable[B3],VLOOKUP(ROW()-3,BookieName[#Data],2,FALSE),BetTable[S3])</f>
        <v>0</v>
      </c>
      <c r="E43" s="182" t="str">
        <f>IFERROR(VLOOKUP(ROW()-3,BookieName[#Data],3,FALSE),"")</f>
        <v>Nightrush</v>
      </c>
      <c r="F43" s="182">
        <f>SUMIF(LayTable[Bookmaker],VLOOKUP(ROW()-3,BookieName[#Data],2,FALSE),LayTable[BookieInnsats])+SUMIF(LayTable[Lay-bookie],VLOOKUP(ROW()-3,BookieName[#Data],2,FALSE),LayTable[LayLiability])</f>
        <v>0</v>
      </c>
      <c r="H43" s="182" t="str">
        <f>IFERROR(VLOOKUP(ROW()-3,BookieName[#Data],3,FALSE),"")</f>
        <v>Nightrush</v>
      </c>
      <c r="I43" s="182">
        <f>BookieTurnoverBackBets[[#This Row],[Turnover]]+BookieTurnoverLayBets[[#This Row],[Turnover]]</f>
        <v>0</v>
      </c>
    </row>
    <row r="44" spans="2:9">
      <c r="B44" s="187" t="str">
        <f>IFERROR(VLOOKUP(ROW()-3,BookieName[#Data],3,FALSE),"")</f>
        <v>NNBetsson</v>
      </c>
      <c r="C44" s="187">
        <f>SUMIF(BetTable[B1],VLOOKUP(ROW()-3,BookieName[#Data],2,FALSE),BetTable[S1])+SUMIF(BetTable[B2],VLOOKUP(ROW()-3,BookieName[#Data],2,FALSE),BetTable[S2])+SUMIF(BetTable[B3],VLOOKUP(ROW()-3,BookieName[#Data],2,FALSE),BetTable[S3])</f>
        <v>0</v>
      </c>
      <c r="E44" s="182" t="str">
        <f>IFERROR(VLOOKUP(ROW()-3,BookieName[#Data],3,FALSE),"")</f>
        <v>NNBetsson</v>
      </c>
      <c r="F44" s="182">
        <f>SUMIF(LayTable[Bookmaker],VLOOKUP(ROW()-3,BookieName[#Data],2,FALSE),LayTable[BookieInnsats])+SUMIF(LayTable[Lay-bookie],VLOOKUP(ROW()-3,BookieName[#Data],2,FALSE),LayTable[LayLiability])</f>
        <v>0</v>
      </c>
      <c r="H44" s="182" t="str">
        <f>IFERROR(VLOOKUP(ROW()-3,BookieName[#Data],3,FALSE),"")</f>
        <v>NNBetsson</v>
      </c>
      <c r="I44" s="182">
        <f>BookieTurnoverBackBets[[#This Row],[Turnover]]+BookieTurnoverLayBets[[#This Row],[Turnover]]</f>
        <v>0</v>
      </c>
    </row>
    <row r="45" spans="2:9">
      <c r="B45" s="187" t="str">
        <f>IFERROR(VLOOKUP(ROW()-3,BookieName[#Data],3,FALSE),"")</f>
        <v>NNCoolbet</v>
      </c>
      <c r="C45" s="187">
        <f>SUMIF(BetTable[B1],VLOOKUP(ROW()-3,BookieName[#Data],2,FALSE),BetTable[S1])+SUMIF(BetTable[B2],VLOOKUP(ROW()-3,BookieName[#Data],2,FALSE),BetTable[S2])+SUMIF(BetTable[B3],VLOOKUP(ROW()-3,BookieName[#Data],2,FALSE),BetTable[S3])</f>
        <v>0</v>
      </c>
      <c r="E45" s="182" t="str">
        <f>IFERROR(VLOOKUP(ROW()-3,BookieName[#Data],3,FALSE),"")</f>
        <v>NNCoolbet</v>
      </c>
      <c r="F45" s="182">
        <f>SUMIF(LayTable[Bookmaker],VLOOKUP(ROW()-3,BookieName[#Data],2,FALSE),LayTable[BookieInnsats])+SUMIF(LayTable[Lay-bookie],VLOOKUP(ROW()-3,BookieName[#Data],2,FALSE),LayTable[LayLiability])</f>
        <v>0</v>
      </c>
      <c r="H45" s="182" t="str">
        <f>IFERROR(VLOOKUP(ROW()-3,BookieName[#Data],3,FALSE),"")</f>
        <v>NNCoolbet</v>
      </c>
      <c r="I45" s="182">
        <f>BookieTurnoverBackBets[[#This Row],[Turnover]]+BookieTurnoverLayBets[[#This Row],[Turnover]]</f>
        <v>0</v>
      </c>
    </row>
    <row r="46" spans="2:9">
      <c r="B46" s="187" t="str">
        <f>IFERROR(VLOOKUP(ROW()-3,BookieName[#Data],3,FALSE),"")</f>
        <v>NordicBet</v>
      </c>
      <c r="C46" s="187">
        <f>SUMIF(BetTable[B1],VLOOKUP(ROW()-3,BookieName[#Data],2,FALSE),BetTable[S1])+SUMIF(BetTable[B2],VLOOKUP(ROW()-3,BookieName[#Data],2,FALSE),BetTable[S2])+SUMIF(BetTable[B3],VLOOKUP(ROW()-3,BookieName[#Data],2,FALSE),BetTable[S3])</f>
        <v>0</v>
      </c>
      <c r="E46" s="187" t="str">
        <f>IFERROR(VLOOKUP(ROW()-3,BookieName[#Data],3,FALSE),"")</f>
        <v>NordicBet</v>
      </c>
      <c r="F46" s="187">
        <f>SUMIF(LayTable[Bookmaker],VLOOKUP(ROW()-3,BookieName[#Data],2,FALSE),LayTable[BookieInnsats])+SUMIF(LayTable[Lay-bookie],VLOOKUP(ROW()-3,BookieName[#Data],2,FALSE),LayTable[LayLiability])</f>
        <v>2200</v>
      </c>
      <c r="H46" s="182" t="str">
        <f>IFERROR(VLOOKUP(ROW()-3,BookieName[#Data],3,FALSE),"")</f>
        <v>NordicBet</v>
      </c>
      <c r="I46" s="182">
        <f>BookieTurnoverBackBets[[#This Row],[Turnover]]+BookieTurnoverLayBets[[#This Row],[Turnover]]</f>
        <v>2200</v>
      </c>
    </row>
    <row r="47" spans="2:9">
      <c r="B47" s="187" t="str">
        <f>IFERROR(VLOOKUP(ROW()-3,BookieName[#Data],3,FALSE),"")</f>
        <v>Norgesspill</v>
      </c>
      <c r="C47" s="187">
        <f>SUMIF(BetTable[B1],VLOOKUP(ROW()-3,BookieName[#Data],2,FALSE),BetTable[S1])+SUMIF(BetTable[B2],VLOOKUP(ROW()-3,BookieName[#Data],2,FALSE),BetTable[S2])+SUMIF(BetTable[B3],VLOOKUP(ROW()-3,BookieName[#Data],2,FALSE),BetTable[S3])</f>
        <v>0</v>
      </c>
      <c r="E47" s="187" t="str">
        <f>IFERROR(VLOOKUP(ROW()-3,BookieName[#Data],3,FALSE),"")</f>
        <v>Norgesspill</v>
      </c>
      <c r="F47" s="187">
        <f>SUMIF(LayTable[Bookmaker],VLOOKUP(ROW()-3,BookieName[#Data],2,FALSE),LayTable[BookieInnsats])+SUMIF(LayTable[Lay-bookie],VLOOKUP(ROW()-3,BookieName[#Data],2,FALSE),LayTable[LayLiability])</f>
        <v>0</v>
      </c>
      <c r="H47" s="182" t="str">
        <f>IFERROR(VLOOKUP(ROW()-3,BookieName[#Data],3,FALSE),"")</f>
        <v>Norgesspill</v>
      </c>
      <c r="I47" s="182">
        <f>BookieTurnoverBackBets[[#This Row],[Turnover]]+BookieTurnoverLayBets[[#This Row],[Turnover]]</f>
        <v>0</v>
      </c>
    </row>
    <row r="48" spans="2:9">
      <c r="B48" s="187" t="str">
        <f>IFERROR(VLOOKUP(ROW()-3,BookieName[#Data],3,FALSE),"")</f>
        <v>NorgeVegas</v>
      </c>
      <c r="C48" s="187">
        <f>SUMIF(BetTable[B1],VLOOKUP(ROW()-3,BookieName[#Data],2,FALSE),BetTable[S1])+SUMIF(BetTable[B2],VLOOKUP(ROW()-3,BookieName[#Data],2,FALSE),BetTable[S2])+SUMIF(BetTable[B3],VLOOKUP(ROW()-3,BookieName[#Data],2,FALSE),BetTable[S3])</f>
        <v>0</v>
      </c>
      <c r="E48" s="187" t="str">
        <f>IFERROR(VLOOKUP(ROW()-3,BookieName[#Data],3,FALSE),"")</f>
        <v>NorgeVegas</v>
      </c>
      <c r="F48" s="187">
        <f>SUMIF(LayTable[Bookmaker],VLOOKUP(ROW()-3,BookieName[#Data],2,FALSE),LayTable[BookieInnsats])+SUMIF(LayTable[Lay-bookie],VLOOKUP(ROW()-3,BookieName[#Data],2,FALSE),LayTable[LayLiability])</f>
        <v>0</v>
      </c>
      <c r="H48" s="182" t="str">
        <f>IFERROR(VLOOKUP(ROW()-3,BookieName[#Data],3,FALSE),"")</f>
        <v>NorgeVegas</v>
      </c>
      <c r="I48" s="182">
        <f>BookieTurnoverBackBets[[#This Row],[Turnover]]+BookieTurnoverLayBets[[#This Row],[Turnover]]</f>
        <v>0</v>
      </c>
    </row>
    <row r="49" spans="2:9">
      <c r="B49" s="187" t="str">
        <f>IFERROR(VLOOKUP(ROW()-3,BookieName[#Data],3,FALSE),"")</f>
        <v>NorskTipping</v>
      </c>
      <c r="C49" s="187">
        <f>SUMIF(BetTable[B1],VLOOKUP(ROW()-3,BookieName[#Data],2,FALSE),BetTable[S1])+SUMIF(BetTable[B2],VLOOKUP(ROW()-3,BookieName[#Data],2,FALSE),BetTable[S2])+SUMIF(BetTable[B3],VLOOKUP(ROW()-3,BookieName[#Data],2,FALSE),BetTable[S3])</f>
        <v>0</v>
      </c>
      <c r="E49" s="187" t="str">
        <f>IFERROR(VLOOKUP(ROW()-3,BookieName[#Data],3,FALSE),"")</f>
        <v>NorskTipping</v>
      </c>
      <c r="F49" s="187">
        <f>SUMIF(LayTable[Bookmaker],VLOOKUP(ROW()-3,BookieName[#Data],2,FALSE),LayTable[BookieInnsats])+SUMIF(LayTable[Lay-bookie],VLOOKUP(ROW()-3,BookieName[#Data],2,FALSE),LayTable[LayLiability])</f>
        <v>0</v>
      </c>
      <c r="H49" s="182" t="str">
        <f>IFERROR(VLOOKUP(ROW()-3,BookieName[#Data],3,FALSE),"")</f>
        <v>NorskTipping</v>
      </c>
      <c r="I49" s="182">
        <f>BookieTurnoverBackBets[[#This Row],[Turnover]]+BookieTurnoverLayBets[[#This Row],[Turnover]]</f>
        <v>0</v>
      </c>
    </row>
    <row r="50" spans="2:9">
      <c r="B50" s="187" t="str">
        <f>IFERROR(VLOOKUP(ROW()-3,BookieName[#Data],3,FALSE),"")</f>
        <v>Oddsautomaten</v>
      </c>
      <c r="C50" s="187">
        <f>SUMIF(BetTable[B1],VLOOKUP(ROW()-3,BookieName[#Data],2,FALSE),BetTable[S1])+SUMIF(BetTable[B2],VLOOKUP(ROW()-3,BookieName[#Data],2,FALSE),BetTable[S2])+SUMIF(BetTable[B3],VLOOKUP(ROW()-3,BookieName[#Data],2,FALSE),BetTable[S3])</f>
        <v>0</v>
      </c>
      <c r="E50" s="187" t="str">
        <f>IFERROR(VLOOKUP(ROW()-3,BookieName[#Data],3,FALSE),"")</f>
        <v>Oddsautomaten</v>
      </c>
      <c r="F50" s="187">
        <f>SUMIF(LayTable[Bookmaker],VLOOKUP(ROW()-3,BookieName[#Data],2,FALSE),LayTable[BookieInnsats])+SUMIF(LayTable[Lay-bookie],VLOOKUP(ROW()-3,BookieName[#Data],2,FALSE),LayTable[LayLiability])</f>
        <v>0</v>
      </c>
      <c r="H50" s="182" t="str">
        <f>IFERROR(VLOOKUP(ROW()-3,BookieName[#Data],3,FALSE),"")</f>
        <v>Oddsautomaten</v>
      </c>
      <c r="I50" s="182">
        <f>BookieTurnoverBackBets[[#This Row],[Turnover]]+BookieTurnoverLayBets[[#This Row],[Turnover]]</f>
        <v>0</v>
      </c>
    </row>
    <row r="51" spans="2:9">
      <c r="B51" s="187" t="str">
        <f>IFERROR(VLOOKUP(ROW()-3,BookieName[#Data],3,FALSE),"")</f>
        <v>Olybet</v>
      </c>
      <c r="C51" s="187">
        <f>SUMIF(BetTable[B1],VLOOKUP(ROW()-3,BookieName[#Data],2,FALSE),BetTable[S1])+SUMIF(BetTable[B2],VLOOKUP(ROW()-3,BookieName[#Data],2,FALSE),BetTable[S2])+SUMIF(BetTable[B3],VLOOKUP(ROW()-3,BookieName[#Data],2,FALSE),BetTable[S3])</f>
        <v>0</v>
      </c>
      <c r="E51" s="187" t="str">
        <f>IFERROR(VLOOKUP(ROW()-3,BookieName[#Data],3,FALSE),"")</f>
        <v>Olybet</v>
      </c>
      <c r="F51" s="187">
        <f>SUMIF(LayTable[Bookmaker],VLOOKUP(ROW()-3,BookieName[#Data],2,FALSE),LayTable[BookieInnsats])+SUMIF(LayTable[Lay-bookie],VLOOKUP(ROW()-3,BookieName[#Data],2,FALSE),LayTable[LayLiability])</f>
        <v>0</v>
      </c>
      <c r="H51" s="182" t="str">
        <f>IFERROR(VLOOKUP(ROW()-3,BookieName[#Data],3,FALSE),"")</f>
        <v>Olybet</v>
      </c>
      <c r="I51" s="182">
        <f>BookieTurnoverBackBets[[#This Row],[Turnover]]+BookieTurnoverLayBets[[#This Row],[Turnover]]</f>
        <v>0</v>
      </c>
    </row>
    <row r="52" spans="2:9">
      <c r="B52" s="187" t="str">
        <f>IFERROR(VLOOKUP(ROW()-3,BookieName[#Data],3,FALSE),"")</f>
        <v>Onebet</v>
      </c>
      <c r="C52" s="187">
        <f>SUMIF(BetTable[B1],VLOOKUP(ROW()-3,BookieName[#Data],2,FALSE),BetTable[S1])+SUMIF(BetTable[B2],VLOOKUP(ROW()-3,BookieName[#Data],2,FALSE),BetTable[S2])+SUMIF(BetTable[B3],VLOOKUP(ROW()-3,BookieName[#Data],2,FALSE),BetTable[S3])</f>
        <v>0</v>
      </c>
      <c r="E52" s="187" t="str">
        <f>IFERROR(VLOOKUP(ROW()-3,BookieName[#Data],3,FALSE),"")</f>
        <v>Onebet</v>
      </c>
      <c r="F52" s="187">
        <f>SUMIF(LayTable[Bookmaker],VLOOKUP(ROW()-3,BookieName[#Data],2,FALSE),LayTable[BookieInnsats])+SUMIF(LayTable[Lay-bookie],VLOOKUP(ROW()-3,BookieName[#Data],2,FALSE),LayTable[LayLiability])</f>
        <v>0</v>
      </c>
      <c r="H52" s="182" t="str">
        <f>IFERROR(VLOOKUP(ROW()-3,BookieName[#Data],3,FALSE),"")</f>
        <v>Onebet</v>
      </c>
      <c r="I52" s="182">
        <f>BookieTurnoverBackBets[[#This Row],[Turnover]]+BookieTurnoverLayBets[[#This Row],[Turnover]]</f>
        <v>0</v>
      </c>
    </row>
    <row r="53" spans="2:9">
      <c r="B53" s="187" t="str">
        <f>IFERROR(VLOOKUP(ROW()-3,BookieName[#Data],3,FALSE),"")</f>
        <v>Paddypower</v>
      </c>
      <c r="C53" s="187">
        <f>SUMIF(BetTable[B1],VLOOKUP(ROW()-3,BookieName[#Data],2,FALSE),BetTable[S1])+SUMIF(BetTable[B2],VLOOKUP(ROW()-3,BookieName[#Data],2,FALSE),BetTable[S2])+SUMIF(BetTable[B3],VLOOKUP(ROW()-3,BookieName[#Data],2,FALSE),BetTable[S3])</f>
        <v>0</v>
      </c>
      <c r="E53" s="187" t="str">
        <f>IFERROR(VLOOKUP(ROW()-3,BookieName[#Data],3,FALSE),"")</f>
        <v>Paddypower</v>
      </c>
      <c r="F53" s="187">
        <f>SUMIF(LayTable[Bookmaker],VLOOKUP(ROW()-3,BookieName[#Data],2,FALSE),LayTable[BookieInnsats])+SUMIF(LayTable[Lay-bookie],VLOOKUP(ROW()-3,BookieName[#Data],2,FALSE),LayTable[LayLiability])</f>
        <v>0</v>
      </c>
      <c r="H53" s="182" t="str">
        <f>IFERROR(VLOOKUP(ROW()-3,BookieName[#Data],3,FALSE),"")</f>
        <v>Paddypower</v>
      </c>
      <c r="I53" s="182">
        <f>BookieTurnoverBackBets[[#This Row],[Turnover]]+BookieTurnoverLayBets[[#This Row],[Turnover]]</f>
        <v>0</v>
      </c>
    </row>
    <row r="54" spans="2:9">
      <c r="B54" s="187" t="str">
        <f>IFERROR(VLOOKUP(ROW()-3,BookieName[#Data],3,FALSE),"")</f>
        <v>Pinnacle</v>
      </c>
      <c r="C54" s="187">
        <f>SUMIF(BetTable[B1],VLOOKUP(ROW()-3,BookieName[#Data],2,FALSE),BetTable[S1])+SUMIF(BetTable[B2],VLOOKUP(ROW()-3,BookieName[#Data],2,FALSE),BetTable[S2])+SUMIF(BetTable[B3],VLOOKUP(ROW()-3,BookieName[#Data],2,FALSE),BetTable[S3])</f>
        <v>0</v>
      </c>
      <c r="E54" s="187" t="str">
        <f>IFERROR(VLOOKUP(ROW()-3,BookieName[#Data],3,FALSE),"")</f>
        <v>Pinnacle</v>
      </c>
      <c r="F54" s="187">
        <f>SUMIF(LayTable[Bookmaker],VLOOKUP(ROW()-3,BookieName[#Data],2,FALSE),LayTable[BookieInnsats])+SUMIF(LayTable[Lay-bookie],VLOOKUP(ROW()-3,BookieName[#Data],2,FALSE),LayTable[LayLiability])</f>
        <v>0</v>
      </c>
      <c r="H54" s="182" t="str">
        <f>IFERROR(VLOOKUP(ROW()-3,BookieName[#Data],3,FALSE),"")</f>
        <v>Pinnacle</v>
      </c>
      <c r="I54" s="182">
        <f>BookieTurnoverBackBets[[#This Row],[Turnover]]+BookieTurnoverLayBets[[#This Row],[Turnover]]</f>
        <v>0</v>
      </c>
    </row>
    <row r="55" spans="2:9">
      <c r="B55" s="187" t="str">
        <f>IFERROR(VLOOKUP(ROW()-3,BookieName[#Data],3,FALSE),"")</f>
        <v>Racebets</v>
      </c>
      <c r="C55" s="187">
        <f>SUMIF(BetTable[B1],VLOOKUP(ROW()-3,BookieName[#Data],2,FALSE),BetTable[S1])+SUMIF(BetTable[B2],VLOOKUP(ROW()-3,BookieName[#Data],2,FALSE),BetTable[S2])+SUMIF(BetTable[B3],VLOOKUP(ROW()-3,BookieName[#Data],2,FALSE),BetTable[S3])</f>
        <v>0</v>
      </c>
      <c r="E55" s="187" t="str">
        <f>IFERROR(VLOOKUP(ROW()-3,BookieName[#Data],3,FALSE),"")</f>
        <v>Racebets</v>
      </c>
      <c r="F55" s="187">
        <f>SUMIF(LayTable[Bookmaker],VLOOKUP(ROW()-3,BookieName[#Data],2,FALSE),LayTable[BookieInnsats])+SUMIF(LayTable[Lay-bookie],VLOOKUP(ROW()-3,BookieName[#Data],2,FALSE),LayTable[LayLiability])</f>
        <v>0</v>
      </c>
      <c r="H55" s="182" t="str">
        <f>IFERROR(VLOOKUP(ROW()-3,BookieName[#Data],3,FALSE),"")</f>
        <v>Racebets</v>
      </c>
      <c r="I55" s="182">
        <f>BookieTurnoverBackBets[[#This Row],[Turnover]]+BookieTurnoverLayBets[[#This Row],[Turnover]]</f>
        <v>0</v>
      </c>
    </row>
    <row r="56" spans="2:9">
      <c r="B56" s="187" t="str">
        <f>IFERROR(VLOOKUP(ROW()-3,BookieName[#Data],3,FALSE),"")</f>
        <v>RealDealBet</v>
      </c>
      <c r="C56" s="187">
        <f>SUMIF(BetTable[B1],VLOOKUP(ROW()-3,BookieName[#Data],2,FALSE),BetTable[S1])+SUMIF(BetTable[B2],VLOOKUP(ROW()-3,BookieName[#Data],2,FALSE),BetTable[S2])+SUMIF(BetTable[B3],VLOOKUP(ROW()-3,BookieName[#Data],2,FALSE),BetTable[S3])</f>
        <v>0</v>
      </c>
      <c r="E56" s="187" t="str">
        <f>IFERROR(VLOOKUP(ROW()-3,BookieName[#Data],3,FALSE),"")</f>
        <v>RealDealBet</v>
      </c>
      <c r="F56" s="187">
        <f>SUMIF(LayTable[Bookmaker],VLOOKUP(ROW()-3,BookieName[#Data],2,FALSE),LayTable[BookieInnsats])+SUMIF(LayTable[Lay-bookie],VLOOKUP(ROW()-3,BookieName[#Data],2,FALSE),LayTable[LayLiability])</f>
        <v>0</v>
      </c>
      <c r="H56" s="182" t="str">
        <f>IFERROR(VLOOKUP(ROW()-3,BookieName[#Data],3,FALSE),"")</f>
        <v>RealDealBet</v>
      </c>
      <c r="I56" s="182">
        <f>BookieTurnoverBackBets[[#This Row],[Turnover]]+BookieTurnoverLayBets[[#This Row],[Turnover]]</f>
        <v>0</v>
      </c>
    </row>
    <row r="57" spans="2:9">
      <c r="B57" s="187" t="str">
        <f>IFERROR(VLOOKUP(ROW()-3,BookieName[#Data],3,FALSE),"")</f>
        <v>Redarmybet</v>
      </c>
      <c r="C57" s="187">
        <f>SUMIF(BetTable[B1],VLOOKUP(ROW()-3,BookieName[#Data],2,FALSE),BetTable[S1])+SUMIF(BetTable[B2],VLOOKUP(ROW()-3,BookieName[#Data],2,FALSE),BetTable[S2])+SUMIF(BetTable[B3],VLOOKUP(ROW()-3,BookieName[#Data],2,FALSE),BetTable[S3])</f>
        <v>0</v>
      </c>
      <c r="E57" s="187" t="str">
        <f>IFERROR(VLOOKUP(ROW()-3,BookieName[#Data],3,FALSE),"")</f>
        <v>Redarmybet</v>
      </c>
      <c r="F57" s="187">
        <f>SUMIF(LayTable[Bookmaker],VLOOKUP(ROW()-3,BookieName[#Data],2,FALSE),LayTable[BookieInnsats])+SUMIF(LayTable[Lay-bookie],VLOOKUP(ROW()-3,BookieName[#Data],2,FALSE),LayTable[LayLiability])</f>
        <v>0</v>
      </c>
      <c r="H57" s="182" t="str">
        <f>IFERROR(VLOOKUP(ROW()-3,BookieName[#Data],3,FALSE),"")</f>
        <v>Redarmybet</v>
      </c>
      <c r="I57" s="182">
        <f>BookieTurnoverBackBets[[#This Row],[Turnover]]+BookieTurnoverLayBets[[#This Row],[Turnover]]</f>
        <v>0</v>
      </c>
    </row>
    <row r="58" spans="2:9">
      <c r="B58" s="187" t="str">
        <f>IFERROR(VLOOKUP(ROW()-3,BookieName[#Data],3,FALSE),"")</f>
        <v>Redbet</v>
      </c>
      <c r="C58" s="187">
        <f>SUMIF(BetTable[B1],VLOOKUP(ROW()-3,BookieName[#Data],2,FALSE),BetTable[S1])+SUMIF(BetTable[B2],VLOOKUP(ROW()-3,BookieName[#Data],2,FALSE),BetTable[S2])+SUMIF(BetTable[B3],VLOOKUP(ROW()-3,BookieName[#Data],2,FALSE),BetTable[S3])</f>
        <v>0</v>
      </c>
      <c r="E58" s="187" t="str">
        <f>IFERROR(VLOOKUP(ROW()-3,BookieName[#Data],3,FALSE),"")</f>
        <v>Redbet</v>
      </c>
      <c r="F58" s="187">
        <f>SUMIF(LayTable[Bookmaker],VLOOKUP(ROW()-3,BookieName[#Data],2,FALSE),LayTable[BookieInnsats])+SUMIF(LayTable[Lay-bookie],VLOOKUP(ROW()-3,BookieName[#Data],2,FALSE),LayTable[LayLiability])</f>
        <v>0</v>
      </c>
      <c r="H58" s="182" t="str">
        <f>IFERROR(VLOOKUP(ROW()-3,BookieName[#Data],3,FALSE),"")</f>
        <v>Redbet</v>
      </c>
      <c r="I58" s="182">
        <f>BookieTurnoverBackBets[[#This Row],[Turnover]]+BookieTurnoverLayBets[[#This Row],[Turnover]]</f>
        <v>0</v>
      </c>
    </row>
    <row r="59" spans="2:9">
      <c r="B59" s="187" t="str">
        <f>IFERROR(VLOOKUP(ROW()-3,BookieName[#Data],3,FALSE),"")</f>
        <v>Redsbet</v>
      </c>
      <c r="C59" s="187">
        <f>SUMIF(BetTable[B1],VLOOKUP(ROW()-3,BookieName[#Data],2,FALSE),BetTable[S1])+SUMIF(BetTable[B2],VLOOKUP(ROW()-3,BookieName[#Data],2,FALSE),BetTable[S2])+SUMIF(BetTable[B3],VLOOKUP(ROW()-3,BookieName[#Data],2,FALSE),BetTable[S3])</f>
        <v>0</v>
      </c>
      <c r="E59" s="187" t="str">
        <f>IFERROR(VLOOKUP(ROW()-3,BookieName[#Data],3,FALSE),"")</f>
        <v>Redsbet</v>
      </c>
      <c r="F59" s="187">
        <f>SUMIF(LayTable[Bookmaker],VLOOKUP(ROW()-3,BookieName[#Data],2,FALSE),LayTable[BookieInnsats])+SUMIF(LayTable[Lay-bookie],VLOOKUP(ROW()-3,BookieName[#Data],2,FALSE),LayTable[LayLiability])</f>
        <v>0</v>
      </c>
      <c r="H59" s="182" t="str">
        <f>IFERROR(VLOOKUP(ROW()-3,BookieName[#Data],3,FALSE),"")</f>
        <v>Redsbet</v>
      </c>
      <c r="I59" s="182">
        <f>BookieTurnoverBackBets[[#This Row],[Turnover]]+BookieTurnoverLayBets[[#This Row],[Turnover]]</f>
        <v>0</v>
      </c>
    </row>
    <row r="60" spans="2:9">
      <c r="B60" s="187" t="str">
        <f>IFERROR(VLOOKUP(ROW()-3,BookieName[#Data],3,FALSE),"")</f>
        <v>Rivalo</v>
      </c>
      <c r="C60" s="187">
        <f>SUMIF(BetTable[B1],VLOOKUP(ROW()-3,BookieName[#Data],2,FALSE),BetTable[S1])+SUMIF(BetTable[B2],VLOOKUP(ROW()-3,BookieName[#Data],2,FALSE),BetTable[S2])+SUMIF(BetTable[B3],VLOOKUP(ROW()-3,BookieName[#Data],2,FALSE),BetTable[S3])</f>
        <v>0</v>
      </c>
      <c r="E60" s="187" t="str">
        <f>IFERROR(VLOOKUP(ROW()-3,BookieName[#Data],3,FALSE),"")</f>
        <v>Rivalo</v>
      </c>
      <c r="F60" s="187">
        <f>SUMIF(LayTable[Bookmaker],VLOOKUP(ROW()-3,BookieName[#Data],2,FALSE),LayTable[BookieInnsats])+SUMIF(LayTable[Lay-bookie],VLOOKUP(ROW()-3,BookieName[#Data],2,FALSE),LayTable[LayLiability])</f>
        <v>0</v>
      </c>
      <c r="H60" s="182" t="str">
        <f>IFERROR(VLOOKUP(ROW()-3,BookieName[#Data],3,FALSE),"")</f>
        <v>Rivalo</v>
      </c>
      <c r="I60" s="182">
        <f>BookieTurnoverBackBets[[#This Row],[Turnover]]+BookieTurnoverLayBets[[#This Row],[Turnover]]</f>
        <v>0</v>
      </c>
    </row>
    <row r="61" spans="2:9">
      <c r="B61" s="187" t="str">
        <f>IFERROR(VLOOKUP(ROW()-3,BookieName[#Data],3,FALSE),"")</f>
        <v>Rizk</v>
      </c>
      <c r="C61" s="187">
        <f>SUMIF(BetTable[B1],VLOOKUP(ROW()-3,BookieName[#Data],2,FALSE),BetTable[S1])+SUMIF(BetTable[B2],VLOOKUP(ROW()-3,BookieName[#Data],2,FALSE),BetTable[S2])+SUMIF(BetTable[B3],VLOOKUP(ROW()-3,BookieName[#Data],2,FALSE),BetTable[S3])</f>
        <v>0</v>
      </c>
      <c r="E61" s="187" t="str">
        <f>IFERROR(VLOOKUP(ROW()-3,BookieName[#Data],3,FALSE),"")</f>
        <v>Rizk</v>
      </c>
      <c r="F61" s="187">
        <f>SUMIF(LayTable[Bookmaker],VLOOKUP(ROW()-3,BookieName[#Data],2,FALSE),LayTable[BookieInnsats])+SUMIF(LayTable[Lay-bookie],VLOOKUP(ROW()-3,BookieName[#Data],2,FALSE),LayTable[LayLiability])</f>
        <v>0</v>
      </c>
      <c r="H61" s="182" t="str">
        <f>IFERROR(VLOOKUP(ROW()-3,BookieName[#Data],3,FALSE),"")</f>
        <v>Rizk</v>
      </c>
      <c r="I61" s="182">
        <f>BookieTurnoverBackBets[[#This Row],[Turnover]]+BookieTurnoverLayBets[[#This Row],[Turnover]]</f>
        <v>0</v>
      </c>
    </row>
    <row r="62" spans="2:9">
      <c r="B62" s="187" t="str">
        <f>IFERROR(VLOOKUP(ROW()-3,BookieName[#Data],3,FALSE),"")</f>
        <v>SBOBet</v>
      </c>
      <c r="C62" s="187">
        <f>SUMIF(BetTable[B1],VLOOKUP(ROW()-3,BookieName[#Data],2,FALSE),BetTable[S1])+SUMIF(BetTable[B2],VLOOKUP(ROW()-3,BookieName[#Data],2,FALSE),BetTable[S2])+SUMIF(BetTable[B3],VLOOKUP(ROW()-3,BookieName[#Data],2,FALSE),BetTable[S3])</f>
        <v>0</v>
      </c>
      <c r="E62" s="187" t="str">
        <f>IFERROR(VLOOKUP(ROW()-3,BookieName[#Data],3,FALSE),"")</f>
        <v>SBOBet</v>
      </c>
      <c r="F62" s="187">
        <f>SUMIF(LayTable[Bookmaker],VLOOKUP(ROW()-3,BookieName[#Data],2,FALSE),LayTable[BookieInnsats])+SUMIF(LayTable[Lay-bookie],VLOOKUP(ROW()-3,BookieName[#Data],2,FALSE),LayTable[LayLiability])</f>
        <v>0</v>
      </c>
      <c r="H62" s="182" t="str">
        <f>IFERROR(VLOOKUP(ROW()-3,BookieName[#Data],3,FALSE),"")</f>
        <v>SBOBet</v>
      </c>
      <c r="I62" s="182">
        <f>BookieTurnoverBackBets[[#This Row],[Turnover]]+BookieTurnoverLayBets[[#This Row],[Turnover]]</f>
        <v>0</v>
      </c>
    </row>
    <row r="63" spans="2:9">
      <c r="B63" s="187" t="str">
        <f>IFERROR(VLOOKUP(ROW()-3,BookieName[#Data],3,FALSE),"")</f>
        <v>Scandibet</v>
      </c>
      <c r="C63" s="187">
        <f>SUMIF(BetTable[B1],VLOOKUP(ROW()-3,BookieName[#Data],2,FALSE),BetTable[S1])+SUMIF(BetTable[B2],VLOOKUP(ROW()-3,BookieName[#Data],2,FALSE),BetTable[S2])+SUMIF(BetTable[B3],VLOOKUP(ROW()-3,BookieName[#Data],2,FALSE),BetTable[S3])</f>
        <v>0</v>
      </c>
      <c r="E63" s="187" t="str">
        <f>IFERROR(VLOOKUP(ROW()-3,BookieName[#Data],3,FALSE),"")</f>
        <v>Scandibet</v>
      </c>
      <c r="F63" s="187">
        <f>SUMIF(LayTable[Bookmaker],VLOOKUP(ROW()-3,BookieName[#Data],2,FALSE),LayTable[BookieInnsats])+SUMIF(LayTable[Lay-bookie],VLOOKUP(ROW()-3,BookieName[#Data],2,FALSE),LayTable[LayLiability])</f>
        <v>0</v>
      </c>
      <c r="H63" s="182" t="str">
        <f>IFERROR(VLOOKUP(ROW()-3,BookieName[#Data],3,FALSE),"")</f>
        <v>Scandibet</v>
      </c>
      <c r="I63" s="182">
        <f>BookieTurnoverBackBets[[#This Row],[Turnover]]+BookieTurnoverLayBets[[#This Row],[Turnover]]</f>
        <v>0</v>
      </c>
    </row>
    <row r="64" spans="2:9">
      <c r="B64" s="187" t="str">
        <f>IFERROR(VLOOKUP(ROW()-3,BookieName[#Data],3,FALSE),"")</f>
        <v>Spilleautomater</v>
      </c>
      <c r="C64" s="187">
        <f>SUMIF(BetTable[B1],VLOOKUP(ROW()-3,BookieName[#Data],2,FALSE),BetTable[S1])+SUMIF(BetTable[B2],VLOOKUP(ROW()-3,BookieName[#Data],2,FALSE),BetTable[S2])+SUMIF(BetTable[B3],VLOOKUP(ROW()-3,BookieName[#Data],2,FALSE),BetTable[S3])</f>
        <v>0</v>
      </c>
      <c r="E64" s="187" t="str">
        <f>IFERROR(VLOOKUP(ROW()-3,BookieName[#Data],3,FALSE),"")</f>
        <v>Spilleautomater</v>
      </c>
      <c r="F64" s="187">
        <f>SUMIF(LayTable[Bookmaker],VLOOKUP(ROW()-3,BookieName[#Data],2,FALSE),LayTable[BookieInnsats])+SUMIF(LayTable[Lay-bookie],VLOOKUP(ROW()-3,BookieName[#Data],2,FALSE),LayTable[LayLiability])</f>
        <v>0</v>
      </c>
      <c r="H64" s="182" t="str">
        <f>IFERROR(VLOOKUP(ROW()-3,BookieName[#Data],3,FALSE),"")</f>
        <v>Spilleautomater</v>
      </c>
      <c r="I64" s="182">
        <f>BookieTurnoverBackBets[[#This Row],[Turnover]]+BookieTurnoverLayBets[[#This Row],[Turnover]]</f>
        <v>0</v>
      </c>
    </row>
    <row r="65" spans="2:9">
      <c r="B65" s="187" t="str">
        <f>IFERROR(VLOOKUP(ROW()-3,BookieName[#Data],3,FALSE),"")</f>
        <v>Spinsports</v>
      </c>
      <c r="C65" s="187">
        <f>SUMIF(BetTable[B1],VLOOKUP(ROW()-3,BookieName[#Data],2,FALSE),BetTable[S1])+SUMIF(BetTable[B2],VLOOKUP(ROW()-3,BookieName[#Data],2,FALSE),BetTable[S2])+SUMIF(BetTable[B3],VLOOKUP(ROW()-3,BookieName[#Data],2,FALSE),BetTable[S3])</f>
        <v>0</v>
      </c>
      <c r="E65" s="187" t="str">
        <f>IFERROR(VLOOKUP(ROW()-3,BookieName[#Data],3,FALSE),"")</f>
        <v>Spinsports</v>
      </c>
      <c r="F65" s="187">
        <f>SUMIF(LayTable[Bookmaker],VLOOKUP(ROW()-3,BookieName[#Data],2,FALSE),LayTable[BookieInnsats])+SUMIF(LayTable[Lay-bookie],VLOOKUP(ROW()-3,BookieName[#Data],2,FALSE),LayTable[LayLiability])</f>
        <v>0</v>
      </c>
      <c r="H65" s="182" t="str">
        <f>IFERROR(VLOOKUP(ROW()-3,BookieName[#Data],3,FALSE),"")</f>
        <v>Spinsports</v>
      </c>
      <c r="I65" s="182">
        <f>BookieTurnoverBackBets[[#This Row],[Turnover]]+BookieTurnoverLayBets[[#This Row],[Turnover]]</f>
        <v>0</v>
      </c>
    </row>
    <row r="66" spans="2:9">
      <c r="B66" s="187" t="str">
        <f>IFERROR(VLOOKUP(ROW()-3,BookieName[#Data],3,FALSE),"")</f>
        <v>Sportmarket</v>
      </c>
      <c r="C66" s="187">
        <f>SUMIF(BetTable[B1],VLOOKUP(ROW()-3,BookieName[#Data],2,FALSE),BetTable[S1])+SUMIF(BetTable[B2],VLOOKUP(ROW()-3,BookieName[#Data],2,FALSE),BetTable[S2])+SUMIF(BetTable[B3],VLOOKUP(ROW()-3,BookieName[#Data],2,FALSE),BetTable[S3])</f>
        <v>0</v>
      </c>
      <c r="E66" s="187" t="str">
        <f>IFERROR(VLOOKUP(ROW()-3,BookieName[#Data],3,FALSE),"")</f>
        <v>Sportmarket</v>
      </c>
      <c r="F66" s="187">
        <f>SUMIF(LayTable[Bookmaker],VLOOKUP(ROW()-3,BookieName[#Data],2,FALSE),LayTable[BookieInnsats])+SUMIF(LayTable[Lay-bookie],VLOOKUP(ROW()-3,BookieName[#Data],2,FALSE),LayTable[LayLiability])</f>
        <v>0</v>
      </c>
      <c r="H66" s="182" t="str">
        <f>IFERROR(VLOOKUP(ROW()-3,BookieName[#Data],3,FALSE),"")</f>
        <v>Sportmarket</v>
      </c>
      <c r="I66" s="182">
        <f>BookieTurnoverBackBets[[#This Row],[Turnover]]+BookieTurnoverLayBets[[#This Row],[Turnover]]</f>
        <v>0</v>
      </c>
    </row>
    <row r="67" spans="2:9">
      <c r="B67" s="187" t="str">
        <f>IFERROR(VLOOKUP(ROW()-3,BookieName[#Data],3,FALSE),"")</f>
        <v>Storspiller</v>
      </c>
      <c r="C67" s="187">
        <f>SUMIF(BetTable[B1],VLOOKUP(ROW()-3,BookieName[#Data],2,FALSE),BetTable[S1])+SUMIF(BetTable[B2],VLOOKUP(ROW()-3,BookieName[#Data],2,FALSE),BetTable[S2])+SUMIF(BetTable[B3],VLOOKUP(ROW()-3,BookieName[#Data],2,FALSE),BetTable[S3])</f>
        <v>0</v>
      </c>
      <c r="E67" s="187" t="str">
        <f>IFERROR(VLOOKUP(ROW()-3,BookieName[#Data],3,FALSE),"")</f>
        <v>Storspiller</v>
      </c>
      <c r="F67" s="187">
        <f>SUMIF(LayTable[Bookmaker],VLOOKUP(ROW()-3,BookieName[#Data],2,FALSE),LayTable[BookieInnsats])+SUMIF(LayTable[Lay-bookie],VLOOKUP(ROW()-3,BookieName[#Data],2,FALSE),LayTable[LayLiability])</f>
        <v>0</v>
      </c>
      <c r="H67" s="182" t="str">
        <f>IFERROR(VLOOKUP(ROW()-3,BookieName[#Data],3,FALSE),"")</f>
        <v>Storspiller</v>
      </c>
      <c r="I67" s="182">
        <f>BookieTurnoverBackBets[[#This Row],[Turnover]]+BookieTurnoverLayBets[[#This Row],[Turnover]]</f>
        <v>0</v>
      </c>
    </row>
    <row r="68" spans="2:9">
      <c r="B68" s="187" t="str">
        <f>IFERROR(VLOOKUP(ROW()-3,BookieName[#Data],3,FALSE),"")</f>
        <v>Sunmaker</v>
      </c>
      <c r="C68" s="187">
        <f>SUMIF(BetTable[B1],VLOOKUP(ROW()-3,BookieName[#Data],2,FALSE),BetTable[S1])+SUMIF(BetTable[B2],VLOOKUP(ROW()-3,BookieName[#Data],2,FALSE),BetTable[S2])+SUMIF(BetTable[B3],VLOOKUP(ROW()-3,BookieName[#Data],2,FALSE),BetTable[S3])</f>
        <v>0</v>
      </c>
      <c r="E68" s="187" t="str">
        <f>IFERROR(VLOOKUP(ROW()-3,BookieName[#Data],3,FALSE),"")</f>
        <v>Sunmaker</v>
      </c>
      <c r="F68" s="187">
        <f>SUMIF(LayTable[Bookmaker],VLOOKUP(ROW()-3,BookieName[#Data],2,FALSE),LayTable[BookieInnsats])+SUMIF(LayTable[Lay-bookie],VLOOKUP(ROW()-3,BookieName[#Data],2,FALSE),LayTable[LayLiability])</f>
        <v>0</v>
      </c>
      <c r="H68" s="182" t="str">
        <f>IFERROR(VLOOKUP(ROW()-3,BookieName[#Data],3,FALSE),"")</f>
        <v>Sunmaker</v>
      </c>
      <c r="I68" s="182">
        <f>BookieTurnoverBackBets[[#This Row],[Turnover]]+BookieTurnoverLayBets[[#This Row],[Turnover]]</f>
        <v>0</v>
      </c>
    </row>
    <row r="69" spans="2:9">
      <c r="B69" s="187" t="str">
        <f>IFERROR(VLOOKUP(ROW()-3,BookieName[#Data],3,FALSE),"")</f>
        <v>Superlenny</v>
      </c>
      <c r="C69" s="187">
        <f>SUMIF(BetTable[B1],VLOOKUP(ROW()-3,BookieName[#Data],2,FALSE),BetTable[S1])+SUMIF(BetTable[B2],VLOOKUP(ROW()-3,BookieName[#Data],2,FALSE),BetTable[S2])+SUMIF(BetTable[B3],VLOOKUP(ROW()-3,BookieName[#Data],2,FALSE),BetTable[S3])</f>
        <v>0</v>
      </c>
      <c r="E69" s="187" t="str">
        <f>IFERROR(VLOOKUP(ROW()-3,BookieName[#Data],3,FALSE),"")</f>
        <v>Superlenny</v>
      </c>
      <c r="F69" s="187">
        <f>SUMIF(LayTable[Bookmaker],VLOOKUP(ROW()-3,BookieName[#Data],2,FALSE),LayTable[BookieInnsats])+SUMIF(LayTable[Lay-bookie],VLOOKUP(ROW()-3,BookieName[#Data],2,FALSE),LayTable[LayLiability])</f>
        <v>0</v>
      </c>
      <c r="H69" s="182" t="str">
        <f>IFERROR(VLOOKUP(ROW()-3,BookieName[#Data],3,FALSE),"")</f>
        <v>Superlenny</v>
      </c>
      <c r="I69" s="182">
        <f>BookieTurnoverBackBets[[#This Row],[Turnover]]+BookieTurnoverLayBets[[#This Row],[Turnover]]</f>
        <v>0</v>
      </c>
    </row>
    <row r="70" spans="2:9">
      <c r="B70" s="187" t="str">
        <f>IFERROR(VLOOKUP(ROW()-3,BookieName[#Data],3,FALSE),"")</f>
        <v>Titanbet</v>
      </c>
      <c r="C70" s="187">
        <f>SUMIF(BetTable[B1],VLOOKUP(ROW()-3,BookieName[#Data],2,FALSE),BetTable[S1])+SUMIF(BetTable[B2],VLOOKUP(ROW()-3,BookieName[#Data],2,FALSE),BetTable[S2])+SUMIF(BetTable[B3],VLOOKUP(ROW()-3,BookieName[#Data],2,FALSE),BetTable[S3])</f>
        <v>0</v>
      </c>
      <c r="E70" s="187" t="str">
        <f>IFERROR(VLOOKUP(ROW()-3,BookieName[#Data],3,FALSE),"")</f>
        <v>Titanbet</v>
      </c>
      <c r="F70" s="187">
        <f>SUMIF(LayTable[Bookmaker],VLOOKUP(ROW()-3,BookieName[#Data],2,FALSE),LayTable[BookieInnsats])+SUMIF(LayTable[Lay-bookie],VLOOKUP(ROW()-3,BookieName[#Data],2,FALSE),LayTable[LayLiability])</f>
        <v>0</v>
      </c>
      <c r="H70" s="182" t="str">
        <f>IFERROR(VLOOKUP(ROW()-3,BookieName[#Data],3,FALSE),"")</f>
        <v>Titanbet</v>
      </c>
      <c r="I70" s="182">
        <f>BookieTurnoverBackBets[[#This Row],[Turnover]]+BookieTurnoverLayBets[[#This Row],[Turnover]]</f>
        <v>0</v>
      </c>
    </row>
    <row r="71" spans="2:9">
      <c r="B71" s="187" t="str">
        <f>IFERROR(VLOOKUP(ROW()-3,BookieName[#Data],3,FALSE),"")</f>
        <v>Unibet</v>
      </c>
      <c r="C71" s="187">
        <f>SUMIF(BetTable[B1],VLOOKUP(ROW()-3,BookieName[#Data],2,FALSE),BetTable[S1])+SUMIF(BetTable[B2],VLOOKUP(ROW()-3,BookieName[#Data],2,FALSE),BetTable[S2])+SUMIF(BetTable[B3],VLOOKUP(ROW()-3,BookieName[#Data],2,FALSE),BetTable[S3])</f>
        <v>0</v>
      </c>
      <c r="E71" s="187" t="str">
        <f>IFERROR(VLOOKUP(ROW()-3,BookieName[#Data],3,FALSE),"")</f>
        <v>Unibet</v>
      </c>
      <c r="F71" s="187">
        <f>SUMIF(LayTable[Bookmaker],VLOOKUP(ROW()-3,BookieName[#Data],2,FALSE),LayTable[BookieInnsats])+SUMIF(LayTable[Lay-bookie],VLOOKUP(ROW()-3,BookieName[#Data],2,FALSE),LayTable[LayLiability])</f>
        <v>0</v>
      </c>
      <c r="H71" s="182" t="str">
        <f>IFERROR(VLOOKUP(ROW()-3,BookieName[#Data],3,FALSE),"")</f>
        <v>Unibet</v>
      </c>
      <c r="I71" s="182">
        <f>BookieTurnoverBackBets[[#This Row],[Turnover]]+BookieTurnoverLayBets[[#This Row],[Turnover]]</f>
        <v>0</v>
      </c>
    </row>
    <row r="72" spans="2:9">
      <c r="B72" s="187" t="str">
        <f>IFERROR(VLOOKUP(ROW()-3,BookieName[#Data],3,FALSE),"")</f>
        <v>Vervepenger</v>
      </c>
      <c r="C72" s="187">
        <f>SUMIF(BetTable[B1],VLOOKUP(ROW()-3,BookieName[#Data],2,FALSE),BetTable[S1])+SUMIF(BetTable[B2],VLOOKUP(ROW()-3,BookieName[#Data],2,FALSE),BetTable[S2])+SUMIF(BetTable[B3],VLOOKUP(ROW()-3,BookieName[#Data],2,FALSE),BetTable[S3])</f>
        <v>0</v>
      </c>
      <c r="E72" s="187" t="str">
        <f>IFERROR(VLOOKUP(ROW()-3,BookieName[#Data],3,FALSE),"")</f>
        <v>Vervepenger</v>
      </c>
      <c r="F72" s="187">
        <f>SUMIF(LayTable[Bookmaker],VLOOKUP(ROW()-3,BookieName[#Data],2,FALSE),LayTable[BookieInnsats])+SUMIF(LayTable[Lay-bookie],VLOOKUP(ROW()-3,BookieName[#Data],2,FALSE),LayTable[LayLiability])</f>
        <v>0</v>
      </c>
      <c r="H72" s="182" t="str">
        <f>IFERROR(VLOOKUP(ROW()-3,BookieName[#Data],3,FALSE),"")</f>
        <v>Vervepenger</v>
      </c>
      <c r="I72" s="182">
        <f>BookieTurnoverBackBets[[#This Row],[Turnover]]+BookieTurnoverLayBets[[#This Row],[Turnover]]</f>
        <v>0</v>
      </c>
    </row>
    <row r="73" spans="2:9">
      <c r="B73" s="187" t="str">
        <f>IFERROR(VLOOKUP(ROW()-3,BookieName[#Data],3,FALSE),"")</f>
        <v>VonBets</v>
      </c>
      <c r="C73" s="187">
        <f>SUMIF(BetTable[B1],VLOOKUP(ROW()-3,BookieName[#Data],2,FALSE),BetTable[S1])+SUMIF(BetTable[B2],VLOOKUP(ROW()-3,BookieName[#Data],2,FALSE),BetTable[S2])+SUMIF(BetTable[B3],VLOOKUP(ROW()-3,BookieName[#Data],2,FALSE),BetTable[S3])</f>
        <v>0</v>
      </c>
      <c r="E73" s="187" t="str">
        <f>IFERROR(VLOOKUP(ROW()-3,BookieName[#Data],3,FALSE),"")</f>
        <v>VonBets</v>
      </c>
      <c r="F73" s="187">
        <f>SUMIF(LayTable[Bookmaker],VLOOKUP(ROW()-3,BookieName[#Data],2,FALSE),LayTable[BookieInnsats])+SUMIF(LayTable[Lay-bookie],VLOOKUP(ROW()-3,BookieName[#Data],2,FALSE),LayTable[LayLiability])</f>
        <v>0</v>
      </c>
      <c r="H73" s="182" t="str">
        <f>IFERROR(VLOOKUP(ROW()-3,BookieName[#Data],3,FALSE),"")</f>
        <v>VonBets</v>
      </c>
      <c r="I73" s="182">
        <f>BookieTurnoverBackBets[[#This Row],[Turnover]]+BookieTurnoverLayBets[[#This Row],[Turnover]]</f>
        <v>0</v>
      </c>
    </row>
    <row r="74" spans="2:9">
      <c r="B74" s="187" t="str">
        <f>IFERROR(VLOOKUP(ROW()-3,BookieName[#Data],3,FALSE),"")</f>
        <v>Xtip</v>
      </c>
      <c r="C74" s="187">
        <f>SUMIF(BetTable[B1],VLOOKUP(ROW()-3,BookieName[#Data],2,FALSE),BetTable[S1])+SUMIF(BetTable[B2],VLOOKUP(ROW()-3,BookieName[#Data],2,FALSE),BetTable[S2])+SUMIF(BetTable[B3],VLOOKUP(ROW()-3,BookieName[#Data],2,FALSE),BetTable[S3])</f>
        <v>0</v>
      </c>
      <c r="E74" s="187" t="str">
        <f>IFERROR(VLOOKUP(ROW()-3,BookieName[#Data],3,FALSE),"")</f>
        <v>Xtip</v>
      </c>
      <c r="F74" s="187">
        <f>SUMIF(LayTable[Bookmaker],VLOOKUP(ROW()-3,BookieName[#Data],2,FALSE),LayTable[BookieInnsats])+SUMIF(LayTable[Lay-bookie],VLOOKUP(ROW()-3,BookieName[#Data],2,FALSE),LayTable[LayLiability])</f>
        <v>0</v>
      </c>
      <c r="H74" s="182" t="str">
        <f>IFERROR(VLOOKUP(ROW()-3,BookieName[#Data],3,FALSE),"")</f>
        <v>Xtip</v>
      </c>
      <c r="I74" s="182">
        <f>BookieTurnoverBackBets[[#This Row],[Turnover]]+BookieTurnoverLayBets[[#This Row],[Turnover]]</f>
        <v>0</v>
      </c>
    </row>
    <row r="75" spans="2:9">
      <c r="B75" s="187" t="str">
        <f>IFERROR(VLOOKUP(ROW()-3,BookieName[#Data],3,FALSE),"")</f>
        <v>LiBetsson</v>
      </c>
      <c r="C75" s="187">
        <f>SUMIF(BetTable[B1],VLOOKUP(ROW()-3,BookieName[#Data],2,FALSE),BetTable[S1])+SUMIF(BetTable[B2],VLOOKUP(ROW()-3,BookieName[#Data],2,FALSE),BetTable[S2])+SUMIF(BetTable[B3],VLOOKUP(ROW()-3,BookieName[#Data],2,FALSE),BetTable[S3])</f>
        <v>0</v>
      </c>
      <c r="E75" s="187" t="str">
        <f>IFERROR(VLOOKUP(ROW()-3,BookieName[#Data],3,FALSE),"")</f>
        <v>LiBetsson</v>
      </c>
      <c r="F75" s="187">
        <f>SUMIF(LayTable[Bookmaker],VLOOKUP(ROW()-3,BookieName[#Data],2,FALSE),LayTable[BookieInnsats])+SUMIF(LayTable[Lay-bookie],VLOOKUP(ROW()-3,BookieName[#Data],2,FALSE),LayTable[LayLiability])</f>
        <v>0</v>
      </c>
      <c r="H75" s="182" t="str">
        <f>IFERROR(VLOOKUP(ROW()-3,BookieName[#Data],3,FALSE),"")</f>
        <v>LiBetsson</v>
      </c>
      <c r="I75" s="182">
        <f>BookieTurnoverBackBets[[#This Row],[Turnover]]+BookieTurnoverLayBets[[#This Row],[Turnover]]</f>
        <v>0</v>
      </c>
    </row>
    <row r="76" spans="2:9">
      <c r="B76" s="187" t="str">
        <f>IFERROR(VLOOKUP(ROW()-3,BookieName[#Data],3,FALSE),"")</f>
        <v>LiBetsafe</v>
      </c>
      <c r="C76" s="187">
        <f>SUMIF(BetTable[B1],VLOOKUP(ROW()-3,BookieName[#Data],2,FALSE),BetTable[S1])+SUMIF(BetTable[B2],VLOOKUP(ROW()-3,BookieName[#Data],2,FALSE),BetTable[S2])+SUMIF(BetTable[B3],VLOOKUP(ROW()-3,BookieName[#Data],2,FALSE),BetTable[S3])</f>
        <v>0</v>
      </c>
      <c r="E76" s="187" t="str">
        <f>IFERROR(VLOOKUP(ROW()-3,BookieName[#Data],3,FALSE),"")</f>
        <v>LiBetsafe</v>
      </c>
      <c r="F76" s="187">
        <f>SUMIF(LayTable[Bookmaker],VLOOKUP(ROW()-3,BookieName[#Data],2,FALSE),LayTable[BookieInnsats])+SUMIF(LayTable[Lay-bookie],VLOOKUP(ROW()-3,BookieName[#Data],2,FALSE),LayTable[LayLiability])</f>
        <v>0</v>
      </c>
      <c r="H76" s="182" t="str">
        <f>IFERROR(VLOOKUP(ROW()-3,BookieName[#Data],3,FALSE),"")</f>
        <v>LiBetsafe</v>
      </c>
      <c r="I76" s="182">
        <f>BookieTurnoverBackBets[[#This Row],[Turnover]]+BookieTurnoverLayBets[[#This Row],[Turnover]]</f>
        <v>0</v>
      </c>
    </row>
    <row r="77" spans="2:9">
      <c r="B77" s="187" t="str">
        <f>IFERROR(VLOOKUP(ROW()-3,BookieName[#Data],3,FALSE),"")</f>
        <v>LiNordicbet</v>
      </c>
      <c r="C77" s="187">
        <f>SUMIF(BetTable[B1],VLOOKUP(ROW()-3,BookieName[#Data],2,FALSE),BetTable[S1])+SUMIF(BetTable[B2],VLOOKUP(ROW()-3,BookieName[#Data],2,FALSE),BetTable[S2])+SUMIF(BetTable[B3],VLOOKUP(ROW()-3,BookieName[#Data],2,FALSE),BetTable[S3])</f>
        <v>0</v>
      </c>
      <c r="E77" s="187" t="str">
        <f>IFERROR(VLOOKUP(ROW()-3,BookieName[#Data],3,FALSE),"")</f>
        <v>LiNordicbet</v>
      </c>
      <c r="F77" s="187">
        <f>SUMIF(LayTable[Bookmaker],VLOOKUP(ROW()-3,BookieName[#Data],2,FALSE),LayTable[BookieInnsats])+SUMIF(LayTable[Lay-bookie],VLOOKUP(ROW()-3,BookieName[#Data],2,FALSE),LayTable[LayLiability])</f>
        <v>0</v>
      </c>
      <c r="H77" s="182" t="str">
        <f>IFERROR(VLOOKUP(ROW()-3,BookieName[#Data],3,FALSE),"")</f>
        <v>LiNordicbet</v>
      </c>
      <c r="I77" s="182">
        <f>BookieTurnoverBackBets[[#This Row],[Turnover]]+BookieTurnoverLayBets[[#This Row],[Turnover]]</f>
        <v>0</v>
      </c>
    </row>
    <row r="78" spans="2:9">
      <c r="B78" s="187" t="str">
        <f>IFERROR(VLOOKUP(ROW()-3,BookieName[#Data],3,FALSE),"")</f>
        <v>LiUnibet</v>
      </c>
      <c r="C78" s="187">
        <f>SUMIF(BetTable[B1],VLOOKUP(ROW()-3,BookieName[#Data],2,FALSE),BetTable[S1])+SUMIF(BetTable[B2],VLOOKUP(ROW()-3,BookieName[#Data],2,FALSE),BetTable[S2])+SUMIF(BetTable[B3],VLOOKUP(ROW()-3,BookieName[#Data],2,FALSE),BetTable[S3])</f>
        <v>0</v>
      </c>
      <c r="E78" s="187" t="str">
        <f>IFERROR(VLOOKUP(ROW()-3,BookieName[#Data],3,FALSE),"")</f>
        <v>LiUnibet</v>
      </c>
      <c r="F78" s="187">
        <f>SUMIF(LayTable[Bookmaker],VLOOKUP(ROW()-3,BookieName[#Data],2,FALSE),LayTable[BookieInnsats])+SUMIF(LayTable[Lay-bookie],VLOOKUP(ROW()-3,BookieName[#Data],2,FALSE),LayTable[LayLiability])</f>
        <v>0</v>
      </c>
      <c r="H78" s="182" t="str">
        <f>IFERROR(VLOOKUP(ROW()-3,BookieName[#Data],3,FALSE),"")</f>
        <v>LiUnibet</v>
      </c>
      <c r="I78" s="182">
        <f>BookieTurnoverBackBets[[#This Row],[Turnover]]+BookieTurnoverLayBets[[#This Row],[Turnover]]</f>
        <v>0</v>
      </c>
    </row>
    <row r="79" spans="2:9">
      <c r="B79" s="187" t="str">
        <f>IFERROR(VLOOKUP(ROW()-3,BookieName[#Data],3,FALSE),"")</f>
        <v>LiBethard</v>
      </c>
      <c r="C79" s="187">
        <f>SUMIF(BetTable[B1],VLOOKUP(ROW()-3,BookieName[#Data],2,FALSE),BetTable[S1])+SUMIF(BetTable[B2],VLOOKUP(ROW()-3,BookieName[#Data],2,FALSE),BetTable[S2])+SUMIF(BetTable[B3],VLOOKUP(ROW()-3,BookieName[#Data],2,FALSE),BetTable[S3])</f>
        <v>0</v>
      </c>
      <c r="E79" s="187" t="str">
        <f>IFERROR(VLOOKUP(ROW()-3,BookieName[#Data],3,FALSE),"")</f>
        <v>LiBethard</v>
      </c>
      <c r="F79" s="187">
        <f>SUMIF(LayTable[Bookmaker],VLOOKUP(ROW()-3,BookieName[#Data],2,FALSE),LayTable[BookieInnsats])+SUMIF(LayTable[Lay-bookie],VLOOKUP(ROW()-3,BookieName[#Data],2,FALSE),LayTable[LayLiability])</f>
        <v>0</v>
      </c>
      <c r="H79" s="182" t="str">
        <f>IFERROR(VLOOKUP(ROW()-3,BookieName[#Data],3,FALSE),"")</f>
        <v>LiBethard</v>
      </c>
      <c r="I79" s="182">
        <f>BookieTurnoverBackBets[[#This Row],[Turnover]]+BookieTurnoverLayBets[[#This Row],[Turnover]]</f>
        <v>0</v>
      </c>
    </row>
    <row r="80" spans="2:9">
      <c r="B80" s="187" t="str">
        <f>IFERROR(VLOOKUP(ROW()-3,BookieName[#Data],3,FALSE),"")</f>
        <v>LiBet365</v>
      </c>
      <c r="C80" s="187">
        <f>SUMIF(BetTable[B1],VLOOKUP(ROW()-3,BookieName[#Data],2,FALSE),BetTable[S1])+SUMIF(BetTable[B2],VLOOKUP(ROW()-3,BookieName[#Data],2,FALSE),BetTable[S2])+SUMIF(BetTable[B3],VLOOKUP(ROW()-3,BookieName[#Data],2,FALSE),BetTable[S3])</f>
        <v>0</v>
      </c>
      <c r="E80" s="187" t="str">
        <f>IFERROR(VLOOKUP(ROW()-3,BookieName[#Data],3,FALSE),"")</f>
        <v>LiBet365</v>
      </c>
      <c r="F80" s="187">
        <f>SUMIF(LayTable[Bookmaker],VLOOKUP(ROW()-3,BookieName[#Data],2,FALSE),LayTable[BookieInnsats])+SUMIF(LayTable[Lay-bookie],VLOOKUP(ROW()-3,BookieName[#Data],2,FALSE),LayTable[LayLiability])</f>
        <v>0</v>
      </c>
      <c r="H80" s="182" t="str">
        <f>IFERROR(VLOOKUP(ROW()-3,BookieName[#Data],3,FALSE),"")</f>
        <v>LiBet365</v>
      </c>
      <c r="I80" s="182">
        <f>BookieTurnoverBackBets[[#This Row],[Turnover]]+BookieTurnoverLayBets[[#This Row],[Turnover]]</f>
        <v>0</v>
      </c>
    </row>
    <row r="81" spans="2:9">
      <c r="B81" s="187" t="str">
        <f>IFERROR(VLOOKUP(ROW()-3,BookieName[#Data],3,FALSE),"")</f>
        <v>LiComeOn</v>
      </c>
      <c r="C81" s="187">
        <f>SUMIF(BetTable[B1],VLOOKUP(ROW()-3,BookieName[#Data],2,FALSE),BetTable[S1])+SUMIF(BetTable[B2],VLOOKUP(ROW()-3,BookieName[#Data],2,FALSE),BetTable[S2])+SUMIF(BetTable[B3],VLOOKUP(ROW()-3,BookieName[#Data],2,FALSE),BetTable[S3])</f>
        <v>0</v>
      </c>
      <c r="E81" s="187" t="str">
        <f>IFERROR(VLOOKUP(ROW()-3,BookieName[#Data],3,FALSE),"")</f>
        <v>LiComeOn</v>
      </c>
      <c r="F81" s="187">
        <f>SUMIF(LayTable[Bookmaker],VLOOKUP(ROW()-3,BookieName[#Data],2,FALSE),LayTable[BookieInnsats])+SUMIF(LayTable[Lay-bookie],VLOOKUP(ROW()-3,BookieName[#Data],2,FALSE),LayTable[LayLiability])</f>
        <v>0</v>
      </c>
      <c r="H81" s="182" t="str">
        <f>IFERROR(VLOOKUP(ROW()-3,BookieName[#Data],3,FALSE),"")</f>
        <v>LiComeOn</v>
      </c>
      <c r="I81" s="182">
        <f>BookieTurnoverBackBets[[#This Row],[Turnover]]+BookieTurnoverLayBets[[#This Row],[Turnover]]</f>
        <v>0</v>
      </c>
    </row>
    <row r="82" spans="2:9">
      <c r="B82" s="187" t="str">
        <f>IFERROR(VLOOKUP(ROW()-3,BookieName[#Data],3,FALSE),"")</f>
        <v>LiRizk</v>
      </c>
      <c r="C82" s="187">
        <f>SUMIF(BetTable[B1],VLOOKUP(ROW()-3,BookieName[#Data],2,FALSE),BetTable[S1])+SUMIF(BetTable[B2],VLOOKUP(ROW()-3,BookieName[#Data],2,FALSE),BetTable[S2])+SUMIF(BetTable[B3],VLOOKUP(ROW()-3,BookieName[#Data],2,FALSE),BetTable[S3])</f>
        <v>0</v>
      </c>
      <c r="E82" s="187" t="str">
        <f>IFERROR(VLOOKUP(ROW()-3,BookieName[#Data],3,FALSE),"")</f>
        <v>LiRizk</v>
      </c>
      <c r="F82" s="187">
        <f>SUMIF(LayTable[Bookmaker],VLOOKUP(ROW()-3,BookieName[#Data],2,FALSE),LayTable[BookieInnsats])+SUMIF(LayTable[Lay-bookie],VLOOKUP(ROW()-3,BookieName[#Data],2,FALSE),LayTable[LayLiability])</f>
        <v>0</v>
      </c>
      <c r="H82" s="182" t="str">
        <f>IFERROR(VLOOKUP(ROW()-3,BookieName[#Data],3,FALSE),"")</f>
        <v>LiRizk</v>
      </c>
      <c r="I82" s="182">
        <f>BookieTurnoverBackBets[[#This Row],[Turnover]]+BookieTurnoverLayBets[[#This Row],[Turnover]]</f>
        <v>0</v>
      </c>
    </row>
    <row r="83" spans="2:9">
      <c r="B83" s="187" t="str">
        <f>IFERROR(VLOOKUP(ROW()-3,BookieName[#Data],3,FALSE),"")</f>
        <v>LiBet90</v>
      </c>
      <c r="C83" s="187">
        <f>SUMIF(BetTable[B1],VLOOKUP(ROW()-3,BookieName[#Data],2,FALSE),BetTable[S1])+SUMIF(BetTable[B2],VLOOKUP(ROW()-3,BookieName[#Data],2,FALSE),BetTable[S2])+SUMIF(BetTable[B3],VLOOKUP(ROW()-3,BookieName[#Data],2,FALSE),BetTable[S3])</f>
        <v>0</v>
      </c>
      <c r="E83" s="187" t="str">
        <f>IFERROR(VLOOKUP(ROW()-3,BookieName[#Data],3,FALSE),"")</f>
        <v>LiBet90</v>
      </c>
      <c r="F83" s="187">
        <f>SUMIF(LayTable[Bookmaker],VLOOKUP(ROW()-3,BookieName[#Data],2,FALSE),LayTable[BookieInnsats])+SUMIF(LayTable[Lay-bookie],VLOOKUP(ROW()-3,BookieName[#Data],2,FALSE),LayTable[LayLiability])</f>
        <v>0</v>
      </c>
      <c r="H83" s="182" t="str">
        <f>IFERROR(VLOOKUP(ROW()-3,BookieName[#Data],3,FALSE),"")</f>
        <v>LiBet90</v>
      </c>
      <c r="I83" s="182">
        <f>BookieTurnoverBackBets[[#This Row],[Turnover]]+BookieTurnoverLayBets[[#This Row],[Turnover]]</f>
        <v>0</v>
      </c>
    </row>
    <row r="84" spans="2:9">
      <c r="B84" s="187" t="str">
        <f>IFERROR(VLOOKUP(ROW()-3,BookieName[#Data],3,FALSE),"")</f>
        <v>LiNorgesspill</v>
      </c>
      <c r="C84" s="187">
        <f>SUMIF(BetTable[B1],VLOOKUP(ROW()-3,BookieName[#Data],2,FALSE),BetTable[S1])+SUMIF(BetTable[B2],VLOOKUP(ROW()-3,BookieName[#Data],2,FALSE),BetTable[S2])+SUMIF(BetTable[B3],VLOOKUP(ROW()-3,BookieName[#Data],2,FALSE),BetTable[S3])</f>
        <v>0</v>
      </c>
      <c r="E84" s="187" t="str">
        <f>IFERROR(VLOOKUP(ROW()-3,BookieName[#Data],3,FALSE),"")</f>
        <v>LiNorgesspill</v>
      </c>
      <c r="F84" s="187">
        <f>SUMIF(LayTable[Bookmaker],VLOOKUP(ROW()-3,BookieName[#Data],2,FALSE),LayTable[BookieInnsats])+SUMIF(LayTable[Lay-bookie],VLOOKUP(ROW()-3,BookieName[#Data],2,FALSE),LayTable[LayLiability])</f>
        <v>0</v>
      </c>
      <c r="H84" s="182" t="str">
        <f>IFERROR(VLOOKUP(ROW()-3,BookieName[#Data],3,FALSE),"")</f>
        <v>LiNorgesspill</v>
      </c>
      <c r="I84" s="182">
        <f>BookieTurnoverBackBets[[#This Row],[Turnover]]+BookieTurnoverLayBets[[#This Row],[Turnover]]</f>
        <v>0</v>
      </c>
    </row>
    <row r="85" spans="2:9">
      <c r="B85" s="187" t="str">
        <f>IFERROR(VLOOKUP(ROW()-3,BookieName[#Data],3,FALSE),"")</f>
        <v>LiLeoVegas</v>
      </c>
      <c r="C85" s="187">
        <f>SUMIF(BetTable[B1],VLOOKUP(ROW()-3,BookieName[#Data],2,FALSE),BetTable[S1])+SUMIF(BetTable[B2],VLOOKUP(ROW()-3,BookieName[#Data],2,FALSE),BetTable[S2])+SUMIF(BetTable[B3],VLOOKUP(ROW()-3,BookieName[#Data],2,FALSE),BetTable[S3])</f>
        <v>0</v>
      </c>
      <c r="E85" s="187" t="str">
        <f>IFERROR(VLOOKUP(ROW()-3,BookieName[#Data],3,FALSE),"")</f>
        <v>LiLeoVegas</v>
      </c>
      <c r="F85" s="187">
        <f>SUMIF(LayTable[Bookmaker],VLOOKUP(ROW()-3,BookieName[#Data],2,FALSE),LayTable[BookieInnsats])+SUMIF(LayTable[Lay-bookie],VLOOKUP(ROW()-3,BookieName[#Data],2,FALSE),LayTable[LayLiability])</f>
        <v>0</v>
      </c>
      <c r="H85" s="182" t="str">
        <f>IFERROR(VLOOKUP(ROW()-3,BookieName[#Data],3,FALSE),"")</f>
        <v>LiLeoVegas</v>
      </c>
      <c r="I85" s="182">
        <f>BookieTurnoverBackBets[[#This Row],[Turnover]]+BookieTurnoverLayBets[[#This Row],[Turnover]]</f>
        <v>0</v>
      </c>
    </row>
    <row r="86" spans="2:9">
      <c r="B86" s="187" t="str">
        <f>IFERROR(VLOOKUP(ROW()-3,BookieName[#Data],3,FALSE),"")</f>
        <v>LiGuts</v>
      </c>
      <c r="C86" s="187">
        <f>SUMIF(BetTable[B1],VLOOKUP(ROW()-3,BookieName[#Data],2,FALSE),BetTable[S1])+SUMIF(BetTable[B2],VLOOKUP(ROW()-3,BookieName[#Data],2,FALSE),BetTable[S2])+SUMIF(BetTable[B3],VLOOKUP(ROW()-3,BookieName[#Data],2,FALSE),BetTable[S3])</f>
        <v>0</v>
      </c>
      <c r="E86" s="187" t="str">
        <f>IFERROR(VLOOKUP(ROW()-3,BookieName[#Data],3,FALSE),"")</f>
        <v>LiGuts</v>
      </c>
      <c r="F86" s="187">
        <f>SUMIF(LayTable[Bookmaker],VLOOKUP(ROW()-3,BookieName[#Data],2,FALSE),LayTable[BookieInnsats])+SUMIF(LayTable[Lay-bookie],VLOOKUP(ROW()-3,BookieName[#Data],2,FALSE),LayTable[LayLiability])</f>
        <v>0</v>
      </c>
      <c r="H86" s="182" t="str">
        <f>IFERROR(VLOOKUP(ROW()-3,BookieName[#Data],3,FALSE),"")</f>
        <v>LiGuts</v>
      </c>
      <c r="I86" s="182">
        <f>BookieTurnoverBackBets[[#This Row],[Turnover]]+BookieTurnoverLayBets[[#This Row],[Turnover]]</f>
        <v>0</v>
      </c>
    </row>
    <row r="87" spans="2:9">
      <c r="B87" s="187" t="str">
        <f>IFERROR(VLOOKUP(ROW()-3,BookieName[#Data],3,FALSE),"")</f>
        <v>AaBetsson</v>
      </c>
      <c r="C87" s="187">
        <f>SUMIF(BetTable[B1],VLOOKUP(ROW()-3,BookieName[#Data],2,FALSE),BetTable[S1])+SUMIF(BetTable[B2],VLOOKUP(ROW()-3,BookieName[#Data],2,FALSE),BetTable[S2])+SUMIF(BetTable[B3],VLOOKUP(ROW()-3,BookieName[#Data],2,FALSE),BetTable[S3])</f>
        <v>0</v>
      </c>
      <c r="E87" s="187" t="str">
        <f>IFERROR(VLOOKUP(ROW()-3,BookieName[#Data],3,FALSE),"")</f>
        <v>AaBetsson</v>
      </c>
      <c r="F87" s="187">
        <f>SUMIF(LayTable[Bookmaker],VLOOKUP(ROW()-3,BookieName[#Data],2,FALSE),LayTable[BookieInnsats])+SUMIF(LayTable[Lay-bookie],VLOOKUP(ROW()-3,BookieName[#Data],2,FALSE),LayTable[LayLiability])</f>
        <v>0</v>
      </c>
      <c r="H87" s="182" t="str">
        <f>IFERROR(VLOOKUP(ROW()-3,BookieName[#Data],3,FALSE),"")</f>
        <v>AaBetsson</v>
      </c>
      <c r="I87" s="182">
        <f>BookieTurnoverBackBets[[#This Row],[Turnover]]+BookieTurnoverLayBets[[#This Row],[Turnover]]</f>
        <v>0</v>
      </c>
    </row>
    <row r="88" spans="2:9">
      <c r="B88" s="187" t="str">
        <f>IFERROR(VLOOKUP(ROW()-3,BookieName[#Data],3,FALSE),"")</f>
        <v>AaBetsafe</v>
      </c>
      <c r="C88" s="187">
        <f>SUMIF(BetTable[B1],VLOOKUP(ROW()-3,BookieName[#Data],2,FALSE),BetTable[S1])+SUMIF(BetTable[B2],VLOOKUP(ROW()-3,BookieName[#Data],2,FALSE),BetTable[S2])+SUMIF(BetTable[B3],VLOOKUP(ROW()-3,BookieName[#Data],2,FALSE),BetTable[S3])</f>
        <v>0</v>
      </c>
      <c r="E88" s="187" t="str">
        <f>IFERROR(VLOOKUP(ROW()-3,BookieName[#Data],3,FALSE),"")</f>
        <v>AaBetsafe</v>
      </c>
      <c r="F88" s="187">
        <f>SUMIF(LayTable[Bookmaker],VLOOKUP(ROW()-3,BookieName[#Data],2,FALSE),LayTable[BookieInnsats])+SUMIF(LayTable[Lay-bookie],VLOOKUP(ROW()-3,BookieName[#Data],2,FALSE),LayTable[LayLiability])</f>
        <v>0</v>
      </c>
      <c r="H88" s="182" t="str">
        <f>IFERROR(VLOOKUP(ROW()-3,BookieName[#Data],3,FALSE),"")</f>
        <v>AaBetsafe</v>
      </c>
      <c r="I88" s="182">
        <f>BookieTurnoverBackBets[[#This Row],[Turnover]]+BookieTurnoverLayBets[[#This Row],[Turnover]]</f>
        <v>0</v>
      </c>
    </row>
    <row r="89" spans="2:9">
      <c r="B89" s="187" t="str">
        <f>IFERROR(VLOOKUP(ROW()-3,BookieName[#Data],3,FALSE),"")</f>
        <v>AaNordicbet</v>
      </c>
      <c r="C89" s="187">
        <f>SUMIF(BetTable[B1],VLOOKUP(ROW()-3,BookieName[#Data],2,FALSE),BetTable[S1])+SUMIF(BetTable[B2],VLOOKUP(ROW()-3,BookieName[#Data],2,FALSE),BetTable[S2])+SUMIF(BetTable[B3],VLOOKUP(ROW()-3,BookieName[#Data],2,FALSE),BetTable[S3])</f>
        <v>0</v>
      </c>
      <c r="E89" s="187" t="str">
        <f>IFERROR(VLOOKUP(ROW()-3,BookieName[#Data],3,FALSE),"")</f>
        <v>AaNordicbet</v>
      </c>
      <c r="F89" s="187">
        <f>SUMIF(LayTable[Bookmaker],VLOOKUP(ROW()-3,BookieName[#Data],2,FALSE),LayTable[BookieInnsats])+SUMIF(LayTable[Lay-bookie],VLOOKUP(ROW()-3,BookieName[#Data],2,FALSE),LayTable[LayLiability])</f>
        <v>0</v>
      </c>
      <c r="H89" s="182" t="str">
        <f>IFERROR(VLOOKUP(ROW()-3,BookieName[#Data],3,FALSE),"")</f>
        <v>AaNordicbet</v>
      </c>
      <c r="I89" s="182">
        <f>BookieTurnoverBackBets[[#This Row],[Turnover]]+BookieTurnoverLayBets[[#This Row],[Turnover]]</f>
        <v>0</v>
      </c>
    </row>
    <row r="90" spans="2:9">
      <c r="B90" s="187" t="str">
        <f>IFERROR(VLOOKUP(ROW()-3,BookieName[#Data],3,FALSE),"")</f>
        <v>AaUnibet</v>
      </c>
      <c r="C90" s="187">
        <f>SUMIF(BetTable[B1],VLOOKUP(ROW()-3,BookieName[#Data],2,FALSE),BetTable[S1])+SUMIF(BetTable[B2],VLOOKUP(ROW()-3,BookieName[#Data],2,FALSE),BetTable[S2])+SUMIF(BetTable[B3],VLOOKUP(ROW()-3,BookieName[#Data],2,FALSE),BetTable[S3])</f>
        <v>0</v>
      </c>
      <c r="E90" s="187" t="str">
        <f>IFERROR(VLOOKUP(ROW()-3,BookieName[#Data],3,FALSE),"")</f>
        <v>AaUnibet</v>
      </c>
      <c r="F90" s="187">
        <f>SUMIF(LayTable[Bookmaker],VLOOKUP(ROW()-3,BookieName[#Data],2,FALSE),LayTable[BookieInnsats])+SUMIF(LayTable[Lay-bookie],VLOOKUP(ROW()-3,BookieName[#Data],2,FALSE),LayTable[LayLiability])</f>
        <v>0</v>
      </c>
      <c r="H90" s="182" t="str">
        <f>IFERROR(VLOOKUP(ROW()-3,BookieName[#Data],3,FALSE),"")</f>
        <v>AaUnibet</v>
      </c>
      <c r="I90" s="182">
        <f>BookieTurnoverBackBets[[#This Row],[Turnover]]+BookieTurnoverLayBets[[#This Row],[Turnover]]</f>
        <v>0</v>
      </c>
    </row>
    <row r="91" spans="2:9">
      <c r="B91" s="187" t="str">
        <f>IFERROR(VLOOKUP(ROW()-3,BookieName[#Data],3,FALSE),"")</f>
        <v>AaBethard</v>
      </c>
      <c r="C91" s="187">
        <f>SUMIF(BetTable[B1],VLOOKUP(ROW()-3,BookieName[#Data],2,FALSE),BetTable[S1])+SUMIF(BetTable[B2],VLOOKUP(ROW()-3,BookieName[#Data],2,FALSE),BetTable[S2])+SUMIF(BetTable[B3],VLOOKUP(ROW()-3,BookieName[#Data],2,FALSE),BetTable[S3])</f>
        <v>0</v>
      </c>
      <c r="E91" s="187" t="str">
        <f>IFERROR(VLOOKUP(ROW()-3,BookieName[#Data],3,FALSE),"")</f>
        <v>AaBethard</v>
      </c>
      <c r="F91" s="187">
        <f>SUMIF(LayTable[Bookmaker],VLOOKUP(ROW()-3,BookieName[#Data],2,FALSE),LayTable[BookieInnsats])+SUMIF(LayTable[Lay-bookie],VLOOKUP(ROW()-3,BookieName[#Data],2,FALSE),LayTable[LayLiability])</f>
        <v>0</v>
      </c>
      <c r="H91" s="182" t="str">
        <f>IFERROR(VLOOKUP(ROW()-3,BookieName[#Data],3,FALSE),"")</f>
        <v>AaBethard</v>
      </c>
      <c r="I91" s="182">
        <f>BookieTurnoverBackBets[[#This Row],[Turnover]]+BookieTurnoverLayBets[[#This Row],[Turnover]]</f>
        <v>0</v>
      </c>
    </row>
    <row r="92" spans="2:9">
      <c r="B92" s="187" t="str">
        <f>IFERROR(VLOOKUP(ROW()-3,BookieName[#Data],3,FALSE),"")</f>
        <v>AaBet365</v>
      </c>
      <c r="C92" s="187">
        <f>SUMIF(BetTable[B1],VLOOKUP(ROW()-3,BookieName[#Data],2,FALSE),BetTable[S1])+SUMIF(BetTable[B2],VLOOKUP(ROW()-3,BookieName[#Data],2,FALSE),BetTable[S2])+SUMIF(BetTable[B3],VLOOKUP(ROW()-3,BookieName[#Data],2,FALSE),BetTable[S3])</f>
        <v>0</v>
      </c>
      <c r="E92" s="187" t="str">
        <f>IFERROR(VLOOKUP(ROW()-3,BookieName[#Data],3,FALSE),"")</f>
        <v>AaBet365</v>
      </c>
      <c r="F92" s="187">
        <f>SUMIF(LayTable[Bookmaker],VLOOKUP(ROW()-3,BookieName[#Data],2,FALSE),LayTable[BookieInnsats])+SUMIF(LayTable[Lay-bookie],VLOOKUP(ROW()-3,BookieName[#Data],2,FALSE),LayTable[LayLiability])</f>
        <v>0</v>
      </c>
      <c r="H92" s="182" t="str">
        <f>IFERROR(VLOOKUP(ROW()-3,BookieName[#Data],3,FALSE),"")</f>
        <v>AaBet365</v>
      </c>
      <c r="I92" s="182">
        <f>BookieTurnoverBackBets[[#This Row],[Turnover]]+BookieTurnoverLayBets[[#This Row],[Turnover]]</f>
        <v>0</v>
      </c>
    </row>
    <row r="93" spans="2:9">
      <c r="B93" s="187" t="str">
        <f>IFERROR(VLOOKUP(ROW()-3,BookieName[#Data],3,FALSE),"")</f>
        <v>AaComeOn</v>
      </c>
      <c r="C93" s="187">
        <f>SUMIF(BetTable[B1],VLOOKUP(ROW()-3,BookieName[#Data],2,FALSE),BetTable[S1])+SUMIF(BetTable[B2],VLOOKUP(ROW()-3,BookieName[#Data],2,FALSE),BetTable[S2])+SUMIF(BetTable[B3],VLOOKUP(ROW()-3,BookieName[#Data],2,FALSE),BetTable[S3])</f>
        <v>0</v>
      </c>
      <c r="E93" s="187" t="str">
        <f>IFERROR(VLOOKUP(ROW()-3,BookieName[#Data],3,FALSE),"")</f>
        <v>AaComeOn</v>
      </c>
      <c r="F93" s="187">
        <f>SUMIF(LayTable[Bookmaker],VLOOKUP(ROW()-3,BookieName[#Data],2,FALSE),LayTable[BookieInnsats])+SUMIF(LayTable[Lay-bookie],VLOOKUP(ROW()-3,BookieName[#Data],2,FALSE),LayTable[LayLiability])</f>
        <v>0</v>
      </c>
      <c r="H93" s="182" t="str">
        <f>IFERROR(VLOOKUP(ROW()-3,BookieName[#Data],3,FALSE),"")</f>
        <v>AaComeOn</v>
      </c>
      <c r="I93" s="182">
        <f>BookieTurnoverBackBets[[#This Row],[Turnover]]+BookieTurnoverLayBets[[#This Row],[Turnover]]</f>
        <v>0</v>
      </c>
    </row>
    <row r="94" spans="2:9">
      <c r="B94" s="187" t="str">
        <f>IFERROR(VLOOKUP(ROW()-3,BookieName[#Data],3,FALSE),"")</f>
        <v>AaRizk</v>
      </c>
      <c r="C94" s="187">
        <f>SUMIF(BetTable[B1],VLOOKUP(ROW()-3,BookieName[#Data],2,FALSE),BetTable[S1])+SUMIF(BetTable[B2],VLOOKUP(ROW()-3,BookieName[#Data],2,FALSE),BetTable[S2])+SUMIF(BetTable[B3],VLOOKUP(ROW()-3,BookieName[#Data],2,FALSE),BetTable[S3])</f>
        <v>0</v>
      </c>
      <c r="E94" s="187" t="str">
        <f>IFERROR(VLOOKUP(ROW()-3,BookieName[#Data],3,FALSE),"")</f>
        <v>AaRizk</v>
      </c>
      <c r="F94" s="187">
        <f>SUMIF(LayTable[Bookmaker],VLOOKUP(ROW()-3,BookieName[#Data],2,FALSE),LayTable[BookieInnsats])+SUMIF(LayTable[Lay-bookie],VLOOKUP(ROW()-3,BookieName[#Data],2,FALSE),LayTable[LayLiability])</f>
        <v>0</v>
      </c>
      <c r="H94" s="182" t="str">
        <f>IFERROR(VLOOKUP(ROW()-3,BookieName[#Data],3,FALSE),"")</f>
        <v>AaRizk</v>
      </c>
      <c r="I94" s="182">
        <f>BookieTurnoverBackBets[[#This Row],[Turnover]]+BookieTurnoverLayBets[[#This Row],[Turnover]]</f>
        <v>0</v>
      </c>
    </row>
    <row r="95" spans="2:9">
      <c r="B95" s="187" t="str">
        <f>IFERROR(VLOOKUP(ROW()-3,BookieName[#Data],3,FALSE),"")</f>
        <v>AaBet90</v>
      </c>
      <c r="C95" s="187">
        <f>SUMIF(BetTable[B1],VLOOKUP(ROW()-3,BookieName[#Data],2,FALSE),BetTable[S1])+SUMIF(BetTable[B2],VLOOKUP(ROW()-3,BookieName[#Data],2,FALSE),BetTable[S2])+SUMIF(BetTable[B3],VLOOKUP(ROW()-3,BookieName[#Data],2,FALSE),BetTable[S3])</f>
        <v>0</v>
      </c>
      <c r="E95" s="187" t="str">
        <f>IFERROR(VLOOKUP(ROW()-3,BookieName[#Data],3,FALSE),"")</f>
        <v>AaBet90</v>
      </c>
      <c r="F95" s="187">
        <f>SUMIF(LayTable[Bookmaker],VLOOKUP(ROW()-3,BookieName[#Data],2,FALSE),LayTable[BookieInnsats])+SUMIF(LayTable[Lay-bookie],VLOOKUP(ROW()-3,BookieName[#Data],2,FALSE),LayTable[LayLiability])</f>
        <v>0</v>
      </c>
      <c r="H95" s="182" t="str">
        <f>IFERROR(VLOOKUP(ROW()-3,BookieName[#Data],3,FALSE),"")</f>
        <v>AaBet90</v>
      </c>
      <c r="I95" s="182">
        <f>BookieTurnoverBackBets[[#This Row],[Turnover]]+BookieTurnoverLayBets[[#This Row],[Turnover]]</f>
        <v>0</v>
      </c>
    </row>
    <row r="96" spans="2:9">
      <c r="B96" s="187" t="str">
        <f>IFERROR(VLOOKUP(ROW()-3,BookieName[#Data],3,FALSE),"")</f>
        <v>AaNorgesspill</v>
      </c>
      <c r="C96" s="187">
        <f>SUMIF(BetTable[B1],VLOOKUP(ROW()-3,BookieName[#Data],2,FALSE),BetTable[S1])+SUMIF(BetTable[B2],VLOOKUP(ROW()-3,BookieName[#Data],2,FALSE),BetTable[S2])+SUMIF(BetTable[B3],VLOOKUP(ROW()-3,BookieName[#Data],2,FALSE),BetTable[S3])</f>
        <v>0</v>
      </c>
      <c r="E96" s="187" t="str">
        <f>IFERROR(VLOOKUP(ROW()-3,BookieName[#Data],3,FALSE),"")</f>
        <v>AaNorgesspill</v>
      </c>
      <c r="F96" s="187">
        <f>SUMIF(LayTable[Bookmaker],VLOOKUP(ROW()-3,BookieName[#Data],2,FALSE),LayTable[BookieInnsats])+SUMIF(LayTable[Lay-bookie],VLOOKUP(ROW()-3,BookieName[#Data],2,FALSE),LayTable[LayLiability])</f>
        <v>0</v>
      </c>
      <c r="H96" s="182" t="str">
        <f>IFERROR(VLOOKUP(ROW()-3,BookieName[#Data],3,FALSE),"")</f>
        <v>AaNorgesspill</v>
      </c>
      <c r="I96" s="182">
        <f>BookieTurnoverBackBets[[#This Row],[Turnover]]+BookieTurnoverLayBets[[#This Row],[Turnover]]</f>
        <v>0</v>
      </c>
    </row>
    <row r="97" spans="2:9">
      <c r="B97" s="187" t="str">
        <f>IFERROR(VLOOKUP(ROW()-3,BookieName[#Data],3,FALSE),"")</f>
        <v>AaLeoVegas</v>
      </c>
      <c r="C97" s="187">
        <f>SUMIF(BetTable[B1],VLOOKUP(ROW()-3,BookieName[#Data],2,FALSE),BetTable[S1])+SUMIF(BetTable[B2],VLOOKUP(ROW()-3,BookieName[#Data],2,FALSE),BetTable[S2])+SUMIF(BetTable[B3],VLOOKUP(ROW()-3,BookieName[#Data],2,FALSE),BetTable[S3])</f>
        <v>0</v>
      </c>
      <c r="E97" s="187" t="str">
        <f>IFERROR(VLOOKUP(ROW()-3,BookieName[#Data],3,FALSE),"")</f>
        <v>AaLeoVegas</v>
      </c>
      <c r="F97" s="187">
        <f>SUMIF(LayTable[Bookmaker],VLOOKUP(ROW()-3,BookieName[#Data],2,FALSE),LayTable[BookieInnsats])+SUMIF(LayTable[Lay-bookie],VLOOKUP(ROW()-3,BookieName[#Data],2,FALSE),LayTable[LayLiability])</f>
        <v>0</v>
      </c>
      <c r="H97" s="182" t="str">
        <f>IFERROR(VLOOKUP(ROW()-3,BookieName[#Data],3,FALSE),"")</f>
        <v>AaLeoVegas</v>
      </c>
      <c r="I97" s="182">
        <f>BookieTurnoverBackBets[[#This Row],[Turnover]]+BookieTurnoverLayBets[[#This Row],[Turnover]]</f>
        <v>0</v>
      </c>
    </row>
    <row r="98" spans="2:9">
      <c r="B98" s="187" t="str">
        <f>IFERROR(VLOOKUP(ROW()-3,BookieName[#Data],3,FALSE),"")</f>
        <v>AaGuts</v>
      </c>
      <c r="C98" s="187">
        <f>SUMIF(BetTable[B1],VLOOKUP(ROW()-3,BookieName[#Data],2,FALSE),BetTable[S1])+SUMIF(BetTable[B2],VLOOKUP(ROW()-3,BookieName[#Data],2,FALSE),BetTable[S2])+SUMIF(BetTable[B3],VLOOKUP(ROW()-3,BookieName[#Data],2,FALSE),BetTable[S3])</f>
        <v>0</v>
      </c>
      <c r="E98" s="187" t="str">
        <f>IFERROR(VLOOKUP(ROW()-3,BookieName[#Data],3,FALSE),"")</f>
        <v>AaGuts</v>
      </c>
      <c r="F98" s="187">
        <f>SUMIF(LayTable[Bookmaker],VLOOKUP(ROW()-3,BookieName[#Data],2,FALSE),LayTable[BookieInnsats])+SUMIF(LayTable[Lay-bookie],VLOOKUP(ROW()-3,BookieName[#Data],2,FALSE),LayTable[LayLiability])</f>
        <v>0</v>
      </c>
      <c r="H98" s="182" t="str">
        <f>IFERROR(VLOOKUP(ROW()-3,BookieName[#Data],3,FALSE),"")</f>
        <v>AaGuts</v>
      </c>
      <c r="I98" s="182">
        <f>BookieTurnoverBackBets[[#This Row],[Turnover]]+BookieTurnoverLayBets[[#This Row],[Turnover]]</f>
        <v>0</v>
      </c>
    </row>
    <row r="99" spans="2:9">
      <c r="B99" s="187" t="str">
        <f>IFERROR(VLOOKUP(ROW()-3,BookieName[#Data],3,FALSE),"")</f>
        <v>AaCoolbet</v>
      </c>
      <c r="C99" s="187">
        <f>SUMIF(BetTable[B1],VLOOKUP(ROW()-3,BookieName[#Data],2,FALSE),BetTable[S1])+SUMIF(BetTable[B2],VLOOKUP(ROW()-3,BookieName[#Data],2,FALSE),BetTable[S2])+SUMIF(BetTable[B3],VLOOKUP(ROW()-3,BookieName[#Data],2,FALSE),BetTable[S3])</f>
        <v>0</v>
      </c>
      <c r="E99" s="187" t="str">
        <f>IFERROR(VLOOKUP(ROW()-3,BookieName[#Data],3,FALSE),"")</f>
        <v>AaCoolbet</v>
      </c>
      <c r="F99" s="187">
        <f>SUMIF(LayTable[Bookmaker],VLOOKUP(ROW()-3,BookieName[#Data],2,FALSE),LayTable[BookieInnsats])+SUMIF(LayTable[Lay-bookie],VLOOKUP(ROW()-3,BookieName[#Data],2,FALSE),LayTable[LayLiability])</f>
        <v>0</v>
      </c>
      <c r="H99" s="182" t="str">
        <f>IFERROR(VLOOKUP(ROW()-3,BookieName[#Data],3,FALSE),"")</f>
        <v>AaCoolbet</v>
      </c>
      <c r="I99" s="182">
        <f>BookieTurnoverBackBets[[#This Row],[Turnover]]+BookieTurnoverLayBets[[#This Row],[Turnover]]</f>
        <v>0</v>
      </c>
    </row>
    <row r="100" spans="2:9">
      <c r="B100" s="187" t="str">
        <f>IFERROR(VLOOKUP(ROW()-3,BookieName[#Data],3,FALSE),"")</f>
        <v>Gn1Betsson</v>
      </c>
      <c r="C100" s="187">
        <f>SUMIF(BetTable[B1],VLOOKUP(ROW()-3,BookieName[#Data],2,FALSE),BetTable[S1])+SUMIF(BetTable[B2],VLOOKUP(ROW()-3,BookieName[#Data],2,FALSE),BetTable[S2])+SUMIF(BetTable[B3],VLOOKUP(ROW()-3,BookieName[#Data],2,FALSE),BetTable[S3])</f>
        <v>0</v>
      </c>
      <c r="E100" s="187" t="str">
        <f>IFERROR(VLOOKUP(ROW()-3,BookieName[#Data],3,FALSE),"")</f>
        <v>Gn1Betsson</v>
      </c>
      <c r="F100" s="187">
        <f>SUMIF(LayTable[Bookmaker],VLOOKUP(ROW()-3,BookieName[#Data],2,FALSE),LayTable[BookieInnsats])+SUMIF(LayTable[Lay-bookie],VLOOKUP(ROW()-3,BookieName[#Data],2,FALSE),LayTable[LayLiability])</f>
        <v>0</v>
      </c>
      <c r="H100" s="182" t="str">
        <f>IFERROR(VLOOKUP(ROW()-3,BookieName[#Data],3,FALSE),"")</f>
        <v>Gn1Betsson</v>
      </c>
      <c r="I100" s="182">
        <f>BookieTurnoverBackBets[[#This Row],[Turnover]]+BookieTurnoverLayBets[[#This Row],[Turnover]]</f>
        <v>0</v>
      </c>
    </row>
    <row r="101" spans="2:9">
      <c r="B101" s="187" t="str">
        <f>IFERROR(VLOOKUP(ROW()-3,BookieName[#Data],3,FALSE),"")</f>
        <v>LiMrGreen</v>
      </c>
      <c r="C101" s="187">
        <f>SUMIF(BetTable[B1],VLOOKUP(ROW()-3,BookieName[#Data],2,FALSE),BetTable[S1])+SUMIF(BetTable[B2],VLOOKUP(ROW()-3,BookieName[#Data],2,FALSE),BetTable[S2])+SUMIF(BetTable[B3],VLOOKUP(ROW()-3,BookieName[#Data],2,FALSE),BetTable[S3])</f>
        <v>0</v>
      </c>
      <c r="E101" s="187" t="str">
        <f>IFERROR(VLOOKUP(ROW()-3,BookieName[#Data],3,FALSE),"")</f>
        <v>LiMrGreen</v>
      </c>
      <c r="F101" s="187">
        <f>SUMIF(LayTable[Bookmaker],VLOOKUP(ROW()-3,BookieName[#Data],2,FALSE),LayTable[BookieInnsats])+SUMIF(LayTable[Lay-bookie],VLOOKUP(ROW()-3,BookieName[#Data],2,FALSE),LayTable[LayLiability])</f>
        <v>0</v>
      </c>
      <c r="H101" s="182" t="str">
        <f>IFERROR(VLOOKUP(ROW()-3,BookieName[#Data],3,FALSE),"")</f>
        <v>LiMrGreen</v>
      </c>
      <c r="I101" s="182">
        <f>BookieTurnoverBackBets[[#This Row],[Turnover]]+BookieTurnoverLayBets[[#This Row],[Turnover]]</f>
        <v>0</v>
      </c>
    </row>
    <row r="102" spans="2:9">
      <c r="B102" s="187" t="str">
        <f>IFERROR(VLOOKUP(ROW()-3,BookieName[#Data],3,FALSE),"")</f>
        <v>AaMrGreen</v>
      </c>
      <c r="C102" s="187">
        <f>SUMIF(BetTable[B1],VLOOKUP(ROW()-3,BookieName[#Data],2,FALSE),BetTable[S1])+SUMIF(BetTable[B2],VLOOKUP(ROW()-3,BookieName[#Data],2,FALSE),BetTable[S2])+SUMIF(BetTable[B3],VLOOKUP(ROW()-3,BookieName[#Data],2,FALSE),BetTable[S3])</f>
        <v>0</v>
      </c>
      <c r="E102" s="187" t="str">
        <f>IFERROR(VLOOKUP(ROW()-3,BookieName[#Data],3,FALSE),"")</f>
        <v>AaMrGreen</v>
      </c>
      <c r="F102" s="187">
        <f>SUMIF(LayTable[Bookmaker],VLOOKUP(ROW()-3,BookieName[#Data],2,FALSE),LayTable[BookieInnsats])+SUMIF(LayTable[Lay-bookie],VLOOKUP(ROW()-3,BookieName[#Data],2,FALSE),LayTable[LayLiability])</f>
        <v>0</v>
      </c>
      <c r="H102" s="182" t="str">
        <f>IFERROR(VLOOKUP(ROW()-3,BookieName[#Data],3,FALSE),"")</f>
        <v>AaMrGreen</v>
      </c>
      <c r="I102" s="182">
        <f>BookieTurnoverBackBets[[#This Row],[Turnover]]+BookieTurnoverLayBets[[#This Row],[Turnover]]</f>
        <v>0</v>
      </c>
    </row>
    <row r="103" spans="2:9">
      <c r="B103" s="187" t="str">
        <f>IFERROR(VLOOKUP(ROW()-3,BookieName[#Data],3,FALSE),"")</f>
        <v>AaFolkeautomaten</v>
      </c>
      <c r="C103" s="187">
        <f>SUMIF(BetTable[B1],VLOOKUP(ROW()-3,BookieName[#Data],2,FALSE),BetTable[S1])+SUMIF(BetTable[B2],VLOOKUP(ROW()-3,BookieName[#Data],2,FALSE),BetTable[S2])+SUMIF(BetTable[B3],VLOOKUP(ROW()-3,BookieName[#Data],2,FALSE),BetTable[S3])</f>
        <v>0</v>
      </c>
      <c r="E103" s="187" t="str">
        <f>IFERROR(VLOOKUP(ROW()-3,BookieName[#Data],3,FALSE),"")</f>
        <v>AaFolkeautomaten</v>
      </c>
      <c r="F103" s="187">
        <f>SUMIF(LayTable[Bookmaker],VLOOKUP(ROW()-3,BookieName[#Data],2,FALSE),LayTable[BookieInnsats])+SUMIF(LayTable[Lay-bookie],VLOOKUP(ROW()-3,BookieName[#Data],2,FALSE),LayTable[LayLiability])</f>
        <v>0</v>
      </c>
      <c r="H103" s="182" t="str">
        <f>IFERROR(VLOOKUP(ROW()-3,BookieName[#Data],3,FALSE),"")</f>
        <v>AaFolkeautomaten</v>
      </c>
      <c r="I103" s="182">
        <f>BookieTurnoverBackBets[[#This Row],[Turnover]]+BookieTurnoverLayBets[[#This Row],[Turnover]]</f>
        <v>0</v>
      </c>
    </row>
    <row r="104" spans="2:9">
      <c r="B104" s="187">
        <f>IFERROR(VLOOKUP(ROW()-3,BookieName[#Data],3,FALSE),"")</f>
        <v>0</v>
      </c>
      <c r="C104" s="187">
        <f>SUMIF(BetTable[B1],VLOOKUP(ROW()-3,BookieName[#Data],2,FALSE),BetTable[S1])+SUMIF(BetTable[B2],VLOOKUP(ROW()-3,BookieName[#Data],2,FALSE),BetTable[S2])+SUMIF(BetTable[B3],VLOOKUP(ROW()-3,BookieName[#Data],2,FALSE),BetTable[S3])</f>
        <v>0</v>
      </c>
      <c r="E104" s="187">
        <f>IFERROR(VLOOKUP(ROW()-3,BookieName[#Data],3,FALSE),"")</f>
        <v>0</v>
      </c>
      <c r="F104" s="187">
        <f>SUMIF(LayTable[Bookmaker],VLOOKUP(ROW()-3,BookieName[#Data],2,FALSE),LayTable[BookieInnsats])+SUMIF(LayTable[Lay-bookie],VLOOKUP(ROW()-3,BookieName[#Data],2,FALSE),LayTable[LayLiability])</f>
        <v>0</v>
      </c>
      <c r="H104" s="182">
        <f>IFERROR(VLOOKUP(ROW()-3,BookieName[#Data],3,FALSE),"")</f>
        <v>0</v>
      </c>
      <c r="I104" s="182">
        <f>BookieTurnoverBackBets[[#This Row],[Turnover]]+BookieTurnoverLayBets[[#This Row],[Turnover]]</f>
        <v>0</v>
      </c>
    </row>
    <row r="105" spans="2:9">
      <c r="B105" s="187">
        <f>IFERROR(VLOOKUP(ROW()-3,BookieName[#Data],3,FALSE),"")</f>
        <v>0</v>
      </c>
      <c r="C105" s="187">
        <f>SUMIF(BetTable[B1],VLOOKUP(ROW()-3,BookieName[#Data],2,FALSE),BetTable[S1])+SUMIF(BetTable[B2],VLOOKUP(ROW()-3,BookieName[#Data],2,FALSE),BetTable[S2])+SUMIF(BetTable[B3],VLOOKUP(ROW()-3,BookieName[#Data],2,FALSE),BetTable[S3])</f>
        <v>0</v>
      </c>
      <c r="E105" s="187">
        <f>IFERROR(VLOOKUP(ROW()-3,BookieName[#Data],3,FALSE),"")</f>
        <v>0</v>
      </c>
      <c r="F105" s="187">
        <f>SUMIF(LayTable[Bookmaker],VLOOKUP(ROW()-3,BookieName[#Data],2,FALSE),LayTable[BookieInnsats])+SUMIF(LayTable[Lay-bookie],VLOOKUP(ROW()-3,BookieName[#Data],2,FALSE),LayTable[LayLiability])</f>
        <v>0</v>
      </c>
      <c r="H105" s="182">
        <f>IFERROR(VLOOKUP(ROW()-3,BookieName[#Data],3,FALSE),"")</f>
        <v>0</v>
      </c>
      <c r="I105" s="182">
        <f>BookieTurnoverBackBets[[#This Row],[Turnover]]+BookieTurnoverLayBets[[#This Row],[Turnover]]</f>
        <v>0</v>
      </c>
    </row>
    <row r="106" spans="2:9">
      <c r="B106" s="187">
        <f>IFERROR(VLOOKUP(ROW()-3,BookieName[#Data],3,FALSE),"")</f>
        <v>0</v>
      </c>
      <c r="C106" s="187">
        <f>SUMIF(BetTable[B1],VLOOKUP(ROW()-3,BookieName[#Data],2,FALSE),BetTable[S1])+SUMIF(BetTable[B2],VLOOKUP(ROW()-3,BookieName[#Data],2,FALSE),BetTable[S2])+SUMIF(BetTable[B3],VLOOKUP(ROW()-3,BookieName[#Data],2,FALSE),BetTable[S3])</f>
        <v>0</v>
      </c>
      <c r="E106" s="187">
        <f>IFERROR(VLOOKUP(ROW()-3,BookieName[#Data],3,FALSE),"")</f>
        <v>0</v>
      </c>
      <c r="F106" s="187">
        <f>SUMIF(LayTable[Bookmaker],VLOOKUP(ROW()-3,BookieName[#Data],2,FALSE),LayTable[BookieInnsats])+SUMIF(LayTable[Lay-bookie],VLOOKUP(ROW()-3,BookieName[#Data],2,FALSE),LayTable[LayLiability])</f>
        <v>0</v>
      </c>
      <c r="H106" s="182">
        <f>IFERROR(VLOOKUP(ROW()-3,BookieName[#Data],3,FALSE),"")</f>
        <v>0</v>
      </c>
      <c r="I106" s="182">
        <f>BookieTurnoverBackBets[[#This Row],[Turnover]]+BookieTurnoverLayBets[[#This Row],[Turnover]]</f>
        <v>0</v>
      </c>
    </row>
    <row r="107" spans="2:9">
      <c r="B107" s="187">
        <f>IFERROR(VLOOKUP(ROW()-3,BookieName[#Data],3,FALSE),"")</f>
        <v>0</v>
      </c>
      <c r="C107" s="187">
        <f>SUMIF(BetTable[B1],VLOOKUP(ROW()-3,BookieName[#Data],2,FALSE),BetTable[S1])+SUMIF(BetTable[B2],VLOOKUP(ROW()-3,BookieName[#Data],2,FALSE),BetTable[S2])+SUMIF(BetTable[B3],VLOOKUP(ROW()-3,BookieName[#Data],2,FALSE),BetTable[S3])</f>
        <v>0</v>
      </c>
      <c r="E107" s="187">
        <f>IFERROR(VLOOKUP(ROW()-3,BookieName[#Data],3,FALSE),"")</f>
        <v>0</v>
      </c>
      <c r="F107" s="187">
        <f>SUMIF(LayTable[Bookmaker],VLOOKUP(ROW()-3,BookieName[#Data],2,FALSE),LayTable[BookieInnsats])+SUMIF(LayTable[Lay-bookie],VLOOKUP(ROW()-3,BookieName[#Data],2,FALSE),LayTable[LayLiability])</f>
        <v>0</v>
      </c>
      <c r="H107" s="182">
        <f>IFERROR(VLOOKUP(ROW()-3,BookieName[#Data],3,FALSE),"")</f>
        <v>0</v>
      </c>
      <c r="I107" s="182">
        <f>BookieTurnoverBackBets[[#This Row],[Turnover]]+BookieTurnoverLayBets[[#This Row],[Turnover]]</f>
        <v>0</v>
      </c>
    </row>
    <row r="108" spans="2:9">
      <c r="B108" s="187">
        <f>IFERROR(VLOOKUP(ROW()-3,BookieName[#Data],3,FALSE),"")</f>
        <v>0</v>
      </c>
      <c r="C108" s="187">
        <f>SUMIF(BetTable[B1],VLOOKUP(ROW()-3,BookieName[#Data],2,FALSE),BetTable[S1])+SUMIF(BetTable[B2],VLOOKUP(ROW()-3,BookieName[#Data],2,FALSE),BetTable[S2])+SUMIF(BetTable[B3],VLOOKUP(ROW()-3,BookieName[#Data],2,FALSE),BetTable[S3])</f>
        <v>0</v>
      </c>
      <c r="E108" s="187">
        <f>IFERROR(VLOOKUP(ROW()-3,BookieName[#Data],3,FALSE),"")</f>
        <v>0</v>
      </c>
      <c r="F108" s="187">
        <f>SUMIF(LayTable[Bookmaker],VLOOKUP(ROW()-3,BookieName[#Data],2,FALSE),LayTable[BookieInnsats])+SUMIF(LayTable[Lay-bookie],VLOOKUP(ROW()-3,BookieName[#Data],2,FALSE),LayTable[LayLiability])</f>
        <v>0</v>
      </c>
      <c r="H108" s="182">
        <f>IFERROR(VLOOKUP(ROW()-3,BookieName[#Data],3,FALSE),"")</f>
        <v>0</v>
      </c>
      <c r="I108" s="182">
        <f>BookieTurnoverBackBets[[#This Row],[Turnover]]+BookieTurnoverLayBets[[#This Row],[Turnover]]</f>
        <v>0</v>
      </c>
    </row>
    <row r="109" spans="2:9">
      <c r="B109" s="187">
        <f>IFERROR(VLOOKUP(ROW()-3,BookieName[#Data],3,FALSE),"")</f>
        <v>0</v>
      </c>
      <c r="C109" s="187">
        <f>SUMIF(BetTable[B1],VLOOKUP(ROW()-3,BookieName[#Data],2,FALSE),BetTable[S1])+SUMIF(BetTable[B2],VLOOKUP(ROW()-3,BookieName[#Data],2,FALSE),BetTable[S2])+SUMIF(BetTable[B3],VLOOKUP(ROW()-3,BookieName[#Data],2,FALSE),BetTable[S3])</f>
        <v>0</v>
      </c>
      <c r="E109" s="187">
        <f>IFERROR(VLOOKUP(ROW()-3,BookieName[#Data],3,FALSE),"")</f>
        <v>0</v>
      </c>
      <c r="F109" s="187">
        <f>SUMIF(LayTable[Bookmaker],VLOOKUP(ROW()-3,BookieName[#Data],2,FALSE),LayTable[BookieInnsats])+SUMIF(LayTable[Lay-bookie],VLOOKUP(ROW()-3,BookieName[#Data],2,FALSE),LayTable[LayLiability])</f>
        <v>0</v>
      </c>
      <c r="H109" s="182">
        <f>IFERROR(VLOOKUP(ROW()-3,BookieName[#Data],3,FALSE),"")</f>
        <v>0</v>
      </c>
      <c r="I109" s="182">
        <f>BookieTurnoverBackBets[[#This Row],[Turnover]]+BookieTurnoverLayBets[[#This Row],[Turnover]]</f>
        <v>0</v>
      </c>
    </row>
    <row r="110" spans="2:9">
      <c r="B110" s="187">
        <f>IFERROR(VLOOKUP(ROW()-3,BookieName[#Data],3,FALSE),"")</f>
        <v>0</v>
      </c>
      <c r="C110" s="187">
        <f>SUMIF(BetTable[B1],VLOOKUP(ROW()-3,BookieName[#Data],2,FALSE),BetTable[S1])+SUMIF(BetTable[B2],VLOOKUP(ROW()-3,BookieName[#Data],2,FALSE),BetTable[S2])+SUMIF(BetTable[B3],VLOOKUP(ROW()-3,BookieName[#Data],2,FALSE),BetTable[S3])</f>
        <v>0</v>
      </c>
      <c r="E110" s="187">
        <f>IFERROR(VLOOKUP(ROW()-3,BookieName[#Data],3,FALSE),"")</f>
        <v>0</v>
      </c>
      <c r="F110" s="187">
        <f>SUMIF(LayTable[Bookmaker],VLOOKUP(ROW()-3,BookieName[#Data],2,FALSE),LayTable[BookieInnsats])+SUMIF(LayTable[Lay-bookie],VLOOKUP(ROW()-3,BookieName[#Data],2,FALSE),LayTable[LayLiability])</f>
        <v>0</v>
      </c>
      <c r="H110" s="182">
        <f>IFERROR(VLOOKUP(ROW()-3,BookieName[#Data],3,FALSE),"")</f>
        <v>0</v>
      </c>
      <c r="I110" s="182">
        <f>BookieTurnoverBackBets[[#This Row],[Turnover]]+BookieTurnoverLayBets[[#This Row],[Turnover]]</f>
        <v>0</v>
      </c>
    </row>
    <row r="111" spans="2:9">
      <c r="B111" s="187">
        <f>IFERROR(VLOOKUP(ROW()-3,BookieName[#Data],3,FALSE),"")</f>
        <v>0</v>
      </c>
      <c r="C111" s="187">
        <f>SUMIF(BetTable[B1],VLOOKUP(ROW()-3,BookieName[#Data],2,FALSE),BetTable[S1])+SUMIF(BetTable[B2],VLOOKUP(ROW()-3,BookieName[#Data],2,FALSE),BetTable[S2])+SUMIF(BetTable[B3],VLOOKUP(ROW()-3,BookieName[#Data],2,FALSE),BetTable[S3])</f>
        <v>0</v>
      </c>
      <c r="E111" s="187">
        <f>IFERROR(VLOOKUP(ROW()-3,BookieName[#Data],3,FALSE),"")</f>
        <v>0</v>
      </c>
      <c r="F111" s="187">
        <f>SUMIF(LayTable[Bookmaker],VLOOKUP(ROW()-3,BookieName[#Data],2,FALSE),LayTable[BookieInnsats])+SUMIF(LayTable[Lay-bookie],VLOOKUP(ROW()-3,BookieName[#Data],2,FALSE),LayTable[LayLiability])</f>
        <v>0</v>
      </c>
      <c r="H111" s="182">
        <f>IFERROR(VLOOKUP(ROW()-3,BookieName[#Data],3,FALSE),"")</f>
        <v>0</v>
      </c>
      <c r="I111" s="182">
        <f>BookieTurnoverBackBets[[#This Row],[Turnover]]+BookieTurnoverLayBets[[#This Row],[Turnover]]</f>
        <v>0</v>
      </c>
    </row>
    <row r="112" spans="2:9">
      <c r="B112" s="187">
        <f>IFERROR(VLOOKUP(ROW()-3,BookieName[#Data],3,FALSE),"")</f>
        <v>0</v>
      </c>
      <c r="C112" s="187">
        <f>SUMIF(BetTable[B1],VLOOKUP(ROW()-3,BookieName[#Data],2,FALSE),BetTable[S1])+SUMIF(BetTable[B2],VLOOKUP(ROW()-3,BookieName[#Data],2,FALSE),BetTable[S2])+SUMIF(BetTable[B3],VLOOKUP(ROW()-3,BookieName[#Data],2,FALSE),BetTable[S3])</f>
        <v>0</v>
      </c>
      <c r="E112" s="187">
        <f>IFERROR(VLOOKUP(ROW()-3,BookieName[#Data],3,FALSE),"")</f>
        <v>0</v>
      </c>
      <c r="F112" s="187">
        <f>SUMIF(LayTable[Bookmaker],VLOOKUP(ROW()-3,BookieName[#Data],2,FALSE),LayTable[BookieInnsats])+SUMIF(LayTable[Lay-bookie],VLOOKUP(ROW()-3,BookieName[#Data],2,FALSE),LayTable[LayLiability])</f>
        <v>0</v>
      </c>
      <c r="H112" s="182">
        <f>IFERROR(VLOOKUP(ROW()-3,BookieName[#Data],3,FALSE),"")</f>
        <v>0</v>
      </c>
      <c r="I112" s="182">
        <f>BookieTurnoverBackBets[[#This Row],[Turnover]]+BookieTurnoverLayBets[[#This Row],[Turnover]]</f>
        <v>0</v>
      </c>
    </row>
    <row r="113" spans="2:9">
      <c r="B113" s="187">
        <f>IFERROR(VLOOKUP(ROW()-3,BookieName[#Data],3,FALSE),"")</f>
        <v>0</v>
      </c>
      <c r="C113" s="187">
        <f>SUMIF(BetTable[B1],VLOOKUP(ROW()-3,BookieName[#Data],2,FALSE),BetTable[S1])+SUMIF(BetTable[B2],VLOOKUP(ROW()-3,BookieName[#Data],2,FALSE),BetTable[S2])+SUMIF(BetTable[B3],VLOOKUP(ROW()-3,BookieName[#Data],2,FALSE),BetTable[S3])</f>
        <v>0</v>
      </c>
      <c r="E113" s="187">
        <f>IFERROR(VLOOKUP(ROW()-3,BookieName[#Data],3,FALSE),"")</f>
        <v>0</v>
      </c>
      <c r="F113" s="187">
        <f>SUMIF(LayTable[Bookmaker],VLOOKUP(ROW()-3,BookieName[#Data],2,FALSE),LayTable[BookieInnsats])+SUMIF(LayTable[Lay-bookie],VLOOKUP(ROW()-3,BookieName[#Data],2,FALSE),LayTable[LayLiability])</f>
        <v>0</v>
      </c>
      <c r="H113" s="182">
        <f>IFERROR(VLOOKUP(ROW()-3,BookieName[#Data],3,FALSE),"")</f>
        <v>0</v>
      </c>
      <c r="I113" s="182">
        <f>BookieTurnoverBackBets[[#This Row],[Turnover]]+BookieTurnoverLayBets[[#This Row],[Turnover]]</f>
        <v>0</v>
      </c>
    </row>
    <row r="114" spans="2:9">
      <c r="B114" s="187">
        <f>IFERROR(VLOOKUP(ROW()-3,BookieName[#Data],3,FALSE),"")</f>
        <v>0</v>
      </c>
      <c r="C114" s="187">
        <f>SUMIF(BetTable[B1],VLOOKUP(ROW()-3,BookieName[#Data],2,FALSE),BetTable[S1])+SUMIF(BetTable[B2],VLOOKUP(ROW()-3,BookieName[#Data],2,FALSE),BetTable[S2])+SUMIF(BetTable[B3],VLOOKUP(ROW()-3,BookieName[#Data],2,FALSE),BetTable[S3])</f>
        <v>0</v>
      </c>
      <c r="E114" s="187">
        <f>IFERROR(VLOOKUP(ROW()-3,BookieName[#Data],3,FALSE),"")</f>
        <v>0</v>
      </c>
      <c r="F114" s="187">
        <f>SUMIF(LayTable[Bookmaker],VLOOKUP(ROW()-3,BookieName[#Data],2,FALSE),LayTable[BookieInnsats])+SUMIF(LayTable[Lay-bookie],VLOOKUP(ROW()-3,BookieName[#Data],2,FALSE),LayTable[LayLiability])</f>
        <v>0</v>
      </c>
      <c r="H114" s="182">
        <f>IFERROR(VLOOKUP(ROW()-3,BookieName[#Data],3,FALSE),"")</f>
        <v>0</v>
      </c>
      <c r="I114" s="182">
        <f>BookieTurnoverBackBets[[#This Row],[Turnover]]+BookieTurnoverLayBets[[#This Row],[Turnover]]</f>
        <v>0</v>
      </c>
    </row>
    <row r="115" spans="2:9">
      <c r="B115" s="187">
        <f>IFERROR(VLOOKUP(ROW()-3,BookieName[#Data],3,FALSE),"")</f>
        <v>0</v>
      </c>
      <c r="C115" s="187">
        <f>SUMIF(BetTable[B1],VLOOKUP(ROW()-3,BookieName[#Data],2,FALSE),BetTable[S1])+SUMIF(BetTable[B2],VLOOKUP(ROW()-3,BookieName[#Data],2,FALSE),BetTable[S2])+SUMIF(BetTable[B3],VLOOKUP(ROW()-3,BookieName[#Data],2,FALSE),BetTable[S3])</f>
        <v>0</v>
      </c>
      <c r="E115" s="187">
        <f>IFERROR(VLOOKUP(ROW()-3,BookieName[#Data],3,FALSE),"")</f>
        <v>0</v>
      </c>
      <c r="F115" s="187">
        <f>SUMIF(LayTable[Bookmaker],VLOOKUP(ROW()-3,BookieName[#Data],2,FALSE),LayTable[BookieInnsats])+SUMIF(LayTable[Lay-bookie],VLOOKUP(ROW()-3,BookieName[#Data],2,FALSE),LayTable[LayLiability])</f>
        <v>0</v>
      </c>
      <c r="H115" s="182">
        <f>IFERROR(VLOOKUP(ROW()-3,BookieName[#Data],3,FALSE),"")</f>
        <v>0</v>
      </c>
      <c r="I115" s="182">
        <f>BookieTurnoverBackBets[[#This Row],[Turnover]]+BookieTurnoverLayBets[[#This Row],[Turnover]]</f>
        <v>0</v>
      </c>
    </row>
    <row r="116" spans="2:9">
      <c r="B116" s="187">
        <f>IFERROR(VLOOKUP(ROW()-3,BookieName[#Data],3,FALSE),"")</f>
        <v>0</v>
      </c>
      <c r="C116" s="187">
        <f>SUMIF(BetTable[B1],VLOOKUP(ROW()-3,BookieName[#Data],2,FALSE),BetTable[S1])+SUMIF(BetTable[B2],VLOOKUP(ROW()-3,BookieName[#Data],2,FALSE),BetTable[S2])+SUMIF(BetTable[B3],VLOOKUP(ROW()-3,BookieName[#Data],2,FALSE),BetTable[S3])</f>
        <v>0</v>
      </c>
      <c r="E116" s="187">
        <f>IFERROR(VLOOKUP(ROW()-3,BookieName[#Data],3,FALSE),"")</f>
        <v>0</v>
      </c>
      <c r="F116" s="187">
        <f>SUMIF(LayTable[Bookmaker],VLOOKUP(ROW()-3,BookieName[#Data],2,FALSE),LayTable[BookieInnsats])+SUMIF(LayTable[Lay-bookie],VLOOKUP(ROW()-3,BookieName[#Data],2,FALSE),LayTable[LayLiability])</f>
        <v>0</v>
      </c>
      <c r="H116" s="182">
        <f>IFERROR(VLOOKUP(ROW()-3,BookieName[#Data],3,FALSE),"")</f>
        <v>0</v>
      </c>
      <c r="I116" s="182">
        <f>BookieTurnoverBackBets[[#This Row],[Turnover]]+BookieTurnoverLayBets[[#This Row],[Turnover]]</f>
        <v>0</v>
      </c>
    </row>
    <row r="117" spans="2:9">
      <c r="B117" s="187">
        <f>IFERROR(VLOOKUP(ROW()-3,BookieName[#Data],3,FALSE),"")</f>
        <v>0</v>
      </c>
      <c r="C117" s="187">
        <f>SUMIF(BetTable[B1],VLOOKUP(ROW()-3,BookieName[#Data],2,FALSE),BetTable[S1])+SUMIF(BetTable[B2],VLOOKUP(ROW()-3,BookieName[#Data],2,FALSE),BetTable[S2])+SUMIF(BetTable[B3],VLOOKUP(ROW()-3,BookieName[#Data],2,FALSE),BetTable[S3])</f>
        <v>0</v>
      </c>
      <c r="E117" s="187">
        <f>IFERROR(VLOOKUP(ROW()-3,BookieName[#Data],3,FALSE),"")</f>
        <v>0</v>
      </c>
      <c r="F117" s="187">
        <f>SUMIF(LayTable[Bookmaker],VLOOKUP(ROW()-3,BookieName[#Data],2,FALSE),LayTable[BookieInnsats])+SUMIF(LayTable[Lay-bookie],VLOOKUP(ROW()-3,BookieName[#Data],2,FALSE),LayTable[LayLiability])</f>
        <v>0</v>
      </c>
      <c r="H117" s="182">
        <f>IFERROR(VLOOKUP(ROW()-3,BookieName[#Data],3,FALSE),"")</f>
        <v>0</v>
      </c>
      <c r="I117" s="182">
        <f>BookieTurnoverBackBets[[#This Row],[Turnover]]+BookieTurnoverLayBets[[#This Row],[Turnover]]</f>
        <v>0</v>
      </c>
    </row>
    <row r="118" spans="2:9">
      <c r="B118" s="187">
        <f>IFERROR(VLOOKUP(ROW()-3,BookieName[#Data],3,FALSE),"")</f>
        <v>0</v>
      </c>
      <c r="C118" s="187">
        <f>SUMIF(BetTable[B1],VLOOKUP(ROW()-3,BookieName[#Data],2,FALSE),BetTable[S1])+SUMIF(BetTable[B2],VLOOKUP(ROW()-3,BookieName[#Data],2,FALSE),BetTable[S2])+SUMIF(BetTable[B3],VLOOKUP(ROW()-3,BookieName[#Data],2,FALSE),BetTable[S3])</f>
        <v>0</v>
      </c>
      <c r="E118" s="187">
        <f>IFERROR(VLOOKUP(ROW()-3,BookieName[#Data],3,FALSE),"")</f>
        <v>0</v>
      </c>
      <c r="F118" s="187">
        <f>SUMIF(LayTable[Bookmaker],VLOOKUP(ROW()-3,BookieName[#Data],2,FALSE),LayTable[BookieInnsats])+SUMIF(LayTable[Lay-bookie],VLOOKUP(ROW()-3,BookieName[#Data],2,FALSE),LayTable[LayLiability])</f>
        <v>0</v>
      </c>
      <c r="H118" s="182">
        <f>IFERROR(VLOOKUP(ROW()-3,BookieName[#Data],3,FALSE),"")</f>
        <v>0</v>
      </c>
      <c r="I118" s="182">
        <f>BookieTurnoverBackBets[[#This Row],[Turnover]]+BookieTurnoverLayBets[[#This Row],[Turnover]]</f>
        <v>0</v>
      </c>
    </row>
    <row r="119" spans="2:9">
      <c r="B119" s="187">
        <f>IFERROR(VLOOKUP(ROW()-3,BookieName[#Data],3,FALSE),"")</f>
        <v>0</v>
      </c>
      <c r="C119" s="187">
        <f>SUMIF(BetTable[B1],VLOOKUP(ROW()-3,BookieName[#Data],2,FALSE),BetTable[S1])+SUMIF(BetTable[B2],VLOOKUP(ROW()-3,BookieName[#Data],2,FALSE),BetTable[S2])+SUMIF(BetTable[B3],VLOOKUP(ROW()-3,BookieName[#Data],2,FALSE),BetTable[S3])</f>
        <v>0</v>
      </c>
      <c r="E119" s="187">
        <f>IFERROR(VLOOKUP(ROW()-3,BookieName[#Data],3,FALSE),"")</f>
        <v>0</v>
      </c>
      <c r="F119" s="187">
        <f>SUMIF(LayTable[Bookmaker],VLOOKUP(ROW()-3,BookieName[#Data],2,FALSE),LayTable[BookieInnsats])+SUMIF(LayTable[Lay-bookie],VLOOKUP(ROW()-3,BookieName[#Data],2,FALSE),LayTable[LayLiability])</f>
        <v>0</v>
      </c>
      <c r="H119" s="182">
        <f>IFERROR(VLOOKUP(ROW()-3,BookieName[#Data],3,FALSE),"")</f>
        <v>0</v>
      </c>
      <c r="I119" s="182">
        <f>BookieTurnoverBackBets[[#This Row],[Turnover]]+BookieTurnoverLayBets[[#This Row],[Turnover]]</f>
        <v>0</v>
      </c>
    </row>
    <row r="120" spans="2:9">
      <c r="B120" s="187">
        <f>IFERROR(VLOOKUP(ROW()-3,BookieName[#Data],3,FALSE),"")</f>
        <v>0</v>
      </c>
      <c r="C120" s="187">
        <f>SUMIF(BetTable[B1],VLOOKUP(ROW()-3,BookieName[#Data],2,FALSE),BetTable[S1])+SUMIF(BetTable[B2],VLOOKUP(ROW()-3,BookieName[#Data],2,FALSE),BetTable[S2])+SUMIF(BetTable[B3],VLOOKUP(ROW()-3,BookieName[#Data],2,FALSE),BetTable[S3])</f>
        <v>0</v>
      </c>
      <c r="E120" s="187">
        <f>IFERROR(VLOOKUP(ROW()-3,BookieName[#Data],3,FALSE),"")</f>
        <v>0</v>
      </c>
      <c r="F120" s="187">
        <f>SUMIF(LayTable[Bookmaker],VLOOKUP(ROW()-3,BookieName[#Data],2,FALSE),LayTable[BookieInnsats])+SUMIF(LayTable[Lay-bookie],VLOOKUP(ROW()-3,BookieName[#Data],2,FALSE),LayTable[LayLiability])</f>
        <v>0</v>
      </c>
      <c r="H120" s="182">
        <f>IFERROR(VLOOKUP(ROW()-3,BookieName[#Data],3,FALSE),"")</f>
        <v>0</v>
      </c>
      <c r="I120" s="182">
        <f>BookieTurnoverBackBets[[#This Row],[Turnover]]+BookieTurnoverLayBets[[#This Row],[Turnover]]</f>
        <v>0</v>
      </c>
    </row>
    <row r="121" spans="2:9">
      <c r="B121" s="187">
        <f>IFERROR(VLOOKUP(ROW()-3,BookieName[#Data],3,FALSE),"")</f>
        <v>0</v>
      </c>
      <c r="C121" s="187">
        <f>SUMIF(BetTable[B1],VLOOKUP(ROW()-3,BookieName[#Data],2,FALSE),BetTable[S1])+SUMIF(BetTable[B2],VLOOKUP(ROW()-3,BookieName[#Data],2,FALSE),BetTable[S2])+SUMIF(BetTable[B3],VLOOKUP(ROW()-3,BookieName[#Data],2,FALSE),BetTable[S3])</f>
        <v>0</v>
      </c>
      <c r="E121" s="187">
        <f>IFERROR(VLOOKUP(ROW()-3,BookieName[#Data],3,FALSE),"")</f>
        <v>0</v>
      </c>
      <c r="F121" s="187">
        <f>SUMIF(LayTable[Bookmaker],VLOOKUP(ROW()-3,BookieName[#Data],2,FALSE),LayTable[BookieInnsats])+SUMIF(LayTable[Lay-bookie],VLOOKUP(ROW()-3,BookieName[#Data],2,FALSE),LayTable[LayLiability])</f>
        <v>0</v>
      </c>
      <c r="H121" s="182">
        <f>IFERROR(VLOOKUP(ROW()-3,BookieName[#Data],3,FALSE),"")</f>
        <v>0</v>
      </c>
      <c r="I121" s="182">
        <f>BookieTurnoverBackBets[[#This Row],[Turnover]]+BookieTurnoverLayBets[[#This Row],[Turnover]]</f>
        <v>0</v>
      </c>
    </row>
    <row r="122" spans="2:9">
      <c r="B122" s="187">
        <f>IFERROR(VLOOKUP(ROW()-3,BookieName[#Data],3,FALSE),"")</f>
        <v>0</v>
      </c>
      <c r="C122" s="187">
        <f>SUMIF(BetTable[B1],VLOOKUP(ROW()-3,BookieName[#Data],2,FALSE),BetTable[S1])+SUMIF(BetTable[B2],VLOOKUP(ROW()-3,BookieName[#Data],2,FALSE),BetTable[S2])+SUMIF(BetTable[B3],VLOOKUP(ROW()-3,BookieName[#Data],2,FALSE),BetTable[S3])</f>
        <v>0</v>
      </c>
      <c r="E122" s="187">
        <f>IFERROR(VLOOKUP(ROW()-3,BookieName[#Data],3,FALSE),"")</f>
        <v>0</v>
      </c>
      <c r="F122" s="187">
        <f>SUMIF(LayTable[Bookmaker],VLOOKUP(ROW()-3,BookieName[#Data],2,FALSE),LayTable[BookieInnsats])+SUMIF(LayTable[Lay-bookie],VLOOKUP(ROW()-3,BookieName[#Data],2,FALSE),LayTable[LayLiability])</f>
        <v>0</v>
      </c>
      <c r="H122" s="182">
        <f>IFERROR(VLOOKUP(ROW()-3,BookieName[#Data],3,FALSE),"")</f>
        <v>0</v>
      </c>
      <c r="I122" s="182">
        <f>BookieTurnoverBackBets[[#This Row],[Turnover]]+BookieTurnoverLayBets[[#This Row],[Turnover]]</f>
        <v>0</v>
      </c>
    </row>
    <row r="123" spans="2:9">
      <c r="B123" s="187">
        <f>IFERROR(VLOOKUP(ROW()-3,BookieName[#Data],3,FALSE),"")</f>
        <v>0</v>
      </c>
      <c r="C123" s="187">
        <f>SUMIF(BetTable[B1],VLOOKUP(ROW()-3,BookieName[#Data],2,FALSE),BetTable[S1])+SUMIF(BetTable[B2],VLOOKUP(ROW()-3,BookieName[#Data],2,FALSE),BetTable[S2])+SUMIF(BetTable[B3],VLOOKUP(ROW()-3,BookieName[#Data],2,FALSE),BetTable[S3])</f>
        <v>0</v>
      </c>
      <c r="E123" s="187">
        <f>IFERROR(VLOOKUP(ROW()-3,BookieName[#Data],3,FALSE),"")</f>
        <v>0</v>
      </c>
      <c r="F123" s="187">
        <f>SUMIF(LayTable[Bookmaker],VLOOKUP(ROW()-3,BookieName[#Data],2,FALSE),LayTable[BookieInnsats])+SUMIF(LayTable[Lay-bookie],VLOOKUP(ROW()-3,BookieName[#Data],2,FALSE),LayTable[LayLiability])</f>
        <v>0</v>
      </c>
      <c r="H123" s="182">
        <f>IFERROR(VLOOKUP(ROW()-3,BookieName[#Data],3,FALSE),"")</f>
        <v>0</v>
      </c>
      <c r="I123" s="182">
        <f>BookieTurnoverBackBets[[#This Row],[Turnover]]+BookieTurnoverLayBets[[#This Row],[Turnover]]</f>
        <v>0</v>
      </c>
    </row>
    <row r="124" spans="2:9">
      <c r="B124" s="187">
        <f>IFERROR(VLOOKUP(ROW()-3,BookieName[#Data],3,FALSE),"")</f>
        <v>0</v>
      </c>
      <c r="C124" s="187">
        <f>SUMIF(BetTable[B1],VLOOKUP(ROW()-3,BookieName[#Data],2,FALSE),BetTable[S1])+SUMIF(BetTable[B2],VLOOKUP(ROW()-3,BookieName[#Data],2,FALSE),BetTable[S2])+SUMIF(BetTable[B3],VLOOKUP(ROW()-3,BookieName[#Data],2,FALSE),BetTable[S3])</f>
        <v>0</v>
      </c>
      <c r="E124" s="187">
        <f>IFERROR(VLOOKUP(ROW()-3,BookieName[#Data],3,FALSE),"")</f>
        <v>0</v>
      </c>
      <c r="F124" s="187">
        <f>SUMIF(LayTable[Bookmaker],VLOOKUP(ROW()-3,BookieName[#Data],2,FALSE),LayTable[BookieInnsats])+SUMIF(LayTable[Lay-bookie],VLOOKUP(ROW()-3,BookieName[#Data],2,FALSE),LayTable[LayLiability])</f>
        <v>0</v>
      </c>
      <c r="H124" s="182">
        <f>IFERROR(VLOOKUP(ROW()-3,BookieName[#Data],3,FALSE),"")</f>
        <v>0</v>
      </c>
      <c r="I124" s="182">
        <f>BookieTurnoverBackBets[[#This Row],[Turnover]]+BookieTurnoverLayBets[[#This Row],[Turnover]]</f>
        <v>0</v>
      </c>
    </row>
    <row r="125" spans="2:9">
      <c r="B125" s="187">
        <f>IFERROR(VLOOKUP(ROW()-3,BookieName[#Data],3,FALSE),"")</f>
        <v>0</v>
      </c>
      <c r="C125" s="187">
        <f>SUMIF(BetTable[B1],VLOOKUP(ROW()-3,BookieName[#Data],2,FALSE),BetTable[S1])+SUMIF(BetTable[B2],VLOOKUP(ROW()-3,BookieName[#Data],2,FALSE),BetTable[S2])+SUMIF(BetTable[B3],VLOOKUP(ROW()-3,BookieName[#Data],2,FALSE),BetTable[S3])</f>
        <v>0</v>
      </c>
      <c r="E125" s="187">
        <f>IFERROR(VLOOKUP(ROW()-3,BookieName[#Data],3,FALSE),"")</f>
        <v>0</v>
      </c>
      <c r="F125" s="187">
        <f>SUMIF(LayTable[Bookmaker],VLOOKUP(ROW()-3,BookieName[#Data],2,FALSE),LayTable[BookieInnsats])+SUMIF(LayTable[Lay-bookie],VLOOKUP(ROW()-3,BookieName[#Data],2,FALSE),LayTable[LayLiability])</f>
        <v>0</v>
      </c>
      <c r="H125" s="182">
        <f>IFERROR(VLOOKUP(ROW()-3,BookieName[#Data],3,FALSE),"")</f>
        <v>0</v>
      </c>
      <c r="I125" s="182">
        <f>BookieTurnoverBackBets[[#This Row],[Turnover]]+BookieTurnoverLayBets[[#This Row],[Turnover]]</f>
        <v>0</v>
      </c>
    </row>
    <row r="126" spans="2:9">
      <c r="B126" s="187">
        <f>IFERROR(VLOOKUP(ROW()-3,BookieName[#Data],3,FALSE),"")</f>
        <v>0</v>
      </c>
      <c r="C126" s="187">
        <f>SUMIF(BetTable[B1],VLOOKUP(ROW()-3,BookieName[#Data],2,FALSE),BetTable[S1])+SUMIF(BetTable[B2],VLOOKUP(ROW()-3,BookieName[#Data],2,FALSE),BetTable[S2])+SUMIF(BetTable[B3],VLOOKUP(ROW()-3,BookieName[#Data],2,FALSE),BetTable[S3])</f>
        <v>0</v>
      </c>
      <c r="E126" s="187">
        <f>IFERROR(VLOOKUP(ROW()-3,BookieName[#Data],3,FALSE),"")</f>
        <v>0</v>
      </c>
      <c r="F126" s="187">
        <f>SUMIF(LayTable[Bookmaker],VLOOKUP(ROW()-3,BookieName[#Data],2,FALSE),LayTable[BookieInnsats])+SUMIF(LayTable[Lay-bookie],VLOOKUP(ROW()-3,BookieName[#Data],2,FALSE),LayTable[LayLiability])</f>
        <v>0</v>
      </c>
      <c r="H126" s="182">
        <f>IFERROR(VLOOKUP(ROW()-3,BookieName[#Data],3,FALSE),"")</f>
        <v>0</v>
      </c>
      <c r="I126" s="182">
        <f>BookieTurnoverBackBets[[#This Row],[Turnover]]+BookieTurnoverLayBets[[#This Row],[Turnover]]</f>
        <v>0</v>
      </c>
    </row>
    <row r="127" spans="2:9">
      <c r="B127" s="187">
        <f>IFERROR(VLOOKUP(ROW()-3,BookieName[#Data],3,FALSE),"")</f>
        <v>0</v>
      </c>
      <c r="C127" s="187">
        <f>SUMIF(BetTable[B1],VLOOKUP(ROW()-3,BookieName[#Data],2,FALSE),BetTable[S1])+SUMIF(BetTable[B2],VLOOKUP(ROW()-3,BookieName[#Data],2,FALSE),BetTable[S2])+SUMIF(BetTable[B3],VLOOKUP(ROW()-3,BookieName[#Data],2,FALSE),BetTable[S3])</f>
        <v>0</v>
      </c>
      <c r="E127" s="187">
        <f>IFERROR(VLOOKUP(ROW()-3,BookieName[#Data],3,FALSE),"")</f>
        <v>0</v>
      </c>
      <c r="F127" s="187">
        <f>SUMIF(LayTable[Bookmaker],VLOOKUP(ROW()-3,BookieName[#Data],2,FALSE),LayTable[BookieInnsats])+SUMIF(LayTable[Lay-bookie],VLOOKUP(ROW()-3,BookieName[#Data],2,FALSE),LayTable[LayLiability])</f>
        <v>0</v>
      </c>
      <c r="H127" s="182">
        <f>IFERROR(VLOOKUP(ROW()-3,BookieName[#Data],3,FALSE),"")</f>
        <v>0</v>
      </c>
      <c r="I127" s="182">
        <f>BookieTurnoverBackBets[[#This Row],[Turnover]]+BookieTurnoverLayBets[[#This Row],[Turnover]]</f>
        <v>0</v>
      </c>
    </row>
    <row r="128" spans="2:9">
      <c r="B128" s="187">
        <f>IFERROR(VLOOKUP(ROW()-3,BookieName[#Data],3,FALSE),"")</f>
        <v>0</v>
      </c>
      <c r="C128" s="187">
        <f>SUMIF(BetTable[B1],VLOOKUP(ROW()-3,BookieName[#Data],2,FALSE),BetTable[S1])+SUMIF(BetTable[B2],VLOOKUP(ROW()-3,BookieName[#Data],2,FALSE),BetTable[S2])+SUMIF(BetTable[B3],VLOOKUP(ROW()-3,BookieName[#Data],2,FALSE),BetTable[S3])</f>
        <v>0</v>
      </c>
      <c r="E128" s="187">
        <f>IFERROR(VLOOKUP(ROW()-3,BookieName[#Data],3,FALSE),"")</f>
        <v>0</v>
      </c>
      <c r="F128" s="187">
        <f>SUMIF(LayTable[Bookmaker],VLOOKUP(ROW()-3,BookieName[#Data],2,FALSE),LayTable[BookieInnsats])+SUMIF(LayTable[Lay-bookie],VLOOKUP(ROW()-3,BookieName[#Data],2,FALSE),LayTable[LayLiability])</f>
        <v>0</v>
      </c>
      <c r="H128" s="182">
        <f>IFERROR(VLOOKUP(ROW()-3,BookieName[#Data],3,FALSE),"")</f>
        <v>0</v>
      </c>
      <c r="I128" s="182">
        <f>BookieTurnoverBackBets[[#This Row],[Turnover]]+BookieTurnoverLayBets[[#This Row],[Turnover]]</f>
        <v>0</v>
      </c>
    </row>
    <row r="129" spans="2:9">
      <c r="B129" s="187">
        <f>IFERROR(VLOOKUP(ROW()-3,BookieName[#Data],3,FALSE),"")</f>
        <v>0</v>
      </c>
      <c r="C129" s="187">
        <f>SUMIF(BetTable[B1],VLOOKUP(ROW()-3,BookieName[#Data],2,FALSE),BetTable[S1])+SUMIF(BetTable[B2],VLOOKUP(ROW()-3,BookieName[#Data],2,FALSE),BetTable[S2])+SUMIF(BetTable[B3],VLOOKUP(ROW()-3,BookieName[#Data],2,FALSE),BetTable[S3])</f>
        <v>0</v>
      </c>
      <c r="E129" s="187">
        <f>IFERROR(VLOOKUP(ROW()-3,BookieName[#Data],3,FALSE),"")</f>
        <v>0</v>
      </c>
      <c r="F129" s="187">
        <f>SUMIF(LayTable[Bookmaker],VLOOKUP(ROW()-3,BookieName[#Data],2,FALSE),LayTable[BookieInnsats])+SUMIF(LayTable[Lay-bookie],VLOOKUP(ROW()-3,BookieName[#Data],2,FALSE),LayTable[LayLiability])</f>
        <v>0</v>
      </c>
      <c r="H129" s="182">
        <f>IFERROR(VLOOKUP(ROW()-3,BookieName[#Data],3,FALSE),"")</f>
        <v>0</v>
      </c>
      <c r="I129" s="182">
        <f>BookieTurnoverBackBets[[#This Row],[Turnover]]+BookieTurnoverLayBets[[#This Row],[Turnover]]</f>
        <v>0</v>
      </c>
    </row>
    <row r="130" spans="2:9">
      <c r="B130" s="187">
        <f>IFERROR(VLOOKUP(ROW()-3,BookieName[#Data],3,FALSE),"")</f>
        <v>0</v>
      </c>
      <c r="C130" s="187">
        <f>SUMIF(BetTable[B1],VLOOKUP(ROW()-3,BookieName[#Data],2,FALSE),BetTable[S1])+SUMIF(BetTable[B2],VLOOKUP(ROW()-3,BookieName[#Data],2,FALSE),BetTable[S2])+SUMIF(BetTable[B3],VLOOKUP(ROW()-3,BookieName[#Data],2,FALSE),BetTable[S3])</f>
        <v>0</v>
      </c>
      <c r="E130" s="187">
        <f>IFERROR(VLOOKUP(ROW()-3,BookieName[#Data],3,FALSE),"")</f>
        <v>0</v>
      </c>
      <c r="F130" s="187">
        <f>SUMIF(LayTable[Bookmaker],VLOOKUP(ROW()-3,BookieName[#Data],2,FALSE),LayTable[BookieInnsats])+SUMIF(LayTable[Lay-bookie],VLOOKUP(ROW()-3,BookieName[#Data],2,FALSE),LayTable[LayLiability])</f>
        <v>0</v>
      </c>
      <c r="H130" s="182">
        <f>IFERROR(VLOOKUP(ROW()-3,BookieName[#Data],3,FALSE),"")</f>
        <v>0</v>
      </c>
      <c r="I130" s="182">
        <f>BookieTurnoverBackBets[[#This Row],[Turnover]]+BookieTurnoverLayBets[[#This Row],[Turnover]]</f>
        <v>0</v>
      </c>
    </row>
    <row r="131" spans="2:9">
      <c r="B131" s="187">
        <f>IFERROR(VLOOKUP(ROW()-3,BookieName[#Data],3,FALSE),"")</f>
        <v>0</v>
      </c>
      <c r="C131" s="187">
        <f>SUMIF(BetTable[B1],VLOOKUP(ROW()-3,BookieName[#Data],2,FALSE),BetTable[S1])+SUMIF(BetTable[B2],VLOOKUP(ROW()-3,BookieName[#Data],2,FALSE),BetTable[S2])+SUMIF(BetTable[B3],VLOOKUP(ROW()-3,BookieName[#Data],2,FALSE),BetTable[S3])</f>
        <v>0</v>
      </c>
      <c r="E131" s="187">
        <f>IFERROR(VLOOKUP(ROW()-3,BookieName[#Data],3,FALSE),"")</f>
        <v>0</v>
      </c>
      <c r="F131" s="187">
        <f>SUMIF(LayTable[Bookmaker],VLOOKUP(ROW()-3,BookieName[#Data],2,FALSE),LayTable[BookieInnsats])+SUMIF(LayTable[Lay-bookie],VLOOKUP(ROW()-3,BookieName[#Data],2,FALSE),LayTable[LayLiability])</f>
        <v>0</v>
      </c>
      <c r="H131" s="182">
        <f>IFERROR(VLOOKUP(ROW()-3,BookieName[#Data],3,FALSE),"")</f>
        <v>0</v>
      </c>
      <c r="I131" s="182">
        <f>BookieTurnoverBackBets[[#This Row],[Turnover]]+BookieTurnoverLayBets[[#This Row],[Turnover]]</f>
        <v>0</v>
      </c>
    </row>
    <row r="132" spans="2:9">
      <c r="B132" s="187">
        <f>IFERROR(VLOOKUP(ROW()-3,BookieName[#Data],3,FALSE),"")</f>
        <v>0</v>
      </c>
      <c r="C132" s="187">
        <f>SUMIF(BetTable[B1],VLOOKUP(ROW()-3,BookieName[#Data],2,FALSE),BetTable[S1])+SUMIF(BetTable[B2],VLOOKUP(ROW()-3,BookieName[#Data],2,FALSE),BetTable[S2])+SUMIF(BetTable[B3],VLOOKUP(ROW()-3,BookieName[#Data],2,FALSE),BetTable[S3])</f>
        <v>0</v>
      </c>
      <c r="E132" s="187">
        <f>IFERROR(VLOOKUP(ROW()-3,BookieName[#Data],3,FALSE),"")</f>
        <v>0</v>
      </c>
      <c r="F132" s="187">
        <f>SUMIF(LayTable[Bookmaker],VLOOKUP(ROW()-3,BookieName[#Data],2,FALSE),LayTable[BookieInnsats])+SUMIF(LayTable[Lay-bookie],VLOOKUP(ROW()-3,BookieName[#Data],2,FALSE),LayTable[LayLiability])</f>
        <v>0</v>
      </c>
      <c r="H132" s="182">
        <f>IFERROR(VLOOKUP(ROW()-3,BookieName[#Data],3,FALSE),"")</f>
        <v>0</v>
      </c>
      <c r="I132" s="182">
        <f>BookieTurnoverBackBets[[#This Row],[Turnover]]+BookieTurnoverLayBets[[#This Row],[Turnover]]</f>
        <v>0</v>
      </c>
    </row>
    <row r="133" spans="2:9">
      <c r="B133" s="187">
        <f>IFERROR(VLOOKUP(ROW()-3,BookieName[#Data],3,FALSE),"")</f>
        <v>0</v>
      </c>
      <c r="C133" s="187">
        <f>SUMIF(BetTable[B1],VLOOKUP(ROW()-3,BookieName[#Data],2,FALSE),BetTable[S1])+SUMIF(BetTable[B2],VLOOKUP(ROW()-3,BookieName[#Data],2,FALSE),BetTable[S2])+SUMIF(BetTable[B3],VLOOKUP(ROW()-3,BookieName[#Data],2,FALSE),BetTable[S3])</f>
        <v>0</v>
      </c>
      <c r="E133" s="187">
        <f>IFERROR(VLOOKUP(ROW()-3,BookieName[#Data],3,FALSE),"")</f>
        <v>0</v>
      </c>
      <c r="F133" s="187">
        <f>SUMIF(LayTable[Bookmaker],VLOOKUP(ROW()-3,BookieName[#Data],2,FALSE),LayTable[BookieInnsats])+SUMIF(LayTable[Lay-bookie],VLOOKUP(ROW()-3,BookieName[#Data],2,FALSE),LayTable[LayLiability])</f>
        <v>0</v>
      </c>
      <c r="H133" s="182">
        <f>IFERROR(VLOOKUP(ROW()-3,BookieName[#Data],3,FALSE),"")</f>
        <v>0</v>
      </c>
      <c r="I133" s="182">
        <f>BookieTurnoverBackBets[[#This Row],[Turnover]]+BookieTurnoverLayBets[[#This Row],[Turnover]]</f>
        <v>0</v>
      </c>
    </row>
    <row r="134" spans="2:9">
      <c r="B134" s="187">
        <f>IFERROR(VLOOKUP(ROW()-3,BookieName[#Data],3,FALSE),"")</f>
        <v>0</v>
      </c>
      <c r="C134" s="187">
        <f>SUMIF(BetTable[B1],VLOOKUP(ROW()-3,BookieName[#Data],2,FALSE),BetTable[S1])+SUMIF(BetTable[B2],VLOOKUP(ROW()-3,BookieName[#Data],2,FALSE),BetTable[S2])+SUMIF(BetTable[B3],VLOOKUP(ROW()-3,BookieName[#Data],2,FALSE),BetTable[S3])</f>
        <v>0</v>
      </c>
      <c r="E134" s="187">
        <f>IFERROR(VLOOKUP(ROW()-3,BookieName[#Data],3,FALSE),"")</f>
        <v>0</v>
      </c>
      <c r="F134" s="187">
        <f>SUMIF(LayTable[Bookmaker],VLOOKUP(ROW()-3,BookieName[#Data],2,FALSE),LayTable[BookieInnsats])+SUMIF(LayTable[Lay-bookie],VLOOKUP(ROW()-3,BookieName[#Data],2,FALSE),LayTable[LayLiability])</f>
        <v>0</v>
      </c>
      <c r="H134" s="182">
        <f>IFERROR(VLOOKUP(ROW()-3,BookieName[#Data],3,FALSE),"")</f>
        <v>0</v>
      </c>
      <c r="I134" s="182">
        <f>BookieTurnoverBackBets[[#This Row],[Turnover]]+BookieTurnoverLayBets[[#This Row],[Turnover]]</f>
        <v>0</v>
      </c>
    </row>
    <row r="135" spans="2:9">
      <c r="B135" s="187">
        <f>IFERROR(VLOOKUP(ROW()-3,BookieName[#Data],3,FALSE),"")</f>
        <v>0</v>
      </c>
      <c r="C135" s="187">
        <f>SUMIF(BetTable[B1],VLOOKUP(ROW()-3,BookieName[#Data],2,FALSE),BetTable[S1])+SUMIF(BetTable[B2],VLOOKUP(ROW()-3,BookieName[#Data],2,FALSE),BetTable[S2])+SUMIF(BetTable[B3],VLOOKUP(ROW()-3,BookieName[#Data],2,FALSE),BetTable[S3])</f>
        <v>0</v>
      </c>
      <c r="E135" s="187">
        <f>IFERROR(VLOOKUP(ROW()-3,BookieName[#Data],3,FALSE),"")</f>
        <v>0</v>
      </c>
      <c r="F135" s="187">
        <f>SUMIF(LayTable[Bookmaker],VLOOKUP(ROW()-3,BookieName[#Data],2,FALSE),LayTable[BookieInnsats])+SUMIF(LayTable[Lay-bookie],VLOOKUP(ROW()-3,BookieName[#Data],2,FALSE),LayTable[LayLiability])</f>
        <v>0</v>
      </c>
      <c r="H135" s="182">
        <f>IFERROR(VLOOKUP(ROW()-3,BookieName[#Data],3,FALSE),"")</f>
        <v>0</v>
      </c>
      <c r="I135" s="182">
        <f>BookieTurnoverBackBets[[#This Row],[Turnover]]+BookieTurnoverLayBets[[#This Row],[Turnover]]</f>
        <v>0</v>
      </c>
    </row>
    <row r="136" spans="2:9">
      <c r="B136" s="187" t="str">
        <f>IFERROR(VLOOKUP(ROW()-3,BookieName[#Data],3,FALSE),"")</f>
        <v/>
      </c>
      <c r="C136" s="187">
        <f>SUMIF(BetTable[B1],VLOOKUP(ROW()-3,BookieName[#Data],2,FALSE),BetTable[S1])+SUMIF(BetTable[B2],VLOOKUP(ROW()-3,BookieName[#Data],2,FALSE),BetTable[S2])+SUMIF(BetTable[B3],VLOOKUP(ROW()-3,BookieName[#Data],2,FALSE),BetTable[S3])</f>
        <v>0</v>
      </c>
      <c r="E136" s="187" t="str">
        <f>IFERROR(VLOOKUP(ROW()-3,BookieName[#Data],3,FALSE),"")</f>
        <v/>
      </c>
      <c r="F136" s="187">
        <f>SUMIF(LayTable[Bookmaker],VLOOKUP(ROW()-3,BookieName[#Data],2,FALSE),LayTable[BookieInnsats])+SUMIF(LayTable[Lay-bookie],VLOOKUP(ROW()-3,BookieName[#Data],2,FALSE),LayTable[LayLiability])</f>
        <v>0</v>
      </c>
      <c r="H136" s="182" t="str">
        <f>IFERROR(VLOOKUP(ROW()-3,BookieName[#Data],3,FALSE),"")</f>
        <v/>
      </c>
      <c r="I136" s="182">
        <f>BookieTurnoverBackBets[[#This Row],[Turnover]]+BookieTurnoverLayBets[[#This Row],[Turnover]]</f>
        <v>0</v>
      </c>
    </row>
    <row r="137" spans="2:9">
      <c r="B137" s="187" t="str">
        <f>IFERROR(VLOOKUP(ROW()-3,BookieName[#Data],3,FALSE),"")</f>
        <v/>
      </c>
      <c r="C137" s="187">
        <f>SUMIF(BetTable[B1],VLOOKUP(ROW()-3,BookieName[#Data],2,FALSE),BetTable[S1])+SUMIF(BetTable[B2],VLOOKUP(ROW()-3,BookieName[#Data],2,FALSE),BetTable[S2])+SUMIF(BetTable[B3],VLOOKUP(ROW()-3,BookieName[#Data],2,FALSE),BetTable[S3])</f>
        <v>0</v>
      </c>
      <c r="E137" s="187" t="str">
        <f>IFERROR(VLOOKUP(ROW()-3,BookieName[#Data],3,FALSE),"")</f>
        <v/>
      </c>
      <c r="F137" s="187">
        <f>SUMIF(LayTable[Bookmaker],VLOOKUP(ROW()-3,BookieName[#Data],2,FALSE),LayTable[BookieInnsats])+SUMIF(LayTable[Lay-bookie],VLOOKUP(ROW()-3,BookieName[#Data],2,FALSE),LayTable[LayLiability])</f>
        <v>0</v>
      </c>
      <c r="H137" s="182" t="str">
        <f>IFERROR(VLOOKUP(ROW()-3,BookieName[#Data],3,FALSE),"")</f>
        <v/>
      </c>
      <c r="I137" s="182">
        <f>BookieTurnoverBackBets[[#This Row],[Turnover]]+BookieTurnoverLayBets[[#This Row],[Turnover]]</f>
        <v>0</v>
      </c>
    </row>
    <row r="138" spans="2:9">
      <c r="B138" s="187" t="str">
        <f>IFERROR(VLOOKUP(ROW()-3,BookieName[#Data],3,FALSE),"")</f>
        <v/>
      </c>
      <c r="C138" s="187">
        <f>SUMIF(BetTable[B1],VLOOKUP(ROW()-3,BookieName[#Data],2,FALSE),BetTable[S1])+SUMIF(BetTable[B2],VLOOKUP(ROW()-3,BookieName[#Data],2,FALSE),BetTable[S2])+SUMIF(BetTable[B3],VLOOKUP(ROW()-3,BookieName[#Data],2,FALSE),BetTable[S3])</f>
        <v>0</v>
      </c>
      <c r="E138" s="187" t="str">
        <f>IFERROR(VLOOKUP(ROW()-3,BookieName[#Data],3,FALSE),"")</f>
        <v/>
      </c>
      <c r="F138" s="187">
        <f>SUMIF(LayTable[Bookmaker],VLOOKUP(ROW()-3,BookieName[#Data],2,FALSE),LayTable[BookieInnsats])+SUMIF(LayTable[Lay-bookie],VLOOKUP(ROW()-3,BookieName[#Data],2,FALSE),LayTable[LayLiability])</f>
        <v>0</v>
      </c>
      <c r="H138" s="182" t="str">
        <f>IFERROR(VLOOKUP(ROW()-3,BookieName[#Data],3,FALSE),"")</f>
        <v/>
      </c>
      <c r="I138" s="182">
        <f>BookieTurnoverBackBets[[#This Row],[Turnover]]+BookieTurnoverLayBets[[#This Row],[Turnover]]</f>
        <v>0</v>
      </c>
    </row>
    <row r="139" spans="2:9">
      <c r="B139" s="187" t="str">
        <f>IFERROR(VLOOKUP(ROW()-3,BookieName[#Data],3,FALSE),"")</f>
        <v/>
      </c>
      <c r="C139" s="187">
        <f>SUMIF(BetTable[B1],VLOOKUP(ROW()-3,BookieName[#Data],2,FALSE),BetTable[S1])+SUMIF(BetTable[B2],VLOOKUP(ROW()-3,BookieName[#Data],2,FALSE),BetTable[S2])+SUMIF(BetTable[B3],VLOOKUP(ROW()-3,BookieName[#Data],2,FALSE),BetTable[S3])</f>
        <v>0</v>
      </c>
      <c r="E139" s="187" t="str">
        <f>IFERROR(VLOOKUP(ROW()-3,BookieName[#Data],3,FALSE),"")</f>
        <v/>
      </c>
      <c r="F139" s="187">
        <f>SUMIF(LayTable[Bookmaker],VLOOKUP(ROW()-3,BookieName[#Data],2,FALSE),LayTable[BookieInnsats])+SUMIF(LayTable[Lay-bookie],VLOOKUP(ROW()-3,BookieName[#Data],2,FALSE),LayTable[LayLiability])</f>
        <v>0</v>
      </c>
      <c r="H139" s="182" t="str">
        <f>IFERROR(VLOOKUP(ROW()-3,BookieName[#Data],3,FALSE),"")</f>
        <v/>
      </c>
      <c r="I139" s="182">
        <f>BookieTurnoverBackBets[[#This Row],[Turnover]]+BookieTurnoverLayBets[[#This Row],[Turnover]]</f>
        <v>0</v>
      </c>
    </row>
    <row r="140" spans="2:9">
      <c r="B140" s="187" t="str">
        <f>IFERROR(VLOOKUP(ROW()-3,BookieName[#Data],3,FALSE),"")</f>
        <v/>
      </c>
      <c r="C140" s="187">
        <f>SUMIF(BetTable[B1],VLOOKUP(ROW()-3,BookieName[#Data],2,FALSE),BetTable[S1])+SUMIF(BetTable[B2],VLOOKUP(ROW()-3,BookieName[#Data],2,FALSE),BetTable[S2])+SUMIF(BetTable[B3],VLOOKUP(ROW()-3,BookieName[#Data],2,FALSE),BetTable[S3])</f>
        <v>0</v>
      </c>
      <c r="E140" s="187" t="str">
        <f>IFERROR(VLOOKUP(ROW()-3,BookieName[#Data],3,FALSE),"")</f>
        <v/>
      </c>
      <c r="F140" s="187">
        <f>SUMIF(LayTable[Bookmaker],VLOOKUP(ROW()-3,BookieName[#Data],2,FALSE),LayTable[BookieInnsats])+SUMIF(LayTable[Lay-bookie],VLOOKUP(ROW()-3,BookieName[#Data],2,FALSE),LayTable[LayLiability])</f>
        <v>0</v>
      </c>
      <c r="H140" s="182" t="str">
        <f>IFERROR(VLOOKUP(ROW()-3,BookieName[#Data],3,FALSE),"")</f>
        <v/>
      </c>
      <c r="I140" s="182">
        <f>BookieTurnoverBackBets[[#This Row],[Turnover]]+BookieTurnoverLayBets[[#This Row],[Turnover]]</f>
        <v>0</v>
      </c>
    </row>
    <row r="141" spans="2:9">
      <c r="B141" s="187" t="str">
        <f>IFERROR(VLOOKUP(ROW()-3,BookieName[#Data],3,FALSE),"")</f>
        <v/>
      </c>
      <c r="C141" s="187">
        <f>SUMIF(BetTable[B1],VLOOKUP(ROW()-3,BookieName[#Data],2,FALSE),BetTable[S1])+SUMIF(BetTable[B2],VLOOKUP(ROW()-3,BookieName[#Data],2,FALSE),BetTable[S2])+SUMIF(BetTable[B3],VLOOKUP(ROW()-3,BookieName[#Data],2,FALSE),BetTable[S3])</f>
        <v>0</v>
      </c>
      <c r="E141" s="187" t="str">
        <f>IFERROR(VLOOKUP(ROW()-3,BookieName[#Data],3,FALSE),"")</f>
        <v/>
      </c>
      <c r="F141" s="187">
        <f>SUMIF(LayTable[Bookmaker],VLOOKUP(ROW()-3,BookieName[#Data],2,FALSE),LayTable[BookieInnsats])+SUMIF(LayTable[Lay-bookie],VLOOKUP(ROW()-3,BookieName[#Data],2,FALSE),LayTable[LayLiability])</f>
        <v>0</v>
      </c>
      <c r="H141" s="182" t="str">
        <f>IFERROR(VLOOKUP(ROW()-3,BookieName[#Data],3,FALSE),"")</f>
        <v/>
      </c>
      <c r="I141" s="182">
        <f>BookieTurnoverBackBets[[#This Row],[Turnover]]+BookieTurnoverLayBets[[#This Row],[Turnover]]</f>
        <v>0</v>
      </c>
    </row>
    <row r="142" spans="2:9">
      <c r="B142" s="187" t="str">
        <f>IFERROR(VLOOKUP(ROW()-3,BookieName[#Data],3,FALSE),"")</f>
        <v/>
      </c>
      <c r="C142" s="187">
        <f>SUMIF(BetTable[B1],VLOOKUP(ROW()-3,BookieName[#Data],2,FALSE),BetTable[S1])+SUMIF(BetTable[B2],VLOOKUP(ROW()-3,BookieName[#Data],2,FALSE),BetTable[S2])+SUMIF(BetTable[B3],VLOOKUP(ROW()-3,BookieName[#Data],2,FALSE),BetTable[S3])</f>
        <v>0</v>
      </c>
      <c r="E142" s="187" t="str">
        <f>IFERROR(VLOOKUP(ROW()-3,BookieName[#Data],3,FALSE),"")</f>
        <v/>
      </c>
      <c r="F142" s="187">
        <f>SUMIF(LayTable[Bookmaker],VLOOKUP(ROW()-3,BookieName[#Data],2,FALSE),LayTable[BookieInnsats])+SUMIF(LayTable[Lay-bookie],VLOOKUP(ROW()-3,BookieName[#Data],2,FALSE),LayTable[LayLiability])</f>
        <v>0</v>
      </c>
      <c r="H142" s="182" t="str">
        <f>IFERROR(VLOOKUP(ROW()-3,BookieName[#Data],3,FALSE),"")</f>
        <v/>
      </c>
      <c r="I142" s="182">
        <f>BookieTurnoverBackBets[[#This Row],[Turnover]]+BookieTurnoverLayBets[[#This Row],[Turnover]]</f>
        <v>0</v>
      </c>
    </row>
    <row r="143" spans="2:9">
      <c r="B143" s="187" t="str">
        <f>IFERROR(VLOOKUP(ROW()-3,BookieName[#Data],3,FALSE),"")</f>
        <v/>
      </c>
      <c r="C143" s="187">
        <f>SUMIF(BetTable[B1],VLOOKUP(ROW()-3,BookieName[#Data],2,FALSE),BetTable[S1])+SUMIF(BetTable[B2],VLOOKUP(ROW()-3,BookieName[#Data],2,FALSE),BetTable[S2])+SUMIF(BetTable[B3],VLOOKUP(ROW()-3,BookieName[#Data],2,FALSE),BetTable[S3])</f>
        <v>0</v>
      </c>
      <c r="E143" s="187" t="str">
        <f>IFERROR(VLOOKUP(ROW()-3,BookieName[#Data],3,FALSE),"")</f>
        <v/>
      </c>
      <c r="F143" s="187">
        <f>SUMIF(LayTable[Bookmaker],VLOOKUP(ROW()-3,BookieName[#Data],2,FALSE),LayTable[BookieInnsats])+SUMIF(LayTable[Lay-bookie],VLOOKUP(ROW()-3,BookieName[#Data],2,FALSE),LayTable[LayLiability])</f>
        <v>0</v>
      </c>
      <c r="H143" s="182" t="str">
        <f>IFERROR(VLOOKUP(ROW()-3,BookieName[#Data],3,FALSE),"")</f>
        <v/>
      </c>
      <c r="I143" s="182">
        <f>BookieTurnoverBackBets[[#This Row],[Turnover]]+BookieTurnoverLayBets[[#This Row],[Turnover]]</f>
        <v>0</v>
      </c>
    </row>
    <row r="144" spans="2:9">
      <c r="B144" s="187" t="str">
        <f>IFERROR(VLOOKUP(ROW()-3,BookieName[#Data],3,FALSE),"")</f>
        <v/>
      </c>
      <c r="C144" s="187">
        <f>SUMIF(BetTable[B1],VLOOKUP(ROW()-3,BookieName[#Data],2,FALSE),BetTable[S1])+SUMIF(BetTable[B2],VLOOKUP(ROW()-3,BookieName[#Data],2,FALSE),BetTable[S2])+SUMIF(BetTable[B3],VLOOKUP(ROW()-3,BookieName[#Data],2,FALSE),BetTable[S3])</f>
        <v>0</v>
      </c>
      <c r="E144" s="187" t="str">
        <f>IFERROR(VLOOKUP(ROW()-3,BookieName[#Data],3,FALSE),"")</f>
        <v/>
      </c>
      <c r="F144" s="187">
        <f>SUMIF(LayTable[Bookmaker],VLOOKUP(ROW()-3,BookieName[#Data],2,FALSE),LayTable[BookieInnsats])+SUMIF(LayTable[Lay-bookie],VLOOKUP(ROW()-3,BookieName[#Data],2,FALSE),LayTable[LayLiability])</f>
        <v>0</v>
      </c>
      <c r="H144" s="182" t="str">
        <f>IFERROR(VLOOKUP(ROW()-3,BookieName[#Data],3,FALSE),"")</f>
        <v/>
      </c>
      <c r="I144" s="182">
        <f>BookieTurnoverBackBets[[#This Row],[Turnover]]+BookieTurnoverLayBets[[#This Row],[Turnover]]</f>
        <v>0</v>
      </c>
    </row>
    <row r="145" spans="2:9">
      <c r="B145" s="187" t="str">
        <f>IFERROR(VLOOKUP(ROW()-3,BookieName[#Data],3,FALSE),"")</f>
        <v/>
      </c>
      <c r="C145" s="187">
        <f>SUMIF(BetTable[B1],VLOOKUP(ROW()-3,BookieName[#Data],2,FALSE),BetTable[S1])+SUMIF(BetTable[B2],VLOOKUP(ROW()-3,BookieName[#Data],2,FALSE),BetTable[S2])+SUMIF(BetTable[B3],VLOOKUP(ROW()-3,BookieName[#Data],2,FALSE),BetTable[S3])</f>
        <v>0</v>
      </c>
      <c r="E145" s="187" t="str">
        <f>IFERROR(VLOOKUP(ROW()-3,BookieName[#Data],3,FALSE),"")</f>
        <v/>
      </c>
      <c r="F145" s="187">
        <f>SUMIF(LayTable[Bookmaker],VLOOKUP(ROW()-3,BookieName[#Data],2,FALSE),LayTable[BookieInnsats])+SUMIF(LayTable[Lay-bookie],VLOOKUP(ROW()-3,BookieName[#Data],2,FALSE),LayTable[LayLiability])</f>
        <v>0</v>
      </c>
      <c r="H145" s="182" t="str">
        <f>IFERROR(VLOOKUP(ROW()-3,BookieName[#Data],3,FALSE),"")</f>
        <v/>
      </c>
      <c r="I145" s="182">
        <f>BookieTurnoverBackBets[[#This Row],[Turnover]]+BookieTurnoverLayBets[[#This Row],[Turnover]]</f>
        <v>0</v>
      </c>
    </row>
    <row r="146" spans="2:9">
      <c r="B146" s="187" t="str">
        <f>IFERROR(VLOOKUP(ROW()-3,BookieName[#Data],3,FALSE),"")</f>
        <v/>
      </c>
      <c r="C146" s="187">
        <f>SUMIF(BetTable[B1],VLOOKUP(ROW()-3,BookieName[#Data],2,FALSE),BetTable[S1])+SUMIF(BetTable[B2],VLOOKUP(ROW()-3,BookieName[#Data],2,FALSE),BetTable[S2])+SUMIF(BetTable[B3],VLOOKUP(ROW()-3,BookieName[#Data],2,FALSE),BetTable[S3])</f>
        <v>0</v>
      </c>
      <c r="E146" s="187" t="str">
        <f>IFERROR(VLOOKUP(ROW()-3,BookieName[#Data],3,FALSE),"")</f>
        <v/>
      </c>
      <c r="F146" s="187">
        <f>SUMIF(LayTable[Bookmaker],VLOOKUP(ROW()-3,BookieName[#Data],2,FALSE),LayTable[BookieInnsats])+SUMIF(LayTable[Lay-bookie],VLOOKUP(ROW()-3,BookieName[#Data],2,FALSE),LayTable[LayLiability])</f>
        <v>0</v>
      </c>
      <c r="H146" s="182" t="str">
        <f>IFERROR(VLOOKUP(ROW()-3,BookieName[#Data],3,FALSE),"")</f>
        <v/>
      </c>
      <c r="I146" s="182">
        <f>BookieTurnoverBackBets[[#This Row],[Turnover]]+BookieTurnoverLayBets[[#This Row],[Turnover]]</f>
        <v>0</v>
      </c>
    </row>
    <row r="147" spans="2:9">
      <c r="B147" s="187" t="str">
        <f>IFERROR(VLOOKUP(ROW()-3,BookieName[#Data],3,FALSE),"")</f>
        <v/>
      </c>
      <c r="C147" s="187">
        <f>SUMIF(BetTable[B1],VLOOKUP(ROW()-3,BookieName[#Data],2,FALSE),BetTable[S1])+SUMIF(BetTable[B2],VLOOKUP(ROW()-3,BookieName[#Data],2,FALSE),BetTable[S2])+SUMIF(BetTable[B3],VLOOKUP(ROW()-3,BookieName[#Data],2,FALSE),BetTable[S3])</f>
        <v>0</v>
      </c>
      <c r="E147" s="187" t="str">
        <f>IFERROR(VLOOKUP(ROW()-3,BookieName[#Data],3,FALSE),"")</f>
        <v/>
      </c>
      <c r="F147" s="187">
        <f>SUMIF(LayTable[Bookmaker],VLOOKUP(ROW()-3,BookieName[#Data],2,FALSE),LayTable[BookieInnsats])+SUMIF(LayTable[Lay-bookie],VLOOKUP(ROW()-3,BookieName[#Data],2,FALSE),LayTable[LayLiability])</f>
        <v>0</v>
      </c>
      <c r="H147" s="182" t="str">
        <f>IFERROR(VLOOKUP(ROW()-3,BookieName[#Data],3,FALSE),"")</f>
        <v/>
      </c>
      <c r="I147" s="182">
        <f>BookieTurnoverBackBets[[#This Row],[Turnover]]+BookieTurnoverLayBets[[#This Row],[Turnover]]</f>
        <v>0</v>
      </c>
    </row>
    <row r="148" spans="2:9">
      <c r="B148" s="187" t="str">
        <f>IFERROR(VLOOKUP(ROW()-3,BookieName[#Data],3,FALSE),"")</f>
        <v/>
      </c>
      <c r="C148" s="187">
        <f>SUMIF(BetTable[B1],VLOOKUP(ROW()-3,BookieName[#Data],2,FALSE),BetTable[S1])+SUMIF(BetTable[B2],VLOOKUP(ROW()-3,BookieName[#Data],2,FALSE),BetTable[S2])+SUMIF(BetTable[B3],VLOOKUP(ROW()-3,BookieName[#Data],2,FALSE),BetTable[S3])</f>
        <v>0</v>
      </c>
      <c r="E148" s="187" t="str">
        <f>IFERROR(VLOOKUP(ROW()-3,BookieName[#Data],3,FALSE),"")</f>
        <v/>
      </c>
      <c r="F148" s="187">
        <f>SUMIF(LayTable[Bookmaker],VLOOKUP(ROW()-3,BookieName[#Data],2,FALSE),LayTable[BookieInnsats])+SUMIF(LayTable[Lay-bookie],VLOOKUP(ROW()-3,BookieName[#Data],2,FALSE),LayTable[LayLiability])</f>
        <v>0</v>
      </c>
      <c r="H148" s="182" t="str">
        <f>IFERROR(VLOOKUP(ROW()-3,BookieName[#Data],3,FALSE),"")</f>
        <v/>
      </c>
      <c r="I148" s="182">
        <f>BookieTurnoverBackBets[[#This Row],[Turnover]]+BookieTurnoverLayBets[[#This Row],[Turnover]]</f>
        <v>0</v>
      </c>
    </row>
    <row r="149" spans="2:9">
      <c r="B149" s="187" t="str">
        <f>IFERROR(VLOOKUP(ROW()-3,BookieName[#Data],3,FALSE),"")</f>
        <v/>
      </c>
      <c r="C149" s="187">
        <f>SUMIF(BetTable[B1],VLOOKUP(ROW()-3,BookieName[#Data],2,FALSE),BetTable[S1])+SUMIF(BetTable[B2],VLOOKUP(ROW()-3,BookieName[#Data],2,FALSE),BetTable[S2])+SUMIF(BetTable[B3],VLOOKUP(ROW()-3,BookieName[#Data],2,FALSE),BetTable[S3])</f>
        <v>0</v>
      </c>
      <c r="E149" s="187" t="str">
        <f>IFERROR(VLOOKUP(ROW()-3,BookieName[#Data],3,FALSE),"")</f>
        <v/>
      </c>
      <c r="F149" s="187">
        <f>SUMIF(LayTable[Bookmaker],VLOOKUP(ROW()-3,BookieName[#Data],2,FALSE),LayTable[BookieInnsats])+SUMIF(LayTable[Lay-bookie],VLOOKUP(ROW()-3,BookieName[#Data],2,FALSE),LayTable[LayLiability])</f>
        <v>0</v>
      </c>
      <c r="H149" s="182" t="str">
        <f>IFERROR(VLOOKUP(ROW()-3,BookieName[#Data],3,FALSE),"")</f>
        <v/>
      </c>
      <c r="I149" s="182">
        <f>BookieTurnoverBackBets[[#This Row],[Turnover]]+BookieTurnoverLayBets[[#This Row],[Turnover]]</f>
        <v>0</v>
      </c>
    </row>
    <row r="150" spans="2:9">
      <c r="B150" s="187" t="str">
        <f>IFERROR(VLOOKUP(ROW()-3,BookieName[#Data],3,FALSE),"")</f>
        <v/>
      </c>
      <c r="C150" s="187">
        <f>SUMIF(BetTable[B1],VLOOKUP(ROW()-3,BookieName[#Data],2,FALSE),BetTable[S1])+SUMIF(BetTable[B2],VLOOKUP(ROW()-3,BookieName[#Data],2,FALSE),BetTable[S2])+SUMIF(BetTable[B3],VLOOKUP(ROW()-3,BookieName[#Data],2,FALSE),BetTable[S3])</f>
        <v>0</v>
      </c>
      <c r="E150" s="187" t="str">
        <f>IFERROR(VLOOKUP(ROW()-3,BookieName[#Data],3,FALSE),"")</f>
        <v/>
      </c>
      <c r="F150" s="187">
        <f>SUMIF(LayTable[Bookmaker],VLOOKUP(ROW()-3,BookieName[#Data],2,FALSE),LayTable[BookieInnsats])+SUMIF(LayTable[Lay-bookie],VLOOKUP(ROW()-3,BookieName[#Data],2,FALSE),LayTable[LayLiability])</f>
        <v>0</v>
      </c>
      <c r="H150" s="182" t="str">
        <f>IFERROR(VLOOKUP(ROW()-3,BookieName[#Data],3,FALSE),"")</f>
        <v/>
      </c>
      <c r="I150" s="182">
        <f>BookieTurnoverBackBets[[#This Row],[Turnover]]+BookieTurnoverLayBets[[#This Row],[Turnover]]</f>
        <v>0</v>
      </c>
    </row>
    <row r="151" spans="2:9">
      <c r="B151" s="187" t="str">
        <f>IFERROR(VLOOKUP(ROW()-3,BookieName[#Data],3,FALSE),"")</f>
        <v/>
      </c>
      <c r="C151" s="187">
        <f>SUMIF(BetTable[B1],VLOOKUP(ROW()-3,BookieName[#Data],2,FALSE),BetTable[S1])+SUMIF(BetTable[B2],VLOOKUP(ROW()-3,BookieName[#Data],2,FALSE),BetTable[S2])+SUMIF(BetTable[B3],VLOOKUP(ROW()-3,BookieName[#Data],2,FALSE),BetTable[S3])</f>
        <v>0</v>
      </c>
      <c r="E151" s="187" t="str">
        <f>IFERROR(VLOOKUP(ROW()-3,BookieName[#Data],3,FALSE),"")</f>
        <v/>
      </c>
      <c r="F151" s="187">
        <f>SUMIF(LayTable[Bookmaker],VLOOKUP(ROW()-3,BookieName[#Data],2,FALSE),LayTable[BookieInnsats])+SUMIF(LayTable[Lay-bookie],VLOOKUP(ROW()-3,BookieName[#Data],2,FALSE),LayTable[LayLiability])</f>
        <v>0</v>
      </c>
      <c r="H151" s="182" t="str">
        <f>IFERROR(VLOOKUP(ROW()-3,BookieName[#Data],3,FALSE),"")</f>
        <v/>
      </c>
      <c r="I151" s="182">
        <f>BookieTurnoverBackBets[[#This Row],[Turnover]]+BookieTurnoverLayBets[[#This Row],[Turnover]]</f>
        <v>0</v>
      </c>
    </row>
    <row r="152" spans="2:9">
      <c r="B152" s="187" t="str">
        <f>IFERROR(VLOOKUP(ROW()-3,BookieName[#Data],3,FALSE),"")</f>
        <v/>
      </c>
      <c r="C152" s="187">
        <f>SUMIF(BetTable[B1],VLOOKUP(ROW()-3,BookieName[#Data],2,FALSE),BetTable[S1])+SUMIF(BetTable[B2],VLOOKUP(ROW()-3,BookieName[#Data],2,FALSE),BetTable[S2])+SUMIF(BetTable[B3],VLOOKUP(ROW()-3,BookieName[#Data],2,FALSE),BetTable[S3])</f>
        <v>0</v>
      </c>
      <c r="E152" s="187" t="str">
        <f>IFERROR(VLOOKUP(ROW()-3,BookieName[#Data],3,FALSE),"")</f>
        <v/>
      </c>
      <c r="F152" s="187">
        <f>SUMIF(LayTable[Bookmaker],VLOOKUP(ROW()-3,BookieName[#Data],2,FALSE),LayTable[BookieInnsats])+SUMIF(LayTable[Lay-bookie],VLOOKUP(ROW()-3,BookieName[#Data],2,FALSE),LayTable[LayLiability])</f>
        <v>0</v>
      </c>
      <c r="H152" s="182" t="str">
        <f>IFERROR(VLOOKUP(ROW()-3,BookieName[#Data],3,FALSE),"")</f>
        <v/>
      </c>
      <c r="I152" s="182">
        <f>BookieTurnoverBackBets[[#This Row],[Turnover]]+BookieTurnoverLayBets[[#This Row],[Turnover]]</f>
        <v>0</v>
      </c>
    </row>
    <row r="153" spans="2:9">
      <c r="B153" s="187" t="str">
        <f>IFERROR(VLOOKUP(ROW()-3,BookieName[#Data],3,FALSE),"")</f>
        <v/>
      </c>
      <c r="C153" s="187">
        <f>SUMIF(BetTable[B1],VLOOKUP(ROW()-3,BookieName[#Data],2,FALSE),BetTable[S1])+SUMIF(BetTable[B2],VLOOKUP(ROW()-3,BookieName[#Data],2,FALSE),BetTable[S2])+SUMIF(BetTable[B3],VLOOKUP(ROW()-3,BookieName[#Data],2,FALSE),BetTable[S3])</f>
        <v>0</v>
      </c>
      <c r="E153" s="187" t="str">
        <f>IFERROR(VLOOKUP(ROW()-3,BookieName[#Data],3,FALSE),"")</f>
        <v/>
      </c>
      <c r="F153" s="187">
        <f>SUMIF(LayTable[Bookmaker],VLOOKUP(ROW()-3,BookieName[#Data],2,FALSE),LayTable[BookieInnsats])+SUMIF(LayTable[Lay-bookie],VLOOKUP(ROW()-3,BookieName[#Data],2,FALSE),LayTable[LayLiability])</f>
        <v>0</v>
      </c>
      <c r="H153" s="182" t="str">
        <f>IFERROR(VLOOKUP(ROW()-3,BookieName[#Data],3,FALSE),"")</f>
        <v/>
      </c>
      <c r="I153" s="182">
        <f>BookieTurnoverBackBets[[#This Row],[Turnover]]+BookieTurnoverLayBets[[#This Row],[Turnover]]</f>
        <v>0</v>
      </c>
    </row>
    <row r="154" spans="2:9">
      <c r="B154" s="187" t="str">
        <f>IFERROR(VLOOKUP(ROW()-3,BookieName[#Data],3,FALSE),"")</f>
        <v/>
      </c>
      <c r="C154" s="187">
        <f>SUMIF(BetTable[B1],VLOOKUP(ROW()-3,BookieName[#Data],2,FALSE),BetTable[S1])+SUMIF(BetTable[B2],VLOOKUP(ROW()-3,BookieName[#Data],2,FALSE),BetTable[S2])+SUMIF(BetTable[B3],VLOOKUP(ROW()-3,BookieName[#Data],2,FALSE),BetTable[S3])</f>
        <v>0</v>
      </c>
      <c r="E154" s="187" t="str">
        <f>IFERROR(VLOOKUP(ROW()-3,BookieName[#Data],3,FALSE),"")</f>
        <v/>
      </c>
      <c r="F154" s="187">
        <f>SUMIF(LayTable[Bookmaker],VLOOKUP(ROW()-3,BookieName[#Data],2,FALSE),LayTable[BookieInnsats])+SUMIF(LayTable[Lay-bookie],VLOOKUP(ROW()-3,BookieName[#Data],2,FALSE),LayTable[LayLiability])</f>
        <v>0</v>
      </c>
      <c r="H154" s="182" t="str">
        <f>IFERROR(VLOOKUP(ROW()-3,BookieName[#Data],3,FALSE),"")</f>
        <v/>
      </c>
      <c r="I154" s="182">
        <f>BookieTurnoverBackBets[[#This Row],[Turnover]]+BookieTurnoverLayBets[[#This Row],[Turnover]]</f>
        <v>0</v>
      </c>
    </row>
    <row r="155" spans="2:9">
      <c r="B155" s="187" t="str">
        <f>IFERROR(VLOOKUP(ROW()-3,BookieName[#Data],3,FALSE),"")</f>
        <v/>
      </c>
      <c r="C155" s="187">
        <f>SUMIF(BetTable[B1],VLOOKUP(ROW()-3,BookieName[#Data],2,FALSE),BetTable[S1])+SUMIF(BetTable[B2],VLOOKUP(ROW()-3,BookieName[#Data],2,FALSE),BetTable[S2])+SUMIF(BetTable[B3],VLOOKUP(ROW()-3,BookieName[#Data],2,FALSE),BetTable[S3])</f>
        <v>0</v>
      </c>
      <c r="E155" s="187" t="str">
        <f>IFERROR(VLOOKUP(ROW()-3,BookieName[#Data],3,FALSE),"")</f>
        <v/>
      </c>
      <c r="F155" s="187">
        <f>SUMIF(LayTable[Bookmaker],VLOOKUP(ROW()-3,BookieName[#Data],2,FALSE),LayTable[BookieInnsats])+SUMIF(LayTable[Lay-bookie],VLOOKUP(ROW()-3,BookieName[#Data],2,FALSE),LayTable[LayLiability])</f>
        <v>0</v>
      </c>
      <c r="H155" s="182" t="str">
        <f>IFERROR(VLOOKUP(ROW()-3,BookieName[#Data],3,FALSE),"")</f>
        <v/>
      </c>
      <c r="I155" s="182">
        <f>BookieTurnoverBackBets[[#This Row],[Turnover]]+BookieTurnoverLayBets[[#This Row],[Turnover]]</f>
        <v>0</v>
      </c>
    </row>
    <row r="156" spans="2:9">
      <c r="B156" s="187" t="str">
        <f>IFERROR(VLOOKUP(ROW()-3,BookieName[#Data],3,FALSE),"")</f>
        <v/>
      </c>
      <c r="C156" s="187">
        <f>SUMIF(BetTable[B1],VLOOKUP(ROW()-3,BookieName[#Data],2,FALSE),BetTable[S1])+SUMIF(BetTable[B2],VLOOKUP(ROW()-3,BookieName[#Data],2,FALSE),BetTable[S2])+SUMIF(BetTable[B3],VLOOKUP(ROW()-3,BookieName[#Data],2,FALSE),BetTable[S3])</f>
        <v>0</v>
      </c>
      <c r="E156" s="187" t="str">
        <f>IFERROR(VLOOKUP(ROW()-3,BookieName[#Data],3,FALSE),"")</f>
        <v/>
      </c>
      <c r="F156" s="187">
        <f>SUMIF(LayTable[Bookmaker],VLOOKUP(ROW()-3,BookieName[#Data],2,FALSE),LayTable[BookieInnsats])+SUMIF(LayTable[Lay-bookie],VLOOKUP(ROW()-3,BookieName[#Data],2,FALSE),LayTable[LayLiability])</f>
        <v>0</v>
      </c>
      <c r="H156" s="182" t="str">
        <f>IFERROR(VLOOKUP(ROW()-3,BookieName[#Data],3,FALSE),"")</f>
        <v/>
      </c>
      <c r="I156" s="182">
        <f>BookieTurnoverBackBets[[#This Row],[Turnover]]+BookieTurnoverLayBets[[#This Row],[Turnover]]</f>
        <v>0</v>
      </c>
    </row>
    <row r="157" spans="2:9">
      <c r="B157" s="187" t="str">
        <f>IFERROR(VLOOKUP(ROW()-3,BookieName[#Data],3,FALSE),"")</f>
        <v/>
      </c>
      <c r="C157" s="187">
        <f>SUMIF(BetTable[B1],VLOOKUP(ROW()-3,BookieName[#Data],2,FALSE),BetTable[S1])+SUMIF(BetTable[B2],VLOOKUP(ROW()-3,BookieName[#Data],2,FALSE),BetTable[S2])+SUMIF(BetTable[B3],VLOOKUP(ROW()-3,BookieName[#Data],2,FALSE),BetTable[S3])</f>
        <v>0</v>
      </c>
      <c r="E157" s="187" t="str">
        <f>IFERROR(VLOOKUP(ROW()-3,BookieName[#Data],3,FALSE),"")</f>
        <v/>
      </c>
      <c r="F157" s="187">
        <f>SUMIF(LayTable[Bookmaker],VLOOKUP(ROW()-3,BookieName[#Data],2,FALSE),LayTable[BookieInnsats])+SUMIF(LayTable[Lay-bookie],VLOOKUP(ROW()-3,BookieName[#Data],2,FALSE),LayTable[LayLiability])</f>
        <v>0</v>
      </c>
      <c r="H157" s="182" t="str">
        <f>IFERROR(VLOOKUP(ROW()-3,BookieName[#Data],3,FALSE),"")</f>
        <v/>
      </c>
      <c r="I157" s="182">
        <f>BookieTurnoverBackBets[[#This Row],[Turnover]]+BookieTurnoverLayBets[[#This Row],[Turnover]]</f>
        <v>0</v>
      </c>
    </row>
    <row r="158" spans="2:9">
      <c r="B158" s="187" t="str">
        <f>IFERROR(VLOOKUP(ROW()-3,BookieName[#Data],3,FALSE),"")</f>
        <v/>
      </c>
      <c r="C158" s="187">
        <f>SUMIF(BetTable[B1],VLOOKUP(ROW()-3,BookieName[#Data],2,FALSE),BetTable[S1])+SUMIF(BetTable[B2],VLOOKUP(ROW()-3,BookieName[#Data],2,FALSE),BetTable[S2])+SUMIF(BetTable[B3],VLOOKUP(ROW()-3,BookieName[#Data],2,FALSE),BetTable[S3])</f>
        <v>0</v>
      </c>
      <c r="E158" s="187" t="str">
        <f>IFERROR(VLOOKUP(ROW()-3,BookieName[#Data],3,FALSE),"")</f>
        <v/>
      </c>
      <c r="F158" s="187">
        <f>SUMIF(LayTable[Bookmaker],VLOOKUP(ROW()-3,BookieName[#Data],2,FALSE),LayTable[BookieInnsats])+SUMIF(LayTable[Lay-bookie],VLOOKUP(ROW()-3,BookieName[#Data],2,FALSE),LayTable[LayLiability])</f>
        <v>0</v>
      </c>
      <c r="H158" s="182" t="str">
        <f>IFERROR(VLOOKUP(ROW()-3,BookieName[#Data],3,FALSE),"")</f>
        <v/>
      </c>
      <c r="I158" s="182">
        <f>BookieTurnoverBackBets[[#This Row],[Turnover]]+BookieTurnoverLayBets[[#This Row],[Turnover]]</f>
        <v>0</v>
      </c>
    </row>
    <row r="159" spans="2:9">
      <c r="B159" s="187" t="str">
        <f>IFERROR(VLOOKUP(ROW()-3,BookieName[#Data],3,FALSE),"")</f>
        <v/>
      </c>
      <c r="C159" s="187">
        <f>SUMIF(BetTable[B1],VLOOKUP(ROW()-3,BookieName[#Data],2,FALSE),BetTable[S1])+SUMIF(BetTable[B2],VLOOKUP(ROW()-3,BookieName[#Data],2,FALSE),BetTable[S2])+SUMIF(BetTable[B3],VLOOKUP(ROW()-3,BookieName[#Data],2,FALSE),BetTable[S3])</f>
        <v>0</v>
      </c>
      <c r="E159" s="187" t="str">
        <f>IFERROR(VLOOKUP(ROW()-3,BookieName[#Data],3,FALSE),"")</f>
        <v/>
      </c>
      <c r="F159" s="187">
        <f>SUMIF(LayTable[Bookmaker],VLOOKUP(ROW()-3,BookieName[#Data],2,FALSE),LayTable[BookieInnsats])+SUMIF(LayTable[Lay-bookie],VLOOKUP(ROW()-3,BookieName[#Data],2,FALSE),LayTable[LayLiability])</f>
        <v>0</v>
      </c>
      <c r="H159" s="182" t="str">
        <f>IFERROR(VLOOKUP(ROW()-3,BookieName[#Data],3,FALSE),"")</f>
        <v/>
      </c>
      <c r="I159" s="182">
        <f>BookieTurnoverBackBets[[#This Row],[Turnover]]+BookieTurnoverLayBets[[#This Row],[Turnover]]</f>
        <v>0</v>
      </c>
    </row>
  </sheetData>
  <pageMargins left="0.7" right="0.7" top="0.75" bottom="0.75" header="0.3" footer="0.3"/>
  <pageSetup paperSize="9" orientation="portrait" verticalDpi="0"/>
  <ignoredErrors>
    <ignoredError sqref="B7:B32 E6:F6 H7:H40 B40 B33:B39 B5 E8:F40 F7" calculatedColumn="1"/>
  </ignoredErrors>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CD4067-A0E3-4F73-93B7-733F64473D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Spill</vt:lpstr>
      <vt:lpstr>Regnskap</vt:lpstr>
      <vt:lpstr>Penger</vt:lpstr>
      <vt:lpstr>Li</vt:lpstr>
      <vt:lpstr>Aa</vt:lpstr>
      <vt:lpstr>BookieNavn</vt:lpstr>
      <vt:lpstr>Spinsports</vt:lpstr>
      <vt:lpstr>#Banken</vt:lpstr>
      <vt:lpstr>Stats</vt:lpstr>
      <vt:lpstr>Graf</vt:lpstr>
      <vt:lpstr>LES MEG</vt:lpstr>
      <vt:lpstr>Data</vt:lpstr>
      <vt:lpstr>LogBackBets</vt:lpstr>
      <vt:lpstr>TurnOver</vt:lpstr>
      <vt:lpstr>Aa!ListBookies2</vt:lpstr>
      <vt:lpstr>ListBookies2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RebelBetting ArbBook</dc:title>
  <dc:creator/>
  <cp:lastModifiedBy/>
  <dcterms:created xsi:type="dcterms:W3CDTF">2009-08-25T08:21:37Z</dcterms:created>
  <dcterms:modified xsi:type="dcterms:W3CDTF">2020-10-02T08:17:35Z</dcterms:modified>
</cp:coreProperties>
</file>